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00000000-0000-0000-0000-000000000000}"/>
  <workbookPr codeName="חוברת_עבודה_זו"/>
  <mc:AlternateContent xmlns:mc="http://schemas.openxmlformats.org/markup-compatibility/2006">
    <mc:Choice Requires="x15">
      <x15ac:absPath xmlns:x15ac="http://schemas.microsoft.com/office/spreadsheetml/2010/11/ac" url="C:\Users\User\Desktop\מנהלת הגמלאות\PROGIM\"/>
    </mc:Choice>
  </mc:AlternateContent>
  <xr:revisionPtr revIDLastSave="0" documentId="13_ncr:1_{B14D0AD8-7ECA-4760-B113-226F883F523F}" xr6:coauthVersionLast="47" xr6:coauthVersionMax="47" xr10:uidLastSave="{00000000-0000-0000-0000-000000000000}"/>
  <bookViews>
    <workbookView xWindow="-108" yWindow="-108" windowWidth="23256" windowHeight="12576" activeTab="1" xr2:uid="{00000000-000D-0000-FFFF-FFFF00000000}"/>
  </bookViews>
  <sheets>
    <sheet name="simlei sachar" sheetId="75" r:id="rId1"/>
    <sheet name="Netunei Gimlai" sheetId="48" r:id="rId2"/>
    <sheet name="TLUSH" sheetId="85" r:id="rId3"/>
    <sheet name="SACHAR" sheetId="30" r:id="rId4"/>
    <sheet name="tosafot " sheetId="49" r:id="rId5"/>
    <sheet name="MISRAD" sheetId="53" r:id="rId6"/>
    <sheet name="4550" sheetId="73" r:id="rId7"/>
    <sheet name="sminimum" sheetId="63" r:id="rId8"/>
    <sheet name="MANMASH 2022" sheetId="89" r:id="rId9"/>
    <sheet name="parameter" sheetId="2" r:id="rId10"/>
    <sheet name="5268 LIVUI ORHIM" sheetId="83" r:id="rId11"/>
    <sheet name="5539 MEMUNE" sheetId="88" r:id="rId12"/>
    <sheet name="פומ נתיב 4319" sheetId="90" r:id="rId13"/>
    <sheet name="שרות נתיב 4427" sheetId="91" r:id="rId14"/>
    <sheet name="vetek" sheetId="11" r:id="rId15"/>
    <sheet name="tos kibutzi" sheetId="16" r:id="rId16"/>
    <sheet name="tos reforma 4147" sheetId="77" r:id="rId17"/>
    <sheet name="hashlamat sachar 4643" sheetId="81" r:id="rId18"/>
    <sheet name="SACHAR4643" sheetId="82" r:id="rId19"/>
    <sheet name="kodderugdarga" sheetId="10" r:id="rId20"/>
    <sheet name="DARGA" sheetId="52" r:id="rId21"/>
    <sheet name="MAOF" sheetId="80" r:id="rId22"/>
    <sheet name=" NATIV" sheetId="79" r:id="rId23"/>
    <sheet name="GMUL MINHAL" sheetId="67" r:id="rId24"/>
    <sheet name="BATEI MISHPAT 875" sheetId="78" r:id="rId25"/>
    <sheet name="heskem 2023" sheetId="61" r:id="rId26"/>
    <sheet name="tos reforma" sheetId="69" r:id="rId27"/>
    <sheet name="אחוז ממשולב 756" sheetId="74" r:id="rId28"/>
    <sheet name="המרת סמלי שכר" sheetId="68" r:id="rId29"/>
    <sheet name="רכיבים דלוייט" sheetId="72" r:id="rId30"/>
    <sheet name="מנדיי" sheetId="71" r:id="rId31"/>
    <sheet name="מאפייני רכיבי שכר" sheetId="70" r:id="rId32"/>
    <sheet name="רכיבים" sheetId="65" r:id="rId33"/>
    <sheet name="משימות" sheetId="66" r:id="rId34"/>
    <sheet name="HISH HATZMADA" sheetId="64" r:id="rId35"/>
    <sheet name="MANMASH 2010" sheetId="62" r:id="rId36"/>
    <sheet name="DERUG" sheetId="51" r:id="rId37"/>
    <sheet name="heskem 2016" sheetId="56" r:id="rId38"/>
    <sheet name="index misrad derugdarga" sheetId="57" r:id="rId39"/>
    <sheet name="MADAD" sheetId="59" r:id="rId40"/>
    <sheet name="index derugdarga" sheetId="58" r:id="rId41"/>
    <sheet name="Gmul hishtalmoot" sheetId="54" r:id="rId42"/>
    <sheet name="סמלי שכר" sheetId="55" r:id="rId43"/>
    <sheet name="פנסיה" sheetId="23" r:id="rId44"/>
    <sheet name="PARAMETRIM" sheetId="50" r:id="rId45"/>
    <sheet name="shikli 2016" sheetId="35" r:id="rId46"/>
    <sheet name="tos irgunit" sheetId="22" r:id="rId47"/>
    <sheet name="miktsoit" sheetId="12" r:id="rId48"/>
    <sheet name="peiloot" sheetId="13" r:id="rId49"/>
    <sheet name="tzak" sheetId="14" r:id="rId50"/>
    <sheet name="חודש פרישה" sheetId="86" r:id="rId51"/>
    <sheet name="tosmechkar" sheetId="17" r:id="rId52"/>
    <sheet name="מאקרו איפוס" sheetId="76" r:id="rId53"/>
    <sheet name="MACRO" sheetId="87" r:id="rId54"/>
  </sheets>
  <definedNames>
    <definedName name="_xleta.IF" hidden="1" xlm="1">#NAME?</definedName>
    <definedName name="_xleta.N" hidden="1" xlm="1">#NAME?</definedName>
    <definedName name="_xleta.T" hidden="1" xlm="1">#NAME?</definedName>
    <definedName name="_xleta.VLOOKUP"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12" i="48" l="1"/>
  <c r="AT6" i="30"/>
  <c r="F38" i="48"/>
  <c r="F43" i="48" l="1"/>
  <c r="BQ6" i="30"/>
  <c r="F42" i="48"/>
  <c r="C1" i="91" l="1"/>
  <c r="C2" i="91" s="1"/>
  <c r="I265" i="91"/>
  <c r="I266" i="91" s="1"/>
  <c r="I267" i="91" s="1"/>
  <c r="I268" i="91" s="1"/>
  <c r="I269" i="91" s="1"/>
  <c r="I270" i="91" s="1"/>
  <c r="I271" i="91" s="1"/>
  <c r="I272" i="91" s="1"/>
  <c r="I273" i="91" s="1"/>
  <c r="I274" i="91" s="1"/>
  <c r="I275" i="91" s="1"/>
  <c r="I276" i="91" s="1"/>
  <c r="I277" i="91" s="1"/>
  <c r="I278" i="91" s="1"/>
  <c r="I279" i="91" s="1"/>
  <c r="I280" i="91" s="1"/>
  <c r="I281" i="91" s="1"/>
  <c r="I282" i="91" s="1"/>
  <c r="I283" i="91" s="1"/>
  <c r="I284" i="91" s="1"/>
  <c r="I285" i="91" s="1"/>
  <c r="I286" i="91" s="1"/>
  <c r="I287" i="91" s="1"/>
  <c r="I288" i="91" s="1"/>
  <c r="I289" i="91" s="1"/>
  <c r="I290" i="91" s="1"/>
  <c r="I291" i="91" s="1"/>
  <c r="I292" i="91" s="1"/>
  <c r="I236" i="91"/>
  <c r="I237" i="91" s="1"/>
  <c r="I238" i="91" s="1"/>
  <c r="I239" i="91" s="1"/>
  <c r="I241" i="91" s="1"/>
  <c r="I242" i="91" s="1"/>
  <c r="I243" i="91" s="1"/>
  <c r="I244" i="91" s="1"/>
  <c r="I245" i="91" s="1"/>
  <c r="I246" i="91" s="1"/>
  <c r="I247" i="91" s="1"/>
  <c r="I248" i="91" s="1"/>
  <c r="I249" i="91" s="1"/>
  <c r="I250" i="91" s="1"/>
  <c r="I251" i="91" s="1"/>
  <c r="I252" i="91" s="1"/>
  <c r="I253" i="91" s="1"/>
  <c r="I254" i="91" s="1"/>
  <c r="I255" i="91" s="1"/>
  <c r="I256" i="91" s="1"/>
  <c r="I257" i="91" s="1"/>
  <c r="I258" i="91" s="1"/>
  <c r="I259" i="91" s="1"/>
  <c r="I260" i="91" s="1"/>
  <c r="I261" i="91" s="1"/>
  <c r="I262" i="91" s="1"/>
  <c r="I263" i="91" s="1"/>
  <c r="I207" i="91"/>
  <c r="I208" i="91" s="1"/>
  <c r="I209" i="91" s="1"/>
  <c r="I210" i="91" s="1"/>
  <c r="I211" i="91" s="1"/>
  <c r="I212" i="91" s="1"/>
  <c r="I213" i="91" s="1"/>
  <c r="I214" i="91" s="1"/>
  <c r="I215" i="91" s="1"/>
  <c r="I216" i="91" s="1"/>
  <c r="I217" i="91" s="1"/>
  <c r="I218" i="91" s="1"/>
  <c r="I219" i="91" s="1"/>
  <c r="I220" i="91" s="1"/>
  <c r="I221" i="91" s="1"/>
  <c r="I222" i="91" s="1"/>
  <c r="I223" i="91" s="1"/>
  <c r="I224" i="91" s="1"/>
  <c r="I225" i="91" s="1"/>
  <c r="I226" i="91" s="1"/>
  <c r="I227" i="91" s="1"/>
  <c r="I228" i="91" s="1"/>
  <c r="I229" i="91" s="1"/>
  <c r="I230" i="91" s="1"/>
  <c r="I231" i="91" s="1"/>
  <c r="I232" i="91" s="1"/>
  <c r="I233" i="91" s="1"/>
  <c r="I234" i="91" s="1"/>
  <c r="I178" i="91"/>
  <c r="I179" i="91" s="1"/>
  <c r="I180" i="91" s="1"/>
  <c r="I181" i="91" s="1"/>
  <c r="I182" i="91" s="1"/>
  <c r="I183" i="91" s="1"/>
  <c r="I184" i="91" s="1"/>
  <c r="I185" i="91" s="1"/>
  <c r="I186" i="91" s="1"/>
  <c r="I187" i="91" s="1"/>
  <c r="I188" i="91" s="1"/>
  <c r="I189" i="91" s="1"/>
  <c r="I190" i="91" s="1"/>
  <c r="I191" i="91" s="1"/>
  <c r="I192" i="91" s="1"/>
  <c r="I193" i="91" s="1"/>
  <c r="I194" i="91" s="1"/>
  <c r="I195" i="91" s="1"/>
  <c r="I196" i="91" s="1"/>
  <c r="I197" i="91" s="1"/>
  <c r="I198" i="91" s="1"/>
  <c r="I199" i="91" s="1"/>
  <c r="I200" i="91" s="1"/>
  <c r="I201" i="91" s="1"/>
  <c r="I202" i="91" s="1"/>
  <c r="I203" i="91" s="1"/>
  <c r="I204" i="91" s="1"/>
  <c r="I205" i="91" s="1"/>
  <c r="I149" i="91"/>
  <c r="I150" i="91" s="1"/>
  <c r="I151" i="91" s="1"/>
  <c r="I152" i="91" s="1"/>
  <c r="I153" i="91" s="1"/>
  <c r="I154" i="91" s="1"/>
  <c r="I155" i="91" s="1"/>
  <c r="I156" i="91" s="1"/>
  <c r="I157" i="91" s="1"/>
  <c r="I158" i="91" s="1"/>
  <c r="I159" i="91" s="1"/>
  <c r="I160" i="91" s="1"/>
  <c r="I161" i="91" s="1"/>
  <c r="I162" i="91" s="1"/>
  <c r="I163" i="91" s="1"/>
  <c r="I164" i="91" s="1"/>
  <c r="I165" i="91" s="1"/>
  <c r="I166" i="91" s="1"/>
  <c r="I167" i="91" s="1"/>
  <c r="I168" i="91" s="1"/>
  <c r="I169" i="91" s="1"/>
  <c r="I170" i="91" s="1"/>
  <c r="I171" i="91" s="1"/>
  <c r="I172" i="91" s="1"/>
  <c r="I173" i="91" s="1"/>
  <c r="I174" i="91" s="1"/>
  <c r="I175" i="91" s="1"/>
  <c r="I176" i="91" s="1"/>
  <c r="I120" i="91"/>
  <c r="I121" i="91" s="1"/>
  <c r="I122" i="91" s="1"/>
  <c r="I123" i="91" s="1"/>
  <c r="I124" i="91" s="1"/>
  <c r="I125" i="91" s="1"/>
  <c r="I126" i="91" s="1"/>
  <c r="I127" i="91" s="1"/>
  <c r="I128" i="91" s="1"/>
  <c r="I129" i="91" s="1"/>
  <c r="I130" i="91" s="1"/>
  <c r="I131" i="91" s="1"/>
  <c r="I132" i="91" s="1"/>
  <c r="I133" i="91" s="1"/>
  <c r="I134" i="91" s="1"/>
  <c r="I135" i="91" s="1"/>
  <c r="I136" i="91" s="1"/>
  <c r="I137" i="91" s="1"/>
  <c r="I138" i="91" s="1"/>
  <c r="I139" i="91" s="1"/>
  <c r="I140" i="91" s="1"/>
  <c r="I141" i="91" s="1"/>
  <c r="I142" i="91" s="1"/>
  <c r="I143" i="91" s="1"/>
  <c r="I144" i="91" s="1"/>
  <c r="I145" i="91" s="1"/>
  <c r="I146" i="91" s="1"/>
  <c r="I147" i="91" s="1"/>
  <c r="I91" i="91"/>
  <c r="I92" i="91" s="1"/>
  <c r="I93" i="91" s="1"/>
  <c r="I94" i="91" s="1"/>
  <c r="I95" i="91" s="1"/>
  <c r="I96" i="91" s="1"/>
  <c r="I97" i="91" s="1"/>
  <c r="I98" i="91" s="1"/>
  <c r="I99" i="91" s="1"/>
  <c r="I100" i="91" s="1"/>
  <c r="I101" i="91" s="1"/>
  <c r="I102" i="91" s="1"/>
  <c r="I103" i="91" s="1"/>
  <c r="I104" i="91" s="1"/>
  <c r="I105" i="91" s="1"/>
  <c r="I106" i="91" s="1"/>
  <c r="I107" i="91" s="1"/>
  <c r="I108" i="91" s="1"/>
  <c r="I109" i="91" s="1"/>
  <c r="I110" i="91" s="1"/>
  <c r="I111" i="91" s="1"/>
  <c r="I112" i="91" s="1"/>
  <c r="I113" i="91" s="1"/>
  <c r="I114" i="91" s="1"/>
  <c r="I115" i="91" s="1"/>
  <c r="I116" i="91" s="1"/>
  <c r="I117" i="91" s="1"/>
  <c r="I118" i="91" s="1"/>
  <c r="I62" i="91"/>
  <c r="I63" i="91" s="1"/>
  <c r="I64" i="91" s="1"/>
  <c r="I65" i="91" s="1"/>
  <c r="I66" i="91" s="1"/>
  <c r="I67" i="91" s="1"/>
  <c r="I68" i="91" s="1"/>
  <c r="I69" i="91" s="1"/>
  <c r="I70" i="91" s="1"/>
  <c r="I71" i="91" s="1"/>
  <c r="I72" i="91" s="1"/>
  <c r="I73" i="91" s="1"/>
  <c r="I74" i="91" s="1"/>
  <c r="I75" i="91" s="1"/>
  <c r="I76" i="91" s="1"/>
  <c r="I77" i="91" s="1"/>
  <c r="I78" i="91" s="1"/>
  <c r="I79" i="91" s="1"/>
  <c r="I80" i="91" s="1"/>
  <c r="I81" i="91" s="1"/>
  <c r="I82" i="91" s="1"/>
  <c r="I83" i="91" s="1"/>
  <c r="I84" i="91" s="1"/>
  <c r="I85" i="91" s="1"/>
  <c r="I86" i="91" s="1"/>
  <c r="I87" i="91" s="1"/>
  <c r="I88" i="91" s="1"/>
  <c r="I89" i="91" s="1"/>
  <c r="I33" i="91"/>
  <c r="I34" i="91" s="1"/>
  <c r="I35" i="91" s="1"/>
  <c r="I36" i="91" s="1"/>
  <c r="I37" i="91" s="1"/>
  <c r="I38" i="91" s="1"/>
  <c r="I39" i="91" s="1"/>
  <c r="I40" i="91" s="1"/>
  <c r="I41" i="91" s="1"/>
  <c r="I42" i="91" s="1"/>
  <c r="I43" i="91" s="1"/>
  <c r="I44" i="91" s="1"/>
  <c r="I45" i="91" s="1"/>
  <c r="I46" i="91" s="1"/>
  <c r="I47" i="91" s="1"/>
  <c r="I48" i="91" s="1"/>
  <c r="I49" i="91" s="1"/>
  <c r="I50" i="91" s="1"/>
  <c r="I51" i="91" s="1"/>
  <c r="I52" i="91" s="1"/>
  <c r="I53" i="91" s="1"/>
  <c r="I54" i="91" s="1"/>
  <c r="I55" i="91" s="1"/>
  <c r="I56" i="91" s="1"/>
  <c r="I57" i="91" s="1"/>
  <c r="I58" i="91" s="1"/>
  <c r="I59" i="91" s="1"/>
  <c r="I60" i="91" s="1"/>
  <c r="I4" i="91"/>
  <c r="I5" i="91" s="1"/>
  <c r="I6" i="91" s="1"/>
  <c r="I7" i="91" s="1"/>
  <c r="I8" i="91" s="1"/>
  <c r="I9" i="91" s="1"/>
  <c r="I10" i="91" s="1"/>
  <c r="I11" i="91" s="1"/>
  <c r="I12" i="91" s="1"/>
  <c r="I13" i="91" s="1"/>
  <c r="I14" i="91" s="1"/>
  <c r="I15" i="91" s="1"/>
  <c r="I16" i="91" s="1"/>
  <c r="I17" i="91" s="1"/>
  <c r="I18" i="91" s="1"/>
  <c r="I19" i="91" s="1"/>
  <c r="I20" i="91" s="1"/>
  <c r="I21" i="91" s="1"/>
  <c r="I22" i="91" s="1"/>
  <c r="I23" i="91" s="1"/>
  <c r="I24" i="91" s="1"/>
  <c r="I25" i="91" s="1"/>
  <c r="I26" i="91" s="1"/>
  <c r="I27" i="91" s="1"/>
  <c r="I28" i="91" s="1"/>
  <c r="I29" i="91" s="1"/>
  <c r="I30" i="91" s="1"/>
  <c r="I31" i="91" s="1"/>
  <c r="C1" i="90"/>
  <c r="C2" i="90" s="1"/>
  <c r="F55" i="48" l="1"/>
  <c r="AO6" i="30"/>
  <c r="F57" i="48"/>
  <c r="F58" i="48"/>
  <c r="AL6" i="30"/>
  <c r="CX3" i="49"/>
  <c r="ED8" i="30" s="1"/>
  <c r="EA5" i="30"/>
  <c r="CK5" i="30"/>
  <c r="CZ6" i="30"/>
  <c r="DB6" i="30"/>
  <c r="DH6" i="30"/>
  <c r="DI6" i="30"/>
  <c r="DL6" i="30"/>
  <c r="DN6" i="30"/>
  <c r="DO6" i="30"/>
  <c r="DP6" i="30"/>
  <c r="DQ6" i="30"/>
  <c r="DS6" i="30"/>
  <c r="DU6" i="30"/>
  <c r="DV6" i="30"/>
  <c r="DX6" i="30"/>
  <c r="DZ6" i="30"/>
  <c r="CJ6" i="30"/>
  <c r="CH6" i="30"/>
  <c r="EA6" i="30"/>
  <c r="EB6" i="30"/>
  <c r="EC6" i="30"/>
  <c r="CK3" i="30" l="1"/>
  <c r="B2" i="89" l="1"/>
  <c r="B1" i="89"/>
  <c r="E1" i="89" l="1" a="1"/>
  <c r="E1" i="89" s="1"/>
  <c r="AH3" i="49" s="1"/>
  <c r="F47" i="48"/>
  <c r="F6" i="48" l="1"/>
  <c r="F7" i="48"/>
  <c r="F8" i="48"/>
  <c r="F9" i="48"/>
  <c r="F10" i="48"/>
  <c r="F11" i="48"/>
  <c r="F12" i="48"/>
  <c r="F13" i="48"/>
  <c r="F14" i="48"/>
  <c r="F15" i="48"/>
  <c r="F16" i="48"/>
  <c r="F17" i="48"/>
  <c r="F18" i="48"/>
  <c r="F19" i="48"/>
  <c r="F20" i="48"/>
  <c r="F21" i="48"/>
  <c r="F22" i="48"/>
  <c r="F23" i="48"/>
  <c r="F24" i="48"/>
  <c r="F25" i="48"/>
  <c r="F26" i="48"/>
  <c r="F27" i="48"/>
  <c r="F28" i="48"/>
  <c r="F29" i="48"/>
  <c r="F30" i="48"/>
  <c r="F31" i="48"/>
  <c r="F32" i="48"/>
  <c r="F33" i="48"/>
  <c r="F34" i="48"/>
  <c r="F35" i="48"/>
  <c r="F36" i="48"/>
  <c r="F37" i="48"/>
  <c r="F39" i="48"/>
  <c r="F40" i="48"/>
  <c r="F41" i="48"/>
  <c r="F44" i="48"/>
  <c r="F46" i="48"/>
  <c r="F48" i="48"/>
  <c r="F49" i="48"/>
  <c r="F50" i="48"/>
  <c r="F51" i="48"/>
  <c r="F52" i="48"/>
  <c r="F53" i="48"/>
  <c r="F54" i="48"/>
  <c r="F56" i="48"/>
  <c r="F59" i="48"/>
  <c r="F60" i="48"/>
  <c r="F61" i="48"/>
  <c r="F62" i="48"/>
  <c r="F63" i="48"/>
  <c r="F64" i="48"/>
  <c r="F65" i="48"/>
  <c r="F66" i="48"/>
  <c r="F67" i="48"/>
  <c r="F68" i="48"/>
  <c r="F69" i="48"/>
  <c r="F70" i="48"/>
  <c r="F71" i="48"/>
  <c r="F72" i="48"/>
  <c r="F73" i="48"/>
  <c r="F74" i="48"/>
  <c r="F75" i="48"/>
  <c r="F76" i="48"/>
  <c r="F77" i="48"/>
  <c r="F78" i="48"/>
  <c r="F79" i="48"/>
  <c r="F80" i="48"/>
  <c r="F81" i="48"/>
  <c r="F82" i="48"/>
  <c r="F83" i="48"/>
  <c r="F84" i="48"/>
  <c r="F85" i="48"/>
  <c r="F86" i="48"/>
  <c r="F87" i="48"/>
  <c r="F88" i="48"/>
  <c r="F89" i="48"/>
  <c r="F90" i="48"/>
  <c r="F91" i="48"/>
  <c r="F92" i="48"/>
  <c r="F93" i="48"/>
  <c r="F94" i="48"/>
  <c r="F95" i="48"/>
  <c r="F96" i="48"/>
  <c r="F97" i="48"/>
  <c r="F98" i="48"/>
  <c r="F99" i="48"/>
  <c r="F100" i="48"/>
  <c r="F101" i="48"/>
  <c r="F102" i="48"/>
  <c r="F103" i="48"/>
  <c r="F104" i="48"/>
  <c r="F105" i="48"/>
  <c r="F106" i="48"/>
  <c r="F107" i="48"/>
  <c r="F5" i="48"/>
  <c r="B15" i="48" l="1"/>
  <c r="P3" i="88"/>
  <c r="P2" i="88"/>
  <c r="P4" i="88" l="1" a="1"/>
  <c r="P4" i="88" s="1"/>
  <c r="J52" i="48" s="1"/>
  <c r="AQ3" i="49" l="1"/>
  <c r="P3" i="83" l="1"/>
  <c r="B8" i="48" l="1"/>
  <c r="D152" i="11" l="1"/>
  <c r="D153" i="11" s="1"/>
  <c r="D154" i="11" s="1"/>
  <c r="D155" i="11" s="1"/>
  <c r="D156" i="11" s="1"/>
  <c r="D157" i="11" s="1"/>
  <c r="D158" i="11" s="1"/>
  <c r="D159" i="11" s="1"/>
  <c r="D160" i="11" s="1"/>
  <c r="D161" i="11" s="1"/>
  <c r="D162" i="11" s="1"/>
  <c r="D163" i="11" s="1"/>
  <c r="C153" i="11"/>
  <c r="C154" i="11" s="1"/>
  <c r="C155" i="11" s="1"/>
  <c r="C156" i="11" s="1"/>
  <c r="C157" i="11" s="1"/>
  <c r="C158" i="11" s="1"/>
  <c r="C159" i="11" s="1"/>
  <c r="C160" i="11" s="1"/>
  <c r="C161" i="11" s="1"/>
  <c r="C162" i="11" s="1"/>
  <c r="C163" i="11" s="1"/>
  <c r="C152" i="11"/>
  <c r="DZ2" i="49" l="1"/>
  <c r="CI7" i="30" s="1"/>
  <c r="CI6" i="30" s="1"/>
  <c r="DY2" i="49"/>
  <c r="DV2" i="49"/>
  <c r="DU2" i="49"/>
  <c r="DR2" i="49"/>
  <c r="DQ2" i="49"/>
  <c r="DL2" i="49"/>
  <c r="DK2" i="49"/>
  <c r="DI2" i="49"/>
  <c r="DR7" i="30" s="1"/>
  <c r="DR6" i="30" s="1"/>
  <c r="DH2" i="49"/>
  <c r="DG3" i="49"/>
  <c r="DF3" i="49"/>
  <c r="DE2" i="49"/>
  <c r="DD7" i="30" s="1"/>
  <c r="DD6" i="30" s="1"/>
  <c r="CY2" i="49"/>
  <c r="CQ7" i="30" s="1"/>
  <c r="CQ6" i="30" s="1"/>
  <c r="CT2" i="49"/>
  <c r="CR2" i="49"/>
  <c r="CQ2" i="49"/>
  <c r="CO2" i="49"/>
  <c r="CM3" i="49"/>
  <c r="CM2" i="49"/>
  <c r="C1" i="77"/>
  <c r="BS2" i="49"/>
  <c r="BN2" i="49"/>
  <c r="BM2" i="49"/>
  <c r="BD2" i="49"/>
  <c r="AV2" i="49"/>
  <c r="AT2" i="49"/>
  <c r="AL2" i="49"/>
  <c r="CN6" i="30" l="1"/>
  <c r="CN8" i="30"/>
  <c r="B4" i="85"/>
  <c r="B5" i="85"/>
  <c r="D3" i="85"/>
  <c r="B3" i="85"/>
  <c r="D2" i="85"/>
  <c r="B2" i="85"/>
  <c r="D1" i="85"/>
  <c r="B1" i="85"/>
  <c r="J35" i="85"/>
  <c r="J33" i="85"/>
  <c r="P36" i="48"/>
  <c r="P34" i="48"/>
  <c r="P2" i="83"/>
  <c r="P4" i="83" l="1" a="1"/>
  <c r="P4" i="83" s="1"/>
  <c r="J90" i="48" s="1"/>
  <c r="K216" i="83"/>
  <c r="L207" i="83"/>
  <c r="K207" i="83" s="1"/>
  <c r="M207" i="83"/>
  <c r="L216" i="83"/>
  <c r="M216" i="83"/>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101" i="49"/>
  <c r="S102" i="49"/>
  <c r="S103" i="49"/>
  <c r="S104" i="49"/>
  <c r="S105" i="49"/>
  <c r="S106" i="49"/>
  <c r="S107" i="49"/>
  <c r="S108" i="49"/>
  <c r="S109" i="49"/>
  <c r="S110" i="49"/>
  <c r="S111" i="49"/>
  <c r="S112" i="49"/>
  <c r="S113" i="49"/>
  <c r="S114" i="49"/>
  <c r="S115" i="49"/>
  <c r="S116" i="49"/>
  <c r="S117" i="49"/>
  <c r="S118" i="49"/>
  <c r="S119" i="49"/>
  <c r="S120" i="49"/>
  <c r="S121" i="49"/>
  <c r="S122" i="49"/>
  <c r="S123" i="49"/>
  <c r="S124" i="49"/>
  <c r="S125" i="49"/>
  <c r="S126" i="49"/>
  <c r="S127" i="49"/>
  <c r="S128" i="49"/>
  <c r="S129" i="49"/>
  <c r="S130" i="49"/>
  <c r="S131" i="49"/>
  <c r="S132" i="49"/>
  <c r="S133" i="49"/>
  <c r="S134" i="49"/>
  <c r="S135" i="49"/>
  <c r="S136" i="49"/>
  <c r="S137" i="49"/>
  <c r="S138" i="49"/>
  <c r="S139" i="49"/>
  <c r="S140" i="49"/>
  <c r="S141" i="49"/>
  <c r="S142" i="49"/>
  <c r="S143" i="49"/>
  <c r="S144" i="49"/>
  <c r="S145" i="49"/>
  <c r="S146" i="49"/>
  <c r="S147" i="49"/>
  <c r="S148" i="49"/>
  <c r="S149" i="49"/>
  <c r="S150" i="49"/>
  <c r="S151" i="49"/>
  <c r="S152" i="49"/>
  <c r="S153" i="49"/>
  <c r="S154" i="49"/>
  <c r="S155" i="49"/>
  <c r="S156" i="49"/>
  <c r="S157" i="49"/>
  <c r="S158" i="49"/>
  <c r="S159" i="49"/>
  <c r="S160" i="49"/>
  <c r="S161" i="49"/>
  <c r="S162" i="49"/>
  <c r="S163" i="49"/>
  <c r="S164" i="49"/>
  <c r="S165" i="49"/>
  <c r="S166" i="49"/>
  <c r="S167" i="49"/>
  <c r="S168" i="49"/>
  <c r="S169" i="49"/>
  <c r="S170" i="49"/>
  <c r="S171" i="49"/>
  <c r="S172" i="49"/>
  <c r="S173" i="49"/>
  <c r="S174" i="49"/>
  <c r="S175" i="49"/>
  <c r="S176" i="49"/>
  <c r="S177" i="49"/>
  <c r="S178" i="49"/>
  <c r="S179" i="49"/>
  <c r="S180" i="49"/>
  <c r="S181" i="49"/>
  <c r="S182" i="49"/>
  <c r="S183" i="49"/>
  <c r="S184" i="49"/>
  <c r="S185" i="49"/>
  <c r="S186" i="49"/>
  <c r="S187" i="49"/>
  <c r="S188" i="49"/>
  <c r="S189" i="49"/>
  <c r="S190" i="49"/>
  <c r="S191" i="49"/>
  <c r="S192" i="49"/>
  <c r="S193" i="49"/>
  <c r="S194" i="49"/>
  <c r="S195" i="49"/>
  <c r="S196" i="49"/>
  <c r="S197" i="49"/>
  <c r="S198" i="49"/>
  <c r="S199" i="49"/>
  <c r="S200" i="49"/>
  <c r="S201" i="49"/>
  <c r="S202" i="49"/>
  <c r="S203" i="49"/>
  <c r="S204" i="49"/>
  <c r="S205" i="49"/>
  <c r="S206" i="49"/>
  <c r="S207" i="49"/>
  <c r="S208" i="49"/>
  <c r="S209" i="49"/>
  <c r="S210" i="49"/>
  <c r="S211" i="49"/>
  <c r="S212" i="49"/>
  <c r="S213" i="49"/>
  <c r="S214" i="49"/>
  <c r="S215" i="49"/>
  <c r="S216" i="49"/>
  <c r="S217" i="49"/>
  <c r="S218" i="49"/>
  <c r="S219" i="49"/>
  <c r="S220" i="49"/>
  <c r="S221" i="49"/>
  <c r="S222" i="49"/>
  <c r="S223" i="49"/>
  <c r="S224" i="49"/>
  <c r="S225" i="49"/>
  <c r="S226" i="49"/>
  <c r="S227" i="49"/>
  <c r="S228" i="49"/>
  <c r="S229" i="49"/>
  <c r="S230" i="49"/>
  <c r="S231" i="49"/>
  <c r="S232" i="49"/>
  <c r="S233" i="49"/>
  <c r="S234" i="49"/>
  <c r="S7" i="49"/>
  <c r="BT3" i="49" l="1"/>
  <c r="CK8" i="30"/>
  <c r="T225" i="63"/>
  <c r="T226" i="63"/>
  <c r="T227" i="63"/>
  <c r="T228" i="63"/>
  <c r="T229" i="63"/>
  <c r="T230" i="63"/>
  <c r="T231" i="63"/>
  <c r="T232" i="63"/>
  <c r="T224" i="63"/>
  <c r="T214" i="63"/>
  <c r="T215" i="63"/>
  <c r="T216" i="63"/>
  <c r="T217" i="63"/>
  <c r="T218" i="63"/>
  <c r="T219" i="63"/>
  <c r="T220" i="63"/>
  <c r="T221" i="63"/>
  <c r="T222" i="63"/>
  <c r="T223" i="63"/>
  <c r="T213" i="63"/>
  <c r="T212" i="63"/>
  <c r="T202" i="63"/>
  <c r="T203" i="63"/>
  <c r="T204" i="63"/>
  <c r="T205" i="63"/>
  <c r="T206" i="63"/>
  <c r="T207" i="63"/>
  <c r="T208" i="63"/>
  <c r="T209" i="63"/>
  <c r="T210" i="63"/>
  <c r="T211" i="63"/>
  <c r="T201" i="63"/>
  <c r="T200" i="63"/>
  <c r="T192" i="63"/>
  <c r="T193" i="63"/>
  <c r="T194" i="63"/>
  <c r="T195" i="63"/>
  <c r="T196" i="63"/>
  <c r="T197" i="63"/>
  <c r="T198" i="63"/>
  <c r="T199" i="63"/>
  <c r="T189" i="63"/>
  <c r="T190" i="63"/>
  <c r="T191" i="63"/>
  <c r="T188" i="63"/>
  <c r="T163" i="63"/>
  <c r="T164" i="63"/>
  <c r="T165" i="63"/>
  <c r="T166" i="63"/>
  <c r="T167" i="63"/>
  <c r="T168" i="63"/>
  <c r="T169" i="63"/>
  <c r="T170" i="63"/>
  <c r="T171" i="63"/>
  <c r="T172" i="63"/>
  <c r="T173" i="63"/>
  <c r="T174" i="63"/>
  <c r="T175" i="63"/>
  <c r="T176" i="63"/>
  <c r="T177" i="63"/>
  <c r="T178" i="63"/>
  <c r="T179" i="63"/>
  <c r="T180" i="63"/>
  <c r="T181" i="63"/>
  <c r="T182" i="63"/>
  <c r="T183" i="63"/>
  <c r="T184" i="63"/>
  <c r="T185" i="63"/>
  <c r="T186" i="63"/>
  <c r="T187" i="63"/>
  <c r="T160" i="63"/>
  <c r="T161" i="63"/>
  <c r="T162" i="63"/>
  <c r="T127" i="63"/>
  <c r="T128" i="63"/>
  <c r="T129" i="63"/>
  <c r="T130" i="63"/>
  <c r="T131" i="63"/>
  <c r="T132" i="63"/>
  <c r="T133" i="63"/>
  <c r="T134" i="63"/>
  <c r="T135" i="63"/>
  <c r="T136" i="63"/>
  <c r="T137" i="63"/>
  <c r="T138" i="63"/>
  <c r="T139" i="63"/>
  <c r="T140" i="63"/>
  <c r="T141" i="63"/>
  <c r="T142" i="63"/>
  <c r="T143" i="63"/>
  <c r="T144" i="63"/>
  <c r="T145" i="63"/>
  <c r="T146" i="63"/>
  <c r="T147" i="63"/>
  <c r="T148" i="63"/>
  <c r="T149" i="63"/>
  <c r="T150" i="63"/>
  <c r="T151" i="63"/>
  <c r="T152" i="63"/>
  <c r="T153" i="63"/>
  <c r="T154" i="63"/>
  <c r="T155" i="63"/>
  <c r="T156" i="63"/>
  <c r="T157" i="63"/>
  <c r="T158" i="63"/>
  <c r="T159" i="63"/>
  <c r="T125" i="63"/>
  <c r="T126" i="63"/>
  <c r="T124" i="63"/>
  <c r="T115" i="63"/>
  <c r="T116" i="63"/>
  <c r="T117" i="63"/>
  <c r="T118" i="63"/>
  <c r="T119" i="63"/>
  <c r="T120" i="63"/>
  <c r="T121" i="63"/>
  <c r="T122" i="63"/>
  <c r="T123" i="63"/>
  <c r="T114" i="63"/>
  <c r="T113" i="63"/>
  <c r="T108" i="63"/>
  <c r="T109" i="63"/>
  <c r="T110" i="63"/>
  <c r="T111" i="63"/>
  <c r="T112" i="63"/>
  <c r="T107" i="63"/>
  <c r="T103" i="63"/>
  <c r="T104" i="63"/>
  <c r="T105" i="63"/>
  <c r="T106" i="63"/>
  <c r="T101" i="63"/>
  <c r="T102" i="63"/>
  <c r="T93" i="63"/>
  <c r="T94" i="63"/>
  <c r="T95" i="63"/>
  <c r="T96" i="63"/>
  <c r="T97" i="63"/>
  <c r="T98" i="63"/>
  <c r="T99" i="63"/>
  <c r="T100" i="63"/>
  <c r="T92" i="63"/>
  <c r="T91" i="63"/>
  <c r="T62" i="63"/>
  <c r="T63" i="63"/>
  <c r="T64" i="63"/>
  <c r="T65" i="63"/>
  <c r="T66" i="63"/>
  <c r="T67" i="63"/>
  <c r="T68" i="63"/>
  <c r="T69" i="63"/>
  <c r="T70" i="63"/>
  <c r="T71" i="63"/>
  <c r="T72" i="63"/>
  <c r="T73" i="63"/>
  <c r="T74" i="63"/>
  <c r="T75" i="63"/>
  <c r="T76" i="63"/>
  <c r="T77" i="63"/>
  <c r="T78" i="63"/>
  <c r="T80" i="63"/>
  <c r="T81" i="63"/>
  <c r="T82" i="63"/>
  <c r="T83" i="63"/>
  <c r="T84" i="63"/>
  <c r="T85" i="63"/>
  <c r="T86" i="63"/>
  <c r="T87" i="63"/>
  <c r="T88" i="63"/>
  <c r="T89" i="63"/>
  <c r="T90" i="63"/>
  <c r="T61" i="63"/>
  <c r="T59" i="63"/>
  <c r="T60" i="63"/>
  <c r="T47" i="63"/>
  <c r="T48" i="63"/>
  <c r="T49" i="63"/>
  <c r="T50" i="63"/>
  <c r="T51" i="63"/>
  <c r="T52" i="63"/>
  <c r="T53" i="63"/>
  <c r="T54" i="63"/>
  <c r="T55" i="63"/>
  <c r="T56" i="63"/>
  <c r="T57" i="63"/>
  <c r="T58" i="63"/>
  <c r="T46" i="63"/>
  <c r="T8" i="63"/>
  <c r="T9" i="63"/>
  <c r="T10" i="63"/>
  <c r="T11" i="63"/>
  <c r="T12" i="63"/>
  <c r="T13" i="63"/>
  <c r="T14" i="63"/>
  <c r="T15" i="63"/>
  <c r="T16" i="63"/>
  <c r="T17" i="63"/>
  <c r="T18" i="63"/>
  <c r="T19" i="63"/>
  <c r="T20" i="63"/>
  <c r="T21" i="63"/>
  <c r="T22" i="63"/>
  <c r="T23" i="63"/>
  <c r="T24" i="63"/>
  <c r="T25" i="63"/>
  <c r="T26" i="63"/>
  <c r="T27" i="63"/>
  <c r="T28" i="63"/>
  <c r="T29" i="63"/>
  <c r="T30" i="63"/>
  <c r="T31" i="63"/>
  <c r="T32" i="63"/>
  <c r="T33" i="63"/>
  <c r="T34" i="63"/>
  <c r="T35" i="63"/>
  <c r="T36" i="63"/>
  <c r="T37" i="63"/>
  <c r="T38" i="63"/>
  <c r="T39" i="63"/>
  <c r="T40" i="63"/>
  <c r="T41" i="63"/>
  <c r="T42" i="63"/>
  <c r="T43" i="63"/>
  <c r="T44" i="63"/>
  <c r="T45" i="63"/>
  <c r="T7" i="63"/>
  <c r="T6" i="63"/>
  <c r="T5" i="63"/>
  <c r="T4" i="63"/>
  <c r="BY6" i="30" l="1"/>
  <c r="BU8" i="49"/>
  <c r="BU9" i="49"/>
  <c r="BU10" i="49"/>
  <c r="BU11" i="49"/>
  <c r="BU12" i="49"/>
  <c r="BU13" i="49"/>
  <c r="BU14" i="49"/>
  <c r="BU15" i="49"/>
  <c r="BU16" i="49"/>
  <c r="BU17" i="49"/>
  <c r="BU18" i="49"/>
  <c r="BU19" i="49"/>
  <c r="BU20" i="49"/>
  <c r="BU21" i="49"/>
  <c r="BU22" i="49"/>
  <c r="BU23" i="49"/>
  <c r="BU24" i="49"/>
  <c r="BU25" i="49"/>
  <c r="BU26" i="49"/>
  <c r="BU27" i="49"/>
  <c r="BU28" i="49"/>
  <c r="BU29" i="49"/>
  <c r="BU30" i="49"/>
  <c r="BU31" i="49"/>
  <c r="BU32" i="49"/>
  <c r="BU33" i="49"/>
  <c r="BU34" i="49"/>
  <c r="BU35" i="49"/>
  <c r="BU36" i="49"/>
  <c r="BU37" i="49"/>
  <c r="BU38" i="49"/>
  <c r="BU39" i="49"/>
  <c r="BU40" i="49"/>
  <c r="BU41" i="49"/>
  <c r="BU42" i="49"/>
  <c r="BU43" i="49"/>
  <c r="BU44" i="49"/>
  <c r="BU45" i="49"/>
  <c r="BU46" i="49"/>
  <c r="BU47" i="49"/>
  <c r="BU48" i="49"/>
  <c r="BU49" i="49"/>
  <c r="BU50" i="49"/>
  <c r="BU51" i="49"/>
  <c r="BU52" i="49"/>
  <c r="BU53" i="49"/>
  <c r="BU54" i="49"/>
  <c r="BU55" i="49"/>
  <c r="BU56" i="49"/>
  <c r="BU57" i="49"/>
  <c r="BU58" i="49"/>
  <c r="BU59" i="49"/>
  <c r="BU60" i="49"/>
  <c r="BU61" i="49"/>
  <c r="BU62" i="49"/>
  <c r="BU63" i="49"/>
  <c r="BU64" i="49"/>
  <c r="BU65" i="49"/>
  <c r="BU66" i="49"/>
  <c r="BU67" i="49"/>
  <c r="BU68" i="49"/>
  <c r="BU69" i="49"/>
  <c r="BU70" i="49"/>
  <c r="BU71" i="49"/>
  <c r="BU72" i="49"/>
  <c r="BU73" i="49"/>
  <c r="BU74" i="49"/>
  <c r="BU75" i="49"/>
  <c r="BU76" i="49"/>
  <c r="BU77" i="49"/>
  <c r="BU78" i="49"/>
  <c r="BU79" i="49"/>
  <c r="BU80" i="49"/>
  <c r="BU81" i="49"/>
  <c r="BU82" i="49"/>
  <c r="BU83" i="49"/>
  <c r="BU84" i="49"/>
  <c r="BU85" i="49"/>
  <c r="BU86" i="49"/>
  <c r="BU87" i="49"/>
  <c r="BU88" i="49"/>
  <c r="BU89" i="49"/>
  <c r="BU90" i="49"/>
  <c r="BU91" i="49"/>
  <c r="BU92" i="49"/>
  <c r="BU93" i="49"/>
  <c r="BU94" i="49"/>
  <c r="BU95" i="49"/>
  <c r="BU96" i="49"/>
  <c r="BU97" i="49"/>
  <c r="BU98" i="49"/>
  <c r="BU99" i="49"/>
  <c r="BU100" i="49"/>
  <c r="BU101" i="49"/>
  <c r="BU102" i="49"/>
  <c r="BU103" i="49"/>
  <c r="BU104" i="49"/>
  <c r="BU105" i="49"/>
  <c r="BU106" i="49"/>
  <c r="BU107" i="49"/>
  <c r="BU108" i="49"/>
  <c r="BU109" i="49"/>
  <c r="BU110" i="49"/>
  <c r="BU111" i="49"/>
  <c r="BU112" i="49"/>
  <c r="BU113" i="49"/>
  <c r="BU114" i="49"/>
  <c r="BU115" i="49"/>
  <c r="BU116" i="49"/>
  <c r="BU117" i="49"/>
  <c r="BU118" i="49"/>
  <c r="BU119" i="49"/>
  <c r="BU120" i="49"/>
  <c r="BU121" i="49"/>
  <c r="BU122" i="49"/>
  <c r="BU123" i="49"/>
  <c r="BU124" i="49"/>
  <c r="BU125" i="49"/>
  <c r="BU126" i="49"/>
  <c r="BU127" i="49"/>
  <c r="BU128" i="49"/>
  <c r="BU129" i="49"/>
  <c r="BU130" i="49"/>
  <c r="BU131" i="49"/>
  <c r="BU132" i="49"/>
  <c r="BU133" i="49"/>
  <c r="BU134" i="49"/>
  <c r="BU135" i="49"/>
  <c r="BU136" i="49"/>
  <c r="BU137" i="49"/>
  <c r="BU138" i="49"/>
  <c r="BU139" i="49"/>
  <c r="BU140" i="49"/>
  <c r="BU141" i="49"/>
  <c r="BU142" i="49"/>
  <c r="BU143" i="49"/>
  <c r="BU144" i="49"/>
  <c r="BU145" i="49"/>
  <c r="BU146" i="49"/>
  <c r="BU147" i="49"/>
  <c r="BU148" i="49"/>
  <c r="BU149" i="49"/>
  <c r="BU150" i="49"/>
  <c r="BU151" i="49"/>
  <c r="BU152" i="49"/>
  <c r="BU153" i="49"/>
  <c r="BU154" i="49"/>
  <c r="BU155" i="49"/>
  <c r="BU156" i="49"/>
  <c r="BU157" i="49"/>
  <c r="BU158" i="49"/>
  <c r="BU159" i="49"/>
  <c r="BU160" i="49"/>
  <c r="BU161" i="49"/>
  <c r="BU162" i="49"/>
  <c r="BU163" i="49"/>
  <c r="BU164" i="49"/>
  <c r="BU165" i="49"/>
  <c r="BU166" i="49"/>
  <c r="BU167" i="49"/>
  <c r="BU168" i="49"/>
  <c r="BU169" i="49"/>
  <c r="BU170" i="49"/>
  <c r="BU171" i="49"/>
  <c r="BU172" i="49"/>
  <c r="BU173" i="49"/>
  <c r="BU174" i="49"/>
  <c r="BU175" i="49"/>
  <c r="BU176" i="49"/>
  <c r="BU177" i="49"/>
  <c r="BU178" i="49"/>
  <c r="BU179" i="49"/>
  <c r="BU180" i="49"/>
  <c r="BU181" i="49"/>
  <c r="BU182" i="49"/>
  <c r="BU183" i="49"/>
  <c r="BU184" i="49"/>
  <c r="BU185" i="49"/>
  <c r="BU186" i="49"/>
  <c r="BU187" i="49"/>
  <c r="BU188" i="49"/>
  <c r="BU189" i="49"/>
  <c r="BU190" i="49"/>
  <c r="BU191" i="49"/>
  <c r="BU192" i="49"/>
  <c r="BU193" i="49"/>
  <c r="BU194" i="49"/>
  <c r="BU195" i="49"/>
  <c r="BU196" i="49"/>
  <c r="BU197" i="49"/>
  <c r="BU198" i="49"/>
  <c r="BU199" i="49"/>
  <c r="BU200" i="49"/>
  <c r="BU201" i="49"/>
  <c r="BU202" i="49"/>
  <c r="BU203" i="49"/>
  <c r="BU204" i="49"/>
  <c r="BU205" i="49"/>
  <c r="BU206" i="49"/>
  <c r="BU207" i="49"/>
  <c r="BU208" i="49"/>
  <c r="BU209" i="49"/>
  <c r="BU210" i="49"/>
  <c r="BU211" i="49"/>
  <c r="BU212" i="49"/>
  <c r="BU213" i="49"/>
  <c r="BU214" i="49"/>
  <c r="BU215" i="49"/>
  <c r="BU216" i="49"/>
  <c r="BU217" i="49"/>
  <c r="BU218" i="49"/>
  <c r="BU219" i="49"/>
  <c r="BU220" i="49"/>
  <c r="BU221" i="49"/>
  <c r="BU222" i="49"/>
  <c r="BU223" i="49"/>
  <c r="BU224" i="49"/>
  <c r="BU225" i="49"/>
  <c r="BU226" i="49"/>
  <c r="BU227" i="49"/>
  <c r="BU228" i="49"/>
  <c r="BU229" i="49"/>
  <c r="BU230" i="49"/>
  <c r="BU231" i="49"/>
  <c r="BU232" i="49"/>
  <c r="BU233" i="49"/>
  <c r="BU234" i="49"/>
  <c r="BU7" i="49"/>
  <c r="BL6" i="30"/>
  <c r="D4" i="85" l="1"/>
  <c r="BZ6" i="30"/>
  <c r="BG6" i="30"/>
  <c r="AR8" i="49"/>
  <c r="AR9" i="49"/>
  <c r="AR10" i="49"/>
  <c r="AR11" i="49"/>
  <c r="AR12" i="49"/>
  <c r="AR13" i="49"/>
  <c r="AR14" i="49"/>
  <c r="AR15" i="49"/>
  <c r="AR16" i="49"/>
  <c r="AR17" i="49"/>
  <c r="AR18" i="49"/>
  <c r="AR19" i="49"/>
  <c r="AR20" i="49"/>
  <c r="AR21" i="49"/>
  <c r="AR22" i="49"/>
  <c r="AR23" i="49"/>
  <c r="AR24" i="49"/>
  <c r="AR25" i="49"/>
  <c r="AR26" i="49"/>
  <c r="AR27" i="49"/>
  <c r="AR28" i="49"/>
  <c r="AR29" i="49"/>
  <c r="AR30" i="49"/>
  <c r="AR31" i="49"/>
  <c r="AR32" i="49"/>
  <c r="AR33" i="49"/>
  <c r="AR34" i="49"/>
  <c r="AR35" i="49"/>
  <c r="AR36" i="49"/>
  <c r="AR37" i="49"/>
  <c r="AR38" i="49"/>
  <c r="AR39" i="49"/>
  <c r="AR40" i="49"/>
  <c r="AR41" i="49"/>
  <c r="AR42" i="49"/>
  <c r="AR43" i="49"/>
  <c r="AR44" i="49"/>
  <c r="AR45" i="49"/>
  <c r="AR46" i="49"/>
  <c r="AR47" i="49"/>
  <c r="AR48" i="49"/>
  <c r="AR49" i="49"/>
  <c r="AR50" i="49"/>
  <c r="AR51" i="49"/>
  <c r="AR52" i="49"/>
  <c r="AR53" i="49"/>
  <c r="AR54" i="49"/>
  <c r="AR55" i="49"/>
  <c r="AR56" i="49"/>
  <c r="AR57" i="49"/>
  <c r="AR58" i="49"/>
  <c r="AR59" i="49"/>
  <c r="AR60" i="49"/>
  <c r="AR61" i="49"/>
  <c r="AR62" i="49"/>
  <c r="AR63" i="49"/>
  <c r="AR64" i="49"/>
  <c r="AR65" i="49"/>
  <c r="AR66" i="49"/>
  <c r="AR67" i="49"/>
  <c r="AR68" i="49"/>
  <c r="AR69" i="49"/>
  <c r="AR70" i="49"/>
  <c r="AR71" i="49"/>
  <c r="AR72" i="49"/>
  <c r="AR73" i="49"/>
  <c r="AR74" i="49"/>
  <c r="AR75" i="49"/>
  <c r="AR76" i="49"/>
  <c r="AR77" i="49"/>
  <c r="AR78" i="49"/>
  <c r="AR79" i="49"/>
  <c r="AR80" i="49"/>
  <c r="AR81" i="49"/>
  <c r="AR82" i="49"/>
  <c r="AR83" i="49"/>
  <c r="AR84" i="49"/>
  <c r="AR85" i="49"/>
  <c r="AR86" i="49"/>
  <c r="AR87" i="49"/>
  <c r="AR88" i="49"/>
  <c r="AR89" i="49"/>
  <c r="AR90" i="49"/>
  <c r="AR91" i="49"/>
  <c r="AR92" i="49"/>
  <c r="AR93" i="49"/>
  <c r="AR94" i="49"/>
  <c r="AR95" i="49"/>
  <c r="AR96" i="49"/>
  <c r="AR97" i="49"/>
  <c r="AR98" i="49"/>
  <c r="AR99" i="49"/>
  <c r="AR100" i="49"/>
  <c r="AR101" i="49"/>
  <c r="AR102" i="49"/>
  <c r="AR103" i="49"/>
  <c r="AR104" i="49"/>
  <c r="AR105" i="49"/>
  <c r="AR106" i="49"/>
  <c r="AR107" i="49"/>
  <c r="AR108" i="49"/>
  <c r="AR109" i="49"/>
  <c r="AR110" i="49"/>
  <c r="AR111" i="49"/>
  <c r="AR112" i="49"/>
  <c r="AR113" i="49"/>
  <c r="AR114" i="49"/>
  <c r="AR115" i="49"/>
  <c r="AR116" i="49"/>
  <c r="AR117" i="49"/>
  <c r="AR118" i="49"/>
  <c r="AR119" i="49"/>
  <c r="AR120" i="49"/>
  <c r="AR121" i="49"/>
  <c r="AR122" i="49"/>
  <c r="AR123" i="49"/>
  <c r="AR124" i="49"/>
  <c r="AR125" i="49"/>
  <c r="AR126" i="49"/>
  <c r="AR127" i="49"/>
  <c r="AR128" i="49"/>
  <c r="AR129" i="49"/>
  <c r="AR130" i="49"/>
  <c r="AR131" i="49"/>
  <c r="AR132" i="49"/>
  <c r="AR133" i="49"/>
  <c r="AR134" i="49"/>
  <c r="AR135" i="49"/>
  <c r="AR136" i="49"/>
  <c r="AR137" i="49"/>
  <c r="AR138" i="49"/>
  <c r="AR139" i="49"/>
  <c r="AR140" i="49"/>
  <c r="AR141" i="49"/>
  <c r="AR142" i="49"/>
  <c r="AR143" i="49"/>
  <c r="AR144" i="49"/>
  <c r="AR145" i="49"/>
  <c r="AR146" i="49"/>
  <c r="AR147" i="49"/>
  <c r="AR148" i="49"/>
  <c r="AR149" i="49"/>
  <c r="AR150" i="49"/>
  <c r="AR151" i="49"/>
  <c r="AR152" i="49"/>
  <c r="AR153" i="49"/>
  <c r="AR154" i="49"/>
  <c r="AR155" i="49"/>
  <c r="AR156" i="49"/>
  <c r="AR157" i="49"/>
  <c r="AR158" i="49"/>
  <c r="AR159" i="49"/>
  <c r="AR160" i="49"/>
  <c r="AR161" i="49"/>
  <c r="AR162" i="49"/>
  <c r="AR163" i="49"/>
  <c r="AR164" i="49"/>
  <c r="AR165" i="49"/>
  <c r="AR166" i="49"/>
  <c r="AR167" i="49"/>
  <c r="AR168" i="49"/>
  <c r="AR169" i="49"/>
  <c r="AR170" i="49"/>
  <c r="AR171" i="49"/>
  <c r="AR172" i="49"/>
  <c r="AR173" i="49"/>
  <c r="AR174" i="49"/>
  <c r="AR175" i="49"/>
  <c r="AR176" i="49"/>
  <c r="AR177" i="49"/>
  <c r="AR178" i="49"/>
  <c r="AR179" i="49"/>
  <c r="AR180" i="49"/>
  <c r="AR181" i="49"/>
  <c r="AR182" i="49"/>
  <c r="AR183" i="49"/>
  <c r="AR184" i="49"/>
  <c r="AR185" i="49"/>
  <c r="AR186" i="49"/>
  <c r="AR187" i="49"/>
  <c r="AR188" i="49"/>
  <c r="AR189" i="49"/>
  <c r="AR190" i="49"/>
  <c r="AR191" i="49"/>
  <c r="AR192" i="49"/>
  <c r="AR193" i="49"/>
  <c r="AR194" i="49"/>
  <c r="AR195" i="49"/>
  <c r="AR196" i="49"/>
  <c r="AR197" i="49"/>
  <c r="AR198" i="49"/>
  <c r="AR199" i="49"/>
  <c r="AR200" i="49"/>
  <c r="AR201" i="49"/>
  <c r="AR202" i="49"/>
  <c r="AR203" i="49"/>
  <c r="AR204" i="49"/>
  <c r="AR205" i="49"/>
  <c r="AR206" i="49"/>
  <c r="AR207" i="49"/>
  <c r="AR208" i="49"/>
  <c r="AR209" i="49"/>
  <c r="AR210" i="49"/>
  <c r="AR211" i="49"/>
  <c r="AR212" i="49"/>
  <c r="AR213" i="49"/>
  <c r="AR214" i="49"/>
  <c r="AR215" i="49"/>
  <c r="AR216" i="49"/>
  <c r="AR217" i="49"/>
  <c r="AR218" i="49"/>
  <c r="AR219" i="49"/>
  <c r="AR220" i="49"/>
  <c r="AR221" i="49"/>
  <c r="AR222" i="49"/>
  <c r="AR223" i="49"/>
  <c r="AR224" i="49"/>
  <c r="AR225" i="49"/>
  <c r="AR226" i="49"/>
  <c r="AR227" i="49"/>
  <c r="AR228" i="49"/>
  <c r="AR229" i="49"/>
  <c r="AR230" i="49"/>
  <c r="AR231" i="49"/>
  <c r="AR232" i="49"/>
  <c r="AR233" i="49"/>
  <c r="AR234" i="49"/>
  <c r="AR7" i="49"/>
  <c r="E1" i="49"/>
  <c r="CD87" i="49" l="1"/>
  <c r="CD88" i="49"/>
  <c r="CD89" i="49"/>
  <c r="CD90" i="49"/>
  <c r="CD91" i="49"/>
  <c r="CD92" i="49"/>
  <c r="CD93" i="49"/>
  <c r="CD94" i="49"/>
  <c r="CD95" i="49"/>
  <c r="CD96" i="49"/>
  <c r="CD97" i="49"/>
  <c r="CD98" i="49"/>
  <c r="CD99" i="49"/>
  <c r="CD100" i="49"/>
  <c r="CD101" i="49"/>
  <c r="CD102" i="49"/>
  <c r="CD103" i="49"/>
  <c r="CD104" i="49"/>
  <c r="CD105" i="49"/>
  <c r="CD106" i="49"/>
  <c r="CD107" i="49"/>
  <c r="CD108" i="49"/>
  <c r="CD109" i="49"/>
  <c r="CD110" i="49"/>
  <c r="CD111" i="49"/>
  <c r="CD112" i="49"/>
  <c r="CD113" i="49"/>
  <c r="CD114" i="49"/>
  <c r="CD115" i="49"/>
  <c r="CD116" i="49"/>
  <c r="CD117" i="49"/>
  <c r="CD118" i="49"/>
  <c r="CD119" i="49"/>
  <c r="CD120" i="49"/>
  <c r="CD121" i="49"/>
  <c r="CD122" i="49"/>
  <c r="CD123" i="49"/>
  <c r="CD124" i="49"/>
  <c r="CD125" i="49"/>
  <c r="CD126" i="49"/>
  <c r="CD127" i="49"/>
  <c r="CD128" i="49"/>
  <c r="CD129" i="49"/>
  <c r="CD130" i="49"/>
  <c r="CD131" i="49"/>
  <c r="CD132" i="49"/>
  <c r="CD133" i="49"/>
  <c r="CD134" i="49"/>
  <c r="CD135" i="49"/>
  <c r="CD136" i="49"/>
  <c r="CD137" i="49"/>
  <c r="CD138" i="49"/>
  <c r="CD139" i="49"/>
  <c r="CD140" i="49"/>
  <c r="CD141" i="49"/>
  <c r="CD142" i="49"/>
  <c r="CD143" i="49"/>
  <c r="CD144" i="49"/>
  <c r="CD145" i="49"/>
  <c r="CD146" i="49"/>
  <c r="CD147" i="49"/>
  <c r="CD148" i="49"/>
  <c r="CD149" i="49"/>
  <c r="CD150" i="49"/>
  <c r="CD151" i="49"/>
  <c r="CD152" i="49"/>
  <c r="CD153" i="49"/>
  <c r="CD154" i="49"/>
  <c r="CD155" i="49"/>
  <c r="CD156" i="49"/>
  <c r="CD157" i="49"/>
  <c r="CD158" i="49"/>
  <c r="CD159" i="49"/>
  <c r="CD160" i="49"/>
  <c r="CD161" i="49"/>
  <c r="CD162" i="49"/>
  <c r="CD163" i="49"/>
  <c r="CD164" i="49"/>
  <c r="CD165" i="49"/>
  <c r="CD166" i="49"/>
  <c r="CD167" i="49"/>
  <c r="CD168" i="49"/>
  <c r="CD169" i="49"/>
  <c r="CD170" i="49"/>
  <c r="CD171" i="49"/>
  <c r="CD172" i="49"/>
  <c r="CD173" i="49"/>
  <c r="CD174" i="49"/>
  <c r="CD175" i="49"/>
  <c r="CD176" i="49"/>
  <c r="CD177" i="49"/>
  <c r="CD178" i="49"/>
  <c r="CD179" i="49"/>
  <c r="CD180" i="49"/>
  <c r="CD181" i="49"/>
  <c r="CD182" i="49"/>
  <c r="CD183" i="49"/>
  <c r="CD184" i="49"/>
  <c r="CD185" i="49"/>
  <c r="CD186" i="49"/>
  <c r="CD187" i="49"/>
  <c r="CD188" i="49"/>
  <c r="CD189" i="49"/>
  <c r="CD190" i="49"/>
  <c r="CD191" i="49"/>
  <c r="CD192" i="49"/>
  <c r="CD193" i="49"/>
  <c r="CD194" i="49"/>
  <c r="CD195" i="49"/>
  <c r="CD196" i="49"/>
  <c r="CD197" i="49"/>
  <c r="CD198" i="49"/>
  <c r="CD199" i="49"/>
  <c r="CD200" i="49"/>
  <c r="CD201" i="49"/>
  <c r="CD202" i="49"/>
  <c r="CD203" i="49"/>
  <c r="CD204" i="49"/>
  <c r="CD205" i="49"/>
  <c r="CD206" i="49"/>
  <c r="CD207" i="49"/>
  <c r="CD208" i="49"/>
  <c r="CD209" i="49"/>
  <c r="CD210" i="49"/>
  <c r="CD211" i="49"/>
  <c r="CD212" i="49"/>
  <c r="CD213" i="49"/>
  <c r="CD214" i="49"/>
  <c r="CD215" i="49"/>
  <c r="CD216" i="49"/>
  <c r="CD217" i="49"/>
  <c r="CD218" i="49"/>
  <c r="CD219" i="49"/>
  <c r="CD220" i="49"/>
  <c r="CD221" i="49"/>
  <c r="CD222" i="49"/>
  <c r="CD223" i="49"/>
  <c r="CD224" i="49"/>
  <c r="CD225" i="49"/>
  <c r="CD226" i="49"/>
  <c r="CD227" i="49"/>
  <c r="CD228" i="49"/>
  <c r="CD229" i="49"/>
  <c r="CD230" i="49"/>
  <c r="CD231" i="49"/>
  <c r="CD232" i="49"/>
  <c r="CD233" i="49"/>
  <c r="CD234" i="49"/>
  <c r="CD7" i="49"/>
  <c r="CD8" i="49"/>
  <c r="CD9" i="49"/>
  <c r="CD10" i="49"/>
  <c r="CD11" i="49"/>
  <c r="CD12" i="49"/>
  <c r="CD13" i="49"/>
  <c r="CD14" i="49"/>
  <c r="CD15" i="49"/>
  <c r="CD16" i="49"/>
  <c r="CD17" i="49"/>
  <c r="CD18" i="49"/>
  <c r="CD19" i="49"/>
  <c r="CD20" i="49"/>
  <c r="CD21" i="49"/>
  <c r="CD22" i="49"/>
  <c r="CD23" i="49"/>
  <c r="CD24" i="49"/>
  <c r="CD25" i="49"/>
  <c r="CD26" i="49"/>
  <c r="CD27" i="49"/>
  <c r="CD28" i="49"/>
  <c r="CD29" i="49"/>
  <c r="CD30" i="49"/>
  <c r="CD31" i="49"/>
  <c r="CD32" i="49"/>
  <c r="CD33" i="49"/>
  <c r="CD34" i="49"/>
  <c r="CD35" i="49"/>
  <c r="CD36" i="49"/>
  <c r="CD37" i="49"/>
  <c r="CD38" i="49"/>
  <c r="CD39" i="49"/>
  <c r="CD40" i="49"/>
  <c r="CD41" i="49"/>
  <c r="CD42" i="49"/>
  <c r="CD43" i="49"/>
  <c r="CD44" i="49"/>
  <c r="CD45" i="49"/>
  <c r="CD46" i="49"/>
  <c r="CD47" i="49"/>
  <c r="CD48" i="49"/>
  <c r="CD49" i="49"/>
  <c r="CD50" i="49"/>
  <c r="CD51" i="49"/>
  <c r="CD52" i="49"/>
  <c r="CD53" i="49"/>
  <c r="CD54" i="49"/>
  <c r="CD55" i="49"/>
  <c r="CD56" i="49"/>
  <c r="CD57" i="49"/>
  <c r="CD58" i="49"/>
  <c r="CD59" i="49"/>
  <c r="CD60" i="49"/>
  <c r="CD61" i="49"/>
  <c r="CD62" i="49"/>
  <c r="CD63" i="49"/>
  <c r="CD64" i="49"/>
  <c r="CD65" i="49"/>
  <c r="CD66" i="49"/>
  <c r="CD67" i="49"/>
  <c r="CD68" i="49"/>
  <c r="CD69" i="49"/>
  <c r="CD70" i="49"/>
  <c r="CD71" i="49"/>
  <c r="CD72" i="49"/>
  <c r="CD73" i="49"/>
  <c r="CD74" i="49"/>
  <c r="CD75" i="49"/>
  <c r="CD76" i="49"/>
  <c r="CD77" i="49"/>
  <c r="CD78" i="49"/>
  <c r="CD79" i="49"/>
  <c r="CD80" i="49"/>
  <c r="CD81" i="49"/>
  <c r="CD82" i="49"/>
  <c r="CD83" i="49"/>
  <c r="CD84" i="49"/>
  <c r="CD85" i="49"/>
  <c r="CD86" i="49"/>
  <c r="CD6" i="49"/>
  <c r="C2" i="53"/>
  <c r="B1" i="81"/>
  <c r="AK6" i="82"/>
  <c r="AK6" i="30"/>
  <c r="E5" i="81" a="1"/>
  <c r="E5" i="81" s="1"/>
  <c r="E4" i="81" a="1"/>
  <c r="E4" i="81" s="1"/>
  <c r="H4" i="81"/>
  <c r="D9" i="82"/>
  <c r="E9" i="82" s="1"/>
  <c r="B9" i="82"/>
  <c r="DJ8" i="82"/>
  <c r="DM6" i="82"/>
  <c r="DL6" i="82"/>
  <c r="DK6" i="82"/>
  <c r="DJ6" i="82"/>
  <c r="DI6" i="82"/>
  <c r="DH6" i="82"/>
  <c r="DF6" i="82"/>
  <c r="DD6" i="82"/>
  <c r="DC6" i="82"/>
  <c r="DA6" i="82"/>
  <c r="CZ6" i="82"/>
  <c r="CY6" i="82"/>
  <c r="CX6" i="82"/>
  <c r="CW6" i="82"/>
  <c r="CU6" i="82"/>
  <c r="CR6" i="82"/>
  <c r="CQ6" i="82"/>
  <c r="CP6" i="82"/>
  <c r="CO6" i="82"/>
  <c r="CM6" i="82"/>
  <c r="CL6" i="82"/>
  <c r="CK6" i="82"/>
  <c r="CJ6" i="82"/>
  <c r="CI6" i="82"/>
  <c r="CG6" i="82"/>
  <c r="CE6" i="82"/>
  <c r="BI6" i="82"/>
  <c r="BH6" i="82"/>
  <c r="AZ6" i="82"/>
  <c r="AW6" i="82"/>
  <c r="AR6" i="82"/>
  <c r="AP6" i="82"/>
  <c r="AO6" i="82"/>
  <c r="AL6" i="82"/>
  <c r="AJ6" i="82"/>
  <c r="AI6" i="82"/>
  <c r="AH6" i="82"/>
  <c r="AG6" i="82"/>
  <c r="AF6" i="82"/>
  <c r="AD6" i="82"/>
  <c r="AB6" i="82"/>
  <c r="AA6" i="82"/>
  <c r="DH5" i="82"/>
  <c r="DO3" i="82"/>
  <c r="DN3" i="82"/>
  <c r="B2" i="82"/>
  <c r="B1" i="82"/>
  <c r="BP6" i="30"/>
  <c r="BS6" i="30"/>
  <c r="C241" i="63"/>
  <c r="BE6" i="30"/>
  <c r="H3" i="74"/>
  <c r="C3" i="61"/>
  <c r="DT7" i="49"/>
  <c r="DT8" i="49"/>
  <c r="DT9" i="49"/>
  <c r="DT10" i="49"/>
  <c r="DT11" i="49"/>
  <c r="DT12" i="49"/>
  <c r="DT13" i="49"/>
  <c r="DT14" i="49"/>
  <c r="DT15" i="49"/>
  <c r="DT16" i="49"/>
  <c r="DT17" i="49"/>
  <c r="DT18" i="49"/>
  <c r="DT19" i="49"/>
  <c r="DT20" i="49"/>
  <c r="DT21" i="49"/>
  <c r="DT22" i="49"/>
  <c r="DT23" i="49"/>
  <c r="DT24" i="49"/>
  <c r="DT25" i="49"/>
  <c r="DT26" i="49"/>
  <c r="DT27" i="49"/>
  <c r="DT28" i="49"/>
  <c r="DT29" i="49"/>
  <c r="DT30" i="49"/>
  <c r="DT31" i="49"/>
  <c r="DT32" i="49"/>
  <c r="DT33" i="49"/>
  <c r="DT34" i="49"/>
  <c r="DT35" i="49"/>
  <c r="DT36" i="49"/>
  <c r="DT37" i="49"/>
  <c r="DT38" i="49"/>
  <c r="DT39" i="49"/>
  <c r="DT40" i="49"/>
  <c r="DT41" i="49"/>
  <c r="DT42" i="49"/>
  <c r="DT43" i="49"/>
  <c r="DT44" i="49"/>
  <c r="DT45" i="49"/>
  <c r="DT46" i="49"/>
  <c r="DT47" i="49"/>
  <c r="DT48" i="49"/>
  <c r="DT49" i="49"/>
  <c r="DT50" i="49"/>
  <c r="DT51" i="49"/>
  <c r="DT52" i="49"/>
  <c r="DT53" i="49"/>
  <c r="DT54" i="49"/>
  <c r="DT55" i="49"/>
  <c r="DT56" i="49"/>
  <c r="DT57" i="49"/>
  <c r="DT58" i="49"/>
  <c r="DT59" i="49"/>
  <c r="DT60" i="49"/>
  <c r="DT61" i="49"/>
  <c r="DT62" i="49"/>
  <c r="DT63" i="49"/>
  <c r="DT64" i="49"/>
  <c r="DT65" i="49"/>
  <c r="DT66" i="49"/>
  <c r="DT67" i="49"/>
  <c r="DT68" i="49"/>
  <c r="DT69" i="49"/>
  <c r="DT70" i="49"/>
  <c r="DT71" i="49"/>
  <c r="DT72" i="49"/>
  <c r="DT73" i="49"/>
  <c r="DT74" i="49"/>
  <c r="DT75" i="49"/>
  <c r="DT76" i="49"/>
  <c r="DT77" i="49"/>
  <c r="DT78" i="49"/>
  <c r="DT79" i="49"/>
  <c r="DT80" i="49"/>
  <c r="DT81" i="49"/>
  <c r="DT82" i="49"/>
  <c r="DT83" i="49"/>
  <c r="DT84" i="49"/>
  <c r="DT85" i="49"/>
  <c r="DT86" i="49"/>
  <c r="DT87" i="49"/>
  <c r="DT88" i="49"/>
  <c r="DT89" i="49"/>
  <c r="DT90" i="49"/>
  <c r="DT91" i="49"/>
  <c r="DT92" i="49"/>
  <c r="DT93" i="49"/>
  <c r="DT94" i="49"/>
  <c r="DT95" i="49"/>
  <c r="DT96" i="49"/>
  <c r="DT97" i="49"/>
  <c r="DT98" i="49"/>
  <c r="DT99" i="49"/>
  <c r="DT100" i="49"/>
  <c r="DT101" i="49"/>
  <c r="DT102" i="49"/>
  <c r="DT103" i="49"/>
  <c r="DT104" i="49"/>
  <c r="DT105" i="49"/>
  <c r="DT106" i="49"/>
  <c r="DT107" i="49"/>
  <c r="DT108" i="49"/>
  <c r="DT109" i="49"/>
  <c r="DT110" i="49"/>
  <c r="DT111" i="49"/>
  <c r="DT112" i="49"/>
  <c r="DT113" i="49"/>
  <c r="DT114" i="49"/>
  <c r="DT115" i="49"/>
  <c r="DT116" i="49"/>
  <c r="DT117" i="49"/>
  <c r="DT118" i="49"/>
  <c r="DT119" i="49"/>
  <c r="DT120" i="49"/>
  <c r="DT121" i="49"/>
  <c r="DT122" i="49"/>
  <c r="DT123" i="49"/>
  <c r="DT124" i="49"/>
  <c r="DT125" i="49"/>
  <c r="DT126" i="49"/>
  <c r="DT127" i="49"/>
  <c r="DT128" i="49"/>
  <c r="DT129" i="49"/>
  <c r="DT130" i="49"/>
  <c r="DT131" i="49"/>
  <c r="DT132" i="49"/>
  <c r="DT133" i="49"/>
  <c r="DT134" i="49"/>
  <c r="DT135" i="49"/>
  <c r="DT136" i="49"/>
  <c r="DT137" i="49"/>
  <c r="DT138" i="49"/>
  <c r="DT139" i="49"/>
  <c r="DT140" i="49"/>
  <c r="DT141" i="49"/>
  <c r="DT142" i="49"/>
  <c r="DT143" i="49"/>
  <c r="DT144" i="49"/>
  <c r="DT145" i="49"/>
  <c r="DT146" i="49"/>
  <c r="DT147" i="49"/>
  <c r="DT148" i="49"/>
  <c r="DT149" i="49"/>
  <c r="DT150" i="49"/>
  <c r="DT151" i="49"/>
  <c r="DT152" i="49"/>
  <c r="DT153" i="49"/>
  <c r="DT154" i="49"/>
  <c r="DT155" i="49"/>
  <c r="DT156" i="49"/>
  <c r="DT157" i="49"/>
  <c r="DT158" i="49"/>
  <c r="DT159" i="49"/>
  <c r="DT160" i="49"/>
  <c r="DT161" i="49"/>
  <c r="DT162" i="49"/>
  <c r="DT163" i="49"/>
  <c r="DT164" i="49"/>
  <c r="DT165" i="49"/>
  <c r="DT166" i="49"/>
  <c r="DT167" i="49"/>
  <c r="DT168" i="49"/>
  <c r="DT169" i="49"/>
  <c r="DT170" i="49"/>
  <c r="DT171" i="49"/>
  <c r="DT172" i="49"/>
  <c r="DT173" i="49"/>
  <c r="DT174" i="49"/>
  <c r="DT175" i="49"/>
  <c r="DT176" i="49"/>
  <c r="DT177" i="49"/>
  <c r="DT178" i="49"/>
  <c r="DT179" i="49"/>
  <c r="DT180" i="49"/>
  <c r="DT181" i="49"/>
  <c r="DT182" i="49"/>
  <c r="DT183" i="49"/>
  <c r="DT184" i="49"/>
  <c r="DT185" i="49"/>
  <c r="DT186" i="49"/>
  <c r="DT187" i="49"/>
  <c r="DT188" i="49"/>
  <c r="DT189" i="49"/>
  <c r="DT190" i="49"/>
  <c r="DT191" i="49"/>
  <c r="DT192" i="49"/>
  <c r="DT193" i="49"/>
  <c r="DT194" i="49"/>
  <c r="DT195" i="49"/>
  <c r="DT196" i="49"/>
  <c r="DT197" i="49"/>
  <c r="DT198" i="49"/>
  <c r="DT199" i="49"/>
  <c r="DT200" i="49"/>
  <c r="DT201" i="49"/>
  <c r="DT202" i="49"/>
  <c r="DT203" i="49"/>
  <c r="DT204" i="49"/>
  <c r="DT205" i="49"/>
  <c r="DT206" i="49"/>
  <c r="DT207" i="49"/>
  <c r="DT208" i="49"/>
  <c r="DT209" i="49"/>
  <c r="DT210" i="49"/>
  <c r="DT211" i="49"/>
  <c r="DT212" i="49"/>
  <c r="DT213" i="49"/>
  <c r="DT214" i="49"/>
  <c r="DT215" i="49"/>
  <c r="DT216" i="49"/>
  <c r="DT217" i="49"/>
  <c r="DT218" i="49"/>
  <c r="DT219" i="49"/>
  <c r="DT220" i="49"/>
  <c r="DT221" i="49"/>
  <c r="DT222" i="49"/>
  <c r="DT223" i="49"/>
  <c r="DT224" i="49"/>
  <c r="DT225" i="49"/>
  <c r="DT226" i="49"/>
  <c r="DT227" i="49"/>
  <c r="DT228" i="49"/>
  <c r="DT229" i="49"/>
  <c r="DT230" i="49"/>
  <c r="DT231" i="49"/>
  <c r="DT232" i="49"/>
  <c r="DT233" i="49"/>
  <c r="DT234" i="49"/>
  <c r="DT6" i="49"/>
  <c r="C3" i="77"/>
  <c r="EH3" i="30"/>
  <c r="EI3" i="30"/>
  <c r="F3" i="74"/>
  <c r="AL2" i="53" l="1"/>
  <c r="AT2" i="53"/>
  <c r="AQ2" i="49" s="1"/>
  <c r="DY8" i="30" s="1"/>
  <c r="AJ2" i="53"/>
  <c r="AE2" i="53"/>
  <c r="Y2" i="49" s="1"/>
  <c r="AM2" i="53"/>
  <c r="AG2" i="49" s="1"/>
  <c r="AD2" i="53"/>
  <c r="X2" i="49" s="1"/>
  <c r="AS2" i="53"/>
  <c r="AP2" i="49" s="1"/>
  <c r="AF2" i="53"/>
  <c r="Z2" i="49" s="1"/>
  <c r="AN2" i="53"/>
  <c r="AG2" i="53"/>
  <c r="AA2" i="49" s="1"/>
  <c r="AO2" i="53"/>
  <c r="AH2" i="53"/>
  <c r="AP2" i="53"/>
  <c r="AJ2" i="49" s="1"/>
  <c r="AQ2" i="53"/>
  <c r="AR2" i="53"/>
  <c r="AI2" i="53"/>
  <c r="AC2" i="49" s="1"/>
  <c r="AK2" i="53"/>
  <c r="AE2" i="49" s="1"/>
  <c r="AF2" i="49"/>
  <c r="AI2" i="49"/>
  <c r="BW2" i="53"/>
  <c r="BX2" i="53"/>
  <c r="BY2" i="53"/>
  <c r="BT2" i="49" s="1"/>
  <c r="BV2" i="53"/>
  <c r="BR2" i="53"/>
  <c r="DD2" i="49" s="1"/>
  <c r="CT7" i="30" s="1"/>
  <c r="CT6" i="30" s="1"/>
  <c r="BS2" i="53"/>
  <c r="BO2" i="49" s="1"/>
  <c r="BT2" i="53"/>
  <c r="DB2" i="49" s="1"/>
  <c r="CV7" i="30" s="1"/>
  <c r="CV6" i="30" s="1"/>
  <c r="BU2" i="53"/>
  <c r="DC2" i="49" s="1"/>
  <c r="BP2" i="53"/>
  <c r="CZ3" i="49" s="1"/>
  <c r="CR7" i="30" s="1"/>
  <c r="CR6" i="30" s="1"/>
  <c r="BQ2" i="53"/>
  <c r="DA2" i="49" s="1"/>
  <c r="AX2" i="53"/>
  <c r="AU2" i="49" s="1"/>
  <c r="AJ7" i="30" s="1"/>
  <c r="AJ6" i="30" s="1"/>
  <c r="AY2" i="53"/>
  <c r="AW2" i="49" s="1"/>
  <c r="AZ2" i="53"/>
  <c r="AX2" i="49" s="1"/>
  <c r="BA2" i="53"/>
  <c r="AY2" i="49" s="1"/>
  <c r="BO2" i="53"/>
  <c r="CX2" i="49" s="1"/>
  <c r="ED7" i="30" s="1"/>
  <c r="ED11" i="30" s="1"/>
  <c r="AD2" i="49"/>
  <c r="T5" i="61"/>
  <c r="T4" i="61"/>
  <c r="AA2" i="53"/>
  <c r="U2" i="49" s="1"/>
  <c r="AB2" i="53"/>
  <c r="V2" i="49" s="1"/>
  <c r="AC2" i="53"/>
  <c r="W2" i="49" s="1"/>
  <c r="Z2" i="53"/>
  <c r="T2" i="49" s="1"/>
  <c r="BN2" i="53"/>
  <c r="BM2" i="53"/>
  <c r="BK2" i="49" s="1"/>
  <c r="BB2" i="53"/>
  <c r="BZ2" i="49" s="1"/>
  <c r="BJ2" i="53"/>
  <c r="BH2" i="49" s="1"/>
  <c r="BD2" i="53"/>
  <c r="BA2" i="49" s="1"/>
  <c r="BL2" i="53"/>
  <c r="BJ2" i="49" s="1"/>
  <c r="BC2" i="53"/>
  <c r="AZ2" i="49" s="1"/>
  <c r="BK2" i="53"/>
  <c r="BI2" i="49" s="1"/>
  <c r="BE2" i="53"/>
  <c r="BB2" i="49" s="1"/>
  <c r="BG2" i="53"/>
  <c r="BE2" i="49" s="1"/>
  <c r="BH2" i="53"/>
  <c r="BF2" i="49" s="1"/>
  <c r="BF2" i="53"/>
  <c r="BC2" i="49" s="1"/>
  <c r="BI2" i="53"/>
  <c r="BG2" i="49" s="1"/>
  <c r="AW2" i="53"/>
  <c r="AS2" i="49" s="1"/>
  <c r="U2" i="53"/>
  <c r="CL2" i="49" s="1"/>
  <c r="T2" i="53"/>
  <c r="CK2" i="49" s="1"/>
  <c r="S2" i="53"/>
  <c r="W2" i="53"/>
  <c r="V2" i="53"/>
  <c r="N2" i="53"/>
  <c r="CE2" i="49" s="1"/>
  <c r="M2" i="53"/>
  <c r="CS2" i="49" s="1"/>
  <c r="L2" i="53"/>
  <c r="CC2" i="49" s="1"/>
  <c r="R2" i="53"/>
  <c r="CI2" i="49" s="1"/>
  <c r="Q2" i="53"/>
  <c r="CH2" i="49" s="1"/>
  <c r="P2" i="53"/>
  <c r="CG2" i="49" s="1"/>
  <c r="O2" i="53"/>
  <c r="CF2" i="49" s="1"/>
  <c r="H2" i="53"/>
  <c r="BX2" i="49" s="1"/>
  <c r="G2" i="53"/>
  <c r="BW2" i="49" s="1"/>
  <c r="F2" i="53"/>
  <c r="BV2" i="49" s="1"/>
  <c r="I2" i="53"/>
  <c r="BY2" i="49" s="1"/>
  <c r="K2" i="53"/>
  <c r="CB2" i="49" s="1"/>
  <c r="J2" i="53"/>
  <c r="CA2" i="49" s="1"/>
  <c r="B2" i="81"/>
  <c r="N2" i="49" s="1"/>
  <c r="DH8" i="30"/>
  <c r="CE8" i="82"/>
  <c r="CE7" i="30"/>
  <c r="BO7" i="82"/>
  <c r="CB7" i="30"/>
  <c r="CB6" i="30" s="1"/>
  <c r="BL7" i="82"/>
  <c r="BL6" i="82" s="1"/>
  <c r="BQ7" i="82"/>
  <c r="CC7" i="30"/>
  <c r="BM7" i="82"/>
  <c r="CH7" i="82"/>
  <c r="CH6" i="82" s="1"/>
  <c r="BY7" i="82"/>
  <c r="BY6" i="82" s="1"/>
  <c r="DB8" i="30"/>
  <c r="CU8" i="82"/>
  <c r="DZ8" i="30"/>
  <c r="CK8" i="82"/>
  <c r="DX8" i="30"/>
  <c r="CJ8" i="82"/>
  <c r="A11" i="82"/>
  <c r="C9" i="82"/>
  <c r="H9" i="74"/>
  <c r="D3" i="61"/>
  <c r="F2" i="77" a="1"/>
  <c r="F2" i="77" s="1"/>
  <c r="J19" i="48" s="1"/>
  <c r="BV7" i="82" l="1"/>
  <c r="BV6" i="82" s="1"/>
  <c r="BR7" i="82"/>
  <c r="BR11" i="82" s="1"/>
  <c r="BR5" i="82" s="1"/>
  <c r="CW7" i="30"/>
  <c r="CW6" i="30" s="1"/>
  <c r="BU7" i="82"/>
  <c r="BU11" i="82" s="1"/>
  <c r="BU5" i="82" s="1"/>
  <c r="BT7" i="82"/>
  <c r="BT6" i="82" s="1"/>
  <c r="CS7" i="30"/>
  <c r="CS6" i="30" s="1"/>
  <c r="BS7" i="82"/>
  <c r="BS6" i="82" s="1"/>
  <c r="CO7" i="30"/>
  <c r="CO6" i="30" s="1"/>
  <c r="CU7" i="30"/>
  <c r="CU6" i="30" s="1"/>
  <c r="CU2" i="49"/>
  <c r="DQ8" i="30" s="1"/>
  <c r="CJ2" i="49"/>
  <c r="BR2" i="49"/>
  <c r="DE7" i="30" s="1"/>
  <c r="DE6" i="30" s="1"/>
  <c r="BL2" i="49"/>
  <c r="BJ8" i="82" s="1"/>
  <c r="T3" i="61"/>
  <c r="BW7" i="82"/>
  <c r="BW6" i="82" s="1"/>
  <c r="CR11" i="30"/>
  <c r="CR5" i="30" s="1"/>
  <c r="CG3" i="49"/>
  <c r="CP8" i="82" s="1"/>
  <c r="CP11" i="82" s="1"/>
  <c r="CP5" i="82" s="1"/>
  <c r="BA7" i="30"/>
  <c r="DM8" i="30"/>
  <c r="CV8" i="82"/>
  <c r="CV11" i="82" s="1"/>
  <c r="CV5" i="82" s="1"/>
  <c r="CE6" i="30"/>
  <c r="CE11" i="30"/>
  <c r="CE5" i="30" s="1"/>
  <c r="CE3" i="30" s="1"/>
  <c r="CQ11" i="30"/>
  <c r="CQ5" i="30" s="1"/>
  <c r="CC6" i="30"/>
  <c r="CC11" i="30"/>
  <c r="CC5" i="30" s="1"/>
  <c r="CC3" i="30" s="1"/>
  <c r="AC7" i="82"/>
  <c r="BO6" i="82"/>
  <c r="BO11" i="82"/>
  <c r="BO5" i="82" s="1"/>
  <c r="BO3" i="82" s="1"/>
  <c r="BQ6" i="82"/>
  <c r="BQ11" i="82"/>
  <c r="BQ5" i="82" s="1"/>
  <c r="BQ3" i="82" s="1"/>
  <c r="BM6" i="82"/>
  <c r="BM11" i="82"/>
  <c r="BM5" i="82" s="1"/>
  <c r="BM3" i="82" s="1"/>
  <c r="CM7" i="30"/>
  <c r="CM6" i="30" s="1"/>
  <c r="BP7" i="82"/>
  <c r="J11" i="82"/>
  <c r="DM11" i="82"/>
  <c r="DM5" i="82" s="1"/>
  <c r="BD7" i="82"/>
  <c r="BD6" i="82" s="1"/>
  <c r="B11" i="82"/>
  <c r="F11" i="82"/>
  <c r="AX11" i="82"/>
  <c r="AX5" i="82" s="1"/>
  <c r="BB11" i="82"/>
  <c r="BB5" i="82" s="1"/>
  <c r="AY7" i="82"/>
  <c r="AY6" i="82" s="1"/>
  <c r="AK11" i="82"/>
  <c r="AK5" i="82" s="1"/>
  <c r="BG11" i="82"/>
  <c r="BG5" i="82" s="1"/>
  <c r="BK11" i="82"/>
  <c r="BK5" i="82" s="1"/>
  <c r="BN11" i="82"/>
  <c r="BN5" i="82" s="1"/>
  <c r="DJ11" i="82"/>
  <c r="DJ5" i="82" s="1"/>
  <c r="BC7" i="82"/>
  <c r="AS11" i="82"/>
  <c r="AS5" i="82" s="1"/>
  <c r="AN7" i="82"/>
  <c r="AN6" i="82" s="1"/>
  <c r="I11" i="82"/>
  <c r="BE11" i="82"/>
  <c r="BE5" i="82" s="1"/>
  <c r="BB7" i="82"/>
  <c r="BB6" i="82" s="1"/>
  <c r="D11" i="82"/>
  <c r="E11" i="82" s="1"/>
  <c r="AM11" i="82"/>
  <c r="BI11" i="82"/>
  <c r="BI5" i="82" s="1"/>
  <c r="DL11" i="82"/>
  <c r="DL5" i="82" s="1"/>
  <c r="CE11" i="82"/>
  <c r="CE5" i="82" s="1"/>
  <c r="CK11" i="82"/>
  <c r="CK5" i="82" s="1"/>
  <c r="BX7" i="82"/>
  <c r="BX6" i="82" s="1"/>
  <c r="AH11" i="82"/>
  <c r="AH5" i="82" s="1"/>
  <c r="BA11" i="82"/>
  <c r="BA5" i="82" s="1"/>
  <c r="BF11" i="82"/>
  <c r="BF5" i="82" s="1"/>
  <c r="CJ11" i="82"/>
  <c r="CJ5" i="82" s="1"/>
  <c r="CU11" i="82"/>
  <c r="CU5" i="82" s="1"/>
  <c r="CC7" i="82"/>
  <c r="CC6" i="82" s="1"/>
  <c r="AJ11" i="82"/>
  <c r="AJ5" i="82" s="1"/>
  <c r="AI11" i="82"/>
  <c r="AI5" i="82" s="1"/>
  <c r="AP11" i="82"/>
  <c r="AP5" i="82" s="1"/>
  <c r="AL11" i="82"/>
  <c r="AL5" i="82" s="1"/>
  <c r="AG11" i="82"/>
  <c r="AG5" i="82" s="1"/>
  <c r="AF11" i="82"/>
  <c r="AF5" i="82" s="1"/>
  <c r="CR8" i="82"/>
  <c r="CR11" i="82" s="1"/>
  <c r="CR5" i="82" s="1"/>
  <c r="CL3" i="49"/>
  <c r="BU6" i="82" l="1"/>
  <c r="CA7" i="82"/>
  <c r="CA6" i="82" s="1"/>
  <c r="DF7" i="30"/>
  <c r="DF6" i="30" s="1"/>
  <c r="CQ3" i="30"/>
  <c r="CZ8" i="82"/>
  <c r="CZ11" i="82" s="1"/>
  <c r="CZ5" i="82" s="1"/>
  <c r="BJ11" i="82"/>
  <c r="BJ5" i="82" s="1"/>
  <c r="BZ8" i="30"/>
  <c r="BZ7" i="82"/>
  <c r="BZ6" i="82" s="1"/>
  <c r="AV7" i="82"/>
  <c r="AV6" i="82" s="1"/>
  <c r="A12" i="82"/>
  <c r="AI12" i="82" s="1"/>
  <c r="C11" i="82"/>
  <c r="H11" i="82"/>
  <c r="G11" i="82"/>
  <c r="G20" i="73"/>
  <c r="K11" i="82"/>
  <c r="P11" i="82"/>
  <c r="AM5" i="82"/>
  <c r="AM12" i="82"/>
  <c r="CJ8" i="30"/>
  <c r="DA8" i="82"/>
  <c r="DA11" i="82" s="1"/>
  <c r="DS8" i="30"/>
  <c r="CI8" i="82"/>
  <c r="CI11" i="82" s="1"/>
  <c r="DN8" i="30"/>
  <c r="CW8" i="82"/>
  <c r="CW11" i="82" s="1"/>
  <c r="DO8" i="30"/>
  <c r="CX8" i="82"/>
  <c r="CX11" i="82" s="1"/>
  <c r="DE7" i="82"/>
  <c r="DE6" i="82" s="1"/>
  <c r="CH8" i="30"/>
  <c r="DD8" i="82"/>
  <c r="DD11" i="82" s="1"/>
  <c r="CO8" i="82"/>
  <c r="CO11" i="82" s="1"/>
  <c r="AR11" i="82"/>
  <c r="AO11" i="82"/>
  <c r="H12" i="82" l="1"/>
  <c r="G12" i="82"/>
  <c r="P12" i="82"/>
  <c r="BA12" i="82"/>
  <c r="BN12" i="82"/>
  <c r="F12" i="82"/>
  <c r="BI12" i="82"/>
  <c r="I12" i="82"/>
  <c r="AP12" i="82"/>
  <c r="AS12" i="82"/>
  <c r="BE12" i="82"/>
  <c r="CK12" i="82"/>
  <c r="CP12" i="82"/>
  <c r="AL12" i="82"/>
  <c r="DJ12" i="82"/>
  <c r="DM12" i="82"/>
  <c r="B12" i="82"/>
  <c r="BB12" i="82"/>
  <c r="BG12" i="82"/>
  <c r="BK12" i="82"/>
  <c r="DH12" i="82"/>
  <c r="AM13" i="82"/>
  <c r="E12" i="82"/>
  <c r="AF12" i="82"/>
  <c r="BF12" i="82"/>
  <c r="CZ12" i="82"/>
  <c r="D12" i="82"/>
  <c r="J12" i="82"/>
  <c r="AH12" i="82"/>
  <c r="AK12" i="82"/>
  <c r="AX12" i="82"/>
  <c r="AG12" i="82"/>
  <c r="BJ12" i="82"/>
  <c r="AJ12" i="82"/>
  <c r="CR12" i="82"/>
  <c r="DL12" i="82"/>
  <c r="DA5" i="82"/>
  <c r="DA12" i="82"/>
  <c r="CI5" i="82"/>
  <c r="CI12" i="82"/>
  <c r="CX5" i="82"/>
  <c r="CX12" i="82"/>
  <c r="L11" i="82"/>
  <c r="K12" i="82"/>
  <c r="CW5" i="82"/>
  <c r="CW12" i="82"/>
  <c r="DD5" i="82"/>
  <c r="DD12" i="82"/>
  <c r="CO12" i="82"/>
  <c r="CO5" i="82"/>
  <c r="AR12" i="82"/>
  <c r="AR5" i="82"/>
  <c r="AO12" i="82"/>
  <c r="AO5" i="82"/>
  <c r="CG6" i="30"/>
  <c r="BB6" i="30"/>
  <c r="C12" i="82" l="1"/>
  <c r="A13" i="82"/>
  <c r="CX13" i="82" s="1"/>
  <c r="O11" i="82" a="1"/>
  <c r="O11" i="82" s="1"/>
  <c r="O12" i="82" s="1"/>
  <c r="L12" i="82"/>
  <c r="Y11" i="82"/>
  <c r="Y12" i="82" s="1"/>
  <c r="M11" i="82"/>
  <c r="M12" i="82" s="1"/>
  <c r="E1" i="74"/>
  <c r="F1" i="74" s="1"/>
  <c r="J3" i="73"/>
  <c r="L3" i="73" s="1"/>
  <c r="K15" i="73" s="1"/>
  <c r="K14" i="73" s="1"/>
  <c r="K4" i="73" s="1"/>
  <c r="G212" i="49"/>
  <c r="G213" i="49" s="1"/>
  <c r="G214" i="49" s="1"/>
  <c r="G215" i="49" s="1"/>
  <c r="G216" i="49" s="1"/>
  <c r="G217" i="49" s="1"/>
  <c r="G218" i="49" s="1"/>
  <c r="G219" i="49" s="1"/>
  <c r="G220" i="49" s="1"/>
  <c r="G221" i="49" s="1"/>
  <c r="G222" i="49" s="1"/>
  <c r="G223" i="49" s="1"/>
  <c r="G224" i="49" s="1"/>
  <c r="G225" i="49" s="1"/>
  <c r="G226" i="49" s="1"/>
  <c r="G227" i="49" s="1"/>
  <c r="G228" i="49" s="1"/>
  <c r="G229" i="49" s="1"/>
  <c r="G230" i="49" s="1"/>
  <c r="G231" i="49" s="1"/>
  <c r="G232" i="49" s="1"/>
  <c r="G233" i="49" s="1"/>
  <c r="G234" i="49" s="1"/>
  <c r="H212" i="49"/>
  <c r="H213" i="49" s="1"/>
  <c r="H214" i="49" s="1"/>
  <c r="H215" i="49" s="1"/>
  <c r="H216" i="49" s="1"/>
  <c r="H217" i="49" s="1"/>
  <c r="H218" i="49" s="1"/>
  <c r="H219" i="49" s="1"/>
  <c r="H220" i="49" s="1"/>
  <c r="H221" i="49" s="1"/>
  <c r="H222" i="49" s="1"/>
  <c r="H223" i="49" s="1"/>
  <c r="H224" i="49" s="1"/>
  <c r="H225" i="49" s="1"/>
  <c r="H226" i="49" s="1"/>
  <c r="H227" i="49" s="1"/>
  <c r="H228" i="49" s="1"/>
  <c r="H229" i="49" s="1"/>
  <c r="H230" i="49" s="1"/>
  <c r="H231" i="49" s="1"/>
  <c r="H232" i="49" s="1"/>
  <c r="H233" i="49" s="1"/>
  <c r="H234" i="49" s="1"/>
  <c r="I212" i="49"/>
  <c r="I213" i="49" s="1"/>
  <c r="I214" i="49" s="1"/>
  <c r="I215" i="49" s="1"/>
  <c r="I216" i="49" s="1"/>
  <c r="I217" i="49" s="1"/>
  <c r="I218" i="49" s="1"/>
  <c r="I219" i="49" s="1"/>
  <c r="I220" i="49" s="1"/>
  <c r="I221" i="49" s="1"/>
  <c r="I222" i="49" s="1"/>
  <c r="I223" i="49" s="1"/>
  <c r="I224" i="49" s="1"/>
  <c r="I225" i="49" s="1"/>
  <c r="I226" i="49" s="1"/>
  <c r="I227" i="49" s="1"/>
  <c r="I228" i="49" s="1"/>
  <c r="I229" i="49" s="1"/>
  <c r="I230" i="49" s="1"/>
  <c r="I231" i="49" s="1"/>
  <c r="I232" i="49" s="1"/>
  <c r="I233" i="49" s="1"/>
  <c r="I234" i="49" s="1"/>
  <c r="O13" i="82" l="1"/>
  <c r="DJ13" i="82"/>
  <c r="DL13" i="82"/>
  <c r="DM13" i="82"/>
  <c r="AM14" i="82"/>
  <c r="B13" i="82"/>
  <c r="C13" i="82" s="1"/>
  <c r="Y13" i="82"/>
  <c r="M13" i="82"/>
  <c r="E13" i="82"/>
  <c r="I13" i="82"/>
  <c r="H13" i="82"/>
  <c r="D13" i="82"/>
  <c r="L13" i="82"/>
  <c r="CW13" i="82"/>
  <c r="CR13" i="82"/>
  <c r="CP13" i="82"/>
  <c r="CO13" i="82"/>
  <c r="CK13" i="82"/>
  <c r="CI13" i="82"/>
  <c r="BN13" i="82"/>
  <c r="CZ13" i="82"/>
  <c r="DH13" i="82"/>
  <c r="DA13" i="82"/>
  <c r="DD13" i="82"/>
  <c r="G13" i="82"/>
  <c r="BK13" i="82"/>
  <c r="BI13" i="82"/>
  <c r="BG13" i="82"/>
  <c r="BF13" i="82"/>
  <c r="BE13" i="82"/>
  <c r="BB13" i="82"/>
  <c r="BA13" i="82"/>
  <c r="AX13" i="82"/>
  <c r="AS13" i="82"/>
  <c r="AR13" i="82"/>
  <c r="AP13" i="82"/>
  <c r="AO13" i="82"/>
  <c r="AL13" i="82"/>
  <c r="AK13" i="82"/>
  <c r="AJ13" i="82"/>
  <c r="AI13" i="82"/>
  <c r="AH13" i="82"/>
  <c r="AG13" i="82"/>
  <c r="AF13" i="82"/>
  <c r="J13" i="82"/>
  <c r="F13" i="82"/>
  <c r="P13" i="82"/>
  <c r="K13" i="82"/>
  <c r="G1" i="74"/>
  <c r="G7" i="74" s="1"/>
  <c r="H7" i="74" s="1"/>
  <c r="K3" i="73"/>
  <c r="J213" i="49"/>
  <c r="J212" i="49"/>
  <c r="C3" i="69"/>
  <c r="C1" i="69"/>
  <c r="AN6" i="30"/>
  <c r="AR6" i="30"/>
  <c r="AS6" i="30"/>
  <c r="CF6" i="30"/>
  <c r="EE6" i="30"/>
  <c r="EF6" i="30"/>
  <c r="EG6" i="30"/>
  <c r="A14" i="82" l="1"/>
  <c r="DD14" i="82" s="1"/>
  <c r="G8" i="74"/>
  <c r="H8" i="74" s="1"/>
  <c r="G6" i="74"/>
  <c r="H6" i="74" s="1"/>
  <c r="J214" i="49"/>
  <c r="F2" i="69" a="1"/>
  <c r="F2" i="69" s="1"/>
  <c r="AR14" i="82" l="1"/>
  <c r="F14" i="82"/>
  <c r="AO14" i="82"/>
  <c r="J14" i="82"/>
  <c r="BG14" i="82"/>
  <c r="AM15" i="82"/>
  <c r="AJ14" i="82"/>
  <c r="BA14" i="82"/>
  <c r="BB14" i="82"/>
  <c r="CH14" i="82"/>
  <c r="AF14" i="82"/>
  <c r="CO14" i="82"/>
  <c r="I14" i="82"/>
  <c r="L14" i="82"/>
  <c r="AG14" i="82"/>
  <c r="CP14" i="82"/>
  <c r="H14" i="82"/>
  <c r="Y14" i="82"/>
  <c r="AS14" i="82"/>
  <c r="BI14" i="82"/>
  <c r="DM14" i="82"/>
  <c r="G14" i="82"/>
  <c r="K14" i="82"/>
  <c r="AI14" i="82"/>
  <c r="AX14" i="82"/>
  <c r="BK14" i="82"/>
  <c r="CZ14" i="82"/>
  <c r="AK14" i="82"/>
  <c r="CR14" i="82"/>
  <c r="DA14" i="82"/>
  <c r="E14" i="82"/>
  <c r="P14" i="82"/>
  <c r="AH14" i="82"/>
  <c r="AP14" i="82"/>
  <c r="BN14" i="82"/>
  <c r="DL14" i="82"/>
  <c r="D14" i="82"/>
  <c r="M14" i="82"/>
  <c r="BE14" i="82"/>
  <c r="CK14" i="82"/>
  <c r="B14" i="82"/>
  <c r="A15" i="82" s="1"/>
  <c r="O14" i="82"/>
  <c r="AL14" i="82"/>
  <c r="BF14" i="82"/>
  <c r="CI14" i="82"/>
  <c r="J215" i="49"/>
  <c r="AE17" i="63"/>
  <c r="AE16" i="63"/>
  <c r="AE15" i="63"/>
  <c r="C154" i="63"/>
  <c r="DD15" i="82" l="1"/>
  <c r="G15" i="82"/>
  <c r="DA15" i="82"/>
  <c r="J15" i="82"/>
  <c r="BI15" i="82"/>
  <c r="AO15" i="82"/>
  <c r="B15" i="82"/>
  <c r="A16" i="82" s="1"/>
  <c r="H15" i="82"/>
  <c r="AR15" i="82"/>
  <c r="CH15" i="82"/>
  <c r="L15" i="82"/>
  <c r="C14" i="82"/>
  <c r="AL15" i="82"/>
  <c r="CR15" i="82"/>
  <c r="AI15" i="82"/>
  <c r="BN15" i="82"/>
  <c r="AS15" i="82"/>
  <c r="M15" i="82"/>
  <c r="AX15" i="82"/>
  <c r="CO15" i="82"/>
  <c r="I15" i="82"/>
  <c r="AM16" i="82"/>
  <c r="D15" i="82"/>
  <c r="AG15" i="82"/>
  <c r="BF15" i="82"/>
  <c r="CK15" i="82"/>
  <c r="O15" i="82"/>
  <c r="AH15" i="82"/>
  <c r="BG15" i="82"/>
  <c r="DM15" i="82"/>
  <c r="K15" i="82"/>
  <c r="E15" i="82"/>
  <c r="F15" i="82"/>
  <c r="AP15" i="82"/>
  <c r="BE15" i="82"/>
  <c r="CZ15" i="82"/>
  <c r="CI15" i="82"/>
  <c r="AF15" i="82"/>
  <c r="AK15" i="82"/>
  <c r="BA15" i="82"/>
  <c r="BK15" i="82"/>
  <c r="DL15" i="82"/>
  <c r="Y15" i="82"/>
  <c r="P15" i="82"/>
  <c r="AJ15" i="82"/>
  <c r="BB15" i="82"/>
  <c r="CP15" i="82"/>
  <c r="J216" i="49"/>
  <c r="EC8" i="30"/>
  <c r="BO6" i="30"/>
  <c r="CL6" i="30"/>
  <c r="C15" i="82" l="1"/>
  <c r="AM17" i="82"/>
  <c r="DM16" i="82"/>
  <c r="DL16" i="82"/>
  <c r="DD16" i="82"/>
  <c r="DA16" i="82"/>
  <c r="CZ16" i="82"/>
  <c r="CR16" i="82"/>
  <c r="CP16" i="82"/>
  <c r="CO16" i="82"/>
  <c r="CK16" i="82"/>
  <c r="CI16" i="82"/>
  <c r="CH16" i="82"/>
  <c r="BN16" i="82"/>
  <c r="BK16" i="82"/>
  <c r="BI16" i="82"/>
  <c r="BG16" i="82"/>
  <c r="BF16" i="82"/>
  <c r="BE16" i="82"/>
  <c r="BB16" i="82"/>
  <c r="BA16" i="82"/>
  <c r="AX16" i="82"/>
  <c r="AS16" i="82"/>
  <c r="AR16" i="82"/>
  <c r="AP16" i="82"/>
  <c r="AO16" i="82"/>
  <c r="AL16" i="82"/>
  <c r="AJ16" i="82"/>
  <c r="AI16" i="82"/>
  <c r="AH16" i="82"/>
  <c r="AG16" i="82"/>
  <c r="AF16" i="82"/>
  <c r="Y16" i="82"/>
  <c r="P16" i="82"/>
  <c r="O16" i="82"/>
  <c r="M16" i="82"/>
  <c r="L16" i="82"/>
  <c r="K16" i="82"/>
  <c r="J16" i="82"/>
  <c r="I16" i="82"/>
  <c r="H16" i="82"/>
  <c r="G16" i="82"/>
  <c r="F16" i="82"/>
  <c r="E16" i="82"/>
  <c r="D16" i="82"/>
  <c r="B16" i="82"/>
  <c r="J217" i="49"/>
  <c r="AW6" i="30"/>
  <c r="C16" i="82" l="1"/>
  <c r="A17" i="82"/>
  <c r="J218" i="49"/>
  <c r="AE6" i="30"/>
  <c r="AF6" i="30"/>
  <c r="AG6" i="30"/>
  <c r="AH6" i="30"/>
  <c r="AI6" i="30"/>
  <c r="DM17" i="82" l="1"/>
  <c r="E17" i="82"/>
  <c r="P17" i="82"/>
  <c r="Y17" i="82"/>
  <c r="AG17" i="82"/>
  <c r="AJ17" i="82"/>
  <c r="AP17" i="82"/>
  <c r="BE17" i="82"/>
  <c r="BK17" i="82"/>
  <c r="CZ17" i="82"/>
  <c r="M17" i="82"/>
  <c r="AL17" i="82"/>
  <c r="AS17" i="82"/>
  <c r="BF17" i="82"/>
  <c r="CI17" i="82"/>
  <c r="CP17" i="82"/>
  <c r="DD17" i="82"/>
  <c r="BA18" i="82"/>
  <c r="K17" i="82"/>
  <c r="AH17" i="82"/>
  <c r="AR17" i="82"/>
  <c r="CK17" i="82"/>
  <c r="CO17" i="82"/>
  <c r="B17" i="82"/>
  <c r="A18" i="82" s="1"/>
  <c r="D17" i="82"/>
  <c r="F17" i="82"/>
  <c r="G17" i="82"/>
  <c r="H17" i="82"/>
  <c r="I17" i="82"/>
  <c r="J17" i="82"/>
  <c r="L17" i="82"/>
  <c r="O17" i="82"/>
  <c r="AF17" i="82"/>
  <c r="AI17" i="82"/>
  <c r="AO17" i="82"/>
  <c r="AX17" i="82"/>
  <c r="AX18" i="82" s="1"/>
  <c r="BG17" i="82"/>
  <c r="BN17" i="82"/>
  <c r="CE17" i="82"/>
  <c r="CH17" i="82"/>
  <c r="CR17" i="82"/>
  <c r="DA17" i="82"/>
  <c r="DL17" i="82"/>
  <c r="J219" i="49"/>
  <c r="C17" i="82" l="1"/>
  <c r="CH18" i="82"/>
  <c r="BF18" i="82"/>
  <c r="AS18" i="82"/>
  <c r="AG18" i="82"/>
  <c r="Y18" i="82"/>
  <c r="G18" i="82"/>
  <c r="DM18" i="82"/>
  <c r="DL18" i="82"/>
  <c r="DD18" i="82"/>
  <c r="CZ18" i="82"/>
  <c r="CP18" i="82"/>
  <c r="CI18" i="82"/>
  <c r="BK18" i="82"/>
  <c r="AR18" i="82"/>
  <c r="AJ18" i="82"/>
  <c r="P18" i="82"/>
  <c r="M18" i="82"/>
  <c r="K18" i="82"/>
  <c r="I18" i="82"/>
  <c r="F18" i="82"/>
  <c r="B18" i="82"/>
  <c r="C18" i="82" s="1"/>
  <c r="DA18" i="82"/>
  <c r="CR18" i="82"/>
  <c r="CO18" i="82"/>
  <c r="CK18" i="82"/>
  <c r="BN18" i="82"/>
  <c r="BE18" i="82"/>
  <c r="AO18" i="82"/>
  <c r="AI18" i="82"/>
  <c r="AF18" i="82"/>
  <c r="O18" i="82"/>
  <c r="L18" i="82"/>
  <c r="J18" i="82"/>
  <c r="H18" i="82"/>
  <c r="D18" i="82"/>
  <c r="CE18" i="82"/>
  <c r="BG18" i="82"/>
  <c r="AP18" i="82"/>
  <c r="AL18" i="82"/>
  <c r="AH18" i="82"/>
  <c r="E18" i="82"/>
  <c r="J220" i="49"/>
  <c r="E6" i="56"/>
  <c r="E5" i="56"/>
  <c r="E4" i="56"/>
  <c r="E3" i="56"/>
  <c r="E2" i="56"/>
  <c r="A19" i="82" l="1"/>
  <c r="DD19" i="82" s="1"/>
  <c r="J221" i="49"/>
  <c r="AE8" i="63"/>
  <c r="BE19" i="82" l="1"/>
  <c r="CK19" i="82"/>
  <c r="AP19" i="82"/>
  <c r="Y19" i="82"/>
  <c r="CO19" i="82"/>
  <c r="E19" i="82"/>
  <c r="F19" i="82"/>
  <c r="AG19" i="82"/>
  <c r="AJ19" i="82"/>
  <c r="DL19" i="82"/>
  <c r="AR19" i="82"/>
  <c r="BA20" i="82"/>
  <c r="H19" i="82"/>
  <c r="BF19" i="82"/>
  <c r="CP19" i="82"/>
  <c r="DM19" i="82"/>
  <c r="AO19" i="82"/>
  <c r="J19" i="82"/>
  <c r="BN19" i="82"/>
  <c r="AH19" i="82"/>
  <c r="I19" i="82"/>
  <c r="BK19" i="82"/>
  <c r="G19" i="82"/>
  <c r="CH19" i="82"/>
  <c r="L19" i="82"/>
  <c r="AL19" i="82"/>
  <c r="CR19" i="82"/>
  <c r="M19" i="82"/>
  <c r="CZ19" i="82"/>
  <c r="DA19" i="82"/>
  <c r="AI19" i="82"/>
  <c r="CI19" i="82"/>
  <c r="K19" i="82"/>
  <c r="CE19" i="82"/>
  <c r="B19" i="82"/>
  <c r="A20" i="82" s="1"/>
  <c r="O19" i="82"/>
  <c r="AS19" i="82"/>
  <c r="D19" i="82"/>
  <c r="AF19" i="82"/>
  <c r="AX20" i="82"/>
  <c r="BG19" i="82"/>
  <c r="P19" i="82"/>
  <c r="J222" i="49"/>
  <c r="AE13" i="63"/>
  <c r="AE14" i="63"/>
  <c r="AE10" i="63"/>
  <c r="AE11" i="63"/>
  <c r="AE12" i="63"/>
  <c r="AE9" i="63"/>
  <c r="G20" i="82" l="1"/>
  <c r="M20" i="82"/>
  <c r="E20" i="82"/>
  <c r="CH20" i="82"/>
  <c r="AJ20" i="82"/>
  <c r="DD20" i="82"/>
  <c r="DM20" i="82"/>
  <c r="AS20" i="82"/>
  <c r="BF20" i="82"/>
  <c r="C19" i="82"/>
  <c r="H20" i="82"/>
  <c r="CR20" i="82"/>
  <c r="AP20" i="82"/>
  <c r="J20" i="82"/>
  <c r="F20" i="82"/>
  <c r="O20" i="82"/>
  <c r="AL20" i="82"/>
  <c r="L20" i="82"/>
  <c r="CK20" i="82"/>
  <c r="AX21" i="82"/>
  <c r="AH20" i="82"/>
  <c r="DA20" i="82"/>
  <c r="AO20" i="82"/>
  <c r="P20" i="82"/>
  <c r="BK20" i="82"/>
  <c r="CI20" i="82"/>
  <c r="AR20" i="82"/>
  <c r="AF20" i="82"/>
  <c r="DL20" i="82"/>
  <c r="Y20" i="82"/>
  <c r="BN20" i="82"/>
  <c r="BA21" i="82"/>
  <c r="BG20" i="82"/>
  <c r="CP20" i="82"/>
  <c r="CE20" i="82"/>
  <c r="B20" i="82"/>
  <c r="A21" i="82" s="1"/>
  <c r="D20" i="82"/>
  <c r="AI20" i="82"/>
  <c r="CZ20" i="82"/>
  <c r="K20" i="82"/>
  <c r="CO20" i="82"/>
  <c r="AG20" i="82"/>
  <c r="I20" i="82"/>
  <c r="AY20" i="82"/>
  <c r="J223" i="49"/>
  <c r="Q4" i="11"/>
  <c r="Q3" i="11"/>
  <c r="Q2" i="11"/>
  <c r="AX22" i="82" l="1"/>
  <c r="BA22" i="82"/>
  <c r="CK21" i="82"/>
  <c r="CO21" i="82"/>
  <c r="B21" i="82"/>
  <c r="A22" i="82" s="1"/>
  <c r="H21" i="82"/>
  <c r="AH21" i="82"/>
  <c r="AI21" i="82"/>
  <c r="I21" i="82"/>
  <c r="P21" i="82"/>
  <c r="BN21" i="82"/>
  <c r="AG21" i="82"/>
  <c r="CH21" i="82"/>
  <c r="CZ21" i="82"/>
  <c r="AO21" i="82"/>
  <c r="AP21" i="82"/>
  <c r="AS21" i="82"/>
  <c r="D21" i="82"/>
  <c r="M21" i="82"/>
  <c r="AR21" i="82"/>
  <c r="CR21" i="82"/>
  <c r="BK21" i="82"/>
  <c r="O21" i="82"/>
  <c r="DA21" i="82"/>
  <c r="L21" i="82"/>
  <c r="BF21" i="82"/>
  <c r="CP21" i="82"/>
  <c r="E21" i="82"/>
  <c r="AY21" i="82"/>
  <c r="CE21" i="82"/>
  <c r="F21" i="82"/>
  <c r="Y21" i="82"/>
  <c r="DD21" i="82"/>
  <c r="K21" i="82"/>
  <c r="CI21" i="82"/>
  <c r="G21" i="82"/>
  <c r="AF21" i="82"/>
  <c r="BG21" i="82"/>
  <c r="DM21" i="82"/>
  <c r="AJ21" i="82"/>
  <c r="DL21" i="82"/>
  <c r="J21" i="82"/>
  <c r="AL21" i="82"/>
  <c r="C20" i="82"/>
  <c r="J224" i="49"/>
  <c r="D11" i="64"/>
  <c r="D12" i="64" s="1"/>
  <c r="C3" i="64"/>
  <c r="E10" i="64" s="1"/>
  <c r="G10" i="64" s="1"/>
  <c r="G31" i="49"/>
  <c r="AF22" i="82" l="1"/>
  <c r="C21" i="82"/>
  <c r="AX23" i="82"/>
  <c r="AJ22" i="82"/>
  <c r="AY22" i="82"/>
  <c r="L22" i="82"/>
  <c r="CR22" i="82"/>
  <c r="AO22" i="82"/>
  <c r="AL22" i="82"/>
  <c r="J22" i="82"/>
  <c r="B22" i="82"/>
  <c r="A23" i="82" s="1"/>
  <c r="DL22" i="82"/>
  <c r="AS22" i="82"/>
  <c r="I22" i="82"/>
  <c r="CK22" i="82"/>
  <c r="DM22" i="82"/>
  <c r="D22" i="82"/>
  <c r="Y22" i="82"/>
  <c r="DA22" i="82"/>
  <c r="AP22" i="82"/>
  <c r="CH22" i="82"/>
  <c r="M22" i="82"/>
  <c r="P22" i="82"/>
  <c r="CP22" i="82"/>
  <c r="BF22" i="82"/>
  <c r="DD22" i="82"/>
  <c r="AI22" i="82"/>
  <c r="BN22" i="82"/>
  <c r="CI22" i="82"/>
  <c r="O22" i="82"/>
  <c r="F22" i="82"/>
  <c r="AH22" i="82"/>
  <c r="K22" i="82"/>
  <c r="BA23" i="82"/>
  <c r="BG22" i="82"/>
  <c r="CE22" i="82"/>
  <c r="BK22" i="82"/>
  <c r="CZ22" i="82"/>
  <c r="G22" i="82"/>
  <c r="E22" i="82"/>
  <c r="AR22" i="82"/>
  <c r="AG22" i="82"/>
  <c r="CO22" i="82"/>
  <c r="H22" i="82"/>
  <c r="J225" i="49"/>
  <c r="F10" i="64"/>
  <c r="C4" i="64"/>
  <c r="D13" i="64"/>
  <c r="E12" i="64"/>
  <c r="H12" i="64" s="1"/>
  <c r="E11" i="64"/>
  <c r="C22" i="82" l="1"/>
  <c r="O23" i="82"/>
  <c r="M23" i="82"/>
  <c r="H23" i="82"/>
  <c r="CE23" i="82"/>
  <c r="BA24" i="82"/>
  <c r="AP23" i="82"/>
  <c r="DM23" i="82"/>
  <c r="I23" i="82"/>
  <c r="B23" i="82"/>
  <c r="C23" i="82" s="1"/>
  <c r="D23" i="82"/>
  <c r="E23" i="82"/>
  <c r="BK23" i="82"/>
  <c r="BG23" i="82"/>
  <c r="AJ23" i="82"/>
  <c r="AI23" i="82"/>
  <c r="AO23" i="82"/>
  <c r="L23" i="82"/>
  <c r="AR23" i="82"/>
  <c r="AL23" i="82"/>
  <c r="AF23" i="82"/>
  <c r="AH23" i="82"/>
  <c r="BF23" i="82"/>
  <c r="DD23" i="82"/>
  <c r="BN23" i="82"/>
  <c r="G23" i="82"/>
  <c r="CR23" i="82"/>
  <c r="DL23" i="82"/>
  <c r="CI23" i="82"/>
  <c r="P23" i="82"/>
  <c r="CO23" i="82"/>
  <c r="Y23" i="82"/>
  <c r="J23" i="82"/>
  <c r="DA23" i="82"/>
  <c r="AG23" i="82"/>
  <c r="AX24" i="82"/>
  <c r="K23" i="82"/>
  <c r="CK23" i="82"/>
  <c r="AS23" i="82"/>
  <c r="F23" i="82"/>
  <c r="AY23" i="82"/>
  <c r="CP23" i="82"/>
  <c r="CZ23" i="82"/>
  <c r="CH23" i="82"/>
  <c r="J226" i="49"/>
  <c r="G11" i="64"/>
  <c r="F11" i="64"/>
  <c r="G12" i="64"/>
  <c r="F12" i="64"/>
  <c r="D14" i="64"/>
  <c r="E13" i="64"/>
  <c r="Z6" i="63"/>
  <c r="Z7" i="63"/>
  <c r="Z8" i="63"/>
  <c r="Z10" i="63"/>
  <c r="Z11" i="63"/>
  <c r="Z12" i="63"/>
  <c r="Z13" i="63"/>
  <c r="Z14" i="63"/>
  <c r="Z15" i="63"/>
  <c r="Z9" i="63"/>
  <c r="Q11" i="82"/>
  <c r="R4" i="11"/>
  <c r="R3" i="11"/>
  <c r="R2" i="11"/>
  <c r="A24" i="82" l="1"/>
  <c r="I24" i="82" s="1"/>
  <c r="Q12" i="82"/>
  <c r="Q13" i="82" s="1"/>
  <c r="Q14" i="82" s="1"/>
  <c r="Q15" i="82" s="1"/>
  <c r="Q16" i="82" s="1"/>
  <c r="Q17" i="82" s="1"/>
  <c r="Q18" i="82" s="1"/>
  <c r="Q19" i="82" s="1"/>
  <c r="Q20" i="82" s="1"/>
  <c r="Q21" i="82" s="1"/>
  <c r="Q22" i="82" s="1"/>
  <c r="Q23" i="82" s="1"/>
  <c r="R11" i="82"/>
  <c r="R12" i="82" s="1"/>
  <c r="R13" i="82" s="1"/>
  <c r="R14" i="82" s="1"/>
  <c r="R15" i="82" s="1"/>
  <c r="R16" i="82" s="1"/>
  <c r="R17" i="82" s="1"/>
  <c r="R18" i="82" s="1"/>
  <c r="R19" i="82" s="1"/>
  <c r="R20" i="82" s="1"/>
  <c r="R21" i="82" s="1"/>
  <c r="R22" i="82" s="1"/>
  <c r="R23" i="82" s="1"/>
  <c r="J227" i="49"/>
  <c r="R5" i="11"/>
  <c r="G13" i="64"/>
  <c r="F13" i="64"/>
  <c r="D15" i="64"/>
  <c r="E14" i="64"/>
  <c r="R8" i="11" l="1"/>
  <c r="S8" i="11" s="1"/>
  <c r="R24" i="82"/>
  <c r="Q24" i="82"/>
  <c r="BF24" i="82"/>
  <c r="CO24" i="82"/>
  <c r="CR24" i="82"/>
  <c r="AS24" i="82"/>
  <c r="DM24" i="82"/>
  <c r="L24" i="82"/>
  <c r="K24" i="82"/>
  <c r="BA25" i="82"/>
  <c r="B24" i="82"/>
  <c r="A25" i="82" s="1"/>
  <c r="DL24" i="82"/>
  <c r="CE24" i="82"/>
  <c r="AP24" i="82"/>
  <c r="H24" i="82"/>
  <c r="AY24" i="82"/>
  <c r="AR24" i="82"/>
  <c r="G24" i="82"/>
  <c r="BG24" i="82"/>
  <c r="AO24" i="82"/>
  <c r="DD24" i="82"/>
  <c r="AL24" i="82"/>
  <c r="BN24" i="82"/>
  <c r="O24" i="82"/>
  <c r="CI24" i="82"/>
  <c r="E24" i="82"/>
  <c r="F24" i="82"/>
  <c r="CK24" i="82"/>
  <c r="DA24" i="82"/>
  <c r="CZ24" i="82"/>
  <c r="AF24" i="82"/>
  <c r="CP24" i="82"/>
  <c r="AX25" i="82"/>
  <c r="BK24" i="82"/>
  <c r="P24" i="82"/>
  <c r="AJ24" i="82"/>
  <c r="J24" i="82"/>
  <c r="M24" i="82"/>
  <c r="Y24" i="82"/>
  <c r="AI24" i="82"/>
  <c r="AG24" i="82"/>
  <c r="AH24" i="82"/>
  <c r="CH24" i="82"/>
  <c r="D24" i="82"/>
  <c r="J228" i="49"/>
  <c r="R7" i="11"/>
  <c r="S7" i="11" s="1"/>
  <c r="G14" i="64"/>
  <c r="F14" i="64"/>
  <c r="D16" i="64"/>
  <c r="E15" i="64"/>
  <c r="R10" i="11" l="1"/>
  <c r="CH25" i="82"/>
  <c r="DM25" i="82"/>
  <c r="P25" i="82"/>
  <c r="AG25" i="82"/>
  <c r="CI25" i="82"/>
  <c r="CO25" i="82"/>
  <c r="K25" i="82"/>
  <c r="BF25" i="82"/>
  <c r="CE25" i="82"/>
  <c r="DA25" i="82"/>
  <c r="G25" i="82"/>
  <c r="Q25" i="82"/>
  <c r="BK25" i="82"/>
  <c r="AO25" i="82"/>
  <c r="CZ25" i="82"/>
  <c r="AF25" i="82"/>
  <c r="E25" i="82"/>
  <c r="AS25" i="82"/>
  <c r="O25" i="82"/>
  <c r="AX26" i="82"/>
  <c r="BN25" i="82"/>
  <c r="AH25" i="82"/>
  <c r="BA26" i="82"/>
  <c r="B25" i="82"/>
  <c r="A26" i="82" s="1"/>
  <c r="CP25" i="82"/>
  <c r="AY25" i="82"/>
  <c r="H25" i="82"/>
  <c r="R25" i="82"/>
  <c r="D25" i="82"/>
  <c r="F25" i="82"/>
  <c r="AR25" i="82"/>
  <c r="C24" i="82"/>
  <c r="I25" i="82"/>
  <c r="AL25" i="82"/>
  <c r="L25" i="82"/>
  <c r="AI25" i="82"/>
  <c r="AJ25" i="82"/>
  <c r="CK25" i="82"/>
  <c r="M25" i="82"/>
  <c r="BG25" i="82"/>
  <c r="Y25" i="82"/>
  <c r="DD25" i="82"/>
  <c r="CR25" i="82"/>
  <c r="AP25" i="82"/>
  <c r="J25" i="82"/>
  <c r="DL25" i="82"/>
  <c r="J229" i="49"/>
  <c r="F15" i="64"/>
  <c r="G15" i="64"/>
  <c r="D17" i="64"/>
  <c r="E16" i="64"/>
  <c r="H6" i="62"/>
  <c r="G6" i="62"/>
  <c r="C4" i="62"/>
  <c r="C2" i="62"/>
  <c r="C1" i="62"/>
  <c r="C4" i="49"/>
  <c r="C2" i="49"/>
  <c r="C1" i="49"/>
  <c r="E41" i="62"/>
  <c r="E42" i="62" s="1"/>
  <c r="E43" i="62" s="1"/>
  <c r="E44" i="62" s="1"/>
  <c r="E45" i="62" s="1"/>
  <c r="E46" i="62" s="1"/>
  <c r="E47" i="62" s="1"/>
  <c r="E48" i="62" s="1"/>
  <c r="E49" i="62" s="1"/>
  <c r="E50" i="62" s="1"/>
  <c r="E51" i="62" s="1"/>
  <c r="E52" i="62" s="1"/>
  <c r="E53" i="62" s="1"/>
  <c r="E54" i="62" s="1"/>
  <c r="E55" i="62" s="1"/>
  <c r="E56" i="62" s="1"/>
  <c r="E57" i="62" s="1"/>
  <c r="E58" i="62" s="1"/>
  <c r="E59" i="62" s="1"/>
  <c r="E60" i="62" s="1"/>
  <c r="E61" i="62" s="1"/>
  <c r="E62" i="62" s="1"/>
  <c r="E63" i="62" s="1"/>
  <c r="E64" i="62" s="1"/>
  <c r="E65" i="62" s="1"/>
  <c r="E9" i="62"/>
  <c r="E10" i="62" s="1"/>
  <c r="E11" i="62" s="1"/>
  <c r="E12" i="62" s="1"/>
  <c r="E13" i="62" s="1"/>
  <c r="E14" i="62" s="1"/>
  <c r="E15" i="62" s="1"/>
  <c r="E16" i="62" s="1"/>
  <c r="E17" i="62" s="1"/>
  <c r="E18" i="62" s="1"/>
  <c r="E19" i="62" s="1"/>
  <c r="E20" i="62" s="1"/>
  <c r="E21" i="62" s="1"/>
  <c r="E22" i="62" s="1"/>
  <c r="E23" i="62" s="1"/>
  <c r="E24" i="62" s="1"/>
  <c r="E25" i="62" s="1"/>
  <c r="E26" i="62" s="1"/>
  <c r="E27" i="62" s="1"/>
  <c r="E28" i="62" s="1"/>
  <c r="E29" i="62" s="1"/>
  <c r="E30" i="62" s="1"/>
  <c r="E31" i="62" s="1"/>
  <c r="E32" i="62" s="1"/>
  <c r="E33" i="62" s="1"/>
  <c r="E34" i="62" s="1"/>
  <c r="E35" i="62" s="1"/>
  <c r="E36" i="62" s="1"/>
  <c r="E37" i="62" s="1"/>
  <c r="O3" i="16"/>
  <c r="O4" i="16"/>
  <c r="N3" i="16"/>
  <c r="N4" i="16"/>
  <c r="M4" i="16"/>
  <c r="M3" i="16"/>
  <c r="L3" i="16"/>
  <c r="J3" i="16"/>
  <c r="AW11" i="82"/>
  <c r="AI3" i="49" l="1"/>
  <c r="BQ2" i="49"/>
  <c r="DC7" i="30" s="1"/>
  <c r="DC6" i="30" s="1"/>
  <c r="BP2" i="49"/>
  <c r="AK3" i="49"/>
  <c r="AK2" i="49" s="1"/>
  <c r="B1" i="80"/>
  <c r="C1" i="80" s="1"/>
  <c r="AB3" i="49"/>
  <c r="AB2" i="49" s="1"/>
  <c r="O2" i="49"/>
  <c r="AD11" i="82" s="1"/>
  <c r="AJ3" i="49"/>
  <c r="AH2" i="49"/>
  <c r="EB3" i="49"/>
  <c r="DW7" i="30" s="1"/>
  <c r="DW6" i="30" s="1"/>
  <c r="CO26" i="82"/>
  <c r="AS26" i="82"/>
  <c r="Y26" i="82"/>
  <c r="CZ26" i="82"/>
  <c r="DL26" i="82"/>
  <c r="DD26" i="82"/>
  <c r="I26" i="82"/>
  <c r="P26" i="82"/>
  <c r="CP26" i="82"/>
  <c r="G26" i="82"/>
  <c r="BF26" i="82"/>
  <c r="DM26" i="82"/>
  <c r="AI26" i="82"/>
  <c r="AF26" i="82"/>
  <c r="O26" i="82"/>
  <c r="R26" i="82"/>
  <c r="CE26" i="82"/>
  <c r="K26" i="82"/>
  <c r="AJ26" i="82"/>
  <c r="CR26" i="82"/>
  <c r="F26" i="82"/>
  <c r="AY26" i="82"/>
  <c r="CI26" i="82"/>
  <c r="H26" i="82"/>
  <c r="CH26" i="82"/>
  <c r="C25" i="82"/>
  <c r="E26" i="82"/>
  <c r="AG26" i="82"/>
  <c r="CK26" i="82"/>
  <c r="AH26" i="82"/>
  <c r="BA27" i="82"/>
  <c r="AL26" i="82"/>
  <c r="B26" i="82"/>
  <c r="A27" i="82" s="1"/>
  <c r="J26" i="82"/>
  <c r="AO26" i="82"/>
  <c r="L26" i="82"/>
  <c r="BG26" i="82"/>
  <c r="AZ11" i="82"/>
  <c r="AZ12" i="82" s="1"/>
  <c r="AZ13" i="82" s="1"/>
  <c r="AZ14" i="82" s="1"/>
  <c r="AZ15" i="82" s="1"/>
  <c r="AZ16" i="82" s="1"/>
  <c r="AZ17" i="82" s="1"/>
  <c r="AZ18" i="82" s="1"/>
  <c r="AZ19" i="82" s="1"/>
  <c r="AP26" i="82"/>
  <c r="D26" i="82"/>
  <c r="DA26" i="82"/>
  <c r="BN26" i="82"/>
  <c r="BK26" i="82"/>
  <c r="AX27" i="82"/>
  <c r="Q26" i="82"/>
  <c r="M26" i="82"/>
  <c r="AR26" i="82"/>
  <c r="CH3" i="49"/>
  <c r="CI3" i="49"/>
  <c r="Q3" i="49"/>
  <c r="P3" i="49"/>
  <c r="R3" i="49"/>
  <c r="AW12" i="82"/>
  <c r="AW13" i="82" s="1"/>
  <c r="AW14" i="82" s="1"/>
  <c r="AW15" i="82" s="1"/>
  <c r="AW16" i="82" s="1"/>
  <c r="AW17" i="82" s="1"/>
  <c r="AW18" i="82" s="1"/>
  <c r="AW19" i="82" s="1"/>
  <c r="AW20" i="82" s="1"/>
  <c r="AW21" i="82" s="1"/>
  <c r="AW22" i="82" s="1"/>
  <c r="AW23" i="82" s="1"/>
  <c r="AW24" i="82" s="1"/>
  <c r="AW25" i="82" s="1"/>
  <c r="AW26" i="82" s="1"/>
  <c r="AW5" i="82"/>
  <c r="DG2" i="49"/>
  <c r="BH11" i="82"/>
  <c r="BH5" i="82" s="1"/>
  <c r="AQ7" i="82"/>
  <c r="AQ6" i="82" s="1"/>
  <c r="J230" i="49"/>
  <c r="BY3" i="49"/>
  <c r="AT7" i="82" s="1"/>
  <c r="AT6" i="82" s="1"/>
  <c r="C3" i="49" a="1"/>
  <c r="C3" i="49" s="1"/>
  <c r="L3" i="49"/>
  <c r="F16" i="64"/>
  <c r="G16" i="64"/>
  <c r="D18" i="64"/>
  <c r="E17" i="64"/>
  <c r="H17" i="64" s="1"/>
  <c r="C3" i="62" a="1"/>
  <c r="C3" i="62" s="1"/>
  <c r="CX8" i="30" l="1"/>
  <c r="CP7" i="30"/>
  <c r="CP6" i="30" s="1"/>
  <c r="Q2" i="49"/>
  <c r="DP8" i="30"/>
  <c r="CY8" i="82"/>
  <c r="CY11" i="82" s="1"/>
  <c r="CY5" i="82" s="1"/>
  <c r="BX11" i="82"/>
  <c r="BX12" i="82" s="1"/>
  <c r="BX13" i="82" s="1"/>
  <c r="BX14" i="82" s="1"/>
  <c r="BX15" i="82" s="1"/>
  <c r="BX16" i="82" s="1"/>
  <c r="BX8" i="82"/>
  <c r="AZ5" i="82"/>
  <c r="C26" i="82"/>
  <c r="AF27" i="82"/>
  <c r="AL27" i="82"/>
  <c r="F27" i="82"/>
  <c r="L27" i="82"/>
  <c r="BG27" i="82"/>
  <c r="CP27" i="82"/>
  <c r="B27" i="82"/>
  <c r="C27" i="82" s="1"/>
  <c r="CR27" i="82"/>
  <c r="CI27" i="82"/>
  <c r="E27" i="82"/>
  <c r="K27" i="82"/>
  <c r="R27" i="82"/>
  <c r="Q27" i="82"/>
  <c r="Y27" i="82"/>
  <c r="DD27" i="82"/>
  <c r="I27" i="82"/>
  <c r="AS27" i="82"/>
  <c r="DM27" i="82"/>
  <c r="AO27" i="82"/>
  <c r="DA27" i="82"/>
  <c r="CH27" i="82"/>
  <c r="BK27" i="82"/>
  <c r="AX28" i="82"/>
  <c r="H27" i="82"/>
  <c r="O27" i="82"/>
  <c r="CE27" i="82"/>
  <c r="CO27" i="82"/>
  <c r="BF27" i="82"/>
  <c r="AJ27" i="82"/>
  <c r="DL27" i="82"/>
  <c r="D27" i="82"/>
  <c r="AI27" i="82"/>
  <c r="AP27" i="82"/>
  <c r="M27" i="82"/>
  <c r="BN27" i="82"/>
  <c r="P27" i="82"/>
  <c r="AR27" i="82"/>
  <c r="AY27" i="82"/>
  <c r="AH27" i="82"/>
  <c r="AG27" i="82"/>
  <c r="CK27" i="82"/>
  <c r="BA28" i="82"/>
  <c r="J27" i="82"/>
  <c r="CZ27" i="82"/>
  <c r="G27" i="82"/>
  <c r="AW27" i="82"/>
  <c r="CQ8" i="82"/>
  <c r="CQ11" i="82" s="1"/>
  <c r="CF8" i="30"/>
  <c r="CT7" i="82"/>
  <c r="CT6" i="82" s="1"/>
  <c r="CS7" i="82"/>
  <c r="CS6" i="82" s="1"/>
  <c r="AD12" i="82"/>
  <c r="AD13" i="82" s="1"/>
  <c r="AD14" i="82" s="1"/>
  <c r="AD15" i="82" s="1"/>
  <c r="AD16" i="82" s="1"/>
  <c r="AD17" i="82" s="1"/>
  <c r="AD18" i="82" s="1"/>
  <c r="AD19" i="82" s="1"/>
  <c r="AD20" i="82" s="1"/>
  <c r="AD21" i="82" s="1"/>
  <c r="AD22" i="82" s="1"/>
  <c r="AD23" i="82" s="1"/>
  <c r="AD24" i="82" s="1"/>
  <c r="AD25" i="82" s="1"/>
  <c r="AD26" i="82" s="1"/>
  <c r="AD27" i="82" s="1"/>
  <c r="AD5" i="82"/>
  <c r="DL8" i="30"/>
  <c r="CG8" i="82"/>
  <c r="CG11" i="82" s="1"/>
  <c r="CG5" i="82" s="1"/>
  <c r="J231" i="49"/>
  <c r="G17" i="64"/>
  <c r="F17" i="64"/>
  <c r="D19" i="64"/>
  <c r="E18" i="64"/>
  <c r="H4" i="62"/>
  <c r="G2" i="62" s="1"/>
  <c r="AM3" i="49" s="1"/>
  <c r="AM2" i="49" s="1"/>
  <c r="DK7" i="30" s="1"/>
  <c r="DK6" i="30" s="1"/>
  <c r="G4" i="62"/>
  <c r="BX5" i="82" l="1"/>
  <c r="A28" i="82"/>
  <c r="AH28" i="82" s="1"/>
  <c r="CQ12" i="82"/>
  <c r="CQ13" i="82" s="1"/>
  <c r="CQ5" i="82"/>
  <c r="AE7" i="82"/>
  <c r="AE6" i="82" s="1"/>
  <c r="CN7" i="82"/>
  <c r="CN6" i="82" s="1"/>
  <c r="J232" i="49"/>
  <c r="G18" i="64"/>
  <c r="F18" i="64"/>
  <c r="D20" i="64"/>
  <c r="E19" i="64"/>
  <c r="CU7" i="49"/>
  <c r="CV7" i="49"/>
  <c r="CW7" i="49"/>
  <c r="CU8" i="49"/>
  <c r="CV8" i="49"/>
  <c r="CW8" i="49"/>
  <c r="CU9" i="49"/>
  <c r="CV9" i="49"/>
  <c r="CW9" i="49"/>
  <c r="CU10" i="49"/>
  <c r="CV10" i="49"/>
  <c r="CW10" i="49"/>
  <c r="CU11" i="49"/>
  <c r="CV11" i="49"/>
  <c r="CW11" i="49"/>
  <c r="CU12" i="49"/>
  <c r="CV12" i="49"/>
  <c r="CW12" i="49"/>
  <c r="CU13" i="49"/>
  <c r="CV13" i="49"/>
  <c r="CW13" i="49"/>
  <c r="CU14" i="49"/>
  <c r="CV14" i="49"/>
  <c r="CW14" i="49"/>
  <c r="CU15" i="49"/>
  <c r="CV15" i="49"/>
  <c r="CW15" i="49"/>
  <c r="CU16" i="49"/>
  <c r="CV16" i="49"/>
  <c r="CW16" i="49"/>
  <c r="CU17" i="49"/>
  <c r="CV17" i="49"/>
  <c r="CW17" i="49"/>
  <c r="CU18" i="49"/>
  <c r="CV18" i="49"/>
  <c r="CW18" i="49"/>
  <c r="CU19" i="49"/>
  <c r="CV19" i="49"/>
  <c r="CW19" i="49"/>
  <c r="CU20" i="49"/>
  <c r="CV20" i="49"/>
  <c r="CW20" i="49"/>
  <c r="CU21" i="49"/>
  <c r="CV21" i="49"/>
  <c r="CW21" i="49"/>
  <c r="CU22" i="49"/>
  <c r="CV22" i="49"/>
  <c r="CW22" i="49"/>
  <c r="CU23" i="49"/>
  <c r="CV23" i="49"/>
  <c r="CW23" i="49"/>
  <c r="CU24" i="49"/>
  <c r="CV24" i="49"/>
  <c r="CW24" i="49"/>
  <c r="CU25" i="49"/>
  <c r="CV25" i="49"/>
  <c r="CW25" i="49"/>
  <c r="CU26" i="49"/>
  <c r="CV26" i="49"/>
  <c r="CW26" i="49"/>
  <c r="CU27" i="49"/>
  <c r="CV27" i="49"/>
  <c r="CW27" i="49"/>
  <c r="CU28" i="49"/>
  <c r="CV28" i="49"/>
  <c r="CW28" i="49"/>
  <c r="CU29" i="49"/>
  <c r="CV29" i="49"/>
  <c r="CW29" i="49"/>
  <c r="CU30" i="49"/>
  <c r="CV30" i="49"/>
  <c r="CW30" i="49"/>
  <c r="CU31" i="49"/>
  <c r="CV31" i="49"/>
  <c r="CW31" i="49"/>
  <c r="CU32" i="49"/>
  <c r="CV32" i="49"/>
  <c r="CW32" i="49"/>
  <c r="CU33" i="49"/>
  <c r="CV33" i="49"/>
  <c r="CW33" i="49"/>
  <c r="CU34" i="49"/>
  <c r="CV34" i="49"/>
  <c r="CW34" i="49"/>
  <c r="CU35" i="49"/>
  <c r="CV35" i="49"/>
  <c r="CW35" i="49"/>
  <c r="CU36" i="49"/>
  <c r="CV36" i="49"/>
  <c r="CW36" i="49"/>
  <c r="CU37" i="49"/>
  <c r="CV37" i="49"/>
  <c r="CW37" i="49"/>
  <c r="CU38" i="49"/>
  <c r="CV38" i="49"/>
  <c r="CW38" i="49"/>
  <c r="CU39" i="49"/>
  <c r="CV39" i="49"/>
  <c r="CW39" i="49"/>
  <c r="CU40" i="49"/>
  <c r="CV40" i="49"/>
  <c r="CW40" i="49"/>
  <c r="CU41" i="49"/>
  <c r="CV41" i="49"/>
  <c r="CW41" i="49"/>
  <c r="CU42" i="49"/>
  <c r="CV42" i="49"/>
  <c r="CW42" i="49"/>
  <c r="CU43" i="49"/>
  <c r="CV43" i="49"/>
  <c r="CW43" i="49"/>
  <c r="CU44" i="49"/>
  <c r="CV44" i="49"/>
  <c r="CW44" i="49"/>
  <c r="CU45" i="49"/>
  <c r="CV45" i="49"/>
  <c r="CW45" i="49"/>
  <c r="CU46" i="49"/>
  <c r="CV46" i="49"/>
  <c r="CW46" i="49"/>
  <c r="CU47" i="49"/>
  <c r="CV47" i="49"/>
  <c r="CW47" i="49"/>
  <c r="CU48" i="49"/>
  <c r="CV48" i="49"/>
  <c r="CW48" i="49"/>
  <c r="CU49" i="49"/>
  <c r="CV49" i="49"/>
  <c r="CW49" i="49"/>
  <c r="CU50" i="49"/>
  <c r="CV50" i="49"/>
  <c r="CW50" i="49"/>
  <c r="CU51" i="49"/>
  <c r="CV51" i="49"/>
  <c r="CW51" i="49"/>
  <c r="CU52" i="49"/>
  <c r="CV52" i="49"/>
  <c r="CW52" i="49"/>
  <c r="CU53" i="49"/>
  <c r="CV53" i="49"/>
  <c r="CW53" i="49"/>
  <c r="CU54" i="49"/>
  <c r="CV54" i="49"/>
  <c r="CW54" i="49"/>
  <c r="CU55" i="49"/>
  <c r="CV55" i="49"/>
  <c r="CW55" i="49"/>
  <c r="CU56" i="49"/>
  <c r="CV56" i="49"/>
  <c r="CW56" i="49"/>
  <c r="CU57" i="49"/>
  <c r="CV57" i="49"/>
  <c r="CW57" i="49"/>
  <c r="CU58" i="49"/>
  <c r="CV58" i="49"/>
  <c r="CW58" i="49"/>
  <c r="CU59" i="49"/>
  <c r="CV59" i="49"/>
  <c r="CW59" i="49"/>
  <c r="CU60" i="49"/>
  <c r="CV60" i="49"/>
  <c r="CW60" i="49"/>
  <c r="CU61" i="49"/>
  <c r="CV61" i="49"/>
  <c r="CW61" i="49"/>
  <c r="CU62" i="49"/>
  <c r="CV62" i="49"/>
  <c r="CW62" i="49"/>
  <c r="CU63" i="49"/>
  <c r="CV63" i="49"/>
  <c r="CW63" i="49"/>
  <c r="CU64" i="49"/>
  <c r="CV64" i="49"/>
  <c r="CW64" i="49"/>
  <c r="CU65" i="49"/>
  <c r="CV65" i="49"/>
  <c r="CW65" i="49"/>
  <c r="CU66" i="49"/>
  <c r="CV66" i="49"/>
  <c r="CW66" i="49"/>
  <c r="CU67" i="49"/>
  <c r="CV67" i="49"/>
  <c r="CW67" i="49"/>
  <c r="CU68" i="49"/>
  <c r="CV68" i="49"/>
  <c r="CW68" i="49"/>
  <c r="CU69" i="49"/>
  <c r="CV69" i="49"/>
  <c r="CW69" i="49"/>
  <c r="CU70" i="49"/>
  <c r="CV70" i="49"/>
  <c r="CW70" i="49"/>
  <c r="CU71" i="49"/>
  <c r="CV71" i="49"/>
  <c r="CW71" i="49"/>
  <c r="CU72" i="49"/>
  <c r="CV72" i="49"/>
  <c r="CW72" i="49"/>
  <c r="CU73" i="49"/>
  <c r="CV73" i="49"/>
  <c r="CW73" i="49"/>
  <c r="CU74" i="49"/>
  <c r="CV74" i="49"/>
  <c r="CW74" i="49"/>
  <c r="CU75" i="49"/>
  <c r="CV75" i="49"/>
  <c r="CW75" i="49"/>
  <c r="CU76" i="49"/>
  <c r="CV76" i="49"/>
  <c r="CW76" i="49"/>
  <c r="CU77" i="49"/>
  <c r="CV77" i="49"/>
  <c r="CW77" i="49"/>
  <c r="CU78" i="49"/>
  <c r="CV78" i="49"/>
  <c r="CW78" i="49"/>
  <c r="CU79" i="49"/>
  <c r="CV79" i="49"/>
  <c r="CW79" i="49"/>
  <c r="CU80" i="49"/>
  <c r="CV80" i="49"/>
  <c r="CW80" i="49"/>
  <c r="CU81" i="49"/>
  <c r="CV81" i="49"/>
  <c r="CW81" i="49"/>
  <c r="CU82" i="49"/>
  <c r="CV82" i="49"/>
  <c r="CW82" i="49"/>
  <c r="CU83" i="49"/>
  <c r="CV83" i="49"/>
  <c r="CW83" i="49"/>
  <c r="CU84" i="49"/>
  <c r="CV84" i="49"/>
  <c r="CW84" i="49"/>
  <c r="CU85" i="49"/>
  <c r="CV85" i="49"/>
  <c r="CW85" i="49"/>
  <c r="CU86" i="49"/>
  <c r="CV86" i="49"/>
  <c r="CW86" i="49"/>
  <c r="CU87" i="49"/>
  <c r="CV87" i="49"/>
  <c r="CW87" i="49"/>
  <c r="CU88" i="49"/>
  <c r="CV88" i="49"/>
  <c r="CW88" i="49"/>
  <c r="CU89" i="49"/>
  <c r="CV89" i="49"/>
  <c r="CW89" i="49"/>
  <c r="CU90" i="49"/>
  <c r="CV90" i="49"/>
  <c r="CW90" i="49"/>
  <c r="CU91" i="49"/>
  <c r="CV91" i="49"/>
  <c r="CW91" i="49"/>
  <c r="CU92" i="49"/>
  <c r="CV92" i="49"/>
  <c r="CW92" i="49"/>
  <c r="CU93" i="49"/>
  <c r="CV93" i="49"/>
  <c r="CW93" i="49"/>
  <c r="CU94" i="49"/>
  <c r="CV94" i="49"/>
  <c r="CW94" i="49"/>
  <c r="CU95" i="49"/>
  <c r="CV95" i="49"/>
  <c r="CW95" i="49"/>
  <c r="CU96" i="49"/>
  <c r="CV96" i="49"/>
  <c r="CW96" i="49"/>
  <c r="CU97" i="49"/>
  <c r="CV97" i="49"/>
  <c r="CW97" i="49"/>
  <c r="CU98" i="49"/>
  <c r="CV98" i="49"/>
  <c r="CW98" i="49"/>
  <c r="CU99" i="49"/>
  <c r="CV99" i="49"/>
  <c r="CW99" i="49"/>
  <c r="CU100" i="49"/>
  <c r="CV100" i="49"/>
  <c r="CW100" i="49"/>
  <c r="CU101" i="49"/>
  <c r="CV101" i="49"/>
  <c r="CW101" i="49"/>
  <c r="CU102" i="49"/>
  <c r="CV102" i="49"/>
  <c r="CW102" i="49"/>
  <c r="CU103" i="49"/>
  <c r="CV103" i="49"/>
  <c r="CW103" i="49"/>
  <c r="CU104" i="49"/>
  <c r="CV104" i="49"/>
  <c r="CW104" i="49"/>
  <c r="CU105" i="49"/>
  <c r="CV105" i="49"/>
  <c r="CW105" i="49"/>
  <c r="CU106" i="49"/>
  <c r="CV106" i="49"/>
  <c r="CW106" i="49"/>
  <c r="CU107" i="49"/>
  <c r="CV107" i="49"/>
  <c r="CW107" i="49"/>
  <c r="CU108" i="49"/>
  <c r="CV108" i="49"/>
  <c r="CW108" i="49"/>
  <c r="CU109" i="49"/>
  <c r="CV109" i="49"/>
  <c r="CW109" i="49"/>
  <c r="CU110" i="49"/>
  <c r="CV110" i="49"/>
  <c r="CW110" i="49"/>
  <c r="CU111" i="49"/>
  <c r="CV111" i="49"/>
  <c r="CW111" i="49"/>
  <c r="CU112" i="49"/>
  <c r="CV112" i="49"/>
  <c r="CW112" i="49"/>
  <c r="CU113" i="49"/>
  <c r="CV113" i="49"/>
  <c r="CW113" i="49"/>
  <c r="CU114" i="49"/>
  <c r="CV114" i="49"/>
  <c r="CW114" i="49"/>
  <c r="CU115" i="49"/>
  <c r="CV115" i="49"/>
  <c r="CW115" i="49"/>
  <c r="CU116" i="49"/>
  <c r="CV116" i="49"/>
  <c r="CW116" i="49"/>
  <c r="CU117" i="49"/>
  <c r="CV117" i="49"/>
  <c r="CW117" i="49"/>
  <c r="CU118" i="49"/>
  <c r="CV118" i="49"/>
  <c r="CW118" i="49"/>
  <c r="CU119" i="49"/>
  <c r="CV119" i="49"/>
  <c r="CW119" i="49"/>
  <c r="CU120" i="49"/>
  <c r="CV120" i="49"/>
  <c r="CW120" i="49"/>
  <c r="CU121" i="49"/>
  <c r="CV121" i="49"/>
  <c r="CW121" i="49"/>
  <c r="CU122" i="49"/>
  <c r="CV122" i="49"/>
  <c r="CW122" i="49"/>
  <c r="CU123" i="49"/>
  <c r="CV123" i="49"/>
  <c r="CW123" i="49"/>
  <c r="CU124" i="49"/>
  <c r="CV124" i="49"/>
  <c r="CW124" i="49"/>
  <c r="CU125" i="49"/>
  <c r="CV125" i="49"/>
  <c r="CW125" i="49"/>
  <c r="CU126" i="49"/>
  <c r="CV126" i="49"/>
  <c r="CW126" i="49"/>
  <c r="CU127" i="49"/>
  <c r="CV127" i="49"/>
  <c r="CW127" i="49"/>
  <c r="CU128" i="49"/>
  <c r="CV128" i="49"/>
  <c r="CW128" i="49"/>
  <c r="CU129" i="49"/>
  <c r="CV129" i="49"/>
  <c r="CW129" i="49"/>
  <c r="CU130" i="49"/>
  <c r="CV130" i="49"/>
  <c r="CW130" i="49"/>
  <c r="CU131" i="49"/>
  <c r="CV131" i="49"/>
  <c r="CW131" i="49"/>
  <c r="CU132" i="49"/>
  <c r="CV132" i="49"/>
  <c r="CW132" i="49"/>
  <c r="CU133" i="49"/>
  <c r="CV133" i="49"/>
  <c r="CW133" i="49"/>
  <c r="CU134" i="49"/>
  <c r="CV134" i="49"/>
  <c r="CW134" i="49"/>
  <c r="CU135" i="49"/>
  <c r="CV135" i="49"/>
  <c r="CW135" i="49"/>
  <c r="CU136" i="49"/>
  <c r="CV136" i="49"/>
  <c r="CW136" i="49"/>
  <c r="CU137" i="49"/>
  <c r="CV137" i="49"/>
  <c r="CW137" i="49"/>
  <c r="CU138" i="49"/>
  <c r="CV138" i="49"/>
  <c r="CW138" i="49"/>
  <c r="CU139" i="49"/>
  <c r="CV139" i="49"/>
  <c r="CW139" i="49"/>
  <c r="CU140" i="49"/>
  <c r="CV140" i="49"/>
  <c r="CW140" i="49"/>
  <c r="CU141" i="49"/>
  <c r="CV141" i="49"/>
  <c r="CW141" i="49"/>
  <c r="CU142" i="49"/>
  <c r="CV142" i="49"/>
  <c r="CW142" i="49"/>
  <c r="CU143" i="49"/>
  <c r="CV143" i="49"/>
  <c r="CW143" i="49"/>
  <c r="CU144" i="49"/>
  <c r="CV144" i="49"/>
  <c r="CW144" i="49"/>
  <c r="CU145" i="49"/>
  <c r="CV145" i="49"/>
  <c r="CW145" i="49"/>
  <c r="CU146" i="49"/>
  <c r="CV146" i="49"/>
  <c r="CW146" i="49"/>
  <c r="CU147" i="49"/>
  <c r="CV147" i="49"/>
  <c r="CW147" i="49"/>
  <c r="CU148" i="49"/>
  <c r="CV148" i="49"/>
  <c r="CW148" i="49"/>
  <c r="CU149" i="49"/>
  <c r="CV149" i="49"/>
  <c r="CW149" i="49"/>
  <c r="CU150" i="49"/>
  <c r="CV150" i="49"/>
  <c r="CW150" i="49"/>
  <c r="CU151" i="49"/>
  <c r="CV151" i="49"/>
  <c r="CW151" i="49"/>
  <c r="CU152" i="49"/>
  <c r="CV152" i="49"/>
  <c r="CW152" i="49"/>
  <c r="CU153" i="49"/>
  <c r="CV153" i="49"/>
  <c r="CW153" i="49"/>
  <c r="CU154" i="49"/>
  <c r="CV154" i="49"/>
  <c r="CW154" i="49"/>
  <c r="CU155" i="49"/>
  <c r="CV155" i="49"/>
  <c r="CW155" i="49"/>
  <c r="CU156" i="49"/>
  <c r="CV156" i="49"/>
  <c r="CW156" i="49"/>
  <c r="CU157" i="49"/>
  <c r="CV157" i="49"/>
  <c r="CW157" i="49"/>
  <c r="CU158" i="49"/>
  <c r="CV158" i="49"/>
  <c r="CW158" i="49"/>
  <c r="CU159" i="49"/>
  <c r="CV159" i="49"/>
  <c r="CW159" i="49"/>
  <c r="CU160" i="49"/>
  <c r="CV160" i="49"/>
  <c r="CW160" i="49"/>
  <c r="CU161" i="49"/>
  <c r="CV161" i="49"/>
  <c r="CW161" i="49"/>
  <c r="CU162" i="49"/>
  <c r="CV162" i="49"/>
  <c r="CW162" i="49"/>
  <c r="CU163" i="49"/>
  <c r="CV163" i="49"/>
  <c r="CW163" i="49"/>
  <c r="CU164" i="49"/>
  <c r="CV164" i="49"/>
  <c r="CW164" i="49"/>
  <c r="CU165" i="49"/>
  <c r="CV165" i="49"/>
  <c r="CW165" i="49"/>
  <c r="CU166" i="49"/>
  <c r="CV166" i="49"/>
  <c r="CW166" i="49"/>
  <c r="CU167" i="49"/>
  <c r="CV167" i="49"/>
  <c r="CW167" i="49"/>
  <c r="CU168" i="49"/>
  <c r="CV168" i="49"/>
  <c r="CW168" i="49"/>
  <c r="CU169" i="49"/>
  <c r="CV169" i="49"/>
  <c r="CW169" i="49"/>
  <c r="CU170" i="49"/>
  <c r="CV170" i="49"/>
  <c r="CW170" i="49"/>
  <c r="CU171" i="49"/>
  <c r="CV171" i="49"/>
  <c r="CW171" i="49"/>
  <c r="CU172" i="49"/>
  <c r="CV172" i="49"/>
  <c r="CW172" i="49"/>
  <c r="CU173" i="49"/>
  <c r="CV173" i="49"/>
  <c r="CW173" i="49"/>
  <c r="CU174" i="49"/>
  <c r="CV174" i="49"/>
  <c r="CW174" i="49"/>
  <c r="CU175" i="49"/>
  <c r="CV175" i="49"/>
  <c r="CW175" i="49"/>
  <c r="CU176" i="49"/>
  <c r="CV176" i="49"/>
  <c r="CW176" i="49"/>
  <c r="CU177" i="49"/>
  <c r="CV177" i="49"/>
  <c r="CW177" i="49"/>
  <c r="CU178" i="49"/>
  <c r="CV178" i="49"/>
  <c r="CW178" i="49"/>
  <c r="CU179" i="49"/>
  <c r="CV179" i="49"/>
  <c r="CW179" i="49"/>
  <c r="CU180" i="49"/>
  <c r="CV180" i="49"/>
  <c r="CW180" i="49"/>
  <c r="CU181" i="49"/>
  <c r="CV181" i="49"/>
  <c r="CW181" i="49"/>
  <c r="CU182" i="49"/>
  <c r="CV182" i="49"/>
  <c r="CW182" i="49"/>
  <c r="CU183" i="49"/>
  <c r="CV183" i="49"/>
  <c r="CW183" i="49"/>
  <c r="CU184" i="49"/>
  <c r="CV184" i="49"/>
  <c r="CW184" i="49"/>
  <c r="CU185" i="49"/>
  <c r="CV185" i="49"/>
  <c r="CW185" i="49"/>
  <c r="CU186" i="49"/>
  <c r="CV186" i="49"/>
  <c r="CW186" i="49"/>
  <c r="CU187" i="49"/>
  <c r="CV187" i="49"/>
  <c r="CW187" i="49"/>
  <c r="CU188" i="49"/>
  <c r="CV188" i="49"/>
  <c r="CW188" i="49"/>
  <c r="CU189" i="49"/>
  <c r="CV189" i="49"/>
  <c r="CW189" i="49"/>
  <c r="CU190" i="49"/>
  <c r="CV190" i="49"/>
  <c r="CW190" i="49"/>
  <c r="CU191" i="49"/>
  <c r="CV191" i="49"/>
  <c r="CW191" i="49"/>
  <c r="CU192" i="49"/>
  <c r="CV192" i="49"/>
  <c r="CW192" i="49"/>
  <c r="CU193" i="49"/>
  <c r="CV193" i="49"/>
  <c r="CW193" i="49"/>
  <c r="CU194" i="49"/>
  <c r="CV194" i="49"/>
  <c r="CW194" i="49"/>
  <c r="CU195" i="49"/>
  <c r="CV195" i="49"/>
  <c r="CW195" i="49"/>
  <c r="CU196" i="49"/>
  <c r="CV196" i="49"/>
  <c r="CW196" i="49"/>
  <c r="CU197" i="49"/>
  <c r="CV197" i="49"/>
  <c r="CW197" i="49"/>
  <c r="CU198" i="49"/>
  <c r="CV198" i="49"/>
  <c r="CW198" i="49"/>
  <c r="CU199" i="49"/>
  <c r="CV199" i="49"/>
  <c r="CW199" i="49"/>
  <c r="CU200" i="49"/>
  <c r="CV200" i="49"/>
  <c r="CW200" i="49"/>
  <c r="CU201" i="49"/>
  <c r="CV201" i="49"/>
  <c r="CW201" i="49"/>
  <c r="CU202" i="49"/>
  <c r="CV202" i="49"/>
  <c r="CW202" i="49"/>
  <c r="CU203" i="49"/>
  <c r="CV203" i="49"/>
  <c r="CW203" i="49"/>
  <c r="CU204" i="49"/>
  <c r="CV204" i="49"/>
  <c r="CW204" i="49"/>
  <c r="CU205" i="49"/>
  <c r="CV205" i="49"/>
  <c r="CW205" i="49"/>
  <c r="CU206" i="49"/>
  <c r="CV206" i="49"/>
  <c r="CW206" i="49"/>
  <c r="CU207" i="49"/>
  <c r="CV207" i="49"/>
  <c r="CW207" i="49"/>
  <c r="CU208" i="49"/>
  <c r="CV208" i="49"/>
  <c r="CW208" i="49"/>
  <c r="CU209" i="49"/>
  <c r="CV209" i="49"/>
  <c r="CW209" i="49"/>
  <c r="CU210" i="49"/>
  <c r="CV210" i="49"/>
  <c r="CW210" i="49"/>
  <c r="CU211" i="49"/>
  <c r="CV211" i="49"/>
  <c r="CW211" i="49"/>
  <c r="CU212" i="49"/>
  <c r="CV212" i="49"/>
  <c r="CW212" i="49"/>
  <c r="CU213" i="49"/>
  <c r="CV213" i="49"/>
  <c r="CW213" i="49"/>
  <c r="CU214" i="49"/>
  <c r="CV214" i="49"/>
  <c r="CW214" i="49"/>
  <c r="CU215" i="49"/>
  <c r="CV215" i="49"/>
  <c r="CW215" i="49"/>
  <c r="CU216" i="49"/>
  <c r="CV216" i="49"/>
  <c r="CW216" i="49"/>
  <c r="CU217" i="49"/>
  <c r="CV217" i="49"/>
  <c r="CW217" i="49"/>
  <c r="CU218" i="49"/>
  <c r="CV218" i="49"/>
  <c r="CW218" i="49"/>
  <c r="CU219" i="49"/>
  <c r="CV219" i="49"/>
  <c r="CW219" i="49"/>
  <c r="CU220" i="49"/>
  <c r="CV220" i="49"/>
  <c r="CW220" i="49"/>
  <c r="CU221" i="49"/>
  <c r="CV221" i="49"/>
  <c r="CW221" i="49"/>
  <c r="CU222" i="49"/>
  <c r="CV222" i="49"/>
  <c r="CW222" i="49"/>
  <c r="CU223" i="49"/>
  <c r="CV223" i="49"/>
  <c r="CW223" i="49"/>
  <c r="CU224" i="49"/>
  <c r="CV224" i="49"/>
  <c r="CW224" i="49"/>
  <c r="CU225" i="49"/>
  <c r="CV225" i="49"/>
  <c r="CW225" i="49"/>
  <c r="CU226" i="49"/>
  <c r="CV226" i="49"/>
  <c r="CW226" i="49"/>
  <c r="CU227" i="49"/>
  <c r="CV227" i="49"/>
  <c r="CW227" i="49"/>
  <c r="CU228" i="49"/>
  <c r="CV228" i="49"/>
  <c r="CW228" i="49"/>
  <c r="CU229" i="49"/>
  <c r="CV229" i="49"/>
  <c r="CW229" i="49"/>
  <c r="CU230" i="49"/>
  <c r="CV230" i="49"/>
  <c r="CW230" i="49"/>
  <c r="CU231" i="49"/>
  <c r="CV231" i="49"/>
  <c r="CW231" i="49"/>
  <c r="CU232" i="49"/>
  <c r="CV232" i="49"/>
  <c r="CW232" i="49"/>
  <c r="CU233" i="49"/>
  <c r="CV233" i="49"/>
  <c r="CW233" i="49"/>
  <c r="CU234" i="49"/>
  <c r="CV234" i="49"/>
  <c r="CW234" i="49"/>
  <c r="CW6" i="49"/>
  <c r="CV6" i="49"/>
  <c r="CU6" i="49"/>
  <c r="CG8" i="30"/>
  <c r="CL8" i="30"/>
  <c r="BK28" i="82" l="1"/>
  <c r="M28" i="82"/>
  <c r="CR28" i="82"/>
  <c r="E28" i="82"/>
  <c r="CE28" i="82"/>
  <c r="AW28" i="82"/>
  <c r="BA29" i="82"/>
  <c r="AY28" i="82"/>
  <c r="AI28" i="82"/>
  <c r="J28" i="82"/>
  <c r="AP28" i="82"/>
  <c r="CP28" i="82"/>
  <c r="CZ28" i="82"/>
  <c r="BG28" i="82"/>
  <c r="AX29" i="82"/>
  <c r="Y28" i="82"/>
  <c r="F28" i="82"/>
  <c r="BN28" i="82"/>
  <c r="AG28" i="82"/>
  <c r="CI28" i="82"/>
  <c r="L28" i="82"/>
  <c r="CK28" i="82"/>
  <c r="AF28" i="82"/>
  <c r="Q28" i="82"/>
  <c r="DM28" i="82"/>
  <c r="P28" i="82"/>
  <c r="AS28" i="82"/>
  <c r="CH28" i="82"/>
  <c r="AR28" i="82"/>
  <c r="I28" i="82"/>
  <c r="H28" i="82"/>
  <c r="O28" i="82"/>
  <c r="CO28" i="82"/>
  <c r="AJ28" i="82"/>
  <c r="BF28" i="82"/>
  <c r="DA28" i="82"/>
  <c r="K28" i="82"/>
  <c r="G28" i="82"/>
  <c r="AO28" i="82"/>
  <c r="DL28" i="82"/>
  <c r="B28" i="82"/>
  <c r="A29" i="82" s="1"/>
  <c r="R28" i="82"/>
  <c r="D28" i="82"/>
  <c r="AL28" i="82"/>
  <c r="DD28" i="82"/>
  <c r="AD28" i="82"/>
  <c r="J233" i="49"/>
  <c r="J234" i="49"/>
  <c r="G19" i="64"/>
  <c r="F19" i="64"/>
  <c r="D21" i="64"/>
  <c r="E20" i="64"/>
  <c r="BO8" i="30"/>
  <c r="L4" i="16"/>
  <c r="DP3" i="49" s="1"/>
  <c r="CN3" i="49"/>
  <c r="CY7" i="30" s="1"/>
  <c r="CY6" i="30" s="1"/>
  <c r="CO3" i="49"/>
  <c r="AU7" i="82"/>
  <c r="AU6" i="82" s="1"/>
  <c r="L2" i="49"/>
  <c r="AB11" i="82" s="1"/>
  <c r="D39" i="49"/>
  <c r="D40" i="49"/>
  <c r="D41" i="49"/>
  <c r="D42" i="49"/>
  <c r="D43" i="49"/>
  <c r="D44" i="49"/>
  <c r="D45" i="49"/>
  <c r="D46" i="49"/>
  <c r="D47" i="49"/>
  <c r="D48" i="49"/>
  <c r="D49" i="49"/>
  <c r="D50" i="49"/>
  <c r="D51" i="49"/>
  <c r="D52" i="49"/>
  <c r="D53" i="49"/>
  <c r="D54" i="49"/>
  <c r="D55" i="49"/>
  <c r="D56" i="49"/>
  <c r="D57" i="49"/>
  <c r="D58" i="49"/>
  <c r="D59" i="49"/>
  <c r="D60" i="49"/>
  <c r="D61" i="49"/>
  <c r="D62" i="49"/>
  <c r="D63" i="49"/>
  <c r="D64" i="49"/>
  <c r="D65" i="49"/>
  <c r="D66" i="49"/>
  <c r="D67" i="49"/>
  <c r="D68" i="49"/>
  <c r="D69" i="49"/>
  <c r="D70" i="49"/>
  <c r="D71" i="49"/>
  <c r="D72" i="49"/>
  <c r="D73" i="49"/>
  <c r="D74" i="49"/>
  <c r="D75" i="49"/>
  <c r="D76" i="49"/>
  <c r="D77" i="49"/>
  <c r="D78" i="49"/>
  <c r="D79" i="49"/>
  <c r="D80" i="49"/>
  <c r="D81" i="49"/>
  <c r="D82" i="49"/>
  <c r="D83" i="49"/>
  <c r="D84" i="49"/>
  <c r="D85" i="49"/>
  <c r="D86" i="49"/>
  <c r="D87" i="49"/>
  <c r="D88" i="49"/>
  <c r="D89" i="49"/>
  <c r="D90" i="49"/>
  <c r="D91" i="49"/>
  <c r="D92" i="49"/>
  <c r="D93" i="49"/>
  <c r="D94" i="49"/>
  <c r="D95" i="49"/>
  <c r="D96" i="49"/>
  <c r="D97" i="49"/>
  <c r="D98" i="49"/>
  <c r="D99" i="49"/>
  <c r="D100" i="49"/>
  <c r="D101" i="49"/>
  <c r="D102" i="49"/>
  <c r="D103" i="49"/>
  <c r="D104" i="49"/>
  <c r="D105" i="49"/>
  <c r="D106" i="49"/>
  <c r="D107" i="49"/>
  <c r="D108" i="49"/>
  <c r="D109" i="49"/>
  <c r="D110" i="49"/>
  <c r="D111" i="49"/>
  <c r="D112" i="49"/>
  <c r="D113" i="49"/>
  <c r="D114" i="49"/>
  <c r="D115" i="49"/>
  <c r="D116" i="49"/>
  <c r="D117" i="49"/>
  <c r="D118" i="49"/>
  <c r="D119" i="49"/>
  <c r="D120" i="49"/>
  <c r="D121" i="49"/>
  <c r="D122" i="49"/>
  <c r="D123" i="49"/>
  <c r="D124" i="49"/>
  <c r="D125" i="49"/>
  <c r="D126" i="49"/>
  <c r="D127" i="49"/>
  <c r="D128" i="49"/>
  <c r="D129" i="49"/>
  <c r="D130" i="49"/>
  <c r="D131" i="49"/>
  <c r="D132" i="49"/>
  <c r="D133" i="49"/>
  <c r="D134" i="49"/>
  <c r="D135" i="49"/>
  <c r="D136" i="49"/>
  <c r="D137" i="49"/>
  <c r="D138" i="49"/>
  <c r="D139" i="49"/>
  <c r="D140" i="49"/>
  <c r="D141" i="49"/>
  <c r="D142" i="49"/>
  <c r="D143" i="49"/>
  <c r="D144" i="49"/>
  <c r="D145" i="49"/>
  <c r="D146" i="49"/>
  <c r="D147" i="49"/>
  <c r="D148" i="49"/>
  <c r="D149" i="49"/>
  <c r="D150" i="49"/>
  <c r="D151" i="49"/>
  <c r="D152" i="49"/>
  <c r="D153" i="49"/>
  <c r="D154" i="49"/>
  <c r="D155" i="49"/>
  <c r="D156" i="49"/>
  <c r="D157" i="49"/>
  <c r="D158" i="49"/>
  <c r="D159" i="49"/>
  <c r="D160" i="49"/>
  <c r="D161" i="49"/>
  <c r="D162" i="49"/>
  <c r="D163" i="49"/>
  <c r="D164" i="49"/>
  <c r="D165" i="49"/>
  <c r="D166" i="49"/>
  <c r="D167" i="49"/>
  <c r="D168" i="49"/>
  <c r="D169" i="49"/>
  <c r="D170" i="49"/>
  <c r="D171" i="49"/>
  <c r="D172" i="49"/>
  <c r="D173" i="49"/>
  <c r="D174" i="49"/>
  <c r="D175" i="49"/>
  <c r="D176" i="49"/>
  <c r="D177" i="49"/>
  <c r="D178" i="49"/>
  <c r="D179" i="49"/>
  <c r="D180" i="49"/>
  <c r="D181" i="49"/>
  <c r="D182" i="49"/>
  <c r="D183" i="49"/>
  <c r="D184" i="49"/>
  <c r="D185" i="49"/>
  <c r="D186" i="49"/>
  <c r="D187" i="49"/>
  <c r="D188" i="49"/>
  <c r="D189" i="49"/>
  <c r="D190" i="49"/>
  <c r="D191" i="49"/>
  <c r="D192" i="49"/>
  <c r="D193" i="49"/>
  <c r="D194" i="49"/>
  <c r="D195" i="49"/>
  <c r="D196" i="49"/>
  <c r="D197" i="49"/>
  <c r="D198" i="49"/>
  <c r="D199" i="49"/>
  <c r="D200" i="49"/>
  <c r="D201" i="49"/>
  <c r="D202" i="49"/>
  <c r="D203" i="49"/>
  <c r="D204" i="49"/>
  <c r="D205" i="49"/>
  <c r="D206" i="49"/>
  <c r="D207" i="49"/>
  <c r="D208" i="49"/>
  <c r="D209" i="49"/>
  <c r="D210" i="49"/>
  <c r="D211" i="49"/>
  <c r="D212" i="49"/>
  <c r="D213" i="49"/>
  <c r="D214" i="49"/>
  <c r="D215" i="49"/>
  <c r="D216" i="49"/>
  <c r="D217" i="49"/>
  <c r="D218" i="49"/>
  <c r="D219" i="49"/>
  <c r="D220" i="49"/>
  <c r="D221" i="49"/>
  <c r="D222" i="49"/>
  <c r="D223" i="49"/>
  <c r="D224" i="49"/>
  <c r="D225" i="49"/>
  <c r="D226" i="49"/>
  <c r="D227" i="49"/>
  <c r="D228" i="49"/>
  <c r="D229" i="49"/>
  <c r="D230" i="49"/>
  <c r="D231" i="49"/>
  <c r="D232" i="49"/>
  <c r="D233" i="49"/>
  <c r="D234" i="49"/>
  <c r="D38" i="49"/>
  <c r="CZ29" i="82" l="1"/>
  <c r="Y29" i="82"/>
  <c r="DD29" i="82"/>
  <c r="D29" i="82"/>
  <c r="M29" i="82"/>
  <c r="AW29" i="82"/>
  <c r="DM29" i="82"/>
  <c r="BA30" i="82"/>
  <c r="DA29" i="82"/>
  <c r="AO29" i="82"/>
  <c r="AY29" i="82"/>
  <c r="AF29" i="82"/>
  <c r="G29" i="82"/>
  <c r="AX30" i="82"/>
  <c r="I29" i="82"/>
  <c r="BF29" i="82"/>
  <c r="K29" i="82"/>
  <c r="L29" i="82"/>
  <c r="R29" i="82"/>
  <c r="CR29" i="82"/>
  <c r="CO29" i="82"/>
  <c r="BN29" i="82"/>
  <c r="J29" i="82"/>
  <c r="P29" i="82"/>
  <c r="AI29" i="82"/>
  <c r="CP29" i="82"/>
  <c r="BG29" i="82"/>
  <c r="CH29" i="82"/>
  <c r="AH29" i="82"/>
  <c r="B29" i="82"/>
  <c r="A30" i="82" s="1"/>
  <c r="AD29" i="82"/>
  <c r="AP29" i="82"/>
  <c r="BK29" i="82"/>
  <c r="AS29" i="82"/>
  <c r="AG29" i="82"/>
  <c r="C28" i="82"/>
  <c r="F29" i="82"/>
  <c r="AR29" i="82"/>
  <c r="Q29" i="82"/>
  <c r="DL29" i="82"/>
  <c r="O29" i="82"/>
  <c r="CE29" i="82"/>
  <c r="AL29" i="82"/>
  <c r="E29" i="82"/>
  <c r="CI29" i="82"/>
  <c r="H29" i="82"/>
  <c r="CK29" i="82"/>
  <c r="AJ29" i="82"/>
  <c r="CB7" i="82"/>
  <c r="CB6" i="82" s="1"/>
  <c r="AB12" i="82"/>
  <c r="AB13" i="82" s="1"/>
  <c r="AB14" i="82" s="1"/>
  <c r="AB15" i="82" s="1"/>
  <c r="AB16" i="82" s="1"/>
  <c r="AB17" i="82" s="1"/>
  <c r="AB18" i="82" s="1"/>
  <c r="AB19" i="82" s="1"/>
  <c r="AB20" i="82" s="1"/>
  <c r="AB21" i="82" s="1"/>
  <c r="AB22" i="82" s="1"/>
  <c r="AB23" i="82" s="1"/>
  <c r="AB24" i="82" s="1"/>
  <c r="AB25" i="82" s="1"/>
  <c r="AB26" i="82" s="1"/>
  <c r="AB27" i="82" s="1"/>
  <c r="AB28" i="82" s="1"/>
  <c r="AB29" i="82" s="1"/>
  <c r="AB5" i="82"/>
  <c r="G20" i="64"/>
  <c r="F20" i="64"/>
  <c r="D22" i="64"/>
  <c r="E21" i="64"/>
  <c r="M2" i="49"/>
  <c r="I30" i="82" l="1"/>
  <c r="H30" i="82"/>
  <c r="AO30" i="82"/>
  <c r="DA30" i="82"/>
  <c r="BA31" i="82"/>
  <c r="M30" i="82"/>
  <c r="E30" i="82"/>
  <c r="CI30" i="82"/>
  <c r="AB30" i="82"/>
  <c r="L30" i="82"/>
  <c r="AP30" i="82"/>
  <c r="G30" i="82"/>
  <c r="AY30" i="82"/>
  <c r="Y30" i="82"/>
  <c r="DM30" i="82"/>
  <c r="AJ30" i="82"/>
  <c r="Q30" i="82"/>
  <c r="J30" i="82"/>
  <c r="CO30" i="82"/>
  <c r="K30" i="82"/>
  <c r="DL30" i="82"/>
  <c r="P30" i="82"/>
  <c r="AH30" i="82"/>
  <c r="BF30" i="82"/>
  <c r="O30" i="82"/>
  <c r="CK30" i="82"/>
  <c r="D30" i="82"/>
  <c r="C29" i="82"/>
  <c r="AF30" i="82"/>
  <c r="BN30" i="82"/>
  <c r="CZ30" i="82"/>
  <c r="DD30" i="82"/>
  <c r="AL30" i="82"/>
  <c r="AG30" i="82"/>
  <c r="B30" i="82"/>
  <c r="A31" i="82" s="1"/>
  <c r="AR30" i="82"/>
  <c r="R30" i="82"/>
  <c r="F30" i="82"/>
  <c r="BG30" i="82"/>
  <c r="CE30" i="82"/>
  <c r="AS30" i="82"/>
  <c r="CP30" i="82"/>
  <c r="AX31" i="82"/>
  <c r="AW30" i="82"/>
  <c r="CH30" i="82"/>
  <c r="AD30" i="82"/>
  <c r="CR30" i="82"/>
  <c r="BK30" i="82"/>
  <c r="AI30" i="82"/>
  <c r="AC6" i="82"/>
  <c r="G21" i="64"/>
  <c r="F21" i="64"/>
  <c r="D23" i="64"/>
  <c r="E22" i="64"/>
  <c r="H22" i="64" s="1"/>
  <c r="AD7" i="30"/>
  <c r="AP31" i="82" l="1"/>
  <c r="DL31" i="82"/>
  <c r="CH31" i="82"/>
  <c r="AF31" i="82"/>
  <c r="AX32" i="82"/>
  <c r="AR31" i="82"/>
  <c r="I31" i="82"/>
  <c r="K31" i="82"/>
  <c r="R31" i="82"/>
  <c r="D31" i="82"/>
  <c r="CO31" i="82"/>
  <c r="AD31" i="82"/>
  <c r="AS31" i="82"/>
  <c r="CK31" i="82"/>
  <c r="J31" i="82"/>
  <c r="BK31" i="82"/>
  <c r="AH31" i="82"/>
  <c r="BN31" i="82"/>
  <c r="AO31" i="82"/>
  <c r="CP31" i="82"/>
  <c r="B31" i="82"/>
  <c r="A32" i="82" s="1"/>
  <c r="O31" i="82"/>
  <c r="Q31" i="82"/>
  <c r="AW31" i="82"/>
  <c r="P31" i="82"/>
  <c r="AI31" i="82"/>
  <c r="AG31" i="82"/>
  <c r="E31" i="82"/>
  <c r="AY31" i="82"/>
  <c r="CE31" i="82"/>
  <c r="BA32" i="82"/>
  <c r="DA31" i="82"/>
  <c r="L31" i="82"/>
  <c r="CR31" i="82"/>
  <c r="BG31" i="82"/>
  <c r="DD31" i="82"/>
  <c r="BF31" i="82"/>
  <c r="AJ31" i="82"/>
  <c r="M31" i="82"/>
  <c r="C30" i="82"/>
  <c r="F31" i="82"/>
  <c r="AL31" i="82"/>
  <c r="CI31" i="82"/>
  <c r="Y31" i="82"/>
  <c r="DM31" i="82"/>
  <c r="H31" i="82"/>
  <c r="CZ31" i="82"/>
  <c r="AB31" i="82"/>
  <c r="G31" i="82"/>
  <c r="G22" i="64"/>
  <c r="F22" i="64"/>
  <c r="D24" i="64"/>
  <c r="E23" i="64"/>
  <c r="DM32" i="82" l="1"/>
  <c r="CE32" i="82"/>
  <c r="H32" i="82"/>
  <c r="AJ32" i="82"/>
  <c r="CP32" i="82"/>
  <c r="K32" i="82"/>
  <c r="B32" i="82"/>
  <c r="C32" i="82" s="1"/>
  <c r="C31" i="82"/>
  <c r="O32" i="82"/>
  <c r="DL32" i="82"/>
  <c r="AD32" i="82"/>
  <c r="BG32" i="82"/>
  <c r="DA32" i="82"/>
  <c r="P32" i="82"/>
  <c r="AS32" i="82"/>
  <c r="D32" i="82"/>
  <c r="Q32" i="82"/>
  <c r="AL32" i="82"/>
  <c r="AO32" i="82"/>
  <c r="AY32" i="82"/>
  <c r="AB32" i="82"/>
  <c r="E32" i="82"/>
  <c r="G32" i="82"/>
  <c r="AX33" i="82"/>
  <c r="Y32" i="82"/>
  <c r="R32" i="82"/>
  <c r="AW32" i="82"/>
  <c r="CR32" i="82"/>
  <c r="J32" i="82"/>
  <c r="BA33" i="82"/>
  <c r="AF32" i="82"/>
  <c r="BN32" i="82"/>
  <c r="BK32" i="82"/>
  <c r="CI32" i="82"/>
  <c r="AH32" i="82"/>
  <c r="CO32" i="82"/>
  <c r="AR32" i="82"/>
  <c r="L32" i="82"/>
  <c r="BF32" i="82"/>
  <c r="CH32" i="82"/>
  <c r="F32" i="82"/>
  <c r="I32" i="82"/>
  <c r="CK32" i="82"/>
  <c r="AG32" i="82"/>
  <c r="DD32" i="82"/>
  <c r="CZ32" i="82"/>
  <c r="AI32" i="82"/>
  <c r="M32" i="82"/>
  <c r="AP32" i="82"/>
  <c r="F23" i="64"/>
  <c r="G23" i="64"/>
  <c r="D25" i="64"/>
  <c r="E24" i="64"/>
  <c r="A33" i="82" l="1"/>
  <c r="DD33" i="82" s="1"/>
  <c r="F24" i="64"/>
  <c r="G24" i="64"/>
  <c r="D26" i="64"/>
  <c r="E25" i="64"/>
  <c r="J7" i="49"/>
  <c r="J8" i="49"/>
  <c r="J9" i="49"/>
  <c r="J10" i="49"/>
  <c r="J11" i="49"/>
  <c r="J12" i="49"/>
  <c r="J13" i="49"/>
  <c r="J14" i="49"/>
  <c r="J15" i="49"/>
  <c r="J16" i="49"/>
  <c r="J17" i="49"/>
  <c r="J18" i="49"/>
  <c r="J19" i="49"/>
  <c r="J20" i="49"/>
  <c r="J21" i="49"/>
  <c r="J22" i="49"/>
  <c r="J23" i="49"/>
  <c r="J24" i="49"/>
  <c r="J25" i="49"/>
  <c r="J26" i="49"/>
  <c r="J27" i="49"/>
  <c r="J28" i="49"/>
  <c r="J29" i="49"/>
  <c r="J30" i="49"/>
  <c r="J31" i="49"/>
  <c r="J32" i="49"/>
  <c r="J33" i="49"/>
  <c r="J34" i="49"/>
  <c r="J35" i="49"/>
  <c r="J36" i="49"/>
  <c r="J37" i="49"/>
  <c r="J38" i="49"/>
  <c r="J39" i="49"/>
  <c r="J40" i="49"/>
  <c r="J41" i="49"/>
  <c r="J42" i="49"/>
  <c r="J43" i="49"/>
  <c r="J44" i="49"/>
  <c r="J45" i="49"/>
  <c r="J46" i="49"/>
  <c r="J47" i="49"/>
  <c r="J48" i="49"/>
  <c r="J49" i="49"/>
  <c r="J50" i="49"/>
  <c r="J51" i="49"/>
  <c r="J52" i="49"/>
  <c r="J53" i="49"/>
  <c r="J54" i="49"/>
  <c r="J55" i="49"/>
  <c r="J56" i="49"/>
  <c r="J57" i="49"/>
  <c r="J58" i="49"/>
  <c r="J59" i="49"/>
  <c r="J60" i="49"/>
  <c r="J61" i="49"/>
  <c r="J62" i="49"/>
  <c r="J63" i="49"/>
  <c r="J64" i="49"/>
  <c r="J65" i="49"/>
  <c r="J66" i="49"/>
  <c r="J67" i="49"/>
  <c r="J68" i="49"/>
  <c r="J69" i="49"/>
  <c r="J70" i="49"/>
  <c r="J71" i="49"/>
  <c r="J72" i="49"/>
  <c r="J73" i="49"/>
  <c r="J74" i="49"/>
  <c r="J75" i="49"/>
  <c r="J76" i="49"/>
  <c r="J77" i="49"/>
  <c r="J78" i="49"/>
  <c r="J79" i="49"/>
  <c r="J80" i="49"/>
  <c r="J81" i="49"/>
  <c r="J82" i="49"/>
  <c r="J83" i="49"/>
  <c r="J84" i="49"/>
  <c r="J85" i="49"/>
  <c r="J86" i="49"/>
  <c r="J87" i="49"/>
  <c r="J88" i="49"/>
  <c r="J89" i="49"/>
  <c r="J90" i="49"/>
  <c r="J91" i="49"/>
  <c r="J92" i="49"/>
  <c r="J93" i="49"/>
  <c r="J94" i="49"/>
  <c r="J95" i="49"/>
  <c r="J96" i="49"/>
  <c r="J97" i="49"/>
  <c r="J98" i="49"/>
  <c r="J99" i="49"/>
  <c r="J100" i="49"/>
  <c r="J101" i="49"/>
  <c r="J102" i="49"/>
  <c r="J103" i="49"/>
  <c r="J104" i="49"/>
  <c r="J105" i="49"/>
  <c r="J106" i="49"/>
  <c r="J107" i="49"/>
  <c r="J108" i="49"/>
  <c r="J109" i="49"/>
  <c r="J110" i="49"/>
  <c r="J111" i="49"/>
  <c r="J112" i="49"/>
  <c r="J113" i="49"/>
  <c r="J114" i="49"/>
  <c r="J115" i="49"/>
  <c r="J116" i="49"/>
  <c r="J117" i="49"/>
  <c r="J118" i="49"/>
  <c r="J119" i="49"/>
  <c r="J120" i="49"/>
  <c r="J121" i="49"/>
  <c r="J122" i="49"/>
  <c r="J123" i="49"/>
  <c r="J124" i="49"/>
  <c r="J125" i="49"/>
  <c r="J126" i="49"/>
  <c r="J127" i="49"/>
  <c r="J128" i="49"/>
  <c r="J129" i="49"/>
  <c r="J130" i="49"/>
  <c r="J131" i="49"/>
  <c r="J132" i="49"/>
  <c r="J133" i="49"/>
  <c r="J134" i="49"/>
  <c r="J135" i="49"/>
  <c r="J136" i="49"/>
  <c r="J137" i="49"/>
  <c r="J138" i="49"/>
  <c r="J139" i="49"/>
  <c r="J140" i="49"/>
  <c r="J141" i="49"/>
  <c r="J142" i="49"/>
  <c r="J143" i="49"/>
  <c r="J144" i="49"/>
  <c r="J145" i="49"/>
  <c r="J146" i="49"/>
  <c r="J147" i="49"/>
  <c r="J148" i="49"/>
  <c r="J149" i="49"/>
  <c r="J150" i="49"/>
  <c r="J151" i="49"/>
  <c r="J152" i="49"/>
  <c r="J153" i="49"/>
  <c r="J154" i="49"/>
  <c r="J155" i="49"/>
  <c r="J156" i="49"/>
  <c r="J157" i="49"/>
  <c r="J158" i="49"/>
  <c r="J159" i="49"/>
  <c r="J160" i="49"/>
  <c r="J161" i="49"/>
  <c r="J162" i="49"/>
  <c r="J163" i="49"/>
  <c r="J164" i="49"/>
  <c r="J165" i="49"/>
  <c r="J166" i="49"/>
  <c r="J167" i="49"/>
  <c r="J168" i="49"/>
  <c r="J169" i="49"/>
  <c r="J170" i="49"/>
  <c r="J171" i="49"/>
  <c r="J172" i="49"/>
  <c r="J173" i="49"/>
  <c r="J174" i="49"/>
  <c r="J175" i="49"/>
  <c r="J176" i="49"/>
  <c r="J177" i="49"/>
  <c r="J178" i="49"/>
  <c r="J179" i="49"/>
  <c r="J180" i="49"/>
  <c r="J181" i="49"/>
  <c r="J182" i="49"/>
  <c r="J183" i="49"/>
  <c r="J184" i="49"/>
  <c r="J185" i="49"/>
  <c r="J186" i="49"/>
  <c r="J187" i="49"/>
  <c r="J188" i="49"/>
  <c r="J189" i="49"/>
  <c r="J190" i="49"/>
  <c r="J191" i="49"/>
  <c r="J192" i="49"/>
  <c r="J193" i="49"/>
  <c r="J194" i="49"/>
  <c r="J195" i="49"/>
  <c r="J196" i="49"/>
  <c r="J197" i="49"/>
  <c r="J198" i="49"/>
  <c r="J199" i="49"/>
  <c r="J200" i="49"/>
  <c r="J201" i="49"/>
  <c r="J202" i="49"/>
  <c r="J203" i="49"/>
  <c r="J204" i="49"/>
  <c r="J205" i="49"/>
  <c r="J206" i="49"/>
  <c r="J207" i="49"/>
  <c r="J208" i="49"/>
  <c r="J209" i="49"/>
  <c r="J210" i="49"/>
  <c r="J211" i="49"/>
  <c r="N35" i="59"/>
  <c r="AC6" i="30"/>
  <c r="AA6" i="30"/>
  <c r="AB6" i="30"/>
  <c r="AB33" i="82" l="1"/>
  <c r="Q33" i="82"/>
  <c r="L33" i="82"/>
  <c r="AI33" i="82"/>
  <c r="AX34" i="82"/>
  <c r="D33" i="82"/>
  <c r="AR33" i="82"/>
  <c r="CI33" i="82"/>
  <c r="Y33" i="82"/>
  <c r="CK33" i="82"/>
  <c r="E33" i="82"/>
  <c r="I33" i="82"/>
  <c r="BK33" i="82"/>
  <c r="DL33" i="82"/>
  <c r="P33" i="82"/>
  <c r="CR33" i="82"/>
  <c r="B33" i="82"/>
  <c r="C33" i="82" s="1"/>
  <c r="CZ33" i="82"/>
  <c r="M33" i="82"/>
  <c r="AW33" i="82"/>
  <c r="CH33" i="82"/>
  <c r="DM33" i="82"/>
  <c r="AS33" i="82"/>
  <c r="AG33" i="82"/>
  <c r="DA33" i="82"/>
  <c r="O33" i="82"/>
  <c r="F33" i="82"/>
  <c r="BF33" i="82"/>
  <c r="AL33" i="82"/>
  <c r="G33" i="82"/>
  <c r="AP33" i="82"/>
  <c r="CE33" i="82"/>
  <c r="AJ33" i="82"/>
  <c r="AH33" i="82"/>
  <c r="AD33" i="82"/>
  <c r="BN33" i="82"/>
  <c r="CO33" i="82"/>
  <c r="H33" i="82"/>
  <c r="BA34" i="82"/>
  <c r="AF33" i="82"/>
  <c r="R33" i="82"/>
  <c r="J33" i="82"/>
  <c r="AY33" i="82"/>
  <c r="K33" i="82"/>
  <c r="CP33" i="82"/>
  <c r="AO33" i="82"/>
  <c r="BG33" i="82"/>
  <c r="F25" i="64"/>
  <c r="G25" i="64"/>
  <c r="D27" i="64"/>
  <c r="E27" i="64" s="1"/>
  <c r="E26" i="64"/>
  <c r="A34" i="82" l="1"/>
  <c r="BN34" i="82" s="1"/>
  <c r="F26" i="64"/>
  <c r="G26" i="64"/>
  <c r="G27" i="64"/>
  <c r="F27" i="64"/>
  <c r="F4" i="16"/>
  <c r="J4" i="2"/>
  <c r="J5" i="2"/>
  <c r="J6" i="2"/>
  <c r="J7" i="2"/>
  <c r="J8" i="2"/>
  <c r="J9" i="2"/>
  <c r="J3" i="2"/>
  <c r="O2" i="61"/>
  <c r="M2" i="61"/>
  <c r="K2" i="61"/>
  <c r="I2" i="61"/>
  <c r="G2" i="61"/>
  <c r="C2" i="61"/>
  <c r="I34" i="82" l="1"/>
  <c r="AG34" i="82"/>
  <c r="F34" i="82"/>
  <c r="AW34" i="82"/>
  <c r="DD34" i="82"/>
  <c r="K34" i="82"/>
  <c r="CI34" i="82"/>
  <c r="Q34" i="82"/>
  <c r="AR34" i="82"/>
  <c r="AB34" i="82"/>
  <c r="CR34" i="82"/>
  <c r="CP34" i="82"/>
  <c r="Y34" i="82"/>
  <c r="DL34" i="82"/>
  <c r="AF34" i="82"/>
  <c r="DM34" i="82"/>
  <c r="CE34" i="82"/>
  <c r="CH34" i="82"/>
  <c r="BK34" i="82"/>
  <c r="AO34" i="82"/>
  <c r="AJ34" i="82"/>
  <c r="AP34" i="82"/>
  <c r="BG34" i="82"/>
  <c r="BA35" i="82"/>
  <c r="AL34" i="82"/>
  <c r="BF34" i="82"/>
  <c r="E34" i="82"/>
  <c r="R34" i="82"/>
  <c r="H34" i="82"/>
  <c r="P34" i="82"/>
  <c r="AS34" i="82"/>
  <c r="B34" i="82"/>
  <c r="C34" i="82" s="1"/>
  <c r="O34" i="82"/>
  <c r="G34" i="82"/>
  <c r="M34" i="82"/>
  <c r="AH34" i="82"/>
  <c r="D34" i="82"/>
  <c r="AD34" i="82"/>
  <c r="CZ34" i="82"/>
  <c r="L34" i="82"/>
  <c r="J34" i="82"/>
  <c r="CK34" i="82"/>
  <c r="AX35" i="82"/>
  <c r="AI34" i="82"/>
  <c r="AY34" i="82"/>
  <c r="CO34" i="82"/>
  <c r="DA34" i="82"/>
  <c r="M1" i="16"/>
  <c r="DJ7" i="30" s="1"/>
  <c r="DJ6" i="30" s="1"/>
  <c r="C6" i="64"/>
  <c r="C7" i="64" s="1"/>
  <c r="H18" i="64" s="1"/>
  <c r="C5" i="64"/>
  <c r="H11" i="64" l="1"/>
  <c r="H16" i="64"/>
  <c r="A35" i="82"/>
  <c r="CF7" i="82"/>
  <c r="CF6" i="82" s="1"/>
  <c r="H20" i="64"/>
  <c r="H10" i="64"/>
  <c r="H15" i="64"/>
  <c r="H27" i="64"/>
  <c r="H25" i="64"/>
  <c r="H21" i="64"/>
  <c r="H19" i="64"/>
  <c r="H13" i="64"/>
  <c r="H24" i="64"/>
  <c r="H23" i="64"/>
  <c r="H14" i="64"/>
  <c r="H26" i="64"/>
  <c r="BF35" i="82" l="1"/>
  <c r="E35" i="82"/>
  <c r="Q35" i="82"/>
  <c r="DM35" i="82"/>
  <c r="F35" i="82"/>
  <c r="D35" i="82"/>
  <c r="CI35" i="82"/>
  <c r="BG35" i="82"/>
  <c r="B35" i="82"/>
  <c r="C35" i="82" s="1"/>
  <c r="G35" i="82"/>
  <c r="L35" i="82"/>
  <c r="AP35" i="82"/>
  <c r="CP35" i="82"/>
  <c r="AR35" i="82"/>
  <c r="R35" i="82"/>
  <c r="DL35" i="82"/>
  <c r="M35" i="82"/>
  <c r="DD35" i="82"/>
  <c r="CK35" i="82"/>
  <c r="AO35" i="82"/>
  <c r="P35" i="82"/>
  <c r="Y35" i="82"/>
  <c r="AG35" i="82"/>
  <c r="I35" i="82"/>
  <c r="BA36" i="82"/>
  <c r="AB35" i="82"/>
  <c r="DA35" i="82"/>
  <c r="BK35" i="82"/>
  <c r="AH35" i="82"/>
  <c r="BN35" i="82"/>
  <c r="H35" i="82"/>
  <c r="CO35" i="82"/>
  <c r="CE35" i="82"/>
  <c r="AI35" i="82"/>
  <c r="AX36" i="82"/>
  <c r="AD35" i="82"/>
  <c r="CZ35" i="82"/>
  <c r="AY35" i="82"/>
  <c r="O35" i="82"/>
  <c r="J35" i="82"/>
  <c r="K35" i="82"/>
  <c r="AJ35" i="82"/>
  <c r="AF35" i="82"/>
  <c r="AW35" i="82"/>
  <c r="AS35" i="82"/>
  <c r="CR35" i="82"/>
  <c r="AL35" i="82"/>
  <c r="CH35" i="82"/>
  <c r="D9" i="30"/>
  <c r="E9" i="30" s="1"/>
  <c r="B6" i="85" s="1"/>
  <c r="B9" i="30"/>
  <c r="T32" i="59"/>
  <c r="S32" i="59"/>
  <c r="A36" i="82" l="1"/>
  <c r="C9" i="30"/>
  <c r="C1" i="63"/>
  <c r="A11" i="30"/>
  <c r="AT11" i="30" s="1"/>
  <c r="AT5" i="30" s="1"/>
  <c r="B2" i="56"/>
  <c r="BQ11" i="30" l="1"/>
  <c r="BQ5" i="30" s="1"/>
  <c r="BR11" i="30"/>
  <c r="BR5" i="30" s="1"/>
  <c r="AL11" i="30"/>
  <c r="AO11" i="30"/>
  <c r="CX7" i="30"/>
  <c r="CX6" i="30" s="1"/>
  <c r="CN11" i="30"/>
  <c r="CN5" i="30" s="1"/>
  <c r="BX11" i="30"/>
  <c r="BX5" i="30" s="1"/>
  <c r="BX3" i="30" s="1"/>
  <c r="BV11" i="30"/>
  <c r="BV5" i="30" s="1"/>
  <c r="BV3" i="30" s="1"/>
  <c r="DY11" i="30"/>
  <c r="DY5" i="30" s="1"/>
  <c r="DY3" i="30" s="1"/>
  <c r="C2" i="77"/>
  <c r="D5" i="85"/>
  <c r="AV11" i="30"/>
  <c r="AV5" i="30" s="1"/>
  <c r="AV3" i="30" s="1"/>
  <c r="EF11" i="30"/>
  <c r="EF5" i="30" s="1"/>
  <c r="EG11" i="30"/>
  <c r="EG5" i="30" s="1"/>
  <c r="BU11" i="30"/>
  <c r="BU5" i="30" s="1"/>
  <c r="BU3" i="30" s="1"/>
  <c r="AM7" i="30"/>
  <c r="AM6" i="30" s="1"/>
  <c r="BW11" i="30"/>
  <c r="BW5" i="30" s="1"/>
  <c r="BW3" i="30" s="1"/>
  <c r="M2" i="63"/>
  <c r="M3" i="63"/>
  <c r="BF11" i="30"/>
  <c r="BF5" i="30" s="1"/>
  <c r="AL36" i="82"/>
  <c r="I36" i="82"/>
  <c r="L36" i="82"/>
  <c r="AI36" i="82"/>
  <c r="CE36" i="82"/>
  <c r="E36" i="82"/>
  <c r="P36" i="82"/>
  <c r="B36" i="82"/>
  <c r="DD36" i="82"/>
  <c r="CP36" i="82"/>
  <c r="DA36" i="82"/>
  <c r="CZ36" i="82"/>
  <c r="AG36" i="82"/>
  <c r="BF36" i="82"/>
  <c r="F36" i="82"/>
  <c r="CO36" i="82"/>
  <c r="AF36" i="82"/>
  <c r="CR36" i="82"/>
  <c r="D36" i="82"/>
  <c r="K36" i="82"/>
  <c r="AH36" i="82"/>
  <c r="AP36" i="82"/>
  <c r="BG36" i="82"/>
  <c r="AR36" i="82"/>
  <c r="CK36" i="82"/>
  <c r="AY36" i="82"/>
  <c r="CI36" i="82"/>
  <c r="AX37" i="82"/>
  <c r="AS36" i="82"/>
  <c r="H36" i="82"/>
  <c r="AB36" i="82"/>
  <c r="Q36" i="82"/>
  <c r="BK36" i="82"/>
  <c r="AJ36" i="82"/>
  <c r="O36" i="82"/>
  <c r="R36" i="82"/>
  <c r="AD36" i="82"/>
  <c r="Y36" i="82"/>
  <c r="BA37" i="82"/>
  <c r="AO36" i="82"/>
  <c r="J36" i="82"/>
  <c r="G36" i="82"/>
  <c r="AW36" i="82"/>
  <c r="BN36" i="82"/>
  <c r="M36" i="82"/>
  <c r="DM36" i="82"/>
  <c r="DL36" i="82"/>
  <c r="CH36" i="82"/>
  <c r="DH11" i="30"/>
  <c r="DH5" i="30" s="1"/>
  <c r="DH3" i="30" s="1"/>
  <c r="BP11" i="30"/>
  <c r="BP5" i="30" s="1"/>
  <c r="DL11" i="30"/>
  <c r="DL5" i="30" s="1"/>
  <c r="DL3" i="30" s="1"/>
  <c r="DB11" i="30"/>
  <c r="DB5" i="30" s="1"/>
  <c r="DZ11" i="30"/>
  <c r="DZ5" i="30" s="1"/>
  <c r="BZ11" i="30"/>
  <c r="BZ5" i="30" s="1"/>
  <c r="BZ3" i="30" s="1"/>
  <c r="DP11" i="30"/>
  <c r="DP5" i="30" s="1"/>
  <c r="DP3" i="30" s="1"/>
  <c r="DX11" i="30"/>
  <c r="DX5" i="30" s="1"/>
  <c r="DX3" i="30" s="1"/>
  <c r="DM11" i="30"/>
  <c r="DM5" i="30" s="1"/>
  <c r="DM3" i="30" s="1"/>
  <c r="BH7" i="30"/>
  <c r="BH6" i="30" s="1"/>
  <c r="CX11" i="30"/>
  <c r="CX5" i="30" s="1"/>
  <c r="CX3" i="30" s="1"/>
  <c r="CD11" i="30"/>
  <c r="CD5" i="30" s="1"/>
  <c r="CD3" i="30" s="1"/>
  <c r="BS11" i="30"/>
  <c r="BS5" i="30" s="1"/>
  <c r="BS3" i="30" s="1"/>
  <c r="CA11" i="30"/>
  <c r="CA5" i="30" s="1"/>
  <c r="CA3" i="30" s="1"/>
  <c r="BL11" i="30"/>
  <c r="BL5" i="30" s="1"/>
  <c r="BM11" i="30"/>
  <c r="BM5" i="30" s="1"/>
  <c r="BI7" i="30"/>
  <c r="BI6" i="30" s="1"/>
  <c r="BH11" i="30"/>
  <c r="BE11" i="30"/>
  <c r="BE5" i="30" s="1"/>
  <c r="BK11" i="30"/>
  <c r="BC11" i="30"/>
  <c r="BG11" i="30"/>
  <c r="BG5" i="30" s="1"/>
  <c r="AX11" i="30"/>
  <c r="AX5" i="30" s="1"/>
  <c r="AK11" i="30"/>
  <c r="AK5" i="30" s="1"/>
  <c r="AP11" i="30"/>
  <c r="DS11" i="30"/>
  <c r="DS5" i="30" s="1"/>
  <c r="DS3" i="30" s="1"/>
  <c r="CJ11" i="30"/>
  <c r="CJ5" i="30" s="1"/>
  <c r="CJ3" i="30" s="1"/>
  <c r="CH11" i="30"/>
  <c r="CH5" i="30" s="1"/>
  <c r="CH3" i="30" s="1"/>
  <c r="DO11" i="30"/>
  <c r="DO5" i="30" s="1"/>
  <c r="DO3" i="30" s="1"/>
  <c r="CG11" i="30"/>
  <c r="CG5" i="30" s="1"/>
  <c r="DN11" i="30"/>
  <c r="DN5" i="30" s="1"/>
  <c r="CF11" i="30"/>
  <c r="CF5" i="30" s="1"/>
  <c r="CF3" i="30" s="1"/>
  <c r="BO11" i="30"/>
  <c r="BO5" i="30" s="1"/>
  <c r="AR11" i="30"/>
  <c r="AW11" i="30"/>
  <c r="AW5" i="30" s="1"/>
  <c r="AW3" i="30" s="1"/>
  <c r="AU7" i="30"/>
  <c r="AU6" i="30" s="1"/>
  <c r="BA6" i="30"/>
  <c r="CL11" i="30"/>
  <c r="CL5" i="30" s="1"/>
  <c r="CL3" i="30" s="1"/>
  <c r="C2" i="64"/>
  <c r="C2" i="69"/>
  <c r="BJ7" i="30"/>
  <c r="BJ6" i="30" s="1"/>
  <c r="EC11" i="30"/>
  <c r="EC5" i="30" s="1"/>
  <c r="EC3" i="30" s="1"/>
  <c r="AI11" i="30"/>
  <c r="AQ7" i="30"/>
  <c r="AQ6" i="30" s="1"/>
  <c r="AG11" i="30"/>
  <c r="AH11" i="30"/>
  <c r="AH5" i="30" s="1"/>
  <c r="AY7" i="30"/>
  <c r="AY6" i="30" s="1"/>
  <c r="BB11" i="30"/>
  <c r="BB5" i="30" s="1"/>
  <c r="B5" i="56"/>
  <c r="DT7" i="30" s="1"/>
  <c r="DT6" i="30" s="1"/>
  <c r="P2" i="63"/>
  <c r="P3" i="63" s="1"/>
  <c r="D1" i="63"/>
  <c r="F3" i="16"/>
  <c r="AN11" i="30"/>
  <c r="AN5" i="30" s="1"/>
  <c r="AE11" i="30"/>
  <c r="AE5" i="30" s="1"/>
  <c r="AS11" i="30"/>
  <c r="AS5" i="30" s="1"/>
  <c r="AF11" i="30"/>
  <c r="AF5" i="30" s="1"/>
  <c r="DQ11" i="30"/>
  <c r="DQ5" i="30" s="1"/>
  <c r="BD7" i="30"/>
  <c r="BD6" i="30" s="1"/>
  <c r="BT7" i="30"/>
  <c r="BT6" i="30" s="1"/>
  <c r="AZ7" i="30"/>
  <c r="AZ6" i="30" s="1"/>
  <c r="DA7" i="30"/>
  <c r="AC11" i="30"/>
  <c r="AC5" i="30" s="1"/>
  <c r="AB11" i="30"/>
  <c r="J11" i="30"/>
  <c r="I11" i="30"/>
  <c r="K11" i="30" s="1"/>
  <c r="B3" i="56" s="1"/>
  <c r="B6" i="56" s="1" a="1"/>
  <c r="B6" i="56" s="1"/>
  <c r="U11" i="82" s="1"/>
  <c r="M11" i="30"/>
  <c r="L11" i="30"/>
  <c r="D11" i="30"/>
  <c r="E11" i="30" s="1"/>
  <c r="B11" i="30"/>
  <c r="F11" i="30"/>
  <c r="H11" i="30" s="1"/>
  <c r="AT36" i="10"/>
  <c r="AT37" i="10" s="1"/>
  <c r="AT38" i="10" s="1"/>
  <c r="AT39" i="10" s="1"/>
  <c r="AT40" i="10" s="1"/>
  <c r="AT41" i="10" s="1"/>
  <c r="AT42" i="10" s="1"/>
  <c r="AT43" i="10" s="1"/>
  <c r="AT44" i="10" s="1"/>
  <c r="AT45" i="10" s="1"/>
  <c r="AT46" i="10" s="1"/>
  <c r="AT47" i="10" s="1"/>
  <c r="AT48" i="10" s="1"/>
  <c r="AT49" i="10" s="1"/>
  <c r="AT50" i="10" s="1"/>
  <c r="AT51" i="10" s="1"/>
  <c r="AT52" i="10" s="1"/>
  <c r="AT53" i="10" s="1"/>
  <c r="AT54" i="10" s="1"/>
  <c r="AT55" i="10" s="1"/>
  <c r="AT56" i="10" s="1"/>
  <c r="AT57" i="10" s="1"/>
  <c r="AT58" i="10" s="1"/>
  <c r="AT59" i="10" s="1"/>
  <c r="AT60" i="10" s="1"/>
  <c r="AL3" i="10"/>
  <c r="AM3" i="10"/>
  <c r="AN3" i="10"/>
  <c r="AO3" i="10"/>
  <c r="AP3" i="10"/>
  <c r="AQ3" i="10"/>
  <c r="AR3" i="10"/>
  <c r="AS3" i="10"/>
  <c r="AT35" i="10"/>
  <c r="AK3" i="10"/>
  <c r="AJ3" i="10"/>
  <c r="AO5" i="30" l="1"/>
  <c r="D5" i="73"/>
  <c r="AL5" i="30"/>
  <c r="D4" i="73"/>
  <c r="AK3" i="30"/>
  <c r="G7" i="73"/>
  <c r="AP5" i="30"/>
  <c r="AP3" i="30" s="1"/>
  <c r="DZ3" i="30"/>
  <c r="CG3" i="30"/>
  <c r="BP3" i="30"/>
  <c r="BO3" i="30"/>
  <c r="G17" i="73"/>
  <c r="AI5" i="30"/>
  <c r="G5" i="73"/>
  <c r="G10" i="73"/>
  <c r="C36" i="82"/>
  <c r="A37" i="82"/>
  <c r="DB7" i="82"/>
  <c r="DB6" i="82" s="1"/>
  <c r="T11" i="82"/>
  <c r="T12" i="82" s="1"/>
  <c r="T13" i="82" s="1"/>
  <c r="T14" i="82" s="1"/>
  <c r="T15" i="82" s="1"/>
  <c r="T16" i="82" s="1"/>
  <c r="T17" i="82" s="1"/>
  <c r="T18" i="82" s="1"/>
  <c r="T19" i="82" s="1"/>
  <c r="T20" i="82" s="1"/>
  <c r="T21" i="82" s="1"/>
  <c r="T22" i="82" s="1"/>
  <c r="T23" i="82" s="1"/>
  <c r="T24" i="82" s="1"/>
  <c r="T25" i="82" s="1"/>
  <c r="T26" i="82" s="1"/>
  <c r="T27" i="82" s="1"/>
  <c r="T28" i="82" s="1"/>
  <c r="T29" i="82" s="1"/>
  <c r="T30" i="82" s="1"/>
  <c r="T31" i="82" s="1"/>
  <c r="T32" i="82" s="1"/>
  <c r="T33" i="82" s="1"/>
  <c r="T34" i="82" s="1"/>
  <c r="T35" i="82" s="1"/>
  <c r="T36" i="82" s="1"/>
  <c r="U12" i="82"/>
  <c r="DC11" i="82"/>
  <c r="DC5" i="82" s="1"/>
  <c r="AG5" i="30"/>
  <c r="G4" i="73"/>
  <c r="BC5" i="30"/>
  <c r="BH5" i="30"/>
  <c r="BK5" i="30"/>
  <c r="AR5" i="30"/>
  <c r="G9" i="73"/>
  <c r="DF2" i="49"/>
  <c r="U2" i="11"/>
  <c r="AD6" i="30"/>
  <c r="C11" i="30"/>
  <c r="C1" i="61" s="1"/>
  <c r="AB5" i="30"/>
  <c r="P11" i="30"/>
  <c r="Q11" i="30" s="1"/>
  <c r="R11" i="30" s="1"/>
  <c r="Y11" i="30"/>
  <c r="M8" i="63" s="1"/>
  <c r="O11" i="30" a="1"/>
  <c r="O11" i="30" s="1"/>
  <c r="G11" i="30"/>
  <c r="D6" i="85"/>
  <c r="B2" i="30"/>
  <c r="B1" i="30"/>
  <c r="D91" i="52"/>
  <c r="D90" i="52"/>
  <c r="D89" i="52"/>
  <c r="D88" i="52"/>
  <c r="D87" i="52"/>
  <c r="D86" i="52"/>
  <c r="D85" i="52"/>
  <c r="D84" i="52"/>
  <c r="D83" i="52"/>
  <c r="D82" i="52"/>
  <c r="D81" i="52"/>
  <c r="D80" i="52"/>
  <c r="D79" i="52"/>
  <c r="D78" i="52"/>
  <c r="D77" i="52"/>
  <c r="D76" i="52"/>
  <c r="D75" i="52"/>
  <c r="D74" i="52"/>
  <c r="D73" i="52"/>
  <c r="D72" i="52"/>
  <c r="D71" i="52"/>
  <c r="D70" i="52"/>
  <c r="D69" i="52"/>
  <c r="D68" i="52"/>
  <c r="D67" i="52"/>
  <c r="D66" i="52"/>
  <c r="W92" i="50"/>
  <c r="W91" i="50"/>
  <c r="W90" i="50"/>
  <c r="W89" i="50"/>
  <c r="W88" i="50"/>
  <c r="W87" i="50"/>
  <c r="W86" i="50"/>
  <c r="W85" i="50"/>
  <c r="W84" i="50"/>
  <c r="W83" i="50"/>
  <c r="W82" i="50"/>
  <c r="W81" i="50"/>
  <c r="W80" i="50"/>
  <c r="W79" i="50"/>
  <c r="W78" i="50"/>
  <c r="W77" i="50"/>
  <c r="W76" i="50"/>
  <c r="W75" i="50"/>
  <c r="W74" i="50"/>
  <c r="W73" i="50"/>
  <c r="W72" i="50"/>
  <c r="W71" i="50"/>
  <c r="W70" i="50"/>
  <c r="W69" i="50"/>
  <c r="W68" i="50"/>
  <c r="W67" i="50"/>
  <c r="P4" i="61" l="1"/>
  <c r="N4" i="61"/>
  <c r="L4" i="61"/>
  <c r="J4" i="61"/>
  <c r="T37" i="82"/>
  <c r="AS37" i="82"/>
  <c r="F37" i="82"/>
  <c r="CZ37" i="82"/>
  <c r="P37" i="82"/>
  <c r="Q37" i="82"/>
  <c r="AL37" i="82"/>
  <c r="R37" i="82"/>
  <c r="CO37" i="82"/>
  <c r="CR37" i="82"/>
  <c r="L37" i="82"/>
  <c r="G37" i="82"/>
  <c r="AI37" i="82"/>
  <c r="Y37" i="82"/>
  <c r="CI37" i="82"/>
  <c r="AJ37" i="82"/>
  <c r="E37" i="82"/>
  <c r="J37" i="82"/>
  <c r="BG37" i="82"/>
  <c r="O37" i="82"/>
  <c r="AF37" i="82"/>
  <c r="AO37" i="82"/>
  <c r="DL37" i="82"/>
  <c r="CH37" i="82"/>
  <c r="M37" i="82"/>
  <c r="AY37" i="82"/>
  <c r="CK37" i="82"/>
  <c r="DA37" i="82"/>
  <c r="DM37" i="82"/>
  <c r="AR37" i="82"/>
  <c r="AH37" i="82"/>
  <c r="AB37" i="82"/>
  <c r="H37" i="82"/>
  <c r="I37" i="82"/>
  <c r="AW37" i="82"/>
  <c r="D37" i="82"/>
  <c r="AP37" i="82"/>
  <c r="BA38" i="82"/>
  <c r="BF37" i="82"/>
  <c r="BN37" i="82"/>
  <c r="BK37" i="82"/>
  <c r="CP37" i="82"/>
  <c r="CE37" i="82"/>
  <c r="AX38" i="82"/>
  <c r="DD37" i="82"/>
  <c r="B37" i="82"/>
  <c r="A38" i="82" s="1"/>
  <c r="AD37" i="82"/>
  <c r="AG37" i="82"/>
  <c r="K37" i="82"/>
  <c r="U13" i="82"/>
  <c r="DC12" i="82"/>
  <c r="CM8" i="82"/>
  <c r="CM11" i="82"/>
  <c r="DI11" i="30"/>
  <c r="DI5" i="30" s="1"/>
  <c r="DI8" i="30"/>
  <c r="DF6" i="49"/>
  <c r="DF7" i="49" s="1"/>
  <c r="DF8" i="49" s="1"/>
  <c r="DF9" i="49" s="1"/>
  <c r="DF10" i="49" s="1"/>
  <c r="DF11" i="49" s="1"/>
  <c r="DF12" i="49" s="1"/>
  <c r="DF13" i="49" s="1"/>
  <c r="DF14" i="49" s="1"/>
  <c r="DF15" i="49" s="1"/>
  <c r="DF16" i="49" s="1"/>
  <c r="DF17" i="49" s="1"/>
  <c r="DF18" i="49" s="1"/>
  <c r="DF19" i="49" s="1"/>
  <c r="DF20" i="49" s="1"/>
  <c r="DF21" i="49" s="1"/>
  <c r="DF22" i="49" s="1"/>
  <c r="DF23" i="49" s="1"/>
  <c r="DF24" i="49" s="1"/>
  <c r="DF25" i="49" s="1"/>
  <c r="DF26" i="49" s="1"/>
  <c r="DF27" i="49" s="1"/>
  <c r="DF28" i="49" s="1"/>
  <c r="DF29" i="49" s="1"/>
  <c r="DF30" i="49" s="1"/>
  <c r="DF31" i="49" s="1"/>
  <c r="DF32" i="49" s="1"/>
  <c r="DF33" i="49" s="1"/>
  <c r="DF34" i="49" s="1"/>
  <c r="DF35" i="49" s="1"/>
  <c r="DF36" i="49" s="1"/>
  <c r="DF37" i="49" s="1"/>
  <c r="DF38" i="49" s="1"/>
  <c r="DF39" i="49" s="1"/>
  <c r="DF40" i="49" s="1"/>
  <c r="DF41" i="49" s="1"/>
  <c r="DF42" i="49" s="1"/>
  <c r="DF43" i="49" s="1"/>
  <c r="DF44" i="49" s="1"/>
  <c r="DF45" i="49" s="1"/>
  <c r="DF46" i="49" s="1"/>
  <c r="DF47" i="49" s="1"/>
  <c r="DF48" i="49" s="1"/>
  <c r="DF49" i="49" s="1"/>
  <c r="DF50" i="49" s="1"/>
  <c r="DF51" i="49" s="1"/>
  <c r="DF52" i="49" s="1"/>
  <c r="DF53" i="49" s="1"/>
  <c r="DF54" i="49" s="1"/>
  <c r="DF55" i="49" s="1"/>
  <c r="DF56" i="49" s="1"/>
  <c r="DF57" i="49" s="1"/>
  <c r="DF58" i="49" s="1"/>
  <c r="DF59" i="49" s="1"/>
  <c r="DF60" i="49" s="1"/>
  <c r="DF61" i="49" s="1"/>
  <c r="DF62" i="49" s="1"/>
  <c r="DF63" i="49" s="1"/>
  <c r="DF64" i="49" s="1"/>
  <c r="DF65" i="49" s="1"/>
  <c r="DF66" i="49" s="1"/>
  <c r="DF67" i="49" s="1"/>
  <c r="DF68" i="49" s="1"/>
  <c r="DF69" i="49" s="1"/>
  <c r="DF70" i="49" s="1"/>
  <c r="DF71" i="49" s="1"/>
  <c r="DF72" i="49" s="1"/>
  <c r="DF73" i="49" s="1"/>
  <c r="DF74" i="49" s="1"/>
  <c r="DF75" i="49" s="1"/>
  <c r="DF76" i="49" s="1"/>
  <c r="DF77" i="49" s="1"/>
  <c r="DF78" i="49" s="1"/>
  <c r="DF79" i="49" s="1"/>
  <c r="DF80" i="49" s="1"/>
  <c r="DF81" i="49" s="1"/>
  <c r="DF82" i="49" s="1"/>
  <c r="DF83" i="49" s="1"/>
  <c r="DF84" i="49" s="1"/>
  <c r="DF85" i="49" s="1"/>
  <c r="DF86" i="49" s="1"/>
  <c r="DF87" i="49" s="1"/>
  <c r="DF88" i="49" s="1"/>
  <c r="DF89" i="49" s="1"/>
  <c r="DF90" i="49" s="1"/>
  <c r="DF91" i="49" s="1"/>
  <c r="DF92" i="49" s="1"/>
  <c r="DF93" i="49" s="1"/>
  <c r="DF94" i="49" s="1"/>
  <c r="DF95" i="49" s="1"/>
  <c r="DF96" i="49" s="1"/>
  <c r="DF97" i="49" s="1"/>
  <c r="DF98" i="49" s="1"/>
  <c r="DF99" i="49" s="1"/>
  <c r="DF100" i="49" s="1"/>
  <c r="DF101" i="49" s="1"/>
  <c r="DF102" i="49" s="1"/>
  <c r="DF103" i="49" s="1"/>
  <c r="DF104" i="49" s="1"/>
  <c r="DF105" i="49" s="1"/>
  <c r="DF106" i="49" s="1"/>
  <c r="DF107" i="49" s="1"/>
  <c r="DF108" i="49" s="1"/>
  <c r="DF109" i="49" s="1"/>
  <c r="DF110" i="49" s="1"/>
  <c r="DF111" i="49" s="1"/>
  <c r="DF112" i="49" s="1"/>
  <c r="DF113" i="49" s="1"/>
  <c r="DF114" i="49" s="1"/>
  <c r="DF115" i="49" s="1"/>
  <c r="DF116" i="49" s="1"/>
  <c r="DF117" i="49" s="1"/>
  <c r="DF118" i="49" s="1"/>
  <c r="DF119" i="49" s="1"/>
  <c r="DF120" i="49" s="1"/>
  <c r="DF121" i="49" s="1"/>
  <c r="DF122" i="49" s="1"/>
  <c r="DF123" i="49" s="1"/>
  <c r="DF124" i="49" s="1"/>
  <c r="DF125" i="49" s="1"/>
  <c r="DF126" i="49" s="1"/>
  <c r="DF127" i="49" s="1"/>
  <c r="DF128" i="49" s="1"/>
  <c r="DF129" i="49" s="1"/>
  <c r="DF130" i="49" s="1"/>
  <c r="DF131" i="49" s="1"/>
  <c r="DF132" i="49" s="1"/>
  <c r="DF133" i="49" s="1"/>
  <c r="DF134" i="49" s="1"/>
  <c r="DF135" i="49" s="1"/>
  <c r="DF136" i="49" s="1"/>
  <c r="DF137" i="49" s="1"/>
  <c r="DF138" i="49" s="1"/>
  <c r="DF139" i="49" s="1"/>
  <c r="DF140" i="49" s="1"/>
  <c r="DF141" i="49" s="1"/>
  <c r="DF142" i="49" s="1"/>
  <c r="DF143" i="49" s="1"/>
  <c r="DF144" i="49" s="1"/>
  <c r="DF145" i="49" s="1"/>
  <c r="DF146" i="49" s="1"/>
  <c r="DF147" i="49" s="1"/>
  <c r="DF148" i="49" s="1"/>
  <c r="DF149" i="49" s="1"/>
  <c r="DF150" i="49" s="1"/>
  <c r="DF151" i="49" s="1"/>
  <c r="DF152" i="49" s="1"/>
  <c r="DF153" i="49" s="1"/>
  <c r="DF154" i="49" s="1"/>
  <c r="DF155" i="49" s="1"/>
  <c r="DF156" i="49" s="1"/>
  <c r="DF157" i="49" s="1"/>
  <c r="DF158" i="49" s="1"/>
  <c r="DF159" i="49" s="1"/>
  <c r="DF160" i="49" s="1"/>
  <c r="DF161" i="49" s="1"/>
  <c r="DF162" i="49" s="1"/>
  <c r="DF163" i="49" s="1"/>
  <c r="DF164" i="49" s="1"/>
  <c r="DF165" i="49" s="1"/>
  <c r="DF166" i="49" s="1"/>
  <c r="DF167" i="49" s="1"/>
  <c r="DF168" i="49" s="1"/>
  <c r="DF169" i="49" s="1"/>
  <c r="DF170" i="49" s="1"/>
  <c r="DF171" i="49" s="1"/>
  <c r="DF172" i="49" s="1"/>
  <c r="DF173" i="49" s="1"/>
  <c r="DF174" i="49" s="1"/>
  <c r="DF175" i="49" s="1"/>
  <c r="DF176" i="49" s="1"/>
  <c r="DF177" i="49" s="1"/>
  <c r="DF178" i="49" s="1"/>
  <c r="DF179" i="49" s="1"/>
  <c r="DF180" i="49" s="1"/>
  <c r="DF181" i="49" s="1"/>
  <c r="DF182" i="49" s="1"/>
  <c r="DF183" i="49" s="1"/>
  <c r="DF184" i="49" s="1"/>
  <c r="DF185" i="49" s="1"/>
  <c r="DF186" i="49" s="1"/>
  <c r="DF187" i="49" s="1"/>
  <c r="DF188" i="49" s="1"/>
  <c r="DF189" i="49" s="1"/>
  <c r="DF190" i="49" s="1"/>
  <c r="DF191" i="49" s="1"/>
  <c r="DF192" i="49" s="1"/>
  <c r="DF193" i="49" s="1"/>
  <c r="DF194" i="49" s="1"/>
  <c r="DF195" i="49" s="1"/>
  <c r="DF196" i="49" s="1"/>
  <c r="DF197" i="49" s="1"/>
  <c r="DF198" i="49" s="1"/>
  <c r="DF199" i="49" s="1"/>
  <c r="DF200" i="49" s="1"/>
  <c r="DF201" i="49" s="1"/>
  <c r="DF202" i="49" s="1"/>
  <c r="DF203" i="49" s="1"/>
  <c r="DF204" i="49" s="1"/>
  <c r="DF205" i="49" s="1"/>
  <c r="DF206" i="49" s="1"/>
  <c r="DF207" i="49" s="1"/>
  <c r="DF208" i="49" s="1"/>
  <c r="DF209" i="49" s="1"/>
  <c r="DF210" i="49" s="1"/>
  <c r="DF211" i="49" s="1"/>
  <c r="DF212" i="49" s="1"/>
  <c r="DF213" i="49" s="1"/>
  <c r="DF214" i="49" s="1"/>
  <c r="DF215" i="49" s="1"/>
  <c r="DF216" i="49" s="1"/>
  <c r="DF217" i="49" s="1"/>
  <c r="DF218" i="49" s="1"/>
  <c r="DF219" i="49" s="1"/>
  <c r="DF220" i="49" s="1"/>
  <c r="DF221" i="49" s="1"/>
  <c r="DF222" i="49" s="1"/>
  <c r="DF223" i="49" s="1"/>
  <c r="DF224" i="49" s="1"/>
  <c r="DF225" i="49" s="1"/>
  <c r="DF226" i="49" s="1"/>
  <c r="DF227" i="49" s="1"/>
  <c r="DF228" i="49" s="1"/>
  <c r="DF229" i="49" s="1"/>
  <c r="DF230" i="49" s="1"/>
  <c r="DF231" i="49" s="1"/>
  <c r="DF232" i="49" s="1"/>
  <c r="DF233" i="49" s="1"/>
  <c r="DF234" i="49" s="1"/>
  <c r="V1" i="11"/>
  <c r="F2" i="16"/>
  <c r="DA6" i="30"/>
  <c r="H4" i="61"/>
  <c r="K4" i="61"/>
  <c r="B1" i="56"/>
  <c r="I12" i="23"/>
  <c r="AC6" i="23"/>
  <c r="AB6" i="23"/>
  <c r="Z7" i="23"/>
  <c r="Z6" i="23"/>
  <c r="Y7" i="23"/>
  <c r="Y6" i="23"/>
  <c r="F10" i="23"/>
  <c r="J10" i="23" s="1"/>
  <c r="F11" i="23"/>
  <c r="I11" i="23" s="1"/>
  <c r="F12" i="23"/>
  <c r="J12" i="23" s="1"/>
  <c r="F13" i="23"/>
  <c r="I13" i="23" s="1"/>
  <c r="F14" i="23"/>
  <c r="J14" i="23" s="1"/>
  <c r="F15" i="23"/>
  <c r="I15" i="23" s="1"/>
  <c r="F16" i="23"/>
  <c r="I16" i="23" s="1"/>
  <c r="F17" i="23"/>
  <c r="I17" i="23" s="1"/>
  <c r="F18" i="23"/>
  <c r="I18" i="23" s="1"/>
  <c r="F19" i="23"/>
  <c r="I19" i="23" s="1"/>
  <c r="F9" i="23"/>
  <c r="I9" i="23" s="1"/>
  <c r="U5" i="23"/>
  <c r="U11" i="23" s="1"/>
  <c r="T7" i="23"/>
  <c r="T6" i="23"/>
  <c r="S7" i="23"/>
  <c r="S6" i="23"/>
  <c r="R7" i="23"/>
  <c r="R6" i="23"/>
  <c r="Q7" i="23"/>
  <c r="Q6" i="23"/>
  <c r="P7" i="23"/>
  <c r="P6" i="23"/>
  <c r="O7" i="23"/>
  <c r="O6" i="23"/>
  <c r="N7" i="23"/>
  <c r="N6" i="23"/>
  <c r="V6" i="23"/>
  <c r="F8" i="23"/>
  <c r="I8" i="23" s="1"/>
  <c r="B38" i="82" l="1"/>
  <c r="A39" i="82" s="1"/>
  <c r="AH38" i="82"/>
  <c r="CK38" i="82"/>
  <c r="BA39" i="82"/>
  <c r="F38" i="82"/>
  <c r="J38" i="82"/>
  <c r="BN38" i="82"/>
  <c r="AX39" i="82"/>
  <c r="BG38" i="82"/>
  <c r="E38" i="82"/>
  <c r="CZ38" i="82"/>
  <c r="Y38" i="82"/>
  <c r="D38" i="82"/>
  <c r="Q38" i="82"/>
  <c r="M38" i="82"/>
  <c r="K38" i="82"/>
  <c r="AD38" i="82"/>
  <c r="AR38" i="82"/>
  <c r="DD38" i="82"/>
  <c r="AG38" i="82"/>
  <c r="AL38" i="82"/>
  <c r="AF38" i="82"/>
  <c r="O38" i="82"/>
  <c r="DM38" i="82"/>
  <c r="AI38" i="82"/>
  <c r="H38" i="82"/>
  <c r="AP38" i="82"/>
  <c r="L38" i="82"/>
  <c r="CP38" i="82"/>
  <c r="BK38" i="82"/>
  <c r="R38" i="82"/>
  <c r="CI38" i="82"/>
  <c r="AY38" i="82"/>
  <c r="AW38" i="82"/>
  <c r="AB38" i="82"/>
  <c r="BF38" i="82"/>
  <c r="AS38" i="82"/>
  <c r="I38" i="82"/>
  <c r="CR38" i="82"/>
  <c r="DL38" i="82"/>
  <c r="DA38" i="82"/>
  <c r="CH38" i="82"/>
  <c r="P38" i="82"/>
  <c r="AJ38" i="82"/>
  <c r="CE38" i="82"/>
  <c r="G38" i="82"/>
  <c r="AO38" i="82"/>
  <c r="T38" i="82"/>
  <c r="CO38" i="82"/>
  <c r="C37" i="82"/>
  <c r="K1" i="16"/>
  <c r="CP3" i="49" s="1"/>
  <c r="DG7" i="30" s="1"/>
  <c r="DG6" i="30" s="1"/>
  <c r="J4" i="16"/>
  <c r="U14" i="82"/>
  <c r="DC13" i="82"/>
  <c r="CM12" i="82"/>
  <c r="CM13" i="82" s="1"/>
  <c r="CM14" i="82" s="1"/>
  <c r="CM15" i="82" s="1"/>
  <c r="CM16" i="82" s="1"/>
  <c r="CM17" i="82" s="1"/>
  <c r="CM18" i="82" s="1"/>
  <c r="CM19" i="82" s="1"/>
  <c r="CM20" i="82" s="1"/>
  <c r="CM21" i="82" s="1"/>
  <c r="CM22" i="82" s="1"/>
  <c r="CM23" i="82" s="1"/>
  <c r="CM24" i="82" s="1"/>
  <c r="CM25" i="82" s="1"/>
  <c r="CM26" i="82" s="1"/>
  <c r="CM27" i="82" s="1"/>
  <c r="CM28" i="82" s="1"/>
  <c r="CM29" i="82" s="1"/>
  <c r="CM30" i="82" s="1"/>
  <c r="CM31" i="82" s="1"/>
  <c r="CM32" i="82" s="1"/>
  <c r="CM33" i="82" s="1"/>
  <c r="CM34" i="82" s="1"/>
  <c r="CM35" i="82" s="1"/>
  <c r="CM36" i="82" s="1"/>
  <c r="CM37" i="82" s="1"/>
  <c r="CM38" i="82" s="1"/>
  <c r="CM5" i="82"/>
  <c r="C5" i="61"/>
  <c r="C6" i="61"/>
  <c r="J19" i="23"/>
  <c r="J11" i="23"/>
  <c r="I14" i="23"/>
  <c r="J8" i="23"/>
  <c r="L8" i="23" s="1"/>
  <c r="I10" i="23"/>
  <c r="L10" i="23" s="1"/>
  <c r="J18" i="23"/>
  <c r="J17" i="23"/>
  <c r="J9" i="23"/>
  <c r="L9" i="23" s="1"/>
  <c r="J16" i="23"/>
  <c r="J15" i="23"/>
  <c r="J13" i="23"/>
  <c r="L14" i="23"/>
  <c r="L11" i="23"/>
  <c r="L12" i="23"/>
  <c r="Y12" i="23" s="1"/>
  <c r="T11" i="23"/>
  <c r="T18" i="23"/>
  <c r="T14" i="23"/>
  <c r="S17" i="23"/>
  <c r="S9" i="23"/>
  <c r="T9" i="23"/>
  <c r="U13" i="23"/>
  <c r="S8" i="23"/>
  <c r="S16" i="23"/>
  <c r="S12" i="23"/>
  <c r="T8" i="23"/>
  <c r="T16" i="23"/>
  <c r="T12" i="23"/>
  <c r="U8" i="23"/>
  <c r="U16" i="23"/>
  <c r="U12" i="23"/>
  <c r="S18" i="23"/>
  <c r="S14" i="23"/>
  <c r="U18" i="23"/>
  <c r="U14" i="23"/>
  <c r="U10" i="23"/>
  <c r="S13" i="23"/>
  <c r="T17" i="23"/>
  <c r="T13" i="23"/>
  <c r="U17" i="23"/>
  <c r="U9" i="23"/>
  <c r="S19" i="23"/>
  <c r="S15" i="23"/>
  <c r="S11" i="23"/>
  <c r="T19" i="23"/>
  <c r="T15" i="23"/>
  <c r="U19" i="23"/>
  <c r="U15" i="23"/>
  <c r="CM39" i="82" l="1"/>
  <c r="AO39" i="82"/>
  <c r="DL39" i="82"/>
  <c r="CI39" i="82"/>
  <c r="DM39" i="82"/>
  <c r="CR39" i="82"/>
  <c r="R39" i="82"/>
  <c r="BN39" i="82"/>
  <c r="I39" i="82"/>
  <c r="BK39" i="82"/>
  <c r="AF39" i="82"/>
  <c r="Q39" i="82"/>
  <c r="J39" i="82"/>
  <c r="CE39" i="82"/>
  <c r="AS39" i="82"/>
  <c r="CP39" i="82"/>
  <c r="AL39" i="82"/>
  <c r="D39" i="82"/>
  <c r="F39" i="82"/>
  <c r="L39" i="82"/>
  <c r="AG39" i="82"/>
  <c r="Y39" i="82"/>
  <c r="P39" i="82"/>
  <c r="AB39" i="82"/>
  <c r="AP39" i="82"/>
  <c r="DD39" i="82"/>
  <c r="CZ39" i="82"/>
  <c r="BA40" i="82"/>
  <c r="K39" i="82"/>
  <c r="BF39" i="82"/>
  <c r="CO39" i="82"/>
  <c r="CH39" i="82"/>
  <c r="AW39" i="82"/>
  <c r="H39" i="82"/>
  <c r="AR39" i="82"/>
  <c r="E39" i="82"/>
  <c r="CK39" i="82"/>
  <c r="AX40" i="82"/>
  <c r="G39" i="82"/>
  <c r="O39" i="82"/>
  <c r="AJ39" i="82"/>
  <c r="C38" i="82"/>
  <c r="T39" i="82"/>
  <c r="DA39" i="82"/>
  <c r="AY39" i="82"/>
  <c r="AI39" i="82"/>
  <c r="AD39" i="82"/>
  <c r="BG39" i="82"/>
  <c r="AH39" i="82"/>
  <c r="B39" i="82"/>
  <c r="C39" i="82" s="1"/>
  <c r="M39" i="82"/>
  <c r="U15" i="82"/>
  <c r="DC14" i="82"/>
  <c r="DG7" i="82"/>
  <c r="DG6" i="82" s="1"/>
  <c r="CD7" i="82"/>
  <c r="CD6" i="82" s="1"/>
  <c r="EA3" i="49"/>
  <c r="Y9" i="23"/>
  <c r="Z9" i="23"/>
  <c r="Z10" i="23"/>
  <c r="Y10" i="23"/>
  <c r="M8" i="23"/>
  <c r="Z8" i="23"/>
  <c r="Y8" i="23"/>
  <c r="Z14" i="23"/>
  <c r="S10" i="23"/>
  <c r="Y14" i="23"/>
  <c r="T10" i="23"/>
  <c r="Z12" i="23"/>
  <c r="AA12" i="23" s="1"/>
  <c r="Z11" i="23"/>
  <c r="L13" i="23"/>
  <c r="L18" i="23"/>
  <c r="L16" i="23"/>
  <c r="Y11" i="23"/>
  <c r="N8" i="23"/>
  <c r="Q8" i="23"/>
  <c r="R8" i="23"/>
  <c r="A40" i="82" l="1"/>
  <c r="U16" i="82"/>
  <c r="DC15" i="82"/>
  <c r="DV8" i="30"/>
  <c r="DV11" i="30" s="1"/>
  <c r="DV5" i="30" s="1"/>
  <c r="DF8" i="82"/>
  <c r="DF11" i="82" s="1"/>
  <c r="AA10" i="23"/>
  <c r="AA9" i="23"/>
  <c r="AA14" i="23"/>
  <c r="M9" i="23"/>
  <c r="P8" i="23"/>
  <c r="O8" i="23"/>
  <c r="W8" i="23" s="1"/>
  <c r="AA11" i="23"/>
  <c r="AA8" i="23"/>
  <c r="L15" i="23"/>
  <c r="Y16" i="23"/>
  <c r="Z16" i="23"/>
  <c r="Y13" i="23"/>
  <c r="Z13" i="23"/>
  <c r="Z18" i="23"/>
  <c r="Y18" i="23"/>
  <c r="DM40" i="82" l="1"/>
  <c r="AX41" i="82"/>
  <c r="AP40" i="82"/>
  <c r="CO40" i="82"/>
  <c r="AI40" i="82"/>
  <c r="BN40" i="82"/>
  <c r="H40" i="82"/>
  <c r="D40" i="82"/>
  <c r="R40" i="82"/>
  <c r="AW40" i="82"/>
  <c r="K40" i="82"/>
  <c r="P40" i="82"/>
  <c r="Y40" i="82"/>
  <c r="AY40" i="82"/>
  <c r="CZ40" i="82"/>
  <c r="DD40" i="82"/>
  <c r="DA40" i="82"/>
  <c r="BK40" i="82"/>
  <c r="E40" i="82"/>
  <c r="AH40" i="82"/>
  <c r="AB40" i="82"/>
  <c r="AG40" i="82"/>
  <c r="AF40" i="82"/>
  <c r="L40" i="82"/>
  <c r="CI40" i="82"/>
  <c r="CK40" i="82"/>
  <c r="O40" i="82"/>
  <c r="AL40" i="82"/>
  <c r="BG40" i="82"/>
  <c r="AS40" i="82"/>
  <c r="BF40" i="82"/>
  <c r="AR40" i="82"/>
  <c r="CP40" i="82"/>
  <c r="Q40" i="82"/>
  <c r="B40" i="82"/>
  <c r="A41" i="82" s="1"/>
  <c r="AD40" i="82"/>
  <c r="CH40" i="82"/>
  <c r="CM40" i="82"/>
  <c r="CE40" i="82"/>
  <c r="AJ40" i="82"/>
  <c r="T40" i="82"/>
  <c r="G40" i="82"/>
  <c r="I40" i="82"/>
  <c r="CR40" i="82"/>
  <c r="F40" i="82"/>
  <c r="AO40" i="82"/>
  <c r="J40" i="82"/>
  <c r="DL40" i="82"/>
  <c r="BA41" i="82"/>
  <c r="M40" i="82"/>
  <c r="DC16" i="82"/>
  <c r="U17" i="82"/>
  <c r="DF12" i="82"/>
  <c r="DF13" i="82" s="1"/>
  <c r="DF14" i="82" s="1"/>
  <c r="DF15" i="82" s="1"/>
  <c r="DF16" i="82" s="1"/>
  <c r="DF17" i="82" s="1"/>
  <c r="DF18" i="82" s="1"/>
  <c r="DF19" i="82" s="1"/>
  <c r="DF20" i="82" s="1"/>
  <c r="DF21" i="82" s="1"/>
  <c r="DF22" i="82" s="1"/>
  <c r="DF23" i="82" s="1"/>
  <c r="DF24" i="82" s="1"/>
  <c r="DF25" i="82" s="1"/>
  <c r="DF26" i="82" s="1"/>
  <c r="DF27" i="82" s="1"/>
  <c r="DF28" i="82" s="1"/>
  <c r="DF29" i="82" s="1"/>
  <c r="DF30" i="82" s="1"/>
  <c r="DF31" i="82" s="1"/>
  <c r="DF32" i="82" s="1"/>
  <c r="DF33" i="82" s="1"/>
  <c r="DF34" i="82" s="1"/>
  <c r="DF35" i="82" s="1"/>
  <c r="DF36" i="82" s="1"/>
  <c r="DF37" i="82" s="1"/>
  <c r="DF38" i="82" s="1"/>
  <c r="DF39" i="82" s="1"/>
  <c r="DF40" i="82" s="1"/>
  <c r="DF5" i="82"/>
  <c r="T11" i="30"/>
  <c r="U11" i="30"/>
  <c r="DU11" i="30" s="1"/>
  <c r="DU5" i="30" s="1"/>
  <c r="M10" i="23"/>
  <c r="O9" i="23"/>
  <c r="Q9" i="23"/>
  <c r="N9" i="23"/>
  <c r="R9" i="23"/>
  <c r="P9" i="23"/>
  <c r="AA13" i="23"/>
  <c r="AA16" i="23"/>
  <c r="AA18" i="23"/>
  <c r="Z15" i="23"/>
  <c r="Y15" i="23"/>
  <c r="L17" i="23"/>
  <c r="L19" i="23"/>
  <c r="DF41" i="82" l="1"/>
  <c r="CM41" i="82"/>
  <c r="C40" i="82"/>
  <c r="AW41" i="82"/>
  <c r="CH41" i="82"/>
  <c r="AJ41" i="82"/>
  <c r="BA42" i="82"/>
  <c r="DA41" i="82"/>
  <c r="DL41" i="82"/>
  <c r="B41" i="82"/>
  <c r="A42" i="82" s="1"/>
  <c r="AI41" i="82"/>
  <c r="G41" i="82"/>
  <c r="AB41" i="82"/>
  <c r="AD41" i="82"/>
  <c r="BG41" i="82"/>
  <c r="CZ41" i="82"/>
  <c r="F41" i="82"/>
  <c r="AS41" i="82"/>
  <c r="DM41" i="82"/>
  <c r="L41" i="82"/>
  <c r="CO41" i="82"/>
  <c r="AX42" i="82"/>
  <c r="CI41" i="82"/>
  <c r="AG41" i="82"/>
  <c r="J41" i="82"/>
  <c r="Q41" i="82"/>
  <c r="Y41" i="82"/>
  <c r="BK41" i="82"/>
  <c r="H41" i="82"/>
  <c r="T41" i="82"/>
  <c r="CR41" i="82"/>
  <c r="DD41" i="82"/>
  <c r="I41" i="82"/>
  <c r="AF41" i="82"/>
  <c r="R41" i="82"/>
  <c r="O41" i="82"/>
  <c r="AP41" i="82"/>
  <c r="BF41" i="82"/>
  <c r="AH41" i="82"/>
  <c r="E41" i="82"/>
  <c r="CP41" i="82"/>
  <c r="AL41" i="82"/>
  <c r="CE41" i="82"/>
  <c r="P41" i="82"/>
  <c r="AO41" i="82"/>
  <c r="BN41" i="82"/>
  <c r="CK41" i="82"/>
  <c r="K41" i="82"/>
  <c r="M41" i="82"/>
  <c r="D41" i="82"/>
  <c r="AR41" i="82"/>
  <c r="AY41" i="82"/>
  <c r="DC17" i="82"/>
  <c r="U18" i="82"/>
  <c r="W9" i="23"/>
  <c r="X9" i="23" s="1"/>
  <c r="O10" i="23"/>
  <c r="Q10" i="23"/>
  <c r="R10" i="23"/>
  <c r="N10" i="23"/>
  <c r="M11" i="23"/>
  <c r="P10" i="23"/>
  <c r="Z17" i="23"/>
  <c r="Y17" i="23"/>
  <c r="AA15" i="23"/>
  <c r="Z19" i="23"/>
  <c r="Y19" i="23"/>
  <c r="M42" i="82" l="1"/>
  <c r="I42" i="82"/>
  <c r="J42" i="82"/>
  <c r="AH42" i="82"/>
  <c r="DD42" i="82"/>
  <c r="CR42" i="82"/>
  <c r="CI42" i="82"/>
  <c r="L42" i="82"/>
  <c r="O42" i="82"/>
  <c r="CZ42" i="82"/>
  <c r="AD42" i="82"/>
  <c r="E42" i="82"/>
  <c r="AR42" i="82"/>
  <c r="Y42" i="82"/>
  <c r="BA43" i="82"/>
  <c r="AY42" i="82"/>
  <c r="AO42" i="82"/>
  <c r="AW42" i="82"/>
  <c r="AS42" i="82"/>
  <c r="P42" i="82"/>
  <c r="DL42" i="82"/>
  <c r="AL42" i="82"/>
  <c r="BG42" i="82"/>
  <c r="DM42" i="82"/>
  <c r="BK42" i="82"/>
  <c r="F42" i="82"/>
  <c r="AF42" i="82"/>
  <c r="G42" i="82"/>
  <c r="BN42" i="82"/>
  <c r="CK42" i="82"/>
  <c r="CH42" i="82"/>
  <c r="AX43" i="82"/>
  <c r="AI42" i="82"/>
  <c r="CO42" i="82"/>
  <c r="DA42" i="82"/>
  <c r="AG42" i="82"/>
  <c r="B42" i="82"/>
  <c r="A43" i="82" s="1"/>
  <c r="AJ42" i="82"/>
  <c r="BF42" i="82"/>
  <c r="CP42" i="82"/>
  <c r="AB42" i="82"/>
  <c r="K42" i="82"/>
  <c r="T42" i="82"/>
  <c r="AP42" i="82"/>
  <c r="H42" i="82"/>
  <c r="DF42" i="82"/>
  <c r="Q42" i="82"/>
  <c r="CE42" i="82"/>
  <c r="C41" i="82"/>
  <c r="D42" i="82"/>
  <c r="R42" i="82"/>
  <c r="CM42" i="82"/>
  <c r="DC18" i="82"/>
  <c r="U19" i="82"/>
  <c r="W10" i="23"/>
  <c r="X10" i="23" s="1"/>
  <c r="Q11" i="23"/>
  <c r="O11" i="23"/>
  <c r="N11" i="23"/>
  <c r="P11" i="23"/>
  <c r="M12" i="23"/>
  <c r="R11" i="23"/>
  <c r="AA19" i="23"/>
  <c r="AA17" i="23"/>
  <c r="DF43" i="82" l="1"/>
  <c r="CM43" i="82"/>
  <c r="C42" i="82"/>
  <c r="BA44" i="82"/>
  <c r="AS43" i="82"/>
  <c r="CZ43" i="82"/>
  <c r="F43" i="82"/>
  <c r="J43" i="82"/>
  <c r="E43" i="82"/>
  <c r="AX44" i="82"/>
  <c r="CI43" i="82"/>
  <c r="AI43" i="82"/>
  <c r="O43" i="82"/>
  <c r="CR43" i="82"/>
  <c r="AF43" i="82"/>
  <c r="AW43" i="82"/>
  <c r="G43" i="82"/>
  <c r="AG43" i="82"/>
  <c r="AD43" i="82"/>
  <c r="AY43" i="82"/>
  <c r="D43" i="82"/>
  <c r="DM43" i="82"/>
  <c r="DA43" i="82"/>
  <c r="DL43" i="82"/>
  <c r="DD43" i="82"/>
  <c r="R43" i="82"/>
  <c r="CK43" i="82"/>
  <c r="BF43" i="82"/>
  <c r="Q43" i="82"/>
  <c r="T43" i="82"/>
  <c r="I43" i="82"/>
  <c r="K43" i="82"/>
  <c r="BK43" i="82"/>
  <c r="CE43" i="82"/>
  <c r="CO43" i="82"/>
  <c r="BG43" i="82"/>
  <c r="AB43" i="82"/>
  <c r="AJ43" i="82"/>
  <c r="M43" i="82"/>
  <c r="AO43" i="82"/>
  <c r="AR43" i="82"/>
  <c r="AH43" i="82"/>
  <c r="H43" i="82"/>
  <c r="CP43" i="82"/>
  <c r="L43" i="82"/>
  <c r="AP43" i="82"/>
  <c r="Y43" i="82"/>
  <c r="BN43" i="82"/>
  <c r="B43" i="82"/>
  <c r="C43" i="82" s="1"/>
  <c r="P43" i="82"/>
  <c r="AL43" i="82"/>
  <c r="CH43" i="82"/>
  <c r="DC19" i="82"/>
  <c r="U20" i="82"/>
  <c r="W11" i="23"/>
  <c r="X11" i="23" s="1"/>
  <c r="N12" i="23"/>
  <c r="O12" i="23"/>
  <c r="R12" i="23"/>
  <c r="Q12" i="23"/>
  <c r="P12" i="23"/>
  <c r="M13" i="23"/>
  <c r="A44" i="82" l="1"/>
  <c r="DC20" i="82"/>
  <c r="U21" i="82"/>
  <c r="W12" i="23"/>
  <c r="X12" i="23" s="1"/>
  <c r="R13" i="23"/>
  <c r="M14" i="23"/>
  <c r="P13" i="23"/>
  <c r="O13" i="23"/>
  <c r="N13" i="23"/>
  <c r="Q13" i="23"/>
  <c r="CP44" i="82" l="1"/>
  <c r="I44" i="82"/>
  <c r="J44" i="82"/>
  <c r="CI44" i="82"/>
  <c r="CM44" i="82"/>
  <c r="DA44" i="82"/>
  <c r="CE44" i="82"/>
  <c r="AD44" i="82"/>
  <c r="M44" i="82"/>
  <c r="Y44" i="82"/>
  <c r="L44" i="82"/>
  <c r="B44" i="82"/>
  <c r="A45" i="82" s="1"/>
  <c r="DM44" i="82"/>
  <c r="T44" i="82"/>
  <c r="AY44" i="82"/>
  <c r="CK44" i="82"/>
  <c r="AB44" i="82"/>
  <c r="AO44" i="82"/>
  <c r="D44" i="82"/>
  <c r="K44" i="82"/>
  <c r="AX45" i="82"/>
  <c r="AI44" i="82"/>
  <c r="BK44" i="82"/>
  <c r="AG44" i="82"/>
  <c r="H44" i="82"/>
  <c r="CZ44" i="82"/>
  <c r="AP44" i="82"/>
  <c r="AR44" i="82"/>
  <c r="BN44" i="82"/>
  <c r="AW44" i="82"/>
  <c r="AJ44" i="82"/>
  <c r="BG44" i="82"/>
  <c r="DL44" i="82"/>
  <c r="CR44" i="82"/>
  <c r="BF44" i="82"/>
  <c r="O44" i="82"/>
  <c r="F44" i="82"/>
  <c r="AL44" i="82"/>
  <c r="Q44" i="82"/>
  <c r="BA45" i="82"/>
  <c r="DD44" i="82"/>
  <c r="P44" i="82"/>
  <c r="AS44" i="82"/>
  <c r="G44" i="82"/>
  <c r="E44" i="82"/>
  <c r="CH44" i="82"/>
  <c r="R44" i="82"/>
  <c r="AF44" i="82"/>
  <c r="CO44" i="82"/>
  <c r="AH44" i="82"/>
  <c r="DF44" i="82"/>
  <c r="DC21" i="82"/>
  <c r="U22" i="82"/>
  <c r="W13" i="23"/>
  <c r="X13" i="23" s="1"/>
  <c r="N14" i="23"/>
  <c r="P14" i="23"/>
  <c r="R14" i="23"/>
  <c r="O14" i="23"/>
  <c r="M15" i="23"/>
  <c r="Q14" i="23"/>
  <c r="C44" i="82" l="1"/>
  <c r="AR45" i="82"/>
  <c r="CP45" i="82"/>
  <c r="DM45" i="82"/>
  <c r="H45" i="82"/>
  <c r="AX46" i="82"/>
  <c r="BN45" i="82"/>
  <c r="E45" i="82"/>
  <c r="G45" i="82"/>
  <c r="CK45" i="82"/>
  <c r="AO45" i="82"/>
  <c r="AB45" i="82"/>
  <c r="AW45" i="82"/>
  <c r="AG45" i="82"/>
  <c r="B45" i="82"/>
  <c r="C45" i="82" s="1"/>
  <c r="F45" i="82"/>
  <c r="CE45" i="82"/>
  <c r="CM45" i="82"/>
  <c r="DA45" i="82"/>
  <c r="Y45" i="82"/>
  <c r="AD45" i="82"/>
  <c r="D45" i="82"/>
  <c r="O45" i="82"/>
  <c r="P45" i="82"/>
  <c r="AF45" i="82"/>
  <c r="AI45" i="82"/>
  <c r="Q45" i="82"/>
  <c r="AS45" i="82"/>
  <c r="CH45" i="82"/>
  <c r="CR45" i="82"/>
  <c r="BF45" i="82"/>
  <c r="DD45" i="82"/>
  <c r="CO45" i="82"/>
  <c r="K45" i="82"/>
  <c r="T45" i="82"/>
  <c r="AY45" i="82"/>
  <c r="J45" i="82"/>
  <c r="CI45" i="82"/>
  <c r="AL45" i="82"/>
  <c r="BA46" i="82"/>
  <c r="AH45" i="82"/>
  <c r="L45" i="82"/>
  <c r="BK45" i="82"/>
  <c r="I45" i="82"/>
  <c r="CZ45" i="82"/>
  <c r="DF45" i="82"/>
  <c r="AP45" i="82"/>
  <c r="DL45" i="82"/>
  <c r="BG45" i="82"/>
  <c r="R45" i="82"/>
  <c r="AJ45" i="82"/>
  <c r="M45" i="82"/>
  <c r="DC22" i="82"/>
  <c r="U23" i="82"/>
  <c r="P15" i="23"/>
  <c r="M16" i="23"/>
  <c r="R15" i="23"/>
  <c r="Q15" i="23"/>
  <c r="O15" i="23"/>
  <c r="N15" i="23"/>
  <c r="W14" i="23"/>
  <c r="X14" i="23" s="1"/>
  <c r="A46" i="82" l="1"/>
  <c r="DC23" i="82"/>
  <c r="U24" i="82"/>
  <c r="W15" i="23"/>
  <c r="X15" i="23" s="1"/>
  <c r="O16" i="23"/>
  <c r="P16" i="23"/>
  <c r="N16" i="23"/>
  <c r="Q16" i="23"/>
  <c r="R16" i="23"/>
  <c r="M17" i="23"/>
  <c r="CI46" i="82" l="1"/>
  <c r="AJ46" i="82"/>
  <c r="B46" i="82"/>
  <c r="A47" i="82" s="1"/>
  <c r="M46" i="82"/>
  <c r="BG46" i="82"/>
  <c r="BN46" i="82"/>
  <c r="AX47" i="82"/>
  <c r="BF46" i="82"/>
  <c r="AD46" i="82"/>
  <c r="T46" i="82"/>
  <c r="K46" i="82"/>
  <c r="CO46" i="82"/>
  <c r="DL46" i="82"/>
  <c r="AS46" i="82"/>
  <c r="D46" i="82"/>
  <c r="J46" i="82"/>
  <c r="CP46" i="82"/>
  <c r="DD46" i="82"/>
  <c r="AL46" i="82"/>
  <c r="DF46" i="82"/>
  <c r="AH46" i="82"/>
  <c r="R46" i="82"/>
  <c r="AI46" i="82"/>
  <c r="CH46" i="82"/>
  <c r="CR46" i="82"/>
  <c r="P46" i="82"/>
  <c r="O46" i="82"/>
  <c r="AR46" i="82"/>
  <c r="E46" i="82"/>
  <c r="H46" i="82"/>
  <c r="L46" i="82"/>
  <c r="CM46" i="82"/>
  <c r="DA46" i="82"/>
  <c r="Y46" i="82"/>
  <c r="CE46" i="82"/>
  <c r="AG46" i="82"/>
  <c r="I46" i="82"/>
  <c r="BA47" i="82"/>
  <c r="AB46" i="82"/>
  <c r="AY46" i="82"/>
  <c r="DM46" i="82"/>
  <c r="CK46" i="82"/>
  <c r="AW46" i="82"/>
  <c r="G46" i="82"/>
  <c r="AO46" i="82"/>
  <c r="AP46" i="82"/>
  <c r="Q46" i="82"/>
  <c r="F46" i="82"/>
  <c r="AF46" i="82"/>
  <c r="BK46" i="82"/>
  <c r="CZ46" i="82"/>
  <c r="U25" i="82"/>
  <c r="DC24" i="82"/>
  <c r="W16" i="23"/>
  <c r="X16" i="23" s="1"/>
  <c r="P17" i="23"/>
  <c r="M18" i="23"/>
  <c r="Q17" i="23"/>
  <c r="O17" i="23"/>
  <c r="R17" i="23"/>
  <c r="N17" i="23"/>
  <c r="CP47" i="82" l="1"/>
  <c r="B47" i="82"/>
  <c r="A48" i="82" s="1"/>
  <c r="Q47" i="82"/>
  <c r="AB47" i="82"/>
  <c r="L47" i="82"/>
  <c r="AI47" i="82"/>
  <c r="AX48" i="82"/>
  <c r="M47" i="82"/>
  <c r="BA48" i="82"/>
  <c r="H47" i="82"/>
  <c r="R47" i="82"/>
  <c r="CZ47" i="82"/>
  <c r="AP47" i="82"/>
  <c r="T47" i="82"/>
  <c r="E47" i="82"/>
  <c r="K47" i="82"/>
  <c r="AO47" i="82"/>
  <c r="AD47" i="82"/>
  <c r="AR47" i="82"/>
  <c r="DF47" i="82"/>
  <c r="CE47" i="82"/>
  <c r="AW47" i="82"/>
  <c r="AS47" i="82"/>
  <c r="AH47" i="82"/>
  <c r="DL47" i="82"/>
  <c r="O47" i="82"/>
  <c r="CI47" i="82"/>
  <c r="DA47" i="82"/>
  <c r="BK47" i="82"/>
  <c r="BG47" i="82"/>
  <c r="DM47" i="82"/>
  <c r="AF47" i="82"/>
  <c r="DD47" i="82"/>
  <c r="CO47" i="82"/>
  <c r="CR47" i="82"/>
  <c r="AG47" i="82"/>
  <c r="P47" i="82"/>
  <c r="AJ47" i="82"/>
  <c r="CK47" i="82"/>
  <c r="AL47" i="82"/>
  <c r="F47" i="82"/>
  <c r="AY47" i="82"/>
  <c r="CM47" i="82"/>
  <c r="CH47" i="82"/>
  <c r="J47" i="82"/>
  <c r="BF47" i="82"/>
  <c r="G47" i="82"/>
  <c r="C46" i="82"/>
  <c r="I47" i="82"/>
  <c r="BN47" i="82"/>
  <c r="Y47" i="82"/>
  <c r="D47" i="82"/>
  <c r="DC25" i="82"/>
  <c r="U26" i="82"/>
  <c r="W17" i="23"/>
  <c r="X17" i="23" s="1"/>
  <c r="Q18" i="23"/>
  <c r="M19" i="23"/>
  <c r="N18" i="23"/>
  <c r="O18" i="23"/>
  <c r="P18" i="23"/>
  <c r="R18" i="23"/>
  <c r="BN48" i="82" l="1"/>
  <c r="T48" i="82"/>
  <c r="AD48" i="82"/>
  <c r="AY48" i="82"/>
  <c r="AI48" i="82"/>
  <c r="F48" i="82"/>
  <c r="CZ48" i="82"/>
  <c r="AL48" i="82"/>
  <c r="AF48" i="82"/>
  <c r="DD48" i="82"/>
  <c r="CE48" i="82"/>
  <c r="L48" i="82"/>
  <c r="AH48" i="82"/>
  <c r="AO48" i="82"/>
  <c r="K48" i="82"/>
  <c r="R48" i="82"/>
  <c r="G48" i="82"/>
  <c r="CK48" i="82"/>
  <c r="DM48" i="82"/>
  <c r="I48" i="82"/>
  <c r="AB48" i="82"/>
  <c r="BF48" i="82"/>
  <c r="AJ48" i="82"/>
  <c r="BG48" i="82"/>
  <c r="CI48" i="82"/>
  <c r="DL48" i="82"/>
  <c r="AS48" i="82"/>
  <c r="C47" i="82"/>
  <c r="J48" i="82"/>
  <c r="P48" i="82"/>
  <c r="BK48" i="82"/>
  <c r="DF48" i="82"/>
  <c r="CO48" i="82"/>
  <c r="B48" i="82"/>
  <c r="C48" i="82" s="1"/>
  <c r="Q48" i="82"/>
  <c r="E48" i="82"/>
  <c r="M48" i="82"/>
  <c r="AX49" i="82"/>
  <c r="H48" i="82"/>
  <c r="D48" i="82"/>
  <c r="CH48" i="82"/>
  <c r="AG48" i="82"/>
  <c r="DA48" i="82"/>
  <c r="BA49" i="82"/>
  <c r="O48" i="82"/>
  <c r="AR48" i="82"/>
  <c r="CP48" i="82"/>
  <c r="AW48" i="82"/>
  <c r="AP48" i="82"/>
  <c r="Y48" i="82"/>
  <c r="CM48" i="82"/>
  <c r="CR48" i="82"/>
  <c r="DC26" i="82"/>
  <c r="U27" i="82"/>
  <c r="W18" i="23"/>
  <c r="X18" i="23" s="1"/>
  <c r="R19" i="23"/>
  <c r="Q19" i="23"/>
  <c r="P19" i="23"/>
  <c r="O19" i="23"/>
  <c r="N19" i="23"/>
  <c r="A49" i="82" l="1"/>
  <c r="F49" i="82" s="1"/>
  <c r="DC27" i="82"/>
  <c r="U28" i="82"/>
  <c r="W19" i="23"/>
  <c r="X19" i="23" s="1"/>
  <c r="B49" i="82" l="1"/>
  <c r="C49" i="82" s="1"/>
  <c r="AI49" i="82"/>
  <c r="CE49" i="82"/>
  <c r="BF49" i="82"/>
  <c r="BN49" i="82"/>
  <c r="L49" i="82"/>
  <c r="CR49" i="82"/>
  <c r="AW49" i="82"/>
  <c r="CH49" i="82"/>
  <c r="J49" i="82"/>
  <c r="AJ49" i="82"/>
  <c r="Y49" i="82"/>
  <c r="CZ49" i="82"/>
  <c r="O49" i="82"/>
  <c r="BG49" i="82"/>
  <c r="AS49" i="82"/>
  <c r="T49" i="82"/>
  <c r="BK49" i="82"/>
  <c r="DM49" i="82"/>
  <c r="AG49" i="82"/>
  <c r="AO49" i="82"/>
  <c r="H49" i="82"/>
  <c r="D49" i="82"/>
  <c r="CK49" i="82"/>
  <c r="E49" i="82"/>
  <c r="AH49" i="82"/>
  <c r="AF49" i="82"/>
  <c r="AP49" i="82"/>
  <c r="DA49" i="82"/>
  <c r="Q49" i="82"/>
  <c r="AB49" i="82"/>
  <c r="AL49" i="82"/>
  <c r="P49" i="82"/>
  <c r="AY49" i="82"/>
  <c r="BA50" i="82"/>
  <c r="G49" i="82"/>
  <c r="AX50" i="82"/>
  <c r="DL49" i="82"/>
  <c r="CP49" i="82"/>
  <c r="K49" i="82"/>
  <c r="DF49" i="82"/>
  <c r="AR49" i="82"/>
  <c r="CI49" i="82"/>
  <c r="CO49" i="82"/>
  <c r="R49" i="82"/>
  <c r="M49" i="82"/>
  <c r="I49" i="82"/>
  <c r="DD49" i="82"/>
  <c r="AD49" i="82"/>
  <c r="CM49" i="82"/>
  <c r="DC28" i="82"/>
  <c r="U29" i="82"/>
  <c r="I9" i="22"/>
  <c r="G59" i="22"/>
  <c r="G57" i="22"/>
  <c r="A50" i="82" l="1"/>
  <c r="AS50" i="82" s="1"/>
  <c r="DC29" i="82"/>
  <c r="U30" i="82"/>
  <c r="G9" i="22"/>
  <c r="I28" i="22"/>
  <c r="I40" i="22" s="1"/>
  <c r="I53" i="22" s="1"/>
  <c r="I4" i="22" s="1"/>
  <c r="I29" i="22"/>
  <c r="I41" i="22" s="1"/>
  <c r="I54" i="22" s="1"/>
  <c r="I5" i="22" s="1"/>
  <c r="I30" i="22"/>
  <c r="I42" i="22" s="1"/>
  <c r="I55" i="22" s="1"/>
  <c r="I6" i="22" s="1"/>
  <c r="I31" i="22"/>
  <c r="I43" i="22" s="1"/>
  <c r="I56" i="22" s="1"/>
  <c r="I7" i="22" s="1"/>
  <c r="I32" i="22"/>
  <c r="I44" i="22" s="1"/>
  <c r="I57" i="22" s="1"/>
  <c r="I8" i="22" s="1"/>
  <c r="I33" i="22"/>
  <c r="I45" i="22" s="1"/>
  <c r="I34" i="22"/>
  <c r="I46" i="22" s="1"/>
  <c r="I59" i="22" s="1"/>
  <c r="I10" i="22" s="1"/>
  <c r="I27" i="22"/>
  <c r="I39" i="22" s="1"/>
  <c r="I52" i="22" s="1"/>
  <c r="I3" i="22" s="1"/>
  <c r="G28" i="22"/>
  <c r="G40" i="22" s="1"/>
  <c r="G29" i="22"/>
  <c r="G41" i="22" s="1"/>
  <c r="G30" i="22"/>
  <c r="G42" i="22" s="1"/>
  <c r="G31" i="22"/>
  <c r="G43" i="22" s="1"/>
  <c r="G32" i="22"/>
  <c r="G44" i="22" s="1"/>
  <c r="G33" i="22"/>
  <c r="G34" i="22"/>
  <c r="G46" i="22" s="1"/>
  <c r="G10" i="22" s="1"/>
  <c r="G27" i="22"/>
  <c r="G39" i="22" s="1"/>
  <c r="G3" i="22" s="1"/>
  <c r="E28" i="22"/>
  <c r="E4" i="22" s="1"/>
  <c r="E29" i="22"/>
  <c r="E5" i="22" s="1"/>
  <c r="E30" i="22"/>
  <c r="E6" i="22" s="1"/>
  <c r="E31" i="22"/>
  <c r="E7" i="22" s="1"/>
  <c r="E32" i="22"/>
  <c r="E8" i="22" s="1"/>
  <c r="E33" i="22"/>
  <c r="E9" i="22" s="1"/>
  <c r="E34" i="22"/>
  <c r="E10" i="22" s="1"/>
  <c r="E27" i="22"/>
  <c r="E3" i="22" s="1"/>
  <c r="C28" i="22"/>
  <c r="C29" i="22"/>
  <c r="C30" i="22"/>
  <c r="C31" i="22"/>
  <c r="C32" i="22"/>
  <c r="C33" i="22"/>
  <c r="C34" i="22"/>
  <c r="C27" i="22"/>
  <c r="AD50" i="82" l="1"/>
  <c r="AP50" i="82"/>
  <c r="AI50" i="82"/>
  <c r="AG50" i="82"/>
  <c r="CZ50" i="82"/>
  <c r="BA51" i="82"/>
  <c r="T50" i="82"/>
  <c r="B50" i="82"/>
  <c r="C50" i="82" s="1"/>
  <c r="O50" i="82"/>
  <c r="CI50" i="82"/>
  <c r="CO50" i="82"/>
  <c r="H50" i="82"/>
  <c r="CH50" i="82"/>
  <c r="J50" i="82"/>
  <c r="AH50" i="82"/>
  <c r="M50" i="82"/>
  <c r="AR50" i="82"/>
  <c r="AF50" i="82"/>
  <c r="BG50" i="82"/>
  <c r="E50" i="82"/>
  <c r="K50" i="82"/>
  <c r="BF50" i="82"/>
  <c r="DF50" i="82"/>
  <c r="Y50" i="82"/>
  <c r="BK50" i="82"/>
  <c r="AY50" i="82"/>
  <c r="DA50" i="82"/>
  <c r="DD50" i="82"/>
  <c r="AW50" i="82"/>
  <c r="CM50" i="82"/>
  <c r="L50" i="82"/>
  <c r="AL50" i="82"/>
  <c r="AJ50" i="82"/>
  <c r="Q50" i="82"/>
  <c r="CK50" i="82"/>
  <c r="F50" i="82"/>
  <c r="P50" i="82"/>
  <c r="AB50" i="82"/>
  <c r="AX51" i="82"/>
  <c r="CP50" i="82"/>
  <c r="DM50" i="82"/>
  <c r="DL50" i="82"/>
  <c r="G50" i="82"/>
  <c r="CR50" i="82"/>
  <c r="I50" i="82"/>
  <c r="AO50" i="82"/>
  <c r="BN50" i="82"/>
  <c r="CE50" i="82"/>
  <c r="D50" i="82"/>
  <c r="R50" i="82"/>
  <c r="DC30" i="82"/>
  <c r="U31" i="82"/>
  <c r="G7" i="22"/>
  <c r="G55" i="22"/>
  <c r="G6" i="22"/>
  <c r="G54" i="22"/>
  <c r="G5" i="22"/>
  <c r="G53" i="22"/>
  <c r="G8" i="22"/>
  <c r="G56" i="22"/>
  <c r="G4" i="22"/>
  <c r="G52" i="22"/>
  <c r="A51" i="82" l="1"/>
  <c r="L51" i="82" s="1"/>
  <c r="DC31" i="82"/>
  <c r="U32" i="82"/>
  <c r="AC7" i="23"/>
  <c r="AB7" i="23"/>
  <c r="AW51" i="82" l="1"/>
  <c r="R51" i="82"/>
  <c r="DL51" i="82"/>
  <c r="CI51" i="82"/>
  <c r="AY51" i="82"/>
  <c r="AR51" i="82"/>
  <c r="F51" i="82"/>
  <c r="AI51" i="82"/>
  <c r="AD51" i="82"/>
  <c r="DM51" i="82"/>
  <c r="BG51" i="82"/>
  <c r="M51" i="82"/>
  <c r="AS51" i="82"/>
  <c r="CO51" i="82"/>
  <c r="CP51" i="82"/>
  <c r="E51" i="82"/>
  <c r="I51" i="82"/>
  <c r="CM51" i="82"/>
  <c r="AG51" i="82"/>
  <c r="CE51" i="82"/>
  <c r="Y51" i="82"/>
  <c r="DF51" i="82"/>
  <c r="J51" i="82"/>
  <c r="DD51" i="82"/>
  <c r="P51" i="82"/>
  <c r="BF51" i="82"/>
  <c r="CK51" i="82"/>
  <c r="D51" i="82"/>
  <c r="CH51" i="82"/>
  <c r="G51" i="82"/>
  <c r="H51" i="82"/>
  <c r="AL51" i="82"/>
  <c r="AH51" i="82"/>
  <c r="AO51" i="82"/>
  <c r="T51" i="82"/>
  <c r="B51" i="82"/>
  <c r="C51" i="82" s="1"/>
  <c r="AJ51" i="82"/>
  <c r="BK51" i="82"/>
  <c r="DA51" i="82"/>
  <c r="CZ51" i="82"/>
  <c r="AX52" i="82"/>
  <c r="AF51" i="82"/>
  <c r="BA52" i="82"/>
  <c r="K51" i="82"/>
  <c r="CR51" i="82"/>
  <c r="BN51" i="82"/>
  <c r="AP51" i="82"/>
  <c r="AB51" i="82"/>
  <c r="O51" i="82"/>
  <c r="Q51" i="82"/>
  <c r="DC32" i="82"/>
  <c r="U33" i="82"/>
  <c r="AC9" i="23"/>
  <c r="AC13" i="23"/>
  <c r="AC17" i="23"/>
  <c r="AB9" i="23"/>
  <c r="AB13" i="23"/>
  <c r="AB17" i="23"/>
  <c r="AC15" i="23"/>
  <c r="AB11" i="23"/>
  <c r="AB19" i="23"/>
  <c r="AC12" i="23"/>
  <c r="AC8" i="23"/>
  <c r="AB12" i="23"/>
  <c r="AB16" i="23"/>
  <c r="AB8" i="23"/>
  <c r="AC10" i="23"/>
  <c r="AC14" i="23"/>
  <c r="AC18" i="23"/>
  <c r="AB10" i="23"/>
  <c r="AB14" i="23"/>
  <c r="AB18" i="23"/>
  <c r="AC11" i="23"/>
  <c r="AC19" i="23"/>
  <c r="AB15" i="23"/>
  <c r="AC16" i="23"/>
  <c r="A52" i="82" l="1"/>
  <c r="D52" i="82" s="1"/>
  <c r="DC33" i="82"/>
  <c r="U34" i="82"/>
  <c r="AD19" i="23"/>
  <c r="AE19" i="23" s="1"/>
  <c r="AF19" i="23" s="1"/>
  <c r="AD8" i="23"/>
  <c r="AE8" i="23" s="1"/>
  <c r="AD16" i="23"/>
  <c r="AE16" i="23" s="1"/>
  <c r="AF16" i="23" s="1"/>
  <c r="AD10" i="23"/>
  <c r="AE10" i="23" s="1"/>
  <c r="AF10" i="23" s="1"/>
  <c r="AD17" i="23"/>
  <c r="AE17" i="23" s="1"/>
  <c r="AF17" i="23" s="1"/>
  <c r="AD12" i="23"/>
  <c r="AE12" i="23" s="1"/>
  <c r="AF12" i="23" s="1"/>
  <c r="AD11" i="23"/>
  <c r="AE11" i="23" s="1"/>
  <c r="AF11" i="23" s="1"/>
  <c r="AD14" i="23"/>
  <c r="AE14" i="23" s="1"/>
  <c r="AF14" i="23" s="1"/>
  <c r="AD15" i="23"/>
  <c r="AE15" i="23" s="1"/>
  <c r="AF15" i="23" s="1"/>
  <c r="AD13" i="23"/>
  <c r="AE13" i="23" s="1"/>
  <c r="AF13" i="23" s="1"/>
  <c r="AD18" i="23"/>
  <c r="AE18" i="23" s="1"/>
  <c r="AF18" i="23" s="1"/>
  <c r="AD9" i="23"/>
  <c r="AE9" i="23" s="1"/>
  <c r="AF9" i="23" s="1"/>
  <c r="BN52" i="82" l="1"/>
  <c r="Q52" i="82"/>
  <c r="AJ52" i="82"/>
  <c r="DM52" i="82"/>
  <c r="G52" i="82"/>
  <c r="F52" i="82"/>
  <c r="BK52" i="82"/>
  <c r="AR52" i="82"/>
  <c r="I52" i="82"/>
  <c r="K52" i="82"/>
  <c r="AY52" i="82"/>
  <c r="CK52" i="82"/>
  <c r="J52" i="82"/>
  <c r="AX53" i="82"/>
  <c r="DL52" i="82"/>
  <c r="CO52" i="82"/>
  <c r="O52" i="82"/>
  <c r="CM52" i="82"/>
  <c r="Y52" i="82"/>
  <c r="L52" i="82"/>
  <c r="DA52" i="82"/>
  <c r="AL52" i="82"/>
  <c r="AB52" i="82"/>
  <c r="DF52" i="82"/>
  <c r="AH52" i="82"/>
  <c r="BA53" i="82"/>
  <c r="BF52" i="82"/>
  <c r="CI52" i="82"/>
  <c r="H52" i="82"/>
  <c r="T52" i="82"/>
  <c r="R52" i="82"/>
  <c r="AS52" i="82"/>
  <c r="B52" i="82"/>
  <c r="A53" i="82" s="1"/>
  <c r="AF52" i="82"/>
  <c r="AI52" i="82"/>
  <c r="E52" i="82"/>
  <c r="AD52" i="82"/>
  <c r="AW52" i="82"/>
  <c r="DD52" i="82"/>
  <c r="AG52" i="82"/>
  <c r="CR52" i="82"/>
  <c r="CZ52" i="82"/>
  <c r="CE52" i="82"/>
  <c r="AO52" i="82"/>
  <c r="CH52" i="82"/>
  <c r="CP52" i="82"/>
  <c r="AP52" i="82"/>
  <c r="M52" i="82"/>
  <c r="P52" i="82"/>
  <c r="BG52" i="82"/>
  <c r="DC34" i="82"/>
  <c r="U35" i="82"/>
  <c r="B39" i="2"/>
  <c r="AH53" i="82" l="1"/>
  <c r="CE53" i="82"/>
  <c r="AF53" i="82"/>
  <c r="DF53" i="82"/>
  <c r="H53" i="82"/>
  <c r="L53" i="82"/>
  <c r="T53" i="82"/>
  <c r="M53" i="82"/>
  <c r="CO53" i="82"/>
  <c r="F53" i="82"/>
  <c r="CZ53" i="82"/>
  <c r="G53" i="82"/>
  <c r="B53" i="82"/>
  <c r="C53" i="82" s="1"/>
  <c r="BK53" i="82"/>
  <c r="AI53" i="82"/>
  <c r="CP53" i="82"/>
  <c r="AB53" i="82"/>
  <c r="CI53" i="82"/>
  <c r="D53" i="82"/>
  <c r="BN53" i="82"/>
  <c r="O53" i="82"/>
  <c r="AP53" i="82"/>
  <c r="AX54" i="82"/>
  <c r="AR53" i="82"/>
  <c r="AW53" i="82"/>
  <c r="DL53" i="82"/>
  <c r="J53" i="82"/>
  <c r="DD53" i="82"/>
  <c r="E53" i="82"/>
  <c r="AY53" i="82"/>
  <c r="R53" i="82"/>
  <c r="Y53" i="82"/>
  <c r="AL53" i="82"/>
  <c r="CK53" i="82"/>
  <c r="CR53" i="82"/>
  <c r="P53" i="82"/>
  <c r="AJ53" i="82"/>
  <c r="C52" i="82"/>
  <c r="AD53" i="82"/>
  <c r="AO53" i="82"/>
  <c r="AS53" i="82"/>
  <c r="AG53" i="82"/>
  <c r="CM53" i="82"/>
  <c r="DM53" i="82"/>
  <c r="BF53" i="82"/>
  <c r="Q53" i="82"/>
  <c r="BA54" i="82"/>
  <c r="K53" i="82"/>
  <c r="BG53" i="82"/>
  <c r="I53" i="82"/>
  <c r="CH53" i="82"/>
  <c r="DA53" i="82"/>
  <c r="A54" i="82"/>
  <c r="DC35" i="82"/>
  <c r="U36" i="82"/>
  <c r="Y268" i="16"/>
  <c r="Y269" i="16" s="1"/>
  <c r="Y270" i="16" s="1"/>
  <c r="Y271" i="16" s="1"/>
  <c r="Y272" i="16" s="1"/>
  <c r="Y273" i="16" s="1"/>
  <c r="Y274" i="16" s="1"/>
  <c r="Y275" i="16" s="1"/>
  <c r="Y276" i="16" s="1"/>
  <c r="Y277" i="16" s="1"/>
  <c r="Y278" i="16" s="1"/>
  <c r="Y279" i="16" s="1"/>
  <c r="Y280" i="16" s="1"/>
  <c r="Y281" i="16" s="1"/>
  <c r="Y282" i="16" s="1"/>
  <c r="Y283" i="16" s="1"/>
  <c r="Y284" i="16" s="1"/>
  <c r="Y285" i="16" s="1"/>
  <c r="Y286" i="16" s="1"/>
  <c r="Y287" i="16" s="1"/>
  <c r="Y288" i="16" s="1"/>
  <c r="Y289" i="16" s="1"/>
  <c r="Y290" i="16" s="1"/>
  <c r="Y291" i="16" s="1"/>
  <c r="Y292" i="16" s="1"/>
  <c r="Y293" i="16" s="1"/>
  <c r="Y294" i="16" s="1"/>
  <c r="Y295" i="16" s="1"/>
  <c r="Y239" i="16"/>
  <c r="Y240" i="16" s="1"/>
  <c r="Y241" i="16" s="1"/>
  <c r="Y242" i="16" s="1"/>
  <c r="Y244" i="16" s="1"/>
  <c r="Y245" i="16" s="1"/>
  <c r="Y246" i="16" s="1"/>
  <c r="Y247" i="16" s="1"/>
  <c r="Y248" i="16" s="1"/>
  <c r="Y249" i="16" s="1"/>
  <c r="Y250" i="16" s="1"/>
  <c r="Y251" i="16" s="1"/>
  <c r="Y252" i="16" s="1"/>
  <c r="Y253" i="16" s="1"/>
  <c r="Y254" i="16" s="1"/>
  <c r="Y255" i="16" s="1"/>
  <c r="Y256" i="16" s="1"/>
  <c r="Y257" i="16" s="1"/>
  <c r="Y258" i="16" s="1"/>
  <c r="Y259" i="16" s="1"/>
  <c r="Y260" i="16" s="1"/>
  <c r="Y261" i="16" s="1"/>
  <c r="Y262" i="16" s="1"/>
  <c r="Y263" i="16" s="1"/>
  <c r="Y264" i="16" s="1"/>
  <c r="Y265" i="16" s="1"/>
  <c r="Y266" i="16" s="1"/>
  <c r="Y210" i="16"/>
  <c r="Y211" i="16" s="1"/>
  <c r="Y212" i="16" s="1"/>
  <c r="Y213" i="16" s="1"/>
  <c r="Y214" i="16" s="1"/>
  <c r="Y215" i="16" s="1"/>
  <c r="Y216" i="16" s="1"/>
  <c r="Y217" i="16" s="1"/>
  <c r="Y218" i="16" s="1"/>
  <c r="Y219" i="16" s="1"/>
  <c r="Y220" i="16" s="1"/>
  <c r="Y221" i="16" s="1"/>
  <c r="Y222" i="16" s="1"/>
  <c r="Y223" i="16" s="1"/>
  <c r="Y224" i="16" s="1"/>
  <c r="Y225" i="16" s="1"/>
  <c r="Y226" i="16" s="1"/>
  <c r="Y227" i="16" s="1"/>
  <c r="Y228" i="16" s="1"/>
  <c r="Y229" i="16" s="1"/>
  <c r="Y230" i="16" s="1"/>
  <c r="Y231" i="16" s="1"/>
  <c r="Y232" i="16" s="1"/>
  <c r="Y233" i="16" s="1"/>
  <c r="Y234" i="16" s="1"/>
  <c r="Y235" i="16" s="1"/>
  <c r="Y236" i="16" s="1"/>
  <c r="Y237" i="16" s="1"/>
  <c r="Y181" i="16"/>
  <c r="Y182" i="16" s="1"/>
  <c r="Y183" i="16" s="1"/>
  <c r="Y184" i="16" s="1"/>
  <c r="Y185" i="16" s="1"/>
  <c r="Y186" i="16" s="1"/>
  <c r="Y187" i="16" s="1"/>
  <c r="Y188" i="16" s="1"/>
  <c r="Y189" i="16" s="1"/>
  <c r="Y190" i="16" s="1"/>
  <c r="Y191" i="16" s="1"/>
  <c r="Y192" i="16" s="1"/>
  <c r="Y193" i="16" s="1"/>
  <c r="Y194" i="16" s="1"/>
  <c r="Y195" i="16" s="1"/>
  <c r="Y196" i="16" s="1"/>
  <c r="Y197" i="16" s="1"/>
  <c r="Y198" i="16" s="1"/>
  <c r="Y199" i="16" s="1"/>
  <c r="Y200" i="16" s="1"/>
  <c r="Y201" i="16" s="1"/>
  <c r="Y202" i="16" s="1"/>
  <c r="Y203" i="16" s="1"/>
  <c r="Y204" i="16" s="1"/>
  <c r="Y205" i="16" s="1"/>
  <c r="Y206" i="16" s="1"/>
  <c r="Y207" i="16" s="1"/>
  <c r="Y208" i="16" s="1"/>
  <c r="Y152" i="16"/>
  <c r="Y153" i="16" s="1"/>
  <c r="Y154" i="16" s="1"/>
  <c r="Y155" i="16" s="1"/>
  <c r="Y156" i="16" s="1"/>
  <c r="Y157" i="16" s="1"/>
  <c r="Y158" i="16" s="1"/>
  <c r="Y159" i="16" s="1"/>
  <c r="Y160" i="16" s="1"/>
  <c r="Y161" i="16" s="1"/>
  <c r="Y162" i="16" s="1"/>
  <c r="Y163" i="16" s="1"/>
  <c r="Y164" i="16" s="1"/>
  <c r="Y165" i="16" s="1"/>
  <c r="Y166" i="16" s="1"/>
  <c r="Y167" i="16" s="1"/>
  <c r="Y168" i="16" s="1"/>
  <c r="Y169" i="16" s="1"/>
  <c r="Y170" i="16" s="1"/>
  <c r="Y171" i="16" s="1"/>
  <c r="Y172" i="16" s="1"/>
  <c r="Y173" i="16" s="1"/>
  <c r="Y174" i="16" s="1"/>
  <c r="Y175" i="16" s="1"/>
  <c r="Y176" i="16" s="1"/>
  <c r="Y177" i="16" s="1"/>
  <c r="Y178" i="16" s="1"/>
  <c r="Y179" i="16" s="1"/>
  <c r="Y123" i="16"/>
  <c r="Y124" i="16" s="1"/>
  <c r="Y125" i="16" s="1"/>
  <c r="Y126" i="16" s="1"/>
  <c r="Y127" i="16" s="1"/>
  <c r="Y128" i="16" s="1"/>
  <c r="Y129" i="16" s="1"/>
  <c r="Y130" i="16" s="1"/>
  <c r="Y131" i="16" s="1"/>
  <c r="Y132" i="16" s="1"/>
  <c r="Y133" i="16" s="1"/>
  <c r="Y134" i="16" s="1"/>
  <c r="Y135" i="16" s="1"/>
  <c r="Y136" i="16" s="1"/>
  <c r="Y137" i="16" s="1"/>
  <c r="Y138" i="16" s="1"/>
  <c r="Y139" i="16" s="1"/>
  <c r="Y140" i="16" s="1"/>
  <c r="Y141" i="16" s="1"/>
  <c r="Y142" i="16" s="1"/>
  <c r="Y143" i="16" s="1"/>
  <c r="Y144" i="16" s="1"/>
  <c r="Y145" i="16" s="1"/>
  <c r="Y146" i="16" s="1"/>
  <c r="Y147" i="16" s="1"/>
  <c r="Y148" i="16" s="1"/>
  <c r="Y149" i="16" s="1"/>
  <c r="Y150" i="16" s="1"/>
  <c r="Y94" i="16"/>
  <c r="Y95" i="16" s="1"/>
  <c r="Y96" i="16" s="1"/>
  <c r="Y97" i="16" s="1"/>
  <c r="Y98" i="16" s="1"/>
  <c r="Y99" i="16" s="1"/>
  <c r="Y100" i="16" s="1"/>
  <c r="Y101" i="16" s="1"/>
  <c r="Y102" i="16" s="1"/>
  <c r="Y103" i="16" s="1"/>
  <c r="Y104" i="16" s="1"/>
  <c r="Y105" i="16" s="1"/>
  <c r="Y106" i="16" s="1"/>
  <c r="Y107" i="16" s="1"/>
  <c r="Y108" i="16" s="1"/>
  <c r="Y109" i="16" s="1"/>
  <c r="Y110" i="16" s="1"/>
  <c r="Y111" i="16" s="1"/>
  <c r="Y112" i="16" s="1"/>
  <c r="Y113" i="16" s="1"/>
  <c r="Y114" i="16" s="1"/>
  <c r="Y115" i="16" s="1"/>
  <c r="Y116" i="16" s="1"/>
  <c r="Y117" i="16" s="1"/>
  <c r="Y118" i="16" s="1"/>
  <c r="Y119" i="16" s="1"/>
  <c r="Y120" i="16" s="1"/>
  <c r="Y121" i="16" s="1"/>
  <c r="Y65" i="16"/>
  <c r="Y66" i="16" s="1"/>
  <c r="Y67" i="16" s="1"/>
  <c r="Y68" i="16" s="1"/>
  <c r="Y69" i="16" s="1"/>
  <c r="Y70" i="16" s="1"/>
  <c r="Y71" i="16" s="1"/>
  <c r="Y72" i="16" s="1"/>
  <c r="Y73" i="16" s="1"/>
  <c r="Y74" i="16" s="1"/>
  <c r="Y75" i="16" s="1"/>
  <c r="Y76" i="16" s="1"/>
  <c r="Y77" i="16" s="1"/>
  <c r="Y78" i="16" s="1"/>
  <c r="Y79" i="16" s="1"/>
  <c r="Y80" i="16" s="1"/>
  <c r="Y81" i="16" s="1"/>
  <c r="Y82" i="16" s="1"/>
  <c r="Y83" i="16" s="1"/>
  <c r="Y84" i="16" s="1"/>
  <c r="Y85" i="16" s="1"/>
  <c r="Y86" i="16" s="1"/>
  <c r="Y87" i="16" s="1"/>
  <c r="Y88" i="16" s="1"/>
  <c r="Y89" i="16" s="1"/>
  <c r="Y90" i="16" s="1"/>
  <c r="Y91" i="16" s="1"/>
  <c r="Y92" i="16" s="1"/>
  <c r="Y36" i="16"/>
  <c r="Y37" i="16" s="1"/>
  <c r="Y38" i="16" s="1"/>
  <c r="Y39" i="16" s="1"/>
  <c r="Y40" i="16" s="1"/>
  <c r="Y41" i="16" s="1"/>
  <c r="Y42" i="16" s="1"/>
  <c r="Y43" i="16" s="1"/>
  <c r="Y44" i="16" s="1"/>
  <c r="Y45" i="16" s="1"/>
  <c r="Y46" i="16" s="1"/>
  <c r="Y47" i="16" s="1"/>
  <c r="Y48" i="16" s="1"/>
  <c r="Y49" i="16" s="1"/>
  <c r="Y50" i="16" s="1"/>
  <c r="Y51" i="16" s="1"/>
  <c r="Y52" i="16" s="1"/>
  <c r="Y53" i="16" s="1"/>
  <c r="Y54" i="16" s="1"/>
  <c r="Y55" i="16" s="1"/>
  <c r="Y56" i="16" s="1"/>
  <c r="Y57" i="16" s="1"/>
  <c r="Y58" i="16" s="1"/>
  <c r="Y59" i="16" s="1"/>
  <c r="Y60" i="16" s="1"/>
  <c r="Y61" i="16" s="1"/>
  <c r="Y62" i="16" s="1"/>
  <c r="Y63" i="16" s="1"/>
  <c r="Y7" i="16"/>
  <c r="Y8" i="16" s="1"/>
  <c r="Y9" i="16" s="1"/>
  <c r="Y10" i="16" s="1"/>
  <c r="Y11" i="16" s="1"/>
  <c r="Y12" i="16" s="1"/>
  <c r="Y13" i="16" s="1"/>
  <c r="Y14" i="16" s="1"/>
  <c r="Y15" i="16" s="1"/>
  <c r="Y16" i="16" s="1"/>
  <c r="Y17" i="16" s="1"/>
  <c r="Y18" i="16" s="1"/>
  <c r="Y19" i="16" s="1"/>
  <c r="Y20" i="16" s="1"/>
  <c r="Y21" i="16" s="1"/>
  <c r="Y22" i="16" s="1"/>
  <c r="Y23" i="16" s="1"/>
  <c r="Y24" i="16" s="1"/>
  <c r="Y25" i="16" s="1"/>
  <c r="Y26" i="16" s="1"/>
  <c r="Y27" i="16" s="1"/>
  <c r="Y28" i="16" s="1"/>
  <c r="Y29" i="16" s="1"/>
  <c r="Y30" i="16" s="1"/>
  <c r="Y31" i="16" s="1"/>
  <c r="Y32" i="16" s="1"/>
  <c r="Y33" i="16" s="1"/>
  <c r="Y34" i="16" s="1"/>
  <c r="AO54" i="82" l="1"/>
  <c r="L54" i="82"/>
  <c r="AW54" i="82"/>
  <c r="T54" i="82"/>
  <c r="BG54" i="82"/>
  <c r="AR54" i="82"/>
  <c r="AB54" i="82"/>
  <c r="AX55" i="82"/>
  <c r="R54" i="82"/>
  <c r="AL54" i="82"/>
  <c r="CR54" i="82"/>
  <c r="BN54" i="82"/>
  <c r="DL54" i="82"/>
  <c r="BK54" i="82"/>
  <c r="F54" i="82"/>
  <c r="CH54" i="82"/>
  <c r="DA54" i="82"/>
  <c r="B54" i="82"/>
  <c r="A55" i="82" s="1"/>
  <c r="D54" i="82"/>
  <c r="J54" i="82"/>
  <c r="CE54" i="82"/>
  <c r="AS54" i="82"/>
  <c r="M54" i="82"/>
  <c r="AG54" i="82"/>
  <c r="CP54" i="82"/>
  <c r="Y54" i="82"/>
  <c r="K54" i="82"/>
  <c r="BA55" i="82"/>
  <c r="CK54" i="82"/>
  <c r="AY54" i="82"/>
  <c r="DF54" i="82"/>
  <c r="I54" i="82"/>
  <c r="CM54" i="82"/>
  <c r="AH54" i="82"/>
  <c r="E54" i="82"/>
  <c r="G54" i="82"/>
  <c r="O54" i="82"/>
  <c r="H54" i="82"/>
  <c r="DD54" i="82"/>
  <c r="AF54" i="82"/>
  <c r="AD54" i="82"/>
  <c r="CZ54" i="82"/>
  <c r="AP54" i="82"/>
  <c r="AJ54" i="82"/>
  <c r="AI54" i="82"/>
  <c r="DM54" i="82"/>
  <c r="CO54" i="82"/>
  <c r="P54" i="82"/>
  <c r="BF54" i="82"/>
  <c r="CI54" i="82"/>
  <c r="Q54" i="82"/>
  <c r="DC36" i="82"/>
  <c r="U37" i="82"/>
  <c r="D265" i="14"/>
  <c r="D266" i="14" s="1"/>
  <c r="D267" i="14" s="1"/>
  <c r="D268" i="14" s="1"/>
  <c r="D269" i="14" s="1"/>
  <c r="D270" i="14" s="1"/>
  <c r="D271" i="14" s="1"/>
  <c r="D272" i="14" s="1"/>
  <c r="D273" i="14" s="1"/>
  <c r="D274" i="14" s="1"/>
  <c r="D275" i="14" s="1"/>
  <c r="D276" i="14" s="1"/>
  <c r="D277" i="14" s="1"/>
  <c r="D278" i="14" s="1"/>
  <c r="D279" i="14" s="1"/>
  <c r="D280" i="14" s="1"/>
  <c r="D281" i="14" s="1"/>
  <c r="D282" i="14" s="1"/>
  <c r="D283" i="14" s="1"/>
  <c r="D284" i="14" s="1"/>
  <c r="D285" i="14" s="1"/>
  <c r="D286" i="14" s="1"/>
  <c r="D287" i="14" s="1"/>
  <c r="D288" i="14" s="1"/>
  <c r="D289" i="14" s="1"/>
  <c r="D290" i="14" s="1"/>
  <c r="D291" i="14" s="1"/>
  <c r="D292" i="14" s="1"/>
  <c r="D236" i="14"/>
  <c r="D237" i="14" s="1"/>
  <c r="D238" i="14" s="1"/>
  <c r="D239" i="14" s="1"/>
  <c r="D241" i="14" s="1"/>
  <c r="D242" i="14" s="1"/>
  <c r="D243" i="14" s="1"/>
  <c r="D244" i="14" s="1"/>
  <c r="D245" i="14" s="1"/>
  <c r="D246" i="14" s="1"/>
  <c r="D247" i="14" s="1"/>
  <c r="D248" i="14" s="1"/>
  <c r="D249" i="14" s="1"/>
  <c r="D250" i="14" s="1"/>
  <c r="D251" i="14" s="1"/>
  <c r="D252" i="14" s="1"/>
  <c r="D253" i="14" s="1"/>
  <c r="D254" i="14" s="1"/>
  <c r="D255" i="14" s="1"/>
  <c r="D256" i="14" s="1"/>
  <c r="D257" i="14" s="1"/>
  <c r="D258" i="14" s="1"/>
  <c r="D259" i="14" s="1"/>
  <c r="D260" i="14" s="1"/>
  <c r="D261" i="14" s="1"/>
  <c r="D262" i="14" s="1"/>
  <c r="D263" i="14" s="1"/>
  <c r="D207" i="14"/>
  <c r="D208" i="14" s="1"/>
  <c r="D209" i="14" s="1"/>
  <c r="D210" i="14" s="1"/>
  <c r="D211" i="14" s="1"/>
  <c r="D212" i="14" s="1"/>
  <c r="D213" i="14" s="1"/>
  <c r="D214" i="14" s="1"/>
  <c r="D215" i="14" s="1"/>
  <c r="D216" i="14" s="1"/>
  <c r="D217" i="14" s="1"/>
  <c r="D218" i="14" s="1"/>
  <c r="D219" i="14" s="1"/>
  <c r="D220" i="14" s="1"/>
  <c r="D221" i="14" s="1"/>
  <c r="D222" i="14" s="1"/>
  <c r="D223" i="14" s="1"/>
  <c r="D224" i="14" s="1"/>
  <c r="D225" i="14" s="1"/>
  <c r="D226" i="14" s="1"/>
  <c r="D227" i="14" s="1"/>
  <c r="D228" i="14" s="1"/>
  <c r="D229" i="14" s="1"/>
  <c r="D230" i="14" s="1"/>
  <c r="D231" i="14" s="1"/>
  <c r="D232" i="14" s="1"/>
  <c r="D233" i="14" s="1"/>
  <c r="D234" i="14" s="1"/>
  <c r="D178" i="14"/>
  <c r="D179" i="14" s="1"/>
  <c r="D180" i="14" s="1"/>
  <c r="D181" i="14" s="1"/>
  <c r="D182" i="14" s="1"/>
  <c r="D183" i="14" s="1"/>
  <c r="D184" i="14" s="1"/>
  <c r="D185" i="14" s="1"/>
  <c r="D186" i="14" s="1"/>
  <c r="D187" i="14" s="1"/>
  <c r="D188" i="14" s="1"/>
  <c r="D189" i="14" s="1"/>
  <c r="D190" i="14" s="1"/>
  <c r="D191" i="14" s="1"/>
  <c r="D192" i="14" s="1"/>
  <c r="D193" i="14" s="1"/>
  <c r="D194" i="14" s="1"/>
  <c r="D195" i="14" s="1"/>
  <c r="D196" i="14" s="1"/>
  <c r="D197" i="14" s="1"/>
  <c r="D198" i="14" s="1"/>
  <c r="D199" i="14" s="1"/>
  <c r="D200" i="14" s="1"/>
  <c r="D201" i="14" s="1"/>
  <c r="D202" i="14" s="1"/>
  <c r="D203" i="14" s="1"/>
  <c r="D204" i="14" s="1"/>
  <c r="D205" i="14" s="1"/>
  <c r="D149" i="14"/>
  <c r="D150" i="14" s="1"/>
  <c r="D151" i="14" s="1"/>
  <c r="D152" i="14" s="1"/>
  <c r="D153" i="14" s="1"/>
  <c r="D154" i="14" s="1"/>
  <c r="D155" i="14" s="1"/>
  <c r="D156" i="14" s="1"/>
  <c r="D157" i="14" s="1"/>
  <c r="D158" i="14" s="1"/>
  <c r="D159" i="14" s="1"/>
  <c r="D160" i="14" s="1"/>
  <c r="D161" i="14" s="1"/>
  <c r="D162" i="14" s="1"/>
  <c r="D163" i="14" s="1"/>
  <c r="D164" i="14" s="1"/>
  <c r="D165" i="14" s="1"/>
  <c r="D166" i="14" s="1"/>
  <c r="D167" i="14" s="1"/>
  <c r="D168" i="14" s="1"/>
  <c r="D169" i="14" s="1"/>
  <c r="D170" i="14" s="1"/>
  <c r="D171" i="14" s="1"/>
  <c r="D172" i="14" s="1"/>
  <c r="D173" i="14" s="1"/>
  <c r="D174" i="14" s="1"/>
  <c r="D175" i="14" s="1"/>
  <c r="D176" i="14" s="1"/>
  <c r="D120" i="14"/>
  <c r="D121" i="14" s="1"/>
  <c r="D122" i="14" s="1"/>
  <c r="D123" i="14" s="1"/>
  <c r="D124" i="14" s="1"/>
  <c r="D125" i="14" s="1"/>
  <c r="D126" i="14" s="1"/>
  <c r="D127" i="14" s="1"/>
  <c r="D128" i="14" s="1"/>
  <c r="D129" i="14" s="1"/>
  <c r="D130" i="14" s="1"/>
  <c r="D131" i="14" s="1"/>
  <c r="D132" i="14" s="1"/>
  <c r="D133" i="14" s="1"/>
  <c r="D134" i="14" s="1"/>
  <c r="D135" i="14" s="1"/>
  <c r="D136" i="14" s="1"/>
  <c r="D137" i="14" s="1"/>
  <c r="D138" i="14" s="1"/>
  <c r="D139" i="14" s="1"/>
  <c r="D140" i="14" s="1"/>
  <c r="D141" i="14" s="1"/>
  <c r="D142" i="14" s="1"/>
  <c r="D143" i="14" s="1"/>
  <c r="D144" i="14" s="1"/>
  <c r="D145" i="14" s="1"/>
  <c r="D146" i="14" s="1"/>
  <c r="D147" i="14" s="1"/>
  <c r="D91" i="14"/>
  <c r="D92" i="14" s="1"/>
  <c r="D93" i="14" s="1"/>
  <c r="D94" i="14" s="1"/>
  <c r="D95" i="14" s="1"/>
  <c r="D96" i="14" s="1"/>
  <c r="D97" i="14" s="1"/>
  <c r="D98" i="14" s="1"/>
  <c r="D99" i="14" s="1"/>
  <c r="D100" i="14" s="1"/>
  <c r="D101" i="14" s="1"/>
  <c r="D102" i="14" s="1"/>
  <c r="D103" i="14" s="1"/>
  <c r="D104" i="14" s="1"/>
  <c r="D105" i="14" s="1"/>
  <c r="D106" i="14" s="1"/>
  <c r="D107" i="14" s="1"/>
  <c r="D108" i="14" s="1"/>
  <c r="D109" i="14" s="1"/>
  <c r="D110" i="14" s="1"/>
  <c r="D111" i="14" s="1"/>
  <c r="D112" i="14" s="1"/>
  <c r="D113" i="14" s="1"/>
  <c r="D114" i="14" s="1"/>
  <c r="D115" i="14" s="1"/>
  <c r="D116" i="14" s="1"/>
  <c r="D117" i="14" s="1"/>
  <c r="D118" i="14" s="1"/>
  <c r="D62" i="14"/>
  <c r="D63" i="14" s="1"/>
  <c r="D64" i="14" s="1"/>
  <c r="D65" i="14" s="1"/>
  <c r="D66" i="14" s="1"/>
  <c r="D67" i="14" s="1"/>
  <c r="D68" i="14" s="1"/>
  <c r="D69" i="14" s="1"/>
  <c r="D70" i="14" s="1"/>
  <c r="D71" i="14" s="1"/>
  <c r="D72" i="14" s="1"/>
  <c r="D73" i="14" s="1"/>
  <c r="D74" i="14" s="1"/>
  <c r="D75" i="14" s="1"/>
  <c r="D76" i="14" s="1"/>
  <c r="D77" i="14" s="1"/>
  <c r="D78" i="14" s="1"/>
  <c r="D79" i="14" s="1"/>
  <c r="D80" i="14" s="1"/>
  <c r="D81" i="14" s="1"/>
  <c r="D82" i="14" s="1"/>
  <c r="D83" i="14" s="1"/>
  <c r="D84" i="14" s="1"/>
  <c r="D85" i="14" s="1"/>
  <c r="D86" i="14" s="1"/>
  <c r="D87" i="14" s="1"/>
  <c r="D88" i="14" s="1"/>
  <c r="D89" i="14" s="1"/>
  <c r="D33" i="14"/>
  <c r="D34" i="14" s="1"/>
  <c r="D35" i="14" s="1"/>
  <c r="D36" i="14" s="1"/>
  <c r="D37" i="14" s="1"/>
  <c r="D38" i="14" s="1"/>
  <c r="D39" i="14" s="1"/>
  <c r="D40" i="14" s="1"/>
  <c r="D41" i="14" s="1"/>
  <c r="D42" i="14" s="1"/>
  <c r="D43" i="14" s="1"/>
  <c r="D44" i="14" s="1"/>
  <c r="D45" i="14" s="1"/>
  <c r="D46" i="14" s="1"/>
  <c r="D47" i="14" s="1"/>
  <c r="D48" i="14" s="1"/>
  <c r="D49" i="14" s="1"/>
  <c r="D50" i="14" s="1"/>
  <c r="D51" i="14" s="1"/>
  <c r="D52" i="14" s="1"/>
  <c r="D53" i="14" s="1"/>
  <c r="D54" i="14" s="1"/>
  <c r="D55" i="14" s="1"/>
  <c r="D56" i="14" s="1"/>
  <c r="D57" i="14" s="1"/>
  <c r="D58" i="14" s="1"/>
  <c r="D59" i="14" s="1"/>
  <c r="D60" i="14" s="1"/>
  <c r="D4" i="14"/>
  <c r="D5" i="14" s="1"/>
  <c r="D6" i="14" s="1"/>
  <c r="D7" i="14" s="1"/>
  <c r="D8" i="14" s="1"/>
  <c r="D9" i="14" s="1"/>
  <c r="D10" i="14" s="1"/>
  <c r="D11" i="14" s="1"/>
  <c r="D12" i="14" s="1"/>
  <c r="D13" i="14" s="1"/>
  <c r="D14" i="14" s="1"/>
  <c r="D15" i="14" s="1"/>
  <c r="D16" i="14" s="1"/>
  <c r="D17" i="14" s="1"/>
  <c r="D18" i="14" s="1"/>
  <c r="D19" i="14" s="1"/>
  <c r="D20" i="14" s="1"/>
  <c r="D21" i="14" s="1"/>
  <c r="D22" i="14" s="1"/>
  <c r="D23" i="14" s="1"/>
  <c r="D24" i="14" s="1"/>
  <c r="D25" i="14" s="1"/>
  <c r="D26" i="14" s="1"/>
  <c r="D27" i="14" s="1"/>
  <c r="D28" i="14" s="1"/>
  <c r="D29" i="14" s="1"/>
  <c r="D30" i="14" s="1"/>
  <c r="D31" i="14" s="1"/>
  <c r="AK4" i="10"/>
  <c r="AK5" i="10" s="1"/>
  <c r="AK6" i="10" s="1"/>
  <c r="AK7" i="10" s="1"/>
  <c r="AK8" i="10" s="1"/>
  <c r="AK9" i="10" s="1"/>
  <c r="AK10" i="10" s="1"/>
  <c r="AK11" i="10" s="1"/>
  <c r="AK12" i="10" s="1"/>
  <c r="AK13" i="10" s="1"/>
  <c r="AK14" i="10" s="1"/>
  <c r="AK15" i="10" s="1"/>
  <c r="AK16" i="10" s="1"/>
  <c r="AK17" i="10" s="1"/>
  <c r="AK18" i="10" s="1"/>
  <c r="AK19" i="10" s="1"/>
  <c r="AK20" i="10" s="1"/>
  <c r="AK21" i="10" s="1"/>
  <c r="AK22" i="10" s="1"/>
  <c r="AK23" i="10" s="1"/>
  <c r="AK24" i="10" s="1"/>
  <c r="AK25" i="10" s="1"/>
  <c r="AK26" i="10" s="1"/>
  <c r="AK27" i="10" s="1"/>
  <c r="AK28" i="10" s="1"/>
  <c r="AK29" i="10" s="1"/>
  <c r="AK30" i="10" s="1"/>
  <c r="AK31" i="10" s="1"/>
  <c r="AK32" i="10" s="1"/>
  <c r="AL4" i="10"/>
  <c r="AL5" i="10" s="1"/>
  <c r="AL6" i="10" s="1"/>
  <c r="AL7" i="10" s="1"/>
  <c r="AL8" i="10" s="1"/>
  <c r="AL9" i="10" s="1"/>
  <c r="AL10" i="10" s="1"/>
  <c r="AL11" i="10" s="1"/>
  <c r="AL12" i="10" s="1"/>
  <c r="AL13" i="10" s="1"/>
  <c r="AL14" i="10" s="1"/>
  <c r="AL15" i="10" s="1"/>
  <c r="AL16" i="10" s="1"/>
  <c r="AL17" i="10" s="1"/>
  <c r="AL18" i="10" s="1"/>
  <c r="AL19" i="10" s="1"/>
  <c r="AL20" i="10" s="1"/>
  <c r="AL21" i="10" s="1"/>
  <c r="AL22" i="10" s="1"/>
  <c r="AL23" i="10" s="1"/>
  <c r="AL24" i="10" s="1"/>
  <c r="AL25" i="10" s="1"/>
  <c r="AL26" i="10" s="1"/>
  <c r="AL27" i="10" s="1"/>
  <c r="AL28" i="10" s="1"/>
  <c r="AL29" i="10" s="1"/>
  <c r="AL30" i="10" s="1"/>
  <c r="AL31" i="10" s="1"/>
  <c r="AL32" i="10" s="1"/>
  <c r="AM4" i="10"/>
  <c r="AM5" i="10" s="1"/>
  <c r="AM6" i="10" s="1"/>
  <c r="AM7" i="10" s="1"/>
  <c r="AM8" i="10" s="1"/>
  <c r="AM9" i="10" s="1"/>
  <c r="AM10" i="10" s="1"/>
  <c r="AM11" i="10" s="1"/>
  <c r="AM12" i="10" s="1"/>
  <c r="AM13" i="10" s="1"/>
  <c r="AM14" i="10" s="1"/>
  <c r="AM15" i="10" s="1"/>
  <c r="AM16" i="10" s="1"/>
  <c r="AM17" i="10" s="1"/>
  <c r="AM18" i="10" s="1"/>
  <c r="AM19" i="10" s="1"/>
  <c r="AM20" i="10" s="1"/>
  <c r="AM21" i="10" s="1"/>
  <c r="AM22" i="10" s="1"/>
  <c r="AM23" i="10" s="1"/>
  <c r="AM24" i="10" s="1"/>
  <c r="AM25" i="10" s="1"/>
  <c r="AM26" i="10" s="1"/>
  <c r="AN4" i="10"/>
  <c r="AN5" i="10" s="1"/>
  <c r="AN6" i="10" s="1"/>
  <c r="AN7" i="10" s="1"/>
  <c r="AN8" i="10" s="1"/>
  <c r="AN9" i="10" s="1"/>
  <c r="AN10" i="10" s="1"/>
  <c r="AN11" i="10" s="1"/>
  <c r="AN12" i="10" s="1"/>
  <c r="AN13" i="10" s="1"/>
  <c r="AN14" i="10" s="1"/>
  <c r="AN15" i="10" s="1"/>
  <c r="AN16" i="10" s="1"/>
  <c r="AN17" i="10" s="1"/>
  <c r="AN18" i="10" s="1"/>
  <c r="AN19" i="10" s="1"/>
  <c r="AN20" i="10" s="1"/>
  <c r="AN21" i="10" s="1"/>
  <c r="AN22" i="10" s="1"/>
  <c r="AN23" i="10" s="1"/>
  <c r="AN24" i="10" s="1"/>
  <c r="AN25" i="10" s="1"/>
  <c r="AN26" i="10" s="1"/>
  <c r="AN27" i="10" s="1"/>
  <c r="AN28" i="10" s="1"/>
  <c r="AN29" i="10" s="1"/>
  <c r="AN30" i="10" s="1"/>
  <c r="AN31" i="10" s="1"/>
  <c r="AN32" i="10" s="1"/>
  <c r="AO4" i="10"/>
  <c r="AO5" i="10" s="1"/>
  <c r="AO6" i="10" s="1"/>
  <c r="AO7" i="10" s="1"/>
  <c r="AO8" i="10" s="1"/>
  <c r="AO9" i="10" s="1"/>
  <c r="AO10" i="10" s="1"/>
  <c r="AO11" i="10" s="1"/>
  <c r="AO12" i="10" s="1"/>
  <c r="AO13" i="10" s="1"/>
  <c r="AO14" i="10" s="1"/>
  <c r="AO15" i="10" s="1"/>
  <c r="AO16" i="10" s="1"/>
  <c r="AO17" i="10" s="1"/>
  <c r="AO18" i="10" s="1"/>
  <c r="AO19" i="10" s="1"/>
  <c r="AO20" i="10" s="1"/>
  <c r="AO21" i="10" s="1"/>
  <c r="AO22" i="10" s="1"/>
  <c r="AO23" i="10" s="1"/>
  <c r="AO24" i="10" s="1"/>
  <c r="AO25" i="10" s="1"/>
  <c r="AO26" i="10" s="1"/>
  <c r="AO27" i="10" s="1"/>
  <c r="AO28" i="10" s="1"/>
  <c r="AO29" i="10" s="1"/>
  <c r="AO30" i="10" s="1"/>
  <c r="AO31" i="10" s="1"/>
  <c r="AO32" i="10" s="1"/>
  <c r="AP4" i="10"/>
  <c r="AP5" i="10" s="1"/>
  <c r="AP6" i="10" s="1"/>
  <c r="AP7" i="10" s="1"/>
  <c r="AP8" i="10" s="1"/>
  <c r="AP9" i="10" s="1"/>
  <c r="AP10" i="10" s="1"/>
  <c r="AP11" i="10" s="1"/>
  <c r="AP12" i="10" s="1"/>
  <c r="AP13" i="10" s="1"/>
  <c r="AP14" i="10" s="1"/>
  <c r="AP15" i="10" s="1"/>
  <c r="AP16" i="10" s="1"/>
  <c r="AP17" i="10" s="1"/>
  <c r="AP18" i="10" s="1"/>
  <c r="AP19" i="10" s="1"/>
  <c r="AP20" i="10" s="1"/>
  <c r="AP21" i="10" s="1"/>
  <c r="AP22" i="10" s="1"/>
  <c r="AP23" i="10" s="1"/>
  <c r="AP24" i="10" s="1"/>
  <c r="AP25" i="10" s="1"/>
  <c r="AP26" i="10" s="1"/>
  <c r="AP27" i="10" s="1"/>
  <c r="AP28" i="10" s="1"/>
  <c r="AP29" i="10" s="1"/>
  <c r="AP30" i="10" s="1"/>
  <c r="AP31" i="10" s="1"/>
  <c r="AP32" i="10" s="1"/>
  <c r="AQ4" i="10"/>
  <c r="AQ5" i="10" s="1"/>
  <c r="AQ6" i="10" s="1"/>
  <c r="AQ7" i="10" s="1"/>
  <c r="AQ8" i="10" s="1"/>
  <c r="AQ9" i="10" s="1"/>
  <c r="AQ10" i="10" s="1"/>
  <c r="AQ11" i="10" s="1"/>
  <c r="AQ12" i="10" s="1"/>
  <c r="AQ13" i="10" s="1"/>
  <c r="AQ14" i="10" s="1"/>
  <c r="AQ15" i="10" s="1"/>
  <c r="AQ16" i="10" s="1"/>
  <c r="AQ17" i="10" s="1"/>
  <c r="AQ18" i="10" s="1"/>
  <c r="AQ19" i="10" s="1"/>
  <c r="AQ20" i="10" s="1"/>
  <c r="AQ21" i="10" s="1"/>
  <c r="AQ22" i="10" s="1"/>
  <c r="AQ23" i="10" s="1"/>
  <c r="AQ24" i="10" s="1"/>
  <c r="AQ25" i="10" s="1"/>
  <c r="AQ26" i="10" s="1"/>
  <c r="AQ27" i="10" s="1"/>
  <c r="AQ28" i="10" s="1"/>
  <c r="AQ29" i="10" s="1"/>
  <c r="AQ30" i="10" s="1"/>
  <c r="AQ31" i="10" s="1"/>
  <c r="AQ32" i="10" s="1"/>
  <c r="AR4" i="10"/>
  <c r="AR5" i="10" s="1"/>
  <c r="AR6" i="10" s="1"/>
  <c r="AR7" i="10" s="1"/>
  <c r="AR8" i="10" s="1"/>
  <c r="AR9" i="10" s="1"/>
  <c r="AR10" i="10" s="1"/>
  <c r="AR11" i="10" s="1"/>
  <c r="AR12" i="10" s="1"/>
  <c r="AR13" i="10" s="1"/>
  <c r="AR14" i="10" s="1"/>
  <c r="AR15" i="10" s="1"/>
  <c r="AR16" i="10" s="1"/>
  <c r="AR17" i="10" s="1"/>
  <c r="AR18" i="10" s="1"/>
  <c r="AR19" i="10" s="1"/>
  <c r="AR20" i="10" s="1"/>
  <c r="AR21" i="10" s="1"/>
  <c r="AR22" i="10" s="1"/>
  <c r="AR23" i="10" s="1"/>
  <c r="AR24" i="10" s="1"/>
  <c r="AR25" i="10" s="1"/>
  <c r="AR26" i="10" s="1"/>
  <c r="AR27" i="10" s="1"/>
  <c r="AR28" i="10" s="1"/>
  <c r="AR29" i="10" s="1"/>
  <c r="AR30" i="10" s="1"/>
  <c r="AR31" i="10" s="1"/>
  <c r="AR32" i="10" s="1"/>
  <c r="AS4" i="10"/>
  <c r="AS5" i="10" s="1"/>
  <c r="AS6" i="10" s="1"/>
  <c r="AS7" i="10" s="1"/>
  <c r="AS8" i="10" s="1"/>
  <c r="AS9" i="10" s="1"/>
  <c r="AS10" i="10" s="1"/>
  <c r="AS11" i="10" s="1"/>
  <c r="AS12" i="10" s="1"/>
  <c r="AS13" i="10" s="1"/>
  <c r="AS14" i="10" s="1"/>
  <c r="AS15" i="10" s="1"/>
  <c r="AS16" i="10" s="1"/>
  <c r="AS17" i="10" s="1"/>
  <c r="AS18" i="10" s="1"/>
  <c r="AS19" i="10" s="1"/>
  <c r="AS20" i="10" s="1"/>
  <c r="AS21" i="10" s="1"/>
  <c r="AS22" i="10" s="1"/>
  <c r="AS23" i="10" s="1"/>
  <c r="AS24" i="10" s="1"/>
  <c r="AS25" i="10" s="1"/>
  <c r="AS26" i="10" s="1"/>
  <c r="AS27" i="10" s="1"/>
  <c r="AS28" i="10" s="1"/>
  <c r="AS29" i="10" s="1"/>
  <c r="AS30" i="10" s="1"/>
  <c r="AS31" i="10" s="1"/>
  <c r="AS32" i="10" s="1"/>
  <c r="AJ4" i="10"/>
  <c r="AJ5" i="10" s="1"/>
  <c r="AJ6" i="10" s="1"/>
  <c r="AJ7" i="10" s="1"/>
  <c r="AJ8" i="10" s="1"/>
  <c r="AJ9" i="10" s="1"/>
  <c r="AJ10" i="10" s="1"/>
  <c r="AJ11" i="10" s="1"/>
  <c r="AJ12" i="10" s="1"/>
  <c r="AJ13" i="10" s="1"/>
  <c r="AJ14" i="10" s="1"/>
  <c r="AJ15" i="10" s="1"/>
  <c r="AJ16" i="10" s="1"/>
  <c r="AJ17" i="10" s="1"/>
  <c r="AJ18" i="10" s="1"/>
  <c r="AJ19" i="10" s="1"/>
  <c r="AJ20" i="10" s="1"/>
  <c r="AJ21" i="10" s="1"/>
  <c r="AJ22" i="10" s="1"/>
  <c r="AJ23" i="10" s="1"/>
  <c r="AJ24" i="10" s="1"/>
  <c r="AJ25" i="10" s="1"/>
  <c r="AJ26" i="10" s="1"/>
  <c r="AJ27" i="10" s="1"/>
  <c r="AJ28" i="10" s="1"/>
  <c r="AJ29" i="10" s="1"/>
  <c r="AJ30" i="10" s="1"/>
  <c r="AJ31" i="10" s="1"/>
  <c r="AJ32" i="10" s="1"/>
  <c r="R55" i="82" l="1"/>
  <c r="CH55" i="82"/>
  <c r="F55" i="82"/>
  <c r="AP55" i="82"/>
  <c r="AW55" i="82"/>
  <c r="CP55" i="82"/>
  <c r="J55" i="82"/>
  <c r="AY55" i="82"/>
  <c r="K55" i="82"/>
  <c r="AG55" i="82"/>
  <c r="I55" i="82"/>
  <c r="DL55" i="82"/>
  <c r="T55" i="82"/>
  <c r="L55" i="82"/>
  <c r="DD55" i="82"/>
  <c r="AH55" i="82"/>
  <c r="CE55" i="82"/>
  <c r="C54" i="82"/>
  <c r="BG55" i="82"/>
  <c r="BA56" i="82"/>
  <c r="E55" i="82"/>
  <c r="O55" i="82"/>
  <c r="AJ55" i="82"/>
  <c r="AD55" i="82"/>
  <c r="BF55" i="82"/>
  <c r="AF55" i="82"/>
  <c r="BN55" i="82"/>
  <c r="CM55" i="82"/>
  <c r="CK55" i="82"/>
  <c r="AI55" i="82"/>
  <c r="Y55" i="82"/>
  <c r="AX56" i="82"/>
  <c r="M55" i="82"/>
  <c r="DA55" i="82"/>
  <c r="D55" i="82"/>
  <c r="AS55" i="82"/>
  <c r="DM55" i="82"/>
  <c r="CI55" i="82"/>
  <c r="CZ55" i="82"/>
  <c r="G55" i="82"/>
  <c r="AO55" i="82"/>
  <c r="P55" i="82"/>
  <c r="CO55" i="82"/>
  <c r="H55" i="82"/>
  <c r="AL55" i="82"/>
  <c r="AB55" i="82"/>
  <c r="DF55" i="82"/>
  <c r="B55" i="82"/>
  <c r="A56" i="82" s="1"/>
  <c r="Q55" i="82"/>
  <c r="AR55" i="82"/>
  <c r="BK55" i="82"/>
  <c r="CR55" i="82"/>
  <c r="DC37" i="82"/>
  <c r="U38" i="82"/>
  <c r="AM27" i="10"/>
  <c r="AM28" i="10" s="1"/>
  <c r="AM29" i="10" s="1"/>
  <c r="AM30" i="10" s="1"/>
  <c r="AM31" i="10" s="1"/>
  <c r="AM32" i="10" s="1"/>
  <c r="Q56" i="82" l="1"/>
  <c r="AP56" i="82"/>
  <c r="CI56" i="82"/>
  <c r="AO56" i="82"/>
  <c r="AH56" i="82"/>
  <c r="R56" i="82"/>
  <c r="DD56" i="82"/>
  <c r="AI56" i="82"/>
  <c r="CH56" i="82"/>
  <c r="D56" i="82"/>
  <c r="BN56" i="82"/>
  <c r="BG56" i="82"/>
  <c r="I56" i="82"/>
  <c r="L56" i="82"/>
  <c r="AR56" i="82"/>
  <c r="P56" i="82"/>
  <c r="DA56" i="82"/>
  <c r="M56" i="82"/>
  <c r="BF56" i="82"/>
  <c r="CE56" i="82"/>
  <c r="K56" i="82"/>
  <c r="CO56" i="82"/>
  <c r="CZ56" i="82"/>
  <c r="AJ56" i="82"/>
  <c r="AY56" i="82"/>
  <c r="AX57" i="82"/>
  <c r="BA57" i="82"/>
  <c r="CR56" i="82"/>
  <c r="CP56" i="82"/>
  <c r="BK56" i="82"/>
  <c r="AB56" i="82"/>
  <c r="AF56" i="82"/>
  <c r="B56" i="82"/>
  <c r="C56" i="82" s="1"/>
  <c r="G56" i="82"/>
  <c r="O56" i="82"/>
  <c r="CM56" i="82"/>
  <c r="C55" i="82"/>
  <c r="AL56" i="82"/>
  <c r="CK56" i="82"/>
  <c r="E56" i="82"/>
  <c r="T56" i="82"/>
  <c r="AW56" i="82"/>
  <c r="DF56" i="82"/>
  <c r="J56" i="82"/>
  <c r="AS56" i="82"/>
  <c r="AG56" i="82"/>
  <c r="DM56" i="82"/>
  <c r="AD56" i="82"/>
  <c r="Y56" i="82"/>
  <c r="F56" i="82"/>
  <c r="H56" i="82"/>
  <c r="DL56" i="82"/>
  <c r="DC38" i="82"/>
  <c r="U39" i="82"/>
  <c r="D3" i="11"/>
  <c r="D4" i="11" s="1"/>
  <c r="D5" i="11" s="1"/>
  <c r="D6" i="11" s="1"/>
  <c r="F4" i="11"/>
  <c r="F5" i="11" s="1"/>
  <c r="F6" i="11" s="1"/>
  <c r="F7" i="11"/>
  <c r="F11" i="11" s="1"/>
  <c r="I4" i="11"/>
  <c r="I5" i="11" s="1"/>
  <c r="I6" i="11" s="1"/>
  <c r="J4" i="11"/>
  <c r="J5" i="11" s="1"/>
  <c r="J6" i="11" s="1"/>
  <c r="K4" i="11"/>
  <c r="K5" i="11" s="1"/>
  <c r="K6" i="11" s="1"/>
  <c r="L4" i="11"/>
  <c r="L5" i="11" s="1"/>
  <c r="L6" i="11" s="1"/>
  <c r="M4" i="11"/>
  <c r="M5" i="11" s="1"/>
  <c r="M6" i="11" s="1"/>
  <c r="I7" i="11"/>
  <c r="J7" i="11"/>
  <c r="K7" i="11"/>
  <c r="L7" i="11"/>
  <c r="M7" i="11"/>
  <c r="M11" i="11" s="1"/>
  <c r="L11" i="11"/>
  <c r="A57" i="82" l="1"/>
  <c r="CE57" i="82" s="1"/>
  <c r="DC39" i="82"/>
  <c r="U40" i="82"/>
  <c r="L8" i="11"/>
  <c r="L9" i="11"/>
  <c r="D7" i="11"/>
  <c r="F8" i="11"/>
  <c r="F9" i="11"/>
  <c r="F15" i="11"/>
  <c r="F12" i="11" s="1"/>
  <c r="F10" i="11"/>
  <c r="M8" i="11"/>
  <c r="M10" i="11"/>
  <c r="M15" i="11"/>
  <c r="M13" i="11" s="1"/>
  <c r="M9" i="11"/>
  <c r="I11" i="11"/>
  <c r="I8" i="11" s="1"/>
  <c r="K11" i="11"/>
  <c r="K9" i="11" s="1"/>
  <c r="J11" i="11"/>
  <c r="J8" i="11" s="1"/>
  <c r="L15" i="11"/>
  <c r="L13" i="11" s="1"/>
  <c r="L10" i="11"/>
  <c r="N4" i="11"/>
  <c r="N5" i="11" s="1"/>
  <c r="N6" i="11" s="1"/>
  <c r="H4" i="11"/>
  <c r="H5" i="11" s="1"/>
  <c r="H6" i="11" s="1"/>
  <c r="G4" i="11"/>
  <c r="G5" i="11" s="1"/>
  <c r="G6" i="11" s="1"/>
  <c r="N7" i="11"/>
  <c r="N11" i="11" s="1"/>
  <c r="N15" i="11" s="1"/>
  <c r="H7" i="11"/>
  <c r="G7" i="11"/>
  <c r="C7" i="11"/>
  <c r="C11" i="11" s="1"/>
  <c r="C4" i="11"/>
  <c r="C5" i="11" s="1"/>
  <c r="C6" i="11" s="1"/>
  <c r="Q57" i="82" l="1"/>
  <c r="M57" i="82"/>
  <c r="DA57" i="82"/>
  <c r="DL57" i="82"/>
  <c r="Y57" i="82"/>
  <c r="D57" i="82"/>
  <c r="AG57" i="82"/>
  <c r="BN57" i="82"/>
  <c r="AO57" i="82"/>
  <c r="AH57" i="82"/>
  <c r="H57" i="82"/>
  <c r="K57" i="82"/>
  <c r="AY57" i="82"/>
  <c r="AL57" i="82"/>
  <c r="AI57" i="82"/>
  <c r="AF57" i="82"/>
  <c r="CR57" i="82"/>
  <c r="CM57" i="82"/>
  <c r="BF57" i="82"/>
  <c r="CI57" i="82"/>
  <c r="AP57" i="82"/>
  <c r="CH57" i="82"/>
  <c r="AD57" i="82"/>
  <c r="AX58" i="82"/>
  <c r="P57" i="82"/>
  <c r="AR57" i="82"/>
  <c r="BK57" i="82"/>
  <c r="AJ57" i="82"/>
  <c r="AB57" i="82"/>
  <c r="BA58" i="82"/>
  <c r="L57" i="82"/>
  <c r="CP57" i="82"/>
  <c r="DM57" i="82"/>
  <c r="DF57" i="82"/>
  <c r="AS57" i="82"/>
  <c r="J57" i="82"/>
  <c r="B57" i="82"/>
  <c r="C57" i="82" s="1"/>
  <c r="DD57" i="82"/>
  <c r="CZ57" i="82"/>
  <c r="G57" i="82"/>
  <c r="CO57" i="82"/>
  <c r="R57" i="82"/>
  <c r="O57" i="82"/>
  <c r="AW57" i="82"/>
  <c r="CK57" i="82"/>
  <c r="T57" i="82"/>
  <c r="F57" i="82"/>
  <c r="I57" i="82"/>
  <c r="BG57" i="82"/>
  <c r="E57" i="82"/>
  <c r="DC40" i="82"/>
  <c r="U41" i="82"/>
  <c r="L14" i="11"/>
  <c r="M14" i="11"/>
  <c r="F13" i="11"/>
  <c r="M12" i="11"/>
  <c r="F14" i="11"/>
  <c r="I10" i="11"/>
  <c r="D11" i="11"/>
  <c r="D15" i="11" s="1"/>
  <c r="D19" i="11"/>
  <c r="D16" i="11" s="1"/>
  <c r="F19" i="11"/>
  <c r="F18" i="11" s="1"/>
  <c r="F16" i="11"/>
  <c r="F17" i="11"/>
  <c r="K10" i="11"/>
  <c r="K15" i="11"/>
  <c r="K13" i="11" s="1"/>
  <c r="K12" i="11"/>
  <c r="K14" i="11"/>
  <c r="K8" i="11"/>
  <c r="J15" i="11"/>
  <c r="J12" i="11"/>
  <c r="J10" i="11"/>
  <c r="M19" i="11"/>
  <c r="M18" i="11" s="1"/>
  <c r="L19" i="11"/>
  <c r="L16" i="11" s="1"/>
  <c r="I15" i="11"/>
  <c r="I12" i="11" s="1"/>
  <c r="L12" i="11"/>
  <c r="I9" i="11"/>
  <c r="J9" i="11"/>
  <c r="G11" i="11"/>
  <c r="G15" i="11" s="1"/>
  <c r="C15" i="11"/>
  <c r="C14" i="11" s="1"/>
  <c r="N19" i="11"/>
  <c r="N23" i="11" s="1"/>
  <c r="N27" i="11" s="1"/>
  <c r="N24" i="11" s="1"/>
  <c r="C8" i="11"/>
  <c r="C9" i="11"/>
  <c r="N8" i="11"/>
  <c r="C10" i="11"/>
  <c r="H11" i="11"/>
  <c r="H9" i="11" s="1"/>
  <c r="N14" i="11"/>
  <c r="N10" i="11"/>
  <c r="N13" i="11"/>
  <c r="H10" i="11"/>
  <c r="N9" i="11"/>
  <c r="N12" i="11"/>
  <c r="A58" i="82" l="1"/>
  <c r="R58" i="82" s="1"/>
  <c r="DC41" i="82"/>
  <c r="U42" i="82"/>
  <c r="G12" i="11"/>
  <c r="D12" i="11"/>
  <c r="C13" i="11"/>
  <c r="L18" i="11"/>
  <c r="G13" i="11"/>
  <c r="L17" i="11"/>
  <c r="G10" i="11"/>
  <c r="C12" i="11"/>
  <c r="D17" i="11"/>
  <c r="D8" i="11"/>
  <c r="D14" i="11"/>
  <c r="D9" i="11"/>
  <c r="D13" i="11"/>
  <c r="D10" i="11"/>
  <c r="D23" i="11"/>
  <c r="D18" i="11"/>
  <c r="F23" i="11"/>
  <c r="F21" i="11" s="1"/>
  <c r="J19" i="11"/>
  <c r="J17" i="11" s="1"/>
  <c r="J16" i="11"/>
  <c r="J18" i="11"/>
  <c r="I14" i="11"/>
  <c r="M23" i="11"/>
  <c r="M16" i="11"/>
  <c r="I19" i="11"/>
  <c r="I17" i="11" s="1"/>
  <c r="M17" i="11"/>
  <c r="I13" i="11"/>
  <c r="L23" i="11"/>
  <c r="L21" i="11" s="1"/>
  <c r="J13" i="11"/>
  <c r="K19" i="11"/>
  <c r="J14" i="11"/>
  <c r="N17" i="11"/>
  <c r="N31" i="11"/>
  <c r="N29" i="11" s="1"/>
  <c r="N20" i="11"/>
  <c r="N18" i="11"/>
  <c r="G14" i="11"/>
  <c r="G19" i="11"/>
  <c r="G16" i="11" s="1"/>
  <c r="G8" i="11"/>
  <c r="N21" i="11"/>
  <c r="N25" i="11"/>
  <c r="G9" i="11"/>
  <c r="N16" i="11"/>
  <c r="N22" i="11"/>
  <c r="N26" i="11"/>
  <c r="C19" i="11"/>
  <c r="C18" i="11" s="1"/>
  <c r="C16" i="11"/>
  <c r="H8" i="11"/>
  <c r="H15" i="11"/>
  <c r="H12" i="11" s="1"/>
  <c r="N35" i="11"/>
  <c r="CM58" i="82" l="1"/>
  <c r="AD58" i="82"/>
  <c r="CK58" i="82"/>
  <c r="CZ58" i="82"/>
  <c r="CI58" i="82"/>
  <c r="CE58" i="82"/>
  <c r="K58" i="82"/>
  <c r="AW58" i="82"/>
  <c r="BG58" i="82"/>
  <c r="DD58" i="82"/>
  <c r="AJ58" i="82"/>
  <c r="AB58" i="82"/>
  <c r="AH58" i="82"/>
  <c r="DF58" i="82"/>
  <c r="E58" i="82"/>
  <c r="AO58" i="82"/>
  <c r="CP58" i="82"/>
  <c r="AR58" i="82"/>
  <c r="P58" i="82"/>
  <c r="AF58" i="82"/>
  <c r="DA58" i="82"/>
  <c r="L58" i="82"/>
  <c r="I58" i="82"/>
  <c r="F58" i="82"/>
  <c r="T58" i="82"/>
  <c r="CR58" i="82"/>
  <c r="O58" i="82"/>
  <c r="AS58" i="82"/>
  <c r="AI58" i="82"/>
  <c r="DL58" i="82"/>
  <c r="BN58" i="82"/>
  <c r="BF58" i="82"/>
  <c r="G58" i="82"/>
  <c r="AG58" i="82"/>
  <c r="AX59" i="82"/>
  <c r="AL58" i="82"/>
  <c r="J58" i="82"/>
  <c r="B58" i="82"/>
  <c r="C58" i="82" s="1"/>
  <c r="Y58" i="82"/>
  <c r="CH58" i="82"/>
  <c r="DM58" i="82"/>
  <c r="AP58" i="82"/>
  <c r="CO58" i="82"/>
  <c r="BA59" i="82"/>
  <c r="H58" i="82"/>
  <c r="M58" i="82"/>
  <c r="AY58" i="82"/>
  <c r="Q58" i="82"/>
  <c r="BK58" i="82"/>
  <c r="D58" i="82"/>
  <c r="DC42" i="82"/>
  <c r="U43" i="82"/>
  <c r="N28" i="11"/>
  <c r="L20" i="11"/>
  <c r="I18" i="11"/>
  <c r="I16" i="11"/>
  <c r="L22" i="11"/>
  <c r="N32" i="11"/>
  <c r="D27" i="11"/>
  <c r="D24" i="11" s="1"/>
  <c r="D20" i="11"/>
  <c r="D22" i="11"/>
  <c r="D21" i="11"/>
  <c r="F27" i="11"/>
  <c r="F24" i="11" s="1"/>
  <c r="F26" i="11"/>
  <c r="F22" i="11"/>
  <c r="F20" i="11"/>
  <c r="M27" i="11"/>
  <c r="M24" i="11" s="1"/>
  <c r="M21" i="11"/>
  <c r="M20" i="11"/>
  <c r="I23" i="11"/>
  <c r="I22" i="11" s="1"/>
  <c r="L27" i="11"/>
  <c r="L25" i="11" s="1"/>
  <c r="L24" i="11"/>
  <c r="J23" i="11"/>
  <c r="J21" i="11" s="1"/>
  <c r="K23" i="11"/>
  <c r="K21" i="11" s="1"/>
  <c r="K20" i="11"/>
  <c r="K22" i="11"/>
  <c r="K17" i="11"/>
  <c r="K18" i="11"/>
  <c r="K16" i="11"/>
  <c r="M22" i="11"/>
  <c r="G18" i="11"/>
  <c r="G23" i="11"/>
  <c r="G21" i="11" s="1"/>
  <c r="N30" i="11"/>
  <c r="H14" i="11"/>
  <c r="G17" i="11"/>
  <c r="C23" i="11"/>
  <c r="C22" i="11" s="1"/>
  <c r="C17" i="11"/>
  <c r="H19" i="11"/>
  <c r="H17" i="11" s="1"/>
  <c r="H13" i="11"/>
  <c r="N39" i="11"/>
  <c r="N37" i="11" s="1"/>
  <c r="N34" i="11"/>
  <c r="N33" i="11"/>
  <c r="A59" i="82" l="1"/>
  <c r="M59" i="82" s="1"/>
  <c r="DC43" i="82"/>
  <c r="U44" i="82"/>
  <c r="G20" i="11"/>
  <c r="G22" i="11"/>
  <c r="G27" i="11"/>
  <c r="G24" i="11" s="1"/>
  <c r="H18" i="11"/>
  <c r="I21" i="11"/>
  <c r="I20" i="11"/>
  <c r="G26" i="11"/>
  <c r="G25" i="11"/>
  <c r="J20" i="11"/>
  <c r="D25" i="11"/>
  <c r="D31" i="11"/>
  <c r="D28" i="11" s="1"/>
  <c r="D26" i="11"/>
  <c r="F31" i="11"/>
  <c r="F25" i="11"/>
  <c r="M31" i="11"/>
  <c r="M29" i="11" s="1"/>
  <c r="L31" i="11"/>
  <c r="L30" i="11" s="1"/>
  <c r="L26" i="11"/>
  <c r="K27" i="11"/>
  <c r="K24" i="11"/>
  <c r="M25" i="11"/>
  <c r="I27" i="11"/>
  <c r="I25" i="11" s="1"/>
  <c r="M26" i="11"/>
  <c r="J27" i="11"/>
  <c r="J24" i="11" s="1"/>
  <c r="J22" i="11"/>
  <c r="N38" i="11"/>
  <c r="H16" i="11"/>
  <c r="C21" i="11"/>
  <c r="C27" i="11"/>
  <c r="C26" i="11" s="1"/>
  <c r="C20" i="11"/>
  <c r="H23" i="11"/>
  <c r="H20" i="11" s="1"/>
  <c r="N43" i="11"/>
  <c r="N41" i="11" s="1"/>
  <c r="N36" i="11"/>
  <c r="CO59" i="82" l="1"/>
  <c r="CP59" i="82"/>
  <c r="AJ59" i="82"/>
  <c r="I59" i="82"/>
  <c r="Y59" i="82"/>
  <c r="DM59" i="82"/>
  <c r="BG59" i="82"/>
  <c r="CZ59" i="82"/>
  <c r="P59" i="82"/>
  <c r="D59" i="82"/>
  <c r="J59" i="82"/>
  <c r="T59" i="82"/>
  <c r="DA59" i="82"/>
  <c r="CH59" i="82"/>
  <c r="AR59" i="82"/>
  <c r="AL59" i="82"/>
  <c r="R59" i="82"/>
  <c r="AH59" i="82"/>
  <c r="AD59" i="82"/>
  <c r="BF59" i="82"/>
  <c r="BK59" i="82"/>
  <c r="H59" i="82"/>
  <c r="Q59" i="82"/>
  <c r="E59" i="82"/>
  <c r="AI59" i="82"/>
  <c r="CM59" i="82"/>
  <c r="B59" i="82"/>
  <c r="A60" i="82" s="1"/>
  <c r="B60" i="82" s="1"/>
  <c r="C60" i="82" s="1"/>
  <c r="BN59" i="82"/>
  <c r="AY59" i="82"/>
  <c r="CR59" i="82"/>
  <c r="DD59" i="82"/>
  <c r="AF59" i="82"/>
  <c r="AO59" i="82"/>
  <c r="AS59" i="82"/>
  <c r="CI59" i="82"/>
  <c r="O59" i="82"/>
  <c r="DF59" i="82"/>
  <c r="CK59" i="82"/>
  <c r="AG59" i="82"/>
  <c r="AW59" i="82"/>
  <c r="BA60" i="82"/>
  <c r="G59" i="82"/>
  <c r="AB59" i="82"/>
  <c r="K59" i="82"/>
  <c r="DL59" i="82"/>
  <c r="AP59" i="82"/>
  <c r="AX60" i="82"/>
  <c r="F59" i="82"/>
  <c r="CE59" i="82"/>
  <c r="L59" i="82"/>
  <c r="DC44" i="82"/>
  <c r="U45" i="82"/>
  <c r="G31" i="11"/>
  <c r="G29" i="11" s="1"/>
  <c r="L28" i="11"/>
  <c r="M30" i="11"/>
  <c r="G30" i="11"/>
  <c r="M28" i="11"/>
  <c r="J26" i="11"/>
  <c r="C25" i="11"/>
  <c r="D30" i="11"/>
  <c r="D35" i="11"/>
  <c r="D29" i="11"/>
  <c r="F35" i="11"/>
  <c r="F33" i="11" s="1"/>
  <c r="F29" i="11"/>
  <c r="F30" i="11"/>
  <c r="F28" i="11"/>
  <c r="I31" i="11"/>
  <c r="I28" i="11" s="1"/>
  <c r="L35" i="11"/>
  <c r="L32" i="11" s="1"/>
  <c r="J31" i="11"/>
  <c r="J28" i="11" s="1"/>
  <c r="L29" i="11"/>
  <c r="J25" i="11"/>
  <c r="K31" i="11"/>
  <c r="K30" i="11" s="1"/>
  <c r="K28" i="11"/>
  <c r="K29" i="11"/>
  <c r="K25" i="11"/>
  <c r="I26" i="11"/>
  <c r="K26" i="11"/>
  <c r="M35" i="11"/>
  <c r="I24" i="11"/>
  <c r="N40" i="11"/>
  <c r="H21" i="11"/>
  <c r="N42" i="11"/>
  <c r="C31" i="11"/>
  <c r="C28" i="11" s="1"/>
  <c r="G35" i="11"/>
  <c r="G33" i="11" s="1"/>
  <c r="C24" i="11"/>
  <c r="G28" i="11"/>
  <c r="H27" i="11"/>
  <c r="H25" i="11" s="1"/>
  <c r="H22" i="11"/>
  <c r="N47" i="11"/>
  <c r="N46" i="11" s="1"/>
  <c r="CK60" i="82" l="1"/>
  <c r="AI60" i="82"/>
  <c r="AL60" i="82"/>
  <c r="AW60" i="82"/>
  <c r="AF60" i="82"/>
  <c r="CZ60" i="82"/>
  <c r="AG60" i="82"/>
  <c r="Q60" i="82"/>
  <c r="AR60" i="82"/>
  <c r="BG60" i="82"/>
  <c r="K60" i="82"/>
  <c r="T60" i="82"/>
  <c r="CH60" i="82"/>
  <c r="AO60" i="82"/>
  <c r="BK60" i="82"/>
  <c r="Y60" i="82"/>
  <c r="AX61" i="82"/>
  <c r="CR60" i="82"/>
  <c r="DM60" i="82"/>
  <c r="AY60" i="82"/>
  <c r="BN60" i="82"/>
  <c r="DD60" i="82"/>
  <c r="CE60" i="82"/>
  <c r="AP60" i="82"/>
  <c r="H60" i="82"/>
  <c r="D60" i="82"/>
  <c r="AB60" i="82"/>
  <c r="P60" i="82"/>
  <c r="F60" i="82"/>
  <c r="C59" i="82"/>
  <c r="M60" i="82"/>
  <c r="A61" i="82"/>
  <c r="DL60" i="82"/>
  <c r="O60" i="82"/>
  <c r="AJ60" i="82"/>
  <c r="CO60" i="82"/>
  <c r="CP60" i="82"/>
  <c r="BF60" i="82"/>
  <c r="AS60" i="82"/>
  <c r="L60" i="82"/>
  <c r="DA60" i="82"/>
  <c r="BA61" i="82"/>
  <c r="CM60" i="82"/>
  <c r="J60" i="82"/>
  <c r="AH60" i="82"/>
  <c r="AD60" i="82"/>
  <c r="I60" i="82"/>
  <c r="G60" i="82"/>
  <c r="CI60" i="82"/>
  <c r="R60" i="82"/>
  <c r="E60" i="82"/>
  <c r="DF60" i="82"/>
  <c r="DC45" i="82"/>
  <c r="U46" i="82"/>
  <c r="N44" i="11"/>
  <c r="H26" i="11"/>
  <c r="I30" i="11"/>
  <c r="D39" i="11"/>
  <c r="D37" i="11" s="1"/>
  <c r="D34" i="11"/>
  <c r="D33" i="11"/>
  <c r="D32" i="11"/>
  <c r="F39" i="11"/>
  <c r="F36" i="11" s="1"/>
  <c r="F32" i="11"/>
  <c r="F34" i="11"/>
  <c r="M39" i="11"/>
  <c r="M37" i="11" s="1"/>
  <c r="J35" i="11"/>
  <c r="J32" i="11"/>
  <c r="J34" i="11"/>
  <c r="M33" i="11"/>
  <c r="L39" i="11"/>
  <c r="L38" i="11" s="1"/>
  <c r="K35" i="11"/>
  <c r="K32" i="11"/>
  <c r="L34" i="11"/>
  <c r="M34" i="11"/>
  <c r="M32" i="11"/>
  <c r="L33" i="11"/>
  <c r="J29" i="11"/>
  <c r="I35" i="11"/>
  <c r="I32" i="11" s="1"/>
  <c r="J30" i="11"/>
  <c r="I29" i="11"/>
  <c r="C35" i="11"/>
  <c r="C33" i="11" s="1"/>
  <c r="H24" i="11"/>
  <c r="C30" i="11"/>
  <c r="C29" i="11"/>
  <c r="G39" i="11"/>
  <c r="G36" i="11" s="1"/>
  <c r="G34" i="11"/>
  <c r="G32" i="11"/>
  <c r="H31" i="11"/>
  <c r="N51" i="11"/>
  <c r="N50" i="11" s="1"/>
  <c r="N45" i="11"/>
  <c r="DA61" i="82" l="1"/>
  <c r="L61" i="82"/>
  <c r="CI61" i="82"/>
  <c r="AO61" i="82"/>
  <c r="CR61" i="82"/>
  <c r="I61" i="82"/>
  <c r="AB61" i="82"/>
  <c r="CZ61" i="82"/>
  <c r="AF61" i="82"/>
  <c r="AP61" i="82"/>
  <c r="BF61" i="82"/>
  <c r="BG61" i="82"/>
  <c r="DL61" i="82"/>
  <c r="AD61" i="82"/>
  <c r="CE61" i="82"/>
  <c r="BK61" i="82"/>
  <c r="AW61" i="82"/>
  <c r="BA62" i="82"/>
  <c r="AX62" i="82"/>
  <c r="CK61" i="82"/>
  <c r="D61" i="82"/>
  <c r="K61" i="82"/>
  <c r="H61" i="82"/>
  <c r="DD61" i="82"/>
  <c r="DF61" i="82"/>
  <c r="AH61" i="82"/>
  <c r="CP61" i="82"/>
  <c r="J61" i="82"/>
  <c r="E61" i="82"/>
  <c r="T61" i="82"/>
  <c r="AY61" i="82"/>
  <c r="CO61" i="82"/>
  <c r="BN61" i="82"/>
  <c r="B61" i="82"/>
  <c r="A62" i="82" s="1"/>
  <c r="CH61" i="82"/>
  <c r="CM61" i="82"/>
  <c r="DM61" i="82"/>
  <c r="AS61" i="82"/>
  <c r="F61" i="82"/>
  <c r="P61" i="82"/>
  <c r="AJ61" i="82"/>
  <c r="G61" i="82"/>
  <c r="Y61" i="82"/>
  <c r="R61" i="82"/>
  <c r="AI61" i="82"/>
  <c r="AR61" i="82"/>
  <c r="M61" i="82"/>
  <c r="AG61" i="82"/>
  <c r="Q61" i="82"/>
  <c r="O61" i="82"/>
  <c r="AL61" i="82"/>
  <c r="DC46" i="82"/>
  <c r="U47" i="82"/>
  <c r="G38" i="11"/>
  <c r="I34" i="11"/>
  <c r="L36" i="11"/>
  <c r="D38" i="11"/>
  <c r="L37" i="11"/>
  <c r="D36" i="11"/>
  <c r="C34" i="11"/>
  <c r="N48" i="11"/>
  <c r="D43" i="11"/>
  <c r="F43" i="11"/>
  <c r="F38" i="11"/>
  <c r="F37" i="11"/>
  <c r="K39" i="11"/>
  <c r="K36" i="11"/>
  <c r="I39" i="11"/>
  <c r="I37" i="11" s="1"/>
  <c r="I33" i="11"/>
  <c r="K34" i="11"/>
  <c r="J39" i="11"/>
  <c r="J38" i="11" s="1"/>
  <c r="J33" i="11"/>
  <c r="M43" i="11"/>
  <c r="M40" i="11" s="1"/>
  <c r="K33" i="11"/>
  <c r="M38" i="11"/>
  <c r="L43" i="11"/>
  <c r="L41" i="11" s="1"/>
  <c r="L40" i="11"/>
  <c r="M36" i="11"/>
  <c r="G43" i="11"/>
  <c r="G42" i="11" s="1"/>
  <c r="G37" i="11"/>
  <c r="C32" i="11"/>
  <c r="C39" i="11"/>
  <c r="C38" i="11"/>
  <c r="C37" i="11"/>
  <c r="H35" i="11"/>
  <c r="H30" i="11"/>
  <c r="H29" i="11"/>
  <c r="H28" i="11"/>
  <c r="N55" i="11"/>
  <c r="N52" i="11" s="1"/>
  <c r="N54" i="11"/>
  <c r="N49" i="11"/>
  <c r="BK62" i="82" l="1"/>
  <c r="L62" i="82"/>
  <c r="CR62" i="82"/>
  <c r="AG62" i="82"/>
  <c r="AJ62" i="82"/>
  <c r="AP62" i="82"/>
  <c r="AR62" i="82"/>
  <c r="CP62" i="82"/>
  <c r="R62" i="82"/>
  <c r="E62" i="82"/>
  <c r="B62" i="82"/>
  <c r="C62" i="82" s="1"/>
  <c r="F62" i="82"/>
  <c r="AH62" i="82"/>
  <c r="AL62" i="82"/>
  <c r="D62" i="82"/>
  <c r="AX63" i="82"/>
  <c r="Y62" i="82"/>
  <c r="CI62" i="82"/>
  <c r="I62" i="82"/>
  <c r="DA62" i="82"/>
  <c r="AD62" i="82"/>
  <c r="DL62" i="82"/>
  <c r="CK62" i="82"/>
  <c r="BG62" i="82"/>
  <c r="AW62" i="82"/>
  <c r="AB62" i="82"/>
  <c r="BN62" i="82"/>
  <c r="AO62" i="82"/>
  <c r="M62" i="82"/>
  <c r="AI62" i="82"/>
  <c r="BA63" i="82"/>
  <c r="AF62" i="82"/>
  <c r="DF62" i="82"/>
  <c r="G62" i="82"/>
  <c r="J62" i="82"/>
  <c r="P62" i="82"/>
  <c r="Q62" i="82"/>
  <c r="T62" i="82"/>
  <c r="DM62" i="82"/>
  <c r="BF62" i="82"/>
  <c r="CM62" i="82"/>
  <c r="CO62" i="82"/>
  <c r="CH62" i="82"/>
  <c r="H62" i="82"/>
  <c r="AS62" i="82"/>
  <c r="CE62" i="82"/>
  <c r="K62" i="82"/>
  <c r="CZ62" i="82"/>
  <c r="DD62" i="82"/>
  <c r="AY62" i="82"/>
  <c r="O62" i="82"/>
  <c r="C61" i="82"/>
  <c r="DC47" i="82"/>
  <c r="U48" i="82"/>
  <c r="G41" i="11"/>
  <c r="J36" i="11"/>
  <c r="M41" i="11"/>
  <c r="M42" i="11"/>
  <c r="J37" i="11"/>
  <c r="D47" i="11"/>
  <c r="D46" i="11" s="1"/>
  <c r="D42" i="11"/>
  <c r="D41" i="11"/>
  <c r="D40" i="11"/>
  <c r="F47" i="11"/>
  <c r="F44" i="11" s="1"/>
  <c r="F41" i="11"/>
  <c r="F40" i="11"/>
  <c r="F42" i="11"/>
  <c r="K43" i="11"/>
  <c r="K40" i="11" s="1"/>
  <c r="L47" i="11"/>
  <c r="L46" i="11" s="1"/>
  <c r="L44" i="11"/>
  <c r="I43" i="11"/>
  <c r="I40" i="11" s="1"/>
  <c r="L42" i="11"/>
  <c r="I38" i="11"/>
  <c r="I36" i="11"/>
  <c r="K37" i="11"/>
  <c r="M47" i="11"/>
  <c r="M46" i="11" s="1"/>
  <c r="M44" i="11"/>
  <c r="J43" i="11"/>
  <c r="J40" i="11" s="1"/>
  <c r="K38" i="11"/>
  <c r="G47" i="11"/>
  <c r="G44" i="11"/>
  <c r="G46" i="11"/>
  <c r="C36" i="11"/>
  <c r="C43" i="11"/>
  <c r="C42" i="11" s="1"/>
  <c r="G40" i="11"/>
  <c r="H39" i="11"/>
  <c r="H38" i="11" s="1"/>
  <c r="H34" i="11"/>
  <c r="H33" i="11"/>
  <c r="H32" i="11"/>
  <c r="N59" i="11"/>
  <c r="N56" i="11" s="1"/>
  <c r="N53" i="11"/>
  <c r="A63" i="82" l="1"/>
  <c r="CK63" i="82" s="1"/>
  <c r="DC48" i="82"/>
  <c r="U49" i="82"/>
  <c r="J42" i="11"/>
  <c r="C41" i="11"/>
  <c r="I42" i="11"/>
  <c r="D44" i="11"/>
  <c r="D45" i="11"/>
  <c r="D51" i="11"/>
  <c r="D48" i="11" s="1"/>
  <c r="F51" i="11"/>
  <c r="F50" i="11" s="1"/>
  <c r="F46" i="11"/>
  <c r="F45" i="11"/>
  <c r="J47" i="11"/>
  <c r="J45" i="11" s="1"/>
  <c r="L51" i="11"/>
  <c r="L49" i="11" s="1"/>
  <c r="J41" i="11"/>
  <c r="L45" i="11"/>
  <c r="K47" i="11"/>
  <c r="K45" i="11" s="1"/>
  <c r="K44" i="11"/>
  <c r="K46" i="11"/>
  <c r="M51" i="11"/>
  <c r="M49" i="11" s="1"/>
  <c r="I47" i="11"/>
  <c r="K41" i="11"/>
  <c r="M45" i="11"/>
  <c r="I41" i="11"/>
  <c r="K42" i="11"/>
  <c r="C40" i="11"/>
  <c r="C47" i="11"/>
  <c r="C46" i="11" s="1"/>
  <c r="H37" i="11"/>
  <c r="G45" i="11"/>
  <c r="G51" i="11"/>
  <c r="H43" i="11"/>
  <c r="H40" i="11" s="1"/>
  <c r="H36" i="11"/>
  <c r="N63" i="11"/>
  <c r="N61" i="11" s="1"/>
  <c r="N58" i="11"/>
  <c r="N57" i="11"/>
  <c r="K63" i="82" l="1"/>
  <c r="CP63" i="82"/>
  <c r="AD63" i="82"/>
  <c r="CE63" i="82"/>
  <c r="DF63" i="82"/>
  <c r="AP63" i="82"/>
  <c r="BF63" i="82"/>
  <c r="CO63" i="82"/>
  <c r="AR63" i="82"/>
  <c r="F63" i="82"/>
  <c r="BG63" i="82"/>
  <c r="O63" i="82"/>
  <c r="AI63" i="82"/>
  <c r="CM63" i="82"/>
  <c r="BN63" i="82"/>
  <c r="AY63" i="82"/>
  <c r="AS63" i="82"/>
  <c r="BK63" i="82"/>
  <c r="CI63" i="82"/>
  <c r="T63" i="82"/>
  <c r="CH63" i="82"/>
  <c r="AH63" i="82"/>
  <c r="BA64" i="82"/>
  <c r="G63" i="82"/>
  <c r="P63" i="82"/>
  <c r="H63" i="82"/>
  <c r="Y63" i="82"/>
  <c r="CR63" i="82"/>
  <c r="B63" i="82"/>
  <c r="A64" i="82" s="1"/>
  <c r="AB63" i="82"/>
  <c r="DM63" i="82"/>
  <c r="AO63" i="82"/>
  <c r="AF63" i="82"/>
  <c r="AX64" i="82"/>
  <c r="L63" i="82"/>
  <c r="Q63" i="82"/>
  <c r="AJ63" i="82"/>
  <c r="R63" i="82"/>
  <c r="J63" i="82"/>
  <c r="M63" i="82"/>
  <c r="DA63" i="82"/>
  <c r="AG63" i="82"/>
  <c r="AW63" i="82"/>
  <c r="CZ63" i="82"/>
  <c r="DD63" i="82"/>
  <c r="E63" i="82"/>
  <c r="I63" i="82"/>
  <c r="DL63" i="82"/>
  <c r="AL63" i="82"/>
  <c r="D63" i="82"/>
  <c r="DC49" i="82"/>
  <c r="U50" i="82"/>
  <c r="L48" i="11"/>
  <c r="C45" i="11"/>
  <c r="M50" i="11"/>
  <c r="M48" i="11"/>
  <c r="D55" i="11"/>
  <c r="D54" i="11" s="1"/>
  <c r="D52" i="11"/>
  <c r="D53" i="11"/>
  <c r="D50" i="11"/>
  <c r="D49" i="11"/>
  <c r="F55" i="11"/>
  <c r="F49" i="11"/>
  <c r="F48" i="11"/>
  <c r="I51" i="11"/>
  <c r="I49" i="11" s="1"/>
  <c r="I48" i="11"/>
  <c r="I50" i="11"/>
  <c r="I46" i="11"/>
  <c r="J51" i="11"/>
  <c r="J48" i="11" s="1"/>
  <c r="L55" i="11"/>
  <c r="L52" i="11" s="1"/>
  <c r="I45" i="11"/>
  <c r="L50" i="11"/>
  <c r="I44" i="11"/>
  <c r="K51" i="11"/>
  <c r="K50" i="11" s="1"/>
  <c r="J46" i="11"/>
  <c r="M55" i="11"/>
  <c r="M52" i="11" s="1"/>
  <c r="J44" i="11"/>
  <c r="H41" i="11"/>
  <c r="G55" i="11"/>
  <c r="G52" i="11" s="1"/>
  <c r="G50" i="11"/>
  <c r="C44" i="11"/>
  <c r="C51" i="11"/>
  <c r="H42" i="11"/>
  <c r="G49" i="11"/>
  <c r="G48" i="11"/>
  <c r="H47" i="11"/>
  <c r="H44" i="11"/>
  <c r="N67" i="11"/>
  <c r="N66" i="11" s="1"/>
  <c r="N60" i="11"/>
  <c r="N62" i="11"/>
  <c r="AO64" i="82" l="1"/>
  <c r="M64" i="82"/>
  <c r="I64" i="82"/>
  <c r="AL64" i="82"/>
  <c r="G64" i="82"/>
  <c r="J64" i="82"/>
  <c r="AY64" i="82"/>
  <c r="BF64" i="82"/>
  <c r="DM64" i="82"/>
  <c r="BN64" i="82"/>
  <c r="E64" i="82"/>
  <c r="AJ64" i="82"/>
  <c r="Y64" i="82"/>
  <c r="BK64" i="82"/>
  <c r="H64" i="82"/>
  <c r="AR64" i="82"/>
  <c r="B64" i="82"/>
  <c r="C64" i="82" s="1"/>
  <c r="AP64" i="82"/>
  <c r="O64" i="82"/>
  <c r="CK64" i="82"/>
  <c r="T64" i="82"/>
  <c r="AF64" i="82"/>
  <c r="AG64" i="82"/>
  <c r="CI64" i="82"/>
  <c r="DA64" i="82"/>
  <c r="L64" i="82"/>
  <c r="CR64" i="82"/>
  <c r="DF64" i="82"/>
  <c r="BG64" i="82"/>
  <c r="Q64" i="82"/>
  <c r="CZ64" i="82"/>
  <c r="P64" i="82"/>
  <c r="AD64" i="82"/>
  <c r="BA65" i="82"/>
  <c r="CP64" i="82"/>
  <c r="AB64" i="82"/>
  <c r="CE64" i="82"/>
  <c r="CH64" i="82"/>
  <c r="CM64" i="82"/>
  <c r="AX65" i="82"/>
  <c r="DL64" i="82"/>
  <c r="AW64" i="82"/>
  <c r="AS64" i="82"/>
  <c r="F64" i="82"/>
  <c r="C63" i="82"/>
  <c r="DD64" i="82"/>
  <c r="R64" i="82"/>
  <c r="D64" i="82"/>
  <c r="AH64" i="82"/>
  <c r="CO64" i="82"/>
  <c r="K64" i="82"/>
  <c r="AI64" i="82"/>
  <c r="DC50" i="82"/>
  <c r="U51" i="82"/>
  <c r="G53" i="11"/>
  <c r="K48" i="11"/>
  <c r="L54" i="11"/>
  <c r="D59" i="11"/>
  <c r="D57" i="11" s="1"/>
  <c r="F59" i="11"/>
  <c r="F54" i="11"/>
  <c r="F53" i="11"/>
  <c r="F52" i="11"/>
  <c r="M59" i="11"/>
  <c r="M57" i="11" s="1"/>
  <c r="J55" i="11"/>
  <c r="J52" i="11" s="1"/>
  <c r="J49" i="11"/>
  <c r="L59" i="11"/>
  <c r="L57" i="11" s="1"/>
  <c r="L56" i="11"/>
  <c r="K55" i="11"/>
  <c r="K52" i="11" s="1"/>
  <c r="K49" i="11"/>
  <c r="L53" i="11"/>
  <c r="I55" i="11"/>
  <c r="M53" i="11"/>
  <c r="M54" i="11"/>
  <c r="J50" i="11"/>
  <c r="C49" i="11"/>
  <c r="C55" i="11"/>
  <c r="C54" i="11" s="1"/>
  <c r="C53" i="11"/>
  <c r="G59" i="11"/>
  <c r="G57" i="11" s="1"/>
  <c r="C48" i="11"/>
  <c r="C50" i="11"/>
  <c r="G54" i="11"/>
  <c r="H51" i="11"/>
  <c r="H45" i="11"/>
  <c r="H46" i="11"/>
  <c r="N71" i="11"/>
  <c r="N69" i="11" s="1"/>
  <c r="N65" i="11"/>
  <c r="N64" i="11"/>
  <c r="A65" i="82" l="1"/>
  <c r="CH65" i="82" s="1"/>
  <c r="DC51" i="82"/>
  <c r="U52" i="82"/>
  <c r="G56" i="11"/>
  <c r="M56" i="11"/>
  <c r="K53" i="11"/>
  <c r="J53" i="11"/>
  <c r="J54" i="11"/>
  <c r="K54" i="11"/>
  <c r="D63" i="11"/>
  <c r="D61" i="11" s="1"/>
  <c r="D58" i="11"/>
  <c r="D56" i="11"/>
  <c r="F63" i="11"/>
  <c r="F56" i="11"/>
  <c r="F57" i="11"/>
  <c r="F58" i="11"/>
  <c r="I59" i="11"/>
  <c r="I56" i="11" s="1"/>
  <c r="I54" i="11"/>
  <c r="K59" i="11"/>
  <c r="K56" i="11" s="1"/>
  <c r="I53" i="11"/>
  <c r="J59" i="11"/>
  <c r="J56" i="11" s="1"/>
  <c r="J58" i="11"/>
  <c r="I52" i="11"/>
  <c r="L63" i="11"/>
  <c r="M63" i="11"/>
  <c r="M60" i="11" s="1"/>
  <c r="L58" i="11"/>
  <c r="M58" i="11"/>
  <c r="G63" i="11"/>
  <c r="G62" i="11" s="1"/>
  <c r="G58" i="11"/>
  <c r="C52" i="11"/>
  <c r="C59" i="11"/>
  <c r="H55" i="11"/>
  <c r="H49" i="11"/>
  <c r="H48" i="11"/>
  <c r="H50" i="11"/>
  <c r="N75" i="11"/>
  <c r="N74" i="11" s="1"/>
  <c r="N68" i="11"/>
  <c r="N70" i="11"/>
  <c r="AB65" i="82" l="1"/>
  <c r="AD65" i="82"/>
  <c r="F65" i="82"/>
  <c r="CP65" i="82"/>
  <c r="BA66" i="82"/>
  <c r="AO65" i="82"/>
  <c r="D65" i="82"/>
  <c r="P65" i="82"/>
  <c r="AY65" i="82"/>
  <c r="DA65" i="82"/>
  <c r="M65" i="82"/>
  <c r="AG65" i="82"/>
  <c r="CM65" i="82"/>
  <c r="DD65" i="82"/>
  <c r="AX66" i="82"/>
  <c r="BN65" i="82"/>
  <c r="I65" i="82"/>
  <c r="AW65" i="82"/>
  <c r="E65" i="82"/>
  <c r="K65" i="82"/>
  <c r="BG65" i="82"/>
  <c r="AS65" i="82"/>
  <c r="Y65" i="82"/>
  <c r="AJ65" i="82"/>
  <c r="AI65" i="82"/>
  <c r="AF65" i="82"/>
  <c r="O65" i="82"/>
  <c r="T65" i="82"/>
  <c r="CI65" i="82"/>
  <c r="H65" i="82"/>
  <c r="AL65" i="82"/>
  <c r="CK65" i="82"/>
  <c r="CE65" i="82"/>
  <c r="AH65" i="82"/>
  <c r="BK65" i="82"/>
  <c r="AP65" i="82"/>
  <c r="CZ65" i="82"/>
  <c r="R65" i="82"/>
  <c r="BF65" i="82"/>
  <c r="CR65" i="82"/>
  <c r="AR65" i="82"/>
  <c r="DM65" i="82"/>
  <c r="DF65" i="82"/>
  <c r="CO65" i="82"/>
  <c r="J65" i="82"/>
  <c r="B65" i="82"/>
  <c r="A66" i="82" s="1"/>
  <c r="DL65" i="82"/>
  <c r="Q65" i="82"/>
  <c r="G65" i="82"/>
  <c r="L65" i="82"/>
  <c r="DC52" i="82"/>
  <c r="U53" i="82"/>
  <c r="I58" i="11"/>
  <c r="I57" i="11"/>
  <c r="M62" i="11"/>
  <c r="D60" i="11"/>
  <c r="D67" i="11"/>
  <c r="D62" i="11"/>
  <c r="F67" i="11"/>
  <c r="F65" i="11" s="1"/>
  <c r="F62" i="11"/>
  <c r="F61" i="11"/>
  <c r="F60" i="11"/>
  <c r="K63" i="11"/>
  <c r="K57" i="11"/>
  <c r="M67" i="11"/>
  <c r="M65" i="11" s="1"/>
  <c r="M61" i="11"/>
  <c r="L67" i="11"/>
  <c r="L65" i="11" s="1"/>
  <c r="L64" i="11"/>
  <c r="L61" i="11"/>
  <c r="K58" i="11"/>
  <c r="J63" i="11"/>
  <c r="L62" i="11"/>
  <c r="J57" i="11"/>
  <c r="L60" i="11"/>
  <c r="I63" i="11"/>
  <c r="I62" i="11" s="1"/>
  <c r="G60" i="11"/>
  <c r="C57" i="11"/>
  <c r="C63" i="11"/>
  <c r="C62" i="11" s="1"/>
  <c r="C58" i="11"/>
  <c r="N72" i="11"/>
  <c r="C56" i="11"/>
  <c r="G61" i="11"/>
  <c r="G67" i="11"/>
  <c r="G66" i="11" s="1"/>
  <c r="H59" i="11"/>
  <c r="H56" i="11" s="1"/>
  <c r="H54" i="11"/>
  <c r="H52" i="11"/>
  <c r="H53" i="11"/>
  <c r="N79" i="11"/>
  <c r="N77" i="11" s="1"/>
  <c r="N73" i="11"/>
  <c r="CZ66" i="82" l="1"/>
  <c r="L66" i="82"/>
  <c r="DF66" i="82"/>
  <c r="AH66" i="82"/>
  <c r="R66" i="82"/>
  <c r="I66" i="82"/>
  <c r="AJ66" i="82"/>
  <c r="DL66" i="82"/>
  <c r="CO66" i="82"/>
  <c r="H66" i="82"/>
  <c r="AO66" i="82"/>
  <c r="AR66" i="82"/>
  <c r="AB66" i="82"/>
  <c r="T66" i="82"/>
  <c r="BN66" i="82"/>
  <c r="AY66" i="82"/>
  <c r="M66" i="82"/>
  <c r="Y66" i="82"/>
  <c r="D66" i="82"/>
  <c r="CP66" i="82"/>
  <c r="DA66" i="82"/>
  <c r="O66" i="82"/>
  <c r="AI66" i="82"/>
  <c r="CM66" i="82"/>
  <c r="AL66" i="82"/>
  <c r="CR66" i="82"/>
  <c r="AW66" i="82"/>
  <c r="E66" i="82"/>
  <c r="BA67" i="82"/>
  <c r="AG66" i="82"/>
  <c r="F66" i="82"/>
  <c r="B66" i="82"/>
  <c r="C66" i="82" s="1"/>
  <c r="AD66" i="82"/>
  <c r="C65" i="82"/>
  <c r="G66" i="82"/>
  <c r="AP66" i="82"/>
  <c r="CK66" i="82"/>
  <c r="AF66" i="82"/>
  <c r="CI66" i="82"/>
  <c r="CH66" i="82"/>
  <c r="DM66" i="82"/>
  <c r="AX67" i="82"/>
  <c r="AS66" i="82"/>
  <c r="P66" i="82"/>
  <c r="BF66" i="82"/>
  <c r="K66" i="82"/>
  <c r="BK66" i="82"/>
  <c r="Q66" i="82"/>
  <c r="J66" i="82"/>
  <c r="CE66" i="82"/>
  <c r="DD66" i="82"/>
  <c r="BG66" i="82"/>
  <c r="DC53" i="82"/>
  <c r="U54" i="82"/>
  <c r="G65" i="11"/>
  <c r="I60" i="11"/>
  <c r="C61" i="11"/>
  <c r="D71" i="11"/>
  <c r="D69" i="11" s="1"/>
  <c r="D68" i="11"/>
  <c r="D66" i="11"/>
  <c r="D65" i="11"/>
  <c r="D64" i="11"/>
  <c r="F71" i="11"/>
  <c r="F64" i="11"/>
  <c r="F66" i="11"/>
  <c r="K67" i="11"/>
  <c r="K64" i="11"/>
  <c r="J67" i="11"/>
  <c r="J64" i="11"/>
  <c r="J66" i="11"/>
  <c r="M71" i="11"/>
  <c r="M68" i="11"/>
  <c r="M70" i="11"/>
  <c r="J61" i="11"/>
  <c r="K61" i="11"/>
  <c r="M66" i="11"/>
  <c r="M64" i="11"/>
  <c r="L71" i="11"/>
  <c r="L68" i="11" s="1"/>
  <c r="I67" i="11"/>
  <c r="I64" i="11"/>
  <c r="I66" i="11"/>
  <c r="J62" i="11"/>
  <c r="L66" i="11"/>
  <c r="K62" i="11"/>
  <c r="I61" i="11"/>
  <c r="J60" i="11"/>
  <c r="K60" i="11"/>
  <c r="G71" i="11"/>
  <c r="G68" i="11"/>
  <c r="G69" i="11"/>
  <c r="C60" i="11"/>
  <c r="C67" i="11"/>
  <c r="C66" i="11" s="1"/>
  <c r="G64" i="11"/>
  <c r="H63" i="11"/>
  <c r="H61" i="11" s="1"/>
  <c r="H58" i="11"/>
  <c r="H57" i="11"/>
  <c r="N83" i="11"/>
  <c r="N82" i="11" s="1"/>
  <c r="N78" i="11"/>
  <c r="N76" i="11"/>
  <c r="A67" i="82" l="1"/>
  <c r="CE67" i="82" s="1"/>
  <c r="DC54" i="82"/>
  <c r="U55" i="82"/>
  <c r="C65" i="11"/>
  <c r="L70" i="11"/>
  <c r="D75" i="11"/>
  <c r="D70" i="11"/>
  <c r="F75" i="11"/>
  <c r="F72" i="11" s="1"/>
  <c r="F70" i="11"/>
  <c r="F69" i="11"/>
  <c r="F68" i="11"/>
  <c r="I71" i="11"/>
  <c r="J71" i="11"/>
  <c r="J68" i="11" s="1"/>
  <c r="J70" i="11"/>
  <c r="J69" i="11"/>
  <c r="K71" i="11"/>
  <c r="K69" i="11" s="1"/>
  <c r="K68" i="11"/>
  <c r="K70" i="11"/>
  <c r="L75" i="11"/>
  <c r="L72" i="11" s="1"/>
  <c r="M75" i="11"/>
  <c r="M73" i="11" s="1"/>
  <c r="K65" i="11"/>
  <c r="I65" i="11"/>
  <c r="J65" i="11"/>
  <c r="L69" i="11"/>
  <c r="M69" i="11"/>
  <c r="K66" i="11"/>
  <c r="C64" i="11"/>
  <c r="C71" i="11"/>
  <c r="C68" i="11"/>
  <c r="C70" i="11"/>
  <c r="G75" i="11"/>
  <c r="G73" i="11" s="1"/>
  <c r="G72" i="11"/>
  <c r="H60" i="11"/>
  <c r="G70" i="11"/>
  <c r="H67" i="11"/>
  <c r="H65" i="11" s="1"/>
  <c r="H62" i="11"/>
  <c r="N87" i="11"/>
  <c r="N86" i="11" s="1"/>
  <c r="N81" i="11"/>
  <c r="N80" i="11"/>
  <c r="AJ67" i="82" l="1"/>
  <c r="Q67" i="82"/>
  <c r="BF67" i="82"/>
  <c r="AP67" i="82"/>
  <c r="CZ67" i="82"/>
  <c r="CR67" i="82"/>
  <c r="AD67" i="82"/>
  <c r="AR67" i="82"/>
  <c r="AL67" i="82"/>
  <c r="K67" i="82"/>
  <c r="AF67" i="82"/>
  <c r="H67" i="82"/>
  <c r="F67" i="82"/>
  <c r="I67" i="82"/>
  <c r="T67" i="82"/>
  <c r="AI67" i="82"/>
  <c r="L67" i="82"/>
  <c r="CO67" i="82"/>
  <c r="CI67" i="82"/>
  <c r="AB67" i="82"/>
  <c r="CH67" i="82"/>
  <c r="R67" i="82"/>
  <c r="DF67" i="82"/>
  <c r="BN67" i="82"/>
  <c r="BK67" i="82"/>
  <c r="BG67" i="82"/>
  <c r="B67" i="82"/>
  <c r="C67" i="82" s="1"/>
  <c r="O67" i="82"/>
  <c r="CK67" i="82"/>
  <c r="DD67" i="82"/>
  <c r="M67" i="82"/>
  <c r="CM67" i="82"/>
  <c r="DM67" i="82"/>
  <c r="DL67" i="82"/>
  <c r="G67" i="82"/>
  <c r="E67" i="82"/>
  <c r="D67" i="82"/>
  <c r="AH67" i="82"/>
  <c r="AX68" i="82"/>
  <c r="AS67" i="82"/>
  <c r="DA67" i="82"/>
  <c r="AW67" i="82"/>
  <c r="AY67" i="82"/>
  <c r="CP67" i="82"/>
  <c r="Y67" i="82"/>
  <c r="P67" i="82"/>
  <c r="AO67" i="82"/>
  <c r="AG67" i="82"/>
  <c r="BA68" i="82"/>
  <c r="J67" i="82"/>
  <c r="DC55" i="82"/>
  <c r="U56" i="82"/>
  <c r="G74" i="11"/>
  <c r="D79" i="11"/>
  <c r="D76" i="11" s="1"/>
  <c r="D74" i="11"/>
  <c r="D73" i="11"/>
  <c r="D72" i="11"/>
  <c r="F79" i="11"/>
  <c r="F78" i="11" s="1"/>
  <c r="F74" i="11"/>
  <c r="F73" i="11"/>
  <c r="L79" i="11"/>
  <c r="L76" i="11"/>
  <c r="L78" i="11"/>
  <c r="L73" i="11"/>
  <c r="J75" i="11"/>
  <c r="J73" i="11" s="1"/>
  <c r="J72" i="11"/>
  <c r="L74" i="11"/>
  <c r="M79" i="11"/>
  <c r="M76" i="11" s="1"/>
  <c r="I75" i="11"/>
  <c r="I73" i="11" s="1"/>
  <c r="I69" i="11"/>
  <c r="M74" i="11"/>
  <c r="I70" i="11"/>
  <c r="M72" i="11"/>
  <c r="K75" i="11"/>
  <c r="K74" i="11" s="1"/>
  <c r="I68" i="11"/>
  <c r="H64" i="11"/>
  <c r="G79" i="11"/>
  <c r="G77" i="11" s="1"/>
  <c r="G76" i="11"/>
  <c r="C69" i="11"/>
  <c r="C75" i="11"/>
  <c r="C73" i="11" s="1"/>
  <c r="H71" i="11"/>
  <c r="H68" i="11" s="1"/>
  <c r="H66" i="11"/>
  <c r="N91" i="11"/>
  <c r="N90" i="11" s="1"/>
  <c r="N88" i="11"/>
  <c r="N85" i="11"/>
  <c r="N84" i="11"/>
  <c r="A68" i="82" l="1"/>
  <c r="CI68" i="82" s="1"/>
  <c r="DC56" i="82"/>
  <c r="U57" i="82"/>
  <c r="M78" i="11"/>
  <c r="K72" i="11"/>
  <c r="F76" i="11"/>
  <c r="K73" i="11"/>
  <c r="D77" i="11"/>
  <c r="D83" i="11"/>
  <c r="D78" i="11"/>
  <c r="F83" i="11"/>
  <c r="F80" i="11" s="1"/>
  <c r="F77" i="11"/>
  <c r="M83" i="11"/>
  <c r="J79" i="11"/>
  <c r="J76" i="11"/>
  <c r="J78" i="11"/>
  <c r="J77" i="11"/>
  <c r="L83" i="11"/>
  <c r="L80" i="11" s="1"/>
  <c r="I79" i="11"/>
  <c r="M77" i="11"/>
  <c r="I74" i="11"/>
  <c r="K79" i="11"/>
  <c r="K76" i="11"/>
  <c r="K78" i="11"/>
  <c r="K77" i="11"/>
  <c r="I72" i="11"/>
  <c r="J74" i="11"/>
  <c r="L77" i="11"/>
  <c r="C72" i="11"/>
  <c r="G83" i="11"/>
  <c r="G81" i="11" s="1"/>
  <c r="G80" i="11"/>
  <c r="G78" i="11"/>
  <c r="C74" i="11"/>
  <c r="C79" i="11"/>
  <c r="C78" i="11"/>
  <c r="H75" i="11"/>
  <c r="H73" i="11" s="1"/>
  <c r="H70" i="11"/>
  <c r="H69" i="11"/>
  <c r="N95" i="11"/>
  <c r="N94" i="11" s="1"/>
  <c r="N89" i="11"/>
  <c r="BK68" i="82" l="1"/>
  <c r="AX69" i="82"/>
  <c r="AS68" i="82"/>
  <c r="P68" i="82"/>
  <c r="Q68" i="82"/>
  <c r="M68" i="82"/>
  <c r="AW68" i="82"/>
  <c r="I68" i="82"/>
  <c r="AR68" i="82"/>
  <c r="BF68" i="82"/>
  <c r="T68" i="82"/>
  <c r="CR68" i="82"/>
  <c r="AJ68" i="82"/>
  <c r="F68" i="82"/>
  <c r="BG68" i="82"/>
  <c r="BN68" i="82"/>
  <c r="AY68" i="82"/>
  <c r="AP68" i="82"/>
  <c r="CZ68" i="82"/>
  <c r="DA68" i="82"/>
  <c r="E68" i="82"/>
  <c r="CK68" i="82"/>
  <c r="DF68" i="82"/>
  <c r="AB68" i="82"/>
  <c r="H68" i="82"/>
  <c r="O68" i="82"/>
  <c r="AD68" i="82"/>
  <c r="R68" i="82"/>
  <c r="CH68" i="82"/>
  <c r="B68" i="82"/>
  <c r="A69" i="82" s="1"/>
  <c r="K68" i="82"/>
  <c r="DD68" i="82"/>
  <c r="AI68" i="82"/>
  <c r="DM68" i="82"/>
  <c r="Y68" i="82"/>
  <c r="J68" i="82"/>
  <c r="CO68" i="82"/>
  <c r="DL68" i="82"/>
  <c r="AH68" i="82"/>
  <c r="CM68" i="82"/>
  <c r="AO68" i="82"/>
  <c r="CP68" i="82"/>
  <c r="AG68" i="82"/>
  <c r="G68" i="82"/>
  <c r="AF68" i="82"/>
  <c r="L68" i="82"/>
  <c r="CE68" i="82"/>
  <c r="D68" i="82"/>
  <c r="AL68" i="82"/>
  <c r="BA69" i="82"/>
  <c r="DC57" i="82"/>
  <c r="U58" i="82"/>
  <c r="D87" i="11"/>
  <c r="D86" i="11" s="1"/>
  <c r="D85" i="11"/>
  <c r="D84" i="11"/>
  <c r="D82" i="11"/>
  <c r="D81" i="11"/>
  <c r="D80" i="11"/>
  <c r="F84" i="11"/>
  <c r="F85" i="11"/>
  <c r="F87" i="11"/>
  <c r="F82" i="11"/>
  <c r="F81" i="11"/>
  <c r="I83" i="11"/>
  <c r="I80" i="11"/>
  <c r="I82" i="11"/>
  <c r="I77" i="11"/>
  <c r="I78" i="11"/>
  <c r="I76" i="11"/>
  <c r="J83" i="11"/>
  <c r="J81" i="11" s="1"/>
  <c r="M87" i="11"/>
  <c r="M84" i="11"/>
  <c r="M86" i="11"/>
  <c r="K83" i="11"/>
  <c r="K82" i="11" s="1"/>
  <c r="K80" i="11"/>
  <c r="L87" i="11"/>
  <c r="L84" i="11" s="1"/>
  <c r="M81" i="11"/>
  <c r="L81" i="11"/>
  <c r="M82" i="11"/>
  <c r="L82" i="11"/>
  <c r="M80" i="11"/>
  <c r="C76" i="11"/>
  <c r="C83" i="11"/>
  <c r="C82" i="11" s="1"/>
  <c r="G87" i="11"/>
  <c r="G84" i="11" s="1"/>
  <c r="C77" i="11"/>
  <c r="G82" i="11"/>
  <c r="H79" i="11"/>
  <c r="H78" i="11" s="1"/>
  <c r="H74" i="11"/>
  <c r="H72" i="11"/>
  <c r="N99" i="11"/>
  <c r="N93" i="11"/>
  <c r="N92" i="11"/>
  <c r="E69" i="82" l="1"/>
  <c r="C68" i="82"/>
  <c r="D69" i="82"/>
  <c r="AL69" i="82"/>
  <c r="AO69" i="82"/>
  <c r="BA70" i="82"/>
  <c r="CP69" i="82"/>
  <c r="DM69" i="82"/>
  <c r="AI69" i="82"/>
  <c r="CE69" i="82"/>
  <c r="M69" i="82"/>
  <c r="AX70" i="82"/>
  <c r="CH69" i="82"/>
  <c r="P69" i="82"/>
  <c r="CM69" i="82"/>
  <c r="DD69" i="82"/>
  <c r="DL69" i="82"/>
  <c r="R69" i="82"/>
  <c r="CK69" i="82"/>
  <c r="L69" i="82"/>
  <c r="BN69" i="82"/>
  <c r="BG69" i="82"/>
  <c r="AR69" i="82"/>
  <c r="AP69" i="82"/>
  <c r="CI69" i="82"/>
  <c r="AS69" i="82"/>
  <c r="K69" i="82"/>
  <c r="AJ69" i="82"/>
  <c r="F69" i="82"/>
  <c r="G69" i="82"/>
  <c r="J69" i="82"/>
  <c r="AD69" i="82"/>
  <c r="H69" i="82"/>
  <c r="I69" i="82"/>
  <c r="AG69" i="82"/>
  <c r="Y69" i="82"/>
  <c r="Q69" i="82"/>
  <c r="AW69" i="82"/>
  <c r="CZ69" i="82"/>
  <c r="T69" i="82"/>
  <c r="AY69" i="82"/>
  <c r="DF69" i="82"/>
  <c r="CR69" i="82"/>
  <c r="BK69" i="82"/>
  <c r="AB69" i="82"/>
  <c r="AH69" i="82"/>
  <c r="B69" i="82"/>
  <c r="A70" i="82" s="1"/>
  <c r="O69" i="82"/>
  <c r="BF69" i="82"/>
  <c r="DA69" i="82"/>
  <c r="AF69" i="82"/>
  <c r="CO69" i="82"/>
  <c r="DC58" i="82"/>
  <c r="U59" i="82"/>
  <c r="L86" i="11"/>
  <c r="C81" i="11"/>
  <c r="J82" i="11"/>
  <c r="J80" i="11"/>
  <c r="G85" i="11"/>
  <c r="D91" i="11"/>
  <c r="F91" i="11"/>
  <c r="F88" i="11" s="1"/>
  <c r="F90" i="11"/>
  <c r="F86" i="11"/>
  <c r="L91" i="11"/>
  <c r="L88" i="11" s="1"/>
  <c r="M91" i="11"/>
  <c r="M90" i="11" s="1"/>
  <c r="M85" i="11"/>
  <c r="K87" i="11"/>
  <c r="K84" i="11"/>
  <c r="K86" i="11"/>
  <c r="K85" i="11"/>
  <c r="L85" i="11"/>
  <c r="I87" i="11"/>
  <c r="I84" i="11" s="1"/>
  <c r="K81" i="11"/>
  <c r="J87" i="11"/>
  <c r="J84" i="11" s="1"/>
  <c r="J86" i="11"/>
  <c r="J85" i="11"/>
  <c r="I81" i="11"/>
  <c r="H77" i="11"/>
  <c r="G91" i="11"/>
  <c r="G90" i="11" s="1"/>
  <c r="G89" i="11"/>
  <c r="G86" i="11"/>
  <c r="C80" i="11"/>
  <c r="C87" i="11"/>
  <c r="C86" i="11" s="1"/>
  <c r="H83" i="11"/>
  <c r="H81" i="11" s="1"/>
  <c r="H76" i="11"/>
  <c r="N103" i="11"/>
  <c r="N97" i="11"/>
  <c r="N98" i="11"/>
  <c r="N96" i="11"/>
  <c r="AS70" i="82" l="1"/>
  <c r="Q70" i="82"/>
  <c r="AY70" i="82"/>
  <c r="M70" i="82"/>
  <c r="BN70" i="82"/>
  <c r="BA71" i="82"/>
  <c r="AR70" i="82"/>
  <c r="CH70" i="82"/>
  <c r="CE70" i="82"/>
  <c r="R70" i="82"/>
  <c r="BK70" i="82"/>
  <c r="DM70" i="82"/>
  <c r="CP70" i="82"/>
  <c r="DL70" i="82"/>
  <c r="AG70" i="82"/>
  <c r="DF70" i="82"/>
  <c r="AD70" i="82"/>
  <c r="AH70" i="82"/>
  <c r="BG70" i="82"/>
  <c r="O70" i="82"/>
  <c r="K70" i="82"/>
  <c r="AP70" i="82"/>
  <c r="C69" i="82"/>
  <c r="I70" i="82"/>
  <c r="AF70" i="82"/>
  <c r="B70" i="82"/>
  <c r="C70" i="82" s="1"/>
  <c r="CI70" i="82"/>
  <c r="CZ70" i="82"/>
  <c r="DA70" i="82"/>
  <c r="AB70" i="82"/>
  <c r="Y70" i="82"/>
  <c r="F70" i="82"/>
  <c r="J70" i="82"/>
  <c r="DD70" i="82"/>
  <c r="P70" i="82"/>
  <c r="G70" i="82"/>
  <c r="CR70" i="82"/>
  <c r="AX71" i="82"/>
  <c r="AO70" i="82"/>
  <c r="AI70" i="82"/>
  <c r="AW70" i="82"/>
  <c r="AJ70" i="82"/>
  <c r="CM70" i="82"/>
  <c r="T70" i="82"/>
  <c r="L70" i="82"/>
  <c r="BF70" i="82"/>
  <c r="D70" i="82"/>
  <c r="CK70" i="82"/>
  <c r="H70" i="82"/>
  <c r="CO70" i="82"/>
  <c r="AL70" i="82"/>
  <c r="E70" i="82"/>
  <c r="DC59" i="82"/>
  <c r="U60" i="82"/>
  <c r="I86" i="11"/>
  <c r="D95" i="11"/>
  <c r="D94" i="11" s="1"/>
  <c r="D92" i="11"/>
  <c r="D93" i="11"/>
  <c r="D90" i="11"/>
  <c r="D89" i="11"/>
  <c r="D88" i="11"/>
  <c r="F95" i="11"/>
  <c r="F89" i="11"/>
  <c r="M89" i="11"/>
  <c r="L95" i="11"/>
  <c r="L92" i="11"/>
  <c r="L94" i="11"/>
  <c r="M95" i="11"/>
  <c r="M93" i="11" s="1"/>
  <c r="M88" i="11"/>
  <c r="I91" i="11"/>
  <c r="I88" i="11" s="1"/>
  <c r="K91" i="11"/>
  <c r="K90" i="11" s="1"/>
  <c r="K88" i="11"/>
  <c r="L89" i="11"/>
  <c r="J91" i="11"/>
  <c r="J88" i="11" s="1"/>
  <c r="I85" i="11"/>
  <c r="L90" i="11"/>
  <c r="H80" i="11"/>
  <c r="C84" i="11"/>
  <c r="C91" i="11"/>
  <c r="C90" i="11" s="1"/>
  <c r="C89" i="11"/>
  <c r="G95" i="11"/>
  <c r="G92" i="11"/>
  <c r="G93" i="11"/>
  <c r="C85" i="11"/>
  <c r="G88" i="11"/>
  <c r="H87" i="11"/>
  <c r="H82" i="11"/>
  <c r="N107" i="11"/>
  <c r="N104" i="11" s="1"/>
  <c r="N101" i="11"/>
  <c r="N100" i="11"/>
  <c r="N102" i="11"/>
  <c r="A71" i="82" l="1"/>
  <c r="CZ71" i="82" s="1"/>
  <c r="DC60" i="82"/>
  <c r="U61" i="82"/>
  <c r="K89" i="11"/>
  <c r="J90" i="11"/>
  <c r="I90" i="11"/>
  <c r="D99" i="11"/>
  <c r="F99" i="11"/>
  <c r="F96" i="11"/>
  <c r="F94" i="11"/>
  <c r="F93" i="11"/>
  <c r="F92" i="11"/>
  <c r="M99" i="11"/>
  <c r="M98" i="11" s="1"/>
  <c r="M92" i="11"/>
  <c r="J95" i="11"/>
  <c r="J92" i="11"/>
  <c r="J94" i="11"/>
  <c r="J89" i="11"/>
  <c r="I95" i="11"/>
  <c r="I89" i="11"/>
  <c r="L99" i="11"/>
  <c r="L98" i="11" s="1"/>
  <c r="L93" i="11"/>
  <c r="K95" i="11"/>
  <c r="K93" i="11" s="1"/>
  <c r="K92" i="11"/>
  <c r="K94" i="11"/>
  <c r="M94" i="11"/>
  <c r="G94" i="11"/>
  <c r="G99" i="11"/>
  <c r="G97" i="11" s="1"/>
  <c r="G96" i="11"/>
  <c r="G98" i="11"/>
  <c r="C88" i="11"/>
  <c r="C95" i="11"/>
  <c r="C92" i="11" s="1"/>
  <c r="H91" i="11"/>
  <c r="H88" i="11" s="1"/>
  <c r="H85" i="11"/>
  <c r="H84" i="11"/>
  <c r="H86" i="11"/>
  <c r="N111" i="11"/>
  <c r="N108" i="11" s="1"/>
  <c r="N106" i="11"/>
  <c r="N105" i="11"/>
  <c r="Y71" i="82" l="1"/>
  <c r="DF71" i="82"/>
  <c r="CM71" i="82"/>
  <c r="R71" i="82"/>
  <c r="J71" i="82"/>
  <c r="CP71" i="82"/>
  <c r="AH71" i="82"/>
  <c r="P71" i="82"/>
  <c r="L71" i="82"/>
  <c r="BN71" i="82"/>
  <c r="BF71" i="82"/>
  <c r="CR71" i="82"/>
  <c r="AD71" i="82"/>
  <c r="H71" i="82"/>
  <c r="G71" i="82"/>
  <c r="AG71" i="82"/>
  <c r="Q71" i="82"/>
  <c r="F71" i="82"/>
  <c r="M71" i="82"/>
  <c r="BG71" i="82"/>
  <c r="I71" i="82"/>
  <c r="AR71" i="82"/>
  <c r="AO71" i="82"/>
  <c r="AB71" i="82"/>
  <c r="B71" i="82"/>
  <c r="A72" i="82" s="1"/>
  <c r="DD71" i="82"/>
  <c r="DL71" i="82"/>
  <c r="CH71" i="82"/>
  <c r="BK71" i="82"/>
  <c r="T71" i="82"/>
  <c r="DA71" i="82"/>
  <c r="AX72" i="82"/>
  <c r="AF71" i="82"/>
  <c r="CE71" i="82"/>
  <c r="AS71" i="82"/>
  <c r="E71" i="82"/>
  <c r="AY71" i="82"/>
  <c r="O71" i="82"/>
  <c r="CI71" i="82"/>
  <c r="CO71" i="82"/>
  <c r="AJ71" i="82"/>
  <c r="K71" i="82"/>
  <c r="AL71" i="82"/>
  <c r="AI71" i="82"/>
  <c r="DM71" i="82"/>
  <c r="BA72" i="82"/>
  <c r="CK71" i="82"/>
  <c r="AP71" i="82"/>
  <c r="D71" i="82"/>
  <c r="AW71" i="82"/>
  <c r="DC61" i="82"/>
  <c r="U62" i="82"/>
  <c r="L96" i="11"/>
  <c r="D103" i="11"/>
  <c r="D102" i="11" s="1"/>
  <c r="D100" i="11"/>
  <c r="D98" i="11"/>
  <c r="D97" i="11"/>
  <c r="D96" i="11"/>
  <c r="F103" i="11"/>
  <c r="F98" i="11"/>
  <c r="F97" i="11"/>
  <c r="I99" i="11"/>
  <c r="I96" i="11"/>
  <c r="I98" i="11"/>
  <c r="I93" i="11"/>
  <c r="J99" i="11"/>
  <c r="J96" i="11"/>
  <c r="K99" i="11"/>
  <c r="K96" i="11" s="1"/>
  <c r="I94" i="11"/>
  <c r="M103" i="11"/>
  <c r="M101" i="11" s="1"/>
  <c r="I92" i="11"/>
  <c r="M97" i="11"/>
  <c r="L103" i="11"/>
  <c r="L101" i="11" s="1"/>
  <c r="L100" i="11"/>
  <c r="L102" i="11"/>
  <c r="L97" i="11"/>
  <c r="J93" i="11"/>
  <c r="M96" i="11"/>
  <c r="C93" i="11"/>
  <c r="C99" i="11"/>
  <c r="C98" i="11"/>
  <c r="C97" i="11"/>
  <c r="N109" i="11"/>
  <c r="N110" i="11"/>
  <c r="G103" i="11"/>
  <c r="G101" i="11" s="1"/>
  <c r="G100" i="11"/>
  <c r="C94" i="11"/>
  <c r="H95" i="11"/>
  <c r="H92" i="11" s="1"/>
  <c r="H90" i="11"/>
  <c r="H89" i="11"/>
  <c r="N115" i="11"/>
  <c r="N114" i="11" s="1"/>
  <c r="BN72" i="82" l="1"/>
  <c r="H72" i="82"/>
  <c r="CH72" i="82"/>
  <c r="K72" i="82"/>
  <c r="AP72" i="82"/>
  <c r="CO72" i="82"/>
  <c r="AX73" i="82"/>
  <c r="AB72" i="82"/>
  <c r="AG72" i="82"/>
  <c r="P72" i="82"/>
  <c r="Q72" i="82"/>
  <c r="DA72" i="82"/>
  <c r="BF72" i="82"/>
  <c r="BA73" i="82"/>
  <c r="O72" i="82"/>
  <c r="T72" i="82"/>
  <c r="AR72" i="82"/>
  <c r="DD72" i="82"/>
  <c r="G72" i="82"/>
  <c r="DM72" i="82"/>
  <c r="I72" i="82"/>
  <c r="AD72" i="82"/>
  <c r="AJ72" i="82"/>
  <c r="R72" i="82"/>
  <c r="AH72" i="82"/>
  <c r="D72" i="82"/>
  <c r="CP72" i="82"/>
  <c r="J72" i="82"/>
  <c r="B72" i="82"/>
  <c r="A73" i="82" s="1"/>
  <c r="AI72" i="82"/>
  <c r="E72" i="82"/>
  <c r="BG72" i="82"/>
  <c r="F72" i="82"/>
  <c r="L72" i="82"/>
  <c r="AO72" i="82"/>
  <c r="AS72" i="82"/>
  <c r="CZ72" i="82"/>
  <c r="BK72" i="82"/>
  <c r="CR72" i="82"/>
  <c r="CM72" i="82"/>
  <c r="AL72" i="82"/>
  <c r="DL72" i="82"/>
  <c r="M72" i="82"/>
  <c r="CK72" i="82"/>
  <c r="CI72" i="82"/>
  <c r="AW72" i="82"/>
  <c r="Y72" i="82"/>
  <c r="AY72" i="82"/>
  <c r="DF72" i="82"/>
  <c r="C71" i="82"/>
  <c r="AF72" i="82"/>
  <c r="CE72" i="82"/>
  <c r="DC62" i="82"/>
  <c r="U63" i="82"/>
  <c r="D101" i="11"/>
  <c r="G102" i="11"/>
  <c r="D107" i="11"/>
  <c r="F107" i="11"/>
  <c r="F105" i="11" s="1"/>
  <c r="F104" i="11"/>
  <c r="F106" i="11"/>
  <c r="F102" i="11"/>
  <c r="F101" i="11"/>
  <c r="F100" i="11"/>
  <c r="J103" i="11"/>
  <c r="J100" i="11"/>
  <c r="J102" i="11"/>
  <c r="J101" i="11"/>
  <c r="M107" i="11"/>
  <c r="L107" i="11"/>
  <c r="L106" i="11" s="1"/>
  <c r="J97" i="11"/>
  <c r="K103" i="11"/>
  <c r="K100" i="11"/>
  <c r="K102" i="11"/>
  <c r="K97" i="11"/>
  <c r="M102" i="11"/>
  <c r="K98" i="11"/>
  <c r="I103" i="11"/>
  <c r="I100" i="11" s="1"/>
  <c r="M100" i="11"/>
  <c r="J98" i="11"/>
  <c r="I97" i="11"/>
  <c r="N112" i="11"/>
  <c r="C96" i="11"/>
  <c r="C103" i="11"/>
  <c r="C102" i="11" s="1"/>
  <c r="N113" i="11"/>
  <c r="G107" i="11"/>
  <c r="H99" i="11"/>
  <c r="H94" i="11"/>
  <c r="H93" i="11"/>
  <c r="N119" i="11"/>
  <c r="N117" i="11" s="1"/>
  <c r="C72" i="82" l="1"/>
  <c r="BA74" i="82"/>
  <c r="CO73" i="82"/>
  <c r="R73" i="82"/>
  <c r="H73" i="82"/>
  <c r="AP73" i="82"/>
  <c r="DD73" i="82"/>
  <c r="L73" i="82"/>
  <c r="B73" i="82"/>
  <c r="O73" i="82"/>
  <c r="CI73" i="82"/>
  <c r="CP73" i="82"/>
  <c r="DL73" i="82"/>
  <c r="BK73" i="82"/>
  <c r="CZ73" i="82"/>
  <c r="AF73" i="82"/>
  <c r="BN73" i="82"/>
  <c r="CR73" i="82"/>
  <c r="E73" i="82"/>
  <c r="AJ73" i="82"/>
  <c r="AI73" i="82"/>
  <c r="AG73" i="82"/>
  <c r="AW73" i="82"/>
  <c r="M73" i="82"/>
  <c r="CE73" i="82"/>
  <c r="AH73" i="82"/>
  <c r="AX74" i="82"/>
  <c r="CM73" i="82"/>
  <c r="K73" i="82"/>
  <c r="CK73" i="82"/>
  <c r="AD73" i="82"/>
  <c r="J73" i="82"/>
  <c r="I73" i="82"/>
  <c r="Q73" i="82"/>
  <c r="BG73" i="82"/>
  <c r="DF73" i="82"/>
  <c r="T73" i="82"/>
  <c r="F73" i="82"/>
  <c r="P73" i="82"/>
  <c r="AL73" i="82"/>
  <c r="D73" i="82"/>
  <c r="Y73" i="82"/>
  <c r="AR73" i="82"/>
  <c r="BF73" i="82"/>
  <c r="DM73" i="82"/>
  <c r="G73" i="82"/>
  <c r="CH73" i="82"/>
  <c r="AO73" i="82"/>
  <c r="AB73" i="82"/>
  <c r="AY73" i="82"/>
  <c r="AS73" i="82"/>
  <c r="DA73" i="82"/>
  <c r="DC63" i="82"/>
  <c r="U64" i="82"/>
  <c r="L104" i="11"/>
  <c r="D111" i="11"/>
  <c r="D110" i="11" s="1"/>
  <c r="D109" i="11"/>
  <c r="D108" i="11"/>
  <c r="D106" i="11"/>
  <c r="D105" i="11"/>
  <c r="D104" i="11"/>
  <c r="F108" i="11"/>
  <c r="F111" i="11"/>
  <c r="F110" i="11" s="1"/>
  <c r="I101" i="11"/>
  <c r="K107" i="11"/>
  <c r="K106" i="11" s="1"/>
  <c r="K104" i="11"/>
  <c r="M111" i="11"/>
  <c r="M108" i="11"/>
  <c r="M110" i="11"/>
  <c r="I102" i="11"/>
  <c r="M105" i="11"/>
  <c r="M104" i="11"/>
  <c r="I107" i="11"/>
  <c r="I104" i="11" s="1"/>
  <c r="I106" i="11"/>
  <c r="M106" i="11"/>
  <c r="L111" i="11"/>
  <c r="L110" i="11" s="1"/>
  <c r="L108" i="11"/>
  <c r="K101" i="11"/>
  <c r="L105" i="11"/>
  <c r="J107" i="11"/>
  <c r="J105" i="11" s="1"/>
  <c r="J104" i="11"/>
  <c r="J106" i="11"/>
  <c r="G111" i="11"/>
  <c r="G108" i="11" s="1"/>
  <c r="G106" i="11"/>
  <c r="N116" i="11"/>
  <c r="C101" i="11"/>
  <c r="C107" i="11"/>
  <c r="C104" i="11"/>
  <c r="C100" i="11"/>
  <c r="G105" i="11"/>
  <c r="G104" i="11"/>
  <c r="H103" i="11"/>
  <c r="H97" i="11"/>
  <c r="H96" i="11"/>
  <c r="H98" i="11"/>
  <c r="N123" i="11"/>
  <c r="N121" i="11" s="1"/>
  <c r="N118" i="11"/>
  <c r="A74" i="82" l="1"/>
  <c r="C73" i="82"/>
  <c r="DC64" i="82"/>
  <c r="U65" i="82"/>
  <c r="G109" i="11"/>
  <c r="D115" i="11"/>
  <c r="D112" i="11" s="1"/>
  <c r="F115" i="11"/>
  <c r="F113" i="11" s="1"/>
  <c r="F109" i="11"/>
  <c r="I111" i="11"/>
  <c r="M115" i="11"/>
  <c r="M112" i="11" s="1"/>
  <c r="I105" i="11"/>
  <c r="L115" i="11"/>
  <c r="L114" i="11" s="1"/>
  <c r="K105" i="11"/>
  <c r="K111" i="11"/>
  <c r="K108" i="11" s="1"/>
  <c r="K109" i="11"/>
  <c r="L109" i="11"/>
  <c r="J111" i="11"/>
  <c r="J109" i="11" s="1"/>
  <c r="J110" i="11"/>
  <c r="M109" i="11"/>
  <c r="N120" i="11"/>
  <c r="C105" i="11"/>
  <c r="C111" i="11"/>
  <c r="C108" i="11" s="1"/>
  <c r="C110" i="11"/>
  <c r="N122" i="11"/>
  <c r="N127" i="11"/>
  <c r="N126" i="11"/>
  <c r="C106" i="11"/>
  <c r="G110" i="11"/>
  <c r="G115" i="11"/>
  <c r="G112" i="11" s="1"/>
  <c r="G114" i="11"/>
  <c r="G113" i="11"/>
  <c r="H107" i="11"/>
  <c r="H106" i="11" s="1"/>
  <c r="H102" i="11"/>
  <c r="H101" i="11"/>
  <c r="H100" i="11"/>
  <c r="AD74" i="82" l="1"/>
  <c r="BK74" i="82"/>
  <c r="DD74" i="82"/>
  <c r="AG74" i="82"/>
  <c r="I74" i="82"/>
  <c r="CK74" i="82"/>
  <c r="J74" i="82"/>
  <c r="Y74" i="82"/>
  <c r="F74" i="82"/>
  <c r="AW74" i="82"/>
  <c r="BG74" i="82"/>
  <c r="AP74" i="82"/>
  <c r="AB74" i="82"/>
  <c r="B74" i="82"/>
  <c r="C74" i="82" s="1"/>
  <c r="Q74" i="82"/>
  <c r="K74" i="82"/>
  <c r="CE74" i="82"/>
  <c r="BF74" i="82"/>
  <c r="BA75" i="82"/>
  <c r="AR74" i="82"/>
  <c r="O74" i="82"/>
  <c r="DM74" i="82"/>
  <c r="CI74" i="82"/>
  <c r="L74" i="82"/>
  <c r="BN74" i="82"/>
  <c r="CR74" i="82"/>
  <c r="CM74" i="82"/>
  <c r="AY74" i="82"/>
  <c r="D74" i="82"/>
  <c r="H74" i="82"/>
  <c r="CP74" i="82"/>
  <c r="AO74" i="82"/>
  <c r="P74" i="82"/>
  <c r="AS74" i="82"/>
  <c r="CZ74" i="82"/>
  <c r="AX75" i="82"/>
  <c r="DL74" i="82"/>
  <c r="DF74" i="82"/>
  <c r="AF74" i="82"/>
  <c r="M74" i="82"/>
  <c r="E74" i="82"/>
  <c r="AI74" i="82"/>
  <c r="CO74" i="82"/>
  <c r="AH74" i="82"/>
  <c r="G74" i="82"/>
  <c r="T74" i="82"/>
  <c r="R74" i="82"/>
  <c r="AJ74" i="82"/>
  <c r="CH74" i="82"/>
  <c r="DA74" i="82"/>
  <c r="AL74" i="82"/>
  <c r="DC65" i="82"/>
  <c r="U66" i="82"/>
  <c r="J108" i="11"/>
  <c r="L112" i="11"/>
  <c r="K110" i="11"/>
  <c r="F112" i="11"/>
  <c r="D119" i="11"/>
  <c r="D117" i="11"/>
  <c r="D116" i="11"/>
  <c r="D114" i="11"/>
  <c r="D113" i="11"/>
  <c r="F119" i="11"/>
  <c r="F114" i="11"/>
  <c r="M113" i="11"/>
  <c r="M119" i="11"/>
  <c r="M116" i="11"/>
  <c r="M118" i="11"/>
  <c r="M117" i="11"/>
  <c r="M114" i="11"/>
  <c r="J115" i="11"/>
  <c r="J114" i="11" s="1"/>
  <c r="I115" i="11"/>
  <c r="I112" i="11"/>
  <c r="I114" i="11"/>
  <c r="I113" i="11"/>
  <c r="L119" i="11"/>
  <c r="L117" i="11" s="1"/>
  <c r="I109" i="11"/>
  <c r="L113" i="11"/>
  <c r="I110" i="11"/>
  <c r="K115" i="11"/>
  <c r="K113" i="11" s="1"/>
  <c r="I108" i="11"/>
  <c r="N124" i="11"/>
  <c r="N131" i="11"/>
  <c r="N130" i="11"/>
  <c r="N129" i="11"/>
  <c r="G119" i="11"/>
  <c r="G117" i="11" s="1"/>
  <c r="C109" i="11"/>
  <c r="C115" i="11"/>
  <c r="C113" i="11"/>
  <c r="C114" i="11"/>
  <c r="N125" i="11"/>
  <c r="H111" i="11"/>
  <c r="H105" i="11"/>
  <c r="H104" i="11"/>
  <c r="A75" i="82" l="1"/>
  <c r="DC66" i="82"/>
  <c r="U67" i="82"/>
  <c r="G116" i="11"/>
  <c r="D123" i="11"/>
  <c r="D118" i="11"/>
  <c r="F123" i="11"/>
  <c r="F118" i="11"/>
  <c r="F117" i="11"/>
  <c r="F116" i="11"/>
  <c r="J113" i="11"/>
  <c r="K119" i="11"/>
  <c r="K117" i="11" s="1"/>
  <c r="K114" i="11"/>
  <c r="I119" i="11"/>
  <c r="I116" i="11" s="1"/>
  <c r="L123" i="11"/>
  <c r="L121" i="11" s="1"/>
  <c r="L122" i="11"/>
  <c r="L120" i="11"/>
  <c r="L118" i="11"/>
  <c r="M123" i="11"/>
  <c r="M121" i="11" s="1"/>
  <c r="J119" i="11"/>
  <c r="J118" i="11"/>
  <c r="J117" i="11"/>
  <c r="J116" i="11"/>
  <c r="K112" i="11"/>
  <c r="L116" i="11"/>
  <c r="J112" i="11"/>
  <c r="G118" i="11"/>
  <c r="G123" i="11"/>
  <c r="N128" i="11"/>
  <c r="N135" i="11"/>
  <c r="N134" i="11"/>
  <c r="N133" i="11"/>
  <c r="C112" i="11"/>
  <c r="C119" i="11"/>
  <c r="H115" i="11"/>
  <c r="H114" i="11" s="1"/>
  <c r="H108" i="11"/>
  <c r="H110" i="11"/>
  <c r="H109" i="11"/>
  <c r="J75" i="82" l="1"/>
  <c r="AH75" i="82"/>
  <c r="AR75" i="82"/>
  <c r="BN75" i="82"/>
  <c r="B75" i="82"/>
  <c r="A76" i="82" s="1"/>
  <c r="P75" i="82"/>
  <c r="Q75" i="82"/>
  <c r="AJ75" i="82"/>
  <c r="K75" i="82"/>
  <c r="CI75" i="82"/>
  <c r="BF75" i="82"/>
  <c r="DD75" i="82"/>
  <c r="CP75" i="82"/>
  <c r="L75" i="82"/>
  <c r="E75" i="82"/>
  <c r="DF75" i="82"/>
  <c r="AF75" i="82"/>
  <c r="H75" i="82"/>
  <c r="D75" i="82"/>
  <c r="AD75" i="82"/>
  <c r="O75" i="82"/>
  <c r="CM75" i="82"/>
  <c r="AL75" i="82"/>
  <c r="AS75" i="82"/>
  <c r="M75" i="82"/>
  <c r="CK75" i="82"/>
  <c r="DA75" i="82"/>
  <c r="I75" i="82"/>
  <c r="AP75" i="82"/>
  <c r="CZ75" i="82"/>
  <c r="R75" i="82"/>
  <c r="AW75" i="82"/>
  <c r="BA76" i="82"/>
  <c r="BK75" i="82"/>
  <c r="AB75" i="82"/>
  <c r="AY75" i="82"/>
  <c r="BG75" i="82"/>
  <c r="Y75" i="82"/>
  <c r="T75" i="82"/>
  <c r="AI75" i="82"/>
  <c r="DM75" i="82"/>
  <c r="CR75" i="82"/>
  <c r="F75" i="82"/>
  <c r="AO75" i="82"/>
  <c r="DL75" i="82"/>
  <c r="G75" i="82"/>
  <c r="CH75" i="82"/>
  <c r="AG75" i="82"/>
  <c r="CO75" i="82"/>
  <c r="AX76" i="82"/>
  <c r="CE75" i="82"/>
  <c r="DC67" i="82"/>
  <c r="U68" i="82"/>
  <c r="C118" i="11"/>
  <c r="T8" i="11" a="1"/>
  <c r="T8" i="11" s="1"/>
  <c r="H112" i="11"/>
  <c r="I118" i="11"/>
  <c r="M120" i="11"/>
  <c r="D127" i="11"/>
  <c r="D126" i="11" s="1"/>
  <c r="D124" i="11"/>
  <c r="D125" i="11"/>
  <c r="D122" i="11"/>
  <c r="D121" i="11"/>
  <c r="D120" i="11"/>
  <c r="F127" i="11"/>
  <c r="F124" i="11" s="1"/>
  <c r="F122" i="11"/>
  <c r="F120" i="11"/>
  <c r="F121" i="11"/>
  <c r="J123" i="11"/>
  <c r="J122" i="11"/>
  <c r="K123" i="11"/>
  <c r="K120" i="11" s="1"/>
  <c r="L127" i="11"/>
  <c r="L124" i="11"/>
  <c r="L126" i="11"/>
  <c r="M127" i="11"/>
  <c r="M124" i="11"/>
  <c r="M126" i="11"/>
  <c r="M125" i="11"/>
  <c r="K118" i="11"/>
  <c r="I123" i="11"/>
  <c r="I120" i="11"/>
  <c r="I122" i="11"/>
  <c r="I121" i="11"/>
  <c r="K116" i="11"/>
  <c r="M122" i="11"/>
  <c r="I117" i="11"/>
  <c r="C117" i="11"/>
  <c r="G122" i="11"/>
  <c r="G127" i="11"/>
  <c r="G126" i="11"/>
  <c r="G125" i="11"/>
  <c r="C116" i="11"/>
  <c r="C123" i="11"/>
  <c r="G120" i="11"/>
  <c r="N132" i="11"/>
  <c r="N139" i="11"/>
  <c r="N137" i="11"/>
  <c r="N138" i="11"/>
  <c r="G121" i="11"/>
  <c r="H119" i="11"/>
  <c r="H118" i="11" s="1"/>
  <c r="H113" i="11"/>
  <c r="F76" i="82" l="1"/>
  <c r="AX77" i="82"/>
  <c r="AB76" i="82"/>
  <c r="G76" i="82"/>
  <c r="E76" i="82"/>
  <c r="AP76" i="82"/>
  <c r="CI76" i="82"/>
  <c r="AH76" i="82"/>
  <c r="D76" i="82"/>
  <c r="AO76" i="82"/>
  <c r="DA76" i="82"/>
  <c r="BA77" i="82"/>
  <c r="R76" i="82"/>
  <c r="BF76" i="82"/>
  <c r="BG76" i="82"/>
  <c r="Q76" i="82"/>
  <c r="CK76" i="82"/>
  <c r="AR76" i="82"/>
  <c r="CH76" i="82"/>
  <c r="AG76" i="82"/>
  <c r="BN76" i="82"/>
  <c r="DL76" i="82"/>
  <c r="AY76" i="82"/>
  <c r="AW76" i="82"/>
  <c r="T76" i="82"/>
  <c r="DF76" i="82"/>
  <c r="AJ76" i="82"/>
  <c r="L76" i="82"/>
  <c r="AD76" i="82"/>
  <c r="AI76" i="82"/>
  <c r="H76" i="82"/>
  <c r="CO76" i="82"/>
  <c r="CE76" i="82"/>
  <c r="Y76" i="82"/>
  <c r="I76" i="82"/>
  <c r="AS76" i="82"/>
  <c r="AL76" i="82"/>
  <c r="B76" i="82"/>
  <c r="C76" i="82" s="1"/>
  <c r="M76" i="82"/>
  <c r="CR76" i="82"/>
  <c r="DM76" i="82"/>
  <c r="P76" i="82"/>
  <c r="CM76" i="82"/>
  <c r="K76" i="82"/>
  <c r="CZ76" i="82"/>
  <c r="BK76" i="82"/>
  <c r="CP76" i="82"/>
  <c r="O76" i="82"/>
  <c r="AF76" i="82"/>
  <c r="DD76" i="82"/>
  <c r="J76" i="82"/>
  <c r="C75" i="82"/>
  <c r="DC68" i="82"/>
  <c r="U69" i="82"/>
  <c r="D131" i="11"/>
  <c r="F131" i="11"/>
  <c r="F126" i="11"/>
  <c r="F125" i="11"/>
  <c r="K127" i="11"/>
  <c r="K121" i="11"/>
  <c r="J127" i="11"/>
  <c r="J125" i="11" s="1"/>
  <c r="J126" i="11"/>
  <c r="M131" i="11"/>
  <c r="K122" i="11"/>
  <c r="J120" i="11"/>
  <c r="I127" i="11"/>
  <c r="I124" i="11" s="1"/>
  <c r="L131" i="11"/>
  <c r="L130" i="11" s="1"/>
  <c r="L128" i="11"/>
  <c r="L125" i="11"/>
  <c r="J121" i="11"/>
  <c r="C122" i="11"/>
  <c r="C127" i="11"/>
  <c r="C121" i="11"/>
  <c r="N136" i="11"/>
  <c r="N143" i="11"/>
  <c r="N142" i="11"/>
  <c r="G124" i="11"/>
  <c r="G131" i="11"/>
  <c r="G130" i="11"/>
  <c r="G128" i="11"/>
  <c r="G129" i="11"/>
  <c r="H117" i="11"/>
  <c r="C120" i="11"/>
  <c r="H123" i="11"/>
  <c r="H116" i="11"/>
  <c r="A77" i="82" l="1"/>
  <c r="DC69" i="82"/>
  <c r="U70" i="82"/>
  <c r="C126" i="11"/>
  <c r="C125" i="11"/>
  <c r="D135" i="11"/>
  <c r="D133" i="11"/>
  <c r="D132" i="11"/>
  <c r="D130" i="11"/>
  <c r="D129" i="11"/>
  <c r="D128" i="11"/>
  <c r="F135" i="11"/>
  <c r="F129" i="11"/>
  <c r="F130" i="11"/>
  <c r="F128" i="11"/>
  <c r="L135" i="11"/>
  <c r="L132" i="11"/>
  <c r="L134" i="11"/>
  <c r="L133" i="11"/>
  <c r="K131" i="11"/>
  <c r="K129" i="11" s="1"/>
  <c r="K126" i="11"/>
  <c r="J131" i="11"/>
  <c r="J128" i="11" s="1"/>
  <c r="J130" i="11"/>
  <c r="M135" i="11"/>
  <c r="M132" i="11"/>
  <c r="M134" i="11"/>
  <c r="L129" i="11"/>
  <c r="M128" i="11"/>
  <c r="I131" i="11"/>
  <c r="I128" i="11" s="1"/>
  <c r="M129" i="11"/>
  <c r="K125" i="11"/>
  <c r="I125" i="11"/>
  <c r="M130" i="11"/>
  <c r="I126" i="11"/>
  <c r="J124" i="11"/>
  <c r="K124" i="11"/>
  <c r="G135" i="11"/>
  <c r="G134" i="11"/>
  <c r="G133" i="11"/>
  <c r="G132" i="11"/>
  <c r="N140" i="11"/>
  <c r="N147" i="11"/>
  <c r="N146" i="11" s="1"/>
  <c r="H120" i="11"/>
  <c r="H127" i="11"/>
  <c r="H126" i="11"/>
  <c r="H125" i="11"/>
  <c r="C124" i="11"/>
  <c r="C131" i="11"/>
  <c r="C129" i="11" s="1"/>
  <c r="H121" i="11"/>
  <c r="N141" i="11"/>
  <c r="H122" i="11"/>
  <c r="AS77" i="82" l="1"/>
  <c r="DF77" i="82"/>
  <c r="AX78" i="82"/>
  <c r="BK77" i="82"/>
  <c r="CI77" i="82"/>
  <c r="F77" i="82"/>
  <c r="Q77" i="82"/>
  <c r="AD77" i="82"/>
  <c r="AJ77" i="82"/>
  <c r="O77" i="82"/>
  <c r="J77" i="82"/>
  <c r="AB77" i="82"/>
  <c r="D77" i="82"/>
  <c r="R77" i="82"/>
  <c r="CR77" i="82"/>
  <c r="DD77" i="82"/>
  <c r="CO77" i="82"/>
  <c r="AP77" i="82"/>
  <c r="AH77" i="82"/>
  <c r="AW77" i="82"/>
  <c r="AF77" i="82"/>
  <c r="H77" i="82"/>
  <c r="CM77" i="82"/>
  <c r="AL77" i="82"/>
  <c r="DM77" i="82"/>
  <c r="CH77" i="82"/>
  <c r="P77" i="82"/>
  <c r="CZ77" i="82"/>
  <c r="B77" i="82"/>
  <c r="A78" i="82" s="1"/>
  <c r="DA77" i="82"/>
  <c r="CE77" i="82"/>
  <c r="AO77" i="82"/>
  <c r="L77" i="82"/>
  <c r="BA78" i="82"/>
  <c r="CP77" i="82"/>
  <c r="AY77" i="82"/>
  <c r="DL77" i="82"/>
  <c r="BN77" i="82"/>
  <c r="AR77" i="82"/>
  <c r="AI77" i="82"/>
  <c r="T77" i="82"/>
  <c r="G77" i="82"/>
  <c r="AG77" i="82"/>
  <c r="I77" i="82"/>
  <c r="M77" i="82"/>
  <c r="BF77" i="82"/>
  <c r="K77" i="82"/>
  <c r="Y77" i="82"/>
  <c r="CK77" i="82"/>
  <c r="E77" i="82"/>
  <c r="BG77" i="82"/>
  <c r="DC70" i="82"/>
  <c r="U71" i="82"/>
  <c r="I129" i="11"/>
  <c r="N145" i="11"/>
  <c r="I130" i="11"/>
  <c r="C128" i="11"/>
  <c r="K128" i="11"/>
  <c r="K130" i="11"/>
  <c r="D139" i="11"/>
  <c r="D138" i="11" s="1"/>
  <c r="D134" i="11"/>
  <c r="F139" i="11"/>
  <c r="F136" i="11" s="1"/>
  <c r="F134" i="11"/>
  <c r="F133" i="11"/>
  <c r="F132" i="11"/>
  <c r="I135" i="11"/>
  <c r="I133" i="11" s="1"/>
  <c r="J135" i="11"/>
  <c r="J133" i="11" s="1"/>
  <c r="J132" i="11"/>
  <c r="K135" i="11"/>
  <c r="J129" i="11"/>
  <c r="M139" i="11"/>
  <c r="M136" i="11" s="1"/>
  <c r="M133" i="11"/>
  <c r="L139" i="11"/>
  <c r="L138" i="11" s="1"/>
  <c r="N144" i="11"/>
  <c r="N151" i="11"/>
  <c r="H124" i="11"/>
  <c r="H131" i="11"/>
  <c r="H130" i="11" s="1"/>
  <c r="C130" i="11"/>
  <c r="C135" i="11"/>
  <c r="C134" i="11" s="1"/>
  <c r="G139" i="11"/>
  <c r="G136" i="11" s="1"/>
  <c r="E78" i="82" l="1"/>
  <c r="Q78" i="82"/>
  <c r="BA79" i="82"/>
  <c r="AH78" i="82"/>
  <c r="CM78" i="82"/>
  <c r="AG78" i="82"/>
  <c r="J78" i="82"/>
  <c r="T78" i="82"/>
  <c r="AS78" i="82"/>
  <c r="O78" i="82"/>
  <c r="AO78" i="82"/>
  <c r="K78" i="82"/>
  <c r="DM78" i="82"/>
  <c r="DD78" i="82"/>
  <c r="CI78" i="82"/>
  <c r="AY78" i="82"/>
  <c r="DF78" i="82"/>
  <c r="D78" i="82"/>
  <c r="AI78" i="82"/>
  <c r="CH78" i="82"/>
  <c r="L78" i="82"/>
  <c r="AP78" i="82"/>
  <c r="F78" i="82"/>
  <c r="R78" i="82"/>
  <c r="AW78" i="82"/>
  <c r="M78" i="82"/>
  <c r="DA78" i="82"/>
  <c r="BF78" i="82"/>
  <c r="AD78" i="82"/>
  <c r="H78" i="82"/>
  <c r="CE78" i="82"/>
  <c r="CR78" i="82"/>
  <c r="CP78" i="82"/>
  <c r="BN78" i="82"/>
  <c r="I78" i="82"/>
  <c r="AR78" i="82"/>
  <c r="AL78" i="82"/>
  <c r="AX79" i="82"/>
  <c r="P78" i="82"/>
  <c r="Y78" i="82"/>
  <c r="AJ78" i="82"/>
  <c r="AB78" i="82"/>
  <c r="CZ78" i="82"/>
  <c r="DL78" i="82"/>
  <c r="B78" i="82"/>
  <c r="C78" i="82" s="1"/>
  <c r="CO78" i="82"/>
  <c r="BG78" i="82"/>
  <c r="BK78" i="82"/>
  <c r="AF78" i="82"/>
  <c r="CK78" i="82"/>
  <c r="G78" i="82"/>
  <c r="C77" i="82"/>
  <c r="DC71" i="82"/>
  <c r="U72" i="82"/>
  <c r="L136" i="11"/>
  <c r="M137" i="11"/>
  <c r="M138" i="11"/>
  <c r="H128" i="11"/>
  <c r="F137" i="11"/>
  <c r="D143" i="11"/>
  <c r="D141" i="11" s="1"/>
  <c r="D140" i="11"/>
  <c r="D137" i="11"/>
  <c r="D136" i="11"/>
  <c r="F143" i="11"/>
  <c r="F138" i="11"/>
  <c r="L143" i="11"/>
  <c r="I132" i="11"/>
  <c r="J139" i="11"/>
  <c r="J136" i="11"/>
  <c r="K139" i="11"/>
  <c r="K136" i="11" s="1"/>
  <c r="K134" i="11"/>
  <c r="J134" i="11"/>
  <c r="I139" i="11"/>
  <c r="I137" i="11" s="1"/>
  <c r="L137" i="11"/>
  <c r="K133" i="11"/>
  <c r="M143" i="11"/>
  <c r="M142" i="11" s="1"/>
  <c r="K132" i="11"/>
  <c r="I134" i="11"/>
  <c r="C133" i="11"/>
  <c r="G143" i="11"/>
  <c r="G140" i="11"/>
  <c r="G138" i="11"/>
  <c r="G137" i="11"/>
  <c r="N150" i="11"/>
  <c r="N155" i="11"/>
  <c r="N153" i="11" s="1"/>
  <c r="C132" i="11"/>
  <c r="C139" i="11"/>
  <c r="C137" i="11" s="1"/>
  <c r="C138" i="11"/>
  <c r="N149" i="11"/>
  <c r="H129" i="11"/>
  <c r="H135" i="11"/>
  <c r="H134" i="11" s="1"/>
  <c r="N148" i="11"/>
  <c r="A79" i="82" l="1"/>
  <c r="AX80" i="82" s="1"/>
  <c r="DC72" i="82"/>
  <c r="U73" i="82"/>
  <c r="K138" i="11"/>
  <c r="M141" i="11"/>
  <c r="M140" i="11"/>
  <c r="H133" i="11"/>
  <c r="H132" i="11"/>
  <c r="D147" i="11"/>
  <c r="D142" i="11"/>
  <c r="F147" i="11"/>
  <c r="F144" i="11" s="1"/>
  <c r="F142" i="11"/>
  <c r="F141" i="11"/>
  <c r="F140" i="11"/>
  <c r="J143" i="11"/>
  <c r="J142" i="11" s="1"/>
  <c r="L147" i="11"/>
  <c r="L144" i="11" s="1"/>
  <c r="K143" i="11"/>
  <c r="K140" i="11" s="1"/>
  <c r="K142" i="11"/>
  <c r="L141" i="11"/>
  <c r="I143" i="11"/>
  <c r="I142" i="11" s="1"/>
  <c r="J137" i="11"/>
  <c r="I138" i="11"/>
  <c r="K137" i="11"/>
  <c r="L142" i="11"/>
  <c r="M147" i="11"/>
  <c r="M144" i="11" s="1"/>
  <c r="I136" i="11"/>
  <c r="J138" i="11"/>
  <c r="L140" i="11"/>
  <c r="G147" i="11"/>
  <c r="G145" i="11" s="1"/>
  <c r="G144" i="11"/>
  <c r="C136" i="11"/>
  <c r="C143" i="11"/>
  <c r="C142" i="11"/>
  <c r="C141" i="11"/>
  <c r="G141" i="11"/>
  <c r="N152" i="11"/>
  <c r="N159" i="11"/>
  <c r="N157" i="11" s="1"/>
  <c r="H139" i="11"/>
  <c r="H137" i="11"/>
  <c r="N154" i="11"/>
  <c r="G142" i="11"/>
  <c r="BA80" i="82" l="1"/>
  <c r="AW79" i="82"/>
  <c r="AI79" i="82"/>
  <c r="AJ79" i="82"/>
  <c r="Q79" i="82"/>
  <c r="AL79" i="82"/>
  <c r="DA79" i="82"/>
  <c r="BK79" i="82"/>
  <c r="L79" i="82"/>
  <c r="H79" i="82"/>
  <c r="T79" i="82"/>
  <c r="E79" i="82"/>
  <c r="AF79" i="82"/>
  <c r="J79" i="82"/>
  <c r="DM79" i="82"/>
  <c r="O79" i="82"/>
  <c r="AH79" i="82"/>
  <c r="AP79" i="82"/>
  <c r="BF79" i="82"/>
  <c r="AD79" i="82"/>
  <c r="B79" i="82"/>
  <c r="A80" i="82" s="1"/>
  <c r="B80" i="82" s="1"/>
  <c r="C80" i="82" s="1"/>
  <c r="DL79" i="82"/>
  <c r="AB79" i="82"/>
  <c r="P79" i="82"/>
  <c r="AS79" i="82"/>
  <c r="M79" i="82"/>
  <c r="I79" i="82"/>
  <c r="K79" i="82"/>
  <c r="BN79" i="82"/>
  <c r="CM79" i="82"/>
  <c r="CK79" i="82"/>
  <c r="DD79" i="82"/>
  <c r="AR79" i="82"/>
  <c r="CO79" i="82"/>
  <c r="AG79" i="82"/>
  <c r="CP79" i="82"/>
  <c r="Y79" i="82"/>
  <c r="CI79" i="82"/>
  <c r="CZ79" i="82"/>
  <c r="AY79" i="82"/>
  <c r="DF79" i="82"/>
  <c r="CH79" i="82"/>
  <c r="CE79" i="82"/>
  <c r="F79" i="82"/>
  <c r="D79" i="82"/>
  <c r="G79" i="82"/>
  <c r="BG79" i="82"/>
  <c r="AO79" i="82"/>
  <c r="R79" i="82"/>
  <c r="CR79" i="82"/>
  <c r="DC73" i="82"/>
  <c r="U74" i="82"/>
  <c r="G146" i="11"/>
  <c r="M146" i="11"/>
  <c r="N158" i="11"/>
  <c r="F145" i="11"/>
  <c r="L146" i="11"/>
  <c r="L145" i="11"/>
  <c r="F146" i="11"/>
  <c r="D151" i="11"/>
  <c r="D150" i="11" s="1"/>
  <c r="D145" i="11"/>
  <c r="D146" i="11"/>
  <c r="D144" i="11"/>
  <c r="F151" i="11"/>
  <c r="I147" i="11"/>
  <c r="L151" i="11"/>
  <c r="L149" i="11" s="1"/>
  <c r="L148" i="11"/>
  <c r="M151" i="11"/>
  <c r="M149" i="11" s="1"/>
  <c r="I141" i="11"/>
  <c r="J147" i="11"/>
  <c r="J144" i="11" s="1"/>
  <c r="K147" i="11"/>
  <c r="K146" i="11"/>
  <c r="K145" i="11"/>
  <c r="J140" i="11"/>
  <c r="M145" i="11"/>
  <c r="I140" i="11"/>
  <c r="K141" i="11"/>
  <c r="J141" i="11"/>
  <c r="H143" i="11"/>
  <c r="H141" i="11"/>
  <c r="H142" i="11"/>
  <c r="C140" i="11"/>
  <c r="C147" i="11"/>
  <c r="C146" i="11"/>
  <c r="C145" i="11"/>
  <c r="H136" i="11"/>
  <c r="N156" i="11"/>
  <c r="N163" i="11"/>
  <c r="N161" i="11" s="1"/>
  <c r="H138" i="11"/>
  <c r="G151" i="11"/>
  <c r="G148" i="11" s="1"/>
  <c r="AO80" i="82" l="1"/>
  <c r="DD80" i="82"/>
  <c r="AY80" i="82"/>
  <c r="G80" i="82"/>
  <c r="P80" i="82"/>
  <c r="BG80" i="82"/>
  <c r="CK80" i="82"/>
  <c r="AB80" i="82"/>
  <c r="CI80" i="82"/>
  <c r="CM80" i="82"/>
  <c r="DM80" i="82"/>
  <c r="Y80" i="82"/>
  <c r="AH80" i="82"/>
  <c r="DL80" i="82"/>
  <c r="BN80" i="82"/>
  <c r="Q80" i="82"/>
  <c r="D80" i="82"/>
  <c r="F80" i="82"/>
  <c r="T80" i="82"/>
  <c r="I80" i="82"/>
  <c r="H80" i="82"/>
  <c r="C79" i="82"/>
  <c r="AS80" i="82"/>
  <c r="L80" i="82"/>
  <c r="BA81" i="82"/>
  <c r="M80" i="82"/>
  <c r="K80" i="82"/>
  <c r="AR80" i="82"/>
  <c r="DF80" i="82"/>
  <c r="AF80" i="82"/>
  <c r="CR80" i="82"/>
  <c r="E80" i="82"/>
  <c r="DA80" i="82"/>
  <c r="BF80" i="82"/>
  <c r="AI80" i="82"/>
  <c r="AL80" i="82"/>
  <c r="AP80" i="82"/>
  <c r="CP80" i="82"/>
  <c r="AJ80" i="82"/>
  <c r="CO80" i="82"/>
  <c r="AG80" i="82"/>
  <c r="CH80" i="82"/>
  <c r="AX81" i="82"/>
  <c r="AW80" i="82"/>
  <c r="O80" i="82"/>
  <c r="CE80" i="82"/>
  <c r="J80" i="82"/>
  <c r="CZ80" i="82"/>
  <c r="BK80" i="82"/>
  <c r="AD80" i="82"/>
  <c r="R80" i="82"/>
  <c r="A81" i="82"/>
  <c r="DC74" i="82"/>
  <c r="U75" i="82"/>
  <c r="M148" i="11"/>
  <c r="D148" i="11"/>
  <c r="D149" i="11"/>
  <c r="J145" i="11"/>
  <c r="J146" i="11"/>
  <c r="F155" i="11"/>
  <c r="F152" i="11" s="1"/>
  <c r="F154" i="11"/>
  <c r="F150" i="11"/>
  <c r="F149" i="11"/>
  <c r="F148" i="11"/>
  <c r="I151" i="11"/>
  <c r="I149" i="11"/>
  <c r="I148" i="11"/>
  <c r="I150" i="11"/>
  <c r="L155" i="11"/>
  <c r="L154" i="11" s="1"/>
  <c r="L150" i="11"/>
  <c r="K151" i="11"/>
  <c r="K148" i="11"/>
  <c r="I144" i="11"/>
  <c r="K144" i="11"/>
  <c r="M155" i="11"/>
  <c r="T7" i="11" s="1" a="1"/>
  <c r="T7" i="11" s="1"/>
  <c r="I145" i="11"/>
  <c r="J151" i="11"/>
  <c r="J149" i="11" s="1"/>
  <c r="M150" i="11"/>
  <c r="I146" i="11"/>
  <c r="G150" i="11"/>
  <c r="N162" i="11"/>
  <c r="G149" i="11"/>
  <c r="N160" i="11"/>
  <c r="C144" i="11"/>
  <c r="C151" i="11"/>
  <c r="C149" i="11"/>
  <c r="C148" i="11"/>
  <c r="H147" i="11"/>
  <c r="H146" i="11" s="1"/>
  <c r="H145" i="11"/>
  <c r="G155" i="11"/>
  <c r="G152" i="11"/>
  <c r="H140" i="11"/>
  <c r="B81" i="82" l="1"/>
  <c r="A82" i="82" s="1"/>
  <c r="CI81" i="82"/>
  <c r="BG81" i="82"/>
  <c r="CK81" i="82"/>
  <c r="H81" i="82"/>
  <c r="DA81" i="82"/>
  <c r="O81" i="82"/>
  <c r="DD81" i="82"/>
  <c r="AI81" i="82"/>
  <c r="BA82" i="82"/>
  <c r="AO81" i="82"/>
  <c r="DF81" i="82"/>
  <c r="DM81" i="82"/>
  <c r="CO81" i="82"/>
  <c r="CE81" i="82"/>
  <c r="AL81" i="82"/>
  <c r="K81" i="82"/>
  <c r="AX82" i="82"/>
  <c r="AH81" i="82"/>
  <c r="D81" i="82"/>
  <c r="F81" i="82"/>
  <c r="Q81" i="82"/>
  <c r="BN81" i="82"/>
  <c r="CP81" i="82"/>
  <c r="CR81" i="82"/>
  <c r="AP81" i="82"/>
  <c r="DL81" i="82"/>
  <c r="R81" i="82"/>
  <c r="AS81" i="82"/>
  <c r="Y81" i="82"/>
  <c r="AG81" i="82"/>
  <c r="P81" i="82"/>
  <c r="AR81" i="82"/>
  <c r="I81" i="82"/>
  <c r="BF81" i="82"/>
  <c r="AB81" i="82"/>
  <c r="CM81" i="82"/>
  <c r="CH81" i="82"/>
  <c r="AJ81" i="82"/>
  <c r="CZ81" i="82"/>
  <c r="J81" i="82"/>
  <c r="AD81" i="82"/>
  <c r="L81" i="82"/>
  <c r="AF81" i="82"/>
  <c r="M81" i="82"/>
  <c r="AW81" i="82"/>
  <c r="AY81" i="82"/>
  <c r="T81" i="82"/>
  <c r="G81" i="82"/>
  <c r="BK81" i="82"/>
  <c r="E81" i="82"/>
  <c r="DC75" i="82"/>
  <c r="U76" i="82"/>
  <c r="U8" i="11"/>
  <c r="V8" i="11" s="1"/>
  <c r="T10" i="11" s="1"/>
  <c r="S11" i="82" s="1"/>
  <c r="L152" i="11"/>
  <c r="J148" i="11"/>
  <c r="J150" i="11"/>
  <c r="F153" i="11"/>
  <c r="L153" i="11"/>
  <c r="F159" i="11"/>
  <c r="F156" i="11" s="1"/>
  <c r="L159" i="11"/>
  <c r="L158" i="11"/>
  <c r="K155" i="11"/>
  <c r="K153" i="11"/>
  <c r="M159" i="11"/>
  <c r="M156" i="11" s="1"/>
  <c r="K150" i="11"/>
  <c r="M152" i="11"/>
  <c r="K149" i="11"/>
  <c r="J155" i="11"/>
  <c r="J154" i="11" s="1"/>
  <c r="J152" i="11"/>
  <c r="M154" i="11"/>
  <c r="M153" i="11"/>
  <c r="I155" i="11"/>
  <c r="I153" i="11" s="1"/>
  <c r="H151" i="11"/>
  <c r="H149" i="11" s="1"/>
  <c r="G159" i="11"/>
  <c r="G157" i="11" s="1"/>
  <c r="G156" i="11"/>
  <c r="G153" i="11"/>
  <c r="C150" i="11"/>
  <c r="H144" i="11"/>
  <c r="G154" i="11"/>
  <c r="C81" i="82" l="1"/>
  <c r="AG82" i="82"/>
  <c r="AS82" i="82"/>
  <c r="DD82" i="82"/>
  <c r="DM82" i="82"/>
  <c r="AW82" i="82"/>
  <c r="CM82" i="82"/>
  <c r="CI82" i="82"/>
  <c r="J82" i="82"/>
  <c r="G82" i="82"/>
  <c r="BF82" i="82"/>
  <c r="AR82" i="82"/>
  <c r="O82" i="82"/>
  <c r="CE82" i="82"/>
  <c r="R82" i="82"/>
  <c r="CZ82" i="82"/>
  <c r="AP82" i="82"/>
  <c r="AB82" i="82"/>
  <c r="CK82" i="82"/>
  <c r="I82" i="82"/>
  <c r="Y82" i="82"/>
  <c r="AH82" i="82"/>
  <c r="BG82" i="82"/>
  <c r="BA83" i="82"/>
  <c r="E82" i="82"/>
  <c r="DL82" i="82"/>
  <c r="B82" i="82"/>
  <c r="C82" i="82" s="1"/>
  <c r="M82" i="82"/>
  <c r="CR82" i="82"/>
  <c r="Q82" i="82"/>
  <c r="AF82" i="82"/>
  <c r="T82" i="82"/>
  <c r="AX83" i="82"/>
  <c r="DF82" i="82"/>
  <c r="DA82" i="82"/>
  <c r="AD82" i="82"/>
  <c r="BN82" i="82"/>
  <c r="CP82" i="82"/>
  <c r="F82" i="82"/>
  <c r="H82" i="82"/>
  <c r="AJ82" i="82"/>
  <c r="L82" i="82"/>
  <c r="BK82" i="82"/>
  <c r="CO82" i="82"/>
  <c r="D82" i="82"/>
  <c r="K82" i="82"/>
  <c r="P82" i="82"/>
  <c r="AY82" i="82"/>
  <c r="AI82" i="82"/>
  <c r="AL82" i="82"/>
  <c r="AO82" i="82"/>
  <c r="CH82" i="82"/>
  <c r="DC76" i="82"/>
  <c r="U77" i="82"/>
  <c r="Z11" i="82"/>
  <c r="AE11" i="82" s="1"/>
  <c r="S12" i="82"/>
  <c r="S13" i="82" s="1"/>
  <c r="S14" i="82" s="1"/>
  <c r="S15" i="82" s="1"/>
  <c r="S16" i="82" s="1"/>
  <c r="S17" i="82" s="1"/>
  <c r="S18" i="82" s="1"/>
  <c r="S19" i="82" s="1"/>
  <c r="S20" i="82" s="1"/>
  <c r="S21" i="82" s="1"/>
  <c r="S22" i="82" s="1"/>
  <c r="S23" i="82" s="1"/>
  <c r="S24" i="82" s="1"/>
  <c r="S25" i="82" s="1"/>
  <c r="S26" i="82" s="1"/>
  <c r="S27" i="82" s="1"/>
  <c r="S28" i="82" s="1"/>
  <c r="S29" i="82" s="1"/>
  <c r="S30" i="82" s="1"/>
  <c r="S31" i="82" s="1"/>
  <c r="S32" i="82" s="1"/>
  <c r="S33" i="82" s="1"/>
  <c r="S34" i="82" s="1"/>
  <c r="S35" i="82" s="1"/>
  <c r="S36" i="82" s="1"/>
  <c r="S37" i="82" s="1"/>
  <c r="S38" i="82" s="1"/>
  <c r="S39" i="82" s="1"/>
  <c r="S40" i="82" s="1"/>
  <c r="S41" i="82" s="1"/>
  <c r="S42" i="82" s="1"/>
  <c r="S43" i="82" s="1"/>
  <c r="S44" i="82" s="1"/>
  <c r="S45" i="82" s="1"/>
  <c r="S46" i="82" s="1"/>
  <c r="S47" i="82" s="1"/>
  <c r="S48" i="82" s="1"/>
  <c r="S49" i="82" s="1"/>
  <c r="S50" i="82" s="1"/>
  <c r="S51" i="82" s="1"/>
  <c r="S52" i="82" s="1"/>
  <c r="S53" i="82" s="1"/>
  <c r="S54" i="82" s="1"/>
  <c r="S55" i="82" s="1"/>
  <c r="S56" i="82" s="1"/>
  <c r="S57" i="82" s="1"/>
  <c r="S58" i="82" s="1"/>
  <c r="S59" i="82" s="1"/>
  <c r="S60" i="82" s="1"/>
  <c r="S61" i="82" s="1"/>
  <c r="S62" i="82" s="1"/>
  <c r="S63" i="82" s="1"/>
  <c r="S64" i="82" s="1"/>
  <c r="S65" i="82" s="1"/>
  <c r="S66" i="82" s="1"/>
  <c r="S67" i="82" s="1"/>
  <c r="S68" i="82" s="1"/>
  <c r="S69" i="82" s="1"/>
  <c r="S70" i="82" s="1"/>
  <c r="S71" i="82" s="1"/>
  <c r="S72" i="82" s="1"/>
  <c r="S73" i="82" s="1"/>
  <c r="S74" i="82" s="1"/>
  <c r="S75" i="82" s="1"/>
  <c r="S76" i="82" s="1"/>
  <c r="S77" i="82" s="1"/>
  <c r="S78" i="82" s="1"/>
  <c r="S79" i="82" s="1"/>
  <c r="S80" i="82" s="1"/>
  <c r="S81" i="82" s="1"/>
  <c r="S82" i="82" s="1"/>
  <c r="V10" i="11"/>
  <c r="V12" i="11" s="1"/>
  <c r="S11" i="30"/>
  <c r="H150" i="11"/>
  <c r="M157" i="11"/>
  <c r="F158" i="11"/>
  <c r="F163" i="11"/>
  <c r="F157" i="11"/>
  <c r="I154" i="11"/>
  <c r="K159" i="11"/>
  <c r="K158" i="11" s="1"/>
  <c r="K154" i="11"/>
  <c r="K152" i="11"/>
  <c r="L163" i="11"/>
  <c r="L160" i="11" s="1"/>
  <c r="M163" i="11"/>
  <c r="M162" i="11" s="1"/>
  <c r="M160" i="11"/>
  <c r="L157" i="11"/>
  <c r="I159" i="11"/>
  <c r="I156" i="11" s="1"/>
  <c r="J159" i="11"/>
  <c r="J158" i="11" s="1"/>
  <c r="I152" i="11"/>
  <c r="J153" i="11"/>
  <c r="M158" i="11"/>
  <c r="L156" i="11"/>
  <c r="G163" i="11"/>
  <c r="G160" i="11" s="1"/>
  <c r="G161" i="11"/>
  <c r="G158" i="11"/>
  <c r="H155" i="11"/>
  <c r="H154" i="11" s="1"/>
  <c r="H148" i="11"/>
  <c r="A83" i="82" l="1"/>
  <c r="S83" i="82" s="1"/>
  <c r="AE5" i="82"/>
  <c r="AE12" i="82"/>
  <c r="AE13" i="82" s="1"/>
  <c r="AE14" i="82" s="1"/>
  <c r="AE15" i="82" s="1"/>
  <c r="AE16" i="82" s="1"/>
  <c r="AE17" i="82" s="1"/>
  <c r="AE18" i="82" s="1"/>
  <c r="AE19" i="82" s="1"/>
  <c r="AE20" i="82" s="1"/>
  <c r="AE21" i="82" s="1"/>
  <c r="AE22" i="82" s="1"/>
  <c r="AE23" i="82" s="1"/>
  <c r="AE24" i="82" s="1"/>
  <c r="AE25" i="82" s="1"/>
  <c r="AE26" i="82" s="1"/>
  <c r="AE27" i="82" s="1"/>
  <c r="AE28" i="82" s="1"/>
  <c r="AE29" i="82" s="1"/>
  <c r="AE30" i="82" s="1"/>
  <c r="AE31" i="82" s="1"/>
  <c r="AE32" i="82" s="1"/>
  <c r="AE33" i="82" s="1"/>
  <c r="AE34" i="82" s="1"/>
  <c r="AE35" i="82" s="1"/>
  <c r="AE36" i="82" s="1"/>
  <c r="AE37" i="82" s="1"/>
  <c r="AE38" i="82" s="1"/>
  <c r="AE39" i="82" s="1"/>
  <c r="AE40" i="82" s="1"/>
  <c r="AE41" i="82" s="1"/>
  <c r="AE42" i="82" s="1"/>
  <c r="AE43" i="82" s="1"/>
  <c r="AE44" i="82" s="1"/>
  <c r="AE45" i="82" s="1"/>
  <c r="AE46" i="82" s="1"/>
  <c r="AE47" i="82" s="1"/>
  <c r="AE48" i="82" s="1"/>
  <c r="AE49" i="82" s="1"/>
  <c r="AE50" i="82" s="1"/>
  <c r="AE51" i="82" s="1"/>
  <c r="AE52" i="82" s="1"/>
  <c r="AE53" i="82" s="1"/>
  <c r="AE54" i="82" s="1"/>
  <c r="AE55" i="82" s="1"/>
  <c r="AE56" i="82" s="1"/>
  <c r="AE57" i="82" s="1"/>
  <c r="AE58" i="82" s="1"/>
  <c r="AE59" i="82" s="1"/>
  <c r="AE60" i="82" s="1"/>
  <c r="AE61" i="82" s="1"/>
  <c r="AE62" i="82" s="1"/>
  <c r="AE63" i="82" s="1"/>
  <c r="AE64" i="82" s="1"/>
  <c r="AE65" i="82" s="1"/>
  <c r="AE66" i="82" s="1"/>
  <c r="AE67" i="82" s="1"/>
  <c r="AE68" i="82" s="1"/>
  <c r="AE69" i="82" s="1"/>
  <c r="AE70" i="82" s="1"/>
  <c r="AE71" i="82" s="1"/>
  <c r="AE72" i="82" s="1"/>
  <c r="AE73" i="82" s="1"/>
  <c r="AE74" i="82" s="1"/>
  <c r="AE75" i="82" s="1"/>
  <c r="AE76" i="82" s="1"/>
  <c r="AE77" i="82" s="1"/>
  <c r="AE78" i="82" s="1"/>
  <c r="AE79" i="82" s="1"/>
  <c r="AE80" i="82" s="1"/>
  <c r="AE81" i="82" s="1"/>
  <c r="AE82" i="82" s="1"/>
  <c r="AE83" i="82" s="1"/>
  <c r="DC77" i="82"/>
  <c r="U78" i="82"/>
  <c r="AA11" i="82"/>
  <c r="Z12" i="82"/>
  <c r="Z13" i="82" s="1"/>
  <c r="Z14" i="82" s="1"/>
  <c r="Z15" i="82" s="1"/>
  <c r="Z16" i="82" s="1"/>
  <c r="Z17" i="82" s="1"/>
  <c r="Z18" i="82" s="1"/>
  <c r="Z19" i="82" s="1"/>
  <c r="Z20" i="82" s="1"/>
  <c r="Z21" i="82" s="1"/>
  <c r="Z22" i="82" s="1"/>
  <c r="Z23" i="82" s="1"/>
  <c r="Z24" i="82" s="1"/>
  <c r="Z25" i="82" s="1"/>
  <c r="Z26" i="82" s="1"/>
  <c r="Z27" i="82" s="1"/>
  <c r="Z28" i="82" s="1"/>
  <c r="Z29" i="82" s="1"/>
  <c r="Z30" i="82" s="1"/>
  <c r="Z31" i="82" s="1"/>
  <c r="Z32" i="82" s="1"/>
  <c r="Z33" i="82" s="1"/>
  <c r="Z34" i="82" s="1"/>
  <c r="Z35" i="82" s="1"/>
  <c r="Z36" i="82" s="1"/>
  <c r="Z37" i="82" s="1"/>
  <c r="Z38" i="82" s="1"/>
  <c r="Z39" i="82" s="1"/>
  <c r="Z40" i="82" s="1"/>
  <c r="Z41" i="82" s="1"/>
  <c r="Z42" i="82" s="1"/>
  <c r="Z43" i="82" s="1"/>
  <c r="Z44" i="82" s="1"/>
  <c r="Z45" i="82" s="1"/>
  <c r="Z46" i="82" s="1"/>
  <c r="Z47" i="82" s="1"/>
  <c r="Z48" i="82" s="1"/>
  <c r="Z49" i="82" s="1"/>
  <c r="Z50" i="82" s="1"/>
  <c r="Z51" i="82" s="1"/>
  <c r="Z52" i="82" s="1"/>
  <c r="Z53" i="82" s="1"/>
  <c r="Z54" i="82" s="1"/>
  <c r="Z55" i="82" s="1"/>
  <c r="Z56" i="82" s="1"/>
  <c r="Z57" i="82" s="1"/>
  <c r="Z58" i="82" s="1"/>
  <c r="Z59" i="82" s="1"/>
  <c r="Z60" i="82" s="1"/>
  <c r="Z61" i="82" s="1"/>
  <c r="Z62" i="82" s="1"/>
  <c r="Z63" i="82" s="1"/>
  <c r="Z64" i="82" s="1"/>
  <c r="Z65" i="82" s="1"/>
  <c r="Z66" i="82" s="1"/>
  <c r="Z67" i="82" s="1"/>
  <c r="Z68" i="82" s="1"/>
  <c r="Z69" i="82" s="1"/>
  <c r="Z70" i="82" s="1"/>
  <c r="Z71" i="82" s="1"/>
  <c r="Z72" i="82" s="1"/>
  <c r="Z73" i="82" s="1"/>
  <c r="Z74" i="82" s="1"/>
  <c r="Z75" i="82" s="1"/>
  <c r="Z76" i="82" s="1"/>
  <c r="Z77" i="82" s="1"/>
  <c r="Z78" i="82" s="1"/>
  <c r="Z79" i="82" s="1"/>
  <c r="Z80" i="82" s="1"/>
  <c r="Z81" i="82" s="1"/>
  <c r="Z82" i="82" s="1"/>
  <c r="Z83" i="82" s="1"/>
  <c r="Z11" i="30"/>
  <c r="AD11" i="30" s="1"/>
  <c r="AD5" i="30" s="1"/>
  <c r="AD3" i="30" s="1"/>
  <c r="G162" i="11"/>
  <c r="I157" i="11"/>
  <c r="I158" i="11"/>
  <c r="K156" i="11"/>
  <c r="F161" i="11"/>
  <c r="F162" i="11"/>
  <c r="F160" i="11"/>
  <c r="M161" i="11"/>
  <c r="L161" i="11"/>
  <c r="K163" i="11"/>
  <c r="K160" i="11" s="1"/>
  <c r="J163" i="11"/>
  <c r="J160" i="11" s="1"/>
  <c r="J156" i="11"/>
  <c r="L162" i="11"/>
  <c r="K157" i="11"/>
  <c r="J157" i="11"/>
  <c r="I163" i="11"/>
  <c r="I160" i="11" s="1"/>
  <c r="H159" i="11"/>
  <c r="H158" i="11" s="1"/>
  <c r="H153" i="11"/>
  <c r="H152" i="11"/>
  <c r="R83" i="82" l="1"/>
  <c r="M83" i="82"/>
  <c r="AH83" i="82"/>
  <c r="AP83" i="82"/>
  <c r="J83" i="82"/>
  <c r="CE83" i="82"/>
  <c r="DA83" i="82"/>
  <c r="CO83" i="82"/>
  <c r="DF83" i="82"/>
  <c r="DL83" i="82"/>
  <c r="CZ83" i="82"/>
  <c r="Q83" i="82"/>
  <c r="CI83" i="82"/>
  <c r="BN83" i="82"/>
  <c r="O83" i="82"/>
  <c r="F83" i="82"/>
  <c r="T83" i="82"/>
  <c r="AR83" i="82"/>
  <c r="AB83" i="82"/>
  <c r="CK83" i="82"/>
  <c r="G83" i="82"/>
  <c r="AG83" i="82"/>
  <c r="CR83" i="82"/>
  <c r="B83" i="82"/>
  <c r="A84" i="82" s="1"/>
  <c r="Z84" i="82" s="1"/>
  <c r="CH83" i="82"/>
  <c r="AO83" i="82"/>
  <c r="AX84" i="82"/>
  <c r="AW83" i="82"/>
  <c r="BK83" i="82"/>
  <c r="E83" i="82"/>
  <c r="H83" i="82"/>
  <c r="BG83" i="82"/>
  <c r="DM83" i="82"/>
  <c r="K83" i="82"/>
  <c r="BA84" i="82"/>
  <c r="AS83" i="82"/>
  <c r="BF83" i="82"/>
  <c r="CP83" i="82"/>
  <c r="I83" i="82"/>
  <c r="DD83" i="82"/>
  <c r="Y83" i="82"/>
  <c r="P83" i="82"/>
  <c r="AF83" i="82"/>
  <c r="L83" i="82"/>
  <c r="AD83" i="82"/>
  <c r="AI83" i="82"/>
  <c r="AY83" i="82"/>
  <c r="D83" i="82"/>
  <c r="CM83" i="82"/>
  <c r="AJ83" i="82"/>
  <c r="AL83" i="82"/>
  <c r="DC78" i="82"/>
  <c r="U79" i="82"/>
  <c r="AC11" i="82"/>
  <c r="BS11" i="82"/>
  <c r="BL11" i="82"/>
  <c r="BL5" i="82" s="1"/>
  <c r="BL3" i="82" s="1"/>
  <c r="BV11" i="82"/>
  <c r="BZ11" i="82"/>
  <c r="AA5" i="82"/>
  <c r="BY11" i="82"/>
  <c r="BY5" i="82" s="1"/>
  <c r="BY3" i="82" s="1"/>
  <c r="CA11" i="82"/>
  <c r="BC11" i="82"/>
  <c r="CC11" i="82"/>
  <c r="CH11" i="82"/>
  <c r="CH5" i="82" s="1"/>
  <c r="CH3" i="82" s="1"/>
  <c r="BP11" i="82"/>
  <c r="AN11" i="82"/>
  <c r="AA12" i="82"/>
  <c r="AA13" i="82" s="1"/>
  <c r="AA14" i="82" s="1"/>
  <c r="AA15" i="82" s="1"/>
  <c r="AA16" i="82" s="1"/>
  <c r="AA17" i="82" s="1"/>
  <c r="AA11" i="30"/>
  <c r="CT11" i="30" s="1"/>
  <c r="J161" i="11"/>
  <c r="I161" i="11"/>
  <c r="K161" i="11"/>
  <c r="K162" i="11"/>
  <c r="I162" i="11"/>
  <c r="J162" i="11"/>
  <c r="H157" i="11"/>
  <c r="H163" i="11"/>
  <c r="H156" i="11"/>
  <c r="AM11" i="30" l="1"/>
  <c r="AM5" i="30" s="1"/>
  <c r="D84" i="82"/>
  <c r="CM84" i="82"/>
  <c r="DD84" i="82"/>
  <c r="BG84" i="82"/>
  <c r="O84" i="82"/>
  <c r="M84" i="82"/>
  <c r="Y84" i="82"/>
  <c r="T84" i="82"/>
  <c r="E84" i="82"/>
  <c r="B84" i="82"/>
  <c r="C84" i="82" s="1"/>
  <c r="AP84" i="82"/>
  <c r="DM84" i="82"/>
  <c r="CI84" i="82"/>
  <c r="CK84" i="82"/>
  <c r="DF84" i="82"/>
  <c r="G84" i="82"/>
  <c r="R84" i="82"/>
  <c r="DA84" i="82"/>
  <c r="DL84" i="82"/>
  <c r="AG84" i="82"/>
  <c r="AD84" i="82"/>
  <c r="J84" i="82"/>
  <c r="AR84" i="82"/>
  <c r="C83" i="82"/>
  <c r="CO84" i="82"/>
  <c r="BK84" i="82"/>
  <c r="AB84" i="82"/>
  <c r="CE84" i="82"/>
  <c r="S84" i="82"/>
  <c r="P84" i="82"/>
  <c r="K84" i="82"/>
  <c r="AI84" i="82"/>
  <c r="CP84" i="82"/>
  <c r="CH84" i="82"/>
  <c r="AH84" i="82"/>
  <c r="F84" i="82"/>
  <c r="AY84" i="82"/>
  <c r="I84" i="82"/>
  <c r="H84" i="82"/>
  <c r="AE84" i="82"/>
  <c r="BF84" i="82"/>
  <c r="BN84" i="82"/>
  <c r="AO84" i="82"/>
  <c r="L84" i="82"/>
  <c r="AL84" i="82"/>
  <c r="AS84" i="82"/>
  <c r="AW84" i="82"/>
  <c r="Q84" i="82"/>
  <c r="CR84" i="82"/>
  <c r="CZ84" i="82"/>
  <c r="AX85" i="82"/>
  <c r="AJ84" i="82"/>
  <c r="AF84" i="82"/>
  <c r="BA85" i="82"/>
  <c r="DA11" i="30"/>
  <c r="AZ11" i="30" s="1"/>
  <c r="DC79" i="82"/>
  <c r="U80" i="82"/>
  <c r="AA18" i="82"/>
  <c r="AC12" i="82"/>
  <c r="AC13" i="82" s="1"/>
  <c r="AC14" i="82" s="1"/>
  <c r="AC15" i="82" s="1"/>
  <c r="AC16" i="82" s="1"/>
  <c r="AC17" i="82" s="1"/>
  <c r="AC18" i="82" s="1"/>
  <c r="AC19" i="82" s="1"/>
  <c r="AC20" i="82" s="1"/>
  <c r="AC21" i="82" s="1"/>
  <c r="AC22" i="82" s="1"/>
  <c r="AC23" i="82" s="1"/>
  <c r="AC24" i="82" s="1"/>
  <c r="AC25" i="82" s="1"/>
  <c r="AC26" i="82" s="1"/>
  <c r="AC27" i="82" s="1"/>
  <c r="AC28" i="82" s="1"/>
  <c r="AC29" i="82" s="1"/>
  <c r="AC30" i="82" s="1"/>
  <c r="AC31" i="82" s="1"/>
  <c r="AC32" i="82" s="1"/>
  <c r="AC33" i="82" s="1"/>
  <c r="AC34" i="82" s="1"/>
  <c r="AC35" i="82" s="1"/>
  <c r="AC36" i="82" s="1"/>
  <c r="AC37" i="82" s="1"/>
  <c r="AC38" i="82" s="1"/>
  <c r="AC39" i="82" s="1"/>
  <c r="AC40" i="82" s="1"/>
  <c r="AC41" i="82" s="1"/>
  <c r="AC42" i="82" s="1"/>
  <c r="AC43" i="82" s="1"/>
  <c r="AC44" i="82" s="1"/>
  <c r="AC45" i="82" s="1"/>
  <c r="AC46" i="82" s="1"/>
  <c r="AC47" i="82" s="1"/>
  <c r="AC48" i="82" s="1"/>
  <c r="AC49" i="82" s="1"/>
  <c r="AC50" i="82" s="1"/>
  <c r="AC51" i="82" s="1"/>
  <c r="AC52" i="82" s="1"/>
  <c r="AC53" i="82" s="1"/>
  <c r="AC54" i="82" s="1"/>
  <c r="AC55" i="82" s="1"/>
  <c r="AC56" i="82" s="1"/>
  <c r="AC57" i="82" s="1"/>
  <c r="AC58" i="82" s="1"/>
  <c r="AC59" i="82" s="1"/>
  <c r="AC60" i="82" s="1"/>
  <c r="AC61" i="82" s="1"/>
  <c r="AC62" i="82" s="1"/>
  <c r="AC63" i="82" s="1"/>
  <c r="AC64" i="82" s="1"/>
  <c r="AC65" i="82" s="1"/>
  <c r="AC66" i="82" s="1"/>
  <c r="AC67" i="82" s="1"/>
  <c r="AC68" i="82" s="1"/>
  <c r="AC69" i="82" s="1"/>
  <c r="AC70" i="82" s="1"/>
  <c r="AC71" i="82" s="1"/>
  <c r="AC72" i="82" s="1"/>
  <c r="AC73" i="82" s="1"/>
  <c r="AC74" i="82" s="1"/>
  <c r="AC75" i="82" s="1"/>
  <c r="AC76" i="82" s="1"/>
  <c r="AC77" i="82" s="1"/>
  <c r="AC78" i="82" s="1"/>
  <c r="AC79" i="82" s="1"/>
  <c r="AC80" i="82" s="1"/>
  <c r="AC81" i="82" s="1"/>
  <c r="AC82" i="82" s="1"/>
  <c r="AC83" i="82" s="1"/>
  <c r="AC84" i="82" s="1"/>
  <c r="AC5" i="82"/>
  <c r="BV12" i="82"/>
  <c r="BV13" i="82" s="1"/>
  <c r="BV14" i="82" s="1"/>
  <c r="BV15" i="82" s="1"/>
  <c r="BV16" i="82" s="1"/>
  <c r="BV17" i="82" s="1"/>
  <c r="BV18" i="82" s="1"/>
  <c r="BV19" i="82" s="1"/>
  <c r="BV20" i="82" s="1"/>
  <c r="BV21" i="82" s="1"/>
  <c r="BV22" i="82" s="1"/>
  <c r="BV23" i="82" s="1"/>
  <c r="BV24" i="82" s="1"/>
  <c r="BV25" i="82" s="1"/>
  <c r="BV26" i="82" s="1"/>
  <c r="BV27" i="82" s="1"/>
  <c r="BV28" i="82" s="1"/>
  <c r="BV29" i="82" s="1"/>
  <c r="BV30" i="82" s="1"/>
  <c r="BV31" i="82" s="1"/>
  <c r="BV32" i="82" s="1"/>
  <c r="BV33" i="82" s="1"/>
  <c r="BV34" i="82" s="1"/>
  <c r="BV35" i="82" s="1"/>
  <c r="BV36" i="82" s="1"/>
  <c r="BV37" i="82" s="1"/>
  <c r="BV38" i="82" s="1"/>
  <c r="BV39" i="82" s="1"/>
  <c r="BV40" i="82" s="1"/>
  <c r="BV41" i="82" s="1"/>
  <c r="BV42" i="82" s="1"/>
  <c r="BV43" i="82" s="1"/>
  <c r="BV44" i="82" s="1"/>
  <c r="BV45" i="82" s="1"/>
  <c r="BV46" i="82" s="1"/>
  <c r="BV47" i="82" s="1"/>
  <c r="BV48" i="82" s="1"/>
  <c r="BV49" i="82" s="1"/>
  <c r="BV50" i="82" s="1"/>
  <c r="BV51" i="82" s="1"/>
  <c r="BV52" i="82" s="1"/>
  <c r="BV53" i="82" s="1"/>
  <c r="BV54" i="82" s="1"/>
  <c r="BV55" i="82" s="1"/>
  <c r="BV56" i="82" s="1"/>
  <c r="BV57" i="82" s="1"/>
  <c r="BV58" i="82" s="1"/>
  <c r="BV59" i="82" s="1"/>
  <c r="BV60" i="82" s="1"/>
  <c r="BV61" i="82" s="1"/>
  <c r="BV62" i="82" s="1"/>
  <c r="BV63" i="82" s="1"/>
  <c r="BV64" i="82" s="1"/>
  <c r="BV65" i="82" s="1"/>
  <c r="BV66" i="82" s="1"/>
  <c r="BV67" i="82" s="1"/>
  <c r="BV68" i="82" s="1"/>
  <c r="BV69" i="82" s="1"/>
  <c r="BV70" i="82" s="1"/>
  <c r="BV71" i="82" s="1"/>
  <c r="BV72" i="82" s="1"/>
  <c r="BV73" i="82" s="1"/>
  <c r="BV74" i="82" s="1"/>
  <c r="BV75" i="82" s="1"/>
  <c r="BV76" i="82" s="1"/>
  <c r="BV77" i="82" s="1"/>
  <c r="BV78" i="82" s="1"/>
  <c r="BV79" i="82" s="1"/>
  <c r="BV80" i="82" s="1"/>
  <c r="BV81" i="82" s="1"/>
  <c r="BV82" i="82" s="1"/>
  <c r="BV83" i="82" s="1"/>
  <c r="BV84" i="82" s="1"/>
  <c r="BV85" i="82" s="1"/>
  <c r="BV5" i="82"/>
  <c r="BZ5" i="82"/>
  <c r="BZ12" i="82"/>
  <c r="BZ13" i="82" s="1"/>
  <c r="BZ14" i="82" s="1"/>
  <c r="BZ15" i="82" s="1"/>
  <c r="BZ16" i="82" s="1"/>
  <c r="BZ17" i="82" s="1"/>
  <c r="BZ18" i="82" s="1"/>
  <c r="BZ19" i="82" s="1"/>
  <c r="BZ20" i="82" s="1"/>
  <c r="BZ21" i="82" s="1"/>
  <c r="BZ22" i="82" s="1"/>
  <c r="BZ23" i="82" s="1"/>
  <c r="BZ24" i="82" s="1"/>
  <c r="BZ25" i="82" s="1"/>
  <c r="BZ26" i="82" s="1"/>
  <c r="BZ27" i="82" s="1"/>
  <c r="BZ28" i="82" s="1"/>
  <c r="BZ29" i="82" s="1"/>
  <c r="BZ30" i="82" s="1"/>
  <c r="BZ31" i="82" s="1"/>
  <c r="BZ32" i="82" s="1"/>
  <c r="BZ33" i="82" s="1"/>
  <c r="BZ34" i="82" s="1"/>
  <c r="BZ35" i="82" s="1"/>
  <c r="BZ36" i="82" s="1"/>
  <c r="BZ37" i="82" s="1"/>
  <c r="BZ38" i="82" s="1"/>
  <c r="BZ39" i="82" s="1"/>
  <c r="BZ40" i="82" s="1"/>
  <c r="BZ41" i="82" s="1"/>
  <c r="BZ42" i="82" s="1"/>
  <c r="BZ43" i="82" s="1"/>
  <c r="BZ44" i="82" s="1"/>
  <c r="BZ45" i="82" s="1"/>
  <c r="BZ46" i="82" s="1"/>
  <c r="BZ47" i="82" s="1"/>
  <c r="BZ48" i="82" s="1"/>
  <c r="BZ49" i="82" s="1"/>
  <c r="BZ50" i="82" s="1"/>
  <c r="BZ51" i="82" s="1"/>
  <c r="BZ52" i="82" s="1"/>
  <c r="BZ53" i="82" s="1"/>
  <c r="BZ54" i="82" s="1"/>
  <c r="BZ55" i="82" s="1"/>
  <c r="BZ56" i="82" s="1"/>
  <c r="BZ57" i="82" s="1"/>
  <c r="BZ58" i="82" s="1"/>
  <c r="BZ59" i="82" s="1"/>
  <c r="BZ60" i="82" s="1"/>
  <c r="BZ61" i="82" s="1"/>
  <c r="BZ62" i="82" s="1"/>
  <c r="BZ63" i="82" s="1"/>
  <c r="BZ64" i="82" s="1"/>
  <c r="BZ65" i="82" s="1"/>
  <c r="BZ66" i="82" s="1"/>
  <c r="BZ67" i="82" s="1"/>
  <c r="BZ68" i="82" s="1"/>
  <c r="BZ69" i="82" s="1"/>
  <c r="BZ70" i="82" s="1"/>
  <c r="BZ71" i="82" s="1"/>
  <c r="BZ72" i="82" s="1"/>
  <c r="BZ73" i="82" s="1"/>
  <c r="BZ74" i="82" s="1"/>
  <c r="BZ75" i="82" s="1"/>
  <c r="BZ76" i="82" s="1"/>
  <c r="BZ77" i="82" s="1"/>
  <c r="BZ78" i="82" s="1"/>
  <c r="BZ79" i="82" s="1"/>
  <c r="BZ80" i="82" s="1"/>
  <c r="BZ81" i="82" s="1"/>
  <c r="BZ82" i="82" s="1"/>
  <c r="BZ83" i="82" s="1"/>
  <c r="BZ84" i="82" s="1"/>
  <c r="AA3" i="82"/>
  <c r="AA4" i="82"/>
  <c r="CA12" i="82"/>
  <c r="CA13" i="82" s="1"/>
  <c r="CA14" i="82" s="1"/>
  <c r="CA15" i="82" s="1"/>
  <c r="CA16" i="82" s="1"/>
  <c r="CA5" i="82"/>
  <c r="BC5" i="82"/>
  <c r="BC12" i="82"/>
  <c r="BC13" i="82" s="1"/>
  <c r="BC14" i="82" s="1"/>
  <c r="BC15" i="82" s="1"/>
  <c r="BC16" i="82" s="1"/>
  <c r="CC12" i="82"/>
  <c r="CC13" i="82" s="1"/>
  <c r="CC14" i="82" s="1"/>
  <c r="CC15" i="82" s="1"/>
  <c r="CC16" i="82" s="1"/>
  <c r="CC17" i="82" s="1"/>
  <c r="CC18" i="82" s="1"/>
  <c r="CC19" i="82" s="1"/>
  <c r="CC20" i="82" s="1"/>
  <c r="CC21" i="82" s="1"/>
  <c r="CC22" i="82" s="1"/>
  <c r="CC23" i="82" s="1"/>
  <c r="CC24" i="82" s="1"/>
  <c r="CC25" i="82" s="1"/>
  <c r="CC26" i="82" s="1"/>
  <c r="CC27" i="82" s="1"/>
  <c r="CC28" i="82" s="1"/>
  <c r="CC29" i="82" s="1"/>
  <c r="CC30" i="82" s="1"/>
  <c r="CC31" i="82" s="1"/>
  <c r="CC32" i="82" s="1"/>
  <c r="CC33" i="82" s="1"/>
  <c r="CC34" i="82" s="1"/>
  <c r="CC35" i="82" s="1"/>
  <c r="CC36" i="82" s="1"/>
  <c r="CC37" i="82" s="1"/>
  <c r="CC38" i="82" s="1"/>
  <c r="CC39" i="82" s="1"/>
  <c r="CC40" i="82" s="1"/>
  <c r="CC41" i="82" s="1"/>
  <c r="CC42" i="82" s="1"/>
  <c r="CC43" i="82" s="1"/>
  <c r="CC44" i="82" s="1"/>
  <c r="CC45" i="82" s="1"/>
  <c r="CC46" i="82" s="1"/>
  <c r="CC47" i="82" s="1"/>
  <c r="CC48" i="82" s="1"/>
  <c r="CC49" i="82" s="1"/>
  <c r="CC50" i="82" s="1"/>
  <c r="CC51" i="82" s="1"/>
  <c r="CC52" i="82" s="1"/>
  <c r="CC53" i="82" s="1"/>
  <c r="CC54" i="82" s="1"/>
  <c r="CC55" i="82" s="1"/>
  <c r="CC56" i="82" s="1"/>
  <c r="CC57" i="82" s="1"/>
  <c r="CC58" i="82" s="1"/>
  <c r="CC59" i="82" s="1"/>
  <c r="CC60" i="82" s="1"/>
  <c r="CC61" i="82" s="1"/>
  <c r="CC62" i="82" s="1"/>
  <c r="CC63" i="82" s="1"/>
  <c r="CC64" i="82" s="1"/>
  <c r="CC65" i="82" s="1"/>
  <c r="CC66" i="82" s="1"/>
  <c r="CC67" i="82" s="1"/>
  <c r="CC68" i="82" s="1"/>
  <c r="CC69" i="82" s="1"/>
  <c r="CC70" i="82" s="1"/>
  <c r="CC71" i="82" s="1"/>
  <c r="CC72" i="82" s="1"/>
  <c r="CC73" i="82" s="1"/>
  <c r="CC74" i="82" s="1"/>
  <c r="CC75" i="82" s="1"/>
  <c r="CC76" i="82" s="1"/>
  <c r="CC77" i="82" s="1"/>
  <c r="CC78" i="82" s="1"/>
  <c r="CC79" i="82" s="1"/>
  <c r="CC80" i="82" s="1"/>
  <c r="CC81" i="82" s="1"/>
  <c r="CC82" i="82" s="1"/>
  <c r="CC83" i="82" s="1"/>
  <c r="CC84" i="82" s="1"/>
  <c r="CC5" i="82"/>
  <c r="CC3" i="82" s="1"/>
  <c r="BP12" i="82"/>
  <c r="BP13" i="82" s="1"/>
  <c r="BP14" i="82" s="1"/>
  <c r="BP15" i="82" s="1"/>
  <c r="BP16" i="82" s="1"/>
  <c r="BP17" i="82" s="1"/>
  <c r="BP18" i="82" s="1"/>
  <c r="BP19" i="82" s="1"/>
  <c r="BP20" i="82" s="1"/>
  <c r="BP21" i="82" s="1"/>
  <c r="BP22" i="82" s="1"/>
  <c r="BP23" i="82" s="1"/>
  <c r="BP24" i="82" s="1"/>
  <c r="BP25" i="82" s="1"/>
  <c r="BP26" i="82" s="1"/>
  <c r="BP27" i="82" s="1"/>
  <c r="BP28" i="82" s="1"/>
  <c r="BP29" i="82" s="1"/>
  <c r="BP30" i="82" s="1"/>
  <c r="BP31" i="82" s="1"/>
  <c r="BP32" i="82" s="1"/>
  <c r="BP33" i="82" s="1"/>
  <c r="BP34" i="82" s="1"/>
  <c r="BP35" i="82" s="1"/>
  <c r="BP36" i="82" s="1"/>
  <c r="BP37" i="82" s="1"/>
  <c r="BP38" i="82" s="1"/>
  <c r="BP39" i="82" s="1"/>
  <c r="BP40" i="82" s="1"/>
  <c r="BP41" i="82" s="1"/>
  <c r="BP42" i="82" s="1"/>
  <c r="BP43" i="82" s="1"/>
  <c r="BP44" i="82" s="1"/>
  <c r="BP45" i="82" s="1"/>
  <c r="BP46" i="82" s="1"/>
  <c r="BP47" i="82" s="1"/>
  <c r="BP48" i="82" s="1"/>
  <c r="BP49" i="82" s="1"/>
  <c r="BP50" i="82" s="1"/>
  <c r="BP51" i="82" s="1"/>
  <c r="BP52" i="82" s="1"/>
  <c r="BP53" i="82" s="1"/>
  <c r="BP54" i="82" s="1"/>
  <c r="BP55" i="82" s="1"/>
  <c r="BP56" i="82" s="1"/>
  <c r="BP57" i="82" s="1"/>
  <c r="BP58" i="82" s="1"/>
  <c r="BP59" i="82" s="1"/>
  <c r="BP60" i="82" s="1"/>
  <c r="BP61" i="82" s="1"/>
  <c r="BP62" i="82" s="1"/>
  <c r="BP63" i="82" s="1"/>
  <c r="BP64" i="82" s="1"/>
  <c r="BP65" i="82" s="1"/>
  <c r="BP66" i="82" s="1"/>
  <c r="BP67" i="82" s="1"/>
  <c r="BP68" i="82" s="1"/>
  <c r="BP69" i="82" s="1"/>
  <c r="BP70" i="82" s="1"/>
  <c r="BP71" i="82" s="1"/>
  <c r="BP72" i="82" s="1"/>
  <c r="BP73" i="82" s="1"/>
  <c r="BP74" i="82" s="1"/>
  <c r="BP75" i="82" s="1"/>
  <c r="BP76" i="82" s="1"/>
  <c r="BP77" i="82" s="1"/>
  <c r="BP78" i="82" s="1"/>
  <c r="BP79" i="82" s="1"/>
  <c r="BP80" i="82" s="1"/>
  <c r="BP81" i="82" s="1"/>
  <c r="BP82" i="82" s="1"/>
  <c r="BP83" i="82" s="1"/>
  <c r="BP84" i="82" s="1"/>
  <c r="BP5" i="82"/>
  <c r="AN5" i="82"/>
  <c r="AN12" i="82"/>
  <c r="AN13" i="82" s="1"/>
  <c r="AN14" i="82" s="1"/>
  <c r="AN15" i="82" s="1"/>
  <c r="AN16" i="82" s="1"/>
  <c r="AN17" i="82" s="1"/>
  <c r="AN18" i="82" s="1"/>
  <c r="AN19" i="82" s="1"/>
  <c r="AN20" i="82" s="1"/>
  <c r="AN21" i="82" s="1"/>
  <c r="AN22" i="82" s="1"/>
  <c r="AN23" i="82" s="1"/>
  <c r="AN24" i="82" s="1"/>
  <c r="AN25" i="82" s="1"/>
  <c r="AN26" i="82" s="1"/>
  <c r="AN27" i="82" s="1"/>
  <c r="AN28" i="82" s="1"/>
  <c r="AN29" i="82" s="1"/>
  <c r="AN30" i="82" s="1"/>
  <c r="AN31" i="82" s="1"/>
  <c r="AN32" i="82" s="1"/>
  <c r="AN33" i="82" s="1"/>
  <c r="AN34" i="82" s="1"/>
  <c r="AN35" i="82" s="1"/>
  <c r="AN36" i="82" s="1"/>
  <c r="AN37" i="82" s="1"/>
  <c r="AN38" i="82" s="1"/>
  <c r="AN39" i="82" s="1"/>
  <c r="AN40" i="82" s="1"/>
  <c r="AN41" i="82" s="1"/>
  <c r="AN42" i="82" s="1"/>
  <c r="AN43" i="82" s="1"/>
  <c r="AN44" i="82" s="1"/>
  <c r="AN45" i="82" s="1"/>
  <c r="AN46" i="82" s="1"/>
  <c r="AN47" i="82" s="1"/>
  <c r="AN48" i="82" s="1"/>
  <c r="AN49" i="82" s="1"/>
  <c r="AN50" i="82" s="1"/>
  <c r="AN51" i="82" s="1"/>
  <c r="AN52" i="82" s="1"/>
  <c r="AN53" i="82" s="1"/>
  <c r="AN54" i="82" s="1"/>
  <c r="AN55" i="82" s="1"/>
  <c r="AN56" i="82" s="1"/>
  <c r="AN57" i="82" s="1"/>
  <c r="AN58" i="82" s="1"/>
  <c r="AN59" i="82" s="1"/>
  <c r="AN60" i="82" s="1"/>
  <c r="AN61" i="82" s="1"/>
  <c r="AN62" i="82" s="1"/>
  <c r="AN63" i="82" s="1"/>
  <c r="AN64" i="82" s="1"/>
  <c r="AN65" i="82" s="1"/>
  <c r="AN66" i="82" s="1"/>
  <c r="AN67" i="82" s="1"/>
  <c r="AN68" i="82" s="1"/>
  <c r="AN69" i="82" s="1"/>
  <c r="AN70" i="82" s="1"/>
  <c r="AN71" i="82" s="1"/>
  <c r="AN72" i="82" s="1"/>
  <c r="AN73" i="82" s="1"/>
  <c r="AN74" i="82" s="1"/>
  <c r="AN75" i="82" s="1"/>
  <c r="AN76" i="82" s="1"/>
  <c r="AN77" i="82" s="1"/>
  <c r="AN78" i="82" s="1"/>
  <c r="AN79" i="82" s="1"/>
  <c r="AN80" i="82" s="1"/>
  <c r="AN81" i="82" s="1"/>
  <c r="AN82" i="82" s="1"/>
  <c r="AN83" i="82" s="1"/>
  <c r="AN84" i="82" s="1"/>
  <c r="AU11" i="82"/>
  <c r="BD11" i="82"/>
  <c r="AY11" i="82"/>
  <c r="BW11" i="82"/>
  <c r="AV11" i="82"/>
  <c r="BS5" i="82"/>
  <c r="BT11" i="82"/>
  <c r="BT5" i="82" s="1"/>
  <c r="CB11" i="30"/>
  <c r="CB5" i="30" s="1"/>
  <c r="CB3" i="30" s="1"/>
  <c r="DD11" i="30"/>
  <c r="DD5" i="30" s="1"/>
  <c r="DD3" i="30" s="1"/>
  <c r="DR11" i="30"/>
  <c r="DR5" i="30" s="1"/>
  <c r="DR3" i="30" s="1"/>
  <c r="CS11" i="30"/>
  <c r="CS5" i="30" s="1"/>
  <c r="DF11" i="30"/>
  <c r="DF5" i="30" s="1"/>
  <c r="DF3" i="30" s="1"/>
  <c r="DE11" i="30"/>
  <c r="DE5" i="30" s="1"/>
  <c r="DE3" i="30" s="1"/>
  <c r="CT5" i="30"/>
  <c r="CM11" i="30"/>
  <c r="CM5" i="30" s="1"/>
  <c r="CM3" i="30" s="1"/>
  <c r="BI11" i="30"/>
  <c r="D3" i="73"/>
  <c r="BT11" i="30"/>
  <c r="BT5" i="30" s="1"/>
  <c r="BT3" i="30" s="1"/>
  <c r="AA5" i="30"/>
  <c r="H161" i="11"/>
  <c r="H160" i="11"/>
  <c r="H162" i="11"/>
  <c r="AJ11" i="30" l="1"/>
  <c r="AM3" i="30"/>
  <c r="DA5" i="30"/>
  <c r="AB4" i="82"/>
  <c r="AC3" i="82" s="1"/>
  <c r="AB3" i="82"/>
  <c r="A85" i="82"/>
  <c r="BZ85" i="82" s="1"/>
  <c r="DC11" i="30"/>
  <c r="DC5" i="30" s="1"/>
  <c r="BA11" i="30"/>
  <c r="BN11" i="30"/>
  <c r="AA19" i="82"/>
  <c r="DC80" i="82"/>
  <c r="U81" i="82"/>
  <c r="BD11" i="30"/>
  <c r="AQ11" i="30"/>
  <c r="AU12" i="82"/>
  <c r="AU13" i="82" s="1"/>
  <c r="AU14" i="82" s="1"/>
  <c r="AU15" i="82" s="1"/>
  <c r="AU16" i="82" s="1"/>
  <c r="AU17" i="82" s="1"/>
  <c r="AU18" i="82" s="1"/>
  <c r="AU19" i="82" s="1"/>
  <c r="AU20" i="82" s="1"/>
  <c r="AU21" i="82" s="1"/>
  <c r="AU22" i="82" s="1"/>
  <c r="AU23" i="82" s="1"/>
  <c r="AU24" i="82" s="1"/>
  <c r="AU25" i="82" s="1"/>
  <c r="AU26" i="82" s="1"/>
  <c r="AU27" i="82" s="1"/>
  <c r="AU28" i="82" s="1"/>
  <c r="AU29" i="82" s="1"/>
  <c r="AU30" i="82" s="1"/>
  <c r="AU31" i="82" s="1"/>
  <c r="AU32" i="82" s="1"/>
  <c r="AU33" i="82" s="1"/>
  <c r="AU34" i="82" s="1"/>
  <c r="AU35" i="82" s="1"/>
  <c r="AU36" i="82" s="1"/>
  <c r="AU37" i="82" s="1"/>
  <c r="AU38" i="82" s="1"/>
  <c r="AU39" i="82" s="1"/>
  <c r="AU40" i="82" s="1"/>
  <c r="AU41" i="82" s="1"/>
  <c r="AU42" i="82" s="1"/>
  <c r="AU43" i="82" s="1"/>
  <c r="AU44" i="82" s="1"/>
  <c r="AU45" i="82" s="1"/>
  <c r="AU46" i="82" s="1"/>
  <c r="AU47" i="82" s="1"/>
  <c r="AU48" i="82" s="1"/>
  <c r="AU49" i="82" s="1"/>
  <c r="AU50" i="82" s="1"/>
  <c r="AU51" i="82" s="1"/>
  <c r="AU52" i="82" s="1"/>
  <c r="AU53" i="82" s="1"/>
  <c r="AU54" i="82" s="1"/>
  <c r="AU55" i="82" s="1"/>
  <c r="AU56" i="82" s="1"/>
  <c r="AU57" i="82" s="1"/>
  <c r="AU58" i="82" s="1"/>
  <c r="AU59" i="82" s="1"/>
  <c r="AU60" i="82" s="1"/>
  <c r="AU61" i="82" s="1"/>
  <c r="AU62" i="82" s="1"/>
  <c r="AU63" i="82" s="1"/>
  <c r="AU64" i="82" s="1"/>
  <c r="AU65" i="82" s="1"/>
  <c r="AU66" i="82" s="1"/>
  <c r="AU67" i="82" s="1"/>
  <c r="AU68" i="82" s="1"/>
  <c r="AU69" i="82" s="1"/>
  <c r="AU70" i="82" s="1"/>
  <c r="AU71" i="82" s="1"/>
  <c r="AU72" i="82" s="1"/>
  <c r="AU73" i="82" s="1"/>
  <c r="AU74" i="82" s="1"/>
  <c r="AU75" i="82" s="1"/>
  <c r="AU76" i="82" s="1"/>
  <c r="AU77" i="82" s="1"/>
  <c r="AU78" i="82" s="1"/>
  <c r="AU79" i="82" s="1"/>
  <c r="AU80" i="82" s="1"/>
  <c r="AU81" i="82" s="1"/>
  <c r="AU82" i="82" s="1"/>
  <c r="AU83" i="82" s="1"/>
  <c r="AU84" i="82" s="1"/>
  <c r="AU85" i="82" s="1"/>
  <c r="AU5" i="82"/>
  <c r="BD5" i="82"/>
  <c r="BD12" i="82"/>
  <c r="BD13" i="82" s="1"/>
  <c r="BD14" i="82" s="1"/>
  <c r="BD15" i="82" s="1"/>
  <c r="BD16" i="82" s="1"/>
  <c r="BD17" i="82" s="1"/>
  <c r="BD18" i="82" s="1"/>
  <c r="BD19" i="82" s="1"/>
  <c r="BD20" i="82" s="1"/>
  <c r="BD21" i="82" s="1"/>
  <c r="BD22" i="82" s="1"/>
  <c r="BD23" i="82" s="1"/>
  <c r="BD24" i="82" s="1"/>
  <c r="BD25" i="82" s="1"/>
  <c r="BD26" i="82" s="1"/>
  <c r="BD27" i="82" s="1"/>
  <c r="BD28" i="82" s="1"/>
  <c r="BD29" i="82" s="1"/>
  <c r="BD30" i="82" s="1"/>
  <c r="BD31" i="82" s="1"/>
  <c r="BD32" i="82" s="1"/>
  <c r="BD33" i="82" s="1"/>
  <c r="BD34" i="82" s="1"/>
  <c r="BD35" i="82" s="1"/>
  <c r="BD36" i="82" s="1"/>
  <c r="BD37" i="82" s="1"/>
  <c r="BD38" i="82" s="1"/>
  <c r="BD39" i="82" s="1"/>
  <c r="BD40" i="82" s="1"/>
  <c r="BD41" i="82" s="1"/>
  <c r="BD42" i="82" s="1"/>
  <c r="BD43" i="82" s="1"/>
  <c r="BD44" i="82" s="1"/>
  <c r="BD45" i="82" s="1"/>
  <c r="BD46" i="82" s="1"/>
  <c r="BD47" i="82" s="1"/>
  <c r="BD48" i="82" s="1"/>
  <c r="BD49" i="82" s="1"/>
  <c r="BD50" i="82" s="1"/>
  <c r="BD51" i="82" s="1"/>
  <c r="BD52" i="82" s="1"/>
  <c r="BD53" i="82" s="1"/>
  <c r="BD54" i="82" s="1"/>
  <c r="BD55" i="82" s="1"/>
  <c r="BD56" i="82" s="1"/>
  <c r="BD57" i="82" s="1"/>
  <c r="BD58" i="82" s="1"/>
  <c r="BD59" i="82" s="1"/>
  <c r="BD60" i="82" s="1"/>
  <c r="BD61" i="82" s="1"/>
  <c r="BD62" i="82" s="1"/>
  <c r="BD63" i="82" s="1"/>
  <c r="BD64" i="82" s="1"/>
  <c r="BD65" i="82" s="1"/>
  <c r="BD66" i="82" s="1"/>
  <c r="BD67" i="82" s="1"/>
  <c r="BD68" i="82" s="1"/>
  <c r="BD69" i="82" s="1"/>
  <c r="BD70" i="82" s="1"/>
  <c r="BD71" i="82" s="1"/>
  <c r="BD72" i="82" s="1"/>
  <c r="BD73" i="82" s="1"/>
  <c r="BD74" i="82" s="1"/>
  <c r="BD75" i="82" s="1"/>
  <c r="BD76" i="82" s="1"/>
  <c r="BD77" i="82" s="1"/>
  <c r="BD78" i="82" s="1"/>
  <c r="BD79" i="82" s="1"/>
  <c r="BD80" i="82" s="1"/>
  <c r="BD81" i="82" s="1"/>
  <c r="BD82" i="82" s="1"/>
  <c r="BD83" i="82" s="1"/>
  <c r="BD84" i="82" s="1"/>
  <c r="AY12" i="82"/>
  <c r="AY13" i="82" s="1"/>
  <c r="AY14" i="82" s="1"/>
  <c r="AY15" i="82" s="1"/>
  <c r="AY16" i="82" s="1"/>
  <c r="AY17" i="82" s="1"/>
  <c r="AY18" i="82" s="1"/>
  <c r="AY5" i="82"/>
  <c r="BW12" i="82"/>
  <c r="BW13" i="82" s="1"/>
  <c r="BW14" i="82" s="1"/>
  <c r="BW15" i="82" s="1"/>
  <c r="BW16" i="82" s="1"/>
  <c r="BW5" i="82"/>
  <c r="AV12" i="82"/>
  <c r="AV13" i="82" s="1"/>
  <c r="AV14" i="82" s="1"/>
  <c r="AV15" i="82" s="1"/>
  <c r="AV16" i="82" s="1"/>
  <c r="AV5" i="82"/>
  <c r="G19" i="73"/>
  <c r="CV11" i="30"/>
  <c r="CV5" i="30" s="1"/>
  <c r="G25" i="73"/>
  <c r="G27" i="73"/>
  <c r="CU11" i="30"/>
  <c r="CU5" i="30" s="1"/>
  <c r="CU3" i="30" s="1"/>
  <c r="G14" i="73"/>
  <c r="BI5" i="30"/>
  <c r="BJ11" i="30"/>
  <c r="D6" i="73"/>
  <c r="D7" i="73" s="1"/>
  <c r="D9" i="73" s="1"/>
  <c r="AA3" i="30"/>
  <c r="Q3" i="48" s="1"/>
  <c r="AA4" i="30"/>
  <c r="CW11" i="30" l="1"/>
  <c r="CW5" i="30" s="1"/>
  <c r="AJ5" i="30"/>
  <c r="G6" i="73"/>
  <c r="G23" i="73"/>
  <c r="K2" i="85"/>
  <c r="M2" i="85" s="1"/>
  <c r="J2" i="85"/>
  <c r="I2" i="85"/>
  <c r="G2" i="85"/>
  <c r="F3" i="85" s="1"/>
  <c r="AC4" i="82"/>
  <c r="AD4" i="82" s="1"/>
  <c r="BD85" i="82"/>
  <c r="AC85" i="82"/>
  <c r="AN85" i="82"/>
  <c r="Z85" i="82"/>
  <c r="G85" i="82"/>
  <c r="Q85" i="82"/>
  <c r="AG85" i="82"/>
  <c r="R85" i="82"/>
  <c r="T85" i="82"/>
  <c r="P85" i="82"/>
  <c r="S85" i="82"/>
  <c r="Y85" i="82"/>
  <c r="AS85" i="82"/>
  <c r="AB85" i="82"/>
  <c r="DL85" i="82"/>
  <c r="E85" i="82"/>
  <c r="BG85" i="82"/>
  <c r="AE85" i="82"/>
  <c r="CE85" i="82"/>
  <c r="CP85" i="82"/>
  <c r="BF85" i="82"/>
  <c r="M85" i="82"/>
  <c r="CO85" i="82"/>
  <c r="CH85" i="82"/>
  <c r="AR85" i="82"/>
  <c r="AF85" i="82"/>
  <c r="BK85" i="82"/>
  <c r="AJ85" i="82"/>
  <c r="AO85" i="82"/>
  <c r="H85" i="82"/>
  <c r="AL85" i="82"/>
  <c r="O85" i="82"/>
  <c r="J85" i="82"/>
  <c r="L85" i="82"/>
  <c r="CK85" i="82"/>
  <c r="CM85" i="82"/>
  <c r="DM85" i="82"/>
  <c r="I85" i="82"/>
  <c r="AW85" i="82"/>
  <c r="CZ85" i="82"/>
  <c r="K85" i="82"/>
  <c r="DA85" i="82"/>
  <c r="AY85" i="82"/>
  <c r="AP85" i="82"/>
  <c r="DF85" i="82"/>
  <c r="AI85" i="82"/>
  <c r="AH85" i="82"/>
  <c r="F85" i="82"/>
  <c r="AD85" i="82"/>
  <c r="D85" i="82"/>
  <c r="BN85" i="82"/>
  <c r="CR85" i="82"/>
  <c r="CC85" i="82"/>
  <c r="B85" i="82"/>
  <c r="C85" i="82" s="1"/>
  <c r="BA86" i="82"/>
  <c r="AX86" i="82"/>
  <c r="BV86" i="82"/>
  <c r="BP85" i="82"/>
  <c r="DD85" i="82"/>
  <c r="CI85" i="82"/>
  <c r="G24" i="73"/>
  <c r="G16" i="73"/>
  <c r="BN5" i="30"/>
  <c r="DC81" i="82"/>
  <c r="U82" i="82"/>
  <c r="AA20" i="82"/>
  <c r="AQ5" i="30"/>
  <c r="G8" i="73"/>
  <c r="BJ5" i="30"/>
  <c r="G15" i="73"/>
  <c r="G13" i="73"/>
  <c r="BD5" i="30"/>
  <c r="G11" i="73"/>
  <c r="G12" i="73"/>
  <c r="BA5" i="30"/>
  <c r="AZ5" i="30"/>
  <c r="AB4" i="30"/>
  <c r="AB3" i="30"/>
  <c r="AC4" i="30" l="1"/>
  <c r="AD4" i="30" s="1"/>
  <c r="AE4" i="30" s="1"/>
  <c r="AC3" i="30"/>
  <c r="AE3" i="30"/>
  <c r="AD3" i="82"/>
  <c r="A86" i="82"/>
  <c r="BZ86" i="82" s="1"/>
  <c r="AA21" i="82"/>
  <c r="DC82" i="82"/>
  <c r="U83" i="82"/>
  <c r="AE4" i="82"/>
  <c r="AE3" i="82"/>
  <c r="X8" i="23"/>
  <c r="AF8" i="23" s="1"/>
  <c r="AF4" i="30" l="1"/>
  <c r="AF3" i="30"/>
  <c r="BD86" i="82"/>
  <c r="AN86" i="82"/>
  <c r="AU86" i="82"/>
  <c r="R86" i="82"/>
  <c r="Y86" i="82"/>
  <c r="CP86" i="82"/>
  <c r="B86" i="82"/>
  <c r="A87" i="82" s="1"/>
  <c r="CH86" i="82"/>
  <c r="BV87" i="82"/>
  <c r="AJ86" i="82"/>
  <c r="DF86" i="82"/>
  <c r="Z86" i="82"/>
  <c r="AX87" i="82"/>
  <c r="AP86" i="82"/>
  <c r="DA86" i="82"/>
  <c r="CZ86" i="82"/>
  <c r="I86" i="82"/>
  <c r="AI86" i="82"/>
  <c r="T86" i="82"/>
  <c r="AH86" i="82"/>
  <c r="E86" i="82"/>
  <c r="CK86" i="82"/>
  <c r="AB86" i="82"/>
  <c r="O86" i="82"/>
  <c r="AF86" i="82"/>
  <c r="BG86" i="82"/>
  <c r="L86" i="82"/>
  <c r="AL86" i="82"/>
  <c r="G86" i="82"/>
  <c r="AY86" i="82"/>
  <c r="F86" i="82"/>
  <c r="DM86" i="82"/>
  <c r="CC86" i="82"/>
  <c r="BP86" i="82"/>
  <c r="P86" i="82"/>
  <c r="CI86" i="82"/>
  <c r="AE86" i="82"/>
  <c r="BA87" i="82"/>
  <c r="AS86" i="82"/>
  <c r="AD86" i="82"/>
  <c r="CR86" i="82"/>
  <c r="DD86" i="82"/>
  <c r="AG86" i="82"/>
  <c r="CE86" i="82"/>
  <c r="AW86" i="82"/>
  <c r="J86" i="82"/>
  <c r="K86" i="82"/>
  <c r="AC86" i="82"/>
  <c r="BF86" i="82"/>
  <c r="CM86" i="82"/>
  <c r="S86" i="82"/>
  <c r="BK86" i="82"/>
  <c r="AO86" i="82"/>
  <c r="AR86" i="82"/>
  <c r="DL86" i="82"/>
  <c r="BN86" i="82"/>
  <c r="H86" i="82"/>
  <c r="M86" i="82"/>
  <c r="D86" i="82"/>
  <c r="Q86" i="82"/>
  <c r="CO86" i="82"/>
  <c r="DC83" i="82"/>
  <c r="U84" i="82"/>
  <c r="AA22" i="82"/>
  <c r="AF4" i="82"/>
  <c r="AF3" i="82"/>
  <c r="C86" i="82" l="1"/>
  <c r="I87" i="82"/>
  <c r="J87" i="82"/>
  <c r="AW87" i="82"/>
  <c r="D87" i="82"/>
  <c r="CE87" i="82"/>
  <c r="Z87" i="82"/>
  <c r="E87" i="82"/>
  <c r="DM87" i="82"/>
  <c r="CP87" i="82"/>
  <c r="DL87" i="82"/>
  <c r="R87" i="82"/>
  <c r="BN87" i="82"/>
  <c r="AO87" i="82"/>
  <c r="CI87" i="82"/>
  <c r="AJ87" i="82"/>
  <c r="DD87" i="82"/>
  <c r="BF87" i="82"/>
  <c r="CZ87" i="82"/>
  <c r="AH87" i="82"/>
  <c r="CH87" i="82"/>
  <c r="BK87" i="82"/>
  <c r="AC87" i="82"/>
  <c r="AB87" i="82"/>
  <c r="T87" i="82"/>
  <c r="G87" i="82"/>
  <c r="H87" i="82"/>
  <c r="Y87" i="82"/>
  <c r="O87" i="82"/>
  <c r="AE87" i="82"/>
  <c r="AP87" i="82"/>
  <c r="K87" i="82"/>
  <c r="B87" i="82"/>
  <c r="L87" i="82"/>
  <c r="AG87" i="82"/>
  <c r="BZ87" i="82"/>
  <c r="AY87" i="82"/>
  <c r="BV88" i="82"/>
  <c r="AL87" i="82"/>
  <c r="DA87" i="82"/>
  <c r="BP87" i="82"/>
  <c r="DF87" i="82"/>
  <c r="AD87" i="82"/>
  <c r="S87" i="82"/>
  <c r="AX88" i="82"/>
  <c r="CO87" i="82"/>
  <c r="M87" i="82"/>
  <c r="CR87" i="82"/>
  <c r="AS87" i="82"/>
  <c r="F87" i="82"/>
  <c r="BD87" i="82"/>
  <c r="BG87" i="82"/>
  <c r="AI87" i="82"/>
  <c r="AF87" i="82"/>
  <c r="P87" i="82"/>
  <c r="Q87" i="82"/>
  <c r="BA88" i="82"/>
  <c r="CM87" i="82"/>
  <c r="CK87" i="82"/>
  <c r="CC87" i="82"/>
  <c r="AR87" i="82"/>
  <c r="AN87" i="82"/>
  <c r="AU87" i="82"/>
  <c r="AA23" i="82"/>
  <c r="DC84" i="82"/>
  <c r="U85" i="82"/>
  <c r="AG4" i="82"/>
  <c r="AG3" i="82"/>
  <c r="A88" i="82" l="1"/>
  <c r="C87" i="82"/>
  <c r="DC85" i="82"/>
  <c r="U86" i="82"/>
  <c r="AA24" i="82"/>
  <c r="AH4" i="82"/>
  <c r="AH3" i="82"/>
  <c r="BP88" i="82" l="1"/>
  <c r="AE88" i="82"/>
  <c r="E88" i="82"/>
  <c r="BN88" i="82"/>
  <c r="K88" i="82"/>
  <c r="R88" i="82"/>
  <c r="AH88" i="82"/>
  <c r="AR88" i="82"/>
  <c r="DM88" i="82"/>
  <c r="Q88" i="82"/>
  <c r="CR88" i="82"/>
  <c r="AO88" i="82"/>
  <c r="AL88" i="82"/>
  <c r="AD88" i="82"/>
  <c r="BA89" i="82"/>
  <c r="L88" i="82"/>
  <c r="AU88" i="82"/>
  <c r="AS88" i="82"/>
  <c r="Y88" i="82"/>
  <c r="M88" i="82"/>
  <c r="CI88" i="82"/>
  <c r="AY88" i="82"/>
  <c r="J88" i="82"/>
  <c r="G88" i="82"/>
  <c r="AX89" i="82"/>
  <c r="T88" i="82"/>
  <c r="AB88" i="82"/>
  <c r="CO88" i="82"/>
  <c r="DD88" i="82"/>
  <c r="CE88" i="82"/>
  <c r="BK88" i="82"/>
  <c r="Z88" i="82"/>
  <c r="AI88" i="82"/>
  <c r="H88" i="82"/>
  <c r="B88" i="82"/>
  <c r="A89" i="82" s="1"/>
  <c r="CH88" i="82"/>
  <c r="AP88" i="82"/>
  <c r="AN88" i="82"/>
  <c r="AW88" i="82"/>
  <c r="DF88" i="82"/>
  <c r="CK88" i="82"/>
  <c r="CM88" i="82"/>
  <c r="CZ88" i="82"/>
  <c r="BD88" i="82"/>
  <c r="BZ88" i="82"/>
  <c r="P88" i="82"/>
  <c r="I88" i="82"/>
  <c r="BG88" i="82"/>
  <c r="AJ88" i="82"/>
  <c r="CP88" i="82"/>
  <c r="O88" i="82"/>
  <c r="AG88" i="82"/>
  <c r="BV89" i="82"/>
  <c r="DA88" i="82"/>
  <c r="S88" i="82"/>
  <c r="DL88" i="82"/>
  <c r="BF88" i="82"/>
  <c r="F88" i="82"/>
  <c r="D88" i="82"/>
  <c r="AC88" i="82"/>
  <c r="CC88" i="82"/>
  <c r="AF88" i="82"/>
  <c r="AI4" i="82"/>
  <c r="AJ4" i="82" s="1"/>
  <c r="AK4" i="82" s="1"/>
  <c r="AL4" i="82" s="1"/>
  <c r="AI3" i="82"/>
  <c r="AA25" i="82"/>
  <c r="DC86" i="82"/>
  <c r="U87" i="82"/>
  <c r="AG3" i="30"/>
  <c r="AK3" i="82" l="1"/>
  <c r="AJ3" i="82"/>
  <c r="AE89" i="82"/>
  <c r="CC89" i="82"/>
  <c r="AH89" i="82"/>
  <c r="Z89" i="82"/>
  <c r="BA90" i="82"/>
  <c r="AR89" i="82"/>
  <c r="DM89" i="82"/>
  <c r="J89" i="82"/>
  <c r="BF89" i="82"/>
  <c r="BV90" i="82"/>
  <c r="DF89" i="82"/>
  <c r="AP89" i="82"/>
  <c r="DA89" i="82"/>
  <c r="P89" i="82"/>
  <c r="AY89" i="82"/>
  <c r="AW89" i="82"/>
  <c r="AI89" i="82"/>
  <c r="D89" i="82"/>
  <c r="CP89" i="82"/>
  <c r="CZ89" i="82"/>
  <c r="AB89" i="82"/>
  <c r="CM89" i="82"/>
  <c r="AD89" i="82"/>
  <c r="F89" i="82"/>
  <c r="AO89" i="82"/>
  <c r="DL89" i="82"/>
  <c r="CR89" i="82"/>
  <c r="CK89" i="82"/>
  <c r="Q89" i="82"/>
  <c r="R89" i="82"/>
  <c r="E89" i="82"/>
  <c r="T89" i="82"/>
  <c r="CO89" i="82"/>
  <c r="S89" i="82"/>
  <c r="BP89" i="82"/>
  <c r="H89" i="82"/>
  <c r="DD89" i="82"/>
  <c r="Y89" i="82"/>
  <c r="I89" i="82"/>
  <c r="M89" i="82"/>
  <c r="AU89" i="82"/>
  <c r="AS89" i="82"/>
  <c r="O89" i="82"/>
  <c r="CE89" i="82"/>
  <c r="AJ89" i="82"/>
  <c r="AG89" i="82"/>
  <c r="AX90" i="82"/>
  <c r="B89" i="82"/>
  <c r="A90" i="82" s="1"/>
  <c r="AC89" i="82"/>
  <c r="G89" i="82"/>
  <c r="AL89" i="82"/>
  <c r="BN89" i="82"/>
  <c r="BD89" i="82"/>
  <c r="BG89" i="82"/>
  <c r="BK89" i="82"/>
  <c r="K89" i="82"/>
  <c r="BZ89" i="82"/>
  <c r="L89" i="82"/>
  <c r="AN89" i="82"/>
  <c r="CH89" i="82"/>
  <c r="CI89" i="82"/>
  <c r="AF89" i="82"/>
  <c r="C88" i="82"/>
  <c r="DC87" i="82"/>
  <c r="U88" i="82"/>
  <c r="AL3" i="82"/>
  <c r="AA26" i="82"/>
  <c r="AM4" i="82"/>
  <c r="AN4" i="82" s="1"/>
  <c r="AM3" i="82"/>
  <c r="AH3" i="30"/>
  <c r="AN3" i="82" l="1"/>
  <c r="C89" i="82"/>
  <c r="Y90" i="82"/>
  <c r="BK90" i="82"/>
  <c r="Z90" i="82"/>
  <c r="H90" i="82"/>
  <c r="DD90" i="82"/>
  <c r="CK90" i="82"/>
  <c r="G90" i="82"/>
  <c r="E90" i="82"/>
  <c r="AH90" i="82"/>
  <c r="AB90" i="82"/>
  <c r="AE90" i="82"/>
  <c r="J90" i="82"/>
  <c r="DM90" i="82"/>
  <c r="S90" i="82"/>
  <c r="Q90" i="82"/>
  <c r="CZ90" i="82"/>
  <c r="P90" i="82"/>
  <c r="I90" i="82"/>
  <c r="O90" i="82"/>
  <c r="AJ90" i="82"/>
  <c r="AD90" i="82"/>
  <c r="BG90" i="82"/>
  <c r="AO90" i="82"/>
  <c r="D90" i="82"/>
  <c r="AF90" i="82"/>
  <c r="BV91" i="82"/>
  <c r="BZ90" i="82"/>
  <c r="AI90" i="82"/>
  <c r="CC90" i="82"/>
  <c r="DA90" i="82"/>
  <c r="AG90" i="82"/>
  <c r="AR90" i="82"/>
  <c r="R90" i="82"/>
  <c r="CH90" i="82"/>
  <c r="AU90" i="82"/>
  <c r="CE90" i="82"/>
  <c r="BF90" i="82"/>
  <c r="DL90" i="82"/>
  <c r="CP90" i="82"/>
  <c r="F90" i="82"/>
  <c r="AL90" i="82"/>
  <c r="T90" i="82"/>
  <c r="AX91" i="82"/>
  <c r="CI90" i="82"/>
  <c r="K90" i="82"/>
  <c r="AS90" i="82"/>
  <c r="BN90" i="82"/>
  <c r="BP90" i="82"/>
  <c r="DF90" i="82"/>
  <c r="AC90" i="82"/>
  <c r="AP90" i="82"/>
  <c r="AY90" i="82"/>
  <c r="AW90" i="82"/>
  <c r="M90" i="82"/>
  <c r="L90" i="82"/>
  <c r="B90" i="82"/>
  <c r="A91" i="82" s="1"/>
  <c r="AN90" i="82"/>
  <c r="BD90" i="82"/>
  <c r="CO90" i="82"/>
  <c r="CM90" i="82"/>
  <c r="CR90" i="82"/>
  <c r="BA91" i="82"/>
  <c r="AO4" i="82"/>
  <c r="AP4" i="82" s="1"/>
  <c r="AO3" i="82"/>
  <c r="AA27" i="82"/>
  <c r="DC88" i="82"/>
  <c r="U89" i="82"/>
  <c r="AI3" i="30"/>
  <c r="AP3" i="82" l="1"/>
  <c r="AR3" i="82"/>
  <c r="C90" i="82"/>
  <c r="E91" i="82"/>
  <c r="Z91" i="82"/>
  <c r="DD91" i="82"/>
  <c r="CE91" i="82"/>
  <c r="P91" i="82"/>
  <c r="AD91" i="82"/>
  <c r="CM91" i="82"/>
  <c r="BA92" i="82"/>
  <c r="AC91" i="82"/>
  <c r="BD91" i="82"/>
  <c r="O91" i="82"/>
  <c r="DF91" i="82"/>
  <c r="BP91" i="82"/>
  <c r="CK91" i="82"/>
  <c r="BF91" i="82"/>
  <c r="AL91" i="82"/>
  <c r="G91" i="82"/>
  <c r="DL91" i="82"/>
  <c r="I91" i="82"/>
  <c r="AF91" i="82"/>
  <c r="AP91" i="82"/>
  <c r="AR91" i="82"/>
  <c r="CO91" i="82"/>
  <c r="Y91" i="82"/>
  <c r="BK91" i="82"/>
  <c r="BN91" i="82"/>
  <c r="CP91" i="82"/>
  <c r="CI91" i="82"/>
  <c r="AS91" i="82"/>
  <c r="AU91" i="82"/>
  <c r="M91" i="82"/>
  <c r="DA91" i="82"/>
  <c r="AI91" i="82"/>
  <c r="CZ91" i="82"/>
  <c r="AY91" i="82"/>
  <c r="H91" i="82"/>
  <c r="AO91" i="82"/>
  <c r="J91" i="82"/>
  <c r="B91" i="82"/>
  <c r="A92" i="82" s="1"/>
  <c r="S91" i="82"/>
  <c r="AX92" i="82"/>
  <c r="K91" i="82"/>
  <c r="CR91" i="82"/>
  <c r="AE91" i="82"/>
  <c r="Q91" i="82"/>
  <c r="AW91" i="82"/>
  <c r="BZ91" i="82"/>
  <c r="D91" i="82"/>
  <c r="BV92" i="82"/>
  <c r="AH91" i="82"/>
  <c r="F91" i="82"/>
  <c r="L91" i="82"/>
  <c r="CH91" i="82"/>
  <c r="AG91" i="82"/>
  <c r="AN91" i="82"/>
  <c r="T91" i="82"/>
  <c r="R91" i="82"/>
  <c r="BG91" i="82"/>
  <c r="AB91" i="82"/>
  <c r="CC91" i="82"/>
  <c r="AJ91" i="82"/>
  <c r="DM91" i="82"/>
  <c r="DC89" i="82"/>
  <c r="U90" i="82"/>
  <c r="AA28" i="82"/>
  <c r="C91" i="82" l="1"/>
  <c r="AS92" i="82"/>
  <c r="CK92" i="82"/>
  <c r="CO92" i="82"/>
  <c r="BV93" i="82"/>
  <c r="DD92" i="82"/>
  <c r="E92" i="82"/>
  <c r="BF92" i="82"/>
  <c r="AD92" i="82"/>
  <c r="DL92" i="82"/>
  <c r="I92" i="82"/>
  <c r="J92" i="82"/>
  <c r="Q92" i="82"/>
  <c r="DM92" i="82"/>
  <c r="BA93" i="82"/>
  <c r="BP92" i="82"/>
  <c r="B92" i="82"/>
  <c r="C92" i="82" s="1"/>
  <c r="Y92" i="82"/>
  <c r="CP92" i="82"/>
  <c r="CE92" i="82"/>
  <c r="AC92" i="82"/>
  <c r="AF92" i="82"/>
  <c r="CR92" i="82"/>
  <c r="CC92" i="82"/>
  <c r="BG92" i="82"/>
  <c r="AG92" i="82"/>
  <c r="AW92" i="82"/>
  <c r="T92" i="82"/>
  <c r="AH92" i="82"/>
  <c r="BN92" i="82"/>
  <c r="BD92" i="82"/>
  <c r="CM92" i="82"/>
  <c r="H92" i="82"/>
  <c r="DA92" i="82"/>
  <c r="O92" i="82"/>
  <c r="DF92" i="82"/>
  <c r="K92" i="82"/>
  <c r="AN92" i="82"/>
  <c r="BK92" i="82"/>
  <c r="CZ92" i="82"/>
  <c r="D92" i="82"/>
  <c r="AY92" i="82"/>
  <c r="M92" i="82"/>
  <c r="CH92" i="82"/>
  <c r="AI92" i="82"/>
  <c r="AE92" i="82"/>
  <c r="S92" i="82"/>
  <c r="L92" i="82"/>
  <c r="G92" i="82"/>
  <c r="AO92" i="82"/>
  <c r="AJ92" i="82"/>
  <c r="AB92" i="82"/>
  <c r="CI92" i="82"/>
  <c r="BZ92" i="82"/>
  <c r="AP92" i="82"/>
  <c r="F92" i="82"/>
  <c r="P92" i="82"/>
  <c r="AL92" i="82"/>
  <c r="AR92" i="82"/>
  <c r="Z92" i="82"/>
  <c r="AU92" i="82"/>
  <c r="R92" i="82"/>
  <c r="AX93" i="82"/>
  <c r="AA29" i="82"/>
  <c r="DC90" i="82"/>
  <c r="U91" i="82"/>
  <c r="A93" i="82" l="1"/>
  <c r="DC91" i="82"/>
  <c r="U92" i="82"/>
  <c r="AA30" i="82"/>
  <c r="I93" i="82" l="1"/>
  <c r="BK93" i="82"/>
  <c r="AB93" i="82"/>
  <c r="AS93" i="82"/>
  <c r="K93" i="82"/>
  <c r="BN93" i="82"/>
  <c r="BV94" i="82"/>
  <c r="F93" i="82"/>
  <c r="P93" i="82"/>
  <c r="DF93" i="82"/>
  <c r="BZ93" i="82"/>
  <c r="AI93" i="82"/>
  <c r="AL93" i="82"/>
  <c r="CH93" i="82"/>
  <c r="CR93" i="82"/>
  <c r="Y93" i="82"/>
  <c r="AW93" i="82"/>
  <c r="AC93" i="82"/>
  <c r="R93" i="82"/>
  <c r="H93" i="82"/>
  <c r="AX94" i="82"/>
  <c r="DL93" i="82"/>
  <c r="AO93" i="82"/>
  <c r="AF93" i="82"/>
  <c r="AY93" i="82"/>
  <c r="CE93" i="82"/>
  <c r="BP93" i="82"/>
  <c r="AN93" i="82"/>
  <c r="Q93" i="82"/>
  <c r="G93" i="82"/>
  <c r="AH93" i="82"/>
  <c r="BF93" i="82"/>
  <c r="T93" i="82"/>
  <c r="J93" i="82"/>
  <c r="CI93" i="82"/>
  <c r="AJ93" i="82"/>
  <c r="CC93" i="82"/>
  <c r="B93" i="82"/>
  <c r="A94" i="82" s="1"/>
  <c r="DD93" i="82"/>
  <c r="BG93" i="82"/>
  <c r="S93" i="82"/>
  <c r="AD93" i="82"/>
  <c r="AR93" i="82"/>
  <c r="O93" i="82"/>
  <c r="Z93" i="82"/>
  <c r="DA93" i="82"/>
  <c r="CP93" i="82"/>
  <c r="AP93" i="82"/>
  <c r="D93" i="82"/>
  <c r="DM93" i="82"/>
  <c r="AE93" i="82"/>
  <c r="L93" i="82"/>
  <c r="AU93" i="82"/>
  <c r="BD93" i="82"/>
  <c r="CK93" i="82"/>
  <c r="AG93" i="82"/>
  <c r="M93" i="82"/>
  <c r="E93" i="82"/>
  <c r="CO93" i="82"/>
  <c r="BA94" i="82"/>
  <c r="CM93" i="82"/>
  <c r="CZ93" i="82"/>
  <c r="AX3" i="82"/>
  <c r="AA31" i="82"/>
  <c r="DC92" i="82"/>
  <c r="U93" i="82"/>
  <c r="AR3" i="30"/>
  <c r="H94" i="82" l="1"/>
  <c r="CO94" i="82"/>
  <c r="BA95" i="82"/>
  <c r="AC94" i="82"/>
  <c r="AS94" i="82"/>
  <c r="CE94" i="82"/>
  <c r="AO94" i="82"/>
  <c r="CZ94" i="82"/>
  <c r="BD94" i="82"/>
  <c r="CP94" i="82"/>
  <c r="F94" i="82"/>
  <c r="J94" i="82"/>
  <c r="CM94" i="82"/>
  <c r="AU94" i="82"/>
  <c r="DA94" i="82"/>
  <c r="C93" i="82"/>
  <c r="CH94" i="82"/>
  <c r="AY94" i="82"/>
  <c r="DD94" i="82"/>
  <c r="AN94" i="82"/>
  <c r="AJ94" i="82"/>
  <c r="L94" i="82"/>
  <c r="K94" i="82"/>
  <c r="I94" i="82"/>
  <c r="AH94" i="82"/>
  <c r="CR94" i="82"/>
  <c r="T94" i="82"/>
  <c r="BV95" i="82"/>
  <c r="CK94" i="82"/>
  <c r="AP94" i="82"/>
  <c r="G94" i="82"/>
  <c r="Y94" i="82"/>
  <c r="AX95" i="82"/>
  <c r="Q94" i="82"/>
  <c r="S94" i="82"/>
  <c r="Z94" i="82"/>
  <c r="CC94" i="82"/>
  <c r="BP94" i="82"/>
  <c r="AL94" i="82"/>
  <c r="AI94" i="82"/>
  <c r="BK94" i="82"/>
  <c r="CI94" i="82"/>
  <c r="BN94" i="82"/>
  <c r="AB94" i="82"/>
  <c r="DL94" i="82"/>
  <c r="B94" i="82"/>
  <c r="A95" i="82" s="1"/>
  <c r="M94" i="82"/>
  <c r="BZ94" i="82"/>
  <c r="AF94" i="82"/>
  <c r="BG94" i="82"/>
  <c r="R94" i="82"/>
  <c r="P94" i="82"/>
  <c r="DM94" i="82"/>
  <c r="AR94" i="82"/>
  <c r="BF94" i="82"/>
  <c r="DF94" i="82"/>
  <c r="AW94" i="82"/>
  <c r="AG94" i="82"/>
  <c r="D94" i="82"/>
  <c r="AD94" i="82"/>
  <c r="E94" i="82"/>
  <c r="AE94" i="82"/>
  <c r="O94" i="82"/>
  <c r="AZ3" i="82"/>
  <c r="DC93" i="82"/>
  <c r="U94" i="82"/>
  <c r="AA32" i="82"/>
  <c r="CE95" i="82" l="1"/>
  <c r="AL95" i="82"/>
  <c r="BP95" i="82"/>
  <c r="DA95" i="82"/>
  <c r="AF95" i="82"/>
  <c r="CP95" i="82"/>
  <c r="G95" i="82"/>
  <c r="AN95" i="82"/>
  <c r="BA96" i="82"/>
  <c r="CZ95" i="82"/>
  <c r="D95" i="82"/>
  <c r="AS95" i="82"/>
  <c r="B95" i="82"/>
  <c r="A96" i="82" s="1"/>
  <c r="CH95" i="82"/>
  <c r="BD95" i="82"/>
  <c r="DM95" i="82"/>
  <c r="F95" i="82"/>
  <c r="O95" i="82"/>
  <c r="BN95" i="82"/>
  <c r="AX96" i="82"/>
  <c r="BK95" i="82"/>
  <c r="AJ95" i="82"/>
  <c r="AE95" i="82"/>
  <c r="DF95" i="82"/>
  <c r="CI95" i="82"/>
  <c r="AI95" i="82"/>
  <c r="Z95" i="82"/>
  <c r="M95" i="82"/>
  <c r="CR95" i="82"/>
  <c r="Y95" i="82"/>
  <c r="AR95" i="82"/>
  <c r="AD95" i="82"/>
  <c r="CC95" i="82"/>
  <c r="K95" i="82"/>
  <c r="AU95" i="82"/>
  <c r="J95" i="82"/>
  <c r="CO95" i="82"/>
  <c r="Q95" i="82"/>
  <c r="S95" i="82"/>
  <c r="T95" i="82"/>
  <c r="CK95" i="82"/>
  <c r="AO95" i="82"/>
  <c r="L95" i="82"/>
  <c r="AC95" i="82"/>
  <c r="E95" i="82"/>
  <c r="BF95" i="82"/>
  <c r="BZ95" i="82"/>
  <c r="BG95" i="82"/>
  <c r="AP95" i="82"/>
  <c r="I95" i="82"/>
  <c r="H95" i="82"/>
  <c r="AB95" i="82"/>
  <c r="AG95" i="82"/>
  <c r="P95" i="82"/>
  <c r="DL95" i="82"/>
  <c r="R95" i="82"/>
  <c r="BV96" i="82"/>
  <c r="AY95" i="82"/>
  <c r="DD95" i="82"/>
  <c r="AH95" i="82"/>
  <c r="CM95" i="82"/>
  <c r="C94" i="82"/>
  <c r="AW95" i="82"/>
  <c r="BA3" i="82"/>
  <c r="DC94" i="82"/>
  <c r="U95" i="82"/>
  <c r="AA33" i="82"/>
  <c r="C95" i="82" l="1"/>
  <c r="BV97" i="82"/>
  <c r="AW96" i="82"/>
  <c r="L96" i="82"/>
  <c r="AU96" i="82"/>
  <c r="CR96" i="82"/>
  <c r="I96" i="82"/>
  <c r="AO96" i="82"/>
  <c r="BK96" i="82"/>
  <c r="K96" i="82"/>
  <c r="AN96" i="82"/>
  <c r="M96" i="82"/>
  <c r="R96" i="82"/>
  <c r="DF96" i="82"/>
  <c r="AX97" i="82"/>
  <c r="G96" i="82"/>
  <c r="BG96" i="82"/>
  <c r="T96" i="82"/>
  <c r="DA96" i="82"/>
  <c r="AY96" i="82"/>
  <c r="AB96" i="82"/>
  <c r="AC96" i="82"/>
  <c r="J96" i="82"/>
  <c r="AJ96" i="82"/>
  <c r="DM96" i="82"/>
  <c r="BA97" i="82"/>
  <c r="BN96" i="82"/>
  <c r="AI96" i="82"/>
  <c r="AD96" i="82"/>
  <c r="BP96" i="82"/>
  <c r="D96" i="82"/>
  <c r="AE96" i="82"/>
  <c r="E96" i="82"/>
  <c r="B96" i="82"/>
  <c r="A97" i="82" s="1"/>
  <c r="CP96" i="82"/>
  <c r="Q96" i="82"/>
  <c r="AR96" i="82"/>
  <c r="CH96" i="82"/>
  <c r="AG96" i="82"/>
  <c r="CC96" i="82"/>
  <c r="AL96" i="82"/>
  <c r="O96" i="82"/>
  <c r="CK96" i="82"/>
  <c r="AF96" i="82"/>
  <c r="AP96" i="82"/>
  <c r="S96" i="82"/>
  <c r="Z96" i="82"/>
  <c r="AH96" i="82"/>
  <c r="F96" i="82"/>
  <c r="BZ96" i="82"/>
  <c r="CO96" i="82"/>
  <c r="H96" i="82"/>
  <c r="CZ96" i="82"/>
  <c r="BD96" i="82"/>
  <c r="CM96" i="82"/>
  <c r="DL96" i="82"/>
  <c r="P96" i="82"/>
  <c r="BF96" i="82"/>
  <c r="CE96" i="82"/>
  <c r="AS96" i="82"/>
  <c r="Y96" i="82"/>
  <c r="CI96" i="82"/>
  <c r="DD96" i="82"/>
  <c r="BB3" i="82"/>
  <c r="DC95" i="82"/>
  <c r="U96" i="82"/>
  <c r="AA34" i="82"/>
  <c r="M97" i="82" l="1"/>
  <c r="BZ97" i="82"/>
  <c r="BF97" i="82"/>
  <c r="O97" i="82"/>
  <c r="K97" i="82"/>
  <c r="G97" i="82"/>
  <c r="AY97" i="82"/>
  <c r="CM97" i="82"/>
  <c r="AI97" i="82"/>
  <c r="CE97" i="82"/>
  <c r="CO97" i="82"/>
  <c r="CK97" i="82"/>
  <c r="BA98" i="82"/>
  <c r="B97" i="82"/>
  <c r="A98" i="82" s="1"/>
  <c r="AJ97" i="82"/>
  <c r="C96" i="82"/>
  <c r="AE97" i="82"/>
  <c r="AO97" i="82"/>
  <c r="CH97" i="82"/>
  <c r="BP97" i="82"/>
  <c r="AU97" i="82"/>
  <c r="DM97" i="82"/>
  <c r="CP97" i="82"/>
  <c r="E97" i="82"/>
  <c r="R97" i="82"/>
  <c r="AW97" i="82"/>
  <c r="I97" i="82"/>
  <c r="BG97" i="82"/>
  <c r="DD97" i="82"/>
  <c r="BN97" i="82"/>
  <c r="DA97" i="82"/>
  <c r="T97" i="82"/>
  <c r="D97" i="82"/>
  <c r="BV98" i="82"/>
  <c r="BK97" i="82"/>
  <c r="AL97" i="82"/>
  <c r="AN97" i="82"/>
  <c r="AB97" i="82"/>
  <c r="AC97" i="82"/>
  <c r="Y97" i="82"/>
  <c r="CZ97" i="82"/>
  <c r="AP97" i="82"/>
  <c r="AR97" i="82"/>
  <c r="AX98" i="82"/>
  <c r="J97" i="82"/>
  <c r="AD97" i="82"/>
  <c r="CR97" i="82"/>
  <c r="L97" i="82"/>
  <c r="AS97" i="82"/>
  <c r="H97" i="82"/>
  <c r="AF97" i="82"/>
  <c r="Q97" i="82"/>
  <c r="DL97" i="82"/>
  <c r="AH97" i="82"/>
  <c r="CC97" i="82"/>
  <c r="Z97" i="82"/>
  <c r="AG97" i="82"/>
  <c r="DF97" i="82"/>
  <c r="CI97" i="82"/>
  <c r="BD97" i="82"/>
  <c r="S97" i="82"/>
  <c r="P97" i="82"/>
  <c r="F97" i="82"/>
  <c r="BC3" i="82"/>
  <c r="DC96" i="82"/>
  <c r="U97" i="82"/>
  <c r="AA35" i="82"/>
  <c r="CE98" i="82" l="1"/>
  <c r="G98" i="82"/>
  <c r="CI98" i="82"/>
  <c r="Q98" i="82"/>
  <c r="AX99" i="82"/>
  <c r="AL98" i="82"/>
  <c r="CO98" i="82"/>
  <c r="DF98" i="82"/>
  <c r="H98" i="82"/>
  <c r="BV99" i="82"/>
  <c r="AP98" i="82"/>
  <c r="BG98" i="82"/>
  <c r="AI98" i="82"/>
  <c r="CP98" i="82"/>
  <c r="CH98" i="82"/>
  <c r="I98" i="82"/>
  <c r="F98" i="82"/>
  <c r="BF98" i="82"/>
  <c r="AG98" i="82"/>
  <c r="AH98" i="82"/>
  <c r="C97" i="82"/>
  <c r="BZ98" i="82"/>
  <c r="AS98" i="82"/>
  <c r="D98" i="82"/>
  <c r="E98" i="82"/>
  <c r="AF98" i="82"/>
  <c r="AR98" i="82"/>
  <c r="CZ98" i="82"/>
  <c r="L98" i="82"/>
  <c r="BA99" i="82"/>
  <c r="Z98" i="82"/>
  <c r="BN98" i="82"/>
  <c r="B98" i="82"/>
  <c r="A99" i="82" s="1"/>
  <c r="DM98" i="82"/>
  <c r="P98" i="82"/>
  <c r="AN98" i="82"/>
  <c r="AU98" i="82"/>
  <c r="O98" i="82"/>
  <c r="AJ98" i="82"/>
  <c r="Y98" i="82"/>
  <c r="T98" i="82"/>
  <c r="AE98" i="82"/>
  <c r="CC98" i="82"/>
  <c r="BK98" i="82"/>
  <c r="AY98" i="82"/>
  <c r="CM98" i="82"/>
  <c r="CK98" i="82"/>
  <c r="DD98" i="82"/>
  <c r="K98" i="82"/>
  <c r="BD98" i="82"/>
  <c r="R98" i="82"/>
  <c r="BP98" i="82"/>
  <c r="CR98" i="82"/>
  <c r="AC98" i="82"/>
  <c r="DA98" i="82"/>
  <c r="M98" i="82"/>
  <c r="S98" i="82"/>
  <c r="AD98" i="82"/>
  <c r="AB98" i="82"/>
  <c r="AO98" i="82"/>
  <c r="DL98" i="82"/>
  <c r="J98" i="82"/>
  <c r="AW98" i="82"/>
  <c r="DC97" i="82"/>
  <c r="U98" i="82"/>
  <c r="AA36" i="82"/>
  <c r="DL99" i="82" l="1"/>
  <c r="AS99" i="82"/>
  <c r="AE99" i="82"/>
  <c r="CP99" i="82"/>
  <c r="DM99" i="82"/>
  <c r="DD99" i="82"/>
  <c r="AF99" i="82"/>
  <c r="AU99" i="82"/>
  <c r="AR99" i="82"/>
  <c r="CO99" i="82"/>
  <c r="E99" i="82"/>
  <c r="AC99" i="82"/>
  <c r="CM99" i="82"/>
  <c r="D99" i="82"/>
  <c r="K99" i="82"/>
  <c r="G99" i="82"/>
  <c r="AN99" i="82"/>
  <c r="BF99" i="82"/>
  <c r="S99" i="82"/>
  <c r="AI99" i="82"/>
  <c r="AO99" i="82"/>
  <c r="DA99" i="82"/>
  <c r="CK99" i="82"/>
  <c r="BN99" i="82"/>
  <c r="F99" i="82"/>
  <c r="AG99" i="82"/>
  <c r="AY99" i="82"/>
  <c r="P99" i="82"/>
  <c r="H99" i="82"/>
  <c r="AB99" i="82"/>
  <c r="O99" i="82"/>
  <c r="BA100" i="82"/>
  <c r="BV100" i="82"/>
  <c r="AD99" i="82"/>
  <c r="BD99" i="82"/>
  <c r="AJ99" i="82"/>
  <c r="AL99" i="82"/>
  <c r="L99" i="82"/>
  <c r="C98" i="82"/>
  <c r="BP99" i="82"/>
  <c r="BK99" i="82"/>
  <c r="CR99" i="82"/>
  <c r="B99" i="82"/>
  <c r="A100" i="82" s="1"/>
  <c r="Q99" i="82"/>
  <c r="Y99" i="82"/>
  <c r="BZ99" i="82"/>
  <c r="R99" i="82"/>
  <c r="CC99" i="82"/>
  <c r="CZ99" i="82"/>
  <c r="T99" i="82"/>
  <c r="AH99" i="82"/>
  <c r="DF99" i="82"/>
  <c r="CH99" i="82"/>
  <c r="BG99" i="82"/>
  <c r="I99" i="82"/>
  <c r="AW99" i="82"/>
  <c r="Z99" i="82"/>
  <c r="CE99" i="82"/>
  <c r="AP99" i="82"/>
  <c r="AX100" i="82"/>
  <c r="CI99" i="82"/>
  <c r="J99" i="82"/>
  <c r="M99" i="82"/>
  <c r="BE3" i="82"/>
  <c r="DC98" i="82"/>
  <c r="U99" i="82"/>
  <c r="AA37" i="82"/>
  <c r="CP100" i="82" l="1"/>
  <c r="AJ100" i="82"/>
  <c r="I100" i="82"/>
  <c r="BD100" i="82"/>
  <c r="AF100" i="82"/>
  <c r="CI100" i="82"/>
  <c r="AO100" i="82"/>
  <c r="BF100" i="82"/>
  <c r="O100" i="82"/>
  <c r="AL100" i="82"/>
  <c r="E100" i="82"/>
  <c r="CK100" i="82"/>
  <c r="CE100" i="82"/>
  <c r="AB100" i="82"/>
  <c r="AR100" i="82"/>
  <c r="AD100" i="82"/>
  <c r="AN100" i="82"/>
  <c r="D100" i="82"/>
  <c r="B100" i="82"/>
  <c r="A101" i="82" s="1"/>
  <c r="DL100" i="82"/>
  <c r="R100" i="82"/>
  <c r="AU100" i="82"/>
  <c r="AC100" i="82"/>
  <c r="BP100" i="82"/>
  <c r="CZ100" i="82"/>
  <c r="BN100" i="82"/>
  <c r="BK100" i="82"/>
  <c r="CO100" i="82"/>
  <c r="C99" i="82"/>
  <c r="BZ100" i="82"/>
  <c r="AH100" i="82"/>
  <c r="CR100" i="82"/>
  <c r="H100" i="82"/>
  <c r="AG100" i="82"/>
  <c r="L100" i="82"/>
  <c r="DA100" i="82"/>
  <c r="CM100" i="82"/>
  <c r="CC100" i="82"/>
  <c r="BV101" i="82"/>
  <c r="DD100" i="82"/>
  <c r="P100" i="82"/>
  <c r="DM100" i="82"/>
  <c r="AE100" i="82"/>
  <c r="BG100" i="82"/>
  <c r="AY100" i="82"/>
  <c r="F100" i="82"/>
  <c r="Q100" i="82"/>
  <c r="AI100" i="82"/>
  <c r="S100" i="82"/>
  <c r="Z100" i="82"/>
  <c r="T100" i="82"/>
  <c r="G100" i="82"/>
  <c r="BA101" i="82"/>
  <c r="J100" i="82"/>
  <c r="DF100" i="82"/>
  <c r="CH100" i="82"/>
  <c r="M100" i="82"/>
  <c r="K100" i="82"/>
  <c r="AS100" i="82"/>
  <c r="AW100" i="82"/>
  <c r="Y100" i="82"/>
  <c r="AP100" i="82"/>
  <c r="AX101" i="82"/>
  <c r="AA38" i="82"/>
  <c r="DC99" i="82"/>
  <c r="U100" i="82"/>
  <c r="BN101" i="82" l="1"/>
  <c r="CZ101" i="82"/>
  <c r="AR101" i="82"/>
  <c r="BD101" i="82"/>
  <c r="CH101" i="82"/>
  <c r="F101" i="82"/>
  <c r="J101" i="82"/>
  <c r="BP101" i="82"/>
  <c r="Z101" i="82"/>
  <c r="I101" i="82"/>
  <c r="AY101" i="82"/>
  <c r="H101" i="82"/>
  <c r="AO101" i="82"/>
  <c r="CE101" i="82"/>
  <c r="Q101" i="82"/>
  <c r="K101" i="82"/>
  <c r="CK101" i="82"/>
  <c r="P101" i="82"/>
  <c r="BG101" i="82"/>
  <c r="M101" i="82"/>
  <c r="BK101" i="82"/>
  <c r="AE101" i="82"/>
  <c r="AN101" i="82"/>
  <c r="O101" i="82"/>
  <c r="AI101" i="82"/>
  <c r="G101" i="82"/>
  <c r="BA102" i="82"/>
  <c r="BF101" i="82"/>
  <c r="CR101" i="82"/>
  <c r="CC101" i="82"/>
  <c r="DA101" i="82"/>
  <c r="AS101" i="82"/>
  <c r="AH101" i="82"/>
  <c r="C100" i="82"/>
  <c r="AB101" i="82"/>
  <c r="AW101" i="82"/>
  <c r="DF101" i="82"/>
  <c r="DL101" i="82"/>
  <c r="AF101" i="82"/>
  <c r="Y101" i="82"/>
  <c r="AG101" i="82"/>
  <c r="CI101" i="82"/>
  <c r="AC101" i="82"/>
  <c r="AX102" i="82"/>
  <c r="R101" i="82"/>
  <c r="AL101" i="82"/>
  <c r="AD101" i="82"/>
  <c r="AJ101" i="82"/>
  <c r="B101" i="82"/>
  <c r="A102" i="82" s="1"/>
  <c r="Z102" i="82" s="1"/>
  <c r="D101" i="82"/>
  <c r="DM101" i="82"/>
  <c r="CO101" i="82"/>
  <c r="BV102" i="82"/>
  <c r="T101" i="82"/>
  <c r="DD101" i="82"/>
  <c r="CM101" i="82"/>
  <c r="AU101" i="82"/>
  <c r="BZ101" i="82"/>
  <c r="L101" i="82"/>
  <c r="S101" i="82"/>
  <c r="CP101" i="82"/>
  <c r="AP101" i="82"/>
  <c r="E101" i="82"/>
  <c r="BG3" i="82"/>
  <c r="DC100" i="82"/>
  <c r="U101" i="82"/>
  <c r="AA39" i="82"/>
  <c r="BH3" i="82" l="1"/>
  <c r="BF102" i="82"/>
  <c r="BD102" i="82"/>
  <c r="CE102" i="82"/>
  <c r="AR102" i="82"/>
  <c r="CM102" i="82"/>
  <c r="AX103" i="82"/>
  <c r="E102" i="82"/>
  <c r="CH102" i="82"/>
  <c r="BN102" i="82"/>
  <c r="L102" i="82"/>
  <c r="BG102" i="82"/>
  <c r="AB102" i="82"/>
  <c r="AU102" i="82"/>
  <c r="AF102" i="82"/>
  <c r="AO102" i="82"/>
  <c r="CI102" i="82"/>
  <c r="AP102" i="82"/>
  <c r="O102" i="82"/>
  <c r="CK102" i="82"/>
  <c r="AH102" i="82"/>
  <c r="AN102" i="82"/>
  <c r="DD102" i="82"/>
  <c r="AD102" i="82"/>
  <c r="Y102" i="82"/>
  <c r="BP102" i="82"/>
  <c r="DF102" i="82"/>
  <c r="R102" i="82"/>
  <c r="B102" i="82"/>
  <c r="C102" i="82" s="1"/>
  <c r="BA103" i="82"/>
  <c r="AJ102" i="82"/>
  <c r="CR102" i="82"/>
  <c r="BK102" i="82"/>
  <c r="DM102" i="82"/>
  <c r="AG102" i="82"/>
  <c r="CP102" i="82"/>
  <c r="CO102" i="82"/>
  <c r="F102" i="82"/>
  <c r="AW102" i="82"/>
  <c r="J102" i="82"/>
  <c r="I102" i="82"/>
  <c r="AE102" i="82"/>
  <c r="DL102" i="82"/>
  <c r="H102" i="82"/>
  <c r="AC102" i="82"/>
  <c r="CC102" i="82"/>
  <c r="AI102" i="82"/>
  <c r="K102" i="82"/>
  <c r="C101" i="82"/>
  <c r="BV103" i="82"/>
  <c r="S102" i="82"/>
  <c r="G102" i="82"/>
  <c r="AL102" i="82"/>
  <c r="DA102" i="82"/>
  <c r="BZ102" i="82"/>
  <c r="M102" i="82"/>
  <c r="P102" i="82"/>
  <c r="Q102" i="82"/>
  <c r="AY102" i="82"/>
  <c r="D102" i="82"/>
  <c r="AS102" i="82"/>
  <c r="CZ102" i="82"/>
  <c r="T102" i="82"/>
  <c r="AA40" i="82"/>
  <c r="DC101" i="82"/>
  <c r="U102" i="82"/>
  <c r="BI3" i="82" l="1"/>
  <c r="A103" i="82"/>
  <c r="AD103" i="82" s="1"/>
  <c r="DC102" i="82"/>
  <c r="AA41" i="82"/>
  <c r="BJ3" i="82" l="1"/>
  <c r="P103" i="82"/>
  <c r="AS103" i="82"/>
  <c r="O103" i="82"/>
  <c r="AE103" i="82"/>
  <c r="T103" i="82"/>
  <c r="S103" i="82"/>
  <c r="H103" i="82"/>
  <c r="F103" i="82"/>
  <c r="DA103" i="82"/>
  <c r="D103" i="82"/>
  <c r="BD103" i="82"/>
  <c r="DD103" i="82"/>
  <c r="BP103" i="82"/>
  <c r="DF103" i="82"/>
  <c r="CC103" i="82"/>
  <c r="CR103" i="82"/>
  <c r="AN103" i="82"/>
  <c r="AI103" i="82"/>
  <c r="BK103" i="82"/>
  <c r="AL103" i="82"/>
  <c r="AJ103" i="82"/>
  <c r="AR103" i="82"/>
  <c r="AC103" i="82"/>
  <c r="CI103" i="82"/>
  <c r="Y103" i="82"/>
  <c r="BZ103" i="82"/>
  <c r="CO103" i="82"/>
  <c r="AF103" i="82"/>
  <c r="I103" i="82"/>
  <c r="U103" i="82"/>
  <c r="DC103" i="82" s="1"/>
  <c r="CP103" i="82"/>
  <c r="K103" i="82"/>
  <c r="BF103" i="82"/>
  <c r="AH103" i="82"/>
  <c r="Z103" i="82"/>
  <c r="AU103" i="82"/>
  <c r="BV104" i="82"/>
  <c r="CH103" i="82"/>
  <c r="Q103" i="82"/>
  <c r="BA104" i="82"/>
  <c r="CM103" i="82"/>
  <c r="AW103" i="82"/>
  <c r="E103" i="82"/>
  <c r="BG103" i="82"/>
  <c r="AB103" i="82"/>
  <c r="M103" i="82"/>
  <c r="G103" i="82"/>
  <c r="DL103" i="82"/>
  <c r="CE103" i="82"/>
  <c r="DM103" i="82"/>
  <c r="AP103" i="82"/>
  <c r="BN103" i="82"/>
  <c r="AG103" i="82"/>
  <c r="R103" i="82"/>
  <c r="B103" i="82"/>
  <c r="C103" i="82" s="1"/>
  <c r="L103" i="82"/>
  <c r="AY103" i="82"/>
  <c r="J103" i="82"/>
  <c r="CK103" i="82"/>
  <c r="AO103" i="82"/>
  <c r="CZ103" i="82"/>
  <c r="AX104" i="82"/>
  <c r="AA42" i="82"/>
  <c r="BK3" i="82" l="1"/>
  <c r="A104" i="82"/>
  <c r="DF104" i="82" s="1"/>
  <c r="AA43" i="82"/>
  <c r="BN3" i="82" l="1"/>
  <c r="CR104" i="82"/>
  <c r="O104" i="82"/>
  <c r="AW104" i="82"/>
  <c r="DA104" i="82"/>
  <c r="AG104" i="82"/>
  <c r="BN104" i="82"/>
  <c r="Q104" i="82"/>
  <c r="DM104" i="82"/>
  <c r="AF104" i="82"/>
  <c r="T104" i="82"/>
  <c r="DD104" i="82"/>
  <c r="BZ104" i="82"/>
  <c r="J104" i="82"/>
  <c r="BG104" i="82"/>
  <c r="CE104" i="82"/>
  <c r="Y104" i="82"/>
  <c r="E104" i="82"/>
  <c r="L104" i="82"/>
  <c r="G104" i="82"/>
  <c r="BK104" i="82"/>
  <c r="R104" i="82"/>
  <c r="CP104" i="82"/>
  <c r="AJ104" i="82"/>
  <c r="AE104" i="82"/>
  <c r="AH104" i="82"/>
  <c r="AY104" i="82"/>
  <c r="H104" i="82"/>
  <c r="AN104" i="82"/>
  <c r="S104" i="82"/>
  <c r="AX105" i="82"/>
  <c r="BV105" i="82"/>
  <c r="F104" i="82"/>
  <c r="CI104" i="82"/>
  <c r="AC104" i="82"/>
  <c r="DL104" i="82"/>
  <c r="AP104" i="82"/>
  <c r="AD104" i="82"/>
  <c r="M104" i="82"/>
  <c r="I104" i="82"/>
  <c r="BF104" i="82"/>
  <c r="AR104" i="82"/>
  <c r="AI104" i="82"/>
  <c r="BD104" i="82"/>
  <c r="BP104" i="82"/>
  <c r="P104" i="82"/>
  <c r="AU104" i="82"/>
  <c r="CM104" i="82"/>
  <c r="AL104" i="82"/>
  <c r="AB104" i="82"/>
  <c r="B104" i="82"/>
  <c r="A105" i="82" s="1"/>
  <c r="CO104" i="82"/>
  <c r="Z104" i="82"/>
  <c r="CZ104" i="82"/>
  <c r="BA105" i="82"/>
  <c r="CH104" i="82"/>
  <c r="CC104" i="82"/>
  <c r="D104" i="82"/>
  <c r="K104" i="82"/>
  <c r="U104" i="82"/>
  <c r="DC104" i="82" s="1"/>
  <c r="AS104" i="82"/>
  <c r="CK104" i="82"/>
  <c r="AO104" i="82"/>
  <c r="AA44" i="82"/>
  <c r="BP3" i="82" l="1"/>
  <c r="J105" i="82"/>
  <c r="C104" i="82"/>
  <c r="CR105" i="82"/>
  <c r="AO105" i="82"/>
  <c r="CK105" i="82"/>
  <c r="BA106" i="82"/>
  <c r="CZ105" i="82"/>
  <c r="AS105" i="82"/>
  <c r="AJ105" i="82"/>
  <c r="AW105" i="82"/>
  <c r="BP105" i="82"/>
  <c r="BV106" i="82"/>
  <c r="BN105" i="82"/>
  <c r="P105" i="82"/>
  <c r="BG105" i="82"/>
  <c r="BK105" i="82"/>
  <c r="AD105" i="82"/>
  <c r="AY105" i="82"/>
  <c r="AG105" i="82"/>
  <c r="G105" i="82"/>
  <c r="B105" i="82"/>
  <c r="A106" i="82" s="1"/>
  <c r="AX106" i="82"/>
  <c r="I105" i="82"/>
  <c r="Y105" i="82"/>
  <c r="CE105" i="82"/>
  <c r="BF105" i="82"/>
  <c r="CM105" i="82"/>
  <c r="AH105" i="82"/>
  <c r="AC105" i="82"/>
  <c r="AE105" i="82"/>
  <c r="AF105" i="82"/>
  <c r="CH105" i="82"/>
  <c r="DF105" i="82"/>
  <c r="E105" i="82"/>
  <c r="H105" i="82"/>
  <c r="Z105" i="82"/>
  <c r="K105" i="82"/>
  <c r="AN105" i="82"/>
  <c r="D105" i="82"/>
  <c r="AR105" i="82"/>
  <c r="F105" i="82"/>
  <c r="S105" i="82"/>
  <c r="T105" i="82"/>
  <c r="AB105" i="82"/>
  <c r="DL105" i="82"/>
  <c r="AP105" i="82"/>
  <c r="AL105" i="82"/>
  <c r="DM105" i="82"/>
  <c r="AI105" i="82"/>
  <c r="R105" i="82"/>
  <c r="L105" i="82"/>
  <c r="BD105" i="82"/>
  <c r="CI105" i="82"/>
  <c r="AU105" i="82"/>
  <c r="M105" i="82"/>
  <c r="BZ105" i="82"/>
  <c r="DA105" i="82"/>
  <c r="U105" i="82"/>
  <c r="DC105" i="82" s="1"/>
  <c r="DD105" i="82"/>
  <c r="CP105" i="82"/>
  <c r="CC105" i="82"/>
  <c r="CO105" i="82"/>
  <c r="O105" i="82"/>
  <c r="Q105" i="82"/>
  <c r="AA45" i="82"/>
  <c r="C105" i="82" l="1"/>
  <c r="BW3" i="82"/>
  <c r="H106" i="82"/>
  <c r="CE106" i="82"/>
  <c r="BV107" i="82"/>
  <c r="CC106" i="82"/>
  <c r="AU106" i="82"/>
  <c r="AR106" i="82"/>
  <c r="CR106" i="82"/>
  <c r="CZ106" i="82"/>
  <c r="BA107" i="82"/>
  <c r="Q106" i="82"/>
  <c r="AO106" i="82"/>
  <c r="BG106" i="82"/>
  <c r="AD106" i="82"/>
  <c r="CK106" i="82"/>
  <c r="G106" i="82"/>
  <c r="P106" i="82"/>
  <c r="DF106" i="82"/>
  <c r="E106" i="82"/>
  <c r="AJ106" i="82"/>
  <c r="DM106" i="82"/>
  <c r="F106" i="82"/>
  <c r="BZ106" i="82"/>
  <c r="Y106" i="82"/>
  <c r="AF106" i="82"/>
  <c r="BP106" i="82"/>
  <c r="B106" i="82"/>
  <c r="L106" i="82"/>
  <c r="R106" i="82"/>
  <c r="M106" i="82"/>
  <c r="Z106" i="82"/>
  <c r="AC106" i="82"/>
  <c r="CP106" i="82"/>
  <c r="AP106" i="82"/>
  <c r="D106" i="82"/>
  <c r="S106" i="82"/>
  <c r="BF106" i="82"/>
  <c r="K106" i="82"/>
  <c r="AH106" i="82"/>
  <c r="CO106" i="82"/>
  <c r="AB106" i="82"/>
  <c r="I106" i="82"/>
  <c r="AY106" i="82"/>
  <c r="T106" i="82"/>
  <c r="AX107" i="82"/>
  <c r="AG106" i="82"/>
  <c r="DL106" i="82"/>
  <c r="AL106" i="82"/>
  <c r="DA106" i="82"/>
  <c r="AE106" i="82"/>
  <c r="CM106" i="82"/>
  <c r="AN106" i="82"/>
  <c r="AI106" i="82"/>
  <c r="DD106" i="82"/>
  <c r="AS106" i="82"/>
  <c r="BN106" i="82"/>
  <c r="CI106" i="82"/>
  <c r="BK106" i="82"/>
  <c r="O106" i="82"/>
  <c r="BD106" i="82"/>
  <c r="U106" i="82"/>
  <c r="DC106" i="82" s="1"/>
  <c r="J106" i="82"/>
  <c r="AW106" i="82"/>
  <c r="CH106" i="82"/>
  <c r="AA46" i="82"/>
  <c r="BX3" i="82" l="1"/>
  <c r="BZ3" i="82"/>
  <c r="A107" i="82"/>
  <c r="C106" i="82"/>
  <c r="AA47" i="82"/>
  <c r="CA3" i="82" l="1"/>
  <c r="K107" i="82"/>
  <c r="G107" i="82"/>
  <c r="BN107" i="82"/>
  <c r="BD107" i="82"/>
  <c r="P107" i="82"/>
  <c r="AL107" i="82"/>
  <c r="F107" i="82"/>
  <c r="DF107" i="82"/>
  <c r="CH107" i="82"/>
  <c r="AB107" i="82"/>
  <c r="CR107" i="82"/>
  <c r="H107" i="82"/>
  <c r="B107" i="82"/>
  <c r="C107" i="82" s="1"/>
  <c r="CI107" i="82"/>
  <c r="O107" i="82"/>
  <c r="DA107" i="82"/>
  <c r="CE107" i="82"/>
  <c r="AU107" i="82"/>
  <c r="AI107" i="82"/>
  <c r="AG107" i="82"/>
  <c r="DL107" i="82"/>
  <c r="I107" i="82"/>
  <c r="AO107" i="82"/>
  <c r="AN107" i="82"/>
  <c r="AR107" i="82"/>
  <c r="E107" i="82"/>
  <c r="CM107" i="82"/>
  <c r="DM107" i="82"/>
  <c r="T107" i="82"/>
  <c r="CC107" i="82"/>
  <c r="R107" i="82"/>
  <c r="J107" i="82"/>
  <c r="BZ107" i="82"/>
  <c r="Q107" i="82"/>
  <c r="BG107" i="82"/>
  <c r="BF107" i="82"/>
  <c r="AP107" i="82"/>
  <c r="AJ107" i="82"/>
  <c r="CP107" i="82"/>
  <c r="Y107" i="82"/>
  <c r="CZ107" i="82"/>
  <c r="AC107" i="82"/>
  <c r="BA108" i="82"/>
  <c r="D107" i="82"/>
  <c r="Z107" i="82"/>
  <c r="S107" i="82"/>
  <c r="L107" i="82"/>
  <c r="AW107" i="82"/>
  <c r="DD107" i="82"/>
  <c r="AS107" i="82"/>
  <c r="BV108" i="82"/>
  <c r="AH107" i="82"/>
  <c r="AX108" i="82"/>
  <c r="CK107" i="82"/>
  <c r="BK107" i="82"/>
  <c r="AF107" i="82"/>
  <c r="AD107" i="82"/>
  <c r="AY107" i="82"/>
  <c r="AE107" i="82"/>
  <c r="M107" i="82"/>
  <c r="CO107" i="82"/>
  <c r="BP107" i="82"/>
  <c r="U107" i="82"/>
  <c r="DC107" i="82" s="1"/>
  <c r="AA48" i="82"/>
  <c r="A108" i="82" l="1"/>
  <c r="AA49" i="82"/>
  <c r="CE3" i="82" l="1"/>
  <c r="CC108" i="82"/>
  <c r="CH108" i="82"/>
  <c r="AO108" i="82"/>
  <c r="O108" i="82"/>
  <c r="AJ108" i="82"/>
  <c r="K108" i="82"/>
  <c r="BP108" i="82"/>
  <c r="J108" i="82"/>
  <c r="Y108" i="82"/>
  <c r="Q108" i="82"/>
  <c r="I108" i="82"/>
  <c r="DA108" i="82"/>
  <c r="DM108" i="82"/>
  <c r="CM108" i="82"/>
  <c r="BV109" i="82"/>
  <c r="DD108" i="82"/>
  <c r="AS108" i="82"/>
  <c r="H108" i="82"/>
  <c r="CO108" i="82"/>
  <c r="L108" i="82"/>
  <c r="M108" i="82"/>
  <c r="AW108" i="82"/>
  <c r="G108" i="82"/>
  <c r="CZ108" i="82"/>
  <c r="CR108" i="82"/>
  <c r="F108" i="82"/>
  <c r="CE108" i="82"/>
  <c r="B108" i="82"/>
  <c r="C108" i="82" s="1"/>
  <c r="R108" i="82"/>
  <c r="AE108" i="82"/>
  <c r="BD108" i="82"/>
  <c r="BG108" i="82"/>
  <c r="BA109" i="82"/>
  <c r="P108" i="82"/>
  <c r="CK108" i="82"/>
  <c r="E108" i="82"/>
  <c r="AN108" i="82"/>
  <c r="CP108" i="82"/>
  <c r="AG108" i="82"/>
  <c r="BK108" i="82"/>
  <c r="AD108" i="82"/>
  <c r="AH108" i="82"/>
  <c r="Z108" i="82"/>
  <c r="U108" i="82"/>
  <c r="DC108" i="82" s="1"/>
  <c r="AB108" i="82"/>
  <c r="DF108" i="82"/>
  <c r="AI108" i="82"/>
  <c r="CI108" i="82"/>
  <c r="AP108" i="82"/>
  <c r="BZ108" i="82"/>
  <c r="DL108" i="82"/>
  <c r="AC108" i="82"/>
  <c r="AX109" i="82"/>
  <c r="AL108" i="82"/>
  <c r="T108" i="82"/>
  <c r="D108" i="82"/>
  <c r="AF108" i="82"/>
  <c r="AU108" i="82"/>
  <c r="S108" i="82"/>
  <c r="AR108" i="82"/>
  <c r="AY108" i="82"/>
  <c r="BF108" i="82"/>
  <c r="BN108" i="82"/>
  <c r="AA50" i="82"/>
  <c r="CG3" i="82" l="1"/>
  <c r="A109" i="82"/>
  <c r="AA51" i="82"/>
  <c r="AE109" i="82" l="1"/>
  <c r="DA109" i="82"/>
  <c r="AN109" i="82"/>
  <c r="BV110" i="82"/>
  <c r="G109" i="82"/>
  <c r="CI109" i="82"/>
  <c r="J109" i="82"/>
  <c r="BZ109" i="82"/>
  <c r="BP109" i="82"/>
  <c r="H109" i="82"/>
  <c r="AD109" i="82"/>
  <c r="K109" i="82"/>
  <c r="M109" i="82"/>
  <c r="CR109" i="82"/>
  <c r="L109" i="82"/>
  <c r="CP109" i="82"/>
  <c r="BG109" i="82"/>
  <c r="CK109" i="82"/>
  <c r="BK109" i="82"/>
  <c r="AX110" i="82"/>
  <c r="AF109" i="82"/>
  <c r="AW109" i="82"/>
  <c r="F109" i="82"/>
  <c r="CE109" i="82"/>
  <c r="B109" i="82"/>
  <c r="A110" i="82" s="1"/>
  <c r="BN109" i="82"/>
  <c r="AU109" i="82"/>
  <c r="AP109" i="82"/>
  <c r="AG109" i="82"/>
  <c r="Y109" i="82"/>
  <c r="AR109" i="82"/>
  <c r="I109" i="82"/>
  <c r="BF109" i="82"/>
  <c r="O109" i="82"/>
  <c r="BA110" i="82"/>
  <c r="CO109" i="82"/>
  <c r="AH109" i="82"/>
  <c r="T109" i="82"/>
  <c r="E109" i="82"/>
  <c r="Q109" i="82"/>
  <c r="AJ109" i="82"/>
  <c r="AS109" i="82"/>
  <c r="CZ109" i="82"/>
  <c r="AC109" i="82"/>
  <c r="Z109" i="82"/>
  <c r="BD109" i="82"/>
  <c r="CM109" i="82"/>
  <c r="DD109" i="82"/>
  <c r="AL109" i="82"/>
  <c r="AO109" i="82"/>
  <c r="CC109" i="82"/>
  <c r="U109" i="82"/>
  <c r="DC109" i="82" s="1"/>
  <c r="DL109" i="82"/>
  <c r="R109" i="82"/>
  <c r="CH109" i="82"/>
  <c r="P109" i="82"/>
  <c r="D109" i="82"/>
  <c r="DM109" i="82"/>
  <c r="AB109" i="82"/>
  <c r="S109" i="82"/>
  <c r="DF109" i="82"/>
  <c r="AI109" i="82"/>
  <c r="AY109" i="82"/>
  <c r="AA52" i="82"/>
  <c r="CJ3" i="82" l="1"/>
  <c r="C109" i="82"/>
  <c r="BG110" i="82"/>
  <c r="AJ110" i="82"/>
  <c r="AH110" i="82"/>
  <c r="AY110" i="82"/>
  <c r="AI110" i="82"/>
  <c r="CR110" i="82"/>
  <c r="G110" i="82"/>
  <c r="AE110" i="82"/>
  <c r="K110" i="82"/>
  <c r="AP110" i="82"/>
  <c r="AG110" i="82"/>
  <c r="BA111" i="82"/>
  <c r="DD110" i="82"/>
  <c r="BD110" i="82"/>
  <c r="BF110" i="82"/>
  <c r="L110" i="82"/>
  <c r="I110" i="82"/>
  <c r="CP110" i="82"/>
  <c r="AU110" i="82"/>
  <c r="AN110" i="82"/>
  <c r="U110" i="82"/>
  <c r="DC110" i="82" s="1"/>
  <c r="CM110" i="82"/>
  <c r="CH110" i="82"/>
  <c r="DL110" i="82"/>
  <c r="T110" i="82"/>
  <c r="R110" i="82"/>
  <c r="B110" i="82"/>
  <c r="C110" i="82" s="1"/>
  <c r="F110" i="82"/>
  <c r="AL110" i="82"/>
  <c r="AB110" i="82"/>
  <c r="J110" i="82"/>
  <c r="Q110" i="82"/>
  <c r="AO110" i="82"/>
  <c r="CI110" i="82"/>
  <c r="Y110" i="82"/>
  <c r="CZ110" i="82"/>
  <c r="DA110" i="82"/>
  <c r="BV111" i="82"/>
  <c r="AX111" i="82"/>
  <c r="CC110" i="82"/>
  <c r="AD110" i="82"/>
  <c r="BP110" i="82"/>
  <c r="CK110" i="82"/>
  <c r="M110" i="82"/>
  <c r="CO110" i="82"/>
  <c r="D110" i="82"/>
  <c r="BZ110" i="82"/>
  <c r="BN110" i="82"/>
  <c r="H110" i="82"/>
  <c r="AW110" i="82"/>
  <c r="S110" i="82"/>
  <c r="AF110" i="82"/>
  <c r="DM110" i="82"/>
  <c r="AC110" i="82"/>
  <c r="AS110" i="82"/>
  <c r="AR110" i="82"/>
  <c r="E110" i="82"/>
  <c r="P110" i="82"/>
  <c r="DF110" i="82"/>
  <c r="Z110" i="82"/>
  <c r="CE110" i="82"/>
  <c r="BK110" i="82"/>
  <c r="O110" i="82"/>
  <c r="AA53" i="82"/>
  <c r="CK3" i="82" l="1"/>
  <c r="A111" i="82"/>
  <c r="BD111" i="82" s="1"/>
  <c r="AA54" i="82"/>
  <c r="AH111" i="82" l="1"/>
  <c r="K111" i="82"/>
  <c r="AC111" i="82"/>
  <c r="S111" i="82"/>
  <c r="Z111" i="82"/>
  <c r="E111" i="82"/>
  <c r="CR111" i="82"/>
  <c r="I111" i="82"/>
  <c r="CO111" i="82"/>
  <c r="AD111" i="82"/>
  <c r="AX112" i="82"/>
  <c r="BP111" i="82"/>
  <c r="L111" i="82"/>
  <c r="AY111" i="82"/>
  <c r="BZ111" i="82"/>
  <c r="AW111" i="82"/>
  <c r="AB111" i="82"/>
  <c r="DL111" i="82"/>
  <c r="AL111" i="82"/>
  <c r="DA111" i="82"/>
  <c r="BA112" i="82"/>
  <c r="Q111" i="82"/>
  <c r="AR111" i="82"/>
  <c r="B111" i="82"/>
  <c r="A112" i="82" s="1"/>
  <c r="AP111" i="82"/>
  <c r="D111" i="82"/>
  <c r="CC111" i="82"/>
  <c r="AG111" i="82"/>
  <c r="AO111" i="82"/>
  <c r="AF111" i="82"/>
  <c r="BG111" i="82"/>
  <c r="DF111" i="82"/>
  <c r="M111" i="82"/>
  <c r="H111" i="82"/>
  <c r="AJ111" i="82"/>
  <c r="DM111" i="82"/>
  <c r="T111" i="82"/>
  <c r="R111" i="82"/>
  <c r="BN111" i="82"/>
  <c r="G111" i="82"/>
  <c r="AI111" i="82"/>
  <c r="F111" i="82"/>
  <c r="P111" i="82"/>
  <c r="CI111" i="82"/>
  <c r="O111" i="82"/>
  <c r="AN111" i="82"/>
  <c r="BF111" i="82"/>
  <c r="CZ111" i="82"/>
  <c r="AS111" i="82"/>
  <c r="BK111" i="82"/>
  <c r="CM111" i="82"/>
  <c r="CE111" i="82"/>
  <c r="U111" i="82"/>
  <c r="DC111" i="82" s="1"/>
  <c r="CK111" i="82"/>
  <c r="AU111" i="82"/>
  <c r="Y111" i="82"/>
  <c r="CP111" i="82"/>
  <c r="BV112" i="82"/>
  <c r="AE111" i="82"/>
  <c r="J111" i="82"/>
  <c r="CH111" i="82"/>
  <c r="DD111" i="82"/>
  <c r="AA55" i="82"/>
  <c r="C111" i="82" l="1"/>
  <c r="I112" i="82"/>
  <c r="CE112" i="82"/>
  <c r="AE112" i="82"/>
  <c r="T112" i="82"/>
  <c r="AF112" i="82"/>
  <c r="CI112" i="82"/>
  <c r="Q112" i="82"/>
  <c r="BA113" i="82"/>
  <c r="D112" i="82"/>
  <c r="Z112" i="82"/>
  <c r="DM112" i="82"/>
  <c r="E112" i="82"/>
  <c r="AD112" i="82"/>
  <c r="BF112" i="82"/>
  <c r="AH112" i="82"/>
  <c r="AO112" i="82"/>
  <c r="BP112" i="82"/>
  <c r="F112" i="82"/>
  <c r="DF112" i="82"/>
  <c r="DL112" i="82"/>
  <c r="CH112" i="82"/>
  <c r="AU112" i="82"/>
  <c r="B112" i="82"/>
  <c r="A113" i="82" s="1"/>
  <c r="M112" i="82"/>
  <c r="BN112" i="82"/>
  <c r="CK112" i="82"/>
  <c r="AN112" i="82"/>
  <c r="CC112" i="82"/>
  <c r="BZ112" i="82"/>
  <c r="J112" i="82"/>
  <c r="O112" i="82"/>
  <c r="AR112" i="82"/>
  <c r="BV113" i="82"/>
  <c r="CM112" i="82"/>
  <c r="P112" i="82"/>
  <c r="DA112" i="82"/>
  <c r="G112" i="82"/>
  <c r="AC112" i="82"/>
  <c r="CR112" i="82"/>
  <c r="H112" i="82"/>
  <c r="CP112" i="82"/>
  <c r="BK112" i="82"/>
  <c r="BG112" i="82"/>
  <c r="CO112" i="82"/>
  <c r="R112" i="82"/>
  <c r="AX113" i="82"/>
  <c r="AY112" i="82"/>
  <c r="AI112" i="82"/>
  <c r="Y112" i="82"/>
  <c r="AL112" i="82"/>
  <c r="K112" i="82"/>
  <c r="BD112" i="82"/>
  <c r="AG112" i="82"/>
  <c r="AW112" i="82"/>
  <c r="AB112" i="82"/>
  <c r="L112" i="82"/>
  <c r="AJ112" i="82"/>
  <c r="S112" i="82"/>
  <c r="AP112" i="82"/>
  <c r="DD112" i="82"/>
  <c r="CZ112" i="82"/>
  <c r="AS112" i="82"/>
  <c r="U112" i="82"/>
  <c r="DC112" i="82" s="1"/>
  <c r="AA56" i="82"/>
  <c r="CO3" i="82" l="1"/>
  <c r="C112" i="82"/>
  <c r="DF113" i="82"/>
  <c r="CR113" i="82"/>
  <c r="CC113" i="82"/>
  <c r="E113" i="82"/>
  <c r="U113" i="82"/>
  <c r="DC113" i="82" s="1"/>
  <c r="BA114" i="82"/>
  <c r="T113" i="82"/>
  <c r="J113" i="82"/>
  <c r="AE113" i="82"/>
  <c r="H113" i="82"/>
  <c r="AB113" i="82"/>
  <c r="BD113" i="82"/>
  <c r="AL113" i="82"/>
  <c r="BG113" i="82"/>
  <c r="CP113" i="82"/>
  <c r="I113" i="82"/>
  <c r="S113" i="82"/>
  <c r="M113" i="82"/>
  <c r="Q113" i="82"/>
  <c r="AS113" i="82"/>
  <c r="AC113" i="82"/>
  <c r="AF113" i="82"/>
  <c r="CO113" i="82"/>
  <c r="BZ113" i="82"/>
  <c r="DA113" i="82"/>
  <c r="CH113" i="82"/>
  <c r="AG113" i="82"/>
  <c r="CM113" i="82"/>
  <c r="AX114" i="82"/>
  <c r="BK113" i="82"/>
  <c r="CI113" i="82"/>
  <c r="BF113" i="82"/>
  <c r="BP113" i="82"/>
  <c r="R113" i="82"/>
  <c r="AH113" i="82"/>
  <c r="AW113" i="82"/>
  <c r="AN113" i="82"/>
  <c r="D113" i="82"/>
  <c r="AO113" i="82"/>
  <c r="B113" i="82"/>
  <c r="C113" i="82" s="1"/>
  <c r="G113" i="82"/>
  <c r="BN113" i="82"/>
  <c r="AR113" i="82"/>
  <c r="F113" i="82"/>
  <c r="AD113" i="82"/>
  <c r="L113" i="82"/>
  <c r="CK113" i="82"/>
  <c r="AP113" i="82"/>
  <c r="K113" i="82"/>
  <c r="AJ113" i="82"/>
  <c r="Z113" i="82"/>
  <c r="BV114" i="82"/>
  <c r="DD113" i="82"/>
  <c r="AY113" i="82"/>
  <c r="CZ113" i="82"/>
  <c r="P113" i="82"/>
  <c r="O113" i="82"/>
  <c r="Y113" i="82"/>
  <c r="DL113" i="82"/>
  <c r="AU113" i="82"/>
  <c r="CE113" i="82"/>
  <c r="DM113" i="82"/>
  <c r="AI113" i="82"/>
  <c r="AA57" i="82"/>
  <c r="CP3" i="82" l="1"/>
  <c r="A114" i="82"/>
  <c r="AR114" i="82" s="1"/>
  <c r="AA58" i="82"/>
  <c r="CQ3" i="82" l="1"/>
  <c r="CP114" i="82"/>
  <c r="CE114" i="82"/>
  <c r="BD114" i="82"/>
  <c r="DA114" i="82"/>
  <c r="AI114" i="82"/>
  <c r="M114" i="82"/>
  <c r="BA115" i="82"/>
  <c r="CO114" i="82"/>
  <c r="AF114" i="82"/>
  <c r="AP114" i="82"/>
  <c r="AY114" i="82"/>
  <c r="AB114" i="82"/>
  <c r="E114" i="82"/>
  <c r="AL114" i="82"/>
  <c r="DM114" i="82"/>
  <c r="CK114" i="82"/>
  <c r="AX115" i="82"/>
  <c r="Y114" i="82"/>
  <c r="B114" i="82"/>
  <c r="C114" i="82" s="1"/>
  <c r="BF114" i="82"/>
  <c r="CZ114" i="82"/>
  <c r="F114" i="82"/>
  <c r="S114" i="82"/>
  <c r="D114" i="82"/>
  <c r="AC114" i="82"/>
  <c r="I114" i="82"/>
  <c r="DD114" i="82"/>
  <c r="BP114" i="82"/>
  <c r="CH114" i="82"/>
  <c r="CI114" i="82"/>
  <c r="AH114" i="82"/>
  <c r="AO114" i="82"/>
  <c r="CM114" i="82"/>
  <c r="BZ114" i="82"/>
  <c r="Q114" i="82"/>
  <c r="CC114" i="82"/>
  <c r="AS114" i="82"/>
  <c r="AN114" i="82"/>
  <c r="H114" i="82"/>
  <c r="T114" i="82"/>
  <c r="Z114" i="82"/>
  <c r="AD114" i="82"/>
  <c r="K114" i="82"/>
  <c r="L114" i="82"/>
  <c r="U114" i="82"/>
  <c r="DC114" i="82" s="1"/>
  <c r="AJ114" i="82"/>
  <c r="BK114" i="82"/>
  <c r="BN114" i="82"/>
  <c r="DL114" i="82"/>
  <c r="CR114" i="82"/>
  <c r="J114" i="82"/>
  <c r="O114" i="82"/>
  <c r="AW114" i="82"/>
  <c r="BG114" i="82"/>
  <c r="R114" i="82"/>
  <c r="G114" i="82"/>
  <c r="P114" i="82"/>
  <c r="BV115" i="82"/>
  <c r="DF114" i="82"/>
  <c r="AE114" i="82"/>
  <c r="AU114" i="82"/>
  <c r="AG114" i="82"/>
  <c r="AA59" i="82"/>
  <c r="CR3" i="82" l="1"/>
  <c r="A115" i="82"/>
  <c r="L115" i="82" s="1"/>
  <c r="AA60" i="82"/>
  <c r="CM115" i="82" l="1"/>
  <c r="BA116" i="82"/>
  <c r="AW115" i="82"/>
  <c r="Q115" i="82"/>
  <c r="CR115" i="82"/>
  <c r="Y115" i="82"/>
  <c r="BF115" i="82"/>
  <c r="U115" i="82"/>
  <c r="DC115" i="82" s="1"/>
  <c r="CK115" i="82"/>
  <c r="T115" i="82"/>
  <c r="CI115" i="82"/>
  <c r="H115" i="82"/>
  <c r="G115" i="82"/>
  <c r="D115" i="82"/>
  <c r="E115" i="82"/>
  <c r="K115" i="82"/>
  <c r="AR115" i="82"/>
  <c r="DL115" i="82"/>
  <c r="O115" i="82"/>
  <c r="AP115" i="82"/>
  <c r="CP115" i="82"/>
  <c r="CE115" i="82"/>
  <c r="BV116" i="82"/>
  <c r="AN115" i="82"/>
  <c r="J115" i="82"/>
  <c r="CZ115" i="82"/>
  <c r="DF115" i="82"/>
  <c r="AL115" i="82"/>
  <c r="S115" i="82"/>
  <c r="CC115" i="82"/>
  <c r="AJ115" i="82"/>
  <c r="P115" i="82"/>
  <c r="AY115" i="82"/>
  <c r="AG115" i="82"/>
  <c r="BZ115" i="82"/>
  <c r="CO115" i="82"/>
  <c r="I115" i="82"/>
  <c r="AH115" i="82"/>
  <c r="AX116" i="82"/>
  <c r="R115" i="82"/>
  <c r="BG115" i="82"/>
  <c r="M115" i="82"/>
  <c r="AD115" i="82"/>
  <c r="DD115" i="82"/>
  <c r="AU115" i="82"/>
  <c r="DA115" i="82"/>
  <c r="CH115" i="82"/>
  <c r="BN115" i="82"/>
  <c r="F115" i="82"/>
  <c r="AS115" i="82"/>
  <c r="AB115" i="82"/>
  <c r="AF115" i="82"/>
  <c r="BK115" i="82"/>
  <c r="B115" i="82"/>
  <c r="A116" i="82" s="1"/>
  <c r="DL116" i="82" s="1"/>
  <c r="AE115" i="82"/>
  <c r="BD115" i="82"/>
  <c r="BP115" i="82"/>
  <c r="AC115" i="82"/>
  <c r="Z115" i="82"/>
  <c r="AI115" i="82"/>
  <c r="DM115" i="82"/>
  <c r="AO115" i="82"/>
  <c r="AA61" i="82"/>
  <c r="AO116" i="82" l="1"/>
  <c r="AH116" i="82"/>
  <c r="DD116" i="82"/>
  <c r="AS116" i="82"/>
  <c r="E116" i="82"/>
  <c r="T116" i="82"/>
  <c r="I116" i="82"/>
  <c r="Y116" i="82"/>
  <c r="CI116" i="82"/>
  <c r="BV117" i="82"/>
  <c r="R116" i="82"/>
  <c r="CP116" i="82"/>
  <c r="CC116" i="82"/>
  <c r="AF116" i="82"/>
  <c r="AP116" i="82"/>
  <c r="AR116" i="82"/>
  <c r="AD116" i="82"/>
  <c r="K116" i="82"/>
  <c r="BG116" i="82"/>
  <c r="AN116" i="82"/>
  <c r="F116" i="82"/>
  <c r="Q116" i="82"/>
  <c r="BK116" i="82"/>
  <c r="CR116" i="82"/>
  <c r="DF116" i="82"/>
  <c r="AI116" i="82"/>
  <c r="Z116" i="82"/>
  <c r="J116" i="82"/>
  <c r="CE116" i="82"/>
  <c r="P116" i="82"/>
  <c r="AL116" i="82"/>
  <c r="G116" i="82"/>
  <c r="AG116" i="82"/>
  <c r="CK116" i="82"/>
  <c r="AC116" i="82"/>
  <c r="AX117" i="82"/>
  <c r="AB116" i="82"/>
  <c r="CM116" i="82"/>
  <c r="M116" i="82"/>
  <c r="S116" i="82"/>
  <c r="BP116" i="82"/>
  <c r="BN116" i="82"/>
  <c r="DA116" i="82"/>
  <c r="AU116" i="82"/>
  <c r="BA117" i="82"/>
  <c r="AJ116" i="82"/>
  <c r="B116" i="82"/>
  <c r="C116" i="82" s="1"/>
  <c r="BD116" i="82"/>
  <c r="CH116" i="82"/>
  <c r="L116" i="82"/>
  <c r="BF116" i="82"/>
  <c r="AY116" i="82"/>
  <c r="CZ116" i="82"/>
  <c r="AW116" i="82"/>
  <c r="U116" i="82"/>
  <c r="DC116" i="82" s="1"/>
  <c r="O116" i="82"/>
  <c r="AE116" i="82"/>
  <c r="CO116" i="82"/>
  <c r="D116" i="82"/>
  <c r="DM116" i="82"/>
  <c r="H116" i="82"/>
  <c r="BZ116" i="82"/>
  <c r="C115" i="82"/>
  <c r="AA62" i="82"/>
  <c r="A117" i="82" l="1"/>
  <c r="B117" i="82" s="1"/>
  <c r="C117" i="82" s="1"/>
  <c r="AA63" i="82"/>
  <c r="F117" i="82" l="1"/>
  <c r="AN117" i="82"/>
  <c r="S117" i="82"/>
  <c r="AC117" i="82"/>
  <c r="CH117" i="82"/>
  <c r="AE117" i="82"/>
  <c r="G117" i="82"/>
  <c r="O117" i="82"/>
  <c r="A118" i="82"/>
  <c r="DF117" i="82"/>
  <c r="DA117" i="82"/>
  <c r="BZ117" i="82"/>
  <c r="T117" i="82"/>
  <c r="P117" i="82"/>
  <c r="AY117" i="82"/>
  <c r="AO117" i="82"/>
  <c r="AI117" i="82"/>
  <c r="Z117" i="82"/>
  <c r="BP117" i="82"/>
  <c r="AB117" i="82"/>
  <c r="AG117" i="82"/>
  <c r="H117" i="82"/>
  <c r="AS117" i="82"/>
  <c r="DL117" i="82"/>
  <c r="CM117" i="82"/>
  <c r="L117" i="82"/>
  <c r="AH117" i="82"/>
  <c r="K117" i="82"/>
  <c r="AR117" i="82"/>
  <c r="BN117" i="82"/>
  <c r="CE117" i="82"/>
  <c r="BA118" i="82"/>
  <c r="CO117" i="82"/>
  <c r="DD117" i="82"/>
  <c r="D117" i="82"/>
  <c r="R117" i="82"/>
  <c r="AP117" i="82"/>
  <c r="BK117" i="82"/>
  <c r="CK117" i="82"/>
  <c r="BV118" i="82"/>
  <c r="Q117" i="82"/>
  <c r="AW117" i="82"/>
  <c r="AD117" i="82"/>
  <c r="BD117" i="82"/>
  <c r="AJ117" i="82"/>
  <c r="AU117" i="82"/>
  <c r="I117" i="82"/>
  <c r="BG117" i="82"/>
  <c r="CV3" i="82"/>
  <c r="DM117" i="82"/>
  <c r="BF117" i="82"/>
  <c r="U117" i="82"/>
  <c r="DC117" i="82" s="1"/>
  <c r="J117" i="82"/>
  <c r="CR117" i="82"/>
  <c r="M117" i="82"/>
  <c r="CC117" i="82"/>
  <c r="E117" i="82"/>
  <c r="CI117" i="82"/>
  <c r="CP117" i="82"/>
  <c r="AF117" i="82"/>
  <c r="Y117" i="82"/>
  <c r="AL117" i="82"/>
  <c r="AX118" i="82"/>
  <c r="CZ117" i="82"/>
  <c r="AA64" i="82"/>
  <c r="BF118" i="82" l="1"/>
  <c r="AR118" i="82"/>
  <c r="H118" i="82"/>
  <c r="BG118" i="82"/>
  <c r="CH118" i="82"/>
  <c r="Q118" i="82"/>
  <c r="AH118" i="82"/>
  <c r="CE118" i="82"/>
  <c r="G118" i="82"/>
  <c r="CZ118" i="82"/>
  <c r="AI118" i="82"/>
  <c r="CK118" i="82"/>
  <c r="AB118" i="82"/>
  <c r="S118" i="82"/>
  <c r="K118" i="82"/>
  <c r="AX119" i="82"/>
  <c r="E118" i="82"/>
  <c r="Z118" i="82"/>
  <c r="CO118" i="82"/>
  <c r="DA118" i="82"/>
  <c r="CI118" i="82"/>
  <c r="BK118" i="82"/>
  <c r="AO118" i="82"/>
  <c r="B118" i="82"/>
  <c r="A119" i="82" s="1"/>
  <c r="AD118" i="82"/>
  <c r="U118" i="82"/>
  <c r="DC118" i="82" s="1"/>
  <c r="O118" i="82"/>
  <c r="BZ118" i="82"/>
  <c r="AY118" i="82"/>
  <c r="T118" i="82"/>
  <c r="J118" i="82"/>
  <c r="BV119" i="82"/>
  <c r="DL118" i="82"/>
  <c r="AP118" i="82"/>
  <c r="DF118" i="82"/>
  <c r="BP118" i="82"/>
  <c r="AU118" i="82"/>
  <c r="I118" i="82"/>
  <c r="P118" i="82"/>
  <c r="AS118" i="82"/>
  <c r="BA119" i="82"/>
  <c r="AW118" i="82"/>
  <c r="R118" i="82"/>
  <c r="L118" i="82"/>
  <c r="AJ118" i="82"/>
  <c r="CM118" i="82"/>
  <c r="DM118" i="82"/>
  <c r="AG118" i="82"/>
  <c r="BN118" i="82"/>
  <c r="AC118" i="82"/>
  <c r="F118" i="82"/>
  <c r="AE118" i="82"/>
  <c r="CP118" i="82"/>
  <c r="DD118" i="82"/>
  <c r="AN118" i="82"/>
  <c r="D118" i="82"/>
  <c r="AF118" i="82"/>
  <c r="BD118" i="82"/>
  <c r="Y118" i="82"/>
  <c r="CR118" i="82"/>
  <c r="M118" i="82"/>
  <c r="AL118" i="82"/>
  <c r="CC118" i="82"/>
  <c r="AA65" i="82"/>
  <c r="BZ119" i="82" l="1"/>
  <c r="C118" i="82"/>
  <c r="M119" i="82"/>
  <c r="CM119" i="82"/>
  <c r="U119" i="82"/>
  <c r="DC119" i="82" s="1"/>
  <c r="BN119" i="82"/>
  <c r="CO119" i="82"/>
  <c r="Z119" i="82"/>
  <c r="BV120" i="82"/>
  <c r="CZ119" i="82"/>
  <c r="AU119" i="82"/>
  <c r="AX120" i="82"/>
  <c r="AJ119" i="82"/>
  <c r="CP119" i="82"/>
  <c r="CE119" i="82"/>
  <c r="T119" i="82"/>
  <c r="AS119" i="82"/>
  <c r="BP119" i="82"/>
  <c r="R119" i="82"/>
  <c r="L119" i="82"/>
  <c r="AY119" i="82"/>
  <c r="AI119" i="82"/>
  <c r="AE119" i="82"/>
  <c r="AN119" i="82"/>
  <c r="DA119" i="82"/>
  <c r="AP119" i="82"/>
  <c r="O119" i="82"/>
  <c r="B119" i="82"/>
  <c r="C119" i="82" s="1"/>
  <c r="DF119" i="82"/>
  <c r="AD119" i="82"/>
  <c r="CK119" i="82"/>
  <c r="AB119" i="82"/>
  <c r="F119" i="82"/>
  <c r="K119" i="82"/>
  <c r="AC119" i="82"/>
  <c r="CR119" i="82"/>
  <c r="P119" i="82"/>
  <c r="BG119" i="82"/>
  <c r="DD119" i="82"/>
  <c r="AL119" i="82"/>
  <c r="Y119" i="82"/>
  <c r="AO119" i="82"/>
  <c r="BF119" i="82"/>
  <c r="AH119" i="82"/>
  <c r="H119" i="82"/>
  <c r="BD119" i="82"/>
  <c r="J119" i="82"/>
  <c r="E119" i="82"/>
  <c r="CI119" i="82"/>
  <c r="BA120" i="82"/>
  <c r="AR119" i="82"/>
  <c r="DL119" i="82"/>
  <c r="AF119" i="82"/>
  <c r="AG119" i="82"/>
  <c r="I119" i="82"/>
  <c r="CC119" i="82"/>
  <c r="G119" i="82"/>
  <c r="CH119" i="82"/>
  <c r="S119" i="82"/>
  <c r="DM119" i="82"/>
  <c r="BK119" i="82"/>
  <c r="D119" i="82"/>
  <c r="AW119" i="82"/>
  <c r="Q119" i="82"/>
  <c r="CX3" i="82"/>
  <c r="AA66" i="82"/>
  <c r="A120" i="82" l="1"/>
  <c r="CY3" i="82"/>
  <c r="AA67" i="82"/>
  <c r="AJ120" i="82" l="1"/>
  <c r="CE120" i="82"/>
  <c r="AB120" i="82"/>
  <c r="BF120" i="82"/>
  <c r="AW120" i="82"/>
  <c r="H120" i="82"/>
  <c r="CO120" i="82"/>
  <c r="CK120" i="82"/>
  <c r="AG120" i="82"/>
  <c r="CR120" i="82"/>
  <c r="BN120" i="82"/>
  <c r="G120" i="82"/>
  <c r="T120" i="82"/>
  <c r="R120" i="82"/>
  <c r="I120" i="82"/>
  <c r="AF120" i="82"/>
  <c r="M120" i="82"/>
  <c r="AP120" i="82"/>
  <c r="BK120" i="82"/>
  <c r="DD120" i="82"/>
  <c r="B120" i="82"/>
  <c r="D120" i="82"/>
  <c r="AC120" i="82"/>
  <c r="Q120" i="82"/>
  <c r="BD120" i="82"/>
  <c r="AR120" i="82"/>
  <c r="BP120" i="82"/>
  <c r="CI120" i="82"/>
  <c r="CZ120" i="82"/>
  <c r="BZ120" i="82"/>
  <c r="L120" i="82"/>
  <c r="J120" i="82"/>
  <c r="AX121" i="82"/>
  <c r="K120" i="82"/>
  <c r="P120" i="82"/>
  <c r="DF120" i="82"/>
  <c r="F120" i="82"/>
  <c r="AY120" i="82"/>
  <c r="S120" i="82"/>
  <c r="CH120" i="82"/>
  <c r="AH120" i="82"/>
  <c r="CC120" i="82"/>
  <c r="DA120" i="82"/>
  <c r="BV121" i="82"/>
  <c r="DL120" i="82"/>
  <c r="O120" i="82"/>
  <c r="CP120" i="82"/>
  <c r="AE120" i="82"/>
  <c r="DM120" i="82"/>
  <c r="Z120" i="82"/>
  <c r="AD120" i="82"/>
  <c r="U120" i="82"/>
  <c r="DC120" i="82" s="1"/>
  <c r="AL120" i="82"/>
  <c r="AS120" i="82"/>
  <c r="CM120" i="82"/>
  <c r="AU120" i="82"/>
  <c r="AO120" i="82"/>
  <c r="AI120" i="82"/>
  <c r="AN120" i="82"/>
  <c r="Y120" i="82"/>
  <c r="E120" i="82"/>
  <c r="BG120" i="82"/>
  <c r="BA121" i="82"/>
  <c r="AA68" i="82"/>
  <c r="A121" i="82" l="1"/>
  <c r="C120" i="82"/>
  <c r="DA3" i="82"/>
  <c r="AA69" i="82"/>
  <c r="B121" i="82" l="1"/>
  <c r="A122" i="82" s="1"/>
  <c r="CI121" i="82"/>
  <c r="AH121" i="82"/>
  <c r="S121" i="82"/>
  <c r="M121" i="82"/>
  <c r="AF121" i="82"/>
  <c r="AI121" i="82"/>
  <c r="U121" i="82"/>
  <c r="DC121" i="82" s="1"/>
  <c r="AN121" i="82"/>
  <c r="H121" i="82"/>
  <c r="CM121" i="82"/>
  <c r="AY121" i="82"/>
  <c r="CE121" i="82"/>
  <c r="I121" i="82"/>
  <c r="AG121" i="82"/>
  <c r="Y121" i="82"/>
  <c r="D121" i="82"/>
  <c r="CP121" i="82"/>
  <c r="F121" i="82"/>
  <c r="G121" i="82"/>
  <c r="AJ121" i="82"/>
  <c r="AB121" i="82"/>
  <c r="CZ121" i="82"/>
  <c r="AD121" i="82"/>
  <c r="BN121" i="82"/>
  <c r="BD121" i="82"/>
  <c r="DD121" i="82"/>
  <c r="O121" i="82"/>
  <c r="AS121" i="82"/>
  <c r="DF121" i="82"/>
  <c r="AE121" i="82"/>
  <c r="AX122" i="82"/>
  <c r="T121" i="82"/>
  <c r="AR121" i="82"/>
  <c r="K121" i="82"/>
  <c r="AO121" i="82"/>
  <c r="Q121" i="82"/>
  <c r="BZ121" i="82"/>
  <c r="DL121" i="82"/>
  <c r="AL121" i="82"/>
  <c r="P121" i="82"/>
  <c r="CR121" i="82"/>
  <c r="BK121" i="82"/>
  <c r="R121" i="82"/>
  <c r="CO121" i="82"/>
  <c r="BV122" i="82"/>
  <c r="CK121" i="82"/>
  <c r="L121" i="82"/>
  <c r="BG121" i="82"/>
  <c r="DA121" i="82"/>
  <c r="Z121" i="82"/>
  <c r="DM121" i="82"/>
  <c r="AU121" i="82"/>
  <c r="AW121" i="82"/>
  <c r="BA122" i="82"/>
  <c r="AC121" i="82"/>
  <c r="CC121" i="82"/>
  <c r="CH121" i="82"/>
  <c r="AP121" i="82"/>
  <c r="BP121" i="82"/>
  <c r="J121" i="82"/>
  <c r="E121" i="82"/>
  <c r="BF121" i="82"/>
  <c r="AA70" i="82"/>
  <c r="G122" i="82" l="1"/>
  <c r="AG122" i="82"/>
  <c r="Z122" i="82"/>
  <c r="BK122" i="82"/>
  <c r="O122" i="82"/>
  <c r="C121" i="82"/>
  <c r="CC122" i="82"/>
  <c r="K122" i="82"/>
  <c r="I122" i="82"/>
  <c r="F122" i="82"/>
  <c r="BF122" i="82"/>
  <c r="BG122" i="82"/>
  <c r="E122" i="82"/>
  <c r="AW122" i="82"/>
  <c r="AL122" i="82"/>
  <c r="BN122" i="82"/>
  <c r="CP122" i="82"/>
  <c r="AY122" i="82"/>
  <c r="AF122" i="82"/>
  <c r="DA122" i="82"/>
  <c r="CR122" i="82"/>
  <c r="P122" i="82"/>
  <c r="CE122" i="82"/>
  <c r="J122" i="82"/>
  <c r="CK122" i="82"/>
  <c r="DL122" i="82"/>
  <c r="AX123" i="82"/>
  <c r="AD122" i="82"/>
  <c r="CM122" i="82"/>
  <c r="M122" i="82"/>
  <c r="T122" i="82"/>
  <c r="BP122" i="82"/>
  <c r="AU122" i="82"/>
  <c r="AE122" i="82"/>
  <c r="AC122" i="82"/>
  <c r="AP122" i="82"/>
  <c r="DM122" i="82"/>
  <c r="CO122" i="82"/>
  <c r="DF122" i="82"/>
  <c r="AB122" i="82"/>
  <c r="AI122" i="82"/>
  <c r="CH122" i="82"/>
  <c r="R122" i="82"/>
  <c r="AO122" i="82"/>
  <c r="AS122" i="82"/>
  <c r="AJ122" i="82"/>
  <c r="Y122" i="82"/>
  <c r="AN122" i="82"/>
  <c r="H122" i="82"/>
  <c r="S122" i="82"/>
  <c r="AH122" i="82"/>
  <c r="CI122" i="82"/>
  <c r="D122" i="82"/>
  <c r="B122" i="82"/>
  <c r="C122" i="82" s="1"/>
  <c r="BA123" i="82"/>
  <c r="L122" i="82"/>
  <c r="BD122" i="82"/>
  <c r="Q122" i="82"/>
  <c r="AR122" i="82"/>
  <c r="BZ122" i="82"/>
  <c r="BV123" i="82"/>
  <c r="CZ122" i="82"/>
  <c r="DD122" i="82"/>
  <c r="U122" i="82"/>
  <c r="DC122" i="82" s="1"/>
  <c r="AA71" i="82"/>
  <c r="A123" i="82" l="1"/>
  <c r="DD3" i="82"/>
  <c r="AA72" i="82"/>
  <c r="DL123" i="82" l="1"/>
  <c r="AU123" i="82"/>
  <c r="AI123" i="82"/>
  <c r="E123" i="82"/>
  <c r="BG123" i="82"/>
  <c r="U123" i="82"/>
  <c r="DC123" i="82" s="1"/>
  <c r="CH123" i="82"/>
  <c r="AG123" i="82"/>
  <c r="BK123" i="82"/>
  <c r="CO123" i="82"/>
  <c r="AJ123" i="82"/>
  <c r="K123" i="82"/>
  <c r="AC123" i="82"/>
  <c r="B123" i="82"/>
  <c r="A124" i="82" s="1"/>
  <c r="M123" i="82"/>
  <c r="AR123" i="82"/>
  <c r="DD123" i="82"/>
  <c r="AP123" i="82"/>
  <c r="AB123" i="82"/>
  <c r="BZ123" i="82"/>
  <c r="AE123" i="82"/>
  <c r="DM123" i="82"/>
  <c r="CC123" i="82"/>
  <c r="AO123" i="82"/>
  <c r="Z123" i="82"/>
  <c r="BD123" i="82"/>
  <c r="Y123" i="82"/>
  <c r="T123" i="82"/>
  <c r="I123" i="82"/>
  <c r="AW123" i="82"/>
  <c r="D123" i="82"/>
  <c r="AD123" i="82"/>
  <c r="BP123" i="82"/>
  <c r="H123" i="82"/>
  <c r="BF123" i="82"/>
  <c r="BN123" i="82"/>
  <c r="J123" i="82"/>
  <c r="DA123" i="82"/>
  <c r="BV124" i="82"/>
  <c r="CZ123" i="82"/>
  <c r="CP123" i="82"/>
  <c r="L123" i="82"/>
  <c r="Q123" i="82"/>
  <c r="AL123" i="82"/>
  <c r="AY123" i="82"/>
  <c r="R123" i="82"/>
  <c r="CI123" i="82"/>
  <c r="CK123" i="82"/>
  <c r="BA124" i="82"/>
  <c r="F123" i="82"/>
  <c r="CM123" i="82"/>
  <c r="AN123" i="82"/>
  <c r="DF123" i="82"/>
  <c r="O123" i="82"/>
  <c r="AH123" i="82"/>
  <c r="P123" i="82"/>
  <c r="G123" i="82"/>
  <c r="CE123" i="82"/>
  <c r="AX124" i="82"/>
  <c r="CR123" i="82"/>
  <c r="AF123" i="82"/>
  <c r="S123" i="82"/>
  <c r="AS123" i="82"/>
  <c r="AA73" i="82"/>
  <c r="C123" i="82" l="1"/>
  <c r="G124" i="82"/>
  <c r="CM124" i="82"/>
  <c r="DF124" i="82"/>
  <c r="B124" i="82"/>
  <c r="A125" i="82" s="1"/>
  <c r="F124" i="82"/>
  <c r="AB124" i="82"/>
  <c r="AU124" i="82"/>
  <c r="Y124" i="82"/>
  <c r="S124" i="82"/>
  <c r="U124" i="82"/>
  <c r="DC124" i="82" s="1"/>
  <c r="AH124" i="82"/>
  <c r="CR124" i="82"/>
  <c r="AG124" i="82"/>
  <c r="BD124" i="82"/>
  <c r="J124" i="82"/>
  <c r="L124" i="82"/>
  <c r="AN124" i="82"/>
  <c r="BA125" i="82"/>
  <c r="AI124" i="82"/>
  <c r="AD124" i="82"/>
  <c r="CP124" i="82"/>
  <c r="AP124" i="82"/>
  <c r="H124" i="82"/>
  <c r="T124" i="82"/>
  <c r="BV125" i="82"/>
  <c r="AW124" i="82"/>
  <c r="DM124" i="82"/>
  <c r="DD124" i="82"/>
  <c r="BN124" i="82"/>
  <c r="AL124" i="82"/>
  <c r="DA124" i="82"/>
  <c r="CH124" i="82"/>
  <c r="E124" i="82"/>
  <c r="D124" i="82"/>
  <c r="Z124" i="82"/>
  <c r="BF124" i="82"/>
  <c r="O124" i="82"/>
  <c r="BP124" i="82"/>
  <c r="K124" i="82"/>
  <c r="AS124" i="82"/>
  <c r="AC124" i="82"/>
  <c r="CZ124" i="82"/>
  <c r="BK124" i="82"/>
  <c r="M124" i="82"/>
  <c r="AF124" i="82"/>
  <c r="CO124" i="82"/>
  <c r="AR124" i="82"/>
  <c r="R124" i="82"/>
  <c r="P124" i="82"/>
  <c r="BG124" i="82"/>
  <c r="DL124" i="82"/>
  <c r="AJ124" i="82"/>
  <c r="CC124" i="82"/>
  <c r="AY124" i="82"/>
  <c r="CI124" i="82"/>
  <c r="I124" i="82"/>
  <c r="CE124" i="82"/>
  <c r="AO124" i="82"/>
  <c r="AE124" i="82"/>
  <c r="AX125" i="82"/>
  <c r="CK124" i="82"/>
  <c r="BZ124" i="82"/>
  <c r="Q124" i="82"/>
  <c r="AA74" i="82"/>
  <c r="C124" i="82" l="1"/>
  <c r="BK125" i="82"/>
  <c r="J125" i="82"/>
  <c r="AY125" i="82"/>
  <c r="DM125" i="82"/>
  <c r="AS125" i="82"/>
  <c r="BP125" i="82"/>
  <c r="L125" i="82"/>
  <c r="H125" i="82"/>
  <c r="I125" i="82"/>
  <c r="AI125" i="82"/>
  <c r="U125" i="82"/>
  <c r="DC125" i="82" s="1"/>
  <c r="B125" i="82"/>
  <c r="C125" i="82" s="1"/>
  <c r="M125" i="82"/>
  <c r="AE125" i="82"/>
  <c r="DD125" i="82"/>
  <c r="AW125" i="82"/>
  <c r="AP125" i="82"/>
  <c r="BD125" i="82"/>
  <c r="BV126" i="82"/>
  <c r="CO125" i="82"/>
  <c r="Z125" i="82"/>
  <c r="AH125" i="82"/>
  <c r="CZ125" i="82"/>
  <c r="CP125" i="82"/>
  <c r="BA126" i="82"/>
  <c r="DF125" i="82"/>
  <c r="P125" i="82"/>
  <c r="AC125" i="82"/>
  <c r="AL125" i="82"/>
  <c r="BN125" i="82"/>
  <c r="AF125" i="82"/>
  <c r="CC125" i="82"/>
  <c r="BZ125" i="82"/>
  <c r="CH125" i="82"/>
  <c r="AD125" i="82"/>
  <c r="BF125" i="82"/>
  <c r="Q125" i="82"/>
  <c r="O125" i="82"/>
  <c r="F125" i="82"/>
  <c r="T125" i="82"/>
  <c r="AB125" i="82"/>
  <c r="AX126" i="82"/>
  <c r="R125" i="82"/>
  <c r="CE125" i="82"/>
  <c r="D125" i="82"/>
  <c r="DA125" i="82"/>
  <c r="AU125" i="82"/>
  <c r="AR125" i="82"/>
  <c r="CI125" i="82"/>
  <c r="AO125" i="82"/>
  <c r="Y125" i="82"/>
  <c r="CM125" i="82"/>
  <c r="K125" i="82"/>
  <c r="E125" i="82"/>
  <c r="CR125" i="82"/>
  <c r="BG125" i="82"/>
  <c r="AN125" i="82"/>
  <c r="S125" i="82"/>
  <c r="AG125" i="82"/>
  <c r="G125" i="82"/>
  <c r="AJ125" i="82"/>
  <c r="DL125" i="82"/>
  <c r="CK125" i="82"/>
  <c r="AA75" i="82"/>
  <c r="A126" i="82" l="1"/>
  <c r="CO126" i="82" s="1"/>
  <c r="AA76" i="82"/>
  <c r="DL126" i="82" l="1"/>
  <c r="Z126" i="82"/>
  <c r="R126" i="82"/>
  <c r="CH126" i="82"/>
  <c r="CZ126" i="82"/>
  <c r="H126" i="82"/>
  <c r="AJ126" i="82"/>
  <c r="AN126" i="82"/>
  <c r="CK126" i="82"/>
  <c r="B126" i="82"/>
  <c r="A127" i="82" s="1"/>
  <c r="AS126" i="82"/>
  <c r="AO126" i="82"/>
  <c r="AD126" i="82"/>
  <c r="K126" i="82"/>
  <c r="AR126" i="82"/>
  <c r="CC126" i="82"/>
  <c r="AU126" i="82"/>
  <c r="BF126" i="82"/>
  <c r="CE126" i="82"/>
  <c r="I126" i="82"/>
  <c r="BK126" i="82"/>
  <c r="F126" i="82"/>
  <c r="Y126" i="82"/>
  <c r="BA127" i="82"/>
  <c r="AW126" i="82"/>
  <c r="M126" i="82"/>
  <c r="CI126" i="82"/>
  <c r="AG126" i="82"/>
  <c r="BN126" i="82"/>
  <c r="BD126" i="82"/>
  <c r="DA126" i="82"/>
  <c r="AY126" i="82"/>
  <c r="CR126" i="82"/>
  <c r="O126" i="82"/>
  <c r="AC126" i="82"/>
  <c r="AX127" i="82"/>
  <c r="P126" i="82"/>
  <c r="BV127" i="82"/>
  <c r="CP126" i="82"/>
  <c r="AF126" i="82"/>
  <c r="AE126" i="82"/>
  <c r="G126" i="82"/>
  <c r="D126" i="82"/>
  <c r="AP126" i="82"/>
  <c r="L126" i="82"/>
  <c r="BP126" i="82"/>
  <c r="T126" i="82"/>
  <c r="AI126" i="82"/>
  <c r="BZ126" i="82"/>
  <c r="DF126" i="82"/>
  <c r="J126" i="82"/>
  <c r="Q126" i="82"/>
  <c r="AL126" i="82"/>
  <c r="BG126" i="82"/>
  <c r="AB126" i="82"/>
  <c r="U126" i="82"/>
  <c r="DC126" i="82" s="1"/>
  <c r="DD126" i="82"/>
  <c r="AH126" i="82"/>
  <c r="S126" i="82"/>
  <c r="DM126" i="82"/>
  <c r="CM126" i="82"/>
  <c r="C126" i="82"/>
  <c r="E126" i="82"/>
  <c r="AA77" i="82"/>
  <c r="O127" i="82" l="1"/>
  <c r="BV128" i="82"/>
  <c r="AI127" i="82"/>
  <c r="BZ127" i="82"/>
  <c r="AJ127" i="82"/>
  <c r="AR127" i="82"/>
  <c r="CM127" i="82"/>
  <c r="CO127" i="82"/>
  <c r="CR127" i="82"/>
  <c r="CE127" i="82"/>
  <c r="H127" i="82"/>
  <c r="AE127" i="82"/>
  <c r="S127" i="82"/>
  <c r="AL127" i="82"/>
  <c r="AC127" i="82"/>
  <c r="BG127" i="82"/>
  <c r="BF127" i="82"/>
  <c r="AG127" i="82"/>
  <c r="BA128" i="82"/>
  <c r="E127" i="82"/>
  <c r="DF127" i="82"/>
  <c r="Y127" i="82"/>
  <c r="AH127" i="82"/>
  <c r="M127" i="82"/>
  <c r="AW127" i="82"/>
  <c r="Z127" i="82"/>
  <c r="AD127" i="82"/>
  <c r="CI127" i="82"/>
  <c r="AF127" i="82"/>
  <c r="DD127" i="82"/>
  <c r="AN127" i="82"/>
  <c r="CZ127" i="82"/>
  <c r="DL127" i="82"/>
  <c r="BP127" i="82"/>
  <c r="BK127" i="82"/>
  <c r="CC127" i="82"/>
  <c r="AS127" i="82"/>
  <c r="AU127" i="82"/>
  <c r="AO127" i="82"/>
  <c r="T127" i="82"/>
  <c r="CK127" i="82"/>
  <c r="D127" i="82"/>
  <c r="P127" i="82"/>
  <c r="DM127" i="82"/>
  <c r="U127" i="82"/>
  <c r="DC127" i="82" s="1"/>
  <c r="F127" i="82"/>
  <c r="J127" i="82"/>
  <c r="K127" i="82"/>
  <c r="CH127" i="82"/>
  <c r="AB127" i="82"/>
  <c r="Q127" i="82"/>
  <c r="I127" i="82"/>
  <c r="BN127" i="82"/>
  <c r="BD127" i="82"/>
  <c r="L127" i="82"/>
  <c r="CP127" i="82"/>
  <c r="G127" i="82"/>
  <c r="AY127" i="82"/>
  <c r="AP127" i="82"/>
  <c r="AX128" i="82"/>
  <c r="B127" i="82"/>
  <c r="C127" i="82" s="1"/>
  <c r="DA127" i="82"/>
  <c r="R127" i="82"/>
  <c r="AA78" i="82"/>
  <c r="A128" i="82" l="1"/>
  <c r="DF128" i="82" s="1"/>
  <c r="AA79" i="82"/>
  <c r="BF128" i="82" l="1"/>
  <c r="CO128" i="82"/>
  <c r="AI128" i="82"/>
  <c r="AY128" i="82"/>
  <c r="F128" i="82"/>
  <c r="AC128" i="82"/>
  <c r="BP128" i="82"/>
  <c r="AN128" i="82"/>
  <c r="CP128" i="82"/>
  <c r="BV129" i="82"/>
  <c r="P128" i="82"/>
  <c r="BZ128" i="82"/>
  <c r="CH128" i="82"/>
  <c r="S128" i="82"/>
  <c r="L128" i="82"/>
  <c r="G128" i="82"/>
  <c r="BK128" i="82"/>
  <c r="Q128" i="82"/>
  <c r="AG128" i="82"/>
  <c r="K128" i="82"/>
  <c r="DL128" i="82"/>
  <c r="DD128" i="82"/>
  <c r="DM128" i="82"/>
  <c r="AU128" i="82"/>
  <c r="CR128" i="82"/>
  <c r="AW128" i="82"/>
  <c r="CI128" i="82"/>
  <c r="AL128" i="82"/>
  <c r="BA129" i="82"/>
  <c r="H128" i="82"/>
  <c r="BG128" i="82"/>
  <c r="CZ128" i="82"/>
  <c r="R128" i="82"/>
  <c r="T128" i="82"/>
  <c r="AH128" i="82"/>
  <c r="U128" i="82"/>
  <c r="DC128" i="82" s="1"/>
  <c r="BD128" i="82"/>
  <c r="AP128" i="82"/>
  <c r="E128" i="82"/>
  <c r="AR128" i="82"/>
  <c r="DA128" i="82"/>
  <c r="AF128" i="82"/>
  <c r="CK128" i="82"/>
  <c r="O128" i="82"/>
  <c r="B128" i="82"/>
  <c r="C128" i="82" s="1"/>
  <c r="AD128" i="82"/>
  <c r="J128" i="82"/>
  <c r="AS128" i="82"/>
  <c r="AE128" i="82"/>
  <c r="BN128" i="82"/>
  <c r="D128" i="82"/>
  <c r="CE128" i="82"/>
  <c r="AO128" i="82"/>
  <c r="CM128" i="82"/>
  <c r="AB128" i="82"/>
  <c r="Y128" i="82"/>
  <c r="M128" i="82"/>
  <c r="AJ128" i="82"/>
  <c r="CC128" i="82"/>
  <c r="I128" i="82"/>
  <c r="Z128" i="82"/>
  <c r="AX129" i="82"/>
  <c r="AA80" i="82"/>
  <c r="A129" i="82" l="1"/>
  <c r="BD129" i="82" s="1"/>
  <c r="AA81" i="82"/>
  <c r="AN129" i="82" l="1"/>
  <c r="U129" i="82"/>
  <c r="DC129" i="82" s="1"/>
  <c r="AC129" i="82"/>
  <c r="AF129" i="82"/>
  <c r="AS129" i="82"/>
  <c r="CE129" i="82"/>
  <c r="AW129" i="82"/>
  <c r="BK129" i="82"/>
  <c r="CH129" i="82"/>
  <c r="DM129" i="82"/>
  <c r="CO129" i="82"/>
  <c r="AR129" i="82"/>
  <c r="Z129" i="82"/>
  <c r="AI129" i="82"/>
  <c r="DD129" i="82"/>
  <c r="AE129" i="82"/>
  <c r="M129" i="82"/>
  <c r="CK129" i="82"/>
  <c r="AY129" i="82"/>
  <c r="DA129" i="82"/>
  <c r="E129" i="82"/>
  <c r="AH129" i="82"/>
  <c r="CI129" i="82"/>
  <c r="AU129" i="82"/>
  <c r="BA130" i="82"/>
  <c r="CP129" i="82"/>
  <c r="O129" i="82"/>
  <c r="F129" i="82"/>
  <c r="J129" i="82"/>
  <c r="AX130" i="82"/>
  <c r="BG129" i="82"/>
  <c r="AB129" i="82"/>
  <c r="BZ129" i="82"/>
  <c r="BN129" i="82"/>
  <c r="CZ129" i="82"/>
  <c r="I129" i="82"/>
  <c r="BF129" i="82"/>
  <c r="K129" i="82"/>
  <c r="P129" i="82"/>
  <c r="B129" i="82"/>
  <c r="D129" i="82"/>
  <c r="AO129" i="82"/>
  <c r="CM129" i="82"/>
  <c r="AL129" i="82"/>
  <c r="AG129" i="82"/>
  <c r="AJ129" i="82"/>
  <c r="AP129" i="82"/>
  <c r="Q129" i="82"/>
  <c r="T129" i="82"/>
  <c r="S129" i="82"/>
  <c r="DL129" i="82"/>
  <c r="CR129" i="82"/>
  <c r="Y129" i="82"/>
  <c r="L129" i="82"/>
  <c r="R129" i="82"/>
  <c r="BP129" i="82"/>
  <c r="H129" i="82"/>
  <c r="CC129" i="82"/>
  <c r="AD129" i="82"/>
  <c r="G129" i="82"/>
  <c r="BV130" i="82"/>
  <c r="DF129" i="82"/>
  <c r="AA82" i="82"/>
  <c r="C129" i="82" l="1"/>
  <c r="A130" i="82"/>
  <c r="AA83" i="82"/>
  <c r="L130" i="82" l="1"/>
  <c r="AD130" i="82"/>
  <c r="BA131" i="82"/>
  <c r="CK130" i="82"/>
  <c r="CP130" i="82"/>
  <c r="AU130" i="82"/>
  <c r="F130" i="82"/>
  <c r="AG130" i="82"/>
  <c r="G130" i="82"/>
  <c r="CC130" i="82"/>
  <c r="CO130" i="82"/>
  <c r="K130" i="82"/>
  <c r="AN130" i="82"/>
  <c r="B130" i="82"/>
  <c r="AR130" i="82"/>
  <c r="AC130" i="82"/>
  <c r="CM130" i="82"/>
  <c r="H130" i="82"/>
  <c r="P130" i="82"/>
  <c r="CI130" i="82"/>
  <c r="U130" i="82"/>
  <c r="DC130" i="82" s="1"/>
  <c r="AJ130" i="82"/>
  <c r="DM130" i="82"/>
  <c r="DF130" i="82"/>
  <c r="AL130" i="82"/>
  <c r="AS130" i="82"/>
  <c r="AE130" i="82"/>
  <c r="CZ130" i="82"/>
  <c r="AB130" i="82"/>
  <c r="Q130" i="82"/>
  <c r="S130" i="82"/>
  <c r="T130" i="82"/>
  <c r="BG130" i="82"/>
  <c r="BK130" i="82"/>
  <c r="BZ130" i="82"/>
  <c r="AH130" i="82"/>
  <c r="AY130" i="82"/>
  <c r="AP130" i="82"/>
  <c r="BV131" i="82"/>
  <c r="CH130" i="82"/>
  <c r="Y130" i="82"/>
  <c r="DL130" i="82"/>
  <c r="DD130" i="82"/>
  <c r="CR130" i="82"/>
  <c r="DA130" i="82"/>
  <c r="AI130" i="82"/>
  <c r="M130" i="82"/>
  <c r="E130" i="82"/>
  <c r="J130" i="82"/>
  <c r="O130" i="82"/>
  <c r="AO130" i="82"/>
  <c r="AF130" i="82"/>
  <c r="BF130" i="82"/>
  <c r="AX131" i="82"/>
  <c r="R130" i="82"/>
  <c r="CE130" i="82"/>
  <c r="D130" i="82"/>
  <c r="BN130" i="82"/>
  <c r="Z130" i="82"/>
  <c r="BD130" i="82"/>
  <c r="AW130" i="82"/>
  <c r="BP130" i="82"/>
  <c r="I130" i="82"/>
  <c r="AA84" i="82"/>
  <c r="A131" i="82" l="1"/>
  <c r="BK131" i="82" s="1"/>
  <c r="C130" i="82"/>
  <c r="AA85" i="82"/>
  <c r="BG131" i="82" l="1"/>
  <c r="AC131" i="82"/>
  <c r="P131" i="82"/>
  <c r="CM131" i="82"/>
  <c r="H131" i="82"/>
  <c r="AR131" i="82"/>
  <c r="AP131" i="82"/>
  <c r="CK131" i="82"/>
  <c r="L131" i="82"/>
  <c r="BA132" i="82"/>
  <c r="Y131" i="82"/>
  <c r="AJ131" i="82"/>
  <c r="Q131" i="82"/>
  <c r="CP131" i="82"/>
  <c r="BD131" i="82"/>
  <c r="R131" i="82"/>
  <c r="AL131" i="82"/>
  <c r="BP131" i="82"/>
  <c r="DA131" i="82"/>
  <c r="AB131" i="82"/>
  <c r="AX132" i="82"/>
  <c r="CO131" i="82"/>
  <c r="AW131" i="82"/>
  <c r="Z131" i="82"/>
  <c r="CZ131" i="82"/>
  <c r="AD131" i="82"/>
  <c r="AO131" i="82"/>
  <c r="CE131" i="82"/>
  <c r="S131" i="82"/>
  <c r="AF131" i="82"/>
  <c r="O131" i="82"/>
  <c r="CR131" i="82"/>
  <c r="AY131" i="82"/>
  <c r="BF131" i="82"/>
  <c r="K131" i="82"/>
  <c r="D131" i="82"/>
  <c r="BN131" i="82"/>
  <c r="DD131" i="82"/>
  <c r="DF131" i="82"/>
  <c r="M131" i="82"/>
  <c r="J131" i="82"/>
  <c r="CC131" i="82"/>
  <c r="AI131" i="82"/>
  <c r="AU131" i="82"/>
  <c r="BZ131" i="82"/>
  <c r="U131" i="82"/>
  <c r="DC131" i="82" s="1"/>
  <c r="B131" i="82"/>
  <c r="A132" i="82" s="1"/>
  <c r="DL131" i="82"/>
  <c r="G131" i="82"/>
  <c r="E131" i="82"/>
  <c r="AE131" i="82"/>
  <c r="DM131" i="82"/>
  <c r="I131" i="82"/>
  <c r="F131" i="82"/>
  <c r="AH131" i="82"/>
  <c r="T131" i="82"/>
  <c r="AG131" i="82"/>
  <c r="AS131" i="82"/>
  <c r="CH131" i="82"/>
  <c r="BV132" i="82"/>
  <c r="AN131" i="82"/>
  <c r="CI131" i="82"/>
  <c r="AA86" i="82"/>
  <c r="AR132" i="82" l="1"/>
  <c r="AB132" i="82"/>
  <c r="BN132" i="82"/>
  <c r="E132" i="82"/>
  <c r="Z132" i="82"/>
  <c r="B132" i="82"/>
  <c r="A133" i="82" s="1"/>
  <c r="CM132" i="82"/>
  <c r="P132" i="82"/>
  <c r="CI132" i="82"/>
  <c r="DA132" i="82"/>
  <c r="I132" i="82"/>
  <c r="Y132" i="82"/>
  <c r="T132" i="82"/>
  <c r="M132" i="82"/>
  <c r="CZ132" i="82"/>
  <c r="DD132" i="82"/>
  <c r="D132" i="82"/>
  <c r="AX133" i="82"/>
  <c r="CK132" i="82"/>
  <c r="F132" i="82"/>
  <c r="BK132" i="82"/>
  <c r="J132" i="82"/>
  <c r="O132" i="82"/>
  <c r="AS132" i="82"/>
  <c r="AI132" i="82"/>
  <c r="AH132" i="82"/>
  <c r="AC132" i="82"/>
  <c r="BA133" i="82"/>
  <c r="DM132" i="82"/>
  <c r="L132" i="82"/>
  <c r="CH132" i="82"/>
  <c r="BG132" i="82"/>
  <c r="H132" i="82"/>
  <c r="CP132" i="82"/>
  <c r="AP132" i="82"/>
  <c r="CC132" i="82"/>
  <c r="DL132" i="82"/>
  <c r="AY132" i="82"/>
  <c r="CR132" i="82"/>
  <c r="AD132" i="82"/>
  <c r="U132" i="82"/>
  <c r="DC132" i="82" s="1"/>
  <c r="BF132" i="82"/>
  <c r="Q132" i="82"/>
  <c r="AN132" i="82"/>
  <c r="BZ132" i="82"/>
  <c r="AJ132" i="82"/>
  <c r="BV133" i="82"/>
  <c r="AU132" i="82"/>
  <c r="AF132" i="82"/>
  <c r="DF132" i="82"/>
  <c r="AE132" i="82"/>
  <c r="K132" i="82"/>
  <c r="S132" i="82"/>
  <c r="AW132" i="82"/>
  <c r="BP132" i="82"/>
  <c r="C131" i="82"/>
  <c r="AL132" i="82"/>
  <c r="AG132" i="82"/>
  <c r="G132" i="82"/>
  <c r="CE132" i="82"/>
  <c r="R132" i="82"/>
  <c r="AO132" i="82"/>
  <c r="CO132" i="82"/>
  <c r="BD132" i="82"/>
  <c r="AA87" i="82"/>
  <c r="AY133" i="82" l="1"/>
  <c r="CR133" i="82"/>
  <c r="B133" i="82"/>
  <c r="A134" i="82" s="1"/>
  <c r="BD133" i="82"/>
  <c r="E133" i="82"/>
  <c r="BK133" i="82"/>
  <c r="G133" i="82"/>
  <c r="BP133" i="82"/>
  <c r="BN133" i="82"/>
  <c r="BZ133" i="82"/>
  <c r="O133" i="82"/>
  <c r="DF133" i="82"/>
  <c r="DA133" i="82"/>
  <c r="DM133" i="82"/>
  <c r="CP133" i="82"/>
  <c r="AR133" i="82"/>
  <c r="I133" i="82"/>
  <c r="AS133" i="82"/>
  <c r="K133" i="82"/>
  <c r="AU133" i="82"/>
  <c r="CZ133" i="82"/>
  <c r="D133" i="82"/>
  <c r="AG133" i="82"/>
  <c r="Y133" i="82"/>
  <c r="CI133" i="82"/>
  <c r="DL133" i="82"/>
  <c r="AN133" i="82"/>
  <c r="BF133" i="82"/>
  <c r="DD133" i="82"/>
  <c r="T133" i="82"/>
  <c r="AJ133" i="82"/>
  <c r="H133" i="82"/>
  <c r="H134" i="82" s="1"/>
  <c r="Z133" i="82"/>
  <c r="CK133" i="82"/>
  <c r="AL133" i="82"/>
  <c r="AL134" i="82" s="1"/>
  <c r="Q133" i="82"/>
  <c r="CH133" i="82"/>
  <c r="R133" i="82"/>
  <c r="R134" i="82" s="1"/>
  <c r="CO133" i="82"/>
  <c r="AO133" i="82"/>
  <c r="AX134" i="82"/>
  <c r="BV134" i="82"/>
  <c r="P133" i="82"/>
  <c r="P134" i="82" s="1"/>
  <c r="AH133" i="82"/>
  <c r="AW133" i="82"/>
  <c r="J133" i="82"/>
  <c r="J134" i="82" s="1"/>
  <c r="AD133" i="82"/>
  <c r="M133" i="82"/>
  <c r="CE133" i="82"/>
  <c r="AP133" i="82"/>
  <c r="BA134" i="82"/>
  <c r="BA135" i="82" s="1"/>
  <c r="AI133" i="82"/>
  <c r="S133" i="82"/>
  <c r="L133" i="82"/>
  <c r="L134" i="82" s="1"/>
  <c r="F133" i="82"/>
  <c r="AF133" i="82"/>
  <c r="BG133" i="82"/>
  <c r="AC133" i="82"/>
  <c r="CM133" i="82"/>
  <c r="AB133" i="82"/>
  <c r="CC133" i="82"/>
  <c r="CC134" i="82" s="1"/>
  <c r="AE133" i="82"/>
  <c r="U133" i="82"/>
  <c r="DC133" i="82" s="1"/>
  <c r="CR134" i="82"/>
  <c r="C132" i="82"/>
  <c r="AA88" i="82"/>
  <c r="DD134" i="82" l="1"/>
  <c r="Q134" i="82"/>
  <c r="CZ134" i="82"/>
  <c r="BF134" i="82"/>
  <c r="AC134" i="82"/>
  <c r="AP134" i="82"/>
  <c r="BV135" i="82"/>
  <c r="DM134" i="82"/>
  <c r="G134" i="82"/>
  <c r="CE134" i="82"/>
  <c r="AX135" i="82"/>
  <c r="CK134" i="82"/>
  <c r="AF134" i="82"/>
  <c r="AE134" i="82"/>
  <c r="D134" i="82"/>
  <c r="M134" i="82"/>
  <c r="CP134" i="82"/>
  <c r="BP134" i="82"/>
  <c r="AN134" i="82"/>
  <c r="AU134" i="82"/>
  <c r="DA134" i="82"/>
  <c r="AO134" i="82"/>
  <c r="Z134" i="82"/>
  <c r="DL134" i="82"/>
  <c r="F134" i="82"/>
  <c r="AD134" i="82"/>
  <c r="CO134" i="82"/>
  <c r="Y134" i="82"/>
  <c r="I134" i="82"/>
  <c r="O134" i="82"/>
  <c r="K134" i="82"/>
  <c r="BK134" i="82"/>
  <c r="CI134" i="82"/>
  <c r="CM134" i="82"/>
  <c r="AH134" i="82"/>
  <c r="CH134" i="82"/>
  <c r="T134" i="82"/>
  <c r="AR134" i="82"/>
  <c r="BN134" i="82"/>
  <c r="AB134" i="82"/>
  <c r="S134" i="82"/>
  <c r="AW134" i="82"/>
  <c r="AS134" i="82"/>
  <c r="AI134" i="82"/>
  <c r="C133" i="82"/>
  <c r="AJ134" i="82"/>
  <c r="DF134" i="82"/>
  <c r="E134" i="82"/>
  <c r="BD134" i="82"/>
  <c r="B134" i="82"/>
  <c r="C134" i="82" s="1"/>
  <c r="BG134" i="82"/>
  <c r="U134" i="82"/>
  <c r="DC134" i="82" s="1"/>
  <c r="AG134" i="82"/>
  <c r="BZ134" i="82"/>
  <c r="AY134" i="82"/>
  <c r="AA89" i="82"/>
  <c r="A135" i="82" l="1"/>
  <c r="CP135" i="82" s="1"/>
  <c r="AA90" i="82"/>
  <c r="AF135" i="82" l="1"/>
  <c r="L135" i="82"/>
  <c r="P135" i="82"/>
  <c r="DF135" i="82"/>
  <c r="AR135" i="82"/>
  <c r="K135" i="82"/>
  <c r="CZ135" i="82"/>
  <c r="O135" i="82"/>
  <c r="E135" i="82"/>
  <c r="CM135" i="82"/>
  <c r="AP135" i="82"/>
  <c r="CK135" i="82"/>
  <c r="CC135" i="82"/>
  <c r="R135" i="82"/>
  <c r="BD135" i="82"/>
  <c r="AG135" i="82"/>
  <c r="AU135" i="82"/>
  <c r="I135" i="82"/>
  <c r="Y135" i="82"/>
  <c r="S135" i="82"/>
  <c r="Z135" i="82"/>
  <c r="BP135" i="82"/>
  <c r="B135" i="82"/>
  <c r="A136" i="82" s="1"/>
  <c r="CE135" i="82"/>
  <c r="M135" i="82"/>
  <c r="AC135" i="82"/>
  <c r="BN135" i="82"/>
  <c r="AL135" i="82"/>
  <c r="BK135" i="82"/>
  <c r="CO135" i="82"/>
  <c r="BA136" i="82"/>
  <c r="Q135" i="82"/>
  <c r="D135" i="82"/>
  <c r="BG135" i="82"/>
  <c r="AW135" i="82"/>
  <c r="AI135" i="82"/>
  <c r="DM135" i="82"/>
  <c r="CI135" i="82"/>
  <c r="G135" i="82"/>
  <c r="AE135" i="82"/>
  <c r="BZ135" i="82"/>
  <c r="DL135" i="82"/>
  <c r="AX136" i="82"/>
  <c r="CR135" i="82"/>
  <c r="AJ135" i="82"/>
  <c r="H135" i="82"/>
  <c r="AH135" i="82"/>
  <c r="AS135" i="82"/>
  <c r="CH135" i="82"/>
  <c r="AO135" i="82"/>
  <c r="AY135" i="82"/>
  <c r="AN135" i="82"/>
  <c r="U135" i="82"/>
  <c r="DC135" i="82" s="1"/>
  <c r="T135" i="82"/>
  <c r="BV136" i="82"/>
  <c r="DA135" i="82"/>
  <c r="BF135" i="82"/>
  <c r="F135" i="82"/>
  <c r="AB135" i="82"/>
  <c r="J135" i="82"/>
  <c r="DD135" i="82"/>
  <c r="AD135" i="82"/>
  <c r="AA91" i="82"/>
  <c r="AF136" i="82" l="1"/>
  <c r="CR136" i="82"/>
  <c r="Z136" i="82"/>
  <c r="CC136" i="82"/>
  <c r="AL136" i="82"/>
  <c r="AX137" i="82"/>
  <c r="J136" i="82"/>
  <c r="AY136" i="82"/>
  <c r="F136" i="82"/>
  <c r="AW136" i="82"/>
  <c r="U136" i="82"/>
  <c r="DC136" i="82" s="1"/>
  <c r="AR136" i="82"/>
  <c r="BK136" i="82"/>
  <c r="DM136" i="82"/>
  <c r="BF136" i="82"/>
  <c r="DL136" i="82"/>
  <c r="BG136" i="82"/>
  <c r="BN136" i="82"/>
  <c r="S136" i="82"/>
  <c r="CK136" i="82"/>
  <c r="AB136" i="82"/>
  <c r="AO136" i="82"/>
  <c r="CI136" i="82"/>
  <c r="DA136" i="82"/>
  <c r="CH136" i="82"/>
  <c r="BZ136" i="82"/>
  <c r="D136" i="82"/>
  <c r="AC136" i="82"/>
  <c r="Y136" i="82"/>
  <c r="AP136" i="82"/>
  <c r="DF136" i="82"/>
  <c r="M136" i="82"/>
  <c r="I136" i="82"/>
  <c r="AD136" i="82"/>
  <c r="AS136" i="82"/>
  <c r="Q136" i="82"/>
  <c r="R136" i="82"/>
  <c r="DD136" i="82"/>
  <c r="T136" i="82"/>
  <c r="AH136" i="82"/>
  <c r="AU136" i="82"/>
  <c r="BV137" i="82"/>
  <c r="AE136" i="82"/>
  <c r="G136" i="82"/>
  <c r="CE136" i="82"/>
  <c r="BD136" i="82"/>
  <c r="B136" i="82"/>
  <c r="A137" i="82" s="1"/>
  <c r="BP136" i="82"/>
  <c r="CM136" i="82"/>
  <c r="P136" i="82"/>
  <c r="L136" i="82"/>
  <c r="H136" i="82"/>
  <c r="CO136" i="82"/>
  <c r="AJ136" i="82"/>
  <c r="CZ136" i="82"/>
  <c r="AG136" i="82"/>
  <c r="O136" i="82"/>
  <c r="K136" i="82"/>
  <c r="AN136" i="82"/>
  <c r="CP136" i="82"/>
  <c r="BA137" i="82"/>
  <c r="AI136" i="82"/>
  <c r="E136" i="82"/>
  <c r="C135" i="82"/>
  <c r="AA92" i="82"/>
  <c r="CR137" i="82" l="1"/>
  <c r="BA138" i="82"/>
  <c r="AI137" i="82"/>
  <c r="P137" i="82"/>
  <c r="BV138" i="82"/>
  <c r="CZ137" i="82"/>
  <c r="CM137" i="82"/>
  <c r="AU137" i="82"/>
  <c r="AJ137" i="82"/>
  <c r="BP137" i="82"/>
  <c r="BZ137" i="82"/>
  <c r="S137" i="82"/>
  <c r="BK137" i="82"/>
  <c r="CP137" i="82"/>
  <c r="AR137" i="82"/>
  <c r="F137" i="82"/>
  <c r="BF137" i="82"/>
  <c r="O137" i="82"/>
  <c r="CO137" i="82"/>
  <c r="E137" i="82"/>
  <c r="AG137" i="82"/>
  <c r="L137" i="82"/>
  <c r="AE137" i="82"/>
  <c r="AS137" i="82"/>
  <c r="AL137" i="82"/>
  <c r="U137" i="82"/>
  <c r="DC137" i="82" s="1"/>
  <c r="G137" i="82"/>
  <c r="Q137" i="82"/>
  <c r="AC137" i="82"/>
  <c r="AD137" i="82"/>
  <c r="C136" i="82"/>
  <c r="AY137" i="82"/>
  <c r="DF137" i="82"/>
  <c r="AX138" i="82"/>
  <c r="CH137" i="82"/>
  <c r="CK137" i="82"/>
  <c r="B137" i="82"/>
  <c r="C137" i="82" s="1"/>
  <c r="BG137" i="82"/>
  <c r="CC137" i="82"/>
  <c r="CI137" i="82"/>
  <c r="Z137" i="82"/>
  <c r="AH137" i="82"/>
  <c r="AW137" i="82"/>
  <c r="DA137" i="82"/>
  <c r="I137" i="82"/>
  <c r="DM137" i="82"/>
  <c r="AF137" i="82"/>
  <c r="DL137" i="82"/>
  <c r="AO137" i="82"/>
  <c r="T137" i="82"/>
  <c r="J137" i="82"/>
  <c r="K137" i="82"/>
  <c r="CE137" i="82"/>
  <c r="R137" i="82"/>
  <c r="Y137" i="82"/>
  <c r="AB137" i="82"/>
  <c r="D137" i="82"/>
  <c r="BN137" i="82"/>
  <c r="M137" i="82"/>
  <c r="DD137" i="82"/>
  <c r="AP137" i="82"/>
  <c r="H137" i="82"/>
  <c r="BD137" i="82"/>
  <c r="AN137" i="82"/>
  <c r="AA93" i="82"/>
  <c r="A138" i="82" l="1"/>
  <c r="CM138" i="82" s="1"/>
  <c r="AA94" i="82"/>
  <c r="T138" i="82" l="1"/>
  <c r="DM138" i="82"/>
  <c r="AH138" i="82"/>
  <c r="AU138" i="82"/>
  <c r="F138" i="82"/>
  <c r="D138" i="82"/>
  <c r="AY138" i="82"/>
  <c r="AR138" i="82"/>
  <c r="AF138" i="82"/>
  <c r="DD138" i="82"/>
  <c r="DF138" i="82"/>
  <c r="B138" i="82"/>
  <c r="A139" i="82" s="1"/>
  <c r="CC138" i="82"/>
  <c r="CR138" i="82"/>
  <c r="J138" i="82"/>
  <c r="K138" i="82"/>
  <c r="L138" i="82"/>
  <c r="AX139" i="82"/>
  <c r="CO138" i="82"/>
  <c r="CH138" i="82"/>
  <c r="AO138" i="82"/>
  <c r="E138" i="82"/>
  <c r="AD138" i="82"/>
  <c r="BD138" i="82"/>
  <c r="AC138" i="82"/>
  <c r="AS138" i="82"/>
  <c r="AB138" i="82"/>
  <c r="BK138" i="82"/>
  <c r="BG138" i="82"/>
  <c r="DA138" i="82"/>
  <c r="G138" i="82"/>
  <c r="BZ138" i="82"/>
  <c r="CK138" i="82"/>
  <c r="BV139" i="82"/>
  <c r="BN138" i="82"/>
  <c r="CI138" i="82"/>
  <c r="I138" i="82"/>
  <c r="CE138" i="82"/>
  <c r="BA139" i="82"/>
  <c r="Z138" i="82"/>
  <c r="U138" i="82"/>
  <c r="DC138" i="82" s="1"/>
  <c r="P138" i="82"/>
  <c r="DL138" i="82"/>
  <c r="AG138" i="82"/>
  <c r="Q138" i="82"/>
  <c r="O138" i="82"/>
  <c r="AN138" i="82"/>
  <c r="AL138" i="82"/>
  <c r="AI138" i="82"/>
  <c r="AW138" i="82"/>
  <c r="CZ138" i="82"/>
  <c r="S138" i="82"/>
  <c r="AE138" i="82"/>
  <c r="Y138" i="82"/>
  <c r="M138" i="82"/>
  <c r="M139" i="82" s="1"/>
  <c r="BP138" i="82"/>
  <c r="BF138" i="82"/>
  <c r="AP138" i="82"/>
  <c r="CP138" i="82"/>
  <c r="AJ138" i="82"/>
  <c r="H138" i="82"/>
  <c r="R138" i="82"/>
  <c r="CE139" i="82"/>
  <c r="I139" i="82"/>
  <c r="AA95" i="82"/>
  <c r="AY139" i="82" l="1"/>
  <c r="F139" i="82"/>
  <c r="C138" i="82"/>
  <c r="CP139" i="82"/>
  <c r="AJ139" i="82"/>
  <c r="DD139" i="82"/>
  <c r="AP139" i="82"/>
  <c r="AF139" i="82"/>
  <c r="AD139" i="82"/>
  <c r="AB139" i="82"/>
  <c r="B139" i="82"/>
  <c r="C139" i="82" s="1"/>
  <c r="AC139" i="82"/>
  <c r="BD139" i="82"/>
  <c r="P139" i="82"/>
  <c r="CC139" i="82"/>
  <c r="J139" i="82"/>
  <c r="CK139" i="82"/>
  <c r="BA140" i="82"/>
  <c r="Z139" i="82"/>
  <c r="BN139" i="82"/>
  <c r="CO139" i="82"/>
  <c r="DF139" i="82"/>
  <c r="AG139" i="82"/>
  <c r="T139" i="82"/>
  <c r="E139" i="82"/>
  <c r="O139" i="82"/>
  <c r="DM139" i="82"/>
  <c r="K139" i="82"/>
  <c r="Y139" i="82"/>
  <c r="AW139" i="82"/>
  <c r="CM139" i="82"/>
  <c r="G139" i="82"/>
  <c r="AU139" i="82"/>
  <c r="AO139" i="82"/>
  <c r="S139" i="82"/>
  <c r="U139" i="82"/>
  <c r="DC139" i="82" s="1"/>
  <c r="AX140" i="82"/>
  <c r="L139" i="82"/>
  <c r="BV140" i="82"/>
  <c r="AR139" i="82"/>
  <c r="BF139" i="82"/>
  <c r="R139" i="82"/>
  <c r="AH139" i="82"/>
  <c r="AS139" i="82"/>
  <c r="BZ139" i="82"/>
  <c r="CI139" i="82"/>
  <c r="CH139" i="82"/>
  <c r="CR139" i="82"/>
  <c r="DL139" i="82"/>
  <c r="AI139" i="82"/>
  <c r="D139" i="82"/>
  <c r="AL139" i="82"/>
  <c r="Q139" i="82"/>
  <c r="BP139" i="82"/>
  <c r="BG139" i="82"/>
  <c r="H139" i="82"/>
  <c r="CZ139" i="82"/>
  <c r="DA139" i="82"/>
  <c r="AN139" i="82"/>
  <c r="BK139" i="82"/>
  <c r="AE139" i="82"/>
  <c r="AA96" i="82"/>
  <c r="A140" i="82" l="1"/>
  <c r="BZ140" i="82" s="1"/>
  <c r="BG140" i="82"/>
  <c r="AE140" i="82"/>
  <c r="AL140" i="82"/>
  <c r="AO140" i="82"/>
  <c r="S140" i="82"/>
  <c r="AC140" i="82"/>
  <c r="AN140" i="82"/>
  <c r="DF140" i="82"/>
  <c r="AX141" i="82"/>
  <c r="K140" i="82"/>
  <c r="BD140" i="82"/>
  <c r="BV141" i="82"/>
  <c r="BA141" i="82"/>
  <c r="CI140" i="82"/>
  <c r="AB140" i="82"/>
  <c r="D140" i="82"/>
  <c r="DL140" i="82"/>
  <c r="AA97" i="82"/>
  <c r="U140" i="82" l="1"/>
  <c r="DC140" i="82" s="1"/>
  <c r="E140" i="82"/>
  <c r="BP140" i="82"/>
  <c r="CR140" i="82"/>
  <c r="CP140" i="82"/>
  <c r="F140" i="82"/>
  <c r="AI140" i="82"/>
  <c r="R140" i="82"/>
  <c r="BK140" i="82"/>
  <c r="B140" i="82"/>
  <c r="A141" i="82" s="1"/>
  <c r="E141" i="82" s="1"/>
  <c r="I140" i="82"/>
  <c r="H140" i="82"/>
  <c r="CE140" i="82"/>
  <c r="CC140" i="82"/>
  <c r="DD140" i="82"/>
  <c r="CH140" i="82"/>
  <c r="AF140" i="82"/>
  <c r="CM140" i="82"/>
  <c r="AW140" i="82"/>
  <c r="AY140" i="82"/>
  <c r="P140" i="82"/>
  <c r="AU140" i="82"/>
  <c r="G140" i="82"/>
  <c r="T140" i="82"/>
  <c r="CO140" i="82"/>
  <c r="DA140" i="82"/>
  <c r="BF140" i="82"/>
  <c r="AP140" i="82"/>
  <c r="O140" i="82"/>
  <c r="Q140" i="82"/>
  <c r="AJ140" i="82"/>
  <c r="L140" i="82"/>
  <c r="AS140" i="82"/>
  <c r="CZ140" i="82"/>
  <c r="AH140" i="82"/>
  <c r="J140" i="82"/>
  <c r="CK140" i="82"/>
  <c r="Y140" i="82"/>
  <c r="BN140" i="82"/>
  <c r="Z140" i="82"/>
  <c r="AR140" i="82"/>
  <c r="AG140" i="82"/>
  <c r="M140" i="82"/>
  <c r="DM140" i="82"/>
  <c r="AD140" i="82"/>
  <c r="AA98" i="82"/>
  <c r="DM141" i="82" l="1"/>
  <c r="J141" i="82"/>
  <c r="AD141" i="82"/>
  <c r="CK141" i="82"/>
  <c r="AG141" i="82"/>
  <c r="CM141" i="82"/>
  <c r="CZ141" i="82"/>
  <c r="DA141" i="82"/>
  <c r="C140" i="82"/>
  <c r="DF141" i="82"/>
  <c r="DL141" i="82"/>
  <c r="Y141" i="82"/>
  <c r="Q141" i="82"/>
  <c r="AU141" i="82"/>
  <c r="CR141" i="82"/>
  <c r="R141" i="82"/>
  <c r="F141" i="82"/>
  <c r="AL141" i="82"/>
  <c r="BK141" i="82"/>
  <c r="K141" i="82"/>
  <c r="BZ141" i="82"/>
  <c r="AX142" i="82"/>
  <c r="CI141" i="82"/>
  <c r="CP141" i="82"/>
  <c r="AC141" i="82"/>
  <c r="AB141" i="82"/>
  <c r="AI141" i="82"/>
  <c r="AN141" i="82"/>
  <c r="Z141" i="82"/>
  <c r="L141" i="82"/>
  <c r="BP141" i="82"/>
  <c r="D141" i="82"/>
  <c r="AE141" i="82"/>
  <c r="T141" i="82"/>
  <c r="CH141" i="82"/>
  <c r="S141" i="82"/>
  <c r="CE141" i="82"/>
  <c r="BN141" i="82"/>
  <c r="AJ141" i="82"/>
  <c r="G141" i="82"/>
  <c r="DD141" i="82"/>
  <c r="CC141" i="82"/>
  <c r="O141" i="82"/>
  <c r="P141" i="82"/>
  <c r="AP141" i="82"/>
  <c r="AY141" i="82"/>
  <c r="U141" i="82"/>
  <c r="DC141" i="82" s="1"/>
  <c r="BV142" i="82"/>
  <c r="M141" i="82"/>
  <c r="AH141" i="82"/>
  <c r="BF141" i="82"/>
  <c r="BA142" i="82"/>
  <c r="AO141" i="82"/>
  <c r="B141" i="82"/>
  <c r="C141" i="82" s="1"/>
  <c r="AW141" i="82"/>
  <c r="I141" i="82"/>
  <c r="BG141" i="82"/>
  <c r="H141" i="82"/>
  <c r="BD141" i="82"/>
  <c r="AR141" i="82"/>
  <c r="AS141" i="82"/>
  <c r="CO141" i="82"/>
  <c r="AF141" i="82"/>
  <c r="AA99" i="82"/>
  <c r="A142" i="82" l="1"/>
  <c r="CZ142" i="82" s="1"/>
  <c r="CP142" i="82"/>
  <c r="BA143" i="82"/>
  <c r="BG142" i="82"/>
  <c r="K142" i="82"/>
  <c r="CI142" i="82"/>
  <c r="AY142" i="82"/>
  <c r="AN142" i="82"/>
  <c r="O142" i="82"/>
  <c r="I142" i="82"/>
  <c r="M142" i="82"/>
  <c r="DM142" i="82"/>
  <c r="CR142" i="82"/>
  <c r="AH142" i="82"/>
  <c r="R142" i="82"/>
  <c r="AL142" i="82"/>
  <c r="AX143" i="82"/>
  <c r="CK142" i="82"/>
  <c r="BV143" i="82"/>
  <c r="AP142" i="82"/>
  <c r="CE142" i="82"/>
  <c r="Z142" i="82"/>
  <c r="S142" i="82"/>
  <c r="T142" i="82"/>
  <c r="J142" i="82"/>
  <c r="DL142" i="82"/>
  <c r="CO142" i="82"/>
  <c r="AD142" i="82"/>
  <c r="BN142" i="82"/>
  <c r="D142" i="82"/>
  <c r="E142" i="82"/>
  <c r="L142" i="82"/>
  <c r="H142" i="82"/>
  <c r="AU142" i="82"/>
  <c r="AF142" i="82"/>
  <c r="BP142" i="82"/>
  <c r="BD142" i="82"/>
  <c r="AC142" i="82"/>
  <c r="AW142" i="82"/>
  <c r="F142" i="82"/>
  <c r="BK142" i="82"/>
  <c r="U142" i="82"/>
  <c r="DC142" i="82" s="1"/>
  <c r="CH142" i="82"/>
  <c r="AB142" i="82"/>
  <c r="CM142" i="82"/>
  <c r="Y142" i="82"/>
  <c r="AJ142" i="82"/>
  <c r="Q142" i="82"/>
  <c r="AE142" i="82"/>
  <c r="DA142" i="82"/>
  <c r="P142" i="82"/>
  <c r="DF142" i="82"/>
  <c r="AO142" i="82"/>
  <c r="BZ142" i="82"/>
  <c r="BF142" i="82"/>
  <c r="B142" i="82"/>
  <c r="AA100" i="82"/>
  <c r="DD142" i="82" l="1"/>
  <c r="CC142" i="82"/>
  <c r="G142" i="82"/>
  <c r="AS142" i="82"/>
  <c r="AG142" i="82"/>
  <c r="AR142" i="82"/>
  <c r="AI142" i="82"/>
  <c r="A143" i="82"/>
  <c r="C142" i="82"/>
  <c r="AA101" i="82"/>
  <c r="AC143" i="82" l="1"/>
  <c r="D143" i="82"/>
  <c r="BD143" i="82"/>
  <c r="B143" i="82"/>
  <c r="A144" i="82" s="1"/>
  <c r="AY143" i="82"/>
  <c r="S143" i="82"/>
  <c r="I143" i="82"/>
  <c r="CH143" i="82"/>
  <c r="BZ143" i="82"/>
  <c r="BN143" i="82"/>
  <c r="CE143" i="82"/>
  <c r="U143" i="82"/>
  <c r="DC143" i="82" s="1"/>
  <c r="CI143" i="82"/>
  <c r="AU143" i="82"/>
  <c r="CM143" i="82"/>
  <c r="BK143" i="82"/>
  <c r="BF143" i="82"/>
  <c r="AJ143" i="82"/>
  <c r="R143" i="82"/>
  <c r="H143" i="82"/>
  <c r="AB143" i="82"/>
  <c r="DA143" i="82"/>
  <c r="AE143" i="82"/>
  <c r="C143" i="82"/>
  <c r="E143" i="82"/>
  <c r="Q143" i="82"/>
  <c r="AL143" i="82"/>
  <c r="DD143" i="82"/>
  <c r="CR143" i="82"/>
  <c r="AO143" i="82"/>
  <c r="CP143" i="82"/>
  <c r="K143" i="82"/>
  <c r="AR143" i="82"/>
  <c r="F143" i="82"/>
  <c r="AF143" i="82"/>
  <c r="BP143" i="82"/>
  <c r="O143" i="82"/>
  <c r="BV144" i="82"/>
  <c r="AG143" i="82"/>
  <c r="AD143" i="82"/>
  <c r="AI143" i="82"/>
  <c r="AP143" i="82"/>
  <c r="CO143" i="82"/>
  <c r="AN143" i="82"/>
  <c r="DF143" i="82"/>
  <c r="BG143" i="82"/>
  <c r="J143" i="82"/>
  <c r="G143" i="82"/>
  <c r="AH143" i="82"/>
  <c r="AX144" i="82"/>
  <c r="M143" i="82"/>
  <c r="CZ143" i="82"/>
  <c r="AW143" i="82"/>
  <c r="DL143" i="82"/>
  <c r="AS143" i="82"/>
  <c r="Z143" i="82"/>
  <c r="L143" i="82"/>
  <c r="T143" i="82"/>
  <c r="CC143" i="82"/>
  <c r="Y143" i="82"/>
  <c r="DM143" i="82"/>
  <c r="BA144" i="82"/>
  <c r="P143" i="82"/>
  <c r="CK143" i="82"/>
  <c r="AA102" i="82"/>
  <c r="AY144" i="82" l="1"/>
  <c r="BK144" i="82"/>
  <c r="AL144" i="82"/>
  <c r="DA144" i="82"/>
  <c r="F144" i="82"/>
  <c r="DF144" i="82"/>
  <c r="DM144" i="82"/>
  <c r="AU144" i="82"/>
  <c r="BA145" i="82"/>
  <c r="CH144" i="82"/>
  <c r="BG144" i="82"/>
  <c r="CC144" i="82"/>
  <c r="AX145" i="82"/>
  <c r="AG144" i="82"/>
  <c r="AN144" i="82"/>
  <c r="AO144" i="82"/>
  <c r="CE144" i="82"/>
  <c r="CR144" i="82"/>
  <c r="I144" i="82"/>
  <c r="AC144" i="82"/>
  <c r="P144" i="82"/>
  <c r="M144" i="82"/>
  <c r="BV145" i="82"/>
  <c r="G144" i="82"/>
  <c r="D144" i="82"/>
  <c r="CI144" i="82"/>
  <c r="CZ144" i="82"/>
  <c r="DD144" i="82"/>
  <c r="E144" i="82"/>
  <c r="CP144" i="82"/>
  <c r="BZ144" i="82"/>
  <c r="Y144" i="82"/>
  <c r="J144" i="82"/>
  <c r="AW144" i="82"/>
  <c r="DL144" i="82"/>
  <c r="H144" i="82"/>
  <c r="K144" i="82"/>
  <c r="AI144" i="82"/>
  <c r="U144" i="82"/>
  <c r="DC144" i="82" s="1"/>
  <c r="BF144" i="82"/>
  <c r="AH144" i="82"/>
  <c r="AJ144" i="82"/>
  <c r="L144" i="82"/>
  <c r="BD144" i="82"/>
  <c r="CK144" i="82"/>
  <c r="CO144" i="82"/>
  <c r="AR144" i="82"/>
  <c r="BP144" i="82"/>
  <c r="AP144" i="82"/>
  <c r="AB144" i="82"/>
  <c r="Q144" i="82"/>
  <c r="CM144" i="82"/>
  <c r="Z144" i="82"/>
  <c r="B144" i="82"/>
  <c r="C144" i="82" s="1"/>
  <c r="AE144" i="82"/>
  <c r="R144" i="82"/>
  <c r="AF144" i="82"/>
  <c r="S144" i="82"/>
  <c r="AS144" i="82"/>
  <c r="AD144" i="82"/>
  <c r="T144" i="82"/>
  <c r="BN144" i="82"/>
  <c r="O144" i="82"/>
  <c r="A145" i="82"/>
  <c r="P145" i="82" s="1"/>
  <c r="AA103" i="82"/>
  <c r="Q145" i="82" l="1"/>
  <c r="AJ145" i="82"/>
  <c r="AY145" i="82"/>
  <c r="BP145" i="82"/>
  <c r="D145" i="82"/>
  <c r="CC145" i="82"/>
  <c r="F145" i="82"/>
  <c r="DL145" i="82"/>
  <c r="J145" i="82"/>
  <c r="M145" i="82"/>
  <c r="CR145" i="82"/>
  <c r="G145" i="82"/>
  <c r="BK145" i="82"/>
  <c r="CE145" i="82"/>
  <c r="R145" i="82"/>
  <c r="AF145" i="82"/>
  <c r="H145" i="82"/>
  <c r="CK145" i="82"/>
  <c r="DM145" i="82"/>
  <c r="DA145" i="82"/>
  <c r="BG145" i="82"/>
  <c r="AD145" i="82"/>
  <c r="AC145" i="82"/>
  <c r="O145" i="82"/>
  <c r="AL145" i="82"/>
  <c r="L145" i="82"/>
  <c r="CM145" i="82"/>
  <c r="BZ145" i="82"/>
  <c r="CI145" i="82"/>
  <c r="S145" i="82"/>
  <c r="BF145" i="82"/>
  <c r="CH145" i="82"/>
  <c r="CZ145" i="82"/>
  <c r="AO145" i="82"/>
  <c r="AI145" i="82"/>
  <c r="DD145" i="82"/>
  <c r="E145" i="82"/>
  <c r="AN145" i="82"/>
  <c r="BD145" i="82"/>
  <c r="AS145" i="82"/>
  <c r="Y145" i="82"/>
  <c r="AG145" i="82"/>
  <c r="I145" i="82"/>
  <c r="T145" i="82"/>
  <c r="AH145" i="82"/>
  <c r="BA146" i="82"/>
  <c r="Z145" i="82"/>
  <c r="B145" i="82"/>
  <c r="C145" i="82" s="1"/>
  <c r="AB145" i="82"/>
  <c r="AU145" i="82"/>
  <c r="CP145" i="82"/>
  <c r="K145" i="82"/>
  <c r="AP145" i="82"/>
  <c r="AW145" i="82"/>
  <c r="AE145" i="82"/>
  <c r="U145" i="82"/>
  <c r="DC145" i="82" s="1"/>
  <c r="BV146" i="82"/>
  <c r="DF145" i="82"/>
  <c r="CO145" i="82"/>
  <c r="AR145" i="82"/>
  <c r="AX146" i="82"/>
  <c r="BN145" i="82"/>
  <c r="AA104" i="82"/>
  <c r="A146" i="82" l="1"/>
  <c r="BG146" i="82" s="1"/>
  <c r="AA105" i="82"/>
  <c r="CM146" i="82" l="1"/>
  <c r="Y146" i="82"/>
  <c r="J146" i="82"/>
  <c r="AX147" i="82"/>
  <c r="BA147" i="82"/>
  <c r="DF146" i="82"/>
  <c r="AP146" i="82"/>
  <c r="AY146" i="82"/>
  <c r="G146" i="82"/>
  <c r="I146" i="82"/>
  <c r="BV147" i="82"/>
  <c r="CI146" i="82"/>
  <c r="L146" i="82"/>
  <c r="T146" i="82"/>
  <c r="AO146" i="82"/>
  <c r="DA146" i="82"/>
  <c r="AE146" i="82"/>
  <c r="AJ146" i="82"/>
  <c r="K146" i="82"/>
  <c r="DD146" i="82"/>
  <c r="AF146" i="82"/>
  <c r="CZ146" i="82"/>
  <c r="S146" i="82"/>
  <c r="D146" i="82"/>
  <c r="M146" i="82"/>
  <c r="B146" i="82"/>
  <c r="BZ146" i="82"/>
  <c r="AC146" i="82"/>
  <c r="DM146" i="82"/>
  <c r="AH146" i="82"/>
  <c r="Z146" i="82"/>
  <c r="CP146" i="82"/>
  <c r="U146" i="82"/>
  <c r="DC146" i="82" s="1"/>
  <c r="AB146" i="82"/>
  <c r="CO146" i="82"/>
  <c r="BP146" i="82"/>
  <c r="CC146" i="82"/>
  <c r="H146" i="82"/>
  <c r="AU146" i="82"/>
  <c r="BN146" i="82"/>
  <c r="CE146" i="82"/>
  <c r="AR146" i="82"/>
  <c r="AI146" i="82"/>
  <c r="P146" i="82"/>
  <c r="DL146" i="82"/>
  <c r="CR146" i="82"/>
  <c r="Q146" i="82"/>
  <c r="BF146" i="82"/>
  <c r="AN146" i="82"/>
  <c r="AS146" i="82"/>
  <c r="AW146" i="82"/>
  <c r="CK146" i="82"/>
  <c r="BK146" i="82"/>
  <c r="CH146" i="82"/>
  <c r="F146" i="82"/>
  <c r="BD146" i="82"/>
  <c r="AL146" i="82"/>
  <c r="AG146" i="82"/>
  <c r="E146" i="82"/>
  <c r="AD146" i="82"/>
  <c r="R146" i="82"/>
  <c r="O146" i="82"/>
  <c r="C146" i="82"/>
  <c r="A147" i="82"/>
  <c r="AA106" i="82"/>
  <c r="BK147" i="82" l="1"/>
  <c r="DD147" i="82"/>
  <c r="H147" i="82"/>
  <c r="AB147" i="82"/>
  <c r="DM147" i="82"/>
  <c r="DF147" i="82"/>
  <c r="AI147" i="82"/>
  <c r="BZ147" i="82"/>
  <c r="T147" i="82"/>
  <c r="F147" i="82"/>
  <c r="BG147" i="82"/>
  <c r="I147" i="82"/>
  <c r="P147" i="82"/>
  <c r="AH147" i="82"/>
  <c r="AP147" i="82"/>
  <c r="M147" i="82"/>
  <c r="AW147" i="82"/>
  <c r="AL147" i="82"/>
  <c r="DA147" i="82"/>
  <c r="AR147" i="82"/>
  <c r="BP147" i="82"/>
  <c r="S147" i="82"/>
  <c r="CO147" i="82"/>
  <c r="E147" i="82"/>
  <c r="BF147" i="82"/>
  <c r="BA148" i="82"/>
  <c r="Y147" i="82"/>
  <c r="D147" i="82"/>
  <c r="AU147" i="82"/>
  <c r="AY147" i="82"/>
  <c r="BV148" i="82"/>
  <c r="J147" i="82"/>
  <c r="Q147" i="82"/>
  <c r="CI147" i="82"/>
  <c r="AF147" i="82"/>
  <c r="L147" i="82"/>
  <c r="R147" i="82"/>
  <c r="CP147" i="82"/>
  <c r="G147" i="82"/>
  <c r="CZ147" i="82"/>
  <c r="CK147" i="82"/>
  <c r="AS147" i="82"/>
  <c r="U147" i="82"/>
  <c r="DC147" i="82" s="1"/>
  <c r="AC147" i="82"/>
  <c r="AG147" i="82"/>
  <c r="B147" i="82"/>
  <c r="CC147" i="82"/>
  <c r="CM147" i="82"/>
  <c r="DL147" i="82"/>
  <c r="CH147" i="82"/>
  <c r="AD147" i="82"/>
  <c r="AX148" i="82"/>
  <c r="AE147" i="82"/>
  <c r="CE147" i="82"/>
  <c r="AN147" i="82"/>
  <c r="O147" i="82"/>
  <c r="Z147" i="82"/>
  <c r="BN147" i="82"/>
  <c r="BD147" i="82"/>
  <c r="AO147" i="82"/>
  <c r="K147" i="82"/>
  <c r="CR147" i="82"/>
  <c r="AJ147" i="82"/>
  <c r="AA107" i="82"/>
  <c r="A148" i="82" l="1"/>
  <c r="C147" i="82"/>
  <c r="AA108" i="82"/>
  <c r="H148" i="82" l="1"/>
  <c r="CK148" i="82"/>
  <c r="AE148" i="82"/>
  <c r="U148" i="82"/>
  <c r="DC148" i="82" s="1"/>
  <c r="AB148" i="82"/>
  <c r="D148" i="82"/>
  <c r="BG148" i="82"/>
  <c r="M148" i="82"/>
  <c r="AH148" i="82"/>
  <c r="AP148" i="82"/>
  <c r="AX149" i="82"/>
  <c r="E148" i="82"/>
  <c r="BF148" i="82"/>
  <c r="P148" i="82"/>
  <c r="AJ148" i="82"/>
  <c r="AR148" i="82"/>
  <c r="CH148" i="82"/>
  <c r="AD148" i="82"/>
  <c r="Q148" i="82"/>
  <c r="I148" i="82"/>
  <c r="CZ148" i="82"/>
  <c r="AU148" i="82"/>
  <c r="DL148" i="82"/>
  <c r="DF148" i="82"/>
  <c r="F148" i="82"/>
  <c r="AG148" i="82"/>
  <c r="L148" i="82"/>
  <c r="Y148" i="82"/>
  <c r="BP148" i="82"/>
  <c r="AO148" i="82"/>
  <c r="AI148" i="82"/>
  <c r="AW148" i="82"/>
  <c r="CO148" i="82"/>
  <c r="CP148" i="82"/>
  <c r="AC148" i="82"/>
  <c r="DD148" i="82"/>
  <c r="T148" i="82"/>
  <c r="R148" i="82"/>
  <c r="AF148" i="82"/>
  <c r="DA148" i="82"/>
  <c r="BD148" i="82"/>
  <c r="CR148" i="82"/>
  <c r="CE148" i="82"/>
  <c r="B148" i="82"/>
  <c r="C148" i="82" s="1"/>
  <c r="BV149" i="82"/>
  <c r="DM148" i="82"/>
  <c r="S148" i="82"/>
  <c r="AY148" i="82"/>
  <c r="CI148" i="82"/>
  <c r="J148" i="82"/>
  <c r="AL148" i="82"/>
  <c r="BN148" i="82"/>
  <c r="CM148" i="82"/>
  <c r="BA149" i="82"/>
  <c r="K148" i="82"/>
  <c r="AN148" i="82"/>
  <c r="O148" i="82"/>
  <c r="CC148" i="82"/>
  <c r="BZ148" i="82"/>
  <c r="BK148" i="82"/>
  <c r="AS148" i="82"/>
  <c r="G148" i="82"/>
  <c r="Z148" i="82"/>
  <c r="A149" i="82"/>
  <c r="AA109" i="82"/>
  <c r="BD149" i="82" l="1"/>
  <c r="L149" i="82"/>
  <c r="BV150" i="82"/>
  <c r="I149" i="82"/>
  <c r="CO149" i="82"/>
  <c r="CC149" i="82"/>
  <c r="CR149" i="82"/>
  <c r="AU149" i="82"/>
  <c r="AJ149" i="82"/>
  <c r="M149" i="82"/>
  <c r="CM149" i="82"/>
  <c r="AW149" i="82"/>
  <c r="BA150" i="82"/>
  <c r="CP149" i="82"/>
  <c r="DA149" i="82"/>
  <c r="DL149" i="82"/>
  <c r="BK149" i="82"/>
  <c r="G149" i="82"/>
  <c r="BF149" i="82"/>
  <c r="AB149" i="82"/>
  <c r="AR149" i="82"/>
  <c r="AS149" i="82"/>
  <c r="AH149" i="82"/>
  <c r="F149" i="82"/>
  <c r="BG149" i="82"/>
  <c r="CH149" i="82"/>
  <c r="BP149" i="82"/>
  <c r="DF149" i="82"/>
  <c r="AF149" i="82"/>
  <c r="K149" i="82"/>
  <c r="AN149" i="82"/>
  <c r="AC149" i="82"/>
  <c r="Q149" i="82"/>
  <c r="AX150" i="82"/>
  <c r="R149" i="82"/>
  <c r="Y149" i="82"/>
  <c r="AL149" i="82"/>
  <c r="DD149" i="82"/>
  <c r="CE149" i="82"/>
  <c r="E149" i="82"/>
  <c r="AO149" i="82"/>
  <c r="AE149" i="82"/>
  <c r="AG149" i="82"/>
  <c r="DM149" i="82"/>
  <c r="B149" i="82"/>
  <c r="A150" i="82" s="1"/>
  <c r="AP149" i="82"/>
  <c r="CK149" i="82"/>
  <c r="CI149" i="82"/>
  <c r="P149" i="82"/>
  <c r="D149" i="82"/>
  <c r="H149" i="82"/>
  <c r="O149" i="82"/>
  <c r="BZ149" i="82"/>
  <c r="S149" i="82"/>
  <c r="J149" i="82"/>
  <c r="Z149" i="82"/>
  <c r="CZ149" i="82"/>
  <c r="U149" i="82"/>
  <c r="DC149" i="82" s="1"/>
  <c r="BN149" i="82"/>
  <c r="T149" i="82"/>
  <c r="AD149" i="82"/>
  <c r="AI149" i="82"/>
  <c r="AY149" i="82"/>
  <c r="C149" i="82"/>
  <c r="AA110" i="82"/>
  <c r="M150" i="82" l="1"/>
  <c r="CP150" i="82"/>
  <c r="AF150" i="82"/>
  <c r="AI150" i="82"/>
  <c r="CE150" i="82"/>
  <c r="AH150" i="82"/>
  <c r="DD150" i="82"/>
  <c r="CH150" i="82"/>
  <c r="H150" i="82"/>
  <c r="I150" i="82"/>
  <c r="BK150" i="82"/>
  <c r="G150" i="82"/>
  <c r="CO150" i="82"/>
  <c r="S150" i="82"/>
  <c r="AX151" i="82"/>
  <c r="T150" i="82"/>
  <c r="AE150" i="82"/>
  <c r="BN150" i="82"/>
  <c r="E150" i="82"/>
  <c r="BP150" i="82"/>
  <c r="BZ150" i="82"/>
  <c r="AC150" i="82"/>
  <c r="CZ150" i="82"/>
  <c r="O150" i="82"/>
  <c r="DM150" i="82"/>
  <c r="AJ150" i="82"/>
  <c r="R150" i="82"/>
  <c r="D150" i="82"/>
  <c r="BA151" i="82"/>
  <c r="AP150" i="82"/>
  <c r="AW150" i="82"/>
  <c r="CI150" i="82"/>
  <c r="CR150" i="82"/>
  <c r="F150" i="82"/>
  <c r="CC150" i="82"/>
  <c r="AL150" i="82"/>
  <c r="CK150" i="82"/>
  <c r="AO150" i="82"/>
  <c r="BD150" i="82"/>
  <c r="AR150" i="82"/>
  <c r="K150" i="82"/>
  <c r="B150" i="82"/>
  <c r="A151" i="82" s="1"/>
  <c r="AS150" i="82"/>
  <c r="CM150" i="82"/>
  <c r="AB150" i="82"/>
  <c r="P150" i="82"/>
  <c r="Y150" i="82"/>
  <c r="Z150" i="82"/>
  <c r="BV151" i="82"/>
  <c r="AD150" i="82"/>
  <c r="Q150" i="82"/>
  <c r="DL150" i="82"/>
  <c r="BG150" i="82"/>
  <c r="DF150" i="82"/>
  <c r="L150" i="82"/>
  <c r="AU150" i="82"/>
  <c r="AY150" i="82"/>
  <c r="J150" i="82"/>
  <c r="DA150" i="82"/>
  <c r="AN150" i="82"/>
  <c r="U150" i="82"/>
  <c r="DC150" i="82" s="1"/>
  <c r="AG150" i="82"/>
  <c r="BF150" i="82"/>
  <c r="AA111" i="82"/>
  <c r="DF151" i="82" l="1"/>
  <c r="AH151" i="82"/>
  <c r="J151" i="82"/>
  <c r="BD151" i="82"/>
  <c r="CM151" i="82"/>
  <c r="AN151" i="82"/>
  <c r="BV152" i="82"/>
  <c r="AB151" i="82"/>
  <c r="U151" i="82"/>
  <c r="DC151" i="82" s="1"/>
  <c r="CE151" i="82"/>
  <c r="S151" i="82"/>
  <c r="M151" i="82"/>
  <c r="AD151" i="82"/>
  <c r="P151" i="82"/>
  <c r="R151" i="82"/>
  <c r="DA151" i="82"/>
  <c r="AE151" i="82"/>
  <c r="AP151" i="82"/>
  <c r="Z151" i="82"/>
  <c r="BA152" i="82"/>
  <c r="D151" i="82"/>
  <c r="AY151" i="82"/>
  <c r="Y151" i="82"/>
  <c r="CP151" i="82"/>
  <c r="DL151" i="82"/>
  <c r="CH151" i="82"/>
  <c r="CI151" i="82"/>
  <c r="AR151" i="82"/>
  <c r="AI151" i="82"/>
  <c r="AF151" i="82"/>
  <c r="AJ151" i="82"/>
  <c r="BP151" i="82"/>
  <c r="BK151" i="82"/>
  <c r="L151" i="82"/>
  <c r="H151" i="82"/>
  <c r="O151" i="82"/>
  <c r="AW151" i="82"/>
  <c r="AG151" i="82"/>
  <c r="E151" i="82"/>
  <c r="AX152" i="82"/>
  <c r="G151" i="82"/>
  <c r="CK151" i="82"/>
  <c r="Q151" i="82"/>
  <c r="BZ151" i="82"/>
  <c r="CO151" i="82"/>
  <c r="B151" i="82"/>
  <c r="BG151" i="82"/>
  <c r="BN151" i="82"/>
  <c r="F151" i="82"/>
  <c r="AU151" i="82"/>
  <c r="T151" i="82"/>
  <c r="BF151" i="82"/>
  <c r="DD151" i="82"/>
  <c r="AO151" i="82"/>
  <c r="K151" i="82"/>
  <c r="CC151" i="82"/>
  <c r="CZ151" i="82"/>
  <c r="CR151" i="82"/>
  <c r="I151" i="82"/>
  <c r="AC151" i="82"/>
  <c r="AL151" i="82"/>
  <c r="C150" i="82"/>
  <c r="DM151" i="82"/>
  <c r="AS151" i="82"/>
  <c r="AA112" i="82"/>
  <c r="C151" i="82" l="1"/>
  <c r="A152" i="82"/>
  <c r="AA113" i="82"/>
  <c r="BF152" i="82" l="1"/>
  <c r="BK152" i="82"/>
  <c r="AS152" i="82"/>
  <c r="E152" i="82"/>
  <c r="AE152" i="82"/>
  <c r="DD152" i="82"/>
  <c r="BZ152" i="82"/>
  <c r="CE152" i="82"/>
  <c r="K152" i="82"/>
  <c r="AX153" i="82"/>
  <c r="AP152" i="82"/>
  <c r="DL152" i="82"/>
  <c r="I152" i="82"/>
  <c r="U152" i="82"/>
  <c r="DC152" i="82" s="1"/>
  <c r="CM152" i="82"/>
  <c r="G152" i="82"/>
  <c r="S152" i="82"/>
  <c r="AD152" i="82"/>
  <c r="AY152" i="82"/>
  <c r="F152" i="82"/>
  <c r="P152" i="82"/>
  <c r="Q152" i="82"/>
  <c r="CZ152" i="82"/>
  <c r="AB152" i="82"/>
  <c r="CK152" i="82"/>
  <c r="BD152" i="82"/>
  <c r="AC152" i="82"/>
  <c r="L152" i="82"/>
  <c r="AL152" i="82"/>
  <c r="AG152" i="82"/>
  <c r="Z152" i="82"/>
  <c r="DM152" i="82"/>
  <c r="AN152" i="82"/>
  <c r="AH152" i="82"/>
  <c r="R152" i="82"/>
  <c r="O152" i="82"/>
  <c r="AU152" i="82"/>
  <c r="CI152" i="82"/>
  <c r="CC152" i="82"/>
  <c r="BG152" i="82"/>
  <c r="AI152" i="82"/>
  <c r="BP152" i="82"/>
  <c r="CH152" i="82"/>
  <c r="BV153" i="82"/>
  <c r="T152" i="82"/>
  <c r="M152" i="82"/>
  <c r="CP152" i="82"/>
  <c r="BA153" i="82"/>
  <c r="DA152" i="82"/>
  <c r="H152" i="82"/>
  <c r="AW152" i="82"/>
  <c r="CR152" i="82"/>
  <c r="BN152" i="82"/>
  <c r="CO152" i="82"/>
  <c r="AR152" i="82"/>
  <c r="J152" i="82"/>
  <c r="D152" i="82"/>
  <c r="AF152" i="82"/>
  <c r="AJ152" i="82"/>
  <c r="AO152" i="82"/>
  <c r="Y152" i="82"/>
  <c r="B152" i="82"/>
  <c r="DF152" i="82"/>
  <c r="AA114" i="82"/>
  <c r="A153" i="82" l="1"/>
  <c r="AL153" i="82" s="1"/>
  <c r="C152" i="82"/>
  <c r="AA115" i="82"/>
  <c r="AU153" i="82" l="1"/>
  <c r="CH153" i="82"/>
  <c r="K153" i="82"/>
  <c r="Z153" i="82"/>
  <c r="DF153" i="82"/>
  <c r="CE153" i="82"/>
  <c r="P153" i="82"/>
  <c r="AX154" i="82"/>
  <c r="CI153" i="82"/>
  <c r="BZ153" i="82"/>
  <c r="Q153" i="82"/>
  <c r="AB153" i="82"/>
  <c r="AG153" i="82"/>
  <c r="I153" i="82"/>
  <c r="AN153" i="82"/>
  <c r="AE153" i="82"/>
  <c r="BF153" i="82"/>
  <c r="BN153" i="82"/>
  <c r="AY153" i="82"/>
  <c r="B153" i="82"/>
  <c r="A154" i="82" s="1"/>
  <c r="F153" i="82"/>
  <c r="CM153" i="82"/>
  <c r="BD153" i="82"/>
  <c r="CO153" i="82"/>
  <c r="CZ153" i="82"/>
  <c r="D153" i="82"/>
  <c r="AF153" i="82"/>
  <c r="BV154" i="82"/>
  <c r="CR153" i="82"/>
  <c r="O153" i="82"/>
  <c r="AD153" i="82"/>
  <c r="T153" i="82"/>
  <c r="AJ153" i="82"/>
  <c r="BP153" i="82"/>
  <c r="H153" i="82"/>
  <c r="U153" i="82"/>
  <c r="DC153" i="82" s="1"/>
  <c r="S153" i="82"/>
  <c r="AC153" i="82"/>
  <c r="BK153" i="82"/>
  <c r="DD153" i="82"/>
  <c r="CK153" i="82"/>
  <c r="CC153" i="82"/>
  <c r="AO153" i="82"/>
  <c r="L153" i="82"/>
  <c r="BA154" i="82"/>
  <c r="AP153" i="82"/>
  <c r="DL153" i="82"/>
  <c r="Y153" i="82"/>
  <c r="J153" i="82"/>
  <c r="DA153" i="82"/>
  <c r="AS153" i="82"/>
  <c r="E153" i="82"/>
  <c r="CP153" i="82"/>
  <c r="DM153" i="82"/>
  <c r="AH153" i="82"/>
  <c r="BG153" i="82"/>
  <c r="M153" i="82"/>
  <c r="R153" i="82"/>
  <c r="G153" i="82"/>
  <c r="AI153" i="82"/>
  <c r="AR153" i="82"/>
  <c r="AW153" i="82"/>
  <c r="AA116" i="82"/>
  <c r="C153" i="82" l="1"/>
  <c r="BA155" i="82"/>
  <c r="H154" i="82"/>
  <c r="AJ154" i="82"/>
  <c r="AN154" i="82"/>
  <c r="R154" i="82"/>
  <c r="CE154" i="82"/>
  <c r="F154" i="82"/>
  <c r="CM154" i="82"/>
  <c r="AY154" i="82"/>
  <c r="G154" i="82"/>
  <c r="DF154" i="82"/>
  <c r="AX155" i="82"/>
  <c r="U154" i="82"/>
  <c r="DC154" i="82" s="1"/>
  <c r="M154" i="82"/>
  <c r="DD154" i="82"/>
  <c r="P154" i="82"/>
  <c r="AI154" i="82"/>
  <c r="AS154" i="82"/>
  <c r="DA154" i="82"/>
  <c r="AF154" i="82"/>
  <c r="S154" i="82"/>
  <c r="AH154" i="82"/>
  <c r="Q154" i="82"/>
  <c r="AG154" i="82"/>
  <c r="B154" i="82"/>
  <c r="C154" i="82" s="1"/>
  <c r="CC154" i="82"/>
  <c r="BF154" i="82"/>
  <c r="AO154" i="82"/>
  <c r="CZ154" i="82"/>
  <c r="I154" i="82"/>
  <c r="BG154" i="82"/>
  <c r="AC154" i="82"/>
  <c r="CI154" i="82"/>
  <c r="CK154" i="82"/>
  <c r="L154" i="82"/>
  <c r="D154" i="82"/>
  <c r="BZ154" i="82"/>
  <c r="BP154" i="82"/>
  <c r="Y154" i="82"/>
  <c r="K154" i="82"/>
  <c r="AD154" i="82"/>
  <c r="DL154" i="82"/>
  <c r="BN154" i="82"/>
  <c r="CH154" i="82"/>
  <c r="T154" i="82"/>
  <c r="AL154" i="82"/>
  <c r="AP154" i="82"/>
  <c r="DM154" i="82"/>
  <c r="Z154" i="82"/>
  <c r="AR154" i="82"/>
  <c r="BV155" i="82"/>
  <c r="AB154" i="82"/>
  <c r="E154" i="82"/>
  <c r="AW154" i="82"/>
  <c r="CP154" i="82"/>
  <c r="AU154" i="82"/>
  <c r="AE154" i="82"/>
  <c r="CO154" i="82"/>
  <c r="J154" i="82"/>
  <c r="CR154" i="82"/>
  <c r="BD154" i="82"/>
  <c r="O154" i="82"/>
  <c r="BK154" i="82"/>
  <c r="AA117" i="82"/>
  <c r="A155" i="82" l="1"/>
  <c r="AG155" i="82" s="1"/>
  <c r="AH155" i="82"/>
  <c r="AC155" i="82"/>
  <c r="CE155" i="82"/>
  <c r="AS155" i="82"/>
  <c r="AX156" i="82"/>
  <c r="CC155" i="82"/>
  <c r="J155" i="82"/>
  <c r="L155" i="82"/>
  <c r="CM155" i="82"/>
  <c r="CZ155" i="82"/>
  <c r="H155" i="82"/>
  <c r="AW155" i="82"/>
  <c r="CR155" i="82"/>
  <c r="BD155" i="82"/>
  <c r="DF155" i="82"/>
  <c r="CK155" i="82"/>
  <c r="B155" i="82"/>
  <c r="C155" i="82" s="1"/>
  <c r="BN155" i="82"/>
  <c r="BK155" i="82"/>
  <c r="AE155" i="82"/>
  <c r="AJ155" i="82"/>
  <c r="BF155" i="82"/>
  <c r="AU155" i="82"/>
  <c r="S155" i="82"/>
  <c r="P155" i="82"/>
  <c r="BP155" i="82"/>
  <c r="CI155" i="82"/>
  <c r="AP155" i="82"/>
  <c r="BA156" i="82"/>
  <c r="DD155" i="82"/>
  <c r="Y155" i="82"/>
  <c r="M155" i="82"/>
  <c r="BV156" i="82"/>
  <c r="AA118" i="82"/>
  <c r="AN155" i="82" l="1"/>
  <c r="AI155" i="82"/>
  <c r="CO155" i="82"/>
  <c r="CP155" i="82"/>
  <c r="AF155" i="82"/>
  <c r="D155" i="82"/>
  <c r="K155" i="82"/>
  <c r="U155" i="82"/>
  <c r="DC155" i="82" s="1"/>
  <c r="AR155" i="82"/>
  <c r="Z155" i="82"/>
  <c r="AO155" i="82"/>
  <c r="R155" i="82"/>
  <c r="E155" i="82"/>
  <c r="BG155" i="82"/>
  <c r="BZ155" i="82"/>
  <c r="DL155" i="82"/>
  <c r="DA155" i="82"/>
  <c r="I155" i="82"/>
  <c r="AD155" i="82"/>
  <c r="T155" i="82"/>
  <c r="G155" i="82"/>
  <c r="O155" i="82"/>
  <c r="AL155" i="82"/>
  <c r="DM155" i="82"/>
  <c r="CH155" i="82"/>
  <c r="AY155" i="82"/>
  <c r="F155" i="82"/>
  <c r="AB155" i="82"/>
  <c r="Q155" i="82"/>
  <c r="A156" i="82"/>
  <c r="AA119" i="82"/>
  <c r="F156" i="82" l="1"/>
  <c r="AS156" i="82"/>
  <c r="AX157" i="82"/>
  <c r="D156" i="82"/>
  <c r="AI156" i="82"/>
  <c r="H156" i="82"/>
  <c r="DD156" i="82"/>
  <c r="J156" i="82"/>
  <c r="CP156" i="82"/>
  <c r="DF156" i="82"/>
  <c r="AC156" i="82"/>
  <c r="BD156" i="82"/>
  <c r="BN156" i="82"/>
  <c r="CC156" i="82"/>
  <c r="AU156" i="82"/>
  <c r="AY156" i="82"/>
  <c r="E156" i="82"/>
  <c r="AO156" i="82"/>
  <c r="U156" i="82"/>
  <c r="DC156" i="82" s="1"/>
  <c r="R156" i="82"/>
  <c r="CI156" i="82"/>
  <c r="CH156" i="82"/>
  <c r="P156" i="82"/>
  <c r="Q156" i="82"/>
  <c r="AB156" i="82"/>
  <c r="AP156" i="82"/>
  <c r="CO156" i="82"/>
  <c r="BK156" i="82"/>
  <c r="AE156" i="82"/>
  <c r="Y156" i="82"/>
  <c r="AN156" i="82"/>
  <c r="BA157" i="82"/>
  <c r="S156" i="82"/>
  <c r="AR156" i="82"/>
  <c r="CM156" i="82"/>
  <c r="AW156" i="82"/>
  <c r="AH156" i="82"/>
  <c r="CE156" i="82"/>
  <c r="CK156" i="82"/>
  <c r="DM156" i="82"/>
  <c r="AD156" i="82"/>
  <c r="AF156" i="82"/>
  <c r="O156" i="82"/>
  <c r="AG156" i="82"/>
  <c r="L156" i="82"/>
  <c r="T156" i="82"/>
  <c r="AL156" i="82"/>
  <c r="CR156" i="82"/>
  <c r="AJ156" i="82"/>
  <c r="BP156" i="82"/>
  <c r="DL156" i="82"/>
  <c r="BV157" i="82"/>
  <c r="BF156" i="82"/>
  <c r="BG156" i="82"/>
  <c r="B156" i="82"/>
  <c r="A157" i="82" s="1"/>
  <c r="BZ156" i="82"/>
  <c r="G156" i="82"/>
  <c r="M156" i="82"/>
  <c r="K156" i="82"/>
  <c r="Z156" i="82"/>
  <c r="CZ156" i="82"/>
  <c r="DA156" i="82"/>
  <c r="I156" i="82"/>
  <c r="AA120" i="82"/>
  <c r="AF157" i="82" l="1"/>
  <c r="AO157" i="82"/>
  <c r="T157" i="82"/>
  <c r="BV158" i="82"/>
  <c r="H157" i="82"/>
  <c r="AC157" i="82"/>
  <c r="BA158" i="82"/>
  <c r="AE157" i="82"/>
  <c r="I157" i="82"/>
  <c r="AG157" i="82"/>
  <c r="AH157" i="82"/>
  <c r="O157" i="82"/>
  <c r="E157" i="82"/>
  <c r="U157" i="82"/>
  <c r="DC157" i="82" s="1"/>
  <c r="B157" i="82"/>
  <c r="A158" i="82" s="1"/>
  <c r="BN157" i="82"/>
  <c r="BP157" i="82"/>
  <c r="DF157" i="82"/>
  <c r="DL157" i="82"/>
  <c r="BD157" i="82"/>
  <c r="BK157" i="82"/>
  <c r="CH157" i="82"/>
  <c r="AJ157" i="82"/>
  <c r="AR157" i="82"/>
  <c r="Q157" i="82"/>
  <c r="CI157" i="82"/>
  <c r="AW157" i="82"/>
  <c r="Z157" i="82"/>
  <c r="R157" i="82"/>
  <c r="CZ157" i="82"/>
  <c r="M157" i="82"/>
  <c r="CR157" i="82"/>
  <c r="CP157" i="82"/>
  <c r="Y157" i="82"/>
  <c r="F157" i="82"/>
  <c r="AS157" i="82"/>
  <c r="CC157" i="82"/>
  <c r="P157" i="82"/>
  <c r="AI157" i="82"/>
  <c r="AX158" i="82"/>
  <c r="CK157" i="82"/>
  <c r="S157" i="82"/>
  <c r="CO157" i="82"/>
  <c r="AU157" i="82"/>
  <c r="BG157" i="82"/>
  <c r="AP157" i="82"/>
  <c r="DA157" i="82"/>
  <c r="L157" i="82"/>
  <c r="CE157" i="82"/>
  <c r="BZ157" i="82"/>
  <c r="AB157" i="82"/>
  <c r="AD157" i="82"/>
  <c r="D157" i="82"/>
  <c r="J157" i="82"/>
  <c r="K157" i="82"/>
  <c r="AN157" i="82"/>
  <c r="CM157" i="82"/>
  <c r="G157" i="82"/>
  <c r="DM157" i="82"/>
  <c r="DD157" i="82"/>
  <c r="AY157" i="82"/>
  <c r="BF157" i="82"/>
  <c r="AL157" i="82"/>
  <c r="C156" i="82"/>
  <c r="AA121" i="82"/>
  <c r="C157" i="82" l="1"/>
  <c r="AO158" i="82"/>
  <c r="L158" i="82"/>
  <c r="CR158" i="82"/>
  <c r="T158" i="82"/>
  <c r="F158" i="82"/>
  <c r="CI158" i="82"/>
  <c r="AL158" i="82"/>
  <c r="AS158" i="82"/>
  <c r="K158" i="82"/>
  <c r="CH158" i="82"/>
  <c r="BP158" i="82"/>
  <c r="BA159" i="82"/>
  <c r="H158" i="82"/>
  <c r="DM158" i="82"/>
  <c r="AH158" i="82"/>
  <c r="CM158" i="82"/>
  <c r="B158" i="82"/>
  <c r="A159" i="82" s="1"/>
  <c r="CK158" i="82"/>
  <c r="DA158" i="82"/>
  <c r="BF158" i="82"/>
  <c r="BK158" i="82"/>
  <c r="AW158" i="82"/>
  <c r="E158" i="82"/>
  <c r="AG158" i="82"/>
  <c r="Z158" i="82"/>
  <c r="BD158" i="82"/>
  <c r="AY158" i="82"/>
  <c r="CC158" i="82"/>
  <c r="BV159" i="82"/>
  <c r="O158" i="82"/>
  <c r="AC158" i="82"/>
  <c r="BN158" i="82"/>
  <c r="M158" i="82"/>
  <c r="AD158" i="82"/>
  <c r="R158" i="82"/>
  <c r="AN158" i="82"/>
  <c r="CZ158" i="82"/>
  <c r="AX159" i="82"/>
  <c r="AI158" i="82"/>
  <c r="AR158" i="82"/>
  <c r="AF158" i="82"/>
  <c r="AB158" i="82"/>
  <c r="D158" i="82"/>
  <c r="S158" i="82"/>
  <c r="CP158" i="82"/>
  <c r="DF158" i="82"/>
  <c r="Y158" i="82"/>
  <c r="Q158" i="82"/>
  <c r="AP158" i="82"/>
  <c r="P158" i="82"/>
  <c r="CO158" i="82"/>
  <c r="DD158" i="82"/>
  <c r="U158" i="82"/>
  <c r="DC158" i="82" s="1"/>
  <c r="DL158" i="82"/>
  <c r="AU158" i="82"/>
  <c r="G158" i="82"/>
  <c r="AJ158" i="82"/>
  <c r="J158" i="82"/>
  <c r="AE158" i="82"/>
  <c r="BZ158" i="82"/>
  <c r="BG158" i="82"/>
  <c r="I158" i="82"/>
  <c r="CE158" i="82"/>
  <c r="AA122" i="82"/>
  <c r="C158" i="82" l="1"/>
  <c r="AL159" i="82"/>
  <c r="AH159" i="82"/>
  <c r="DL159" i="82"/>
  <c r="BA160" i="82"/>
  <c r="BN159" i="82"/>
  <c r="CM159" i="82"/>
  <c r="AE159" i="82"/>
  <c r="CC159" i="82"/>
  <c r="AI159" i="82"/>
  <c r="AY159" i="82"/>
  <c r="AX160" i="82"/>
  <c r="CP159" i="82"/>
  <c r="AF159" i="82"/>
  <c r="AD159" i="82"/>
  <c r="CK159" i="82"/>
  <c r="M159" i="82"/>
  <c r="R159" i="82"/>
  <c r="I159" i="82"/>
  <c r="DA159" i="82"/>
  <c r="AR159" i="82"/>
  <c r="Y159" i="82"/>
  <c r="DM159" i="82"/>
  <c r="CE159" i="82"/>
  <c r="Q159" i="82"/>
  <c r="BG159" i="82"/>
  <c r="G159" i="82"/>
  <c r="AP159" i="82"/>
  <c r="AC159" i="82"/>
  <c r="S159" i="82"/>
  <c r="CI159" i="82"/>
  <c r="AJ159" i="82"/>
  <c r="AN159" i="82"/>
  <c r="CR159" i="82"/>
  <c r="BV160" i="82"/>
  <c r="J159" i="82"/>
  <c r="Z159" i="82"/>
  <c r="F159" i="82"/>
  <c r="AO159" i="82"/>
  <c r="H159" i="82"/>
  <c r="BK159" i="82"/>
  <c r="AG159" i="82"/>
  <c r="DF159" i="82"/>
  <c r="B159" i="82"/>
  <c r="C159" i="82" s="1"/>
  <c r="AB159" i="82"/>
  <c r="BZ159" i="82"/>
  <c r="DD159" i="82"/>
  <c r="T159" i="82"/>
  <c r="E159" i="82"/>
  <c r="BF159" i="82"/>
  <c r="P159" i="82"/>
  <c r="CZ159" i="82"/>
  <c r="O159" i="82"/>
  <c r="D159" i="82"/>
  <c r="K159" i="82"/>
  <c r="AS159" i="82"/>
  <c r="U159" i="82"/>
  <c r="DC159" i="82" s="1"/>
  <c r="BD159" i="82"/>
  <c r="L159" i="82"/>
  <c r="AW159" i="82"/>
  <c r="AU159" i="82"/>
  <c r="CH159" i="82"/>
  <c r="A160" i="82"/>
  <c r="BP159" i="82"/>
  <c r="CO159" i="82"/>
  <c r="AA123" i="82"/>
  <c r="BN160" i="82" l="1"/>
  <c r="I160" i="82"/>
  <c r="BK160" i="82"/>
  <c r="M160" i="82"/>
  <c r="H160" i="82"/>
  <c r="AX161" i="82"/>
  <c r="BD160" i="82"/>
  <c r="AW160" i="82"/>
  <c r="AB160" i="82"/>
  <c r="BV161" i="82"/>
  <c r="CK160" i="82"/>
  <c r="O160" i="82"/>
  <c r="AO160" i="82"/>
  <c r="AH160" i="82"/>
  <c r="AD160" i="82"/>
  <c r="DF160" i="82"/>
  <c r="CC160" i="82"/>
  <c r="DA160" i="82"/>
  <c r="AL160" i="82"/>
  <c r="AY160" i="82"/>
  <c r="S160" i="82"/>
  <c r="BZ160" i="82"/>
  <c r="T160" i="82"/>
  <c r="CO160" i="82"/>
  <c r="Q160" i="82"/>
  <c r="Y160" i="82"/>
  <c r="DD160" i="82"/>
  <c r="BP160" i="82"/>
  <c r="AJ160" i="82"/>
  <c r="AC160" i="82"/>
  <c r="CZ160" i="82"/>
  <c r="B160" i="82"/>
  <c r="A161" i="82" s="1"/>
  <c r="K160" i="82"/>
  <c r="AG160" i="82"/>
  <c r="DM160" i="82"/>
  <c r="AU160" i="82"/>
  <c r="G160" i="82"/>
  <c r="J160" i="82"/>
  <c r="AE160" i="82"/>
  <c r="CM160" i="82"/>
  <c r="Z160" i="82"/>
  <c r="P160" i="82"/>
  <c r="AR160" i="82"/>
  <c r="D160" i="82"/>
  <c r="CR160" i="82"/>
  <c r="CI160" i="82"/>
  <c r="BG160" i="82"/>
  <c r="AS160" i="82"/>
  <c r="CP160" i="82"/>
  <c r="U160" i="82"/>
  <c r="DC160" i="82" s="1"/>
  <c r="AI160" i="82"/>
  <c r="BF160" i="82"/>
  <c r="R160" i="82"/>
  <c r="AN160" i="82"/>
  <c r="CE160" i="82"/>
  <c r="CH160" i="82"/>
  <c r="F160" i="82"/>
  <c r="E160" i="82"/>
  <c r="AP160" i="82"/>
  <c r="AF160" i="82"/>
  <c r="DL160" i="82"/>
  <c r="L160" i="82"/>
  <c r="BA161" i="82"/>
  <c r="AA124" i="82"/>
  <c r="C160" i="82" l="1"/>
  <c r="AJ161" i="82"/>
  <c r="BF161" i="82"/>
  <c r="BZ161" i="82"/>
  <c r="O161" i="82"/>
  <c r="AF161" i="82"/>
  <c r="Z161" i="82"/>
  <c r="P161" i="82"/>
  <c r="CM161" i="82"/>
  <c r="G161" i="82"/>
  <c r="BD161" i="82"/>
  <c r="Y161" i="82"/>
  <c r="K161" i="82"/>
  <c r="L161" i="82"/>
  <c r="BG161" i="82"/>
  <c r="CE161" i="82"/>
  <c r="AH161" i="82"/>
  <c r="DF161" i="82"/>
  <c r="CK161" i="82"/>
  <c r="DA161" i="82"/>
  <c r="AG161" i="82"/>
  <c r="DM161" i="82"/>
  <c r="CR161" i="82"/>
  <c r="AB161" i="82"/>
  <c r="D161" i="82"/>
  <c r="M161" i="82"/>
  <c r="AL161" i="82"/>
  <c r="AC161" i="82"/>
  <c r="DL161" i="82"/>
  <c r="CZ161" i="82"/>
  <c r="CH161" i="82"/>
  <c r="Q161" i="82"/>
  <c r="CO161" i="82"/>
  <c r="AN161" i="82"/>
  <c r="E161" i="82"/>
  <c r="CI161" i="82"/>
  <c r="AS161" i="82"/>
  <c r="AP161" i="82"/>
  <c r="AY161" i="82"/>
  <c r="CP161" i="82"/>
  <c r="CC161" i="82"/>
  <c r="I161" i="82"/>
  <c r="AX162" i="82"/>
  <c r="BV162" i="82"/>
  <c r="H161" i="82"/>
  <c r="S161" i="82"/>
  <c r="AE161" i="82"/>
  <c r="BP161" i="82"/>
  <c r="BN161" i="82"/>
  <c r="AO161" i="82"/>
  <c r="AR161" i="82"/>
  <c r="AD161" i="82"/>
  <c r="F161" i="82"/>
  <c r="DD161" i="82"/>
  <c r="T161" i="82"/>
  <c r="AW161" i="82"/>
  <c r="R161" i="82"/>
  <c r="BK161" i="82"/>
  <c r="BA162" i="82"/>
  <c r="B161" i="82"/>
  <c r="C161" i="82" s="1"/>
  <c r="AU161" i="82"/>
  <c r="AI161" i="82"/>
  <c r="U161" i="82"/>
  <c r="DC161" i="82" s="1"/>
  <c r="J161" i="82"/>
  <c r="AA125" i="82"/>
  <c r="A162" i="82" l="1"/>
  <c r="AA126" i="82"/>
  <c r="DF162" i="82" l="1"/>
  <c r="Z162" i="82"/>
  <c r="BV163" i="82"/>
  <c r="AP162" i="82"/>
  <c r="AD162" i="82"/>
  <c r="CK162" i="82"/>
  <c r="D162" i="82"/>
  <c r="AR162" i="82"/>
  <c r="AO162" i="82"/>
  <c r="CC162" i="82"/>
  <c r="CI162" i="82"/>
  <c r="CR162" i="82"/>
  <c r="AX163" i="82"/>
  <c r="AN162" i="82"/>
  <c r="AI162" i="82"/>
  <c r="L162" i="82"/>
  <c r="E162" i="82"/>
  <c r="AH162" i="82"/>
  <c r="CP162" i="82"/>
  <c r="DA162" i="82"/>
  <c r="Q162" i="82"/>
  <c r="CM162" i="82"/>
  <c r="P162" i="82"/>
  <c r="AG162" i="82"/>
  <c r="DL162" i="82"/>
  <c r="G162" i="82"/>
  <c r="I162" i="82"/>
  <c r="BZ162" i="82"/>
  <c r="AS162" i="82"/>
  <c r="CE162" i="82"/>
  <c r="M162" i="82"/>
  <c r="S162" i="82"/>
  <c r="AW162" i="82"/>
  <c r="BA163" i="82"/>
  <c r="AJ162" i="82"/>
  <c r="AC162" i="82"/>
  <c r="CH162" i="82"/>
  <c r="H162" i="82"/>
  <c r="BK162" i="82"/>
  <c r="CO162" i="82"/>
  <c r="R162" i="82"/>
  <c r="AY162" i="82"/>
  <c r="CZ162" i="82"/>
  <c r="DD162" i="82"/>
  <c r="O162" i="82"/>
  <c r="AE162" i="82"/>
  <c r="BF162" i="82"/>
  <c r="BP162" i="82"/>
  <c r="Y162" i="82"/>
  <c r="U162" i="82"/>
  <c r="DC162" i="82" s="1"/>
  <c r="T162" i="82"/>
  <c r="J162" i="82"/>
  <c r="B162" i="82"/>
  <c r="C162" i="82" s="1"/>
  <c r="AL162" i="82"/>
  <c r="DM162" i="82"/>
  <c r="AB162" i="82"/>
  <c r="BG162" i="82"/>
  <c r="BN162" i="82"/>
  <c r="AU162" i="82"/>
  <c r="BD162" i="82"/>
  <c r="F162" i="82"/>
  <c r="K162" i="82"/>
  <c r="AF162" i="82"/>
  <c r="A163" i="82"/>
  <c r="AA127" i="82"/>
  <c r="AH163" i="82" l="1"/>
  <c r="AD163" i="82"/>
  <c r="BV164" i="82"/>
  <c r="CC163" i="82"/>
  <c r="AL163" i="82"/>
  <c r="D163" i="82"/>
  <c r="AS163" i="82"/>
  <c r="CH163" i="82"/>
  <c r="AE163" i="82"/>
  <c r="Z163" i="82"/>
  <c r="CR163" i="82"/>
  <c r="CE163" i="82"/>
  <c r="AW163" i="82"/>
  <c r="AI163" i="82"/>
  <c r="CK163" i="82"/>
  <c r="P163" i="82"/>
  <c r="M163" i="82"/>
  <c r="DF163" i="82"/>
  <c r="BG163" i="82"/>
  <c r="K163" i="82"/>
  <c r="AR163" i="82"/>
  <c r="AF163" i="82"/>
  <c r="AX164" i="82"/>
  <c r="F163" i="82"/>
  <c r="S163" i="82"/>
  <c r="AN163" i="82"/>
  <c r="Q163" i="82"/>
  <c r="Y163" i="82"/>
  <c r="R163" i="82"/>
  <c r="AO163" i="82"/>
  <c r="BA164" i="82"/>
  <c r="H163" i="82"/>
  <c r="CI163" i="82"/>
  <c r="E163" i="82"/>
  <c r="L163" i="82"/>
  <c r="BN163" i="82"/>
  <c r="B163" i="82"/>
  <c r="A164" i="82" s="1"/>
  <c r="AY163" i="82"/>
  <c r="DM163" i="82"/>
  <c r="U163" i="82"/>
  <c r="DC163" i="82" s="1"/>
  <c r="T163" i="82"/>
  <c r="DD163" i="82"/>
  <c r="BK163" i="82"/>
  <c r="BZ163" i="82"/>
  <c r="DL163" i="82"/>
  <c r="G163" i="82"/>
  <c r="CP163" i="82"/>
  <c r="BD163" i="82"/>
  <c r="CZ163" i="82"/>
  <c r="BF163" i="82"/>
  <c r="AJ163" i="82"/>
  <c r="CO163" i="82"/>
  <c r="AB163" i="82"/>
  <c r="AU163" i="82"/>
  <c r="AC163" i="82"/>
  <c r="CM163" i="82"/>
  <c r="I163" i="82"/>
  <c r="AG163" i="82"/>
  <c r="J163" i="82"/>
  <c r="BP163" i="82"/>
  <c r="O163" i="82"/>
  <c r="DA163" i="82"/>
  <c r="AP163" i="82"/>
  <c r="AA128" i="82"/>
  <c r="AU164" i="82" l="1"/>
  <c r="BP164" i="82"/>
  <c r="AO164" i="82"/>
  <c r="DF164" i="82"/>
  <c r="AE164" i="82"/>
  <c r="AG164" i="82"/>
  <c r="AY164" i="82"/>
  <c r="CM164" i="82"/>
  <c r="O164" i="82"/>
  <c r="AR164" i="82"/>
  <c r="AC164" i="82"/>
  <c r="CP164" i="82"/>
  <c r="BG164" i="82"/>
  <c r="J164" i="82"/>
  <c r="BN164" i="82"/>
  <c r="K164" i="82"/>
  <c r="DA164" i="82"/>
  <c r="BD164" i="82"/>
  <c r="AS164" i="82"/>
  <c r="B164" i="82"/>
  <c r="A165" i="82" s="1"/>
  <c r="CK164" i="82"/>
  <c r="Q164" i="82"/>
  <c r="AI164" i="82"/>
  <c r="CC164" i="82"/>
  <c r="AH164" i="82"/>
  <c r="CI164" i="82"/>
  <c r="CE164" i="82"/>
  <c r="AF164" i="82"/>
  <c r="M164" i="82"/>
  <c r="S164" i="82"/>
  <c r="AP164" i="82"/>
  <c r="E164" i="82"/>
  <c r="Z164" i="82"/>
  <c r="R164" i="82"/>
  <c r="P164" i="82"/>
  <c r="CZ164" i="82"/>
  <c r="CR164" i="82"/>
  <c r="BF164" i="82"/>
  <c r="BA165" i="82"/>
  <c r="F164" i="82"/>
  <c r="U164" i="82"/>
  <c r="DC164" i="82" s="1"/>
  <c r="AW164" i="82"/>
  <c r="AN164" i="82"/>
  <c r="I164" i="82"/>
  <c r="DM164" i="82"/>
  <c r="AJ164" i="82"/>
  <c r="L164" i="82"/>
  <c r="AL164" i="82"/>
  <c r="BZ164" i="82"/>
  <c r="DL164" i="82"/>
  <c r="G164" i="82"/>
  <c r="AB164" i="82"/>
  <c r="CO164" i="82"/>
  <c r="CH164" i="82"/>
  <c r="BK164" i="82"/>
  <c r="AX165" i="82"/>
  <c r="Y164" i="82"/>
  <c r="AD164" i="82"/>
  <c r="H164" i="82"/>
  <c r="D164" i="82"/>
  <c r="DD164" i="82"/>
  <c r="BV165" i="82"/>
  <c r="T164" i="82"/>
  <c r="C163" i="82"/>
  <c r="AA129" i="82"/>
  <c r="B165" i="82" l="1"/>
  <c r="C165" i="82" s="1"/>
  <c r="AC165" i="82"/>
  <c r="AS165" i="82"/>
  <c r="AX166" i="82"/>
  <c r="Q165" i="82"/>
  <c r="H165" i="82"/>
  <c r="AY165" i="82"/>
  <c r="AI165" i="82"/>
  <c r="L165" i="82"/>
  <c r="AF165" i="82"/>
  <c r="M165" i="82"/>
  <c r="CE165" i="82"/>
  <c r="DM165" i="82"/>
  <c r="BP165" i="82"/>
  <c r="CZ165" i="82"/>
  <c r="BG165" i="82"/>
  <c r="AN165" i="82"/>
  <c r="DF165" i="82"/>
  <c r="BZ165" i="82"/>
  <c r="AH165" i="82"/>
  <c r="BV166" i="82"/>
  <c r="CM165" i="82"/>
  <c r="I165" i="82"/>
  <c r="AW165" i="82"/>
  <c r="CI165" i="82"/>
  <c r="BN165" i="82"/>
  <c r="AR165" i="82"/>
  <c r="CR165" i="82"/>
  <c r="E165" i="82"/>
  <c r="CO165" i="82"/>
  <c r="D165" i="82"/>
  <c r="AP165" i="82"/>
  <c r="O165" i="82"/>
  <c r="U165" i="82"/>
  <c r="DC165" i="82" s="1"/>
  <c r="DA165" i="82"/>
  <c r="AG165" i="82"/>
  <c r="AD165" i="82"/>
  <c r="AU165" i="82"/>
  <c r="CP165" i="82"/>
  <c r="Z165" i="82"/>
  <c r="BA166" i="82"/>
  <c r="Y165" i="82"/>
  <c r="BK165" i="82"/>
  <c r="K165" i="82"/>
  <c r="AB165" i="82"/>
  <c r="AL165" i="82"/>
  <c r="CK165" i="82"/>
  <c r="BD165" i="82"/>
  <c r="P165" i="82"/>
  <c r="R165" i="82"/>
  <c r="S165" i="82"/>
  <c r="J165" i="82"/>
  <c r="CH165" i="82"/>
  <c r="BF165" i="82"/>
  <c r="G165" i="82"/>
  <c r="DL165" i="82"/>
  <c r="AJ165" i="82"/>
  <c r="F165" i="82"/>
  <c r="T165" i="82"/>
  <c r="DD165" i="82"/>
  <c r="AO165" i="82"/>
  <c r="AE165" i="82"/>
  <c r="CC165" i="82"/>
  <c r="C164" i="82"/>
  <c r="AA130" i="82"/>
  <c r="A166" i="82" l="1"/>
  <c r="BP166" i="82" s="1"/>
  <c r="AA131" i="82"/>
  <c r="CR166" i="82" l="1"/>
  <c r="BA167" i="82"/>
  <c r="AW166" i="82"/>
  <c r="BN166" i="82"/>
  <c r="AN166" i="82"/>
  <c r="CH166" i="82"/>
  <c r="BZ166" i="82"/>
  <c r="CM166" i="82"/>
  <c r="B166" i="82"/>
  <c r="A167" i="82" s="1"/>
  <c r="AY166" i="82"/>
  <c r="Y166" i="82"/>
  <c r="CE166" i="82"/>
  <c r="AE166" i="82"/>
  <c r="Z166" i="82"/>
  <c r="U166" i="82"/>
  <c r="DC166" i="82" s="1"/>
  <c r="CK166" i="82"/>
  <c r="CO166" i="82"/>
  <c r="T166" i="82"/>
  <c r="BV167" i="82"/>
  <c r="L166" i="82"/>
  <c r="DD166" i="82"/>
  <c r="H166" i="82"/>
  <c r="AI166" i="82"/>
  <c r="DM166" i="82"/>
  <c r="AF166" i="82"/>
  <c r="AF167" i="82" s="1"/>
  <c r="Q166" i="82"/>
  <c r="AR166" i="82"/>
  <c r="AR167" i="82" s="1"/>
  <c r="AH166" i="82"/>
  <c r="BF166" i="82"/>
  <c r="R166" i="82"/>
  <c r="P166" i="82"/>
  <c r="CP166" i="82"/>
  <c r="AL166" i="82"/>
  <c r="AL167" i="82" s="1"/>
  <c r="G166" i="82"/>
  <c r="K166" i="82"/>
  <c r="AU166" i="82"/>
  <c r="AD166" i="82"/>
  <c r="E166" i="82"/>
  <c r="AP166" i="82"/>
  <c r="D166" i="82"/>
  <c r="BD166" i="82"/>
  <c r="BD167" i="82" s="1"/>
  <c r="BK166" i="82"/>
  <c r="CI166" i="82"/>
  <c r="I166" i="82"/>
  <c r="S166" i="82"/>
  <c r="M166" i="82"/>
  <c r="F166" i="82"/>
  <c r="AG166" i="82"/>
  <c r="CC166" i="82"/>
  <c r="CC167" i="82" s="1"/>
  <c r="AC166" i="82"/>
  <c r="O166" i="82"/>
  <c r="BG166" i="82"/>
  <c r="J166" i="82"/>
  <c r="CZ166" i="82"/>
  <c r="AO166" i="82"/>
  <c r="AX167" i="82"/>
  <c r="DF166" i="82"/>
  <c r="DF167" i="82" s="1"/>
  <c r="DL166" i="82"/>
  <c r="AJ166" i="82"/>
  <c r="AS166" i="82"/>
  <c r="DA166" i="82"/>
  <c r="AB166" i="82"/>
  <c r="B167" i="82"/>
  <c r="C167" i="82" s="1"/>
  <c r="BV168" i="82"/>
  <c r="BA168" i="82"/>
  <c r="Q167" i="82"/>
  <c r="AA132" i="82"/>
  <c r="AC167" i="82" l="1"/>
  <c r="AX168" i="82"/>
  <c r="AG167" i="82"/>
  <c r="D167" i="82"/>
  <c r="CP167" i="82"/>
  <c r="DM167" i="82"/>
  <c r="CK167" i="82"/>
  <c r="CM167" i="82"/>
  <c r="BK167" i="82"/>
  <c r="CI167" i="82"/>
  <c r="AY167" i="82"/>
  <c r="Y167" i="82"/>
  <c r="C166" i="82"/>
  <c r="AO167" i="82"/>
  <c r="F167" i="82"/>
  <c r="AP167" i="82"/>
  <c r="P167" i="82"/>
  <c r="AI167" i="82"/>
  <c r="BZ167" i="82"/>
  <c r="CE167" i="82"/>
  <c r="E167" i="82"/>
  <c r="R167" i="82"/>
  <c r="H167" i="82"/>
  <c r="Z167" i="82"/>
  <c r="CH167" i="82"/>
  <c r="I167" i="82"/>
  <c r="AB167" i="82"/>
  <c r="J167" i="82"/>
  <c r="AD167" i="82"/>
  <c r="BF167" i="82"/>
  <c r="AE167" i="82"/>
  <c r="CZ167" i="82"/>
  <c r="DD167" i="82"/>
  <c r="DA167" i="82"/>
  <c r="K167" i="82"/>
  <c r="AS167" i="82"/>
  <c r="BG167" i="82"/>
  <c r="AU167" i="82"/>
  <c r="AH167" i="82"/>
  <c r="BN167" i="82"/>
  <c r="M167" i="82"/>
  <c r="BP167" i="82"/>
  <c r="S167" i="82"/>
  <c r="L167" i="82"/>
  <c r="T167" i="82"/>
  <c r="AW167" i="82"/>
  <c r="O167" i="82"/>
  <c r="CO167" i="82"/>
  <c r="CR167" i="82"/>
  <c r="DL167" i="82"/>
  <c r="AN167" i="82"/>
  <c r="AJ167" i="82"/>
  <c r="G167" i="82"/>
  <c r="U167" i="82"/>
  <c r="DC167" i="82" s="1"/>
  <c r="A168" i="82"/>
  <c r="AA133" i="82"/>
  <c r="BN168" i="82" l="1"/>
  <c r="B168" i="82"/>
  <c r="A169" i="82" s="1"/>
  <c r="DF168" i="82"/>
  <c r="BP168" i="82"/>
  <c r="AO168" i="82"/>
  <c r="BF168" i="82"/>
  <c r="BF169" i="82" s="1"/>
  <c r="H168" i="82"/>
  <c r="H169" i="82" s="1"/>
  <c r="DA168" i="82"/>
  <c r="DA169" i="82" s="1"/>
  <c r="Q168" i="82"/>
  <c r="AW168" i="82"/>
  <c r="G168" i="82"/>
  <c r="AU168" i="82"/>
  <c r="S168" i="82"/>
  <c r="S169" i="82" s="1"/>
  <c r="F168" i="82"/>
  <c r="F169" i="82" s="1"/>
  <c r="CR168" i="82"/>
  <c r="CR169" i="82" s="1"/>
  <c r="Z168" i="82"/>
  <c r="AS168" i="82"/>
  <c r="BD168" i="82"/>
  <c r="BG168" i="82"/>
  <c r="E168" i="82"/>
  <c r="R168" i="82"/>
  <c r="R169" i="82" s="1"/>
  <c r="AC168" i="82"/>
  <c r="AC169" i="82" s="1"/>
  <c r="BK168" i="82"/>
  <c r="BK169" i="82" s="1"/>
  <c r="AF168" i="82"/>
  <c r="AF169" i="82" s="1"/>
  <c r="D168" i="82"/>
  <c r="AG168" i="82"/>
  <c r="AG169" i="82" s="1"/>
  <c r="AY168" i="82"/>
  <c r="AY169" i="82" s="1"/>
  <c r="CC168" i="82"/>
  <c r="CC169" i="82" s="1"/>
  <c r="BZ168" i="82"/>
  <c r="AE168" i="82"/>
  <c r="T168" i="82"/>
  <c r="BV169" i="82"/>
  <c r="AL168" i="82"/>
  <c r="CH168" i="82"/>
  <c r="CH169" i="82" s="1"/>
  <c r="I168" i="82"/>
  <c r="CP168" i="82"/>
  <c r="CP169" i="82" s="1"/>
  <c r="DL168" i="82"/>
  <c r="DL169" i="82" s="1"/>
  <c r="AR168" i="82"/>
  <c r="AR169" i="82" s="1"/>
  <c r="AJ168" i="82"/>
  <c r="AJ169" i="82" s="1"/>
  <c r="J168" i="82"/>
  <c r="J169" i="82" s="1"/>
  <c r="L168" i="82"/>
  <c r="CI168" i="82"/>
  <c r="AX169" i="82"/>
  <c r="AB168" i="82"/>
  <c r="AB169" i="82" s="1"/>
  <c r="K168" i="82"/>
  <c r="K169" i="82" s="1"/>
  <c r="CK168" i="82"/>
  <c r="BA169" i="82"/>
  <c r="BA170" i="82" s="1"/>
  <c r="CE168" i="82"/>
  <c r="CE169" i="82" s="1"/>
  <c r="CM168" i="82"/>
  <c r="U168" i="82"/>
  <c r="DC168" i="82" s="1"/>
  <c r="M168" i="82"/>
  <c r="M169" i="82" s="1"/>
  <c r="CZ168" i="82"/>
  <c r="CZ169" i="82" s="1"/>
  <c r="AI168" i="82"/>
  <c r="AI169" i="82" s="1"/>
  <c r="AH168" i="82"/>
  <c r="AH169" i="82" s="1"/>
  <c r="DD168" i="82"/>
  <c r="AD168" i="82"/>
  <c r="AD169" i="82" s="1"/>
  <c r="DM168" i="82"/>
  <c r="CO168" i="82"/>
  <c r="Y168" i="82"/>
  <c r="Y169" i="82" s="1"/>
  <c r="AP168" i="82"/>
  <c r="AP169" i="82" s="1"/>
  <c r="P168" i="82"/>
  <c r="P169" i="82" s="1"/>
  <c r="O168" i="82"/>
  <c r="O169" i="82" s="1"/>
  <c r="AN168" i="82"/>
  <c r="AN169" i="82" s="1"/>
  <c r="BG169" i="82"/>
  <c r="AA134" i="82"/>
  <c r="AO169" i="82" l="1"/>
  <c r="E169" i="82"/>
  <c r="AU169" i="82"/>
  <c r="G169" i="82"/>
  <c r="BP169" i="82"/>
  <c r="Q169" i="82"/>
  <c r="B169" i="82"/>
  <c r="A170" i="82" s="1"/>
  <c r="P170" i="82" s="1"/>
  <c r="DF169" i="82"/>
  <c r="BN169" i="82"/>
  <c r="DM169" i="82"/>
  <c r="AS169" i="82"/>
  <c r="CO169" i="82"/>
  <c r="CM169" i="82"/>
  <c r="L169" i="82"/>
  <c r="AL169" i="82"/>
  <c r="D169" i="82"/>
  <c r="C168" i="82"/>
  <c r="U169" i="82"/>
  <c r="DC169" i="82" s="1"/>
  <c r="AW169" i="82"/>
  <c r="Z169" i="82"/>
  <c r="BV170" i="82"/>
  <c r="BZ169" i="82"/>
  <c r="AX170" i="82"/>
  <c r="I169" i="82"/>
  <c r="CK169" i="82"/>
  <c r="CI169" i="82"/>
  <c r="T169" i="82"/>
  <c r="DD169" i="82"/>
  <c r="AE169" i="82"/>
  <c r="BD169" i="82"/>
  <c r="AA135" i="82"/>
  <c r="BN170" i="82" l="1"/>
  <c r="I170" i="82"/>
  <c r="CK170" i="82"/>
  <c r="C169" i="82"/>
  <c r="DM170" i="82"/>
  <c r="AB170" i="82"/>
  <c r="AJ170" i="82"/>
  <c r="AO170" i="82"/>
  <c r="D170" i="82"/>
  <c r="AX171" i="82"/>
  <c r="CR170" i="82"/>
  <c r="AC170" i="82"/>
  <c r="O170" i="82"/>
  <c r="BK170" i="82"/>
  <c r="E170" i="82"/>
  <c r="AL170" i="82"/>
  <c r="AY170" i="82"/>
  <c r="BG170" i="82"/>
  <c r="BD170" i="82"/>
  <c r="S170" i="82"/>
  <c r="R170" i="82"/>
  <c r="BZ170" i="82"/>
  <c r="AD170" i="82"/>
  <c r="AI170" i="82"/>
  <c r="F170" i="82"/>
  <c r="AG170" i="82"/>
  <c r="AH170" i="82"/>
  <c r="AR170" i="82"/>
  <c r="M170" i="82"/>
  <c r="BF170" i="82"/>
  <c r="AU170" i="82"/>
  <c r="H170" i="82"/>
  <c r="DL170" i="82"/>
  <c r="B170" i="82"/>
  <c r="C170" i="82" s="1"/>
  <c r="AP170" i="82"/>
  <c r="AN170" i="82"/>
  <c r="AF170" i="82"/>
  <c r="CP170" i="82"/>
  <c r="T170" i="82"/>
  <c r="AW170" i="82"/>
  <c r="CO170" i="82"/>
  <c r="G170" i="82"/>
  <c r="Q170" i="82"/>
  <c r="CC170" i="82"/>
  <c r="CZ170" i="82"/>
  <c r="K170" i="82"/>
  <c r="CI170" i="82"/>
  <c r="AS170" i="82"/>
  <c r="J170" i="82"/>
  <c r="Y170" i="82"/>
  <c r="DD170" i="82"/>
  <c r="Z170" i="82"/>
  <c r="CM170" i="82"/>
  <c r="CH170" i="82"/>
  <c r="CE170" i="82"/>
  <c r="BP170" i="82"/>
  <c r="BA171" i="82"/>
  <c r="DA170" i="82"/>
  <c r="AE170" i="82"/>
  <c r="DF170" i="82"/>
  <c r="BV171" i="82"/>
  <c r="L170" i="82"/>
  <c r="U170" i="82"/>
  <c r="DC170" i="82" s="1"/>
  <c r="AA136" i="82"/>
  <c r="A171" i="82" l="1"/>
  <c r="AB171" i="82" s="1"/>
  <c r="AA137" i="82"/>
  <c r="DF171" i="82" l="1"/>
  <c r="S171" i="82"/>
  <c r="Q171" i="82"/>
  <c r="CC171" i="82"/>
  <c r="CO171" i="82"/>
  <c r="Z171" i="82"/>
  <c r="AS171" i="82"/>
  <c r="AN171" i="82"/>
  <c r="BN171" i="82"/>
  <c r="D171" i="82"/>
  <c r="U171" i="82"/>
  <c r="DC171" i="82" s="1"/>
  <c r="BA172" i="82"/>
  <c r="AE171" i="82"/>
  <c r="AD171" i="82"/>
  <c r="CP171" i="82"/>
  <c r="CR171" i="82"/>
  <c r="AU171" i="82"/>
  <c r="BV172" i="82"/>
  <c r="AW171" i="82"/>
  <c r="DA171" i="82"/>
  <c r="B171" i="82"/>
  <c r="A172" i="82" s="1"/>
  <c r="G171" i="82"/>
  <c r="BD171" i="82"/>
  <c r="BD172" i="82" s="1"/>
  <c r="CM171" i="82"/>
  <c r="CM172" i="82" s="1"/>
  <c r="F171" i="82"/>
  <c r="P171" i="82"/>
  <c r="CE171" i="82"/>
  <c r="AL171" i="82"/>
  <c r="L171" i="82"/>
  <c r="CH171" i="82"/>
  <c r="BF171" i="82"/>
  <c r="BF172" i="82" s="1"/>
  <c r="Y171" i="82"/>
  <c r="Y172" i="82" s="1"/>
  <c r="AR171" i="82"/>
  <c r="O171" i="82"/>
  <c r="AH171" i="82"/>
  <c r="E171" i="82"/>
  <c r="I171" i="82"/>
  <c r="AJ171" i="82"/>
  <c r="CK171" i="82"/>
  <c r="CK172" i="82" s="1"/>
  <c r="T171" i="82"/>
  <c r="AC171" i="82"/>
  <c r="BZ171" i="82"/>
  <c r="CI171" i="82"/>
  <c r="K171" i="82"/>
  <c r="DL171" i="82"/>
  <c r="M171" i="82"/>
  <c r="AF171" i="82"/>
  <c r="AF172" i="82" s="1"/>
  <c r="BK171" i="82"/>
  <c r="BK172" i="82" s="1"/>
  <c r="R171" i="82"/>
  <c r="AY171" i="82"/>
  <c r="AO171" i="82"/>
  <c r="AI171" i="82"/>
  <c r="J171" i="82"/>
  <c r="DD171" i="82"/>
  <c r="DD172" i="82" s="1"/>
  <c r="AG171" i="82"/>
  <c r="AX172" i="82"/>
  <c r="CZ171" i="82"/>
  <c r="AP171" i="82"/>
  <c r="BP171" i="82"/>
  <c r="H171" i="82"/>
  <c r="DM171" i="82"/>
  <c r="BG171" i="82"/>
  <c r="AW172" i="82"/>
  <c r="BG172" i="82"/>
  <c r="AA138" i="82"/>
  <c r="AJ172" i="82" l="1"/>
  <c r="DF172" i="82"/>
  <c r="CR172" i="82"/>
  <c r="AN172" i="82"/>
  <c r="CP172" i="82"/>
  <c r="AS172" i="82"/>
  <c r="DL172" i="82"/>
  <c r="BV173" i="82"/>
  <c r="BP172" i="82"/>
  <c r="AD172" i="82"/>
  <c r="CH172" i="82"/>
  <c r="F172" i="82"/>
  <c r="AO172" i="82"/>
  <c r="U172" i="82"/>
  <c r="DC172" i="82" s="1"/>
  <c r="R172" i="82"/>
  <c r="AI172" i="82"/>
  <c r="H172" i="82"/>
  <c r="AR172" i="82"/>
  <c r="CI172" i="82"/>
  <c r="CO172" i="82"/>
  <c r="AL172" i="82"/>
  <c r="L172" i="82"/>
  <c r="AH172" i="82"/>
  <c r="BA173" i="82"/>
  <c r="D172" i="82"/>
  <c r="DA172" i="82"/>
  <c r="AY172" i="82"/>
  <c r="B172" i="82"/>
  <c r="C172" i="82" s="1"/>
  <c r="K172" i="82"/>
  <c r="AP172" i="82"/>
  <c r="S172" i="82"/>
  <c r="AB172" i="82"/>
  <c r="DM172" i="82"/>
  <c r="Q172" i="82"/>
  <c r="M172" i="82"/>
  <c r="I172" i="82"/>
  <c r="AC172" i="82"/>
  <c r="C171" i="82"/>
  <c r="AU172" i="82"/>
  <c r="CE172" i="82"/>
  <c r="CZ172" i="82"/>
  <c r="AX173" i="82"/>
  <c r="J172" i="82"/>
  <c r="Z172" i="82"/>
  <c r="P172" i="82"/>
  <c r="AG172" i="82"/>
  <c r="E172" i="82"/>
  <c r="BN172" i="82"/>
  <c r="BZ172" i="82"/>
  <c r="CC172" i="82"/>
  <c r="AE172" i="82"/>
  <c r="O172" i="82"/>
  <c r="T172" i="82"/>
  <c r="G172" i="82"/>
  <c r="AA139" i="82"/>
  <c r="A173" i="82" l="1"/>
  <c r="L173" i="82" s="1"/>
  <c r="AY173" i="82"/>
  <c r="CK173" i="82"/>
  <c r="CI173" i="82"/>
  <c r="CM173" i="82"/>
  <c r="DA173" i="82"/>
  <c r="AC173" i="82"/>
  <c r="BP173" i="82"/>
  <c r="S173" i="82"/>
  <c r="DL173" i="82"/>
  <c r="BF173" i="82"/>
  <c r="AG173" i="82"/>
  <c r="BG173" i="82"/>
  <c r="O173" i="82"/>
  <c r="CE173" i="82"/>
  <c r="U173" i="82"/>
  <c r="DC173" i="82" s="1"/>
  <c r="I173" i="82"/>
  <c r="H173" i="82"/>
  <c r="AP173" i="82"/>
  <c r="AS173" i="82"/>
  <c r="M173" i="82"/>
  <c r="AI173" i="82"/>
  <c r="AX174" i="82"/>
  <c r="AF173" i="82"/>
  <c r="AD173" i="82"/>
  <c r="G173" i="82"/>
  <c r="R173" i="82"/>
  <c r="CR173" i="82"/>
  <c r="AU173" i="82"/>
  <c r="Z173" i="82"/>
  <c r="AH173" i="82"/>
  <c r="CC173" i="82"/>
  <c r="Y173" i="82"/>
  <c r="BV174" i="82"/>
  <c r="DM173" i="82"/>
  <c r="AL173" i="82"/>
  <c r="AJ173" i="82"/>
  <c r="F173" i="82"/>
  <c r="BA174" i="82"/>
  <c r="CO173" i="82"/>
  <c r="BD173" i="82"/>
  <c r="BZ173" i="82"/>
  <c r="CZ173" i="82"/>
  <c r="AR173" i="82"/>
  <c r="DD173" i="82"/>
  <c r="B173" i="82"/>
  <c r="A174" i="82" s="1"/>
  <c r="AB173" i="82"/>
  <c r="AE173" i="82"/>
  <c r="D173" i="82"/>
  <c r="K173" i="82"/>
  <c r="AN173" i="82"/>
  <c r="AA140" i="82"/>
  <c r="AW173" i="82" l="1"/>
  <c r="Q173" i="82"/>
  <c r="J173" i="82"/>
  <c r="J174" i="82" s="1"/>
  <c r="BN173" i="82"/>
  <c r="BK173" i="82"/>
  <c r="T173" i="82"/>
  <c r="P173" i="82"/>
  <c r="P174" i="82" s="1"/>
  <c r="E173" i="82"/>
  <c r="E174" i="82" s="1"/>
  <c r="AO173" i="82"/>
  <c r="DF173" i="82"/>
  <c r="DF174" i="82" s="1"/>
  <c r="I174" i="82"/>
  <c r="CP173" i="82"/>
  <c r="CP174" i="82" s="1"/>
  <c r="CH173" i="82"/>
  <c r="CH174" i="82" s="1"/>
  <c r="AI174" i="82"/>
  <c r="CZ174" i="82"/>
  <c r="BV175" i="82"/>
  <c r="AD174" i="82"/>
  <c r="AC174" i="82"/>
  <c r="D174" i="82"/>
  <c r="U174" i="82"/>
  <c r="DC174" i="82" s="1"/>
  <c r="G174" i="82"/>
  <c r="M174" i="82"/>
  <c r="C173" i="82"/>
  <c r="AF174" i="82"/>
  <c r="K174" i="82"/>
  <c r="AG174" i="82"/>
  <c r="O174" i="82"/>
  <c r="AE174" i="82"/>
  <c r="CC174" i="82"/>
  <c r="L174" i="82"/>
  <c r="CM174" i="82"/>
  <c r="H174" i="82"/>
  <c r="R174" i="82"/>
  <c r="AS174" i="82"/>
  <c r="BD174" i="82"/>
  <c r="AY174" i="82"/>
  <c r="DM174" i="82"/>
  <c r="AH174" i="82"/>
  <c r="F174" i="82"/>
  <c r="Z174" i="82"/>
  <c r="DD174" i="82"/>
  <c r="Y174" i="82"/>
  <c r="AO174" i="82"/>
  <c r="BK174" i="82"/>
  <c r="T174" i="82"/>
  <c r="AN174" i="82"/>
  <c r="BN174" i="82"/>
  <c r="AJ174" i="82"/>
  <c r="CO174" i="82"/>
  <c r="CI174" i="82"/>
  <c r="AW174" i="82"/>
  <c r="DA174" i="82"/>
  <c r="BZ174" i="82"/>
  <c r="AX175" i="82"/>
  <c r="S174" i="82"/>
  <c r="Q174" i="82"/>
  <c r="B174" i="82"/>
  <c r="A175" i="82" s="1"/>
  <c r="B175" i="82" s="1"/>
  <c r="C175" i="82" s="1"/>
  <c r="BF174" i="82"/>
  <c r="AP174" i="82"/>
  <c r="AU174" i="82"/>
  <c r="CK174" i="82"/>
  <c r="AR174" i="82"/>
  <c r="CR174" i="82"/>
  <c r="DL174" i="82"/>
  <c r="BG174" i="82"/>
  <c r="BP174" i="82"/>
  <c r="AL174" i="82"/>
  <c r="CE174" i="82"/>
  <c r="AB174" i="82"/>
  <c r="BA175" i="82"/>
  <c r="AA141" i="82"/>
  <c r="T175" i="82" l="1"/>
  <c r="G175" i="82"/>
  <c r="CK175" i="82"/>
  <c r="C174" i="82"/>
  <c r="J175" i="82"/>
  <c r="CR175" i="82"/>
  <c r="CI175" i="82"/>
  <c r="DM175" i="82"/>
  <c r="CC175" i="82"/>
  <c r="BA176" i="82"/>
  <c r="AY175" i="82"/>
  <c r="BK175" i="82"/>
  <c r="BZ175" i="82"/>
  <c r="AO175" i="82"/>
  <c r="CM175" i="82"/>
  <c r="I175" i="82"/>
  <c r="AE175" i="82"/>
  <c r="CZ175" i="82"/>
  <c r="Y175" i="82"/>
  <c r="CO175" i="82"/>
  <c r="BD175" i="82"/>
  <c r="DF175" i="82"/>
  <c r="L175" i="82"/>
  <c r="AF175" i="82"/>
  <c r="Q175" i="82"/>
  <c r="CE175" i="82"/>
  <c r="DL175" i="82"/>
  <c r="AP175" i="82"/>
  <c r="BV176" i="82"/>
  <c r="AG175" i="82"/>
  <c r="AC175" i="82"/>
  <c r="R175" i="82"/>
  <c r="BN175" i="82"/>
  <c r="CH175" i="82"/>
  <c r="AW175" i="82"/>
  <c r="AH175" i="82"/>
  <c r="U175" i="82"/>
  <c r="DC175" i="82" s="1"/>
  <c r="DA175" i="82"/>
  <c r="AJ175" i="82"/>
  <c r="BF175" i="82"/>
  <c r="BP175" i="82"/>
  <c r="E175" i="82"/>
  <c r="AX176" i="82"/>
  <c r="AN175" i="82"/>
  <c r="K175" i="82"/>
  <c r="Z175" i="82"/>
  <c r="AB175" i="82"/>
  <c r="F175" i="82"/>
  <c r="AL175" i="82"/>
  <c r="DD175" i="82"/>
  <c r="CP175" i="82"/>
  <c r="H175" i="82"/>
  <c r="O175" i="82"/>
  <c r="S175" i="82"/>
  <c r="AD175" i="82"/>
  <c r="M175" i="82"/>
  <c r="AI175" i="82"/>
  <c r="D175" i="82"/>
  <c r="AR175" i="82"/>
  <c r="AU175" i="82"/>
  <c r="AS175" i="82"/>
  <c r="P175" i="82"/>
  <c r="BG175" i="82"/>
  <c r="A176" i="82"/>
  <c r="CK176" i="82" s="1"/>
  <c r="AA142" i="82"/>
  <c r="M176" i="82" l="1"/>
  <c r="CP176" i="82"/>
  <c r="Y176" i="82"/>
  <c r="Z176" i="82"/>
  <c r="BD176" i="82"/>
  <c r="CR176" i="82"/>
  <c r="DA176" i="82"/>
  <c r="AE176" i="82"/>
  <c r="P176" i="82"/>
  <c r="CO176" i="82"/>
  <c r="DF176" i="82"/>
  <c r="CZ176" i="82"/>
  <c r="AP176" i="82"/>
  <c r="AX177" i="82"/>
  <c r="AU176" i="82"/>
  <c r="H176" i="82"/>
  <c r="AN176" i="82"/>
  <c r="S176" i="82"/>
  <c r="CI176" i="82"/>
  <c r="I176" i="82"/>
  <c r="J176" i="82"/>
  <c r="AF176" i="82"/>
  <c r="Q176" i="82"/>
  <c r="BZ176" i="82"/>
  <c r="AW176" i="82"/>
  <c r="AG176" i="82"/>
  <c r="BV177" i="82"/>
  <c r="T176" i="82"/>
  <c r="K176" i="82"/>
  <c r="O176" i="82"/>
  <c r="G176" i="82"/>
  <c r="U176" i="82"/>
  <c r="DC176" i="82" s="1"/>
  <c r="AC176" i="82"/>
  <c r="AL176" i="82"/>
  <c r="BF176" i="82"/>
  <c r="E176" i="82"/>
  <c r="BG176" i="82"/>
  <c r="AJ176" i="82"/>
  <c r="BN176" i="82"/>
  <c r="AH176" i="82"/>
  <c r="L176" i="82"/>
  <c r="CE176" i="82"/>
  <c r="CH176" i="82"/>
  <c r="BA177" i="82"/>
  <c r="AD176" i="82"/>
  <c r="B176" i="82"/>
  <c r="A177" i="82" s="1"/>
  <c r="P177" i="82" s="1"/>
  <c r="R176" i="82"/>
  <c r="DD176" i="82"/>
  <c r="AR176" i="82"/>
  <c r="CC176" i="82"/>
  <c r="F176" i="82"/>
  <c r="AY176" i="82"/>
  <c r="BK176" i="82"/>
  <c r="AI176" i="82"/>
  <c r="AO176" i="82"/>
  <c r="DL176" i="82"/>
  <c r="AS176" i="82"/>
  <c r="DM176" i="82"/>
  <c r="AB176" i="82"/>
  <c r="BP176" i="82"/>
  <c r="D176" i="82"/>
  <c r="CM176" i="82"/>
  <c r="AA143" i="82"/>
  <c r="CI177" i="82" l="1"/>
  <c r="BF177" i="82"/>
  <c r="K177" i="82"/>
  <c r="AN177" i="82"/>
  <c r="AR177" i="82"/>
  <c r="AB177" i="82"/>
  <c r="U177" i="82"/>
  <c r="DC177" i="82" s="1"/>
  <c r="BA178" i="82"/>
  <c r="DF177" i="82"/>
  <c r="CM177" i="82"/>
  <c r="CR177" i="82"/>
  <c r="AI177" i="82"/>
  <c r="AC177" i="82"/>
  <c r="CO177" i="82"/>
  <c r="AG177" i="82"/>
  <c r="CH177" i="82"/>
  <c r="BK177" i="82"/>
  <c r="CC177" i="82"/>
  <c r="E177" i="82"/>
  <c r="AW177" i="82"/>
  <c r="D177" i="82"/>
  <c r="S177" i="82"/>
  <c r="CZ177" i="82"/>
  <c r="CP177" i="82"/>
  <c r="M177" i="82"/>
  <c r="AL177" i="82"/>
  <c r="Y177" i="82"/>
  <c r="BP177" i="82"/>
  <c r="R177" i="82"/>
  <c r="CK177" i="82"/>
  <c r="BN177" i="82"/>
  <c r="AJ177" i="82"/>
  <c r="F177" i="82"/>
  <c r="BV178" i="82"/>
  <c r="O177" i="82"/>
  <c r="I177" i="82"/>
  <c r="CE177" i="82"/>
  <c r="Z177" i="82"/>
  <c r="DD177" i="82"/>
  <c r="T177" i="82"/>
  <c r="BZ177" i="82"/>
  <c r="AS177" i="82"/>
  <c r="H177" i="82"/>
  <c r="AX178" i="82"/>
  <c r="AD177" i="82"/>
  <c r="DL177" i="82"/>
  <c r="J177" i="82"/>
  <c r="AU177" i="82"/>
  <c r="AY177" i="82"/>
  <c r="G177" i="82"/>
  <c r="AH177" i="82"/>
  <c r="Q177" i="82"/>
  <c r="B177" i="82"/>
  <c r="BG177" i="82"/>
  <c r="BD177" i="82"/>
  <c r="AP177" i="82"/>
  <c r="AF177" i="82"/>
  <c r="DA177" i="82"/>
  <c r="L177" i="82"/>
  <c r="AE177" i="82"/>
  <c r="DM177" i="82"/>
  <c r="C176" i="82"/>
  <c r="AO177" i="82"/>
  <c r="AA144" i="82"/>
  <c r="C177" i="82" l="1"/>
  <c r="A178" i="82"/>
  <c r="AA145" i="82"/>
  <c r="BZ178" i="82" l="1"/>
  <c r="D178" i="82"/>
  <c r="DD178" i="82"/>
  <c r="BG178" i="82"/>
  <c r="AF178" i="82"/>
  <c r="AE178" i="82"/>
  <c r="DL178" i="82"/>
  <c r="CP178" i="82"/>
  <c r="AN178" i="82"/>
  <c r="CR178" i="82"/>
  <c r="AC178" i="82"/>
  <c r="DF178" i="82"/>
  <c r="CZ178" i="82"/>
  <c r="AX179" i="82"/>
  <c r="Z178" i="82"/>
  <c r="E178" i="82"/>
  <c r="BK178" i="82"/>
  <c r="CE178" i="82"/>
  <c r="BP178" i="82"/>
  <c r="Q178" i="82"/>
  <c r="AW178" i="82"/>
  <c r="BF178" i="82"/>
  <c r="Y178" i="82"/>
  <c r="AR178" i="82"/>
  <c r="T178" i="82"/>
  <c r="AH178" i="82"/>
  <c r="CH178" i="82"/>
  <c r="BV179" i="82"/>
  <c r="L178" i="82"/>
  <c r="K178" i="82"/>
  <c r="B178" i="82"/>
  <c r="R178" i="82"/>
  <c r="M178" i="82"/>
  <c r="P178" i="82"/>
  <c r="AG178" i="82"/>
  <c r="AI178" i="82"/>
  <c r="AL178" i="82"/>
  <c r="DM178" i="82"/>
  <c r="AJ178" i="82"/>
  <c r="CI178" i="82"/>
  <c r="H178" i="82"/>
  <c r="G178" i="82"/>
  <c r="F178" i="82"/>
  <c r="I178" i="82"/>
  <c r="J178" i="82"/>
  <c r="AB178" i="82"/>
  <c r="AY178" i="82"/>
  <c r="BD178" i="82"/>
  <c r="CK178" i="82"/>
  <c r="CM178" i="82"/>
  <c r="AO178" i="82"/>
  <c r="AU178" i="82"/>
  <c r="DA178" i="82"/>
  <c r="AS178" i="82"/>
  <c r="AD178" i="82"/>
  <c r="CO178" i="82"/>
  <c r="O178" i="82"/>
  <c r="BN178" i="82"/>
  <c r="CC178" i="82"/>
  <c r="AP178" i="82"/>
  <c r="BA179" i="82"/>
  <c r="U178" i="82"/>
  <c r="DC178" i="82" s="1"/>
  <c r="S178" i="82"/>
  <c r="AA146" i="82"/>
  <c r="A179" i="82" l="1"/>
  <c r="C178" i="82"/>
  <c r="AA147" i="82"/>
  <c r="AO179" i="82" l="1"/>
  <c r="CP179" i="82"/>
  <c r="BD179" i="82"/>
  <c r="AN179" i="82"/>
  <c r="DM179" i="82"/>
  <c r="AH179" i="82"/>
  <c r="AY179" i="82"/>
  <c r="O179" i="82"/>
  <c r="DF179" i="82"/>
  <c r="AU179" i="82"/>
  <c r="AI179" i="82"/>
  <c r="CE179" i="82"/>
  <c r="CH179" i="82"/>
  <c r="DD179" i="82"/>
  <c r="B179" i="82"/>
  <c r="C179" i="82" s="1"/>
  <c r="DL179" i="82"/>
  <c r="AD179" i="82"/>
  <c r="F179" i="82"/>
  <c r="BF179" i="82"/>
  <c r="AF179" i="82"/>
  <c r="CC179" i="82"/>
  <c r="D179" i="82"/>
  <c r="CR179" i="82"/>
  <c r="Z179" i="82"/>
  <c r="R179" i="82"/>
  <c r="AL179" i="82"/>
  <c r="BV180" i="82"/>
  <c r="AB179" i="82"/>
  <c r="AX180" i="82"/>
  <c r="CK179" i="82"/>
  <c r="I179" i="82"/>
  <c r="E179" i="82"/>
  <c r="BP179" i="82"/>
  <c r="BZ179" i="82"/>
  <c r="AE179" i="82"/>
  <c r="BK179" i="82"/>
  <c r="CM179" i="82"/>
  <c r="T179" i="82"/>
  <c r="BA180" i="82"/>
  <c r="L179" i="82"/>
  <c r="AP179" i="82"/>
  <c r="CI179" i="82"/>
  <c r="P179" i="82"/>
  <c r="CZ179" i="82"/>
  <c r="S179" i="82"/>
  <c r="U179" i="82"/>
  <c r="DC179" i="82" s="1"/>
  <c r="Q179" i="82"/>
  <c r="G179" i="82"/>
  <c r="BG179" i="82"/>
  <c r="BN179" i="82"/>
  <c r="AW179" i="82"/>
  <c r="DA179" i="82"/>
  <c r="AG179" i="82"/>
  <c r="J179" i="82"/>
  <c r="AS179" i="82"/>
  <c r="CO179" i="82"/>
  <c r="M179" i="82"/>
  <c r="H179" i="82"/>
  <c r="Y179" i="82"/>
  <c r="AC179" i="82"/>
  <c r="AR179" i="82"/>
  <c r="K179" i="82"/>
  <c r="AJ179" i="82"/>
  <c r="AA148" i="82"/>
  <c r="A180" i="82" l="1"/>
  <c r="AA149" i="82"/>
  <c r="AS180" i="82" l="1"/>
  <c r="CM180" i="82"/>
  <c r="Q180" i="82"/>
  <c r="AY180" i="82"/>
  <c r="B180" i="82"/>
  <c r="C180" i="82" s="1"/>
  <c r="AX181" i="82"/>
  <c r="AD180" i="82"/>
  <c r="BV181" i="82"/>
  <c r="Y180" i="82"/>
  <c r="AB180" i="82"/>
  <c r="J180" i="82"/>
  <c r="E180" i="82"/>
  <c r="K180" i="82"/>
  <c r="DA180" i="82"/>
  <c r="CP180" i="82"/>
  <c r="AP180" i="82"/>
  <c r="S180" i="82"/>
  <c r="DL180" i="82"/>
  <c r="DM180" i="82"/>
  <c r="Z180" i="82"/>
  <c r="D180" i="82"/>
  <c r="T180" i="82"/>
  <c r="AL180" i="82"/>
  <c r="R180" i="82"/>
  <c r="AI180" i="82"/>
  <c r="DF180" i="82"/>
  <c r="BN180" i="82"/>
  <c r="AN180" i="82"/>
  <c r="CK180" i="82"/>
  <c r="CH180" i="82"/>
  <c r="BZ180" i="82"/>
  <c r="I180" i="82"/>
  <c r="BP180" i="82"/>
  <c r="CZ180" i="82"/>
  <c r="AG180" i="82"/>
  <c r="BA181" i="82"/>
  <c r="BG180" i="82"/>
  <c r="AE180" i="82"/>
  <c r="CE180" i="82"/>
  <c r="CC180" i="82"/>
  <c r="P180" i="82"/>
  <c r="AW180" i="82"/>
  <c r="DD180" i="82"/>
  <c r="CR180" i="82"/>
  <c r="AH180" i="82"/>
  <c r="AJ180" i="82"/>
  <c r="CO180" i="82"/>
  <c r="L180" i="82"/>
  <c r="AC180" i="82"/>
  <c r="BK180" i="82"/>
  <c r="AU180" i="82"/>
  <c r="AF180" i="82"/>
  <c r="F180" i="82"/>
  <c r="BD180" i="82"/>
  <c r="AR180" i="82"/>
  <c r="BF180" i="82"/>
  <c r="G180" i="82"/>
  <c r="M180" i="82"/>
  <c r="O180" i="82"/>
  <c r="H180" i="82"/>
  <c r="AO180" i="82"/>
  <c r="U180" i="82"/>
  <c r="DC180" i="82" s="1"/>
  <c r="CI180" i="82"/>
  <c r="A181" i="82"/>
  <c r="AA150" i="82"/>
  <c r="I181" i="82" l="1"/>
  <c r="AH181" i="82"/>
  <c r="AN181" i="82"/>
  <c r="DD181" i="82"/>
  <c r="AS181" i="82"/>
  <c r="L181" i="82"/>
  <c r="U181" i="82"/>
  <c r="DC181" i="82" s="1"/>
  <c r="DF181" i="82"/>
  <c r="CR181" i="82"/>
  <c r="BZ181" i="82"/>
  <c r="AO181" i="82"/>
  <c r="CE181" i="82"/>
  <c r="BK181" i="82"/>
  <c r="CI181" i="82"/>
  <c r="AI181" i="82"/>
  <c r="H181" i="82"/>
  <c r="K181" i="82"/>
  <c r="E181" i="82"/>
  <c r="P181" i="82"/>
  <c r="AL181" i="82"/>
  <c r="DM181" i="82"/>
  <c r="M181" i="82"/>
  <c r="DA181" i="82"/>
  <c r="G181" i="82"/>
  <c r="Q181" i="82"/>
  <c r="O181" i="82"/>
  <c r="AE181" i="82"/>
  <c r="AX182" i="82"/>
  <c r="DL181" i="82"/>
  <c r="AF181" i="82"/>
  <c r="BP181" i="82"/>
  <c r="AC181" i="82"/>
  <c r="AU181" i="82"/>
  <c r="BV182" i="82"/>
  <c r="BA182" i="82"/>
  <c r="AR181" i="82"/>
  <c r="AY181" i="82"/>
  <c r="BF181" i="82"/>
  <c r="AB181" i="82"/>
  <c r="CH181" i="82"/>
  <c r="D181" i="82"/>
  <c r="T181" i="82"/>
  <c r="CK181" i="82"/>
  <c r="S181" i="82"/>
  <c r="BG181" i="82"/>
  <c r="Y181" i="82"/>
  <c r="F181" i="82"/>
  <c r="CC181" i="82"/>
  <c r="BN181" i="82"/>
  <c r="AJ181" i="82"/>
  <c r="B181" i="82"/>
  <c r="A182" i="82" s="1"/>
  <c r="BD181" i="82"/>
  <c r="CM181" i="82"/>
  <c r="J181" i="82"/>
  <c r="CZ181" i="82"/>
  <c r="R181" i="82"/>
  <c r="AW181" i="82"/>
  <c r="AD181" i="82"/>
  <c r="AP181" i="82"/>
  <c r="Z181" i="82"/>
  <c r="CP181" i="82"/>
  <c r="AG181" i="82"/>
  <c r="CO181" i="82"/>
  <c r="C181" i="82"/>
  <c r="AA151" i="82"/>
  <c r="CI182" i="82" l="1"/>
  <c r="D182" i="82"/>
  <c r="J182" i="82"/>
  <c r="BN182" i="82"/>
  <c r="CZ182" i="82"/>
  <c r="O182" i="82"/>
  <c r="BP182" i="82"/>
  <c r="AL182" i="82"/>
  <c r="BV183" i="82"/>
  <c r="DL182" i="82"/>
  <c r="Q182" i="82"/>
  <c r="AO182" i="82"/>
  <c r="AY182" i="82"/>
  <c r="CE182" i="82"/>
  <c r="DA182" i="82"/>
  <c r="T182" i="82"/>
  <c r="DD182" i="82"/>
  <c r="F182" i="82"/>
  <c r="M182" i="82"/>
  <c r="K182" i="82"/>
  <c r="AN182" i="82"/>
  <c r="AR182" i="82"/>
  <c r="AE182" i="82"/>
  <c r="AW182" i="82"/>
  <c r="AG182" i="82"/>
  <c r="CC182" i="82"/>
  <c r="AU182" i="82"/>
  <c r="I182" i="82"/>
  <c r="Z182" i="82"/>
  <c r="H182" i="82"/>
  <c r="U182" i="82"/>
  <c r="DC182" i="82" s="1"/>
  <c r="Y182" i="82"/>
  <c r="AH182" i="82"/>
  <c r="AF182" i="82"/>
  <c r="R182" i="82"/>
  <c r="CH182" i="82"/>
  <c r="AP182" i="82"/>
  <c r="BG182" i="82"/>
  <c r="B182" i="82"/>
  <c r="A183" i="82" s="1"/>
  <c r="S182" i="82"/>
  <c r="G182" i="82"/>
  <c r="DF182" i="82"/>
  <c r="CP182" i="82"/>
  <c r="CM182" i="82"/>
  <c r="BZ182" i="82"/>
  <c r="AD182" i="82"/>
  <c r="CR182" i="82"/>
  <c r="L182" i="82"/>
  <c r="P182" i="82"/>
  <c r="AX183" i="82"/>
  <c r="AB182" i="82"/>
  <c r="E182" i="82"/>
  <c r="BA183" i="82"/>
  <c r="BD182" i="82"/>
  <c r="AS182" i="82"/>
  <c r="DM182" i="82"/>
  <c r="AC182" i="82"/>
  <c r="BF182" i="82"/>
  <c r="AJ182" i="82"/>
  <c r="BK182" i="82"/>
  <c r="CO182" i="82"/>
  <c r="AI182" i="82"/>
  <c r="CK182" i="82"/>
  <c r="AA152" i="82"/>
  <c r="C182" i="82" l="1"/>
  <c r="AE183" i="82"/>
  <c r="CH183" i="82"/>
  <c r="G183" i="82"/>
  <c r="J183" i="82"/>
  <c r="AP183" i="82"/>
  <c r="B183" i="82"/>
  <c r="A184" i="82" s="1"/>
  <c r="DF183" i="82"/>
  <c r="DA183" i="82"/>
  <c r="AJ183" i="82"/>
  <c r="AU183" i="82"/>
  <c r="AF183" i="82"/>
  <c r="Z183" i="82"/>
  <c r="CC183" i="82"/>
  <c r="H183" i="82"/>
  <c r="DL183" i="82"/>
  <c r="Q183" i="82"/>
  <c r="AX184" i="82"/>
  <c r="BV184" i="82"/>
  <c r="DD183" i="82"/>
  <c r="AW183" i="82"/>
  <c r="AS183" i="82"/>
  <c r="R183" i="82"/>
  <c r="CP183" i="82"/>
  <c r="AO183" i="82"/>
  <c r="AH183" i="82"/>
  <c r="I183" i="82"/>
  <c r="AL183" i="82"/>
  <c r="F183" i="82"/>
  <c r="BF183" i="82"/>
  <c r="CZ183" i="82"/>
  <c r="Y183" i="82"/>
  <c r="CK183" i="82"/>
  <c r="AD183" i="82"/>
  <c r="D183" i="82"/>
  <c r="AN183" i="82"/>
  <c r="K183" i="82"/>
  <c r="E183" i="82"/>
  <c r="L183" i="82"/>
  <c r="BP183" i="82"/>
  <c r="CM183" i="82"/>
  <c r="M183" i="82"/>
  <c r="S183" i="82"/>
  <c r="AC183" i="82"/>
  <c r="AR183" i="82"/>
  <c r="BK183" i="82"/>
  <c r="T183" i="82"/>
  <c r="AI183" i="82"/>
  <c r="P183" i="82"/>
  <c r="BN183" i="82"/>
  <c r="BA184" i="82"/>
  <c r="O183" i="82"/>
  <c r="BD183" i="82"/>
  <c r="AY183" i="82"/>
  <c r="CI183" i="82"/>
  <c r="AG183" i="82"/>
  <c r="BZ183" i="82"/>
  <c r="DM183" i="82"/>
  <c r="BG183" i="82"/>
  <c r="U183" i="82"/>
  <c r="DC183" i="82" s="1"/>
  <c r="AB183" i="82"/>
  <c r="CR183" i="82"/>
  <c r="CO183" i="82"/>
  <c r="CE183" i="82"/>
  <c r="AA153" i="82"/>
  <c r="C183" i="82" l="1"/>
  <c r="B184" i="82"/>
  <c r="C184" i="82" s="1"/>
  <c r="AO184" i="82"/>
  <c r="AJ184" i="82"/>
  <c r="P184" i="82"/>
  <c r="DD184" i="82"/>
  <c r="AB184" i="82"/>
  <c r="BN184" i="82"/>
  <c r="S184" i="82"/>
  <c r="AG184" i="82"/>
  <c r="BG184" i="82"/>
  <c r="AP184" i="82"/>
  <c r="Q184" i="82"/>
  <c r="I184" i="82"/>
  <c r="CC184" i="82"/>
  <c r="BF184" i="82"/>
  <c r="H184" i="82"/>
  <c r="AR184" i="82"/>
  <c r="J184" i="82"/>
  <c r="CP184" i="82"/>
  <c r="M184" i="82"/>
  <c r="BP184" i="82"/>
  <c r="Z184" i="82"/>
  <c r="AN184" i="82"/>
  <c r="CK184" i="82"/>
  <c r="AS184" i="82"/>
  <c r="BV185" i="82"/>
  <c r="CR184" i="82"/>
  <c r="AL184" i="82"/>
  <c r="G184" i="82"/>
  <c r="T184" i="82"/>
  <c r="U184" i="82"/>
  <c r="DC184" i="82" s="1"/>
  <c r="CZ184" i="82"/>
  <c r="BA185" i="82"/>
  <c r="BK184" i="82"/>
  <c r="F184" i="82"/>
  <c r="AW184" i="82"/>
  <c r="Y184" i="82"/>
  <c r="DF184" i="82"/>
  <c r="O184" i="82"/>
  <c r="E184" i="82"/>
  <c r="BD184" i="82"/>
  <c r="R184" i="82"/>
  <c r="AU184" i="82"/>
  <c r="CM184" i="82"/>
  <c r="DA184" i="82"/>
  <c r="AC184" i="82"/>
  <c r="CE184" i="82"/>
  <c r="L184" i="82"/>
  <c r="CI184" i="82"/>
  <c r="CH184" i="82"/>
  <c r="AE184" i="82"/>
  <c r="AX185" i="82"/>
  <c r="CO184" i="82"/>
  <c r="AD184" i="82"/>
  <c r="DL184" i="82"/>
  <c r="K184" i="82"/>
  <c r="AF184" i="82"/>
  <c r="D184" i="82"/>
  <c r="AH184" i="82"/>
  <c r="AY184" i="82"/>
  <c r="BZ184" i="82"/>
  <c r="AI184" i="82"/>
  <c r="DM184" i="82"/>
  <c r="A185" i="82"/>
  <c r="AA154" i="82"/>
  <c r="F185" i="82" l="1"/>
  <c r="E185" i="82"/>
  <c r="AC185" i="82"/>
  <c r="M185" i="82"/>
  <c r="CR185" i="82"/>
  <c r="DA185" i="82"/>
  <c r="BK185" i="82"/>
  <c r="BV186" i="82"/>
  <c r="AU185" i="82"/>
  <c r="H185" i="82"/>
  <c r="AE185" i="82"/>
  <c r="Z185" i="82"/>
  <c r="P185" i="82"/>
  <c r="AS185" i="82"/>
  <c r="AH185" i="82"/>
  <c r="CH185" i="82"/>
  <c r="K185" i="82"/>
  <c r="D185" i="82"/>
  <c r="AX186" i="82"/>
  <c r="CO185" i="82"/>
  <c r="I185" i="82"/>
  <c r="AR185" i="82"/>
  <c r="Q185" i="82"/>
  <c r="B185" i="82"/>
  <c r="C185" i="82" s="1"/>
  <c r="BP185" i="82"/>
  <c r="BA186" i="82"/>
  <c r="L185" i="82"/>
  <c r="S185" i="82"/>
  <c r="CZ185" i="82"/>
  <c r="AF185" i="82"/>
  <c r="Y185" i="82"/>
  <c r="BF185" i="82"/>
  <c r="AB185" i="82"/>
  <c r="BD185" i="82"/>
  <c r="CK185" i="82"/>
  <c r="AO185" i="82"/>
  <c r="CE185" i="82"/>
  <c r="DL185" i="82"/>
  <c r="O185" i="82"/>
  <c r="BG185" i="82"/>
  <c r="DM185" i="82"/>
  <c r="R185" i="82"/>
  <c r="BZ185" i="82"/>
  <c r="AW185" i="82"/>
  <c r="BN185" i="82"/>
  <c r="U185" i="82"/>
  <c r="DC185" i="82" s="1"/>
  <c r="AI185" i="82"/>
  <c r="AY185" i="82"/>
  <c r="J185" i="82"/>
  <c r="T185" i="82"/>
  <c r="AL185" i="82"/>
  <c r="CP185" i="82"/>
  <c r="CC185" i="82"/>
  <c r="AP185" i="82"/>
  <c r="AN185" i="82"/>
  <c r="DD185" i="82"/>
  <c r="CM185" i="82"/>
  <c r="G185" i="82"/>
  <c r="CI185" i="82"/>
  <c r="DF185" i="82"/>
  <c r="AJ185" i="82"/>
  <c r="AG185" i="82"/>
  <c r="AD185" i="82"/>
  <c r="AA155" i="82"/>
  <c r="A186" i="82" l="1"/>
  <c r="AO186" i="82" s="1"/>
  <c r="BP186" i="82"/>
  <c r="CP186" i="82"/>
  <c r="Z186" i="82"/>
  <c r="BV187" i="82"/>
  <c r="T186" i="82"/>
  <c r="L186" i="82"/>
  <c r="DL186" i="82"/>
  <c r="DA186" i="82"/>
  <c r="K186" i="82"/>
  <c r="AB186" i="82"/>
  <c r="BD186" i="82"/>
  <c r="AY186" i="82"/>
  <c r="DF186" i="82"/>
  <c r="BK186" i="82"/>
  <c r="U186" i="82"/>
  <c r="DC186" i="82" s="1"/>
  <c r="CH186" i="82"/>
  <c r="BZ186" i="82"/>
  <c r="AP186" i="82"/>
  <c r="CE186" i="82"/>
  <c r="AU186" i="82"/>
  <c r="AX187" i="82"/>
  <c r="AL186" i="82"/>
  <c r="S186" i="82"/>
  <c r="F186" i="82"/>
  <c r="CO186" i="82"/>
  <c r="CM186" i="82"/>
  <c r="AW186" i="82"/>
  <c r="AE186" i="82"/>
  <c r="AF186" i="82"/>
  <c r="CZ186" i="82"/>
  <c r="AN186" i="82"/>
  <c r="O186" i="82"/>
  <c r="AH186" i="82"/>
  <c r="E186" i="82"/>
  <c r="CR186" i="82"/>
  <c r="H186" i="82"/>
  <c r="R186" i="82"/>
  <c r="M186" i="82"/>
  <c r="CI186" i="82"/>
  <c r="DD186" i="82"/>
  <c r="CC186" i="82"/>
  <c r="D186" i="82"/>
  <c r="P186" i="82"/>
  <c r="AC186" i="82"/>
  <c r="AS186" i="82"/>
  <c r="B186" i="82"/>
  <c r="C186" i="82" s="1"/>
  <c r="Y186" i="82"/>
  <c r="I186" i="82"/>
  <c r="DM186" i="82"/>
  <c r="AD186" i="82"/>
  <c r="BN186" i="82"/>
  <c r="AJ186" i="82"/>
  <c r="BF186" i="82"/>
  <c r="J186" i="82"/>
  <c r="G186" i="82"/>
  <c r="AR186" i="82"/>
  <c r="AA156" i="82"/>
  <c r="BG186" i="82" l="1"/>
  <c r="CK186" i="82"/>
  <c r="BA187" i="82"/>
  <c r="AI186" i="82"/>
  <c r="AG186" i="82"/>
  <c r="Q186" i="82"/>
  <c r="A187" i="82"/>
  <c r="BP187" i="82" s="1"/>
  <c r="AA157" i="82"/>
  <c r="AO187" i="82" l="1"/>
  <c r="AG187" i="82"/>
  <c r="K187" i="82"/>
  <c r="Z187" i="82"/>
  <c r="I187" i="82"/>
  <c r="AH187" i="82"/>
  <c r="U187" i="82"/>
  <c r="DC187" i="82" s="1"/>
  <c r="CI187" i="82"/>
  <c r="L187" i="82"/>
  <c r="AI187" i="82"/>
  <c r="M187" i="82"/>
  <c r="CH187" i="82"/>
  <c r="J187" i="82"/>
  <c r="AF187" i="82"/>
  <c r="BN187" i="82"/>
  <c r="AS187" i="82"/>
  <c r="CC187" i="82"/>
  <c r="BA188" i="82"/>
  <c r="BD187" i="82"/>
  <c r="AJ187" i="82"/>
  <c r="DD187" i="82"/>
  <c r="BV188" i="82"/>
  <c r="G187" i="82"/>
  <c r="T187" i="82"/>
  <c r="D187" i="82"/>
  <c r="CE187" i="82"/>
  <c r="CZ187" i="82"/>
  <c r="DF187" i="82"/>
  <c r="AL187" i="82"/>
  <c r="BG187" i="82"/>
  <c r="R187" i="82"/>
  <c r="AR187" i="82"/>
  <c r="AD187" i="82"/>
  <c r="DA187" i="82"/>
  <c r="AN187" i="82"/>
  <c r="O187" i="82"/>
  <c r="DM187" i="82"/>
  <c r="AU187" i="82"/>
  <c r="AP187" i="82"/>
  <c r="CR187" i="82"/>
  <c r="CM187" i="82"/>
  <c r="AW187" i="82"/>
  <c r="BZ187" i="82"/>
  <c r="AX188" i="82"/>
  <c r="CP187" i="82"/>
  <c r="DL187" i="82"/>
  <c r="E187" i="82"/>
  <c r="Y187" i="82"/>
  <c r="CO187" i="82"/>
  <c r="AY187" i="82"/>
  <c r="AC187" i="82"/>
  <c r="Q187" i="82"/>
  <c r="BF187" i="82"/>
  <c r="AB187" i="82"/>
  <c r="B187" i="82"/>
  <c r="C187" i="82" s="1"/>
  <c r="S187" i="82"/>
  <c r="P187" i="82"/>
  <c r="AE187" i="82"/>
  <c r="F187" i="82"/>
  <c r="CK187" i="82"/>
  <c r="H187" i="82"/>
  <c r="BK187" i="82"/>
  <c r="AA158" i="82"/>
  <c r="A188" i="82" l="1"/>
  <c r="Z188" i="82" s="1"/>
  <c r="BV189" i="82"/>
  <c r="BP188" i="82"/>
  <c r="J188" i="82"/>
  <c r="AS188" i="82"/>
  <c r="R188" i="82"/>
  <c r="L188" i="82"/>
  <c r="D188" i="82"/>
  <c r="AW188" i="82"/>
  <c r="H188" i="82"/>
  <c r="CM188" i="82"/>
  <c r="CR188" i="82"/>
  <c r="CK188" i="82"/>
  <c r="AP188" i="82"/>
  <c r="DD188" i="82"/>
  <c r="BA189" i="82"/>
  <c r="CI188" i="82"/>
  <c r="AL188" i="82"/>
  <c r="CE188" i="82"/>
  <c r="F188" i="82"/>
  <c r="AF188" i="82"/>
  <c r="CC188" i="82"/>
  <c r="AE188" i="82"/>
  <c r="AI188" i="82"/>
  <c r="K188" i="82"/>
  <c r="E188" i="82"/>
  <c r="BK188" i="82"/>
  <c r="AC188" i="82"/>
  <c r="AG188" i="82"/>
  <c r="BZ188" i="82"/>
  <c r="BN188" i="82"/>
  <c r="AX189" i="82"/>
  <c r="I188" i="82"/>
  <c r="AA159" i="82"/>
  <c r="B188" i="82" l="1"/>
  <c r="M188" i="82"/>
  <c r="AR188" i="82"/>
  <c r="P188" i="82"/>
  <c r="CP188" i="82"/>
  <c r="AJ188" i="82"/>
  <c r="S188" i="82"/>
  <c r="CO188" i="82"/>
  <c r="O188" i="82"/>
  <c r="CZ188" i="82"/>
  <c r="AU188" i="82"/>
  <c r="AO188" i="82"/>
  <c r="BF188" i="82"/>
  <c r="AH188" i="82"/>
  <c r="DA188" i="82"/>
  <c r="Y188" i="82"/>
  <c r="DM188" i="82"/>
  <c r="DL188" i="82"/>
  <c r="T188" i="82"/>
  <c r="DF188" i="82"/>
  <c r="AY188" i="82"/>
  <c r="BD188" i="82"/>
  <c r="U188" i="82"/>
  <c r="DC188" i="82" s="1"/>
  <c r="AB188" i="82"/>
  <c r="G188" i="82"/>
  <c r="AD188" i="82"/>
  <c r="BG188" i="82"/>
  <c r="AN188" i="82"/>
  <c r="CH188" i="82"/>
  <c r="Q188" i="82"/>
  <c r="C188" i="82"/>
  <c r="A189" i="82"/>
  <c r="AA160" i="82"/>
  <c r="S189" i="82" l="1"/>
  <c r="AS189" i="82"/>
  <c r="BZ189" i="82"/>
  <c r="AE189" i="82"/>
  <c r="CC189" i="82"/>
  <c r="CK189" i="82"/>
  <c r="AR189" i="82"/>
  <c r="CI189" i="82"/>
  <c r="BD189" i="82"/>
  <c r="AJ189" i="82"/>
  <c r="B189" i="82"/>
  <c r="A190" i="82" s="1"/>
  <c r="Q189" i="82"/>
  <c r="R189" i="82"/>
  <c r="CH189" i="82"/>
  <c r="P189" i="82"/>
  <c r="I189" i="82"/>
  <c r="I190" i="82" s="1"/>
  <c r="T189" i="82"/>
  <c r="DA189" i="82"/>
  <c r="CZ189" i="82"/>
  <c r="BF189" i="82"/>
  <c r="AG189" i="82"/>
  <c r="AG190" i="82" s="1"/>
  <c r="BV190" i="82"/>
  <c r="CR189" i="82"/>
  <c r="DD189" i="82"/>
  <c r="AB189" i="82"/>
  <c r="AF189" i="82"/>
  <c r="BN189" i="82"/>
  <c r="CM189" i="82"/>
  <c r="K189" i="82"/>
  <c r="AO189" i="82"/>
  <c r="AC189" i="82"/>
  <c r="BP189" i="82"/>
  <c r="CO189" i="82"/>
  <c r="AU189" i="82"/>
  <c r="AD189" i="82"/>
  <c r="AN189" i="82"/>
  <c r="AP189" i="82"/>
  <c r="AI189" i="82"/>
  <c r="AI190" i="82" s="1"/>
  <c r="J189" i="82"/>
  <c r="J190" i="82" s="1"/>
  <c r="Z189" i="82"/>
  <c r="E189" i="82"/>
  <c r="F189" i="82"/>
  <c r="CE189" i="82"/>
  <c r="DF189" i="82"/>
  <c r="DF190" i="82" s="1"/>
  <c r="M189" i="82"/>
  <c r="M190" i="82" s="1"/>
  <c r="BG189" i="82"/>
  <c r="BG190" i="82" s="1"/>
  <c r="H189" i="82"/>
  <c r="CP189" i="82"/>
  <c r="AX190" i="82"/>
  <c r="AW189" i="82"/>
  <c r="G189" i="82"/>
  <c r="G190" i="82" s="1"/>
  <c r="AL189" i="82"/>
  <c r="AL190" i="82" s="1"/>
  <c r="DL189" i="82"/>
  <c r="DL190" i="82" s="1"/>
  <c r="BK189" i="82"/>
  <c r="BK190" i="82" s="1"/>
  <c r="AY189" i="82"/>
  <c r="AH189" i="82"/>
  <c r="D189" i="82"/>
  <c r="O189" i="82"/>
  <c r="BA190" i="82"/>
  <c r="Y189" i="82"/>
  <c r="U189" i="82"/>
  <c r="DC189" i="82" s="1"/>
  <c r="L189" i="82"/>
  <c r="DM189" i="82"/>
  <c r="DM190" i="82" s="1"/>
  <c r="AA161" i="82"/>
  <c r="CE190" i="82" l="1"/>
  <c r="BF190" i="82"/>
  <c r="AD190" i="82"/>
  <c r="BN190" i="82"/>
  <c r="C189" i="82"/>
  <c r="AU190" i="82"/>
  <c r="CZ190" i="82"/>
  <c r="E190" i="82"/>
  <c r="AX191" i="82"/>
  <c r="BZ190" i="82"/>
  <c r="AP190" i="82"/>
  <c r="CK190" i="82"/>
  <c r="CC190" i="82"/>
  <c r="CH190" i="82"/>
  <c r="U190" i="82"/>
  <c r="DC190" i="82" s="1"/>
  <c r="D190" i="82"/>
  <c r="AJ190" i="82"/>
  <c r="AN190" i="82"/>
  <c r="BD190" i="82"/>
  <c r="AS190" i="82"/>
  <c r="AR190" i="82"/>
  <c r="P190" i="82"/>
  <c r="O190" i="82"/>
  <c r="CR190" i="82"/>
  <c r="BP190" i="82"/>
  <c r="Y190" i="82"/>
  <c r="BV191" i="82"/>
  <c r="L190" i="82"/>
  <c r="H190" i="82"/>
  <c r="AC190" i="82"/>
  <c r="F190" i="82"/>
  <c r="K190" i="82"/>
  <c r="DD190" i="82"/>
  <c r="S190" i="82"/>
  <c r="AE190" i="82"/>
  <c r="BA191" i="82"/>
  <c r="R190" i="82"/>
  <c r="AW190" i="82"/>
  <c r="AY190" i="82"/>
  <c r="B190" i="82"/>
  <c r="A191" i="82" s="1"/>
  <c r="CI190" i="82"/>
  <c r="Q190" i="82"/>
  <c r="CM190" i="82"/>
  <c r="AO190" i="82"/>
  <c r="AH190" i="82"/>
  <c r="CO190" i="82"/>
  <c r="AF190" i="82"/>
  <c r="DA190" i="82"/>
  <c r="CP190" i="82"/>
  <c r="Z190" i="82"/>
  <c r="AB190" i="82"/>
  <c r="T190" i="82"/>
  <c r="AA162" i="82"/>
  <c r="C190" i="82" l="1"/>
  <c r="AU191" i="82"/>
  <c r="AW191" i="82"/>
  <c r="Y191" i="82"/>
  <c r="S191" i="82"/>
  <c r="AP191" i="82"/>
  <c r="BZ191" i="82"/>
  <c r="BP191" i="82"/>
  <c r="P191" i="82"/>
  <c r="M191" i="82"/>
  <c r="AX192" i="82"/>
  <c r="R191" i="82"/>
  <c r="BA192" i="82"/>
  <c r="CC191" i="82"/>
  <c r="BD191" i="82"/>
  <c r="I191" i="82"/>
  <c r="CH191" i="82"/>
  <c r="AH191" i="82"/>
  <c r="CO191" i="82"/>
  <c r="T191" i="82"/>
  <c r="J191" i="82"/>
  <c r="AJ191" i="82"/>
  <c r="DF191" i="82"/>
  <c r="D191" i="82"/>
  <c r="CR191" i="82"/>
  <c r="B191" i="82"/>
  <c r="A192" i="82" s="1"/>
  <c r="DA191" i="82"/>
  <c r="H191" i="82"/>
  <c r="G191" i="82"/>
  <c r="BN191" i="82"/>
  <c r="AB191" i="82"/>
  <c r="AR191" i="82"/>
  <c r="AD191" i="82"/>
  <c r="AI191" i="82"/>
  <c r="CM191" i="82"/>
  <c r="K191" i="82"/>
  <c r="O191" i="82"/>
  <c r="AG191" i="82"/>
  <c r="BF191" i="82"/>
  <c r="DM191" i="82"/>
  <c r="AF191" i="82"/>
  <c r="E191" i="82"/>
  <c r="F191" i="82"/>
  <c r="AO191" i="82"/>
  <c r="AL191" i="82"/>
  <c r="CZ191" i="82"/>
  <c r="CK191" i="82"/>
  <c r="L191" i="82"/>
  <c r="U191" i="82"/>
  <c r="DC191" i="82" s="1"/>
  <c r="Z191" i="82"/>
  <c r="AY191" i="82"/>
  <c r="AE191" i="82"/>
  <c r="CE191" i="82"/>
  <c r="DL191" i="82"/>
  <c r="AN191" i="82"/>
  <c r="CP191" i="82"/>
  <c r="BK191" i="82"/>
  <c r="Q191" i="82"/>
  <c r="BV192" i="82"/>
  <c r="BG191" i="82"/>
  <c r="AS191" i="82"/>
  <c r="AC191" i="82"/>
  <c r="CI191" i="82"/>
  <c r="DD191" i="82"/>
  <c r="AA163" i="82"/>
  <c r="C191" i="82" l="1"/>
  <c r="AW192" i="82"/>
  <c r="BG192" i="82"/>
  <c r="AF192" i="82"/>
  <c r="AC192" i="82"/>
  <c r="Y192" i="82"/>
  <c r="CZ192" i="82"/>
  <c r="AS192" i="82"/>
  <c r="CR192" i="82"/>
  <c r="BN192" i="82"/>
  <c r="BP192" i="82"/>
  <c r="E192" i="82"/>
  <c r="P192" i="82"/>
  <c r="AE192" i="82"/>
  <c r="M192" i="82"/>
  <c r="AI192" i="82"/>
  <c r="B192" i="82"/>
  <c r="A193" i="82" s="1"/>
  <c r="U192" i="82"/>
  <c r="DC192" i="82" s="1"/>
  <c r="CO192" i="82"/>
  <c r="CC192" i="82"/>
  <c r="BK192" i="82"/>
  <c r="AX193" i="82"/>
  <c r="CK192" i="82"/>
  <c r="CE192" i="82"/>
  <c r="AJ192" i="82"/>
  <c r="Z192" i="82"/>
  <c r="AL192" i="82"/>
  <c r="CI192" i="82"/>
  <c r="H192" i="82"/>
  <c r="DL192" i="82"/>
  <c r="AR192" i="82"/>
  <c r="AG192" i="82"/>
  <c r="R192" i="82"/>
  <c r="F192" i="82"/>
  <c r="AB192" i="82"/>
  <c r="BA193" i="82"/>
  <c r="DA192" i="82"/>
  <c r="AY192" i="82"/>
  <c r="BD192" i="82"/>
  <c r="S192" i="82"/>
  <c r="AN192" i="82"/>
  <c r="I192" i="82"/>
  <c r="CH192" i="82"/>
  <c r="BZ192" i="82"/>
  <c r="DD192" i="82"/>
  <c r="J192" i="82"/>
  <c r="G192" i="82"/>
  <c r="AO192" i="82"/>
  <c r="D192" i="82"/>
  <c r="DM192" i="82"/>
  <c r="DF192" i="82"/>
  <c r="BV193" i="82"/>
  <c r="L192" i="82"/>
  <c r="AH192" i="82"/>
  <c r="Q192" i="82"/>
  <c r="CM192" i="82"/>
  <c r="AD192" i="82"/>
  <c r="K192" i="82"/>
  <c r="AP192" i="82"/>
  <c r="O192" i="82"/>
  <c r="BF192" i="82"/>
  <c r="AU192" i="82"/>
  <c r="T192" i="82"/>
  <c r="CP192" i="82"/>
  <c r="C192" i="82"/>
  <c r="AA164" i="82"/>
  <c r="U193" i="82" l="1"/>
  <c r="DC193" i="82" s="1"/>
  <c r="CZ193" i="82"/>
  <c r="AR193" i="82"/>
  <c r="DF193" i="82"/>
  <c r="BK193" i="82"/>
  <c r="AG193" i="82"/>
  <c r="AS193" i="82"/>
  <c r="F193" i="82"/>
  <c r="BP193" i="82"/>
  <c r="CE193" i="82"/>
  <c r="E193" i="82"/>
  <c r="AJ193" i="82"/>
  <c r="CK193" i="82"/>
  <c r="AB193" i="82"/>
  <c r="AD193" i="82"/>
  <c r="AE193" i="82"/>
  <c r="AU193" i="82"/>
  <c r="BZ193" i="82"/>
  <c r="D193" i="82"/>
  <c r="DM193" i="82"/>
  <c r="AL193" i="82"/>
  <c r="AH193" i="82"/>
  <c r="AC193" i="82"/>
  <c r="K193" i="82"/>
  <c r="Z193" i="82"/>
  <c r="DD193" i="82"/>
  <c r="T193" i="82"/>
  <c r="H193" i="82"/>
  <c r="CH193" i="82"/>
  <c r="CI193" i="82"/>
  <c r="O193" i="82"/>
  <c r="P193" i="82"/>
  <c r="AW193" i="82"/>
  <c r="Y193" i="82"/>
  <c r="I193" i="82"/>
  <c r="S193" i="82"/>
  <c r="B193" i="82"/>
  <c r="C193" i="82" s="1"/>
  <c r="AO193" i="82"/>
  <c r="DL193" i="82"/>
  <c r="CO193" i="82"/>
  <c r="M193" i="82"/>
  <c r="AX194" i="82"/>
  <c r="BV194" i="82"/>
  <c r="L193" i="82"/>
  <c r="AN193" i="82"/>
  <c r="CM193" i="82"/>
  <c r="BD193" i="82"/>
  <c r="Q193" i="82"/>
  <c r="G193" i="82"/>
  <c r="BG193" i="82"/>
  <c r="BF193" i="82"/>
  <c r="CP193" i="82"/>
  <c r="R193" i="82"/>
  <c r="DA193" i="82"/>
  <c r="BA194" i="82"/>
  <c r="J193" i="82"/>
  <c r="CC193" i="82"/>
  <c r="BN193" i="82"/>
  <c r="AI193" i="82"/>
  <c r="AP193" i="82"/>
  <c r="CR193" i="82"/>
  <c r="AF193" i="82"/>
  <c r="AY193" i="82"/>
  <c r="A194" i="82"/>
  <c r="AA165" i="82"/>
  <c r="BD194" i="82" l="1"/>
  <c r="BF194" i="82"/>
  <c r="AD194" i="82"/>
  <c r="AX195" i="82"/>
  <c r="CI194" i="82"/>
  <c r="BK194" i="82"/>
  <c r="S194" i="82"/>
  <c r="CH194" i="82"/>
  <c r="CE194" i="82"/>
  <c r="BZ194" i="82"/>
  <c r="L194" i="82"/>
  <c r="O194" i="82"/>
  <c r="R194" i="82"/>
  <c r="DL194" i="82"/>
  <c r="CR194" i="82"/>
  <c r="B194" i="82"/>
  <c r="A195" i="82" s="1"/>
  <c r="CP194" i="82"/>
  <c r="BA195" i="82"/>
  <c r="H194" i="82"/>
  <c r="AC194" i="82"/>
  <c r="AN194" i="82"/>
  <c r="AG194" i="82"/>
  <c r="E194" i="82"/>
  <c r="AP194" i="82"/>
  <c r="AB194" i="82"/>
  <c r="BG194" i="82"/>
  <c r="AH194" i="82"/>
  <c r="AJ194" i="82"/>
  <c r="J194" i="82"/>
  <c r="AE194" i="82"/>
  <c r="DD194" i="82"/>
  <c r="AY194" i="82"/>
  <c r="I194" i="82"/>
  <c r="T194" i="82"/>
  <c r="P194" i="82"/>
  <c r="CC194" i="82"/>
  <c r="AR194" i="82"/>
  <c r="DF194" i="82"/>
  <c r="AO194" i="82"/>
  <c r="AU194" i="82"/>
  <c r="Q194" i="82"/>
  <c r="AL194" i="82"/>
  <c r="CK194" i="82"/>
  <c r="F194" i="82"/>
  <c r="K194" i="82"/>
  <c r="BV195" i="82"/>
  <c r="AI194" i="82"/>
  <c r="AS194" i="82"/>
  <c r="G194" i="82"/>
  <c r="CM194" i="82"/>
  <c r="BP194" i="82"/>
  <c r="AW194" i="82"/>
  <c r="AF194" i="82"/>
  <c r="Z194" i="82"/>
  <c r="CO194" i="82"/>
  <c r="DM194" i="82"/>
  <c r="CZ194" i="82"/>
  <c r="U194" i="82"/>
  <c r="DC194" i="82" s="1"/>
  <c r="BN194" i="82"/>
  <c r="M194" i="82"/>
  <c r="Y194" i="82"/>
  <c r="D194" i="82"/>
  <c r="DA194" i="82"/>
  <c r="AA166" i="82"/>
  <c r="DA195" i="82" l="1"/>
  <c r="AE195" i="82"/>
  <c r="M195" i="82"/>
  <c r="DL195" i="82"/>
  <c r="AR195" i="82"/>
  <c r="BK195" i="82"/>
  <c r="DD195" i="82"/>
  <c r="AW195" i="82"/>
  <c r="CE195" i="82"/>
  <c r="AC195" i="82"/>
  <c r="Y195" i="82"/>
  <c r="AU195" i="82"/>
  <c r="T195" i="82"/>
  <c r="BN195" i="82"/>
  <c r="CC195" i="82"/>
  <c r="R195" i="82"/>
  <c r="CP195" i="82"/>
  <c r="AL195" i="82"/>
  <c r="U195" i="82"/>
  <c r="DC195" i="82" s="1"/>
  <c r="AD195" i="82"/>
  <c r="AX196" i="82"/>
  <c r="AH195" i="82"/>
  <c r="CK195" i="82"/>
  <c r="BZ195" i="82"/>
  <c r="L195" i="82"/>
  <c r="E195" i="82"/>
  <c r="CI195" i="82"/>
  <c r="P195" i="82"/>
  <c r="DF195" i="82"/>
  <c r="AI195" i="82"/>
  <c r="AJ195" i="82"/>
  <c r="AP195" i="82"/>
  <c r="BV196" i="82"/>
  <c r="AG195" i="82"/>
  <c r="AB195" i="82"/>
  <c r="H195" i="82"/>
  <c r="BA196" i="82"/>
  <c r="DM195" i="82"/>
  <c r="AS195" i="82"/>
  <c r="S195" i="82"/>
  <c r="AO195" i="82"/>
  <c r="CO195" i="82"/>
  <c r="CR195" i="82"/>
  <c r="B195" i="82"/>
  <c r="A196" i="82" s="1"/>
  <c r="BP195" i="82"/>
  <c r="G195" i="82"/>
  <c r="Z195" i="82"/>
  <c r="F195" i="82"/>
  <c r="I195" i="82"/>
  <c r="CZ195" i="82"/>
  <c r="AF195" i="82"/>
  <c r="CH195" i="82"/>
  <c r="O195" i="82"/>
  <c r="AN195" i="82"/>
  <c r="Q195" i="82"/>
  <c r="CM195" i="82"/>
  <c r="J195" i="82"/>
  <c r="D195" i="82"/>
  <c r="BG195" i="82"/>
  <c r="AY195" i="82"/>
  <c r="K195" i="82"/>
  <c r="BF195" i="82"/>
  <c r="BD195" i="82"/>
  <c r="C194" i="82"/>
  <c r="AA167" i="82"/>
  <c r="C195" i="82" l="1"/>
  <c r="DF196" i="82"/>
  <c r="AJ196" i="82"/>
  <c r="P196" i="82"/>
  <c r="AX197" i="82"/>
  <c r="BD196" i="82"/>
  <c r="AS196" i="82"/>
  <c r="BA197" i="82"/>
  <c r="AY196" i="82"/>
  <c r="M196" i="82"/>
  <c r="AP196" i="82"/>
  <c r="L196" i="82"/>
  <c r="E196" i="82"/>
  <c r="DL196" i="82"/>
  <c r="CR196" i="82"/>
  <c r="CE196" i="82"/>
  <c r="CH196" i="82"/>
  <c r="AO196" i="82"/>
  <c r="H196" i="82"/>
  <c r="CI196" i="82"/>
  <c r="Y196" i="82"/>
  <c r="B196" i="82"/>
  <c r="A197" i="82" s="1"/>
  <c r="AR196" i="82"/>
  <c r="AD196" i="82"/>
  <c r="Q196" i="82"/>
  <c r="K196" i="82"/>
  <c r="Z196" i="82"/>
  <c r="AG196" i="82"/>
  <c r="AE196" i="82"/>
  <c r="CO196" i="82"/>
  <c r="G196" i="82"/>
  <c r="BK196" i="82"/>
  <c r="T196" i="82"/>
  <c r="AL196" i="82"/>
  <c r="DA196" i="82"/>
  <c r="BZ196" i="82"/>
  <c r="CC196" i="82"/>
  <c r="F196" i="82"/>
  <c r="AB196" i="82"/>
  <c r="AC196" i="82"/>
  <c r="J196" i="82"/>
  <c r="BP196" i="82"/>
  <c r="BV197" i="82"/>
  <c r="AI196" i="82"/>
  <c r="CP196" i="82"/>
  <c r="AF196" i="82"/>
  <c r="O196" i="82"/>
  <c r="BG196" i="82"/>
  <c r="I196" i="82"/>
  <c r="CK196" i="82"/>
  <c r="BN196" i="82"/>
  <c r="AN196" i="82"/>
  <c r="S196" i="82"/>
  <c r="DD196" i="82"/>
  <c r="DM196" i="82"/>
  <c r="R196" i="82"/>
  <c r="CZ196" i="82"/>
  <c r="BF196" i="82"/>
  <c r="CM196" i="82"/>
  <c r="AH196" i="82"/>
  <c r="D196" i="82"/>
  <c r="U196" i="82"/>
  <c r="DC196" i="82" s="1"/>
  <c r="AW196" i="82"/>
  <c r="AU196" i="82"/>
  <c r="AA168" i="82"/>
  <c r="C196" i="82" l="1"/>
  <c r="B197" i="82"/>
  <c r="A198" i="82" s="1"/>
  <c r="AY197" i="82"/>
  <c r="BP197" i="82"/>
  <c r="O197" i="82"/>
  <c r="BZ197" i="82"/>
  <c r="AD197" i="82"/>
  <c r="CM197" i="82"/>
  <c r="CH197" i="82"/>
  <c r="CO197" i="82"/>
  <c r="AH197" i="82"/>
  <c r="P197" i="82"/>
  <c r="Y197" i="82"/>
  <c r="AL197" i="82"/>
  <c r="J197" i="82"/>
  <c r="DM197" i="82"/>
  <c r="G197" i="82"/>
  <c r="S197" i="82"/>
  <c r="U197" i="82"/>
  <c r="DC197" i="82" s="1"/>
  <c r="CE197" i="82"/>
  <c r="BK197" i="82"/>
  <c r="T197" i="82"/>
  <c r="R197" i="82"/>
  <c r="CC197" i="82"/>
  <c r="AG197" i="82"/>
  <c r="AX198" i="82"/>
  <c r="AO197" i="82"/>
  <c r="L197" i="82"/>
  <c r="CP197" i="82"/>
  <c r="DL197" i="82"/>
  <c r="BG197" i="82"/>
  <c r="Z197" i="82"/>
  <c r="I197" i="82"/>
  <c r="BF197" i="82"/>
  <c r="CZ197" i="82"/>
  <c r="DA197" i="82"/>
  <c r="BN197" i="82"/>
  <c r="BV198" i="82"/>
  <c r="CR197" i="82"/>
  <c r="AU197" i="82"/>
  <c r="BD197" i="82"/>
  <c r="F197" i="82"/>
  <c r="AJ197" i="82"/>
  <c r="AR197" i="82"/>
  <c r="AP197" i="82"/>
  <c r="AE197" i="82"/>
  <c r="AW197" i="82"/>
  <c r="AN197" i="82"/>
  <c r="CK197" i="82"/>
  <c r="CI197" i="82"/>
  <c r="DF197" i="82"/>
  <c r="AF197" i="82"/>
  <c r="D197" i="82"/>
  <c r="BA198" i="82"/>
  <c r="K197" i="82"/>
  <c r="AB197" i="82"/>
  <c r="M197" i="82"/>
  <c r="H197" i="82"/>
  <c r="AS197" i="82"/>
  <c r="E197" i="82"/>
  <c r="AC197" i="82"/>
  <c r="AI197" i="82"/>
  <c r="DD197" i="82"/>
  <c r="Q197" i="82"/>
  <c r="AA169" i="82"/>
  <c r="C197" i="82" l="1"/>
  <c r="AI198" i="82"/>
  <c r="Z198" i="82"/>
  <c r="AR198" i="82"/>
  <c r="AU198" i="82"/>
  <c r="DL198" i="82"/>
  <c r="AJ198" i="82"/>
  <c r="AL198" i="82"/>
  <c r="M198" i="82"/>
  <c r="AG198" i="82"/>
  <c r="U198" i="82"/>
  <c r="DC198" i="82" s="1"/>
  <c r="CI198" i="82"/>
  <c r="CH198" i="82"/>
  <c r="AW198" i="82"/>
  <c r="H198" i="82"/>
  <c r="AD198" i="82"/>
  <c r="D198" i="82"/>
  <c r="AF198" i="82"/>
  <c r="AN198" i="82"/>
  <c r="AE198" i="82"/>
  <c r="T198" i="82"/>
  <c r="Q198" i="82"/>
  <c r="BV199" i="82"/>
  <c r="AS198" i="82"/>
  <c r="L198" i="82"/>
  <c r="J198" i="82"/>
  <c r="E198" i="82"/>
  <c r="I198" i="82"/>
  <c r="BG198" i="82"/>
  <c r="CR198" i="82"/>
  <c r="CZ198" i="82"/>
  <c r="DF198" i="82"/>
  <c r="DM198" i="82"/>
  <c r="AX199" i="82"/>
  <c r="P198" i="82"/>
  <c r="CK198" i="82"/>
  <c r="DD198" i="82"/>
  <c r="Y198" i="82"/>
  <c r="AC198" i="82"/>
  <c r="BA199" i="82"/>
  <c r="O198" i="82"/>
  <c r="CM198" i="82"/>
  <c r="BF198" i="82"/>
  <c r="B198" i="82"/>
  <c r="C198" i="82" s="1"/>
  <c r="AO198" i="82"/>
  <c r="BP198" i="82"/>
  <c r="F198" i="82"/>
  <c r="BD198" i="82"/>
  <c r="AH198" i="82"/>
  <c r="AB198" i="82"/>
  <c r="CE198" i="82"/>
  <c r="BZ198" i="82"/>
  <c r="BN198" i="82"/>
  <c r="AP198" i="82"/>
  <c r="AY198" i="82"/>
  <c r="DA198" i="82"/>
  <c r="R198" i="82"/>
  <c r="BK198" i="82"/>
  <c r="K198" i="82"/>
  <c r="CC198" i="82"/>
  <c r="CP198" i="82"/>
  <c r="G198" i="82"/>
  <c r="S198" i="82"/>
  <c r="CO198" i="82"/>
  <c r="AA170" i="82"/>
  <c r="A199" i="82" l="1"/>
  <c r="B199" i="82" s="1"/>
  <c r="BD199" i="82"/>
  <c r="AU199" i="82"/>
  <c r="S199" i="82"/>
  <c r="CR199" i="82"/>
  <c r="AR199" i="82"/>
  <c r="AJ199" i="82"/>
  <c r="BA200" i="82"/>
  <c r="AX200" i="82"/>
  <c r="J199" i="82"/>
  <c r="BN199" i="82"/>
  <c r="Q199" i="82"/>
  <c r="I199" i="82"/>
  <c r="AP199" i="82"/>
  <c r="H199" i="82"/>
  <c r="AH199" i="82"/>
  <c r="AD199" i="82"/>
  <c r="AF199" i="82"/>
  <c r="DA199" i="82"/>
  <c r="CC199" i="82"/>
  <c r="Y199" i="82"/>
  <c r="G199" i="82"/>
  <c r="CH199" i="82"/>
  <c r="BK199" i="82"/>
  <c r="DD199" i="82"/>
  <c r="U199" i="82"/>
  <c r="DC199" i="82" s="1"/>
  <c r="K199" i="82"/>
  <c r="AW199" i="82"/>
  <c r="CI199" i="82"/>
  <c r="DM199" i="82"/>
  <c r="BG199" i="82"/>
  <c r="P199" i="82"/>
  <c r="BV200" i="82"/>
  <c r="AY199" i="82"/>
  <c r="L199" i="82"/>
  <c r="BZ199" i="82"/>
  <c r="E199" i="82"/>
  <c r="AB199" i="82"/>
  <c r="AS199" i="82"/>
  <c r="CO199" i="82"/>
  <c r="T199" i="82"/>
  <c r="CZ199" i="82"/>
  <c r="AL199" i="82"/>
  <c r="AG199" i="82"/>
  <c r="D199" i="82"/>
  <c r="CE199" i="82"/>
  <c r="BP199" i="82"/>
  <c r="O199" i="82"/>
  <c r="CM199" i="82"/>
  <c r="DF199" i="82"/>
  <c r="AI199" i="82"/>
  <c r="F199" i="82"/>
  <c r="AO199" i="82"/>
  <c r="Z199" i="82"/>
  <c r="AC199" i="82"/>
  <c r="R199" i="82"/>
  <c r="DL199" i="82"/>
  <c r="CP199" i="82"/>
  <c r="AE199" i="82"/>
  <c r="AA171" i="82"/>
  <c r="BF199" i="82" l="1"/>
  <c r="M199" i="82"/>
  <c r="AN199" i="82"/>
  <c r="CK199" i="82"/>
  <c r="A200" i="82"/>
  <c r="BD200" i="82" s="1"/>
  <c r="C199" i="82"/>
  <c r="Z200" i="82"/>
  <c r="AA172" i="82"/>
  <c r="I200" i="82" l="1"/>
  <c r="CI200" i="82"/>
  <c r="O200" i="82"/>
  <c r="DM200" i="82"/>
  <c r="D200" i="82"/>
  <c r="AB200" i="82"/>
  <c r="M200" i="82"/>
  <c r="K200" i="82"/>
  <c r="CE200" i="82"/>
  <c r="CZ200" i="82"/>
  <c r="E200" i="82"/>
  <c r="BK200" i="82"/>
  <c r="DD200" i="82"/>
  <c r="AX201" i="82"/>
  <c r="AS200" i="82"/>
  <c r="F200" i="82"/>
  <c r="CH200" i="82"/>
  <c r="AC200" i="82"/>
  <c r="DA200" i="82"/>
  <c r="AD200" i="82"/>
  <c r="P200" i="82"/>
  <c r="AJ200" i="82"/>
  <c r="CM200" i="82"/>
  <c r="AH200" i="82"/>
  <c r="AO200" i="82"/>
  <c r="CO200" i="82"/>
  <c r="G200" i="82"/>
  <c r="AR200" i="82"/>
  <c r="Q200" i="82"/>
  <c r="S200" i="82"/>
  <c r="CK200" i="82"/>
  <c r="CR200" i="82"/>
  <c r="AP200" i="82"/>
  <c r="CC200" i="82"/>
  <c r="BP200" i="82"/>
  <c r="AU200" i="82"/>
  <c r="BF200" i="82"/>
  <c r="BN200" i="82"/>
  <c r="AY200" i="82"/>
  <c r="U200" i="82"/>
  <c r="DC200" i="82" s="1"/>
  <c r="H200" i="82"/>
  <c r="BG200" i="82"/>
  <c r="BA201" i="82"/>
  <c r="J200" i="82"/>
  <c r="T200" i="82"/>
  <c r="L200" i="82"/>
  <c r="AL200" i="82"/>
  <c r="B200" i="82"/>
  <c r="C200" i="82" s="1"/>
  <c r="BZ200" i="82"/>
  <c r="R200" i="82"/>
  <c r="AE200" i="82"/>
  <c r="DL200" i="82"/>
  <c r="AF200" i="82"/>
  <c r="DF200" i="82"/>
  <c r="BV201" i="82"/>
  <c r="CP200" i="82"/>
  <c r="AN200" i="82"/>
  <c r="AG200" i="82"/>
  <c r="AW200" i="82"/>
  <c r="Y200" i="82"/>
  <c r="AI200" i="82"/>
  <c r="AA173" i="82"/>
  <c r="A201" i="82" l="1"/>
  <c r="CE201" i="82" s="1"/>
  <c r="CI201" i="82"/>
  <c r="CK201" i="82"/>
  <c r="AJ201" i="82"/>
  <c r="AX202" i="82"/>
  <c r="J201" i="82"/>
  <c r="AB201" i="82"/>
  <c r="BV202" i="82"/>
  <c r="Z201" i="82"/>
  <c r="AL201" i="82"/>
  <c r="AG201" i="82"/>
  <c r="AR201" i="82"/>
  <c r="AS201" i="82"/>
  <c r="K201" i="82"/>
  <c r="R201" i="82"/>
  <c r="AP201" i="82"/>
  <c r="L201" i="82"/>
  <c r="DL201" i="82"/>
  <c r="BK201" i="82"/>
  <c r="E201" i="82"/>
  <c r="CC201" i="82"/>
  <c r="BZ201" i="82"/>
  <c r="I201" i="82"/>
  <c r="O201" i="82"/>
  <c r="M201" i="82"/>
  <c r="CR201" i="82"/>
  <c r="CP201" i="82"/>
  <c r="BA202" i="82"/>
  <c r="AN201" i="82"/>
  <c r="AY201" i="82"/>
  <c r="AU201" i="82"/>
  <c r="CZ201" i="82"/>
  <c r="BF201" i="82"/>
  <c r="CO201" i="82"/>
  <c r="DF201" i="82"/>
  <c r="BD201" i="82"/>
  <c r="AF201" i="82"/>
  <c r="AO201" i="82"/>
  <c r="BG201" i="82"/>
  <c r="DD201" i="82"/>
  <c r="AH201" i="82"/>
  <c r="F201" i="82"/>
  <c r="CM201" i="82"/>
  <c r="Y201" i="82"/>
  <c r="AI201" i="82"/>
  <c r="DA201" i="82"/>
  <c r="AW201" i="82"/>
  <c r="BN201" i="82"/>
  <c r="AC201" i="82"/>
  <c r="BP201" i="82"/>
  <c r="D201" i="82"/>
  <c r="CH201" i="82"/>
  <c r="DM201" i="82"/>
  <c r="G201" i="82"/>
  <c r="P201" i="82"/>
  <c r="S201" i="82"/>
  <c r="H201" i="82"/>
  <c r="AD201" i="82"/>
  <c r="U201" i="82"/>
  <c r="DC201" i="82" s="1"/>
  <c r="AE201" i="82"/>
  <c r="B201" i="82"/>
  <c r="A202" i="82" s="1"/>
  <c r="Q201" i="82"/>
  <c r="T201" i="82"/>
  <c r="AA174" i="82"/>
  <c r="P202" i="82" l="1"/>
  <c r="CP202" i="82"/>
  <c r="AN202" i="82"/>
  <c r="AF202" i="82"/>
  <c r="AU202" i="82"/>
  <c r="G202" i="82"/>
  <c r="BA203" i="82"/>
  <c r="Y202" i="82"/>
  <c r="I202" i="82"/>
  <c r="S202" i="82"/>
  <c r="CZ202" i="82"/>
  <c r="B202" i="82"/>
  <c r="A203" i="82" s="1"/>
  <c r="AL202" i="82"/>
  <c r="AX203" i="82"/>
  <c r="AI202" i="82"/>
  <c r="DL202" i="82"/>
  <c r="DL203" i="82" s="1"/>
  <c r="CK202" i="82"/>
  <c r="CH202" i="82"/>
  <c r="BN202" i="82"/>
  <c r="K202" i="82"/>
  <c r="BG202" i="82"/>
  <c r="D202" i="82"/>
  <c r="D203" i="82" s="1"/>
  <c r="Z202" i="82"/>
  <c r="AJ202" i="82"/>
  <c r="C201" i="82"/>
  <c r="AS202" i="82"/>
  <c r="AO202" i="82"/>
  <c r="BP202" i="82"/>
  <c r="CI202" i="82"/>
  <c r="DF202" i="82"/>
  <c r="DF203" i="82" s="1"/>
  <c r="CC202" i="82"/>
  <c r="CC203" i="82" s="1"/>
  <c r="BD202" i="82"/>
  <c r="AP202" i="82"/>
  <c r="AH202" i="82"/>
  <c r="O202" i="82"/>
  <c r="CE202" i="82"/>
  <c r="AW202" i="82"/>
  <c r="CM202" i="82"/>
  <c r="AC202" i="82"/>
  <c r="H202" i="82"/>
  <c r="CR202" i="82"/>
  <c r="BV203" i="82"/>
  <c r="BZ202" i="82"/>
  <c r="Q202" i="82"/>
  <c r="U202" i="82"/>
  <c r="DC202" i="82" s="1"/>
  <c r="DA202" i="82"/>
  <c r="DA203" i="82" s="1"/>
  <c r="T202" i="82"/>
  <c r="T203" i="82" s="1"/>
  <c r="BF202" i="82"/>
  <c r="BF203" i="82" s="1"/>
  <c r="R202" i="82"/>
  <c r="BK202" i="82"/>
  <c r="M202" i="82"/>
  <c r="L202" i="82"/>
  <c r="L203" i="82" s="1"/>
  <c r="DD202" i="82"/>
  <c r="DD203" i="82" s="1"/>
  <c r="DM202" i="82"/>
  <c r="DM203" i="82" s="1"/>
  <c r="AD202" i="82"/>
  <c r="E202" i="82"/>
  <c r="E203" i="82" s="1"/>
  <c r="AY202" i="82"/>
  <c r="AY203" i="82" s="1"/>
  <c r="AG202" i="82"/>
  <c r="AB202" i="82"/>
  <c r="J202" i="82"/>
  <c r="F202" i="82"/>
  <c r="F203" i="82" s="1"/>
  <c r="AR202" i="82"/>
  <c r="AE202" i="82"/>
  <c r="CO202" i="82"/>
  <c r="CO203" i="82" s="1"/>
  <c r="B203" i="82"/>
  <c r="C203" i="82" s="1"/>
  <c r="AA175" i="82"/>
  <c r="BK203" i="82" l="1"/>
  <c r="BA204" i="82"/>
  <c r="AX204" i="82"/>
  <c r="G203" i="82"/>
  <c r="AW203" i="82"/>
  <c r="BP203" i="82"/>
  <c r="AG203" i="82"/>
  <c r="AP203" i="82"/>
  <c r="C202" i="82"/>
  <c r="BG203" i="82"/>
  <c r="CK203" i="82"/>
  <c r="K203" i="82"/>
  <c r="AF203" i="82"/>
  <c r="P203" i="82"/>
  <c r="CP203" i="82"/>
  <c r="BV204" i="82"/>
  <c r="BZ203" i="82"/>
  <c r="S203" i="82"/>
  <c r="M203" i="82"/>
  <c r="AL203" i="82"/>
  <c r="AB203" i="82"/>
  <c r="AU203" i="82"/>
  <c r="AO203" i="82"/>
  <c r="AN203" i="82"/>
  <c r="BN203" i="82"/>
  <c r="AH203" i="82"/>
  <c r="CI203" i="82"/>
  <c r="A204" i="82"/>
  <c r="T204" i="82" s="1"/>
  <c r="Z203" i="82"/>
  <c r="H203" i="82"/>
  <c r="I203" i="82"/>
  <c r="CZ203" i="82"/>
  <c r="J203" i="82"/>
  <c r="AC203" i="82"/>
  <c r="O203" i="82"/>
  <c r="AS203" i="82"/>
  <c r="AJ203" i="82"/>
  <c r="U203" i="82"/>
  <c r="DC203" i="82" s="1"/>
  <c r="Q203" i="82"/>
  <c r="CM203" i="82"/>
  <c r="AI203" i="82"/>
  <c r="R203" i="82"/>
  <c r="CH203" i="82"/>
  <c r="CE203" i="82"/>
  <c r="BD203" i="82"/>
  <c r="CR203" i="82"/>
  <c r="Y203" i="82"/>
  <c r="AR203" i="82"/>
  <c r="AE203" i="82"/>
  <c r="AD203" i="82"/>
  <c r="AA176" i="82"/>
  <c r="AO204" i="82" l="1"/>
  <c r="M204" i="82"/>
  <c r="DD204" i="82"/>
  <c r="O204" i="82"/>
  <c r="DL204" i="82"/>
  <c r="Q204" i="82"/>
  <c r="AB204" i="82"/>
  <c r="AN204" i="82"/>
  <c r="BP204" i="82"/>
  <c r="CI204" i="82"/>
  <c r="L204" i="82"/>
  <c r="B204" i="82"/>
  <c r="C204" i="82" s="1"/>
  <c r="AW204" i="82"/>
  <c r="S204" i="82"/>
  <c r="BZ204" i="82"/>
  <c r="CE204" i="82"/>
  <c r="BA205" i="82"/>
  <c r="Y204" i="82"/>
  <c r="AU204" i="82"/>
  <c r="AF204" i="82"/>
  <c r="G204" i="82"/>
  <c r="F204" i="82"/>
  <c r="AP204" i="82"/>
  <c r="AG204" i="82"/>
  <c r="CO204" i="82"/>
  <c r="K204" i="82"/>
  <c r="BV205" i="82"/>
  <c r="AL204" i="82"/>
  <c r="CK204" i="82"/>
  <c r="DF204" i="82"/>
  <c r="CR204" i="82"/>
  <c r="H204" i="82"/>
  <c r="P204" i="82"/>
  <c r="AX205" i="82"/>
  <c r="AD204" i="82"/>
  <c r="R204" i="82"/>
  <c r="AC204" i="82"/>
  <c r="AS204" i="82"/>
  <c r="AI204" i="82"/>
  <c r="J204" i="82"/>
  <c r="AH204" i="82"/>
  <c r="BD204" i="82"/>
  <c r="CC204" i="82"/>
  <c r="CH204" i="82"/>
  <c r="AJ204" i="82"/>
  <c r="Z204" i="82"/>
  <c r="CM204" i="82"/>
  <c r="CZ204" i="82"/>
  <c r="DA204" i="82"/>
  <c r="AE204" i="82"/>
  <c r="E204" i="82"/>
  <c r="BN204" i="82"/>
  <c r="BK204" i="82"/>
  <c r="AR204" i="82"/>
  <c r="I204" i="82"/>
  <c r="AY204" i="82"/>
  <c r="DM204" i="82"/>
  <c r="BF204" i="82"/>
  <c r="D204" i="82"/>
  <c r="BG204" i="82"/>
  <c r="U204" i="82"/>
  <c r="DC204" i="82" s="1"/>
  <c r="CP204" i="82"/>
  <c r="AA177" i="82"/>
  <c r="A205" i="82" l="1"/>
  <c r="DL205" i="82" s="1"/>
  <c r="AJ205" i="82"/>
  <c r="R205" i="82"/>
  <c r="CE205" i="82"/>
  <c r="AY205" i="82"/>
  <c r="DM205" i="82"/>
  <c r="AI205" i="82"/>
  <c r="AF205" i="82"/>
  <c r="T205" i="82"/>
  <c r="K205" i="82"/>
  <c r="AG205" i="82"/>
  <c r="F205" i="82"/>
  <c r="BD205" i="82"/>
  <c r="AB205" i="82"/>
  <c r="CP205" i="82"/>
  <c r="BA206" i="82"/>
  <c r="CH205" i="82"/>
  <c r="D205" i="82"/>
  <c r="J205" i="82"/>
  <c r="AW205" i="82"/>
  <c r="AU205" i="82"/>
  <c r="U205" i="82"/>
  <c r="DC205" i="82" s="1"/>
  <c r="P205" i="82"/>
  <c r="M205" i="82"/>
  <c r="BV206" i="82"/>
  <c r="CM205" i="82"/>
  <c r="CO205" i="82"/>
  <c r="B205" i="82"/>
  <c r="A206" i="82" s="1"/>
  <c r="I205" i="82"/>
  <c r="BF205" i="82"/>
  <c r="BP205" i="82"/>
  <c r="AE205" i="82"/>
  <c r="O205" i="82"/>
  <c r="S205" i="82"/>
  <c r="L205" i="82"/>
  <c r="AC205" i="82"/>
  <c r="CK205" i="82"/>
  <c r="G205" i="82"/>
  <c r="CC205" i="82"/>
  <c r="AO205" i="82"/>
  <c r="AL205" i="82"/>
  <c r="BK205" i="82"/>
  <c r="E205" i="82"/>
  <c r="CI205" i="82"/>
  <c r="Q205" i="82"/>
  <c r="AH205" i="82"/>
  <c r="DD205" i="82"/>
  <c r="AS205" i="82"/>
  <c r="AX206" i="82"/>
  <c r="DF205" i="82"/>
  <c r="AR205" i="82"/>
  <c r="AD205" i="82"/>
  <c r="AP205" i="82"/>
  <c r="Z205" i="82"/>
  <c r="BZ205" i="82"/>
  <c r="CZ205" i="82"/>
  <c r="Y205" i="82"/>
  <c r="CR205" i="82"/>
  <c r="AN205" i="82"/>
  <c r="BN205" i="82"/>
  <c r="H205" i="82"/>
  <c r="BG205" i="82"/>
  <c r="AA178" i="82"/>
  <c r="DA205" i="82" l="1"/>
  <c r="AR206" i="82"/>
  <c r="C205" i="82"/>
  <c r="DL206" i="82"/>
  <c r="O206" i="82"/>
  <c r="BF206" i="82"/>
  <c r="AF206" i="82"/>
  <c r="CE206" i="82"/>
  <c r="CI206" i="82"/>
  <c r="BK206" i="82"/>
  <c r="AL206" i="82"/>
  <c r="AY206" i="82"/>
  <c r="AO206" i="82"/>
  <c r="AG206" i="82"/>
  <c r="S206" i="82"/>
  <c r="F206" i="82"/>
  <c r="AS206" i="82"/>
  <c r="AJ206" i="82"/>
  <c r="AW206" i="82"/>
  <c r="CR206" i="82"/>
  <c r="J206" i="82"/>
  <c r="R206" i="82"/>
  <c r="D206" i="82"/>
  <c r="CC206" i="82"/>
  <c r="BA207" i="82"/>
  <c r="BZ206" i="82"/>
  <c r="G206" i="82"/>
  <c r="BD206" i="82"/>
  <c r="AN206" i="82"/>
  <c r="DM206" i="82"/>
  <c r="Z206" i="82"/>
  <c r="DF206" i="82"/>
  <c r="Q206" i="82"/>
  <c r="BG206" i="82"/>
  <c r="H206" i="82"/>
  <c r="AP206" i="82"/>
  <c r="L206" i="82"/>
  <c r="AX207" i="82"/>
  <c r="K206" i="82"/>
  <c r="CK206" i="82"/>
  <c r="AH206" i="82"/>
  <c r="AB206" i="82"/>
  <c r="BP206" i="82"/>
  <c r="I206" i="82"/>
  <c r="T206" i="82"/>
  <c r="U206" i="82"/>
  <c r="DC206" i="82" s="1"/>
  <c r="AD206" i="82"/>
  <c r="DA206" i="82"/>
  <c r="Y206" i="82"/>
  <c r="CH206" i="82"/>
  <c r="B206" i="82"/>
  <c r="A207" i="82" s="1"/>
  <c r="CO206" i="82"/>
  <c r="AI206" i="82"/>
  <c r="BN206" i="82"/>
  <c r="CZ206" i="82"/>
  <c r="E206" i="82"/>
  <c r="AC206" i="82"/>
  <c r="CP206" i="82"/>
  <c r="DD206" i="82"/>
  <c r="CM206" i="82"/>
  <c r="BV207" i="82"/>
  <c r="AE206" i="82"/>
  <c r="M206" i="82"/>
  <c r="P206" i="82"/>
  <c r="AU206" i="82"/>
  <c r="AA179" i="82"/>
  <c r="C206" i="82" l="1"/>
  <c r="AC207" i="82"/>
  <c r="J207" i="82"/>
  <c r="DM207" i="82"/>
  <c r="G207" i="82"/>
  <c r="CP207" i="82"/>
  <c r="AI207" i="82"/>
  <c r="T207" i="82"/>
  <c r="B207" i="82"/>
  <c r="C207" i="82" s="1"/>
  <c r="CK207" i="82"/>
  <c r="M207" i="82"/>
  <c r="AE207" i="82"/>
  <c r="P207" i="82"/>
  <c r="BA208" i="82"/>
  <c r="DF207" i="82"/>
  <c r="AX208" i="82"/>
  <c r="AU207" i="82"/>
  <c r="BD207" i="82"/>
  <c r="D207" i="82"/>
  <c r="BF207" i="82"/>
  <c r="L207" i="82"/>
  <c r="S207" i="82"/>
  <c r="DD207" i="82"/>
  <c r="BP207" i="82"/>
  <c r="AL207" i="82"/>
  <c r="AS207" i="82"/>
  <c r="CR207" i="82"/>
  <c r="E207" i="82"/>
  <c r="CM207" i="82"/>
  <c r="CC207" i="82"/>
  <c r="AW207" i="82"/>
  <c r="BG207" i="82"/>
  <c r="AP207" i="82"/>
  <c r="CZ207" i="82"/>
  <c r="AH207" i="82"/>
  <c r="Z207" i="82"/>
  <c r="BZ207" i="82"/>
  <c r="BK207" i="82"/>
  <c r="AG207" i="82"/>
  <c r="Y207" i="82"/>
  <c r="AJ207" i="82"/>
  <c r="U207" i="82"/>
  <c r="DC207" i="82" s="1"/>
  <c r="BN207" i="82"/>
  <c r="AB207" i="82"/>
  <c r="CE207" i="82"/>
  <c r="H207" i="82"/>
  <c r="R207" i="82"/>
  <c r="AY207" i="82"/>
  <c r="DA207" i="82"/>
  <c r="AF207" i="82"/>
  <c r="F207" i="82"/>
  <c r="BV208" i="82"/>
  <c r="CH207" i="82"/>
  <c r="DL207" i="82"/>
  <c r="AD207" i="82"/>
  <c r="K207" i="82"/>
  <c r="CI207" i="82"/>
  <c r="CO207" i="82"/>
  <c r="AO207" i="82"/>
  <c r="O207" i="82"/>
  <c r="I207" i="82"/>
  <c r="AN207" i="82"/>
  <c r="AR207" i="82"/>
  <c r="Q207" i="82"/>
  <c r="AA180" i="82"/>
  <c r="A208" i="82" l="1"/>
  <c r="BG208" i="82" s="1"/>
  <c r="AA181" i="82"/>
  <c r="CK208" i="82" l="1"/>
  <c r="AD208" i="82"/>
  <c r="H208" i="82"/>
  <c r="AW208" i="82"/>
  <c r="AL208" i="82"/>
  <c r="J208" i="82"/>
  <c r="B208" i="82"/>
  <c r="A209" i="82" s="1"/>
  <c r="U208" i="82"/>
  <c r="DC208" i="82" s="1"/>
  <c r="E208" i="82"/>
  <c r="BK208" i="82"/>
  <c r="P208" i="82"/>
  <c r="M208" i="82"/>
  <c r="S208" i="82"/>
  <c r="CZ208" i="82"/>
  <c r="AG208" i="82"/>
  <c r="DA208" i="82"/>
  <c r="BP208" i="82"/>
  <c r="AB208" i="82"/>
  <c r="AY208" i="82"/>
  <c r="T208" i="82"/>
  <c r="K208" i="82"/>
  <c r="F208" i="82"/>
  <c r="AJ208" i="82"/>
  <c r="AH208" i="82"/>
  <c r="Y208" i="82"/>
  <c r="BA209" i="82"/>
  <c r="AC208" i="82"/>
  <c r="BF208" i="82"/>
  <c r="CO208" i="82"/>
  <c r="AP208" i="82"/>
  <c r="BD208" i="82"/>
  <c r="AO208" i="82"/>
  <c r="AX209" i="82"/>
  <c r="R208" i="82"/>
  <c r="AI208" i="82"/>
  <c r="DD208" i="82"/>
  <c r="L208" i="82"/>
  <c r="CI208" i="82"/>
  <c r="CH208" i="82"/>
  <c r="AU208" i="82"/>
  <c r="Q208" i="82"/>
  <c r="BZ208" i="82"/>
  <c r="Z208" i="82"/>
  <c r="DM208" i="82"/>
  <c r="DL208" i="82"/>
  <c r="CC208" i="82"/>
  <c r="BV209" i="82"/>
  <c r="AS208" i="82"/>
  <c r="CM208" i="82"/>
  <c r="AR208" i="82"/>
  <c r="CE208" i="82"/>
  <c r="BN208" i="82"/>
  <c r="AF208" i="82"/>
  <c r="DF208" i="82"/>
  <c r="CR208" i="82"/>
  <c r="O208" i="82"/>
  <c r="AE208" i="82"/>
  <c r="CP208" i="82"/>
  <c r="G208" i="82"/>
  <c r="I208" i="82"/>
  <c r="AN208" i="82"/>
  <c r="D208" i="82"/>
  <c r="AA182" i="82"/>
  <c r="Z209" i="82" l="1"/>
  <c r="CP209" i="82"/>
  <c r="CE209" i="82"/>
  <c r="C208" i="82"/>
  <c r="AI209" i="82"/>
  <c r="Y209" i="82"/>
  <c r="G209" i="82"/>
  <c r="BN209" i="82"/>
  <c r="DM209" i="82"/>
  <c r="DD209" i="82"/>
  <c r="AO209" i="82"/>
  <c r="K209" i="82"/>
  <c r="AY209" i="82"/>
  <c r="T209" i="82"/>
  <c r="AW209" i="82"/>
  <c r="AC209" i="82"/>
  <c r="F209" i="82"/>
  <c r="BP209" i="82"/>
  <c r="AH209" i="82"/>
  <c r="AL209" i="82"/>
  <c r="BF209" i="82"/>
  <c r="AB209" i="82"/>
  <c r="AD209" i="82"/>
  <c r="AR209" i="82"/>
  <c r="CM209" i="82"/>
  <c r="CO209" i="82"/>
  <c r="AE209" i="82"/>
  <c r="BK209" i="82"/>
  <c r="P209" i="82"/>
  <c r="AU209" i="82"/>
  <c r="E209" i="82"/>
  <c r="S209" i="82"/>
  <c r="CK209" i="82"/>
  <c r="J209" i="82"/>
  <c r="B209" i="82"/>
  <c r="A210" i="82" s="1"/>
  <c r="O209" i="82"/>
  <c r="H209" i="82"/>
  <c r="DA209" i="82"/>
  <c r="BA210" i="82"/>
  <c r="CH209" i="82"/>
  <c r="Q209" i="82"/>
  <c r="AN209" i="82"/>
  <c r="DF209" i="82"/>
  <c r="CC209" i="82"/>
  <c r="CI209" i="82"/>
  <c r="BD209" i="82"/>
  <c r="BG209" i="82"/>
  <c r="AS209" i="82"/>
  <c r="AG209" i="82"/>
  <c r="M209" i="82"/>
  <c r="I209" i="82"/>
  <c r="AF209" i="82"/>
  <c r="DL209" i="82"/>
  <c r="BZ209" i="82"/>
  <c r="R209" i="82"/>
  <c r="AX210" i="82"/>
  <c r="AJ209" i="82"/>
  <c r="U209" i="82"/>
  <c r="DC209" i="82" s="1"/>
  <c r="CZ209" i="82"/>
  <c r="D209" i="82"/>
  <c r="CR209" i="82"/>
  <c r="BV210" i="82"/>
  <c r="L209" i="82"/>
  <c r="AP209" i="82"/>
  <c r="AA183" i="82"/>
  <c r="C209" i="82" l="1"/>
  <c r="E210" i="82"/>
  <c r="AB210" i="82"/>
  <c r="D210" i="82"/>
  <c r="AE210" i="82"/>
  <c r="AS210" i="82"/>
  <c r="R210" i="82"/>
  <c r="AW210" i="82"/>
  <c r="K210" i="82"/>
  <c r="BN210" i="82"/>
  <c r="AH210" i="82"/>
  <c r="CZ210" i="82"/>
  <c r="F210" i="82"/>
  <c r="S210" i="82"/>
  <c r="AF210" i="82"/>
  <c r="AP210" i="82"/>
  <c r="BK210" i="82"/>
  <c r="AL210" i="82"/>
  <c r="P210" i="82"/>
  <c r="Y210" i="82"/>
  <c r="M210" i="82"/>
  <c r="BF210" i="82"/>
  <c r="CR210" i="82"/>
  <c r="U210" i="82"/>
  <c r="DC210" i="82" s="1"/>
  <c r="CP210" i="82"/>
  <c r="BZ210" i="82"/>
  <c r="CM210" i="82"/>
  <c r="AY210" i="82"/>
  <c r="CI210" i="82"/>
  <c r="AI210" i="82"/>
  <c r="AX211" i="82"/>
  <c r="AD210" i="82"/>
  <c r="BV211" i="82"/>
  <c r="AR210" i="82"/>
  <c r="Q210" i="82"/>
  <c r="I210" i="82"/>
  <c r="CC210" i="82"/>
  <c r="CE210" i="82"/>
  <c r="AJ210" i="82"/>
  <c r="G210" i="82"/>
  <c r="AO210" i="82"/>
  <c r="DD210" i="82"/>
  <c r="DF210" i="82"/>
  <c r="AG210" i="82"/>
  <c r="CK210" i="82"/>
  <c r="BA211" i="82"/>
  <c r="J210" i="82"/>
  <c r="DL210" i="82"/>
  <c r="DM210" i="82"/>
  <c r="AC210" i="82"/>
  <c r="H210" i="82"/>
  <c r="DA210" i="82"/>
  <c r="BG210" i="82"/>
  <c r="O210" i="82"/>
  <c r="AN210" i="82"/>
  <c r="CO210" i="82"/>
  <c r="BP210" i="82"/>
  <c r="B210" i="82"/>
  <c r="C210" i="82" s="1"/>
  <c r="Z210" i="82"/>
  <c r="T210" i="82"/>
  <c r="BD210" i="82"/>
  <c r="AU210" i="82"/>
  <c r="L210" i="82"/>
  <c r="CH210" i="82"/>
  <c r="AA184" i="82"/>
  <c r="A211" i="82" l="1"/>
  <c r="AR211" i="82" s="1"/>
  <c r="AA185" i="82"/>
  <c r="I211" i="82" l="1"/>
  <c r="CI211" i="82"/>
  <c r="AU211" i="82"/>
  <c r="M211" i="82"/>
  <c r="J211" i="82"/>
  <c r="CM211" i="82"/>
  <c r="CO211" i="82"/>
  <c r="CR211" i="82"/>
  <c r="AE211" i="82"/>
  <c r="T211" i="82"/>
  <c r="CH211" i="82"/>
  <c r="B211" i="82"/>
  <c r="A212" i="82" s="1"/>
  <c r="AP212" i="82" s="1"/>
  <c r="F211" i="82"/>
  <c r="AF211" i="82"/>
  <c r="BP211" i="82"/>
  <c r="R211" i="82"/>
  <c r="R212" i="82" s="1"/>
  <c r="G211" i="82"/>
  <c r="DF211" i="82"/>
  <c r="K211" i="82"/>
  <c r="O211" i="82"/>
  <c r="AP211" i="82"/>
  <c r="L211" i="82"/>
  <c r="CC211" i="82"/>
  <c r="CC212" i="82" s="1"/>
  <c r="P211" i="82"/>
  <c r="Z211" i="82"/>
  <c r="U211" i="82"/>
  <c r="DC211" i="82" s="1"/>
  <c r="BV212" i="82"/>
  <c r="AL211" i="82"/>
  <c r="AI211" i="82"/>
  <c r="H211" i="82"/>
  <c r="DA211" i="82"/>
  <c r="DA212" i="82" s="1"/>
  <c r="AX212" i="82"/>
  <c r="AX213" i="82" s="1"/>
  <c r="D211" i="82"/>
  <c r="S211" i="82"/>
  <c r="CK211" i="82"/>
  <c r="AJ211" i="82"/>
  <c r="Y211" i="82"/>
  <c r="AG211" i="82"/>
  <c r="BK211" i="82"/>
  <c r="BK212" i="82" s="1"/>
  <c r="CE211" i="82"/>
  <c r="CE212" i="82" s="1"/>
  <c r="CZ211" i="82"/>
  <c r="AC211" i="82"/>
  <c r="AH211" i="82"/>
  <c r="AB211" i="82"/>
  <c r="CP211" i="82"/>
  <c r="E211" i="82"/>
  <c r="AY211" i="82"/>
  <c r="AO211" i="82"/>
  <c r="AO212" i="82" s="1"/>
  <c r="BA212" i="82"/>
  <c r="AD211" i="82"/>
  <c r="DM211" i="82"/>
  <c r="Q211" i="82"/>
  <c r="Q212" i="82" s="1"/>
  <c r="AN211" i="82"/>
  <c r="AN212" i="82" s="1"/>
  <c r="BD211" i="82"/>
  <c r="BD212" i="82" s="1"/>
  <c r="BG211" i="82"/>
  <c r="BG212" i="82" s="1"/>
  <c r="BF211" i="82"/>
  <c r="BF212" i="82" s="1"/>
  <c r="DD211" i="82"/>
  <c r="BN211" i="82"/>
  <c r="BZ211" i="82"/>
  <c r="AW211" i="82"/>
  <c r="AW212" i="82" s="1"/>
  <c r="DL211" i="82"/>
  <c r="DL212" i="82" s="1"/>
  <c r="AS211" i="82"/>
  <c r="AS212" i="82" s="1"/>
  <c r="DF212" i="82"/>
  <c r="C211" i="82"/>
  <c r="AU212" i="82"/>
  <c r="BV213" i="82"/>
  <c r="S212" i="82"/>
  <c r="AA186" i="82"/>
  <c r="B212" i="82" l="1"/>
  <c r="A213" i="82" s="1"/>
  <c r="G212" i="82"/>
  <c r="L212" i="82"/>
  <c r="CH212" i="82"/>
  <c r="CP212" i="82"/>
  <c r="CO212" i="82"/>
  <c r="CI212" i="82"/>
  <c r="CI213" i="82" s="1"/>
  <c r="F212" i="82"/>
  <c r="F213" i="82" s="1"/>
  <c r="AL212" i="82"/>
  <c r="AL213" i="82" s="1"/>
  <c r="BA213" i="82"/>
  <c r="AH212" i="82"/>
  <c r="AH213" i="82" s="1"/>
  <c r="U212" i="82"/>
  <c r="DC212" i="82" s="1"/>
  <c r="CM212" i="82"/>
  <c r="T212" i="82"/>
  <c r="T213" i="82" s="1"/>
  <c r="AE212" i="82"/>
  <c r="AE213" i="82" s="1"/>
  <c r="AG212" i="82"/>
  <c r="AG213" i="82" s="1"/>
  <c r="M212" i="82"/>
  <c r="BP212" i="82"/>
  <c r="BP213" i="82" s="1"/>
  <c r="AD212" i="82"/>
  <c r="AD213" i="82" s="1"/>
  <c r="DM212" i="82"/>
  <c r="I212" i="82"/>
  <c r="I213" i="82" s="1"/>
  <c r="P212" i="82"/>
  <c r="P213" i="82" s="1"/>
  <c r="H212" i="82"/>
  <c r="H213" i="82" s="1"/>
  <c r="AI212" i="82"/>
  <c r="AI213" i="82" s="1"/>
  <c r="AB212" i="82"/>
  <c r="AB213" i="82" s="1"/>
  <c r="AF212" i="82"/>
  <c r="AF213" i="82" s="1"/>
  <c r="Y212" i="82"/>
  <c r="CZ212" i="82"/>
  <c r="CK212" i="82"/>
  <c r="CK213" i="82" s="1"/>
  <c r="O212" i="82"/>
  <c r="AY212" i="82"/>
  <c r="AY213" i="82" s="1"/>
  <c r="AC212" i="82"/>
  <c r="AC213" i="82" s="1"/>
  <c r="BZ212" i="82"/>
  <c r="K212" i="82"/>
  <c r="BN212" i="82"/>
  <c r="BN213" i="82" s="1"/>
  <c r="CR212" i="82"/>
  <c r="CR213" i="82" s="1"/>
  <c r="J212" i="82"/>
  <c r="J213" i="82" s="1"/>
  <c r="D212" i="82"/>
  <c r="AJ212" i="82"/>
  <c r="AJ213" i="82" s="1"/>
  <c r="E212" i="82"/>
  <c r="E213" i="82" s="1"/>
  <c r="Z212" i="82"/>
  <c r="AR212" i="82"/>
  <c r="AR213" i="82" s="1"/>
  <c r="DD212" i="82"/>
  <c r="DD213" i="82" s="1"/>
  <c r="CC213" i="82"/>
  <c r="BF213" i="82"/>
  <c r="AS213" i="82"/>
  <c r="R213" i="82"/>
  <c r="Z213" i="82"/>
  <c r="DL213" i="82"/>
  <c r="AO213" i="82"/>
  <c r="DF213" i="82"/>
  <c r="AW213" i="82"/>
  <c r="S213" i="82"/>
  <c r="DM213" i="82"/>
  <c r="D213" i="82"/>
  <c r="DA213" i="82"/>
  <c r="K213" i="82"/>
  <c r="BK213" i="82"/>
  <c r="BD213" i="82"/>
  <c r="BG213" i="82"/>
  <c r="B213" i="82"/>
  <c r="A214" i="82" s="1"/>
  <c r="AP213" i="82"/>
  <c r="CZ213" i="82"/>
  <c r="BV214" i="82"/>
  <c r="BZ213" i="82"/>
  <c r="AX214" i="82"/>
  <c r="L213" i="82"/>
  <c r="Y213" i="82"/>
  <c r="CP213" i="82"/>
  <c r="O213" i="82"/>
  <c r="BA214" i="82"/>
  <c r="AU213" i="82"/>
  <c r="CH213" i="82"/>
  <c r="G213" i="82"/>
  <c r="CO213" i="82"/>
  <c r="Q213" i="82"/>
  <c r="AN213" i="82"/>
  <c r="CM213" i="82"/>
  <c r="C212" i="82"/>
  <c r="CE213" i="82"/>
  <c r="M213" i="82"/>
  <c r="U213" i="82"/>
  <c r="DC213" i="82" s="1"/>
  <c r="AA187" i="82"/>
  <c r="AH214" i="82" l="1"/>
  <c r="BP214" i="82"/>
  <c r="CK214" i="82"/>
  <c r="BN214" i="82"/>
  <c r="CR214" i="82"/>
  <c r="AN214" i="82"/>
  <c r="BD214" i="82"/>
  <c r="CE214" i="82"/>
  <c r="T214" i="82"/>
  <c r="DM214" i="82"/>
  <c r="Z214" i="82"/>
  <c r="AJ214" i="82"/>
  <c r="G214" i="82"/>
  <c r="D214" i="82"/>
  <c r="AS214" i="82"/>
  <c r="BK214" i="82"/>
  <c r="U214" i="82"/>
  <c r="DC214" i="82" s="1"/>
  <c r="AB214" i="82"/>
  <c r="E214" i="82"/>
  <c r="O214" i="82"/>
  <c r="AF214" i="82"/>
  <c r="AY214" i="82"/>
  <c r="CC214" i="82"/>
  <c r="M214" i="82"/>
  <c r="AX215" i="82"/>
  <c r="AE214" i="82"/>
  <c r="BG214" i="82"/>
  <c r="CI214" i="82"/>
  <c r="BZ214" i="82"/>
  <c r="AO214" i="82"/>
  <c r="Y214" i="82"/>
  <c r="B214" i="82"/>
  <c r="C214" i="82" s="1"/>
  <c r="AI214" i="82"/>
  <c r="C213" i="82"/>
  <c r="CO214" i="82"/>
  <c r="AG214" i="82"/>
  <c r="BV215" i="82"/>
  <c r="J214" i="82"/>
  <c r="R214" i="82"/>
  <c r="S214" i="82"/>
  <c r="L214" i="82"/>
  <c r="DA214" i="82"/>
  <c r="AL214" i="82"/>
  <c r="DD214" i="82"/>
  <c r="CP214" i="82"/>
  <c r="CZ214" i="82"/>
  <c r="AW214" i="82"/>
  <c r="DL214" i="82"/>
  <c r="AD214" i="82"/>
  <c r="Q214" i="82"/>
  <c r="BA215" i="82"/>
  <c r="AR214" i="82"/>
  <c r="CM214" i="82"/>
  <c r="AC214" i="82"/>
  <c r="AP214" i="82"/>
  <c r="DF214" i="82"/>
  <c r="F214" i="82"/>
  <c r="I214" i="82"/>
  <c r="K214" i="82"/>
  <c r="AU214" i="82"/>
  <c r="CH214" i="82"/>
  <c r="H214" i="82"/>
  <c r="P214" i="82"/>
  <c r="BF214" i="82"/>
  <c r="AA188" i="82"/>
  <c r="A215" i="82" l="1"/>
  <c r="G215" i="82" s="1"/>
  <c r="AA189" i="82"/>
  <c r="BP215" i="82" l="1"/>
  <c r="AG215" i="82"/>
  <c r="AE215" i="82"/>
  <c r="CI215" i="82"/>
  <c r="I215" i="82"/>
  <c r="AI215" i="82"/>
  <c r="O215" i="82"/>
  <c r="BZ215" i="82"/>
  <c r="F215" i="82"/>
  <c r="AS215" i="82"/>
  <c r="CE215" i="82"/>
  <c r="CR215" i="82"/>
  <c r="K215" i="82"/>
  <c r="P215" i="82"/>
  <c r="AW215" i="82"/>
  <c r="DM215" i="82"/>
  <c r="CC215" i="82"/>
  <c r="AR215" i="82"/>
  <c r="AP215" i="82"/>
  <c r="AU215" i="82"/>
  <c r="AD215" i="82"/>
  <c r="BA216" i="82"/>
  <c r="Y215" i="82"/>
  <c r="B215" i="82"/>
  <c r="C215" i="82" s="1"/>
  <c r="AJ215" i="82"/>
  <c r="CK215" i="82"/>
  <c r="D215" i="82"/>
  <c r="R215" i="82"/>
  <c r="AX216" i="82"/>
  <c r="AY215" i="82"/>
  <c r="BV216" i="82"/>
  <c r="AO215" i="82"/>
  <c r="S215" i="82"/>
  <c r="CM215" i="82"/>
  <c r="Q215" i="82"/>
  <c r="AN215" i="82"/>
  <c r="AF215" i="82"/>
  <c r="DA215" i="82"/>
  <c r="J215" i="82"/>
  <c r="AC215" i="82"/>
  <c r="AL215" i="82"/>
  <c r="E215" i="82"/>
  <c r="CZ215" i="82"/>
  <c r="CP215" i="82"/>
  <c r="BG215" i="82"/>
  <c r="DF215" i="82"/>
  <c r="T215" i="82"/>
  <c r="BD215" i="82"/>
  <c r="CH215" i="82"/>
  <c r="BK215" i="82"/>
  <c r="AB215" i="82"/>
  <c r="DD215" i="82"/>
  <c r="BN215" i="82"/>
  <c r="L215" i="82"/>
  <c r="H215" i="82"/>
  <c r="M215" i="82"/>
  <c r="CO215" i="82"/>
  <c r="BF215" i="82"/>
  <c r="AH215" i="82"/>
  <c r="Z215" i="82"/>
  <c r="DL215" i="82"/>
  <c r="U215" i="82"/>
  <c r="DC215" i="82" s="1"/>
  <c r="AA190" i="82"/>
  <c r="A216" i="82" l="1"/>
  <c r="AH216" i="82" s="1"/>
  <c r="AA191" i="82"/>
  <c r="B216" i="82" l="1"/>
  <c r="A217" i="82" s="1"/>
  <c r="R216" i="82"/>
  <c r="BV217" i="82"/>
  <c r="BV218" i="82" s="1"/>
  <c r="AB216" i="82"/>
  <c r="BF216" i="82"/>
  <c r="BF217" i="82" s="1"/>
  <c r="BA217" i="82"/>
  <c r="BA218" i="82" s="1"/>
  <c r="I216" i="82"/>
  <c r="I217" i="82" s="1"/>
  <c r="Q216" i="82"/>
  <c r="Q217" i="82" s="1"/>
  <c r="M216" i="82"/>
  <c r="D216" i="82"/>
  <c r="AX217" i="82"/>
  <c r="DF216" i="82"/>
  <c r="DF217" i="82" s="1"/>
  <c r="CZ216" i="82"/>
  <c r="CZ217" i="82" s="1"/>
  <c r="AR216" i="82"/>
  <c r="AR217" i="82" s="1"/>
  <c r="S216" i="82"/>
  <c r="S217" i="82" s="1"/>
  <c r="DD216" i="82"/>
  <c r="DD217" i="82" s="1"/>
  <c r="H216" i="82"/>
  <c r="L216" i="82"/>
  <c r="AN216" i="82"/>
  <c r="AN217" i="82" s="1"/>
  <c r="AO216" i="82"/>
  <c r="AO217" i="82" s="1"/>
  <c r="DM216" i="82"/>
  <c r="DM217" i="82" s="1"/>
  <c r="AI216" i="82"/>
  <c r="AI217" i="82" s="1"/>
  <c r="F216" i="82"/>
  <c r="F217" i="82" s="1"/>
  <c r="P216" i="82"/>
  <c r="P217" i="82" s="1"/>
  <c r="AW216" i="82"/>
  <c r="CH216" i="82"/>
  <c r="AY216" i="82"/>
  <c r="AY217" i="82" s="1"/>
  <c r="AD216" i="82"/>
  <c r="DA216" i="82"/>
  <c r="DA217" i="82" s="1"/>
  <c r="AC216" i="82"/>
  <c r="AC217" i="82" s="1"/>
  <c r="CK216" i="82"/>
  <c r="CK217" i="82" s="1"/>
  <c r="CO216" i="82"/>
  <c r="CO217" i="82" s="1"/>
  <c r="Y216" i="82"/>
  <c r="AP216" i="82"/>
  <c r="AJ216" i="82"/>
  <c r="AS216" i="82"/>
  <c r="DL216" i="82"/>
  <c r="DL217" i="82" s="1"/>
  <c r="AF216" i="82"/>
  <c r="AF217" i="82" s="1"/>
  <c r="Z216" i="82"/>
  <c r="Z217" i="82" s="1"/>
  <c r="CR216" i="82"/>
  <c r="CR217" i="82" s="1"/>
  <c r="G216" i="82"/>
  <c r="G217" i="82" s="1"/>
  <c r="CE216" i="82"/>
  <c r="CE217" i="82" s="1"/>
  <c r="AL216" i="82"/>
  <c r="AL217" i="82" s="1"/>
  <c r="BZ216" i="82"/>
  <c r="BZ217" i="82" s="1"/>
  <c r="E216" i="82"/>
  <c r="E217" i="82" s="1"/>
  <c r="O216" i="82"/>
  <c r="O217" i="82" s="1"/>
  <c r="J216" i="82"/>
  <c r="J217" i="82" s="1"/>
  <c r="BN216" i="82"/>
  <c r="BN217" i="82" s="1"/>
  <c r="BK216" i="82"/>
  <c r="BK217" i="82" s="1"/>
  <c r="AG216" i="82"/>
  <c r="AG217" i="82" s="1"/>
  <c r="CI216" i="82"/>
  <c r="CI217" i="82" s="1"/>
  <c r="CC216" i="82"/>
  <c r="CC217" i="82" s="1"/>
  <c r="T216" i="82"/>
  <c r="T217" i="82" s="1"/>
  <c r="CM216" i="82"/>
  <c r="CM217" i="82" s="1"/>
  <c r="BD216" i="82"/>
  <c r="BD217" i="82" s="1"/>
  <c r="AE216" i="82"/>
  <c r="AE217" i="82" s="1"/>
  <c r="BP216" i="82"/>
  <c r="BP217" i="82" s="1"/>
  <c r="BG216" i="82"/>
  <c r="BG217" i="82" s="1"/>
  <c r="U216" i="82"/>
  <c r="DC216" i="82" s="1"/>
  <c r="AU216" i="82"/>
  <c r="AU217" i="82" s="1"/>
  <c r="K216" i="82"/>
  <c r="K217" i="82" s="1"/>
  <c r="CP216" i="82"/>
  <c r="CP217" i="82" s="1"/>
  <c r="AW217" i="82"/>
  <c r="AJ217" i="82"/>
  <c r="AB217" i="82"/>
  <c r="AH217" i="82"/>
  <c r="Y217" i="82"/>
  <c r="AS217" i="82"/>
  <c r="AD217" i="82"/>
  <c r="R217" i="82"/>
  <c r="CH217" i="82"/>
  <c r="H217" i="82"/>
  <c r="L217" i="82"/>
  <c r="M217" i="82"/>
  <c r="AX218" i="82"/>
  <c r="B217" i="82"/>
  <c r="C217" i="82" s="1"/>
  <c r="AP217" i="82"/>
  <c r="C216" i="82"/>
  <c r="D217" i="82"/>
  <c r="AA192" i="82"/>
  <c r="U217" i="82" l="1"/>
  <c r="DC217" i="82" s="1"/>
  <c r="A218" i="82"/>
  <c r="AR218" i="82" s="1"/>
  <c r="AA193" i="82"/>
  <c r="AG218" i="82" l="1"/>
  <c r="AO218" i="82"/>
  <c r="AW218" i="82"/>
  <c r="Z218" i="82"/>
  <c r="AU218" i="82"/>
  <c r="DF218" i="82"/>
  <c r="BP218" i="82"/>
  <c r="AX219" i="82"/>
  <c r="M218" i="82"/>
  <c r="AL218" i="82"/>
  <c r="T218" i="82"/>
  <c r="I218" i="82"/>
  <c r="O218" i="82"/>
  <c r="B218" i="82"/>
  <c r="C218" i="82" s="1"/>
  <c r="AN218" i="82"/>
  <c r="D218" i="82"/>
  <c r="AB218" i="82"/>
  <c r="F218" i="82"/>
  <c r="CO218" i="82"/>
  <c r="CC218" i="82"/>
  <c r="DM218" i="82"/>
  <c r="AY218" i="82"/>
  <c r="CP218" i="82"/>
  <c r="Q218" i="82"/>
  <c r="G218" i="82"/>
  <c r="J218" i="82"/>
  <c r="BK218" i="82"/>
  <c r="S218" i="82"/>
  <c r="R218" i="82"/>
  <c r="DD218" i="82"/>
  <c r="BG218" i="82"/>
  <c r="CH218" i="82"/>
  <c r="DA218" i="82"/>
  <c r="P218" i="82"/>
  <c r="BF218" i="82"/>
  <c r="CM218" i="82"/>
  <c r="AF218" i="82"/>
  <c r="DL218" i="82"/>
  <c r="AH218" i="82"/>
  <c r="CK218" i="82"/>
  <c r="AS218" i="82"/>
  <c r="BV219" i="82"/>
  <c r="AP218" i="82"/>
  <c r="H218" i="82"/>
  <c r="AC218" i="82"/>
  <c r="CI218" i="82"/>
  <c r="E218" i="82"/>
  <c r="CZ218" i="82"/>
  <c r="BN218" i="82"/>
  <c r="AE218" i="82"/>
  <c r="AD218" i="82"/>
  <c r="L218" i="82"/>
  <c r="CE218" i="82"/>
  <c r="Y218" i="82"/>
  <c r="BZ218" i="82"/>
  <c r="K218" i="82"/>
  <c r="CR218" i="82"/>
  <c r="AJ218" i="82"/>
  <c r="BD218" i="82"/>
  <c r="BA219" i="82"/>
  <c r="AI218" i="82"/>
  <c r="U218" i="82"/>
  <c r="DC218" i="82" s="1"/>
  <c r="AA194" i="82"/>
  <c r="A219" i="82" l="1"/>
  <c r="AA195" i="82"/>
  <c r="I219" i="82" l="1"/>
  <c r="AC219" i="82"/>
  <c r="AD219" i="82"/>
  <c r="M219" i="82"/>
  <c r="D219" i="82"/>
  <c r="Z219" i="82"/>
  <c r="AJ219" i="82"/>
  <c r="BG219" i="82"/>
  <c r="CI219" i="82"/>
  <c r="AI219" i="82"/>
  <c r="R219" i="82"/>
  <c r="CP219" i="82"/>
  <c r="BV220" i="82"/>
  <c r="DF219" i="82"/>
  <c r="AP219" i="82"/>
  <c r="H219" i="82"/>
  <c r="BD219" i="82"/>
  <c r="O219" i="82"/>
  <c r="AW219" i="82"/>
  <c r="J219" i="82"/>
  <c r="AR219" i="82"/>
  <c r="S219" i="82"/>
  <c r="BP219" i="82"/>
  <c r="CM219" i="82"/>
  <c r="B219" i="82"/>
  <c r="C219" i="82" s="1"/>
  <c r="Y219" i="82"/>
  <c r="Q219" i="82"/>
  <c r="CC219" i="82"/>
  <c r="K219" i="82"/>
  <c r="CK219" i="82"/>
  <c r="CH219" i="82"/>
  <c r="AL219" i="82"/>
  <c r="L219" i="82"/>
  <c r="BF219" i="82"/>
  <c r="CZ219" i="82"/>
  <c r="U219" i="82"/>
  <c r="DC219" i="82" s="1"/>
  <c r="P219" i="82"/>
  <c r="DD219" i="82"/>
  <c r="CE219" i="82"/>
  <c r="AE219" i="82"/>
  <c r="DA219" i="82"/>
  <c r="AF219" i="82"/>
  <c r="BN219" i="82"/>
  <c r="AH219" i="82"/>
  <c r="T219" i="82"/>
  <c r="AO219" i="82"/>
  <c r="AS219" i="82"/>
  <c r="BA220" i="82"/>
  <c r="AN219" i="82"/>
  <c r="DM219" i="82"/>
  <c r="AG219" i="82"/>
  <c r="BZ219" i="82"/>
  <c r="AU219" i="82"/>
  <c r="BK219" i="82"/>
  <c r="AY219" i="82"/>
  <c r="AB219" i="82"/>
  <c r="F219" i="82"/>
  <c r="DL219" i="82"/>
  <c r="G219" i="82"/>
  <c r="AX220" i="82"/>
  <c r="CR219" i="82"/>
  <c r="CO219" i="82"/>
  <c r="E219" i="82"/>
  <c r="AA196" i="82"/>
  <c r="A220" i="82" l="1"/>
  <c r="BP220" i="82" s="1"/>
  <c r="AA197" i="82"/>
  <c r="AY220" i="82" l="1"/>
  <c r="I220" i="82"/>
  <c r="AN220" i="82"/>
  <c r="BZ220" i="82"/>
  <c r="AG220" i="82"/>
  <c r="K220" i="82"/>
  <c r="DM220" i="82"/>
  <c r="B220" i="82"/>
  <c r="A221" i="82" s="1"/>
  <c r="BZ221" i="82" s="1"/>
  <c r="CK220" i="82"/>
  <c r="DD220" i="82"/>
  <c r="BK220" i="82"/>
  <c r="AX221" i="82"/>
  <c r="T220" i="82"/>
  <c r="CR220" i="82"/>
  <c r="CZ220" i="82"/>
  <c r="L220" i="82"/>
  <c r="BN220" i="82"/>
  <c r="DF220" i="82"/>
  <c r="E220" i="82"/>
  <c r="AP220" i="82"/>
  <c r="DL220" i="82"/>
  <c r="CC220" i="82"/>
  <c r="P220" i="82"/>
  <c r="AE220" i="82"/>
  <c r="O220" i="82"/>
  <c r="AU220" i="82"/>
  <c r="AD220" i="82"/>
  <c r="Y220" i="82"/>
  <c r="CM220" i="82"/>
  <c r="CO220" i="82"/>
  <c r="J220" i="82"/>
  <c r="AI220" i="82"/>
  <c r="U220" i="82"/>
  <c r="DC220" i="82" s="1"/>
  <c r="DA220" i="82"/>
  <c r="AJ220" i="82"/>
  <c r="CI220" i="82"/>
  <c r="S220" i="82"/>
  <c r="BA221" i="82"/>
  <c r="AO220" i="82"/>
  <c r="CP220" i="82"/>
  <c r="BG220" i="82"/>
  <c r="BD220" i="82"/>
  <c r="BF220" i="82"/>
  <c r="AF220" i="82"/>
  <c r="AC220" i="82"/>
  <c r="BV221" i="82"/>
  <c r="R220" i="82"/>
  <c r="D220" i="82"/>
  <c r="G220" i="82"/>
  <c r="AH220" i="82"/>
  <c r="AB220" i="82"/>
  <c r="F220" i="82"/>
  <c r="AL220" i="82"/>
  <c r="Q220" i="82"/>
  <c r="M220" i="82"/>
  <c r="H220" i="82"/>
  <c r="Z220" i="82"/>
  <c r="AR220" i="82"/>
  <c r="CH220" i="82"/>
  <c r="AW220" i="82"/>
  <c r="AS220" i="82"/>
  <c r="CE220" i="82"/>
  <c r="AA198" i="82"/>
  <c r="C220" i="82" l="1"/>
  <c r="BF221" i="82"/>
  <c r="BV222" i="82"/>
  <c r="M221" i="82"/>
  <c r="DL221" i="82"/>
  <c r="S221" i="82"/>
  <c r="CZ221" i="82"/>
  <c r="H221" i="82"/>
  <c r="Y221" i="82"/>
  <c r="DA221" i="82"/>
  <c r="AS221" i="82"/>
  <c r="L221" i="82"/>
  <c r="BP221" i="82"/>
  <c r="I221" i="82"/>
  <c r="CI221" i="82"/>
  <c r="AE221" i="82"/>
  <c r="CH221" i="82"/>
  <c r="T221" i="82"/>
  <c r="CE221" i="82"/>
  <c r="AD221" i="82"/>
  <c r="R221" i="82"/>
  <c r="AX222" i="82"/>
  <c r="AU221" i="82"/>
  <c r="CP221" i="82"/>
  <c r="AI221" i="82"/>
  <c r="P221" i="82"/>
  <c r="AY221" i="82"/>
  <c r="AG221" i="82"/>
  <c r="AR221" i="82"/>
  <c r="F221" i="82"/>
  <c r="Q221" i="82"/>
  <c r="AB221" i="82"/>
  <c r="G221" i="82"/>
  <c r="J221" i="82"/>
  <c r="BG221" i="82"/>
  <c r="E221" i="82"/>
  <c r="BN221" i="82"/>
  <c r="U221" i="82"/>
  <c r="DC221" i="82" s="1"/>
  <c r="CO221" i="82"/>
  <c r="DM221" i="82"/>
  <c r="Z221" i="82"/>
  <c r="AH221" i="82"/>
  <c r="BD221" i="82"/>
  <c r="AN221" i="82"/>
  <c r="CM221" i="82"/>
  <c r="AJ221" i="82"/>
  <c r="BA222" i="82"/>
  <c r="D221" i="82"/>
  <c r="DD221" i="82"/>
  <c r="AL221" i="82"/>
  <c r="AW221" i="82"/>
  <c r="O221" i="82"/>
  <c r="CC221" i="82"/>
  <c r="CK221" i="82"/>
  <c r="AC221" i="82"/>
  <c r="AO221" i="82"/>
  <c r="CR221" i="82"/>
  <c r="AF221" i="82"/>
  <c r="B221" i="82"/>
  <c r="C221" i="82" s="1"/>
  <c r="K221" i="82"/>
  <c r="BK221" i="82"/>
  <c r="AP221" i="82"/>
  <c r="DF221" i="82"/>
  <c r="A222" i="82"/>
  <c r="AX223" i="82" s="1"/>
  <c r="AA199" i="82"/>
  <c r="F222" i="82" l="1"/>
  <c r="AF222" i="82"/>
  <c r="CC222" i="82"/>
  <c r="AG222" i="82"/>
  <c r="O222" i="82"/>
  <c r="AL222" i="82"/>
  <c r="AS222" i="82"/>
  <c r="BP222" i="82"/>
  <c r="Q222" i="82"/>
  <c r="E222" i="82"/>
  <c r="AW222" i="82"/>
  <c r="AB222" i="82"/>
  <c r="BK222" i="82"/>
  <c r="P222" i="82"/>
  <c r="BA223" i="82"/>
  <c r="AU222" i="82"/>
  <c r="AO222" i="82"/>
  <c r="J222" i="82"/>
  <c r="AY222" i="82"/>
  <c r="G222" i="82"/>
  <c r="BZ222" i="82"/>
  <c r="AC222" i="82"/>
  <c r="K222" i="82"/>
  <c r="BV223" i="82"/>
  <c r="CK222" i="82"/>
  <c r="Z222" i="82"/>
  <c r="AE222" i="82"/>
  <c r="I222" i="82"/>
  <c r="CH222" i="82"/>
  <c r="DM222" i="82"/>
  <c r="AP222" i="82"/>
  <c r="AD222" i="82"/>
  <c r="U222" i="82"/>
  <c r="DC222" i="82" s="1"/>
  <c r="BF222" i="82"/>
  <c r="DF222" i="82"/>
  <c r="CP222" i="82"/>
  <c r="AR222" i="82"/>
  <c r="B222" i="82"/>
  <c r="A223" i="82" s="1"/>
  <c r="BG222" i="82"/>
  <c r="S222" i="82"/>
  <c r="AH222" i="82"/>
  <c r="T222" i="82"/>
  <c r="BD222" i="82"/>
  <c r="D222" i="82"/>
  <c r="CE222" i="82"/>
  <c r="CM222" i="82"/>
  <c r="R222" i="82"/>
  <c r="AJ222" i="82"/>
  <c r="CO222" i="82"/>
  <c r="CI222" i="82"/>
  <c r="DD222" i="82"/>
  <c r="Y222" i="82"/>
  <c r="DA222" i="82"/>
  <c r="CR222" i="82"/>
  <c r="H222" i="82"/>
  <c r="AI222" i="82"/>
  <c r="CZ222" i="82"/>
  <c r="DL222" i="82"/>
  <c r="BN222" i="82"/>
  <c r="L222" i="82"/>
  <c r="M222" i="82"/>
  <c r="AN222" i="82"/>
  <c r="AA200" i="82"/>
  <c r="C222" i="82" l="1"/>
  <c r="DL223" i="82"/>
  <c r="T223" i="82"/>
  <c r="BG223" i="82"/>
  <c r="BA224" i="82"/>
  <c r="AN223" i="82"/>
  <c r="DA223" i="82"/>
  <c r="R223" i="82"/>
  <c r="BP223" i="82"/>
  <c r="CO223" i="82"/>
  <c r="CE223" i="82"/>
  <c r="AL223" i="82"/>
  <c r="AU223" i="82"/>
  <c r="D223" i="82"/>
  <c r="AW223" i="82"/>
  <c r="CZ223" i="82"/>
  <c r="BV224" i="82"/>
  <c r="CI223" i="82"/>
  <c r="K223" i="82"/>
  <c r="E223" i="82"/>
  <c r="B223" i="82"/>
  <c r="A224" i="82" s="1"/>
  <c r="J223" i="82"/>
  <c r="AP223" i="82"/>
  <c r="H223" i="82"/>
  <c r="CP223" i="82"/>
  <c r="AO223" i="82"/>
  <c r="AC223" i="82"/>
  <c r="CM223" i="82"/>
  <c r="O223" i="82"/>
  <c r="F223" i="82"/>
  <c r="L223" i="82"/>
  <c r="BN223" i="82"/>
  <c r="BD223" i="82"/>
  <c r="AS223" i="82"/>
  <c r="M223" i="82"/>
  <c r="Y223" i="82"/>
  <c r="Q223" i="82"/>
  <c r="AB223" i="82"/>
  <c r="CC223" i="82"/>
  <c r="G223" i="82"/>
  <c r="I223" i="82"/>
  <c r="BF223" i="82"/>
  <c r="BK223" i="82"/>
  <c r="Z223" i="82"/>
  <c r="AJ223" i="82"/>
  <c r="AE223" i="82"/>
  <c r="S223" i="82"/>
  <c r="DM223" i="82"/>
  <c r="AX224" i="82"/>
  <c r="CR223" i="82"/>
  <c r="AG223" i="82"/>
  <c r="DF223" i="82"/>
  <c r="AY223" i="82"/>
  <c r="AF223" i="82"/>
  <c r="BZ223" i="82"/>
  <c r="AR223" i="82"/>
  <c r="AI223" i="82"/>
  <c r="DD223" i="82"/>
  <c r="CH223" i="82"/>
  <c r="AD223" i="82"/>
  <c r="AH223" i="82"/>
  <c r="P223" i="82"/>
  <c r="CK223" i="82"/>
  <c r="U223" i="82"/>
  <c r="DC223" i="82" s="1"/>
  <c r="AA201" i="82"/>
  <c r="C223" i="82" l="1"/>
  <c r="AP224" i="82"/>
  <c r="BA225" i="82"/>
  <c r="BF224" i="82"/>
  <c r="CM224" i="82"/>
  <c r="AU224" i="82"/>
  <c r="AL224" i="82"/>
  <c r="BV225" i="82"/>
  <c r="CI224" i="82"/>
  <c r="O224" i="82"/>
  <c r="DF224" i="82"/>
  <c r="AS224" i="82"/>
  <c r="AW224" i="82"/>
  <c r="CZ224" i="82"/>
  <c r="AE224" i="82"/>
  <c r="BK224" i="82"/>
  <c r="AY224" i="82"/>
  <c r="U224" i="82"/>
  <c r="DC224" i="82" s="1"/>
  <c r="F224" i="82"/>
  <c r="Q224" i="82"/>
  <c r="CH224" i="82"/>
  <c r="G224" i="82"/>
  <c r="BZ224" i="82"/>
  <c r="J224" i="82"/>
  <c r="AD224" i="82"/>
  <c r="H224" i="82"/>
  <c r="Y224" i="82"/>
  <c r="T224" i="82"/>
  <c r="AR224" i="82"/>
  <c r="DL224" i="82"/>
  <c r="CK224" i="82"/>
  <c r="CR224" i="82"/>
  <c r="CE224" i="82"/>
  <c r="AJ224" i="82"/>
  <c r="CC224" i="82"/>
  <c r="AN224" i="82"/>
  <c r="P224" i="82"/>
  <c r="AO224" i="82"/>
  <c r="AI224" i="82"/>
  <c r="K224" i="82"/>
  <c r="BD224" i="82"/>
  <c r="BG224" i="82"/>
  <c r="CO224" i="82"/>
  <c r="BP224" i="82"/>
  <c r="CP224" i="82"/>
  <c r="B224" i="82"/>
  <c r="A225" i="82" s="1"/>
  <c r="DM224" i="82"/>
  <c r="R224" i="82"/>
  <c r="E224" i="82"/>
  <c r="DD224" i="82"/>
  <c r="DA224" i="82"/>
  <c r="Z224" i="82"/>
  <c r="AG224" i="82"/>
  <c r="M224" i="82"/>
  <c r="D224" i="82"/>
  <c r="AH224" i="82"/>
  <c r="AC224" i="82"/>
  <c r="S224" i="82"/>
  <c r="L224" i="82"/>
  <c r="AF224" i="82"/>
  <c r="BN224" i="82"/>
  <c r="AB224" i="82"/>
  <c r="I224" i="82"/>
  <c r="AX225" i="82"/>
  <c r="AA202" i="82"/>
  <c r="AF225" i="82" l="1"/>
  <c r="U225" i="82"/>
  <c r="DC225" i="82" s="1"/>
  <c r="I225" i="82"/>
  <c r="AI225" i="82"/>
  <c r="AG225" i="82"/>
  <c r="DM225" i="82"/>
  <c r="K225" i="82"/>
  <c r="G225" i="82"/>
  <c r="D225" i="82"/>
  <c r="CZ225" i="82"/>
  <c r="BD225" i="82"/>
  <c r="DL225" i="82"/>
  <c r="Y225" i="82"/>
  <c r="AB225" i="82"/>
  <c r="DA225" i="82"/>
  <c r="S225" i="82"/>
  <c r="Z225" i="82"/>
  <c r="AO225" i="82"/>
  <c r="BN225" i="82"/>
  <c r="CM225" i="82"/>
  <c r="E225" i="82"/>
  <c r="CI225" i="82"/>
  <c r="BZ225" i="82"/>
  <c r="C224" i="82"/>
  <c r="AP225" i="82"/>
  <c r="CK225" i="82"/>
  <c r="T225" i="82"/>
  <c r="AD225" i="82"/>
  <c r="AE225" i="82"/>
  <c r="AN225" i="82"/>
  <c r="DF225" i="82"/>
  <c r="DD225" i="82"/>
  <c r="AW225" i="82"/>
  <c r="AU225" i="82"/>
  <c r="Q225" i="82"/>
  <c r="CE225" i="82"/>
  <c r="H225" i="82"/>
  <c r="CP225" i="82"/>
  <c r="P225" i="82"/>
  <c r="BV226" i="82"/>
  <c r="AH225" i="82"/>
  <c r="BG225" i="82"/>
  <c r="O225" i="82"/>
  <c r="AJ225" i="82"/>
  <c r="J225" i="82"/>
  <c r="AS225" i="82"/>
  <c r="CC225" i="82"/>
  <c r="AR225" i="82"/>
  <c r="CH225" i="82"/>
  <c r="R225" i="82"/>
  <c r="AL225" i="82"/>
  <c r="AY225" i="82"/>
  <c r="F225" i="82"/>
  <c r="BK225" i="82"/>
  <c r="CO225" i="82"/>
  <c r="M225" i="82"/>
  <c r="BP225" i="82"/>
  <c r="AX226" i="82"/>
  <c r="CR225" i="82"/>
  <c r="BA226" i="82"/>
  <c r="B225" i="82"/>
  <c r="A226" i="82" s="1"/>
  <c r="AC225" i="82"/>
  <c r="L225" i="82"/>
  <c r="BF225" i="82"/>
  <c r="AA203" i="82"/>
  <c r="CR226" i="82" l="1"/>
  <c r="AF226" i="82"/>
  <c r="DL226" i="82"/>
  <c r="AJ226" i="82"/>
  <c r="AP226" i="82"/>
  <c r="AB226" i="82"/>
  <c r="P226" i="82"/>
  <c r="CO226" i="82"/>
  <c r="AR226" i="82"/>
  <c r="AU226" i="82"/>
  <c r="G226" i="82"/>
  <c r="CZ226" i="82"/>
  <c r="AD226" i="82"/>
  <c r="J226" i="82"/>
  <c r="CH226" i="82"/>
  <c r="Z226" i="82"/>
  <c r="E226" i="82"/>
  <c r="BP226" i="82"/>
  <c r="BF226" i="82"/>
  <c r="BG226" i="82"/>
  <c r="AL226" i="82"/>
  <c r="BN226" i="82"/>
  <c r="AG226" i="82"/>
  <c r="AC226" i="82"/>
  <c r="AW226" i="82"/>
  <c r="DD226" i="82"/>
  <c r="Y226" i="82"/>
  <c r="BD226" i="82"/>
  <c r="AN226" i="82"/>
  <c r="CC226" i="82"/>
  <c r="AI226" i="82"/>
  <c r="CP226" i="82"/>
  <c r="CI226" i="82"/>
  <c r="U226" i="82"/>
  <c r="DC226" i="82" s="1"/>
  <c r="T226" i="82"/>
  <c r="F226" i="82"/>
  <c r="AY226" i="82"/>
  <c r="H226" i="82"/>
  <c r="I226" i="82"/>
  <c r="AH226" i="82"/>
  <c r="Q226" i="82"/>
  <c r="AE226" i="82"/>
  <c r="DA226" i="82"/>
  <c r="O226" i="82"/>
  <c r="DF226" i="82"/>
  <c r="AS226" i="82"/>
  <c r="K226" i="82"/>
  <c r="R226" i="82"/>
  <c r="B226" i="82"/>
  <c r="C226" i="82" s="1"/>
  <c r="BZ226" i="82"/>
  <c r="M226" i="82"/>
  <c r="CK226" i="82"/>
  <c r="CM226" i="82"/>
  <c r="BK226" i="82"/>
  <c r="CE226" i="82"/>
  <c r="L226" i="82"/>
  <c r="DM226" i="82"/>
  <c r="S226" i="82"/>
  <c r="AO226" i="82"/>
  <c r="D226" i="82"/>
  <c r="C225" i="82"/>
  <c r="AA204" i="82"/>
  <c r="AA205" i="82" l="1"/>
  <c r="AA206" i="82" l="1"/>
  <c r="AA207" i="82" l="1"/>
  <c r="AA208" i="82" l="1"/>
  <c r="AA209" i="82" s="1"/>
  <c r="AA210" i="82" l="1"/>
  <c r="AA211" i="82" l="1"/>
  <c r="AA212" i="82" l="1"/>
  <c r="AA213" i="82" l="1"/>
  <c r="AA214" i="82" l="1"/>
  <c r="AA215" i="82" l="1"/>
  <c r="AA216" i="82" l="1"/>
  <c r="AA217" i="82" l="1"/>
  <c r="AA218" i="82" l="1"/>
  <c r="AA219" i="82" l="1"/>
  <c r="AA220" i="82" s="1"/>
  <c r="AA221" i="82" l="1"/>
  <c r="AA222" i="82" l="1"/>
  <c r="AA223" i="82" l="1"/>
  <c r="AA224" i="82" l="1"/>
  <c r="AA225" i="82" l="1"/>
  <c r="AA226" i="82" l="1"/>
  <c r="BC3" i="30" l="1"/>
  <c r="BE3" i="30" l="1"/>
  <c r="BF3" i="30" l="1"/>
  <c r="BG3" i="30" l="1"/>
  <c r="BH3" i="30" l="1"/>
  <c r="BI3" i="30"/>
  <c r="BK3" i="30" l="1"/>
  <c r="BM3" i="30" l="1"/>
  <c r="BN3" i="30" l="1"/>
  <c r="P8" i="63" l="1"/>
  <c r="M3" i="48" l="1"/>
  <c r="DJ3" i="82"/>
  <c r="P4" i="81"/>
  <c r="O5" i="81" s="1"/>
  <c r="S5" i="81" s="1"/>
  <c r="G8" i="63"/>
  <c r="F9" i="63" s="1"/>
  <c r="Q4" i="81"/>
  <c r="S4" i="81"/>
  <c r="R4" i="81"/>
  <c r="I8" i="63"/>
  <c r="L4" i="81"/>
  <c r="O3" i="48"/>
  <c r="J4" i="81" s="1"/>
  <c r="P3" i="48"/>
  <c r="K4" i="81" s="1"/>
  <c r="H8" i="63"/>
  <c r="J8" i="63"/>
  <c r="L4" i="48" l="1"/>
  <c r="N3" i="48"/>
  <c r="H2" i="85" s="1"/>
  <c r="I4" i="81"/>
  <c r="Q5" i="81"/>
  <c r="R5" i="81"/>
  <c r="P5" i="81"/>
  <c r="O6" i="81" s="1"/>
  <c r="H5" i="81" l="1"/>
  <c r="DL3" i="82"/>
  <c r="DL4" i="82"/>
  <c r="DM3" i="82" l="1"/>
  <c r="DM4" i="82"/>
  <c r="G28" i="73" l="1"/>
  <c r="D11" i="73" s="1"/>
  <c r="D13" i="73" s="1"/>
  <c r="CZ8" i="30" l="1"/>
  <c r="CZ11" i="30" s="1"/>
  <c r="CY11" i="30" s="1"/>
  <c r="CL8" i="82"/>
  <c r="CL11" i="82" s="1"/>
  <c r="CZ5" i="30" l="1"/>
  <c r="CY5" i="30"/>
  <c r="CL5" i="82"/>
  <c r="CL12" i="82"/>
  <c r="CL13" i="82" s="1"/>
  <c r="CL14" i="82" s="1"/>
  <c r="CL15" i="82" s="1"/>
  <c r="CL16" i="82" s="1"/>
  <c r="CL17" i="82" s="1"/>
  <c r="CL18" i="82" s="1"/>
  <c r="CL19" i="82" s="1"/>
  <c r="CL20" i="82" s="1"/>
  <c r="CL21" i="82" s="1"/>
  <c r="CL22" i="82" s="1"/>
  <c r="CL23" i="82" s="1"/>
  <c r="CL24" i="82" s="1"/>
  <c r="CL25" i="82" s="1"/>
  <c r="CL26" i="82" s="1"/>
  <c r="CL27" i="82" s="1"/>
  <c r="CL28" i="82" s="1"/>
  <c r="CL29" i="82" s="1"/>
  <c r="CL30" i="82" s="1"/>
  <c r="CL31" i="82" s="1"/>
  <c r="CL32" i="82" s="1"/>
  <c r="CL33" i="82" s="1"/>
  <c r="CL34" i="82" s="1"/>
  <c r="CL35" i="82" s="1"/>
  <c r="CL36" i="82" s="1"/>
  <c r="CL37" i="82" s="1"/>
  <c r="CL38" i="82" s="1"/>
  <c r="CL39" i="82" s="1"/>
  <c r="CL40" i="82" s="1"/>
  <c r="CL41" i="82" s="1"/>
  <c r="CL42" i="82" s="1"/>
  <c r="CL43" i="82" s="1"/>
  <c r="CL44" i="82" s="1"/>
  <c r="CL45" i="82" s="1"/>
  <c r="CL46" i="82" s="1"/>
  <c r="CL47" i="82" s="1"/>
  <c r="CL48" i="82" s="1"/>
  <c r="CL49" i="82" s="1"/>
  <c r="CL50" i="82" s="1"/>
  <c r="CL51" i="82" s="1"/>
  <c r="CL52" i="82" s="1"/>
  <c r="CL53" i="82" s="1"/>
  <c r="CL54" i="82" s="1"/>
  <c r="CL55" i="82" s="1"/>
  <c r="CL56" i="82" s="1"/>
  <c r="CL57" i="82" s="1"/>
  <c r="CL58" i="82" s="1"/>
  <c r="CL59" i="82" s="1"/>
  <c r="CL60" i="82" s="1"/>
  <c r="CL61" i="82" s="1"/>
  <c r="CL62" i="82" s="1"/>
  <c r="CL63" i="82" s="1"/>
  <c r="CL64" i="82" s="1"/>
  <c r="CL65" i="82" s="1"/>
  <c r="CL66" i="82" s="1"/>
  <c r="CL67" i="82" s="1"/>
  <c r="CL68" i="82" s="1"/>
  <c r="CL69" i="82" s="1"/>
  <c r="CL70" i="82" s="1"/>
  <c r="CL71" i="82" s="1"/>
  <c r="CL72" i="82" s="1"/>
  <c r="CL73" i="82" s="1"/>
  <c r="CL74" i="82" s="1"/>
  <c r="CL75" i="82" s="1"/>
  <c r="CL76" i="82" s="1"/>
  <c r="CL77" i="82" s="1"/>
  <c r="CL78" i="82" s="1"/>
  <c r="CL79" i="82" s="1"/>
  <c r="CL80" i="82" s="1"/>
  <c r="CL81" i="82" s="1"/>
  <c r="CL82" i="82" s="1"/>
  <c r="CL83" i="82" s="1"/>
  <c r="CL84" i="82" s="1"/>
  <c r="CL85" i="82" s="1"/>
  <c r="CL86" i="82" s="1"/>
  <c r="CL87" i="82" s="1"/>
  <c r="CL88" i="82" s="1"/>
  <c r="CL89" i="82" s="1"/>
  <c r="CL90" i="82" s="1"/>
  <c r="CL91" i="82" s="1"/>
  <c r="CL92" i="82" s="1"/>
  <c r="CL93" i="82" s="1"/>
  <c r="CL94" i="82" s="1"/>
  <c r="CL95" i="82" s="1"/>
  <c r="CL96" i="82" s="1"/>
  <c r="CL97" i="82" s="1"/>
  <c r="CL98" i="82" s="1"/>
  <c r="CL99" i="82" s="1"/>
  <c r="CL100" i="82" s="1"/>
  <c r="CL101" i="82" s="1"/>
  <c r="CL102" i="82" s="1"/>
  <c r="CL103" i="82" s="1"/>
  <c r="CL104" i="82" s="1"/>
  <c r="CL105" i="82" s="1"/>
  <c r="CL106" i="82" s="1"/>
  <c r="CL107" i="82" s="1"/>
  <c r="CL108" i="82" s="1"/>
  <c r="CL109" i="82" s="1"/>
  <c r="CL110" i="82" s="1"/>
  <c r="CL111" i="82" s="1"/>
  <c r="CL112" i="82" s="1"/>
  <c r="CL113" i="82" s="1"/>
  <c r="CL114" i="82" s="1"/>
  <c r="CL115" i="82" s="1"/>
  <c r="CL116" i="82" s="1"/>
  <c r="CL117" i="82" s="1"/>
  <c r="CL118" i="82" s="1"/>
  <c r="CL119" i="82" s="1"/>
  <c r="CL120" i="82" s="1"/>
  <c r="CL121" i="82" s="1"/>
  <c r="CL122" i="82" s="1"/>
  <c r="CL123" i="82" s="1"/>
  <c r="CL124" i="82" s="1"/>
  <c r="CL125" i="82" s="1"/>
  <c r="CL126" i="82" s="1"/>
  <c r="CL127" i="82" s="1"/>
  <c r="CL128" i="82" s="1"/>
  <c r="CL129" i="82" s="1"/>
  <c r="CL130" i="82" s="1"/>
  <c r="CL131" i="82" s="1"/>
  <c r="CL132" i="82" s="1"/>
  <c r="CL133" i="82" s="1"/>
  <c r="CL134" i="82" s="1"/>
  <c r="CL135" i="82" s="1"/>
  <c r="CL136" i="82" s="1"/>
  <c r="CL137" i="82" s="1"/>
  <c r="CL138" i="82" s="1"/>
  <c r="CL139" i="82" s="1"/>
  <c r="CL140" i="82" s="1"/>
  <c r="CL141" i="82" s="1"/>
  <c r="CL142" i="82" s="1"/>
  <c r="CL143" i="82" s="1"/>
  <c r="CL144" i="82" s="1"/>
  <c r="CL145" i="82" s="1"/>
  <c r="CL146" i="82" s="1"/>
  <c r="CL147" i="82" s="1"/>
  <c r="CL148" i="82" s="1"/>
  <c r="CL149" i="82" s="1"/>
  <c r="CL150" i="82" s="1"/>
  <c r="CL151" i="82" s="1"/>
  <c r="CL152" i="82" s="1"/>
  <c r="CL153" i="82" s="1"/>
  <c r="CL154" i="82" s="1"/>
  <c r="CL155" i="82" s="1"/>
  <c r="CL156" i="82" s="1"/>
  <c r="CL157" i="82" s="1"/>
  <c r="CL158" i="82" s="1"/>
  <c r="CL159" i="82" s="1"/>
  <c r="CL160" i="82" s="1"/>
  <c r="CL161" i="82" s="1"/>
  <c r="CL162" i="82" s="1"/>
  <c r="CL163" i="82" s="1"/>
  <c r="CL164" i="82" s="1"/>
  <c r="CL165" i="82" s="1"/>
  <c r="CL166" i="82" s="1"/>
  <c r="CL167" i="82" s="1"/>
  <c r="CL168" i="82" s="1"/>
  <c r="CL169" i="82" s="1"/>
  <c r="CL170" i="82" s="1"/>
  <c r="CL171" i="82" s="1"/>
  <c r="CL172" i="82" s="1"/>
  <c r="CL173" i="82" s="1"/>
  <c r="CL174" i="82" s="1"/>
  <c r="CL175" i="82" s="1"/>
  <c r="CL176" i="82" s="1"/>
  <c r="CL177" i="82" s="1"/>
  <c r="CL178" i="82" s="1"/>
  <c r="CL179" i="82" s="1"/>
  <c r="CL180" i="82" s="1"/>
  <c r="CL181" i="82" s="1"/>
  <c r="CL182" i="82" s="1"/>
  <c r="CL183" i="82" s="1"/>
  <c r="CL184" i="82" s="1"/>
  <c r="CL185" i="82" s="1"/>
  <c r="CL186" i="82" s="1"/>
  <c r="CL187" i="82" s="1"/>
  <c r="CL188" i="82" s="1"/>
  <c r="CL189" i="82" s="1"/>
  <c r="CL190" i="82" s="1"/>
  <c r="CL191" i="82" s="1"/>
  <c r="CL192" i="82" s="1"/>
  <c r="CL193" i="82" s="1"/>
  <c r="CL194" i="82" s="1"/>
  <c r="CL195" i="82" s="1"/>
  <c r="CL196" i="82" s="1"/>
  <c r="CL197" i="82" s="1"/>
  <c r="CL198" i="82" s="1"/>
  <c r="CL199" i="82" s="1"/>
  <c r="CL200" i="82" s="1"/>
  <c r="CL201" i="82" s="1"/>
  <c r="CL202" i="82" s="1"/>
  <c r="CL203" i="82" s="1"/>
  <c r="CL204" i="82" s="1"/>
  <c r="CL205" i="82" s="1"/>
  <c r="CL206" i="82" s="1"/>
  <c r="CL207" i="82" s="1"/>
  <c r="CL208" i="82" s="1"/>
  <c r="CL209" i="82" s="1"/>
  <c r="CL210" i="82" s="1"/>
  <c r="CL211" i="82" s="1"/>
  <c r="CL212" i="82" s="1"/>
  <c r="CL213" i="82" s="1"/>
  <c r="CL214" i="82" s="1"/>
  <c r="CL215" i="82" s="1"/>
  <c r="CL216" i="82" s="1"/>
  <c r="CL217" i="82" s="1"/>
  <c r="CL218" i="82" s="1"/>
  <c r="CL219" i="82" s="1"/>
  <c r="CL220" i="82" s="1"/>
  <c r="CL221" i="82" s="1"/>
  <c r="CL222" i="82" s="1"/>
  <c r="CL223" i="82" s="1"/>
  <c r="CL224" i="82" s="1"/>
  <c r="CL225" i="82" s="1"/>
  <c r="CL226" i="82" s="1"/>
  <c r="CB11" i="82"/>
  <c r="CB12" i="82" l="1"/>
  <c r="CB13" i="82" s="1"/>
  <c r="CB14" i="82" s="1"/>
  <c r="CB15" i="82" s="1"/>
  <c r="CB16" i="82" s="1"/>
  <c r="CB17" i="82" s="1"/>
  <c r="CB18" i="82" s="1"/>
  <c r="CB19" i="82" s="1"/>
  <c r="CB20" i="82" s="1"/>
  <c r="CB21" i="82" s="1"/>
  <c r="CB22" i="82" s="1"/>
  <c r="CB23" i="82" s="1"/>
  <c r="CB24" i="82" s="1"/>
  <c r="CB25" i="82" s="1"/>
  <c r="CB26" i="82" s="1"/>
  <c r="CB27" i="82" s="1"/>
  <c r="CB28" i="82" s="1"/>
  <c r="CB29" i="82" s="1"/>
  <c r="CB30" i="82" s="1"/>
  <c r="CB31" i="82" s="1"/>
  <c r="CB32" i="82" s="1"/>
  <c r="CB33" i="82" s="1"/>
  <c r="CB34" i="82" s="1"/>
  <c r="CB35" i="82" s="1"/>
  <c r="CB36" i="82" s="1"/>
  <c r="CB37" i="82" s="1"/>
  <c r="CB38" i="82" s="1"/>
  <c r="CB39" i="82" s="1"/>
  <c r="CB40" i="82" s="1"/>
  <c r="CB41" i="82" s="1"/>
  <c r="CB42" i="82" s="1"/>
  <c r="CB43" i="82" s="1"/>
  <c r="CB44" i="82" s="1"/>
  <c r="CB45" i="82" s="1"/>
  <c r="CB46" i="82" s="1"/>
  <c r="CB47" i="82" s="1"/>
  <c r="CB48" i="82" s="1"/>
  <c r="CB49" i="82" s="1"/>
  <c r="CB50" i="82" s="1"/>
  <c r="CB51" i="82" s="1"/>
  <c r="CB52" i="82" s="1"/>
  <c r="CB53" i="82" s="1"/>
  <c r="CB54" i="82" s="1"/>
  <c r="CB55" i="82" s="1"/>
  <c r="CB56" i="82" s="1"/>
  <c r="CB57" i="82" s="1"/>
  <c r="CB58" i="82" s="1"/>
  <c r="CB59" i="82" s="1"/>
  <c r="CB60" i="82" s="1"/>
  <c r="CB61" i="82" s="1"/>
  <c r="CB62" i="82" s="1"/>
  <c r="CB63" i="82" s="1"/>
  <c r="CB64" i="82" s="1"/>
  <c r="CB65" i="82" s="1"/>
  <c r="CB66" i="82" s="1"/>
  <c r="CB67" i="82" s="1"/>
  <c r="CB68" i="82" s="1"/>
  <c r="CB69" i="82" s="1"/>
  <c r="CB70" i="82" s="1"/>
  <c r="CB71" i="82" s="1"/>
  <c r="CB72" i="82" s="1"/>
  <c r="CB73" i="82" s="1"/>
  <c r="CB74" i="82" s="1"/>
  <c r="CB75" i="82" s="1"/>
  <c r="CB76" i="82" s="1"/>
  <c r="CB77" i="82" s="1"/>
  <c r="CB78" i="82" s="1"/>
  <c r="CB79" i="82" s="1"/>
  <c r="CB80" i="82" s="1"/>
  <c r="CB81" i="82" s="1"/>
  <c r="CB82" i="82" s="1"/>
  <c r="CB83" i="82" s="1"/>
  <c r="CB84" i="82" s="1"/>
  <c r="CB85" i="82" s="1"/>
  <c r="CB86" i="82" s="1"/>
  <c r="CB87" i="82" s="1"/>
  <c r="CB88" i="82" s="1"/>
  <c r="CB89" i="82" s="1"/>
  <c r="CB90" i="82" s="1"/>
  <c r="CB91" i="82" s="1"/>
  <c r="CB92" i="82" s="1"/>
  <c r="CB93" i="82" s="1"/>
  <c r="CB94" i="82" s="1"/>
  <c r="CB95" i="82" s="1"/>
  <c r="CB96" i="82" s="1"/>
  <c r="CB97" i="82" s="1"/>
  <c r="CB98" i="82" s="1"/>
  <c r="CB99" i="82" s="1"/>
  <c r="CB100" i="82" s="1"/>
  <c r="CB101" i="82" s="1"/>
  <c r="CB102" i="82" s="1"/>
  <c r="CB103" i="82" s="1"/>
  <c r="CB104" i="82" s="1"/>
  <c r="CB105" i="82" s="1"/>
  <c r="CB106" i="82" s="1"/>
  <c r="CB107" i="82" s="1"/>
  <c r="CB108" i="82" s="1"/>
  <c r="CB109" i="82" s="1"/>
  <c r="CB110" i="82" s="1"/>
  <c r="CB111" i="82" s="1"/>
  <c r="CB112" i="82" s="1"/>
  <c r="CB113" i="82" s="1"/>
  <c r="CB114" i="82" s="1"/>
  <c r="CB115" i="82" s="1"/>
  <c r="CB116" i="82" s="1"/>
  <c r="CB117" i="82" s="1"/>
  <c r="CB118" i="82" s="1"/>
  <c r="CB119" i="82" s="1"/>
  <c r="CB120" i="82" s="1"/>
  <c r="CB121" i="82" s="1"/>
  <c r="CB122" i="82" s="1"/>
  <c r="CB123" i="82" s="1"/>
  <c r="CB124" i="82" s="1"/>
  <c r="CB125" i="82" s="1"/>
  <c r="CB126" i="82" s="1"/>
  <c r="CB127" i="82" s="1"/>
  <c r="CB128" i="82" s="1"/>
  <c r="CB129" i="82" s="1"/>
  <c r="CB130" i="82" s="1"/>
  <c r="CB131" i="82" s="1"/>
  <c r="CB132" i="82" s="1"/>
  <c r="CB133" i="82" s="1"/>
  <c r="CB134" i="82" s="1"/>
  <c r="CB135" i="82" s="1"/>
  <c r="CB136" i="82" s="1"/>
  <c r="CB137" i="82" s="1"/>
  <c r="CB138" i="82" s="1"/>
  <c r="CB139" i="82" s="1"/>
  <c r="CB140" i="82" s="1"/>
  <c r="CB141" i="82" s="1"/>
  <c r="CB142" i="82" s="1"/>
  <c r="CB143" i="82" s="1"/>
  <c r="CB144" i="82" s="1"/>
  <c r="CB145" i="82" s="1"/>
  <c r="CB146" i="82" s="1"/>
  <c r="CB147" i="82" s="1"/>
  <c r="CB148" i="82" s="1"/>
  <c r="CB149" i="82" s="1"/>
  <c r="CB150" i="82" s="1"/>
  <c r="CB151" i="82" s="1"/>
  <c r="CB152" i="82" s="1"/>
  <c r="CB153" i="82" s="1"/>
  <c r="CB154" i="82" s="1"/>
  <c r="CB155" i="82" s="1"/>
  <c r="CB156" i="82" s="1"/>
  <c r="CB157" i="82" s="1"/>
  <c r="CB158" i="82" s="1"/>
  <c r="CB159" i="82" s="1"/>
  <c r="CB160" i="82" s="1"/>
  <c r="CB161" i="82" s="1"/>
  <c r="CB162" i="82" s="1"/>
  <c r="CB163" i="82" s="1"/>
  <c r="CB164" i="82" s="1"/>
  <c r="CB165" i="82" s="1"/>
  <c r="CB166" i="82" s="1"/>
  <c r="CB167" i="82" s="1"/>
  <c r="CB168" i="82" s="1"/>
  <c r="CB169" i="82" s="1"/>
  <c r="CB170" i="82" s="1"/>
  <c r="CB171" i="82" s="1"/>
  <c r="CB172" i="82" s="1"/>
  <c r="CB173" i="82" s="1"/>
  <c r="CB174" i="82" s="1"/>
  <c r="CB175" i="82" s="1"/>
  <c r="CB176" i="82" s="1"/>
  <c r="CB177" i="82" s="1"/>
  <c r="CB178" i="82" s="1"/>
  <c r="CB179" i="82" s="1"/>
  <c r="CB180" i="82" s="1"/>
  <c r="CB181" i="82" s="1"/>
  <c r="CB182" i="82" s="1"/>
  <c r="CB183" i="82" s="1"/>
  <c r="CB184" i="82" s="1"/>
  <c r="CB185" i="82" s="1"/>
  <c r="CB186" i="82" s="1"/>
  <c r="CB187" i="82" s="1"/>
  <c r="CB188" i="82" s="1"/>
  <c r="CB189" i="82" s="1"/>
  <c r="CB190" i="82" s="1"/>
  <c r="CB191" i="82" s="1"/>
  <c r="CB192" i="82" s="1"/>
  <c r="CB193" i="82" s="1"/>
  <c r="CB194" i="82" s="1"/>
  <c r="CB195" i="82" s="1"/>
  <c r="CB196" i="82" s="1"/>
  <c r="CB197" i="82" s="1"/>
  <c r="CB198" i="82" s="1"/>
  <c r="CB199" i="82" s="1"/>
  <c r="CB200" i="82" s="1"/>
  <c r="CB201" i="82" s="1"/>
  <c r="CB202" i="82" s="1"/>
  <c r="CB203" i="82" s="1"/>
  <c r="CB204" i="82" s="1"/>
  <c r="CB205" i="82" s="1"/>
  <c r="CB206" i="82" s="1"/>
  <c r="CB207" i="82" s="1"/>
  <c r="CB208" i="82" s="1"/>
  <c r="CB209" i="82" s="1"/>
  <c r="CB210" i="82" s="1"/>
  <c r="CB211" i="82" s="1"/>
  <c r="CB212" i="82" s="1"/>
  <c r="CB213" i="82" s="1"/>
  <c r="CB214" i="82" s="1"/>
  <c r="CB215" i="82" s="1"/>
  <c r="CB216" i="82" s="1"/>
  <c r="CB217" i="82" s="1"/>
  <c r="CB218" i="82" s="1"/>
  <c r="CB219" i="82" s="1"/>
  <c r="CB220" i="82" s="1"/>
  <c r="CB221" i="82" s="1"/>
  <c r="CB222" i="82" s="1"/>
  <c r="CB223" i="82" s="1"/>
  <c r="CB224" i="82" s="1"/>
  <c r="CB225" i="82" s="1"/>
  <c r="CB226" i="82" s="1"/>
  <c r="CB5" i="82"/>
  <c r="CD11" i="82"/>
  <c r="CN11" i="82" s="1"/>
  <c r="DG11" i="30"/>
  <c r="BY11" i="30"/>
  <c r="BY5" i="30" s="1"/>
  <c r="BY3" i="30" s="1"/>
  <c r="DG5" i="30" l="1"/>
  <c r="DK11" i="30"/>
  <c r="DK5" i="30" s="1"/>
  <c r="DJ11" i="30"/>
  <c r="DJ5" i="30" s="1"/>
  <c r="DE11" i="82"/>
  <c r="DE12" i="82" s="1"/>
  <c r="DE13" i="82" s="1"/>
  <c r="DE14" i="82" s="1"/>
  <c r="DE15" i="82" s="1"/>
  <c r="DE16" i="82" s="1"/>
  <c r="DE17" i="82" s="1"/>
  <c r="DE18" i="82" s="1"/>
  <c r="DE19" i="82" s="1"/>
  <c r="DE20" i="82" s="1"/>
  <c r="DE21" i="82" s="1"/>
  <c r="DE22" i="82" s="1"/>
  <c r="DE23" i="82" s="1"/>
  <c r="DE24" i="82" s="1"/>
  <c r="DE25" i="82" s="1"/>
  <c r="DE26" i="82" s="1"/>
  <c r="DE27" i="82" s="1"/>
  <c r="DE28" i="82" s="1"/>
  <c r="DE29" i="82" s="1"/>
  <c r="DE30" i="82" s="1"/>
  <c r="DE31" i="82" s="1"/>
  <c r="DE32" i="82" s="1"/>
  <c r="DE33" i="82" s="1"/>
  <c r="DE34" i="82" s="1"/>
  <c r="DE35" i="82" s="1"/>
  <c r="DE36" i="82" s="1"/>
  <c r="DE37" i="82" s="1"/>
  <c r="DE38" i="82" s="1"/>
  <c r="DE39" i="82" s="1"/>
  <c r="DE40" i="82" s="1"/>
  <c r="DE41" i="82" s="1"/>
  <c r="DE42" i="82" s="1"/>
  <c r="DE43" i="82" s="1"/>
  <c r="DE44" i="82" s="1"/>
  <c r="DE45" i="82" s="1"/>
  <c r="DE46" i="82" s="1"/>
  <c r="DE47" i="82" s="1"/>
  <c r="DE48" i="82" s="1"/>
  <c r="DE49" i="82" s="1"/>
  <c r="DE50" i="82" s="1"/>
  <c r="DE51" i="82" s="1"/>
  <c r="DE52" i="82" s="1"/>
  <c r="DE53" i="82" s="1"/>
  <c r="DE54" i="82" s="1"/>
  <c r="DE55" i="82" s="1"/>
  <c r="DE56" i="82" s="1"/>
  <c r="DE57" i="82" s="1"/>
  <c r="DE58" i="82" s="1"/>
  <c r="DE59" i="82" s="1"/>
  <c r="DE60" i="82" s="1"/>
  <c r="DE61" i="82" s="1"/>
  <c r="DE62" i="82" s="1"/>
  <c r="DE63" i="82" s="1"/>
  <c r="DE64" i="82" s="1"/>
  <c r="DE65" i="82" s="1"/>
  <c r="DE66" i="82" s="1"/>
  <c r="DE67" i="82" s="1"/>
  <c r="DE68" i="82" s="1"/>
  <c r="DE69" i="82" s="1"/>
  <c r="DE70" i="82" s="1"/>
  <c r="DE71" i="82" s="1"/>
  <c r="DE72" i="82" s="1"/>
  <c r="DE73" i="82" s="1"/>
  <c r="DE74" i="82" s="1"/>
  <c r="DE75" i="82" s="1"/>
  <c r="DE76" i="82" s="1"/>
  <c r="DE77" i="82" s="1"/>
  <c r="DE78" i="82" s="1"/>
  <c r="DE79" i="82" s="1"/>
  <c r="DE80" i="82" s="1"/>
  <c r="DE81" i="82" s="1"/>
  <c r="DE82" i="82" s="1"/>
  <c r="DE83" i="82" s="1"/>
  <c r="DE84" i="82" s="1"/>
  <c r="DE85" i="82" s="1"/>
  <c r="DE86" i="82" s="1"/>
  <c r="DE87" i="82" s="1"/>
  <c r="DE88" i="82" s="1"/>
  <c r="DE89" i="82" s="1"/>
  <c r="DE90" i="82" s="1"/>
  <c r="DE91" i="82" s="1"/>
  <c r="DE92" i="82" s="1"/>
  <c r="DE93" i="82" s="1"/>
  <c r="DE94" i="82" s="1"/>
  <c r="DE95" i="82" s="1"/>
  <c r="DE96" i="82" s="1"/>
  <c r="DE97" i="82" s="1"/>
  <c r="DE98" i="82" s="1"/>
  <c r="DE99" i="82" s="1"/>
  <c r="DE100" i="82" s="1"/>
  <c r="DE101" i="82" s="1"/>
  <c r="DE102" i="82" s="1"/>
  <c r="DE103" i="82" s="1"/>
  <c r="DE104" i="82" s="1"/>
  <c r="DE105" i="82" s="1"/>
  <c r="DE106" i="82" s="1"/>
  <c r="DE107" i="82" s="1"/>
  <c r="DE108" i="82" s="1"/>
  <c r="DE109" i="82" s="1"/>
  <c r="DE110" i="82" s="1"/>
  <c r="DE111" i="82" s="1"/>
  <c r="DE112" i="82" s="1"/>
  <c r="DE113" i="82" s="1"/>
  <c r="DE114" i="82" s="1"/>
  <c r="DE115" i="82" s="1"/>
  <c r="DE116" i="82" s="1"/>
  <c r="DE117" i="82" s="1"/>
  <c r="DE118" i="82" s="1"/>
  <c r="DE119" i="82" s="1"/>
  <c r="DE120" i="82" s="1"/>
  <c r="DE121" i="82" s="1"/>
  <c r="DE122" i="82" s="1"/>
  <c r="DE123" i="82" s="1"/>
  <c r="DE124" i="82" s="1"/>
  <c r="DE125" i="82" s="1"/>
  <c r="DE126" i="82" s="1"/>
  <c r="DE127" i="82" s="1"/>
  <c r="DE128" i="82" s="1"/>
  <c r="DE129" i="82" s="1"/>
  <c r="DE130" i="82" s="1"/>
  <c r="DE131" i="82" s="1"/>
  <c r="DE132" i="82" s="1"/>
  <c r="DE133" i="82" s="1"/>
  <c r="DE134" i="82" s="1"/>
  <c r="DE135" i="82" s="1"/>
  <c r="DE136" i="82" s="1"/>
  <c r="DE137" i="82" s="1"/>
  <c r="DE138" i="82" s="1"/>
  <c r="DE139" i="82" s="1"/>
  <c r="DE140" i="82" s="1"/>
  <c r="DE141" i="82" s="1"/>
  <c r="DE142" i="82" s="1"/>
  <c r="DE143" i="82" s="1"/>
  <c r="DE144" i="82" s="1"/>
  <c r="DE145" i="82" s="1"/>
  <c r="DE146" i="82" s="1"/>
  <c r="DE147" i="82" s="1"/>
  <c r="DE148" i="82" s="1"/>
  <c r="DE149" i="82" s="1"/>
  <c r="DE150" i="82" s="1"/>
  <c r="DE151" i="82" s="1"/>
  <c r="DE152" i="82" s="1"/>
  <c r="DE153" i="82" s="1"/>
  <c r="DE154" i="82" s="1"/>
  <c r="DE155" i="82" s="1"/>
  <c r="DE156" i="82" s="1"/>
  <c r="DE157" i="82" s="1"/>
  <c r="DE158" i="82" s="1"/>
  <c r="DE159" i="82" s="1"/>
  <c r="DE160" i="82" s="1"/>
  <c r="DE161" i="82" s="1"/>
  <c r="DE162" i="82" s="1"/>
  <c r="DE163" i="82" s="1"/>
  <c r="DE164" i="82" s="1"/>
  <c r="DE165" i="82" s="1"/>
  <c r="DE166" i="82" s="1"/>
  <c r="DE167" i="82" s="1"/>
  <c r="DE168" i="82" s="1"/>
  <c r="DE169" i="82" s="1"/>
  <c r="DE170" i="82" s="1"/>
  <c r="DE171" i="82" s="1"/>
  <c r="DE172" i="82" s="1"/>
  <c r="DE173" i="82" s="1"/>
  <c r="DE174" i="82" s="1"/>
  <c r="DE175" i="82" s="1"/>
  <c r="DE176" i="82" s="1"/>
  <c r="DE177" i="82" s="1"/>
  <c r="DE178" i="82" s="1"/>
  <c r="DE179" i="82" s="1"/>
  <c r="DE180" i="82" s="1"/>
  <c r="DE181" i="82" s="1"/>
  <c r="DE182" i="82" s="1"/>
  <c r="DE183" i="82" s="1"/>
  <c r="DE184" i="82" s="1"/>
  <c r="DE185" i="82" s="1"/>
  <c r="DE186" i="82" s="1"/>
  <c r="DE187" i="82" s="1"/>
  <c r="DE188" i="82" s="1"/>
  <c r="DE189" i="82" s="1"/>
  <c r="DE190" i="82" s="1"/>
  <c r="DE191" i="82" s="1"/>
  <c r="DE192" i="82" s="1"/>
  <c r="DE193" i="82" s="1"/>
  <c r="DE194" i="82" s="1"/>
  <c r="DE195" i="82" s="1"/>
  <c r="DE196" i="82" s="1"/>
  <c r="DE197" i="82" s="1"/>
  <c r="DE198" i="82" s="1"/>
  <c r="DE199" i="82" s="1"/>
  <c r="DE200" i="82" s="1"/>
  <c r="DE201" i="82" s="1"/>
  <c r="DE202" i="82" s="1"/>
  <c r="DE203" i="82" s="1"/>
  <c r="DE204" i="82" s="1"/>
  <c r="DE205" i="82" s="1"/>
  <c r="DE206" i="82" s="1"/>
  <c r="DE207" i="82" s="1"/>
  <c r="DE208" i="82" s="1"/>
  <c r="DE209" i="82" s="1"/>
  <c r="DE210" i="82" s="1"/>
  <c r="DE211" i="82" s="1"/>
  <c r="DE212" i="82" s="1"/>
  <c r="DE213" i="82" s="1"/>
  <c r="DE214" i="82" s="1"/>
  <c r="DE215" i="82" s="1"/>
  <c r="DE216" i="82" s="1"/>
  <c r="DE217" i="82" s="1"/>
  <c r="DE218" i="82" s="1"/>
  <c r="DE219" i="82" s="1"/>
  <c r="DE220" i="82" s="1"/>
  <c r="DE221" i="82" s="1"/>
  <c r="DE222" i="82" s="1"/>
  <c r="DE223" i="82" s="1"/>
  <c r="DE224" i="82" s="1"/>
  <c r="DE225" i="82" s="1"/>
  <c r="DE226" i="82" s="1"/>
  <c r="CF11" i="82"/>
  <c r="AQ11" i="82" s="1"/>
  <c r="CN12" i="82"/>
  <c r="CN13" i="82" s="1"/>
  <c r="CN14" i="82" s="1"/>
  <c r="CN15" i="82" s="1"/>
  <c r="CN16" i="82" s="1"/>
  <c r="CN17" i="82" s="1"/>
  <c r="CN18" i="82" s="1"/>
  <c r="CN19" i="82" s="1"/>
  <c r="CN20" i="82" s="1"/>
  <c r="CN21" i="82" s="1"/>
  <c r="CN22" i="82" s="1"/>
  <c r="CN23" i="82" s="1"/>
  <c r="CN24" i="82" s="1"/>
  <c r="CN25" i="82" s="1"/>
  <c r="CN26" i="82" s="1"/>
  <c r="CN27" i="82" s="1"/>
  <c r="CN28" i="82" s="1"/>
  <c r="CN29" i="82" s="1"/>
  <c r="CN30" i="82" s="1"/>
  <c r="CN31" i="82" s="1"/>
  <c r="CN32" i="82" s="1"/>
  <c r="CN33" i="82" s="1"/>
  <c r="CN34" i="82" s="1"/>
  <c r="CN35" i="82" s="1"/>
  <c r="CN36" i="82" s="1"/>
  <c r="CN37" i="82" s="1"/>
  <c r="CN38" i="82" s="1"/>
  <c r="CN39" i="82" s="1"/>
  <c r="CN40" i="82" s="1"/>
  <c r="CN41" i="82" s="1"/>
  <c r="CN42" i="82" s="1"/>
  <c r="CN43" i="82" s="1"/>
  <c r="CN44" i="82" s="1"/>
  <c r="CN45" i="82" s="1"/>
  <c r="CN46" i="82" s="1"/>
  <c r="CN47" i="82" s="1"/>
  <c r="CN48" i="82" s="1"/>
  <c r="CN49" i="82" s="1"/>
  <c r="CN50" i="82" s="1"/>
  <c r="CN51" i="82" s="1"/>
  <c r="CN52" i="82" s="1"/>
  <c r="CN53" i="82" s="1"/>
  <c r="CN54" i="82" s="1"/>
  <c r="CN55" i="82" s="1"/>
  <c r="CN56" i="82" s="1"/>
  <c r="CN57" i="82" s="1"/>
  <c r="CN58" i="82" s="1"/>
  <c r="CN59" i="82" s="1"/>
  <c r="CN60" i="82" s="1"/>
  <c r="CN61" i="82" s="1"/>
  <c r="CN62" i="82" s="1"/>
  <c r="CN63" i="82" s="1"/>
  <c r="CN64" i="82" s="1"/>
  <c r="CN65" i="82" s="1"/>
  <c r="CN66" i="82" s="1"/>
  <c r="CN67" i="82" s="1"/>
  <c r="CN68" i="82" s="1"/>
  <c r="CN69" i="82" s="1"/>
  <c r="CN70" i="82" s="1"/>
  <c r="CN71" i="82" s="1"/>
  <c r="CN72" i="82" s="1"/>
  <c r="CN73" i="82" s="1"/>
  <c r="CN74" i="82" s="1"/>
  <c r="CN75" i="82" s="1"/>
  <c r="CN76" i="82" s="1"/>
  <c r="CN77" i="82" s="1"/>
  <c r="CN78" i="82" s="1"/>
  <c r="CN79" i="82" s="1"/>
  <c r="CN80" i="82" s="1"/>
  <c r="CN81" i="82" s="1"/>
  <c r="CN82" i="82" s="1"/>
  <c r="CN83" i="82" s="1"/>
  <c r="CN84" i="82" s="1"/>
  <c r="CN85" i="82" s="1"/>
  <c r="CN86" i="82" s="1"/>
  <c r="CN87" i="82" s="1"/>
  <c r="CN88" i="82" s="1"/>
  <c r="CN89" i="82" s="1"/>
  <c r="CN90" i="82" s="1"/>
  <c r="CN91" i="82" s="1"/>
  <c r="CN92" i="82" s="1"/>
  <c r="CN93" i="82" s="1"/>
  <c r="CN94" i="82" s="1"/>
  <c r="CN95" i="82" s="1"/>
  <c r="CN96" i="82" s="1"/>
  <c r="CN97" i="82" s="1"/>
  <c r="CN98" i="82" s="1"/>
  <c r="CN99" i="82" s="1"/>
  <c r="CN100" i="82" s="1"/>
  <c r="CN101" i="82" s="1"/>
  <c r="CN102" i="82" s="1"/>
  <c r="CN103" i="82" s="1"/>
  <c r="CN104" i="82" s="1"/>
  <c r="CN105" i="82" s="1"/>
  <c r="CN106" i="82" s="1"/>
  <c r="CN107" i="82" s="1"/>
  <c r="CN108" i="82" s="1"/>
  <c r="CN109" i="82" s="1"/>
  <c r="CN110" i="82" s="1"/>
  <c r="CN111" i="82" s="1"/>
  <c r="CN112" i="82" s="1"/>
  <c r="CN113" i="82" s="1"/>
  <c r="CN114" i="82" s="1"/>
  <c r="CN115" i="82" s="1"/>
  <c r="CN116" i="82" s="1"/>
  <c r="CN117" i="82" s="1"/>
  <c r="CN118" i="82" s="1"/>
  <c r="CN119" i="82" s="1"/>
  <c r="CN120" i="82" s="1"/>
  <c r="CN121" i="82" s="1"/>
  <c r="CN122" i="82" s="1"/>
  <c r="CN123" i="82" s="1"/>
  <c r="CN124" i="82" s="1"/>
  <c r="CN125" i="82" s="1"/>
  <c r="CN126" i="82" s="1"/>
  <c r="CN127" i="82" s="1"/>
  <c r="CN128" i="82" s="1"/>
  <c r="CN129" i="82" s="1"/>
  <c r="CN130" i="82" s="1"/>
  <c r="CN131" i="82" s="1"/>
  <c r="CN132" i="82" s="1"/>
  <c r="CN133" i="82" s="1"/>
  <c r="CN134" i="82" s="1"/>
  <c r="CN135" i="82" s="1"/>
  <c r="CN136" i="82" s="1"/>
  <c r="CN137" i="82" s="1"/>
  <c r="CN138" i="82" s="1"/>
  <c r="CN139" i="82" s="1"/>
  <c r="CN140" i="82" s="1"/>
  <c r="CN141" i="82" s="1"/>
  <c r="CN142" i="82" s="1"/>
  <c r="CN143" i="82" s="1"/>
  <c r="CN144" i="82" s="1"/>
  <c r="CN145" i="82" s="1"/>
  <c r="CN146" i="82" s="1"/>
  <c r="CN147" i="82" s="1"/>
  <c r="CN148" i="82" s="1"/>
  <c r="CN149" i="82" s="1"/>
  <c r="CN150" i="82" s="1"/>
  <c r="CN151" i="82" s="1"/>
  <c r="CN152" i="82" s="1"/>
  <c r="CN153" i="82" s="1"/>
  <c r="CN154" i="82" s="1"/>
  <c r="CN155" i="82" s="1"/>
  <c r="CN156" i="82" s="1"/>
  <c r="CN157" i="82" s="1"/>
  <c r="CN158" i="82" s="1"/>
  <c r="CN159" i="82" s="1"/>
  <c r="CN160" i="82" s="1"/>
  <c r="CN161" i="82" s="1"/>
  <c r="CN162" i="82" s="1"/>
  <c r="CN163" i="82" s="1"/>
  <c r="CN164" i="82" s="1"/>
  <c r="CN165" i="82" s="1"/>
  <c r="CN166" i="82" s="1"/>
  <c r="CN167" i="82" s="1"/>
  <c r="CN168" i="82" s="1"/>
  <c r="CN169" i="82" s="1"/>
  <c r="CN170" i="82" s="1"/>
  <c r="CN171" i="82" s="1"/>
  <c r="CN172" i="82" s="1"/>
  <c r="CN173" i="82" s="1"/>
  <c r="CN174" i="82" s="1"/>
  <c r="CN175" i="82" s="1"/>
  <c r="CN176" i="82" s="1"/>
  <c r="CN177" i="82" s="1"/>
  <c r="CN178" i="82" s="1"/>
  <c r="CN179" i="82" s="1"/>
  <c r="CN180" i="82" s="1"/>
  <c r="CN181" i="82" s="1"/>
  <c r="CN182" i="82" s="1"/>
  <c r="CN183" i="82" s="1"/>
  <c r="CN184" i="82" s="1"/>
  <c r="CN185" i="82" s="1"/>
  <c r="CN186" i="82" s="1"/>
  <c r="CN187" i="82" s="1"/>
  <c r="CN188" i="82" s="1"/>
  <c r="CN189" i="82" s="1"/>
  <c r="CN190" i="82" s="1"/>
  <c r="CN191" i="82" s="1"/>
  <c r="CN192" i="82" s="1"/>
  <c r="CN193" i="82" s="1"/>
  <c r="CN194" i="82" s="1"/>
  <c r="CN195" i="82" s="1"/>
  <c r="CN196" i="82" s="1"/>
  <c r="CN197" i="82" s="1"/>
  <c r="CN198" i="82" s="1"/>
  <c r="CN199" i="82" s="1"/>
  <c r="CN200" i="82" s="1"/>
  <c r="CN201" i="82" s="1"/>
  <c r="CN202" i="82" s="1"/>
  <c r="CN203" i="82" s="1"/>
  <c r="CN204" i="82" s="1"/>
  <c r="CN205" i="82" s="1"/>
  <c r="CN206" i="82" s="1"/>
  <c r="CN207" i="82" s="1"/>
  <c r="CN208" i="82" s="1"/>
  <c r="CN209" i="82" s="1"/>
  <c r="CN210" i="82" s="1"/>
  <c r="CN211" i="82" s="1"/>
  <c r="CN212" i="82" s="1"/>
  <c r="CN213" i="82" s="1"/>
  <c r="CN214" i="82" s="1"/>
  <c r="CN215" i="82" s="1"/>
  <c r="CN216" i="82" s="1"/>
  <c r="CN217" i="82" s="1"/>
  <c r="CN218" i="82" s="1"/>
  <c r="CN219" i="82" s="1"/>
  <c r="CN220" i="82" s="1"/>
  <c r="CN221" i="82" s="1"/>
  <c r="CN222" i="82" s="1"/>
  <c r="CN223" i="82" s="1"/>
  <c r="CN224" i="82" s="1"/>
  <c r="CN225" i="82" s="1"/>
  <c r="CN226" i="82" s="1"/>
  <c r="CN5" i="82"/>
  <c r="CD5" i="82"/>
  <c r="CD12" i="82"/>
  <c r="CD13" i="82" s="1"/>
  <c r="CD14" i="82" s="1"/>
  <c r="CD15" i="82" s="1"/>
  <c r="CD16" i="82" s="1"/>
  <c r="CD17" i="82" s="1"/>
  <c r="CD18" i="82" s="1"/>
  <c r="CD19" i="82" s="1"/>
  <c r="CD20" i="82" s="1"/>
  <c r="CD21" i="82" s="1"/>
  <c r="CD22" i="82" s="1"/>
  <c r="CD23" i="82" s="1"/>
  <c r="CD24" i="82" s="1"/>
  <c r="CD25" i="82" s="1"/>
  <c r="CD26" i="82" s="1"/>
  <c r="CD27" i="82" s="1"/>
  <c r="CD28" i="82" s="1"/>
  <c r="CD29" i="82" s="1"/>
  <c r="CD30" i="82" s="1"/>
  <c r="CD31" i="82" s="1"/>
  <c r="CD32" i="82" s="1"/>
  <c r="CD33" i="82" s="1"/>
  <c r="CD34" i="82" s="1"/>
  <c r="CD35" i="82" s="1"/>
  <c r="CD36" i="82" s="1"/>
  <c r="CD37" i="82" s="1"/>
  <c r="CD38" i="82" s="1"/>
  <c r="CD39" i="82" s="1"/>
  <c r="CD40" i="82" s="1"/>
  <c r="CD41" i="82" s="1"/>
  <c r="CD42" i="82" s="1"/>
  <c r="CD43" i="82" s="1"/>
  <c r="CD44" i="82" s="1"/>
  <c r="CD45" i="82" s="1"/>
  <c r="CD46" i="82" s="1"/>
  <c r="CD47" i="82" s="1"/>
  <c r="CD48" i="82" s="1"/>
  <c r="CD49" i="82" s="1"/>
  <c r="CD50" i="82" s="1"/>
  <c r="CD51" i="82" s="1"/>
  <c r="CD52" i="82" s="1"/>
  <c r="CD53" i="82" s="1"/>
  <c r="CD54" i="82" s="1"/>
  <c r="CD55" i="82" s="1"/>
  <c r="CD56" i="82" s="1"/>
  <c r="CD57" i="82" s="1"/>
  <c r="CD58" i="82" s="1"/>
  <c r="CD59" i="82" s="1"/>
  <c r="CD60" i="82" s="1"/>
  <c r="CD61" i="82" s="1"/>
  <c r="CD62" i="82" s="1"/>
  <c r="CD63" i="82" s="1"/>
  <c r="CD64" i="82" s="1"/>
  <c r="CD65" i="82" s="1"/>
  <c r="CD66" i="82" s="1"/>
  <c r="CD67" i="82" s="1"/>
  <c r="CD68" i="82" s="1"/>
  <c r="CD69" i="82" s="1"/>
  <c r="CD70" i="82" s="1"/>
  <c r="CD71" i="82" s="1"/>
  <c r="CD72" i="82" s="1"/>
  <c r="CD73" i="82" s="1"/>
  <c r="CD74" i="82" s="1"/>
  <c r="CD75" i="82" s="1"/>
  <c r="CD76" i="82" s="1"/>
  <c r="CD77" i="82" s="1"/>
  <c r="CD78" i="82" s="1"/>
  <c r="CD79" i="82" s="1"/>
  <c r="CD80" i="82" s="1"/>
  <c r="CD81" i="82" s="1"/>
  <c r="CD82" i="82" s="1"/>
  <c r="CD83" i="82" s="1"/>
  <c r="CD84" i="82" s="1"/>
  <c r="CD85" i="82" s="1"/>
  <c r="CD86" i="82" s="1"/>
  <c r="CD87" i="82" s="1"/>
  <c r="CD88" i="82" s="1"/>
  <c r="CD89" i="82" s="1"/>
  <c r="CD90" i="82" s="1"/>
  <c r="CD91" i="82" s="1"/>
  <c r="CD92" i="82" s="1"/>
  <c r="CD93" i="82" s="1"/>
  <c r="CD94" i="82" s="1"/>
  <c r="CD95" i="82" s="1"/>
  <c r="CD96" i="82" s="1"/>
  <c r="CD97" i="82" s="1"/>
  <c r="CD98" i="82" s="1"/>
  <c r="CD99" i="82" s="1"/>
  <c r="CD100" i="82" s="1"/>
  <c r="CD101" i="82" s="1"/>
  <c r="CD102" i="82" s="1"/>
  <c r="CD103" i="82" s="1"/>
  <c r="CD104" i="82" s="1"/>
  <c r="CD105" i="82" s="1"/>
  <c r="CD106" i="82" s="1"/>
  <c r="CD107" i="82" s="1"/>
  <c r="CD108" i="82" s="1"/>
  <c r="CD109" i="82" s="1"/>
  <c r="CD110" i="82" s="1"/>
  <c r="CD111" i="82" s="1"/>
  <c r="CD112" i="82" s="1"/>
  <c r="CD113" i="82" s="1"/>
  <c r="CD114" i="82" s="1"/>
  <c r="CD115" i="82" s="1"/>
  <c r="CD116" i="82" s="1"/>
  <c r="CD117" i="82" s="1"/>
  <c r="CD118" i="82" s="1"/>
  <c r="CD119" i="82" s="1"/>
  <c r="CD120" i="82" s="1"/>
  <c r="CD121" i="82" s="1"/>
  <c r="CD122" i="82" s="1"/>
  <c r="CD123" i="82" s="1"/>
  <c r="CD124" i="82" s="1"/>
  <c r="CD125" i="82" s="1"/>
  <c r="CD126" i="82" s="1"/>
  <c r="CD127" i="82" s="1"/>
  <c r="CD128" i="82" s="1"/>
  <c r="CD129" i="82" s="1"/>
  <c r="CD130" i="82" s="1"/>
  <c r="CD131" i="82" s="1"/>
  <c r="CD132" i="82" s="1"/>
  <c r="CD133" i="82" s="1"/>
  <c r="CD134" i="82" s="1"/>
  <c r="CD135" i="82" s="1"/>
  <c r="CD136" i="82" s="1"/>
  <c r="CD137" i="82" s="1"/>
  <c r="CD138" i="82" s="1"/>
  <c r="CD139" i="82" s="1"/>
  <c r="CD140" i="82" s="1"/>
  <c r="CD141" i="82" s="1"/>
  <c r="CD142" i="82" s="1"/>
  <c r="CD143" i="82" s="1"/>
  <c r="CD144" i="82" s="1"/>
  <c r="CD145" i="82" s="1"/>
  <c r="CD146" i="82" s="1"/>
  <c r="CD147" i="82" s="1"/>
  <c r="CD148" i="82" s="1"/>
  <c r="CD149" i="82" s="1"/>
  <c r="CD150" i="82" s="1"/>
  <c r="CD151" i="82" s="1"/>
  <c r="CD152" i="82" s="1"/>
  <c r="CD153" i="82" s="1"/>
  <c r="CD154" i="82" s="1"/>
  <c r="CD155" i="82" s="1"/>
  <c r="CD156" i="82" s="1"/>
  <c r="CD157" i="82" s="1"/>
  <c r="CD158" i="82" s="1"/>
  <c r="CD159" i="82" s="1"/>
  <c r="CD160" i="82" s="1"/>
  <c r="CD161" i="82" s="1"/>
  <c r="CD162" i="82" s="1"/>
  <c r="CD163" i="82" s="1"/>
  <c r="CD164" i="82" s="1"/>
  <c r="CD165" i="82" s="1"/>
  <c r="CD166" i="82" s="1"/>
  <c r="CD167" i="82" s="1"/>
  <c r="CD168" i="82" s="1"/>
  <c r="CD169" i="82" s="1"/>
  <c r="CD170" i="82" s="1"/>
  <c r="CD171" i="82" s="1"/>
  <c r="CD172" i="82" s="1"/>
  <c r="CD173" i="82" s="1"/>
  <c r="CD174" i="82" s="1"/>
  <c r="CD175" i="82" s="1"/>
  <c r="CD176" i="82" s="1"/>
  <c r="CD177" i="82" s="1"/>
  <c r="CD178" i="82" s="1"/>
  <c r="CD179" i="82" s="1"/>
  <c r="CD180" i="82" s="1"/>
  <c r="CD181" i="82" s="1"/>
  <c r="CD182" i="82" s="1"/>
  <c r="CD183" i="82" s="1"/>
  <c r="CD184" i="82" s="1"/>
  <c r="CD185" i="82" s="1"/>
  <c r="CD186" i="82" s="1"/>
  <c r="CD187" i="82" s="1"/>
  <c r="CD188" i="82" s="1"/>
  <c r="CD189" i="82" s="1"/>
  <c r="CD190" i="82" s="1"/>
  <c r="CD191" i="82" s="1"/>
  <c r="CD192" i="82" s="1"/>
  <c r="CD193" i="82" s="1"/>
  <c r="CD194" i="82" s="1"/>
  <c r="CD195" i="82" s="1"/>
  <c r="CD196" i="82" s="1"/>
  <c r="CD197" i="82" s="1"/>
  <c r="CD198" i="82" s="1"/>
  <c r="CD199" i="82" s="1"/>
  <c r="CD200" i="82" s="1"/>
  <c r="CD201" i="82" s="1"/>
  <c r="CD202" i="82" s="1"/>
  <c r="CD203" i="82" s="1"/>
  <c r="CD204" i="82" s="1"/>
  <c r="CD205" i="82" s="1"/>
  <c r="CD206" i="82" s="1"/>
  <c r="CD207" i="82" s="1"/>
  <c r="CD208" i="82" s="1"/>
  <c r="CD209" i="82" s="1"/>
  <c r="CD210" i="82" s="1"/>
  <c r="CD211" i="82" s="1"/>
  <c r="CD212" i="82" s="1"/>
  <c r="CD213" i="82" s="1"/>
  <c r="CD214" i="82" s="1"/>
  <c r="CD215" i="82" s="1"/>
  <c r="CD216" i="82" s="1"/>
  <c r="CD217" i="82" s="1"/>
  <c r="CD218" i="82" s="1"/>
  <c r="CD219" i="82" s="1"/>
  <c r="CD220" i="82" s="1"/>
  <c r="CD221" i="82" s="1"/>
  <c r="CD222" i="82" s="1"/>
  <c r="CD223" i="82" s="1"/>
  <c r="CD224" i="82" s="1"/>
  <c r="CD225" i="82" s="1"/>
  <c r="CD226" i="82" s="1"/>
  <c r="AU11" i="30" l="1"/>
  <c r="AU5" i="30" s="1"/>
  <c r="AY11" i="30"/>
  <c r="AY5" i="30" s="1"/>
  <c r="AY3" i="30" s="1"/>
  <c r="CI11" i="30"/>
  <c r="CI5" i="30" s="1"/>
  <c r="DE5" i="82"/>
  <c r="DE3" i="82" s="1"/>
  <c r="DB11" i="82"/>
  <c r="DG11" i="82" s="1"/>
  <c r="CS11" i="82" s="1"/>
  <c r="CS5" i="82" s="1"/>
  <c r="AT11" i="82"/>
  <c r="AT12" i="82" s="1"/>
  <c r="AT13" i="82" s="1"/>
  <c r="AT14" i="82" s="1"/>
  <c r="CF5" i="82"/>
  <c r="CF12" i="82"/>
  <c r="CF13" i="82" s="1"/>
  <c r="CF14" i="82" s="1"/>
  <c r="CF15" i="82" s="1"/>
  <c r="CF16" i="82" s="1"/>
  <c r="CF17" i="82" s="1"/>
  <c r="CF18" i="82" s="1"/>
  <c r="CF19" i="82" s="1"/>
  <c r="CF20" i="82" s="1"/>
  <c r="CF21" i="82" s="1"/>
  <c r="CF22" i="82" s="1"/>
  <c r="CF23" i="82" s="1"/>
  <c r="CF24" i="82" s="1"/>
  <c r="CF25" i="82" s="1"/>
  <c r="CF26" i="82" s="1"/>
  <c r="CF27" i="82" s="1"/>
  <c r="CF28" i="82" s="1"/>
  <c r="CF29" i="82" s="1"/>
  <c r="CF30" i="82" s="1"/>
  <c r="CF31" i="82" s="1"/>
  <c r="CF32" i="82" s="1"/>
  <c r="CF33" i="82" s="1"/>
  <c r="CF34" i="82" s="1"/>
  <c r="CF35" i="82" s="1"/>
  <c r="CF36" i="82" s="1"/>
  <c r="CF37" i="82" s="1"/>
  <c r="CF38" i="82" s="1"/>
  <c r="CF39" i="82" s="1"/>
  <c r="CF40" i="82" s="1"/>
  <c r="CF41" i="82" s="1"/>
  <c r="CF42" i="82" s="1"/>
  <c r="CF43" i="82" s="1"/>
  <c r="CF44" i="82" s="1"/>
  <c r="CF45" i="82" s="1"/>
  <c r="CF46" i="82" s="1"/>
  <c r="CF47" i="82" s="1"/>
  <c r="CF48" i="82" s="1"/>
  <c r="CF49" i="82" s="1"/>
  <c r="CF50" i="82" s="1"/>
  <c r="CF51" i="82" s="1"/>
  <c r="CF52" i="82" s="1"/>
  <c r="CF53" i="82" s="1"/>
  <c r="CF54" i="82" s="1"/>
  <c r="CF55" i="82" s="1"/>
  <c r="CF56" i="82" s="1"/>
  <c r="CF57" i="82" s="1"/>
  <c r="CF58" i="82" s="1"/>
  <c r="CF59" i="82" s="1"/>
  <c r="CF60" i="82" s="1"/>
  <c r="CF61" i="82" s="1"/>
  <c r="CF62" i="82" s="1"/>
  <c r="CF63" i="82" s="1"/>
  <c r="CF64" i="82" s="1"/>
  <c r="CF65" i="82" s="1"/>
  <c r="CF66" i="82" s="1"/>
  <c r="CF67" i="82" s="1"/>
  <c r="CF68" i="82" s="1"/>
  <c r="CF69" i="82" s="1"/>
  <c r="CF70" i="82" s="1"/>
  <c r="CF71" i="82" s="1"/>
  <c r="CF72" i="82" s="1"/>
  <c r="CF73" i="82" s="1"/>
  <c r="CF74" i="82" s="1"/>
  <c r="CF75" i="82" s="1"/>
  <c r="CF76" i="82" s="1"/>
  <c r="CF77" i="82" s="1"/>
  <c r="CF78" i="82" s="1"/>
  <c r="CF79" i="82" s="1"/>
  <c r="CF80" i="82" s="1"/>
  <c r="CF81" i="82" s="1"/>
  <c r="CF82" i="82" s="1"/>
  <c r="CF83" i="82" s="1"/>
  <c r="CF84" i="82" s="1"/>
  <c r="CF85" i="82" s="1"/>
  <c r="CF86" i="82" s="1"/>
  <c r="CF87" i="82" s="1"/>
  <c r="CF88" i="82" s="1"/>
  <c r="CF89" i="82" s="1"/>
  <c r="CF90" i="82" s="1"/>
  <c r="CF91" i="82" s="1"/>
  <c r="CF92" i="82" s="1"/>
  <c r="CF93" i="82" s="1"/>
  <c r="CF94" i="82" s="1"/>
  <c r="CF95" i="82" s="1"/>
  <c r="CF96" i="82" s="1"/>
  <c r="CF97" i="82" s="1"/>
  <c r="CF98" i="82" s="1"/>
  <c r="CF99" i="82" s="1"/>
  <c r="CF100" i="82" s="1"/>
  <c r="CF101" i="82" s="1"/>
  <c r="CF102" i="82" s="1"/>
  <c r="CF103" i="82" s="1"/>
  <c r="CF104" i="82" s="1"/>
  <c r="CF105" i="82" s="1"/>
  <c r="CF106" i="82" s="1"/>
  <c r="CF107" i="82" s="1"/>
  <c r="CF108" i="82" s="1"/>
  <c r="CF109" i="82" s="1"/>
  <c r="CF110" i="82" s="1"/>
  <c r="CF111" i="82" s="1"/>
  <c r="CF112" i="82" s="1"/>
  <c r="CF113" i="82" s="1"/>
  <c r="CF114" i="82" s="1"/>
  <c r="CF115" i="82" s="1"/>
  <c r="CF116" i="82" s="1"/>
  <c r="CF117" i="82" s="1"/>
  <c r="CF118" i="82" s="1"/>
  <c r="CF119" i="82" s="1"/>
  <c r="CF120" i="82" s="1"/>
  <c r="CF121" i="82" s="1"/>
  <c r="CF122" i="82" s="1"/>
  <c r="CF123" i="82" s="1"/>
  <c r="CF124" i="82" s="1"/>
  <c r="CF125" i="82" s="1"/>
  <c r="CF126" i="82" s="1"/>
  <c r="CF127" i="82" s="1"/>
  <c r="CF128" i="82" s="1"/>
  <c r="CF129" i="82" s="1"/>
  <c r="CF130" i="82" s="1"/>
  <c r="CF131" i="82" s="1"/>
  <c r="CF132" i="82" s="1"/>
  <c r="CF133" i="82" s="1"/>
  <c r="CF134" i="82" s="1"/>
  <c r="CF135" i="82" s="1"/>
  <c r="CF136" i="82" s="1"/>
  <c r="CF137" i="82" s="1"/>
  <c r="CF138" i="82" s="1"/>
  <c r="CF139" i="82" s="1"/>
  <c r="CF140" i="82" s="1"/>
  <c r="CF141" i="82" s="1"/>
  <c r="CF142" i="82" s="1"/>
  <c r="CF143" i="82" s="1"/>
  <c r="CF144" i="82" s="1"/>
  <c r="CF145" i="82" s="1"/>
  <c r="CF146" i="82" s="1"/>
  <c r="CF147" i="82" s="1"/>
  <c r="CF148" i="82" s="1"/>
  <c r="CF149" i="82" s="1"/>
  <c r="CF150" i="82" s="1"/>
  <c r="CF151" i="82" s="1"/>
  <c r="CF152" i="82" s="1"/>
  <c r="CF153" i="82" s="1"/>
  <c r="CF154" i="82" s="1"/>
  <c r="CF155" i="82" s="1"/>
  <c r="CF156" i="82" s="1"/>
  <c r="CF157" i="82" s="1"/>
  <c r="CF158" i="82" s="1"/>
  <c r="CF159" i="82" s="1"/>
  <c r="CF160" i="82" s="1"/>
  <c r="CF161" i="82" s="1"/>
  <c r="CF162" i="82" s="1"/>
  <c r="CF163" i="82" s="1"/>
  <c r="CF164" i="82" s="1"/>
  <c r="CF165" i="82" s="1"/>
  <c r="CF166" i="82" s="1"/>
  <c r="CF167" i="82" s="1"/>
  <c r="CF168" i="82" s="1"/>
  <c r="CF169" i="82" s="1"/>
  <c r="CF170" i="82" s="1"/>
  <c r="CF171" i="82" s="1"/>
  <c r="CF172" i="82" s="1"/>
  <c r="CF173" i="82" s="1"/>
  <c r="CF174" i="82" s="1"/>
  <c r="CF175" i="82" s="1"/>
  <c r="CF176" i="82" s="1"/>
  <c r="CF177" i="82" s="1"/>
  <c r="CF178" i="82" s="1"/>
  <c r="CF179" i="82" s="1"/>
  <c r="CF180" i="82" s="1"/>
  <c r="CF181" i="82" s="1"/>
  <c r="CF182" i="82" s="1"/>
  <c r="CF183" i="82" s="1"/>
  <c r="CF184" i="82" s="1"/>
  <c r="CF185" i="82" s="1"/>
  <c r="CF186" i="82" s="1"/>
  <c r="CF187" i="82" s="1"/>
  <c r="CF188" i="82" s="1"/>
  <c r="CF189" i="82" s="1"/>
  <c r="CF190" i="82" s="1"/>
  <c r="CF191" i="82" s="1"/>
  <c r="CF192" i="82" s="1"/>
  <c r="CF193" i="82" s="1"/>
  <c r="CF194" i="82" s="1"/>
  <c r="CF195" i="82" s="1"/>
  <c r="CF196" i="82" s="1"/>
  <c r="CF197" i="82" s="1"/>
  <c r="CF198" i="82" s="1"/>
  <c r="CF199" i="82" s="1"/>
  <c r="CF200" i="82" s="1"/>
  <c r="CF201" i="82" s="1"/>
  <c r="CF202" i="82" s="1"/>
  <c r="CF203" i="82" s="1"/>
  <c r="CF204" i="82" s="1"/>
  <c r="CF205" i="82" s="1"/>
  <c r="CF206" i="82" s="1"/>
  <c r="CF207" i="82" s="1"/>
  <c r="CF208" i="82" s="1"/>
  <c r="CF209" i="82" s="1"/>
  <c r="CF210" i="82" s="1"/>
  <c r="CF211" i="82" s="1"/>
  <c r="CF212" i="82" s="1"/>
  <c r="CF213" i="82" s="1"/>
  <c r="CF214" i="82" s="1"/>
  <c r="CF215" i="82" s="1"/>
  <c r="CF216" i="82" s="1"/>
  <c r="CF217" i="82" s="1"/>
  <c r="CF218" i="82" s="1"/>
  <c r="CF219" i="82" s="1"/>
  <c r="CF220" i="82" s="1"/>
  <c r="CF221" i="82" s="1"/>
  <c r="CF222" i="82" s="1"/>
  <c r="CF223" i="82" s="1"/>
  <c r="CF224" i="82" s="1"/>
  <c r="CF225" i="82" s="1"/>
  <c r="CF226" i="82" s="1"/>
  <c r="AQ5" i="82"/>
  <c r="AQ4" i="82" s="1"/>
  <c r="AR4" i="82" s="1"/>
  <c r="AQ12" i="82"/>
  <c r="AQ13" i="82" s="1"/>
  <c r="DT11" i="30"/>
  <c r="DT5" i="30" s="1"/>
  <c r="AU3" i="30" l="1"/>
  <c r="AS4" i="82"/>
  <c r="AS3" i="82"/>
  <c r="CI3" i="30"/>
  <c r="DB12" i="82"/>
  <c r="DB13" i="82" s="1"/>
  <c r="DB14" i="82" s="1"/>
  <c r="DB15" i="82" s="1"/>
  <c r="DB16" i="82" s="1"/>
  <c r="DB17" i="82" s="1"/>
  <c r="DB18" i="82" s="1"/>
  <c r="DB19" i="82" s="1"/>
  <c r="DB20" i="82" s="1"/>
  <c r="DB21" i="82" s="1"/>
  <c r="DB22" i="82" s="1"/>
  <c r="DB23" i="82" s="1"/>
  <c r="DB24" i="82" s="1"/>
  <c r="DB25" i="82" s="1"/>
  <c r="DB26" i="82" s="1"/>
  <c r="DB27" i="82" s="1"/>
  <c r="DB28" i="82" s="1"/>
  <c r="DB29" i="82" s="1"/>
  <c r="DB30" i="82" s="1"/>
  <c r="DB31" i="82" s="1"/>
  <c r="DB32" i="82" s="1"/>
  <c r="DB33" i="82" s="1"/>
  <c r="DB34" i="82" s="1"/>
  <c r="DB35" i="82" s="1"/>
  <c r="DB36" i="82" s="1"/>
  <c r="DB37" i="82" s="1"/>
  <c r="DB38" i="82" s="1"/>
  <c r="DB39" i="82" s="1"/>
  <c r="DB40" i="82" s="1"/>
  <c r="DB41" i="82" s="1"/>
  <c r="DB42" i="82" s="1"/>
  <c r="DB43" i="82" s="1"/>
  <c r="DB44" i="82" s="1"/>
  <c r="DB45" i="82" s="1"/>
  <c r="DB46" i="82" s="1"/>
  <c r="DB47" i="82" s="1"/>
  <c r="DB48" i="82" s="1"/>
  <c r="DB49" i="82" s="1"/>
  <c r="DB50" i="82" s="1"/>
  <c r="DB51" i="82" s="1"/>
  <c r="DB52" i="82" s="1"/>
  <c r="DB53" i="82" s="1"/>
  <c r="DB54" i="82" s="1"/>
  <c r="DB55" i="82" s="1"/>
  <c r="DB56" i="82" s="1"/>
  <c r="DB57" i="82" s="1"/>
  <c r="DB58" i="82" s="1"/>
  <c r="DB59" i="82" s="1"/>
  <c r="DB60" i="82" s="1"/>
  <c r="DB61" i="82" s="1"/>
  <c r="DB62" i="82" s="1"/>
  <c r="DB63" i="82" s="1"/>
  <c r="DB64" i="82" s="1"/>
  <c r="DB65" i="82" s="1"/>
  <c r="DB66" i="82" s="1"/>
  <c r="DB67" i="82" s="1"/>
  <c r="DB68" i="82" s="1"/>
  <c r="DB69" i="82" s="1"/>
  <c r="DB70" i="82" s="1"/>
  <c r="DB71" i="82" s="1"/>
  <c r="DB72" i="82" s="1"/>
  <c r="DB73" i="82" s="1"/>
  <c r="DB74" i="82" s="1"/>
  <c r="DB75" i="82" s="1"/>
  <c r="DB76" i="82" s="1"/>
  <c r="DB77" i="82" s="1"/>
  <c r="DB78" i="82" s="1"/>
  <c r="DB79" i="82" s="1"/>
  <c r="DB80" i="82" s="1"/>
  <c r="DB81" i="82" s="1"/>
  <c r="DB82" i="82" s="1"/>
  <c r="DB83" i="82" s="1"/>
  <c r="DB84" i="82" s="1"/>
  <c r="DB85" i="82" s="1"/>
  <c r="DB86" i="82" s="1"/>
  <c r="DB87" i="82" s="1"/>
  <c r="DB88" i="82" s="1"/>
  <c r="DB89" i="82" s="1"/>
  <c r="DB90" i="82" s="1"/>
  <c r="DB91" i="82" s="1"/>
  <c r="DB92" i="82" s="1"/>
  <c r="DB93" i="82" s="1"/>
  <c r="DB94" i="82" s="1"/>
  <c r="DB95" i="82" s="1"/>
  <c r="DB96" i="82" s="1"/>
  <c r="DB97" i="82" s="1"/>
  <c r="DB98" i="82" s="1"/>
  <c r="DB99" i="82" s="1"/>
  <c r="DB100" i="82" s="1"/>
  <c r="DB101" i="82" s="1"/>
  <c r="DB102" i="82" s="1"/>
  <c r="DB103" i="82" s="1"/>
  <c r="DB104" i="82" s="1"/>
  <c r="DB105" i="82" s="1"/>
  <c r="DB106" i="82" s="1"/>
  <c r="DB107" i="82" s="1"/>
  <c r="DB108" i="82" s="1"/>
  <c r="DB109" i="82" s="1"/>
  <c r="DB110" i="82" s="1"/>
  <c r="DB111" i="82" s="1"/>
  <c r="DB112" i="82" s="1"/>
  <c r="DB113" i="82" s="1"/>
  <c r="DB114" i="82" s="1"/>
  <c r="DB115" i="82" s="1"/>
  <c r="DB116" i="82" s="1"/>
  <c r="DB117" i="82" s="1"/>
  <c r="DB118" i="82" s="1"/>
  <c r="DB119" i="82" s="1"/>
  <c r="DB120" i="82" s="1"/>
  <c r="DB121" i="82" s="1"/>
  <c r="DB122" i="82" s="1"/>
  <c r="DB123" i="82" s="1"/>
  <c r="DB124" i="82" s="1"/>
  <c r="DB125" i="82" s="1"/>
  <c r="DB126" i="82" s="1"/>
  <c r="DB127" i="82" s="1"/>
  <c r="DB128" i="82" s="1"/>
  <c r="DB129" i="82" s="1"/>
  <c r="DB130" i="82" s="1"/>
  <c r="DB131" i="82" s="1"/>
  <c r="DB132" i="82" s="1"/>
  <c r="DB133" i="82" s="1"/>
  <c r="DB134" i="82" s="1"/>
  <c r="DB135" i="82" s="1"/>
  <c r="DB136" i="82" s="1"/>
  <c r="DB137" i="82" s="1"/>
  <c r="DB138" i="82" s="1"/>
  <c r="DB139" i="82" s="1"/>
  <c r="DB140" i="82" s="1"/>
  <c r="DB141" i="82" s="1"/>
  <c r="DB142" i="82" s="1"/>
  <c r="DB143" i="82" s="1"/>
  <c r="DB144" i="82" s="1"/>
  <c r="DB145" i="82" s="1"/>
  <c r="DB146" i="82" s="1"/>
  <c r="DB147" i="82" s="1"/>
  <c r="DB148" i="82" s="1"/>
  <c r="DB149" i="82" s="1"/>
  <c r="DB150" i="82" s="1"/>
  <c r="DB151" i="82" s="1"/>
  <c r="DB152" i="82" s="1"/>
  <c r="DB153" i="82" s="1"/>
  <c r="DB154" i="82" s="1"/>
  <c r="DB155" i="82" s="1"/>
  <c r="DB156" i="82" s="1"/>
  <c r="DB157" i="82" s="1"/>
  <c r="DB158" i="82" s="1"/>
  <c r="DB159" i="82" s="1"/>
  <c r="DB160" i="82" s="1"/>
  <c r="DB161" i="82" s="1"/>
  <c r="DB162" i="82" s="1"/>
  <c r="DB163" i="82" s="1"/>
  <c r="DB164" i="82" s="1"/>
  <c r="DB165" i="82" s="1"/>
  <c r="DB166" i="82" s="1"/>
  <c r="DB167" i="82" s="1"/>
  <c r="DB168" i="82" s="1"/>
  <c r="DB169" i="82" s="1"/>
  <c r="DB170" i="82" s="1"/>
  <c r="DB171" i="82" s="1"/>
  <c r="DB172" i="82" s="1"/>
  <c r="DB173" i="82" s="1"/>
  <c r="DB174" i="82" s="1"/>
  <c r="DB175" i="82" s="1"/>
  <c r="DB176" i="82" s="1"/>
  <c r="DB177" i="82" s="1"/>
  <c r="DB178" i="82" s="1"/>
  <c r="DB179" i="82" s="1"/>
  <c r="DB180" i="82" s="1"/>
  <c r="DB181" i="82" s="1"/>
  <c r="DB182" i="82" s="1"/>
  <c r="DB183" i="82" s="1"/>
  <c r="DB184" i="82" s="1"/>
  <c r="DB185" i="82" s="1"/>
  <c r="DB186" i="82" s="1"/>
  <c r="DB187" i="82" s="1"/>
  <c r="DB188" i="82" s="1"/>
  <c r="DB189" i="82" s="1"/>
  <c r="DB190" i="82" s="1"/>
  <c r="DB191" i="82" s="1"/>
  <c r="DB192" i="82" s="1"/>
  <c r="DB193" i="82" s="1"/>
  <c r="DB194" i="82" s="1"/>
  <c r="DB195" i="82" s="1"/>
  <c r="DB196" i="82" s="1"/>
  <c r="DB197" i="82" s="1"/>
  <c r="DB198" i="82" s="1"/>
  <c r="DB199" i="82" s="1"/>
  <c r="DB200" i="82" s="1"/>
  <c r="DB201" i="82" s="1"/>
  <c r="DB202" i="82" s="1"/>
  <c r="DB203" i="82" s="1"/>
  <c r="DB204" i="82" s="1"/>
  <c r="DB205" i="82" s="1"/>
  <c r="DB206" i="82" s="1"/>
  <c r="DB207" i="82" s="1"/>
  <c r="DB208" i="82" s="1"/>
  <c r="DB209" i="82" s="1"/>
  <c r="DB210" i="82" s="1"/>
  <c r="DB211" i="82" s="1"/>
  <c r="DB212" i="82" s="1"/>
  <c r="DB213" i="82" s="1"/>
  <c r="DB214" i="82" s="1"/>
  <c r="DB215" i="82" s="1"/>
  <c r="DB216" i="82" s="1"/>
  <c r="DB217" i="82" s="1"/>
  <c r="DB218" i="82" s="1"/>
  <c r="DB219" i="82" s="1"/>
  <c r="DB220" i="82" s="1"/>
  <c r="DB221" i="82" s="1"/>
  <c r="DB222" i="82" s="1"/>
  <c r="DB223" i="82" s="1"/>
  <c r="DB224" i="82" s="1"/>
  <c r="DB225" i="82" s="1"/>
  <c r="DB226" i="82" s="1"/>
  <c r="AT5" i="82"/>
  <c r="AT3" i="82" s="1"/>
  <c r="DB5" i="82"/>
  <c r="AQ3" i="82"/>
  <c r="CT11" i="82"/>
  <c r="CT5" i="82" s="1"/>
  <c r="CT3" i="82" s="1"/>
  <c r="DG12" i="82"/>
  <c r="DG13" i="82" s="1"/>
  <c r="DG14" i="82" s="1"/>
  <c r="DG15" i="82" s="1"/>
  <c r="DG16" i="82" s="1"/>
  <c r="DG17" i="82" s="1"/>
  <c r="DG18" i="82" s="1"/>
  <c r="DG19" i="82" s="1"/>
  <c r="DG20" i="82" s="1"/>
  <c r="DG21" i="82" s="1"/>
  <c r="DG22" i="82" s="1"/>
  <c r="DG23" i="82" s="1"/>
  <c r="DG24" i="82" s="1"/>
  <c r="DG25" i="82" s="1"/>
  <c r="DG26" i="82" s="1"/>
  <c r="DG27" i="82" s="1"/>
  <c r="DG28" i="82" s="1"/>
  <c r="DG29" i="82" s="1"/>
  <c r="DG30" i="82" s="1"/>
  <c r="DG31" i="82" s="1"/>
  <c r="DG32" i="82" s="1"/>
  <c r="DG33" i="82" s="1"/>
  <c r="DG34" i="82" s="1"/>
  <c r="DG35" i="82" s="1"/>
  <c r="DG36" i="82" s="1"/>
  <c r="DG37" i="82" s="1"/>
  <c r="DG38" i="82" s="1"/>
  <c r="DG39" i="82" s="1"/>
  <c r="DG40" i="82" s="1"/>
  <c r="DG41" i="82" s="1"/>
  <c r="DG42" i="82" s="1"/>
  <c r="DG43" i="82" s="1"/>
  <c r="DG44" i="82" s="1"/>
  <c r="DG45" i="82" s="1"/>
  <c r="DG46" i="82" s="1"/>
  <c r="DG47" i="82" s="1"/>
  <c r="DG48" i="82" s="1"/>
  <c r="DG49" i="82" s="1"/>
  <c r="DG50" i="82" s="1"/>
  <c r="DG51" i="82" s="1"/>
  <c r="DG52" i="82" s="1"/>
  <c r="DG53" i="82" s="1"/>
  <c r="DG54" i="82" s="1"/>
  <c r="DG55" i="82" s="1"/>
  <c r="DG56" i="82" s="1"/>
  <c r="DG57" i="82" s="1"/>
  <c r="DG58" i="82" s="1"/>
  <c r="DG59" i="82" s="1"/>
  <c r="DG60" i="82" s="1"/>
  <c r="DG61" i="82" s="1"/>
  <c r="DG62" i="82" s="1"/>
  <c r="DG63" i="82" s="1"/>
  <c r="DG64" i="82" s="1"/>
  <c r="DG65" i="82" s="1"/>
  <c r="DG66" i="82" s="1"/>
  <c r="DG67" i="82" s="1"/>
  <c r="DG68" i="82" s="1"/>
  <c r="DG69" i="82" s="1"/>
  <c r="DG70" i="82" s="1"/>
  <c r="DG71" i="82" s="1"/>
  <c r="DG72" i="82" s="1"/>
  <c r="DG73" i="82" s="1"/>
  <c r="DG74" i="82" s="1"/>
  <c r="DG75" i="82" s="1"/>
  <c r="DG76" i="82" s="1"/>
  <c r="DG77" i="82" s="1"/>
  <c r="DG78" i="82" s="1"/>
  <c r="DG79" i="82" s="1"/>
  <c r="DG80" i="82" s="1"/>
  <c r="DG81" i="82" s="1"/>
  <c r="DG82" i="82" s="1"/>
  <c r="DG83" i="82" s="1"/>
  <c r="DG84" i="82" s="1"/>
  <c r="DG85" i="82" s="1"/>
  <c r="DG86" i="82" s="1"/>
  <c r="DG87" i="82" s="1"/>
  <c r="DG88" i="82" s="1"/>
  <c r="DG89" i="82" s="1"/>
  <c r="DG90" i="82" s="1"/>
  <c r="DG91" i="82" s="1"/>
  <c r="DG92" i="82" s="1"/>
  <c r="DG93" i="82" s="1"/>
  <c r="DG94" i="82" s="1"/>
  <c r="DG95" i="82" s="1"/>
  <c r="DG96" i="82" s="1"/>
  <c r="DG97" i="82" s="1"/>
  <c r="DG98" i="82" s="1"/>
  <c r="DG99" i="82" s="1"/>
  <c r="DG100" i="82" s="1"/>
  <c r="DG101" i="82" s="1"/>
  <c r="DG102" i="82" s="1"/>
  <c r="DG103" i="82" s="1"/>
  <c r="DG104" i="82" s="1"/>
  <c r="DG105" i="82" s="1"/>
  <c r="DG106" i="82" s="1"/>
  <c r="DG107" i="82" s="1"/>
  <c r="DG108" i="82" s="1"/>
  <c r="DG109" i="82" s="1"/>
  <c r="DG110" i="82" s="1"/>
  <c r="DG111" i="82" s="1"/>
  <c r="DG112" i="82" s="1"/>
  <c r="DG113" i="82" s="1"/>
  <c r="DG114" i="82" s="1"/>
  <c r="DG115" i="82" s="1"/>
  <c r="DG116" i="82" s="1"/>
  <c r="DG117" i="82" s="1"/>
  <c r="DG118" i="82" s="1"/>
  <c r="DG119" i="82" s="1"/>
  <c r="DG120" i="82" s="1"/>
  <c r="DG121" i="82" s="1"/>
  <c r="DG122" i="82" s="1"/>
  <c r="DG123" i="82" s="1"/>
  <c r="DG124" i="82" s="1"/>
  <c r="DG125" i="82" s="1"/>
  <c r="DG126" i="82" s="1"/>
  <c r="DG127" i="82" s="1"/>
  <c r="DG128" i="82" s="1"/>
  <c r="DG129" i="82" s="1"/>
  <c r="DG130" i="82" s="1"/>
  <c r="DG131" i="82" s="1"/>
  <c r="DG132" i="82" s="1"/>
  <c r="DG133" i="82" s="1"/>
  <c r="DG134" i="82" s="1"/>
  <c r="DG135" i="82" s="1"/>
  <c r="DG136" i="82" s="1"/>
  <c r="DG137" i="82" s="1"/>
  <c r="DG138" i="82" s="1"/>
  <c r="DG139" i="82" s="1"/>
  <c r="DG140" i="82" s="1"/>
  <c r="DG141" i="82" s="1"/>
  <c r="DG142" i="82" s="1"/>
  <c r="DG143" i="82" s="1"/>
  <c r="DG144" i="82" s="1"/>
  <c r="DG145" i="82" s="1"/>
  <c r="DG146" i="82" s="1"/>
  <c r="DG147" i="82" s="1"/>
  <c r="DG148" i="82" s="1"/>
  <c r="DG149" i="82" s="1"/>
  <c r="DG150" i="82" s="1"/>
  <c r="DG151" i="82" s="1"/>
  <c r="DG152" i="82" s="1"/>
  <c r="DG153" i="82" s="1"/>
  <c r="DG154" i="82" s="1"/>
  <c r="DG155" i="82" s="1"/>
  <c r="DG156" i="82" s="1"/>
  <c r="DG157" i="82" s="1"/>
  <c r="DG158" i="82" s="1"/>
  <c r="DG159" i="82" s="1"/>
  <c r="DG160" i="82" s="1"/>
  <c r="DG161" i="82" s="1"/>
  <c r="DG162" i="82" s="1"/>
  <c r="DG163" i="82" s="1"/>
  <c r="DG164" i="82" s="1"/>
  <c r="DG165" i="82" s="1"/>
  <c r="DG166" i="82" s="1"/>
  <c r="DG167" i="82" s="1"/>
  <c r="DG168" i="82" s="1"/>
  <c r="DG169" i="82" s="1"/>
  <c r="DG170" i="82" s="1"/>
  <c r="DG171" i="82" s="1"/>
  <c r="DG172" i="82" s="1"/>
  <c r="DG173" i="82" s="1"/>
  <c r="DG174" i="82" s="1"/>
  <c r="DG175" i="82" s="1"/>
  <c r="DG176" i="82" s="1"/>
  <c r="DG177" i="82" s="1"/>
  <c r="DG178" i="82" s="1"/>
  <c r="DG179" i="82" s="1"/>
  <c r="DG180" i="82" s="1"/>
  <c r="DG181" i="82" s="1"/>
  <c r="DG182" i="82" s="1"/>
  <c r="DG183" i="82" s="1"/>
  <c r="DG184" i="82" s="1"/>
  <c r="DG185" i="82" s="1"/>
  <c r="DG186" i="82" s="1"/>
  <c r="DG187" i="82" s="1"/>
  <c r="DG188" i="82" s="1"/>
  <c r="DG189" i="82" s="1"/>
  <c r="DG190" i="82" s="1"/>
  <c r="DG191" i="82" s="1"/>
  <c r="DG192" i="82" s="1"/>
  <c r="DG193" i="82" s="1"/>
  <c r="DG194" i="82" s="1"/>
  <c r="DG195" i="82" s="1"/>
  <c r="DG196" i="82" s="1"/>
  <c r="DG197" i="82" s="1"/>
  <c r="DG198" i="82" s="1"/>
  <c r="DG199" i="82" s="1"/>
  <c r="DG200" i="82" s="1"/>
  <c r="DG201" i="82" s="1"/>
  <c r="DG202" i="82" s="1"/>
  <c r="DG203" i="82" s="1"/>
  <c r="DG204" i="82" s="1"/>
  <c r="DG205" i="82" s="1"/>
  <c r="DG206" i="82" s="1"/>
  <c r="DG207" i="82" s="1"/>
  <c r="DG208" i="82" s="1"/>
  <c r="DG209" i="82" s="1"/>
  <c r="DG210" i="82" s="1"/>
  <c r="DG211" i="82" s="1"/>
  <c r="DG212" i="82" s="1"/>
  <c r="DG213" i="82" s="1"/>
  <c r="DG214" i="82" s="1"/>
  <c r="DG215" i="82" s="1"/>
  <c r="DG216" i="82" s="1"/>
  <c r="DG217" i="82" s="1"/>
  <c r="DG218" i="82" s="1"/>
  <c r="DG219" i="82" s="1"/>
  <c r="DG220" i="82" s="1"/>
  <c r="DG221" i="82" s="1"/>
  <c r="DG222" i="82" s="1"/>
  <c r="DG223" i="82" s="1"/>
  <c r="DG224" i="82" s="1"/>
  <c r="DG225" i="82" s="1"/>
  <c r="DG226" i="82" s="1"/>
  <c r="DG5" i="82"/>
  <c r="CS12" i="82"/>
  <c r="CS13" i="82" s="1"/>
  <c r="DW11" i="30"/>
  <c r="DW5" i="30" s="1"/>
  <c r="AT15" i="82"/>
  <c r="CS3" i="82"/>
  <c r="AT4" i="82" l="1"/>
  <c r="AU4" i="82" s="1"/>
  <c r="CT12" i="82"/>
  <c r="CT13" i="82" s="1"/>
  <c r="DK13" i="82" s="1"/>
  <c r="DN13" i="82" s="1"/>
  <c r="DK14" i="82"/>
  <c r="DN14" i="82" s="1"/>
  <c r="CP11" i="30"/>
  <c r="CP5" i="30" s="1"/>
  <c r="CO11" i="30"/>
  <c r="CO5" i="30" s="1"/>
  <c r="CO3" i="30" s="1"/>
  <c r="AT16" i="82"/>
  <c r="DK15" i="82"/>
  <c r="DN15" i="82" s="1"/>
  <c r="AV4" i="82" l="1"/>
  <c r="AW4" i="82" s="1"/>
  <c r="AX4" i="82" s="1"/>
  <c r="AY4" i="82" s="1"/>
  <c r="AZ4" i="82" s="1"/>
  <c r="BA4" i="82" s="1"/>
  <c r="BB4" i="82" s="1"/>
  <c r="BC4" i="82" s="1"/>
  <c r="BD4" i="82" s="1"/>
  <c r="BE4" i="82" s="1"/>
  <c r="BF4" i="82" s="1"/>
  <c r="BG4" i="82" s="1"/>
  <c r="BH4" i="82" s="1"/>
  <c r="BI4" i="82" s="1"/>
  <c r="BJ4" i="82" s="1"/>
  <c r="BK4" i="82" s="1"/>
  <c r="BL4" i="82" s="1"/>
  <c r="BM4" i="82" s="1"/>
  <c r="BN4" i="82" s="1"/>
  <c r="BO4" i="82" s="1"/>
  <c r="BP4" i="82" s="1"/>
  <c r="BQ4" i="82" s="1"/>
  <c r="AV3" i="82"/>
  <c r="BD3" i="82"/>
  <c r="AU3" i="82"/>
  <c r="CP3" i="30"/>
  <c r="BL3" i="30"/>
  <c r="BF3" i="82"/>
  <c r="AT17" i="82"/>
  <c r="DK16" i="82"/>
  <c r="DN16" i="82" s="1"/>
  <c r="AW3" i="82" l="1"/>
  <c r="AY3" i="82"/>
  <c r="BR4" i="82"/>
  <c r="BS4" i="82" s="1"/>
  <c r="BR3" i="82"/>
  <c r="AT18" i="82"/>
  <c r="DK17" i="82"/>
  <c r="DN17" i="82" s="1"/>
  <c r="BS3" i="82" l="1"/>
  <c r="BT4" i="82"/>
  <c r="BT3" i="82"/>
  <c r="CD3" i="82"/>
  <c r="AT19" i="82"/>
  <c r="DK18" i="82"/>
  <c r="DN18" i="82" s="1"/>
  <c r="CF3" i="82"/>
  <c r="BU4" i="82" l="1"/>
  <c r="BU3" i="82"/>
  <c r="CI3" i="82"/>
  <c r="DK19" i="82"/>
  <c r="DN19" i="82" s="1"/>
  <c r="AT20" i="82"/>
  <c r="BV4" i="82" l="1"/>
  <c r="BW4" i="82" s="1"/>
  <c r="BX4" i="82" s="1"/>
  <c r="BY4" i="82" s="1"/>
  <c r="BZ4" i="82" s="1"/>
  <c r="CA4" i="82" s="1"/>
  <c r="CB3" i="82" s="1"/>
  <c r="Q6" i="81" s="1"/>
  <c r="BV3" i="82"/>
  <c r="CM3" i="82"/>
  <c r="AT21" i="82"/>
  <c r="DK20" i="82"/>
  <c r="DN20" i="82" s="1"/>
  <c r="CN3" i="82"/>
  <c r="R6" i="81" l="1"/>
  <c r="P6" i="81"/>
  <c r="O7" i="81" s="1"/>
  <c r="S6" i="81"/>
  <c r="CB4" i="82"/>
  <c r="CC4" i="82" s="1"/>
  <c r="CD4" i="82" s="1"/>
  <c r="CE4" i="82" s="1"/>
  <c r="CF4" i="82" s="1"/>
  <c r="CG4" i="82" s="1"/>
  <c r="CH4" i="82" s="1"/>
  <c r="CI4" i="82" s="1"/>
  <c r="CJ4" i="82" s="1"/>
  <c r="CK4" i="82" s="1"/>
  <c r="CL4" i="82" s="1"/>
  <c r="CM4" i="82" s="1"/>
  <c r="CN4" i="82" s="1"/>
  <c r="CO4" i="82" s="1"/>
  <c r="CP4" i="82" s="1"/>
  <c r="CQ4" i="82" s="1"/>
  <c r="CR4" i="82" s="1"/>
  <c r="CS4" i="82" s="1"/>
  <c r="CT4" i="82" s="1"/>
  <c r="CU4" i="82" s="1"/>
  <c r="CV4" i="82" s="1"/>
  <c r="CU3" i="82"/>
  <c r="DK21" i="82"/>
  <c r="DN21" i="82" s="1"/>
  <c r="AT22" i="82"/>
  <c r="CL3" i="82" l="1"/>
  <c r="CW4" i="82"/>
  <c r="CX4" i="82" s="1"/>
  <c r="CY4" i="82" s="1"/>
  <c r="CW3" i="82"/>
  <c r="AT23" i="82"/>
  <c r="DK22" i="82"/>
  <c r="DN22" i="82" s="1"/>
  <c r="CZ4" i="82" l="1"/>
  <c r="DA4" i="82" s="1"/>
  <c r="CZ3" i="82"/>
  <c r="DK23" i="82"/>
  <c r="DN23" i="82" s="1"/>
  <c r="AT24" i="82"/>
  <c r="DB4" i="82" l="1"/>
  <c r="DB3" i="82"/>
  <c r="AT25" i="82"/>
  <c r="DK24" i="82"/>
  <c r="DN24" i="82" s="1"/>
  <c r="DC4" i="82" l="1"/>
  <c r="DD4" i="82" s="1"/>
  <c r="DE4" i="82" s="1"/>
  <c r="DC3" i="82"/>
  <c r="AT26" i="82"/>
  <c r="DK25" i="82"/>
  <c r="DN25" i="82" s="1"/>
  <c r="DF4" i="82" l="1"/>
  <c r="DF3" i="82"/>
  <c r="AT27" i="82"/>
  <c r="DK26" i="82"/>
  <c r="DN26" i="82" s="1"/>
  <c r="DG4" i="82" l="1"/>
  <c r="DG3" i="82"/>
  <c r="AT28" i="82"/>
  <c r="DK27" i="82"/>
  <c r="DN27" i="82" s="1"/>
  <c r="DH4" i="82" l="1"/>
  <c r="DH3" i="82"/>
  <c r="AT29" i="82"/>
  <c r="DK28" i="82"/>
  <c r="DN28" i="82" s="1"/>
  <c r="AT30" i="82" l="1"/>
  <c r="DK29" i="82"/>
  <c r="DN29" i="82" s="1"/>
  <c r="AT31" i="82" l="1"/>
  <c r="DK30" i="82"/>
  <c r="DN30" i="82" s="1"/>
  <c r="AT32" i="82" l="1"/>
  <c r="DK31" i="82"/>
  <c r="DN31" i="82" s="1"/>
  <c r="AT33" i="82" l="1"/>
  <c r="DK32" i="82"/>
  <c r="DN32" i="82" s="1"/>
  <c r="AT34" i="82" l="1"/>
  <c r="DK33" i="82"/>
  <c r="DN33" i="82" s="1"/>
  <c r="AT35" i="82" l="1"/>
  <c r="DK34" i="82"/>
  <c r="DN34" i="82" s="1"/>
  <c r="AT36" i="82" l="1"/>
  <c r="DK35" i="82"/>
  <c r="DN35" i="82" s="1"/>
  <c r="AT37" i="82" l="1"/>
  <c r="DK36" i="82"/>
  <c r="DN36" i="82" s="1"/>
  <c r="AT38" i="82" l="1"/>
  <c r="DK37" i="82"/>
  <c r="DN37" i="82" s="1"/>
  <c r="AT39" i="82" l="1"/>
  <c r="DK38" i="82"/>
  <c r="DN38" i="82" s="1"/>
  <c r="AT40" i="82" l="1"/>
  <c r="DK39" i="82"/>
  <c r="DN39" i="82" s="1"/>
  <c r="AT41" i="82" l="1"/>
  <c r="DK40" i="82"/>
  <c r="DN40" i="82" s="1"/>
  <c r="AT42" i="82" l="1"/>
  <c r="DK41" i="82"/>
  <c r="DN41" i="82" s="1"/>
  <c r="AT43" i="82" l="1"/>
  <c r="DK42" i="82"/>
  <c r="DN42" i="82" s="1"/>
  <c r="AT44" i="82" l="1"/>
  <c r="DK43" i="82"/>
  <c r="DN43" i="82" s="1"/>
  <c r="AT45" i="82" l="1"/>
  <c r="DK44" i="82"/>
  <c r="DN44" i="82" s="1"/>
  <c r="AT46" i="82" l="1"/>
  <c r="DK45" i="82"/>
  <c r="DN45" i="82" s="1"/>
  <c r="AT47" i="82" l="1"/>
  <c r="DK46" i="82"/>
  <c r="DN46" i="82" s="1"/>
  <c r="AT48" i="82" l="1"/>
  <c r="DK47" i="82"/>
  <c r="DN47" i="82" s="1"/>
  <c r="AT49" i="82" l="1"/>
  <c r="DK48" i="82"/>
  <c r="DN48" i="82" s="1"/>
  <c r="AT50" i="82" l="1"/>
  <c r="DK49" i="82"/>
  <c r="DN49" i="82" s="1"/>
  <c r="AT51" i="82" l="1"/>
  <c r="DK50" i="82"/>
  <c r="DN50" i="82" s="1"/>
  <c r="AT52" i="82" l="1"/>
  <c r="DK51" i="82"/>
  <c r="DN51" i="82" s="1"/>
  <c r="AT53" i="82" l="1"/>
  <c r="DK52" i="82"/>
  <c r="DN52" i="82" s="1"/>
  <c r="AT54" i="82" l="1"/>
  <c r="DK53" i="82"/>
  <c r="DN53" i="82" s="1"/>
  <c r="AT55" i="82" l="1"/>
  <c r="DK54" i="82"/>
  <c r="DN54" i="82" s="1"/>
  <c r="AT56" i="82" l="1"/>
  <c r="DK55" i="82"/>
  <c r="DN55" i="82" s="1"/>
  <c r="AT57" i="82" l="1"/>
  <c r="DK56" i="82"/>
  <c r="DN56" i="82" s="1"/>
  <c r="AT58" i="82" l="1"/>
  <c r="DK57" i="82"/>
  <c r="DN57" i="82" s="1"/>
  <c r="AT59" i="82" l="1"/>
  <c r="DK58" i="82"/>
  <c r="DN58" i="82" s="1"/>
  <c r="AT60" i="82" l="1"/>
  <c r="DK59" i="82"/>
  <c r="DN59" i="82" s="1"/>
  <c r="AT61" i="82" l="1"/>
  <c r="DK60" i="82"/>
  <c r="DN60" i="82" s="1"/>
  <c r="AT62" i="82" l="1"/>
  <c r="DK61" i="82"/>
  <c r="DN61" i="82" s="1"/>
  <c r="AT63" i="82" l="1"/>
  <c r="DK62" i="82"/>
  <c r="DN62" i="82" s="1"/>
  <c r="AT64" i="82" l="1"/>
  <c r="DK63" i="82"/>
  <c r="DN63" i="82" s="1"/>
  <c r="AT65" i="82" l="1"/>
  <c r="DK64" i="82"/>
  <c r="DN64" i="82" s="1"/>
  <c r="AT66" i="82" l="1"/>
  <c r="DK65" i="82"/>
  <c r="DN65" i="82" s="1"/>
  <c r="AT67" i="82" l="1"/>
  <c r="DK66" i="82"/>
  <c r="DN66" i="82" s="1"/>
  <c r="AT68" i="82" l="1"/>
  <c r="DK67" i="82"/>
  <c r="DN67" i="82" s="1"/>
  <c r="AT69" i="82" l="1"/>
  <c r="DK68" i="82"/>
  <c r="DN68" i="82" s="1"/>
  <c r="AT70" i="82" l="1"/>
  <c r="DK69" i="82"/>
  <c r="DN69" i="82" s="1"/>
  <c r="AT71" i="82" l="1"/>
  <c r="DK70" i="82"/>
  <c r="DN70" i="82" s="1"/>
  <c r="AT72" i="82" l="1"/>
  <c r="DK71" i="82"/>
  <c r="DN71" i="82" s="1"/>
  <c r="AT73" i="82" l="1"/>
  <c r="DK72" i="82"/>
  <c r="DN72" i="82" s="1"/>
  <c r="AT74" i="82" l="1"/>
  <c r="DK73" i="82"/>
  <c r="DN73" i="82" s="1"/>
  <c r="AT75" i="82" l="1"/>
  <c r="DK74" i="82"/>
  <c r="DN74" i="82" s="1"/>
  <c r="AT76" i="82" l="1"/>
  <c r="DK75" i="82"/>
  <c r="DN75" i="82" s="1"/>
  <c r="AT77" i="82" l="1"/>
  <c r="DK76" i="82"/>
  <c r="DN76" i="82" s="1"/>
  <c r="AT78" i="82" l="1"/>
  <c r="DK77" i="82"/>
  <c r="DN77" i="82" s="1"/>
  <c r="AT79" i="82" l="1"/>
  <c r="DK78" i="82"/>
  <c r="DN78" i="82" s="1"/>
  <c r="AT80" i="82" l="1"/>
  <c r="DK79" i="82"/>
  <c r="DN79" i="82" s="1"/>
  <c r="AT81" i="82" l="1"/>
  <c r="DK80" i="82"/>
  <c r="DN80" i="82" s="1"/>
  <c r="AT82" i="82" l="1"/>
  <c r="DK81" i="82"/>
  <c r="DN81" i="82" s="1"/>
  <c r="AT83" i="82" l="1"/>
  <c r="DK82" i="82"/>
  <c r="DN82" i="82" s="1"/>
  <c r="AT84" i="82" l="1"/>
  <c r="DK83" i="82"/>
  <c r="DN83" i="82" s="1"/>
  <c r="AT85" i="82" l="1"/>
  <c r="DK84" i="82"/>
  <c r="DN84" i="82" s="1"/>
  <c r="AT86" i="82" l="1"/>
  <c r="DK85" i="82"/>
  <c r="DN85" i="82" s="1"/>
  <c r="AT87" i="82" l="1"/>
  <c r="DK86" i="82"/>
  <c r="DN86" i="82" s="1"/>
  <c r="AT88" i="82" l="1"/>
  <c r="DK87" i="82"/>
  <c r="DN87" i="82" s="1"/>
  <c r="AT89" i="82" l="1"/>
  <c r="DK88" i="82"/>
  <c r="DN88" i="82" s="1"/>
  <c r="AT90" i="82" l="1"/>
  <c r="DK89" i="82"/>
  <c r="DN89" i="82" s="1"/>
  <c r="AT91" i="82" l="1"/>
  <c r="DK90" i="82"/>
  <c r="DN90" i="82" s="1"/>
  <c r="AT92" i="82" l="1"/>
  <c r="DK91" i="82"/>
  <c r="DN91" i="82" s="1"/>
  <c r="AT93" i="82" l="1"/>
  <c r="DK92" i="82"/>
  <c r="DN92" i="82" s="1"/>
  <c r="AT94" i="82" l="1"/>
  <c r="DK93" i="82"/>
  <c r="DN93" i="82" s="1"/>
  <c r="AT95" i="82" l="1"/>
  <c r="DK94" i="82"/>
  <c r="DN94" i="82" s="1"/>
  <c r="AT96" i="82" l="1"/>
  <c r="DK95" i="82"/>
  <c r="DN95" i="82" s="1"/>
  <c r="AT97" i="82" l="1"/>
  <c r="DK96" i="82"/>
  <c r="DN96" i="82" s="1"/>
  <c r="AT98" i="82" l="1"/>
  <c r="DK97" i="82"/>
  <c r="DN97" i="82" s="1"/>
  <c r="AT99" i="82" l="1"/>
  <c r="DK98" i="82"/>
  <c r="DN98" i="82" s="1"/>
  <c r="AT100" i="82" l="1"/>
  <c r="DK99" i="82"/>
  <c r="DN99" i="82" s="1"/>
  <c r="AT101" i="82" l="1"/>
  <c r="DK100" i="82"/>
  <c r="DN100" i="82" s="1"/>
  <c r="AT102" i="82" l="1"/>
  <c r="DK101" i="82"/>
  <c r="DN101" i="82" s="1"/>
  <c r="AT103" i="82" l="1"/>
  <c r="DK102" i="82"/>
  <c r="DN102" i="82" s="1"/>
  <c r="AT104" i="82" l="1"/>
  <c r="DK103" i="82"/>
  <c r="DN103" i="82" s="1"/>
  <c r="AT105" i="82" l="1"/>
  <c r="DK104" i="82"/>
  <c r="DN104" i="82" s="1"/>
  <c r="AT106" i="82" l="1"/>
  <c r="DK105" i="82"/>
  <c r="DN105" i="82" s="1"/>
  <c r="AT107" i="82" l="1"/>
  <c r="DK106" i="82"/>
  <c r="DN106" i="82" s="1"/>
  <c r="AT108" i="82" l="1"/>
  <c r="DK107" i="82"/>
  <c r="DN107" i="82" s="1"/>
  <c r="AT109" i="82" l="1"/>
  <c r="DK108" i="82"/>
  <c r="DN108" i="82" s="1"/>
  <c r="AT110" i="82" l="1"/>
  <c r="DK109" i="82"/>
  <c r="DN109" i="82" s="1"/>
  <c r="AT111" i="82" l="1"/>
  <c r="DK110" i="82"/>
  <c r="DN110" i="82" s="1"/>
  <c r="AT112" i="82" l="1"/>
  <c r="DK111" i="82"/>
  <c r="DN111" i="82" s="1"/>
  <c r="AT113" i="82" l="1"/>
  <c r="DK112" i="82"/>
  <c r="DN112" i="82" s="1"/>
  <c r="AT114" i="82" l="1"/>
  <c r="DK113" i="82"/>
  <c r="DN113" i="82" s="1"/>
  <c r="AT115" i="82" l="1"/>
  <c r="DK114" i="82"/>
  <c r="DN114" i="82" s="1"/>
  <c r="AT116" i="82" l="1"/>
  <c r="DK115" i="82"/>
  <c r="DN115" i="82" s="1"/>
  <c r="AT117" i="82" l="1"/>
  <c r="DK116" i="82"/>
  <c r="DN116" i="82" s="1"/>
  <c r="AT118" i="82" l="1"/>
  <c r="DK117" i="82"/>
  <c r="DN117" i="82" s="1"/>
  <c r="AT119" i="82" l="1"/>
  <c r="DK118" i="82"/>
  <c r="DN118" i="82" s="1"/>
  <c r="AT120" i="82" l="1"/>
  <c r="DK119" i="82"/>
  <c r="DN119" i="82" s="1"/>
  <c r="AT121" i="82" l="1"/>
  <c r="DK120" i="82"/>
  <c r="DN120" i="82" s="1"/>
  <c r="AT122" i="82" l="1"/>
  <c r="DK121" i="82"/>
  <c r="DN121" i="82" s="1"/>
  <c r="AT123" i="82" l="1"/>
  <c r="DK122" i="82"/>
  <c r="DN122" i="82" s="1"/>
  <c r="AT124" i="82" l="1"/>
  <c r="DK123" i="82"/>
  <c r="DN123" i="82" s="1"/>
  <c r="AT125" i="82" l="1"/>
  <c r="DK124" i="82"/>
  <c r="DN124" i="82" s="1"/>
  <c r="AT126" i="82" l="1"/>
  <c r="DK125" i="82"/>
  <c r="DN125" i="82" s="1"/>
  <c r="AT127" i="82" l="1"/>
  <c r="DK126" i="82"/>
  <c r="DN126" i="82" s="1"/>
  <c r="AT128" i="82" l="1"/>
  <c r="DK127" i="82"/>
  <c r="DN127" i="82" s="1"/>
  <c r="AT129" i="82" l="1"/>
  <c r="DK128" i="82"/>
  <c r="DN128" i="82" s="1"/>
  <c r="AT130" i="82" l="1"/>
  <c r="DK129" i="82"/>
  <c r="DN129" i="82" s="1"/>
  <c r="AT131" i="82" l="1"/>
  <c r="DK130" i="82"/>
  <c r="DN130" i="82" s="1"/>
  <c r="AT132" i="82" l="1"/>
  <c r="DK131" i="82"/>
  <c r="DN131" i="82" s="1"/>
  <c r="AT133" i="82" l="1"/>
  <c r="DK132" i="82"/>
  <c r="DN132" i="82" s="1"/>
  <c r="AT134" i="82" l="1"/>
  <c r="DK133" i="82"/>
  <c r="DN133" i="82" s="1"/>
  <c r="AT135" i="82" l="1"/>
  <c r="DK134" i="82"/>
  <c r="DN134" i="82" s="1"/>
  <c r="AT136" i="82" l="1"/>
  <c r="DK135" i="82"/>
  <c r="DN135" i="82" s="1"/>
  <c r="AT137" i="82" l="1"/>
  <c r="DK136" i="82"/>
  <c r="DN136" i="82" s="1"/>
  <c r="AT138" i="82" l="1"/>
  <c r="DK137" i="82"/>
  <c r="DN137" i="82" s="1"/>
  <c r="AT139" i="82" l="1"/>
  <c r="DK138" i="82"/>
  <c r="DN138" i="82" s="1"/>
  <c r="AT140" i="82" l="1"/>
  <c r="DK139" i="82"/>
  <c r="DN139" i="82" s="1"/>
  <c r="AT141" i="82" l="1"/>
  <c r="DK140" i="82"/>
  <c r="DN140" i="82" s="1"/>
  <c r="AT142" i="82" l="1"/>
  <c r="DK141" i="82"/>
  <c r="DN141" i="82" s="1"/>
  <c r="AT143" i="82" l="1"/>
  <c r="DK142" i="82"/>
  <c r="DN142" i="82" s="1"/>
  <c r="AT144" i="82" l="1"/>
  <c r="DK143" i="82"/>
  <c r="DN143" i="82" s="1"/>
  <c r="AT145" i="82" l="1"/>
  <c r="DK144" i="82"/>
  <c r="DN144" i="82" s="1"/>
  <c r="AT146" i="82" l="1"/>
  <c r="DK145" i="82"/>
  <c r="DN145" i="82" s="1"/>
  <c r="AT147" i="82" l="1"/>
  <c r="DK146" i="82"/>
  <c r="DN146" i="82" s="1"/>
  <c r="AT148" i="82" l="1"/>
  <c r="DK147" i="82"/>
  <c r="DN147" i="82" s="1"/>
  <c r="AT149" i="82" l="1"/>
  <c r="DK148" i="82"/>
  <c r="DN148" i="82" s="1"/>
  <c r="AT150" i="82" l="1"/>
  <c r="DK149" i="82"/>
  <c r="DN149" i="82" s="1"/>
  <c r="AT151" i="82" l="1"/>
  <c r="DK150" i="82"/>
  <c r="DN150" i="82" s="1"/>
  <c r="AT152" i="82" l="1"/>
  <c r="DK151" i="82"/>
  <c r="DN151" i="82" s="1"/>
  <c r="AT153" i="82" l="1"/>
  <c r="DK152" i="82"/>
  <c r="DN152" i="82" s="1"/>
  <c r="AT154" i="82" l="1"/>
  <c r="DK153" i="82"/>
  <c r="DN153" i="82" s="1"/>
  <c r="AT155" i="82" l="1"/>
  <c r="DK154" i="82"/>
  <c r="DN154" i="82" s="1"/>
  <c r="AT156" i="82" l="1"/>
  <c r="DK155" i="82"/>
  <c r="DN155" i="82" s="1"/>
  <c r="AT157" i="82" l="1"/>
  <c r="DK156" i="82"/>
  <c r="DN156" i="82" s="1"/>
  <c r="AT158" i="82" l="1"/>
  <c r="DK157" i="82"/>
  <c r="DN157" i="82" s="1"/>
  <c r="AT159" i="82" l="1"/>
  <c r="DK158" i="82"/>
  <c r="DN158" i="82" s="1"/>
  <c r="AT160" i="82" l="1"/>
  <c r="DK159" i="82"/>
  <c r="DN159" i="82" s="1"/>
  <c r="AT161" i="82" l="1"/>
  <c r="DK160" i="82"/>
  <c r="DN160" i="82" s="1"/>
  <c r="AT162" i="82" l="1"/>
  <c r="DK161" i="82"/>
  <c r="DN161" i="82" s="1"/>
  <c r="AT163" i="82" l="1"/>
  <c r="DK162" i="82"/>
  <c r="DN162" i="82" s="1"/>
  <c r="AT164" i="82" l="1"/>
  <c r="DK163" i="82"/>
  <c r="DN163" i="82" s="1"/>
  <c r="AT165" i="82" l="1"/>
  <c r="DK164" i="82"/>
  <c r="DN164" i="82" s="1"/>
  <c r="AT166" i="82" l="1"/>
  <c r="DK165" i="82"/>
  <c r="DN165" i="82" s="1"/>
  <c r="AT167" i="82" l="1"/>
  <c r="DK166" i="82"/>
  <c r="DN166" i="82" s="1"/>
  <c r="AG4" i="30"/>
  <c r="AH4" i="30" s="1"/>
  <c r="AI4" i="30" s="1"/>
  <c r="AJ4" i="30" l="1"/>
  <c r="AK4" i="30" s="1"/>
  <c r="AJ3" i="30"/>
  <c r="DK167" i="82"/>
  <c r="DN167" i="82" s="1"/>
  <c r="AT168" i="82"/>
  <c r="AN3" i="30"/>
  <c r="AZ3" i="30"/>
  <c r="AL3" i="30" l="1"/>
  <c r="AL4" i="30"/>
  <c r="AM4" i="30" s="1"/>
  <c r="AN4" i="30" s="1"/>
  <c r="AO3" i="30" s="1"/>
  <c r="AQ3" i="30"/>
  <c r="AT169" i="82"/>
  <c r="DK168" i="82"/>
  <c r="DN168" i="82" s="1"/>
  <c r="AS3" i="30"/>
  <c r="AO4" i="30" l="1"/>
  <c r="AP4" i="30" s="1"/>
  <c r="AQ4" i="30" s="1"/>
  <c r="AR4" i="30" s="1"/>
  <c r="AS4" i="30" s="1"/>
  <c r="AX3" i="30"/>
  <c r="AT170" i="82"/>
  <c r="DK169" i="82"/>
  <c r="DN169" i="82" s="1"/>
  <c r="AT4" i="30" l="1"/>
  <c r="AU4" i="30" s="1"/>
  <c r="AT3" i="30"/>
  <c r="AV4" i="30"/>
  <c r="AW4" i="30" s="1"/>
  <c r="AX4" i="30" s="1"/>
  <c r="AY4" i="30" s="1"/>
  <c r="AZ4" i="30" s="1"/>
  <c r="AT171" i="82"/>
  <c r="DK170" i="82"/>
  <c r="DN170" i="82" s="1"/>
  <c r="BJ3" i="30"/>
  <c r="CN3" i="30"/>
  <c r="BA4" i="30" l="1"/>
  <c r="BB4" i="30" s="1"/>
  <c r="BC4" i="30" s="1"/>
  <c r="BA3" i="30"/>
  <c r="AT172" i="82"/>
  <c r="DK171" i="82"/>
  <c r="DN171" i="82" s="1"/>
  <c r="BB3" i="30" l="1"/>
  <c r="BD4" i="30"/>
  <c r="BE4" i="30" s="1"/>
  <c r="BF4" i="30" s="1"/>
  <c r="BG4" i="30" s="1"/>
  <c r="BH4" i="30" s="1"/>
  <c r="BI4" i="30" s="1"/>
  <c r="BJ4" i="30" s="1"/>
  <c r="BK4" i="30" s="1"/>
  <c r="BL4" i="30" s="1"/>
  <c r="BM4" i="30" s="1"/>
  <c r="BN4" i="30" s="1"/>
  <c r="BO4" i="30" s="1"/>
  <c r="BP4" i="30" s="1"/>
  <c r="BQ3" i="30" s="1"/>
  <c r="BD3" i="30"/>
  <c r="CR3" i="30"/>
  <c r="AT173" i="82"/>
  <c r="DK172" i="82"/>
  <c r="DN172" i="82" s="1"/>
  <c r="BQ4" i="30" l="1"/>
  <c r="BR3" i="30" s="1"/>
  <c r="CS3" i="30"/>
  <c r="CT3" i="30"/>
  <c r="AT174" i="82"/>
  <c r="DK173" i="82"/>
  <c r="DN173" i="82" s="1"/>
  <c r="BR4" i="30" l="1"/>
  <c r="BS4" i="30" s="1"/>
  <c r="BT4" i="30" s="1"/>
  <c r="BU4" i="30" s="1"/>
  <c r="BV4" i="30" s="1"/>
  <c r="BW4" i="30" s="1"/>
  <c r="BX4" i="30" s="1"/>
  <c r="BY4" i="30" s="1"/>
  <c r="BZ4" i="30" s="1"/>
  <c r="CA4" i="30" s="1"/>
  <c r="CB4" i="30" s="1"/>
  <c r="CC4" i="30" s="1"/>
  <c r="CD4" i="30" s="1"/>
  <c r="CE4" i="30" s="1"/>
  <c r="CF4" i="30" s="1"/>
  <c r="CG4" i="30" s="1"/>
  <c r="CH4" i="30" s="1"/>
  <c r="CI4" i="30" s="1"/>
  <c r="CJ4" i="30" s="1"/>
  <c r="CK4" i="30" s="1"/>
  <c r="CL4" i="30" s="1"/>
  <c r="CM4" i="30" s="1"/>
  <c r="CN4" i="30" s="1"/>
  <c r="CO4" i="30" s="1"/>
  <c r="CP4" i="30" s="1"/>
  <c r="CQ4" i="30" s="1"/>
  <c r="CR4" i="30" s="1"/>
  <c r="CS4" i="30" s="1"/>
  <c r="CT4" i="30" s="1"/>
  <c r="CU4" i="30" s="1"/>
  <c r="CV4" i="30" s="1"/>
  <c r="CV3" i="30"/>
  <c r="DB3" i="30"/>
  <c r="AT175" i="82"/>
  <c r="DK174" i="82"/>
  <c r="DN174" i="82" s="1"/>
  <c r="DG3" i="30"/>
  <c r="DK3" i="30"/>
  <c r="DN3" i="30"/>
  <c r="CW4" i="30" l="1"/>
  <c r="CX4" i="30" s="1"/>
  <c r="CW3" i="30"/>
  <c r="AT176" i="82"/>
  <c r="DK175" i="82"/>
  <c r="DN175" i="82" s="1"/>
  <c r="DI3" i="30"/>
  <c r="DQ3" i="30"/>
  <c r="CY4" i="30" l="1"/>
  <c r="CY3" i="30"/>
  <c r="AT177" i="82"/>
  <c r="DK176" i="82"/>
  <c r="DN176" i="82" s="1"/>
  <c r="DJ3" i="30"/>
  <c r="DT3" i="30"/>
  <c r="H9" i="63"/>
  <c r="P4" i="48"/>
  <c r="K5" i="81" s="1"/>
  <c r="K3" i="85"/>
  <c r="M3" i="85" s="1"/>
  <c r="J3" i="85"/>
  <c r="Q4" i="48"/>
  <c r="L5" i="81" s="1"/>
  <c r="I3" i="85"/>
  <c r="O4" i="48"/>
  <c r="J5" i="81" s="1"/>
  <c r="I9" i="63"/>
  <c r="M4" i="48"/>
  <c r="I5" i="81" s="1"/>
  <c r="G3" i="85"/>
  <c r="F4" i="85" s="1"/>
  <c r="G9" i="63"/>
  <c r="F10" i="63" s="1"/>
  <c r="J9" i="63"/>
  <c r="CZ4" i="30" l="1"/>
  <c r="CZ3" i="30"/>
  <c r="AT178" i="82"/>
  <c r="DK177" i="82"/>
  <c r="DN177" i="82" s="1"/>
  <c r="DU3" i="30"/>
  <c r="L5" i="48"/>
  <c r="L9" i="63"/>
  <c r="M9" i="63" s="1"/>
  <c r="N4" i="48"/>
  <c r="H3" i="85" s="1"/>
  <c r="O9" i="63"/>
  <c r="P9" i="63" s="1"/>
  <c r="DA4" i="30" l="1"/>
  <c r="DB4" i="30" s="1"/>
  <c r="DC4" i="30" s="1"/>
  <c r="DD4" i="30" s="1"/>
  <c r="DE4" i="30" s="1"/>
  <c r="DF4" i="30" s="1"/>
  <c r="DG4" i="30" s="1"/>
  <c r="DH4" i="30" s="1"/>
  <c r="DI4" i="30" s="1"/>
  <c r="DJ4" i="30" s="1"/>
  <c r="DK4" i="30" s="1"/>
  <c r="DL4" i="30" s="1"/>
  <c r="DM4" i="30" s="1"/>
  <c r="DN4" i="30" s="1"/>
  <c r="DO4" i="30" s="1"/>
  <c r="DP4" i="30" s="1"/>
  <c r="DQ4" i="30" s="1"/>
  <c r="DR4" i="30" s="1"/>
  <c r="DS4" i="30" s="1"/>
  <c r="DT4" i="30" s="1"/>
  <c r="DU4" i="30" s="1"/>
  <c r="DV4" i="30" s="1"/>
  <c r="DA3" i="30"/>
  <c r="DC3" i="30"/>
  <c r="H6" i="81"/>
  <c r="AT179" i="82"/>
  <c r="DK178" i="82"/>
  <c r="DN178" i="82" s="1"/>
  <c r="DV3" i="30"/>
  <c r="AT180" i="82" l="1"/>
  <c r="DK179" i="82"/>
  <c r="DN179" i="82" s="1"/>
  <c r="DW4" i="30"/>
  <c r="DX4" i="30" s="1"/>
  <c r="DY4" i="30" s="1"/>
  <c r="DZ4" i="30" s="1"/>
  <c r="DW3" i="30"/>
  <c r="AT181" i="82" l="1"/>
  <c r="DK180" i="82"/>
  <c r="DN180" i="82" s="1"/>
  <c r="EA3" i="30"/>
  <c r="EA4" i="30"/>
  <c r="AT182" i="82" l="1"/>
  <c r="DK181" i="82"/>
  <c r="DN181" i="82" s="1"/>
  <c r="AT183" i="82" l="1"/>
  <c r="DK182" i="82"/>
  <c r="DN182" i="82" s="1"/>
  <c r="AT184" i="82" l="1"/>
  <c r="DK183" i="82"/>
  <c r="DN183" i="82" s="1"/>
  <c r="AT185" i="82" l="1"/>
  <c r="DK184" i="82"/>
  <c r="DN184" i="82" s="1"/>
  <c r="AT186" i="82" l="1"/>
  <c r="DK185" i="82"/>
  <c r="DN185" i="82" s="1"/>
  <c r="AT187" i="82" l="1"/>
  <c r="DK186" i="82"/>
  <c r="DN186" i="82" s="1"/>
  <c r="AT188" i="82" l="1"/>
  <c r="DK187" i="82"/>
  <c r="DN187" i="82" s="1"/>
  <c r="AT189" i="82" l="1"/>
  <c r="DK188" i="82"/>
  <c r="DN188" i="82" s="1"/>
  <c r="AT190" i="82" l="1"/>
  <c r="DK189" i="82"/>
  <c r="DN189" i="82" s="1"/>
  <c r="AT191" i="82" l="1"/>
  <c r="DK190" i="82"/>
  <c r="DN190" i="82" s="1"/>
  <c r="AT192" i="82" l="1"/>
  <c r="DK191" i="82"/>
  <c r="DN191" i="82" s="1"/>
  <c r="AT193" i="82" l="1"/>
  <c r="DK192" i="82"/>
  <c r="DN192" i="82" s="1"/>
  <c r="AT194" i="82" l="1"/>
  <c r="DK193" i="82"/>
  <c r="DN193" i="82" s="1"/>
  <c r="AT195" i="82" l="1"/>
  <c r="DK194" i="82"/>
  <c r="DN194" i="82" s="1"/>
  <c r="AT196" i="82" l="1"/>
  <c r="DK195" i="82"/>
  <c r="DN195" i="82" s="1"/>
  <c r="AT197" i="82" l="1"/>
  <c r="DK196" i="82"/>
  <c r="DN196" i="82" s="1"/>
  <c r="AT198" i="82" l="1"/>
  <c r="DK197" i="82"/>
  <c r="DN197" i="82" s="1"/>
  <c r="AT199" i="82" l="1"/>
  <c r="DK198" i="82"/>
  <c r="DN198" i="82" s="1"/>
  <c r="AT200" i="82" l="1"/>
  <c r="DK199" i="82"/>
  <c r="DN199" i="82" s="1"/>
  <c r="AT201" i="82" l="1"/>
  <c r="DK200" i="82"/>
  <c r="DN200" i="82" s="1"/>
  <c r="AT202" i="82" l="1"/>
  <c r="DK201" i="82"/>
  <c r="DN201" i="82" s="1"/>
  <c r="AT203" i="82" l="1"/>
  <c r="DK202" i="82"/>
  <c r="DN202" i="82" s="1"/>
  <c r="ED5" i="30"/>
  <c r="AT204" i="82" l="1"/>
  <c r="DK203" i="82"/>
  <c r="DN203" i="82" s="1"/>
  <c r="ED3" i="30" l="1"/>
  <c r="AT205" i="82"/>
  <c r="DK204" i="82"/>
  <c r="DN204" i="82" s="1"/>
  <c r="AT206" i="82" l="1"/>
  <c r="DK205" i="82"/>
  <c r="DN205" i="82" s="1"/>
  <c r="AT207" i="82" l="1"/>
  <c r="DK206" i="82"/>
  <c r="DN206" i="82" s="1"/>
  <c r="AT208" i="82" l="1"/>
  <c r="DK207" i="82"/>
  <c r="DN207" i="82" s="1"/>
  <c r="AT209" i="82" l="1"/>
  <c r="DK208" i="82"/>
  <c r="DN208" i="82" s="1"/>
  <c r="AT210" i="82" l="1"/>
  <c r="DK209" i="82"/>
  <c r="DN209" i="82" s="1"/>
  <c r="AT211" i="82" l="1"/>
  <c r="DK210" i="82"/>
  <c r="DN210" i="82" s="1"/>
  <c r="AT212" i="82" l="1"/>
  <c r="DK211" i="82"/>
  <c r="DN211" i="82" s="1"/>
  <c r="AT213" i="82" l="1"/>
  <c r="DK212" i="82"/>
  <c r="DN212" i="82" s="1"/>
  <c r="AT214" i="82" l="1"/>
  <c r="DK213" i="82"/>
  <c r="DN213" i="82" s="1"/>
  <c r="AT215" i="82" l="1"/>
  <c r="DK214" i="82"/>
  <c r="DN214" i="82" s="1"/>
  <c r="AT216" i="82" l="1"/>
  <c r="DK215" i="82"/>
  <c r="DN215" i="82" s="1"/>
  <c r="AT217" i="82" l="1"/>
  <c r="DK216" i="82"/>
  <c r="DN216" i="82" s="1"/>
  <c r="AT218" i="82" l="1"/>
  <c r="DK217" i="82"/>
  <c r="DN217" i="82" s="1"/>
  <c r="AT219" i="82" l="1"/>
  <c r="DK218" i="82"/>
  <c r="DN218" i="82" s="1"/>
  <c r="AT220" i="82" l="1"/>
  <c r="DK219" i="82"/>
  <c r="DN219" i="82" s="1"/>
  <c r="AT221" i="82" l="1"/>
  <c r="DK220" i="82"/>
  <c r="DN220" i="82" s="1"/>
  <c r="AT222" i="82" l="1"/>
  <c r="DK221" i="82"/>
  <c r="DN221" i="82" s="1"/>
  <c r="AT223" i="82" l="1"/>
  <c r="DK222" i="82"/>
  <c r="DN222" i="82" s="1"/>
  <c r="AT224" i="82" l="1"/>
  <c r="DK223" i="82"/>
  <c r="DN223" i="82" s="1"/>
  <c r="AT225" i="82" l="1"/>
  <c r="DK224" i="82"/>
  <c r="DN224" i="82" s="1"/>
  <c r="AT226" i="82" l="1"/>
  <c r="DK226" i="82" s="1"/>
  <c r="DN226" i="82" s="1"/>
  <c r="DK225" i="82"/>
  <c r="DN225" i="82" s="1"/>
  <c r="P7" i="81" l="1"/>
  <c r="O8" i="81" s="1"/>
  <c r="S7" i="81"/>
  <c r="R7" i="81"/>
  <c r="Q7" i="81"/>
  <c r="Q8" i="81" l="1"/>
  <c r="P8" i="81"/>
  <c r="O9" i="81" s="1"/>
  <c r="S8" i="81"/>
  <c r="R8" i="81"/>
  <c r="O5" i="48" l="1"/>
  <c r="J6" i="81" s="1"/>
  <c r="Q5" i="48"/>
  <c r="L6" i="81" s="1"/>
  <c r="K4" i="85"/>
  <c r="M4" i="85" s="1"/>
  <c r="P5" i="48"/>
  <c r="K6" i="81" s="1"/>
  <c r="G4" i="85"/>
  <c r="F5" i="85" s="1"/>
  <c r="K5" i="85" s="1"/>
  <c r="M5" i="85" s="1"/>
  <c r="J10" i="63"/>
  <c r="M5" i="48"/>
  <c r="N5" i="48" s="1"/>
  <c r="H4" i="85" s="1"/>
  <c r="H10" i="63"/>
  <c r="J4" i="85"/>
  <c r="I10" i="63"/>
  <c r="G10" i="63"/>
  <c r="F11" i="63" s="1"/>
  <c r="I4" i="85"/>
  <c r="O10" i="63" l="1"/>
  <c r="P10" i="63" s="1"/>
  <c r="G11" i="63"/>
  <c r="F12" i="63" s="1"/>
  <c r="L10" i="63"/>
  <c r="M10" i="63" s="1"/>
  <c r="J11" i="63"/>
  <c r="G5" i="85"/>
  <c r="F6" i="85" s="1"/>
  <c r="I11" i="63"/>
  <c r="H11" i="63"/>
  <c r="L6" i="48"/>
  <c r="J5" i="85"/>
  <c r="I5" i="85"/>
  <c r="I6" i="81"/>
  <c r="G12" i="63" l="1"/>
  <c r="F13" i="63" s="1"/>
  <c r="J12" i="63"/>
  <c r="O12" i="63" s="1"/>
  <c r="P12" i="63" s="1"/>
  <c r="I12" i="63"/>
  <c r="H12" i="63"/>
  <c r="O6" i="48"/>
  <c r="J7" i="81" s="1"/>
  <c r="M6" i="48"/>
  <c r="I7" i="81" s="1"/>
  <c r="Q6" i="48"/>
  <c r="L7" i="81" s="1"/>
  <c r="H7" i="81"/>
  <c r="P6" i="48"/>
  <c r="K7" i="81" s="1"/>
  <c r="O11" i="63"/>
  <c r="P11" i="63" s="1"/>
  <c r="L11" i="63"/>
  <c r="M11" i="63" s="1"/>
  <c r="L12" i="63" l="1"/>
  <c r="M12" i="63" s="1"/>
  <c r="G13" i="63"/>
  <c r="F14" i="63" s="1"/>
  <c r="J14" i="63" s="1"/>
  <c r="J13" i="63"/>
  <c r="L13" i="63" s="1"/>
  <c r="M13" i="63" s="1"/>
  <c r="I13" i="63"/>
  <c r="H13" i="63"/>
  <c r="G14" i="63"/>
  <c r="I14" i="63"/>
  <c r="H14" i="63"/>
  <c r="L7" i="48"/>
  <c r="N6" i="48"/>
  <c r="H5" i="85" s="1"/>
  <c r="O13" i="63" l="1"/>
  <c r="P13" i="63" s="1"/>
  <c r="L14" i="63"/>
  <c r="M14" i="63" s="1"/>
  <c r="O14" i="63"/>
  <c r="P14" i="63" s="1"/>
  <c r="F15" i="63"/>
  <c r="H8" i="81"/>
  <c r="I15" i="63" l="1"/>
  <c r="H15" i="63"/>
  <c r="G15" i="63"/>
  <c r="F16" i="63" s="1"/>
  <c r="J15" i="63"/>
  <c r="L15" i="63" l="1"/>
  <c r="M15" i="63" s="1"/>
  <c r="O15" i="63"/>
  <c r="P15" i="63" s="1"/>
  <c r="G16" i="63"/>
  <c r="H16" i="63"/>
  <c r="I16" i="63"/>
  <c r="F17" i="63"/>
  <c r="J16" i="63"/>
  <c r="I17" i="63" l="1"/>
  <c r="G17" i="63"/>
  <c r="F18" i="63"/>
  <c r="H17" i="63"/>
  <c r="J17" i="63"/>
  <c r="O16" i="63"/>
  <c r="P16" i="63" s="1"/>
  <c r="L16" i="63"/>
  <c r="M16" i="63" s="1"/>
  <c r="L17" i="63" l="1"/>
  <c r="M17" i="63" s="1"/>
  <c r="O17" i="63"/>
  <c r="P17" i="63" s="1"/>
  <c r="H18" i="63"/>
  <c r="I18" i="63"/>
  <c r="F19" i="63"/>
  <c r="G18" i="63"/>
  <c r="J18" i="63"/>
  <c r="O18" i="63" l="1"/>
  <c r="P18" i="63" s="1"/>
  <c r="L18" i="63"/>
  <c r="M18" i="63" s="1"/>
  <c r="J19" i="63"/>
  <c r="F20" i="63"/>
  <c r="H19" i="63"/>
  <c r="I19" i="63"/>
  <c r="G19" i="63"/>
  <c r="O19" i="63" l="1"/>
  <c r="P19" i="63" s="1"/>
  <c r="L19" i="63"/>
  <c r="M19" i="63" s="1"/>
  <c r="G20" i="63"/>
  <c r="H20" i="63"/>
  <c r="F21" i="63"/>
  <c r="J20" i="63"/>
  <c r="I20" i="63"/>
  <c r="I21" i="63" l="1"/>
  <c r="G21" i="63"/>
  <c r="F22" i="63"/>
  <c r="J21" i="63"/>
  <c r="H21" i="63"/>
  <c r="O20" i="63"/>
  <c r="P20" i="63" s="1"/>
  <c r="L20" i="63"/>
  <c r="M20" i="63" s="1"/>
  <c r="I22" i="63" l="1"/>
  <c r="J22" i="63"/>
  <c r="H22" i="63"/>
  <c r="G22" i="63"/>
  <c r="F23" i="63"/>
  <c r="O21" i="63"/>
  <c r="P21" i="63" s="1"/>
  <c r="L21" i="63"/>
  <c r="M21" i="63" s="1"/>
  <c r="G23" i="63" l="1"/>
  <c r="J23" i="63"/>
  <c r="H23" i="63"/>
  <c r="F24" i="63"/>
  <c r="I23" i="63"/>
  <c r="O22" i="63"/>
  <c r="P22" i="63" s="1"/>
  <c r="L22" i="63"/>
  <c r="M22" i="63" s="1"/>
  <c r="G24" i="63" l="1"/>
  <c r="J24" i="63"/>
  <c r="I24" i="63"/>
  <c r="F25" i="63"/>
  <c r="H24" i="63"/>
  <c r="L23" i="63"/>
  <c r="M23" i="63" s="1"/>
  <c r="O23" i="63"/>
  <c r="P23" i="63" s="1"/>
  <c r="J25" i="63" l="1"/>
  <c r="F26" i="63"/>
  <c r="G25" i="63"/>
  <c r="H25" i="63"/>
  <c r="I25" i="63"/>
  <c r="O24" i="63"/>
  <c r="P24" i="63" s="1"/>
  <c r="L24" i="63"/>
  <c r="M24" i="63" s="1"/>
  <c r="J26" i="63" l="1"/>
  <c r="G26" i="63"/>
  <c r="I26" i="63"/>
  <c r="H26" i="63"/>
  <c r="F27" i="63"/>
  <c r="O25" i="63"/>
  <c r="P25" i="63" s="1"/>
  <c r="L25" i="63"/>
  <c r="M25" i="63" s="1"/>
  <c r="G27" i="63" l="1"/>
  <c r="H27" i="63"/>
  <c r="F28" i="63"/>
  <c r="I27" i="63"/>
  <c r="J27" i="63"/>
  <c r="L26" i="63"/>
  <c r="M26" i="63" s="1"/>
  <c r="O26" i="63"/>
  <c r="P26" i="63" s="1"/>
  <c r="O27" i="63" l="1"/>
  <c r="P27" i="63" s="1"/>
  <c r="L27" i="63"/>
  <c r="M27" i="63" s="1"/>
  <c r="H28" i="63"/>
  <c r="I28" i="63"/>
  <c r="G28" i="63"/>
  <c r="J28" i="63"/>
  <c r="O28" i="63" l="1"/>
  <c r="P28" i="63" s="1"/>
  <c r="P29" i="63" s="1"/>
  <c r="L28" i="63"/>
  <c r="M28" i="63" s="1"/>
  <c r="M4" i="63" s="1"/>
  <c r="M6" i="63" s="1"/>
  <c r="P4" i="63" l="1"/>
  <c r="DI8" i="82"/>
  <c r="DI11" i="82" s="1"/>
  <c r="EB8" i="30"/>
  <c r="EB11" i="30" s="1"/>
  <c r="P6" i="63"/>
  <c r="Q4" i="63"/>
  <c r="EE11" i="30" l="1"/>
  <c r="EB5" i="30"/>
  <c r="DK11" i="82"/>
  <c r="DI12" i="82"/>
  <c r="DI5" i="82"/>
  <c r="DI3" i="82" l="1"/>
  <c r="DI4" i="82"/>
  <c r="DJ4" i="82" s="1"/>
  <c r="DI13" i="82"/>
  <c r="DK12" i="82"/>
  <c r="DN12" i="82" s="1"/>
  <c r="DO11" i="82"/>
  <c r="DK5" i="82"/>
  <c r="DN11" i="82"/>
  <c r="EB4" i="30"/>
  <c r="EC4" i="30" s="1"/>
  <c r="ED4" i="30" s="1"/>
  <c r="EB3" i="30"/>
  <c r="K28" i="85"/>
  <c r="K30" i="85" s="1"/>
  <c r="K32" i="85" s="1"/>
  <c r="K36" i="85" s="1"/>
  <c r="EE5" i="30"/>
  <c r="Q29" i="48"/>
  <c r="Q31" i="48" s="1"/>
  <c r="Q33" i="48" s="1"/>
  <c r="Q37" i="48" s="1"/>
  <c r="EI11" i="30"/>
  <c r="EJ11" i="30" s="1"/>
  <c r="EH11" i="30"/>
  <c r="DK4" i="82" l="1"/>
  <c r="DK3" i="82"/>
  <c r="S9" i="81" s="1"/>
  <c r="DO12" i="82"/>
  <c r="DO13" i="82" s="1"/>
  <c r="DO14" i="82" s="1"/>
  <c r="DO15" i="82" s="1"/>
  <c r="DO16" i="82" s="1"/>
  <c r="DO17" i="82" s="1"/>
  <c r="DO18" i="82" s="1"/>
  <c r="DO19" i="82" s="1"/>
  <c r="DO20" i="82" s="1"/>
  <c r="DO21" i="82" s="1"/>
  <c r="DO22" i="82" s="1"/>
  <c r="DO23" i="82" s="1"/>
  <c r="DO24" i="82" s="1"/>
  <c r="DO25" i="82" s="1"/>
  <c r="DO26" i="82" s="1"/>
  <c r="DO27" i="82" s="1"/>
  <c r="DO28" i="82" s="1"/>
  <c r="DO29" i="82" s="1"/>
  <c r="DO30" i="82" s="1"/>
  <c r="DO31" i="82" s="1"/>
  <c r="DO32" i="82" s="1"/>
  <c r="DO33" i="82" s="1"/>
  <c r="DO34" i="82" s="1"/>
  <c r="DO35" i="82" s="1"/>
  <c r="DO36" i="82" s="1"/>
  <c r="DO37" i="82" s="1"/>
  <c r="DO38" i="82" s="1"/>
  <c r="DO39" i="82" s="1"/>
  <c r="DO40" i="82" s="1"/>
  <c r="DO41" i="82" s="1"/>
  <c r="DO42" i="82" s="1"/>
  <c r="DO43" i="82" s="1"/>
  <c r="DO44" i="82" s="1"/>
  <c r="DO45" i="82" s="1"/>
  <c r="DO46" i="82" s="1"/>
  <c r="DO47" i="82" s="1"/>
  <c r="DO48" i="82" s="1"/>
  <c r="DO49" i="82" s="1"/>
  <c r="DO50" i="82" s="1"/>
  <c r="DO51" i="82" s="1"/>
  <c r="DO52" i="82" s="1"/>
  <c r="DO53" i="82" s="1"/>
  <c r="DO54" i="82" s="1"/>
  <c r="DO55" i="82" s="1"/>
  <c r="DO56" i="82" s="1"/>
  <c r="DO57" i="82" s="1"/>
  <c r="DO58" i="82" s="1"/>
  <c r="DO59" i="82" s="1"/>
  <c r="DO60" i="82" s="1"/>
  <c r="DO61" i="82" s="1"/>
  <c r="DO62" i="82" s="1"/>
  <c r="DO63" i="82" s="1"/>
  <c r="DO64" i="82" s="1"/>
  <c r="DO65" i="82" s="1"/>
  <c r="DO66" i="82" s="1"/>
  <c r="DO67" i="82" s="1"/>
  <c r="DO68" i="82" s="1"/>
  <c r="DO69" i="82" s="1"/>
  <c r="DO70" i="82" s="1"/>
  <c r="DO71" i="82" s="1"/>
  <c r="DO72" i="82" s="1"/>
  <c r="DO73" i="82" s="1"/>
  <c r="DO74" i="82" s="1"/>
  <c r="DO75" i="82" s="1"/>
  <c r="DO76" i="82" s="1"/>
  <c r="DO77" i="82" s="1"/>
  <c r="DO78" i="82" s="1"/>
  <c r="DO79" i="82" s="1"/>
  <c r="DO80" i="82" s="1"/>
  <c r="DO81" i="82" s="1"/>
  <c r="DO82" i="82" s="1"/>
  <c r="DO83" i="82" s="1"/>
  <c r="DO84" i="82" s="1"/>
  <c r="DO85" i="82" s="1"/>
  <c r="DO86" i="82" s="1"/>
  <c r="DO87" i="82" s="1"/>
  <c r="DO88" i="82" s="1"/>
  <c r="DO89" i="82" s="1"/>
  <c r="DO90" i="82" s="1"/>
  <c r="DO91" i="82" s="1"/>
  <c r="DO92" i="82" s="1"/>
  <c r="DO93" i="82" s="1"/>
  <c r="DO94" i="82" s="1"/>
  <c r="DO95" i="82" s="1"/>
  <c r="DO96" i="82" s="1"/>
  <c r="DO97" i="82" s="1"/>
  <c r="DO98" i="82" s="1"/>
  <c r="DO99" i="82" s="1"/>
  <c r="DO100" i="82" s="1"/>
  <c r="DO101" i="82" s="1"/>
  <c r="DO102" i="82" s="1"/>
  <c r="DO103" i="82" s="1"/>
  <c r="DO104" i="82" s="1"/>
  <c r="DO105" i="82" s="1"/>
  <c r="DO106" i="82" s="1"/>
  <c r="DO107" i="82" s="1"/>
  <c r="DO108" i="82" s="1"/>
  <c r="DO109" i="82" s="1"/>
  <c r="DO110" i="82" s="1"/>
  <c r="DO111" i="82" s="1"/>
  <c r="DO112" i="82" s="1"/>
  <c r="DO113" i="82" s="1"/>
  <c r="DO114" i="82" s="1"/>
  <c r="DO115" i="82" s="1"/>
  <c r="DO116" i="82" s="1"/>
  <c r="DO117" i="82" s="1"/>
  <c r="DO118" i="82" s="1"/>
  <c r="DO119" i="82" s="1"/>
  <c r="DO120" i="82" s="1"/>
  <c r="DO121" i="82" s="1"/>
  <c r="DO122" i="82" s="1"/>
  <c r="DO123" i="82" s="1"/>
  <c r="DO124" i="82" s="1"/>
  <c r="DO125" i="82" s="1"/>
  <c r="DO126" i="82" s="1"/>
  <c r="DO127" i="82" s="1"/>
  <c r="DO128" i="82" s="1"/>
  <c r="DO129" i="82" s="1"/>
  <c r="DO130" i="82" s="1"/>
  <c r="DO131" i="82" s="1"/>
  <c r="DO132" i="82" s="1"/>
  <c r="DO133" i="82" s="1"/>
  <c r="DO134" i="82" s="1"/>
  <c r="DO135" i="82" s="1"/>
  <c r="DO136" i="82" s="1"/>
  <c r="DO137" i="82" s="1"/>
  <c r="DO138" i="82" s="1"/>
  <c r="DO139" i="82" s="1"/>
  <c r="DO140" i="82" s="1"/>
  <c r="DO141" i="82" s="1"/>
  <c r="DO142" i="82" s="1"/>
  <c r="DO143" i="82" s="1"/>
  <c r="DO144" i="82" s="1"/>
  <c r="DO145" i="82" s="1"/>
  <c r="DO146" i="82" s="1"/>
  <c r="DO147" i="82" s="1"/>
  <c r="DO148" i="82" s="1"/>
  <c r="DO149" i="82" s="1"/>
  <c r="DO150" i="82" s="1"/>
  <c r="DO151" i="82" s="1"/>
  <c r="DO152" i="82" s="1"/>
  <c r="DO153" i="82" s="1"/>
  <c r="DO154" i="82" s="1"/>
  <c r="DO155" i="82" s="1"/>
  <c r="DO156" i="82" s="1"/>
  <c r="DO157" i="82" s="1"/>
  <c r="DO158" i="82" s="1"/>
  <c r="DO159" i="82" s="1"/>
  <c r="DO160" i="82" s="1"/>
  <c r="DO161" i="82" s="1"/>
  <c r="DO162" i="82" s="1"/>
  <c r="DO163" i="82" s="1"/>
  <c r="DO164" i="82" s="1"/>
  <c r="DO165" i="82" s="1"/>
  <c r="DO166" i="82" s="1"/>
  <c r="DO167" i="82" s="1"/>
  <c r="DO168" i="82" s="1"/>
  <c r="DO169" i="82" s="1"/>
  <c r="DO170" i="82" s="1"/>
  <c r="DO171" i="82" s="1"/>
  <c r="DO172" i="82" s="1"/>
  <c r="DO173" i="82" s="1"/>
  <c r="DO174" i="82" s="1"/>
  <c r="DO175" i="82" s="1"/>
  <c r="DO176" i="82" s="1"/>
  <c r="DO177" i="82" s="1"/>
  <c r="DO178" i="82" s="1"/>
  <c r="DO179" i="82" s="1"/>
  <c r="DO180" i="82" s="1"/>
  <c r="DO181" i="82" s="1"/>
  <c r="DO182" i="82" s="1"/>
  <c r="DO183" i="82" s="1"/>
  <c r="DO184" i="82" s="1"/>
  <c r="DO185" i="82" s="1"/>
  <c r="DO186" i="82" s="1"/>
  <c r="DO187" i="82" s="1"/>
  <c r="DO188" i="82" s="1"/>
  <c r="DO189" i="82" s="1"/>
  <c r="DO190" i="82" s="1"/>
  <c r="DO191" i="82" s="1"/>
  <c r="DO192" i="82" s="1"/>
  <c r="DO193" i="82" s="1"/>
  <c r="DO194" i="82" s="1"/>
  <c r="DO195" i="82" s="1"/>
  <c r="DO196" i="82" s="1"/>
  <c r="DO197" i="82" s="1"/>
  <c r="DO198" i="82" s="1"/>
  <c r="DO199" i="82" s="1"/>
  <c r="DO200" i="82" s="1"/>
  <c r="DO201" i="82" s="1"/>
  <c r="DO202" i="82" s="1"/>
  <c r="DO203" i="82" s="1"/>
  <c r="DO204" i="82" s="1"/>
  <c r="DO205" i="82" s="1"/>
  <c r="DO206" i="82" s="1"/>
  <c r="DO207" i="82" s="1"/>
  <c r="DO208" i="82" s="1"/>
  <c r="DO209" i="82" s="1"/>
  <c r="DO210" i="82" s="1"/>
  <c r="DO211" i="82" s="1"/>
  <c r="DO212" i="82" s="1"/>
  <c r="DO213" i="82" s="1"/>
  <c r="DO214" i="82" s="1"/>
  <c r="DO215" i="82" s="1"/>
  <c r="DO216" i="82" s="1"/>
  <c r="DO217" i="82" s="1"/>
  <c r="DO218" i="82" s="1"/>
  <c r="DO219" i="82" s="1"/>
  <c r="DO220" i="82" s="1"/>
  <c r="DO221" i="82" s="1"/>
  <c r="DO222" i="82" s="1"/>
  <c r="DO223" i="82" s="1"/>
  <c r="DO224" i="82" s="1"/>
  <c r="DO225" i="82" s="1"/>
  <c r="DO226" i="82" s="1"/>
  <c r="DP11" i="82"/>
  <c r="DP12" i="82" s="1"/>
  <c r="DP13" i="82" s="1"/>
  <c r="DP14" i="82" s="1"/>
  <c r="DP15" i="82" s="1"/>
  <c r="DP16" i="82" s="1"/>
  <c r="DP17" i="82" s="1"/>
  <c r="DP18" i="82" s="1"/>
  <c r="DP19" i="82" s="1"/>
  <c r="DP20" i="82" s="1"/>
  <c r="DP21" i="82" s="1"/>
  <c r="DP22" i="82" s="1"/>
  <c r="DP23" i="82" s="1"/>
  <c r="DP24" i="82" s="1"/>
  <c r="DP25" i="82" s="1"/>
  <c r="DP26" i="82" s="1"/>
  <c r="DP27" i="82" s="1"/>
  <c r="DP28" i="82" s="1"/>
  <c r="DP29" i="82" s="1"/>
  <c r="DP30" i="82" s="1"/>
  <c r="DP31" i="82" s="1"/>
  <c r="DP32" i="82" s="1"/>
  <c r="DP33" i="82" s="1"/>
  <c r="DP34" i="82" s="1"/>
  <c r="DP35" i="82" s="1"/>
  <c r="DP36" i="82" s="1"/>
  <c r="DP37" i="82" s="1"/>
  <c r="DP38" i="82" s="1"/>
  <c r="DP39" i="82" s="1"/>
  <c r="DP40" i="82" s="1"/>
  <c r="DP41" i="82" s="1"/>
  <c r="DP42" i="82" s="1"/>
  <c r="DP43" i="82" s="1"/>
  <c r="DP44" i="82" s="1"/>
  <c r="DP45" i="82" s="1"/>
  <c r="DP46" i="82" s="1"/>
  <c r="DP47" i="82" s="1"/>
  <c r="DP48" i="82" s="1"/>
  <c r="DP49" i="82" s="1"/>
  <c r="DP50" i="82" s="1"/>
  <c r="DP51" i="82" s="1"/>
  <c r="DP52" i="82" s="1"/>
  <c r="DP53" i="82" s="1"/>
  <c r="DP54" i="82" s="1"/>
  <c r="DP55" i="82" s="1"/>
  <c r="DP56" i="82" s="1"/>
  <c r="DP57" i="82" s="1"/>
  <c r="DP58" i="82" s="1"/>
  <c r="DP59" i="82" s="1"/>
  <c r="DP60" i="82" s="1"/>
  <c r="DP61" i="82" s="1"/>
  <c r="DP62" i="82" s="1"/>
  <c r="DP63" i="82" s="1"/>
  <c r="DP64" i="82" s="1"/>
  <c r="DP65" i="82" s="1"/>
  <c r="DP66" i="82" s="1"/>
  <c r="DP67" i="82" s="1"/>
  <c r="DP68" i="82" s="1"/>
  <c r="DP69" i="82" s="1"/>
  <c r="DP70" i="82" s="1"/>
  <c r="DP71" i="82" s="1"/>
  <c r="DP72" i="82" s="1"/>
  <c r="DP73" i="82" s="1"/>
  <c r="DP74" i="82" s="1"/>
  <c r="DP75" i="82" s="1"/>
  <c r="DP76" i="82" s="1"/>
  <c r="DP77" i="82" s="1"/>
  <c r="DP78" i="82" s="1"/>
  <c r="DP79" i="82" s="1"/>
  <c r="DP80" i="82" s="1"/>
  <c r="DP81" i="82" s="1"/>
  <c r="DP82" i="82" s="1"/>
  <c r="DP83" i="82" s="1"/>
  <c r="DP84" i="82" s="1"/>
  <c r="DP85" i="82" s="1"/>
  <c r="DP86" i="82" s="1"/>
  <c r="DP87" i="82" s="1"/>
  <c r="DP88" i="82" s="1"/>
  <c r="DP89" i="82" s="1"/>
  <c r="DP90" i="82" s="1"/>
  <c r="DP91" i="82" s="1"/>
  <c r="DP92" i="82" s="1"/>
  <c r="DP93" i="82" s="1"/>
  <c r="DP94" i="82" s="1"/>
  <c r="DP95" i="82" s="1"/>
  <c r="DP96" i="82" s="1"/>
  <c r="DP97" i="82" s="1"/>
  <c r="DP98" i="82" s="1"/>
  <c r="DP99" i="82" s="1"/>
  <c r="DP100" i="82" s="1"/>
  <c r="DP101" i="82" s="1"/>
  <c r="DP102" i="82" s="1"/>
  <c r="DP103" i="82" s="1"/>
  <c r="DP104" i="82" s="1"/>
  <c r="DP105" i="82" s="1"/>
  <c r="DP106" i="82" s="1"/>
  <c r="DP107" i="82" s="1"/>
  <c r="DP108" i="82" s="1"/>
  <c r="DP109" i="82" s="1"/>
  <c r="DP110" i="82" s="1"/>
  <c r="DP111" i="82" s="1"/>
  <c r="DP112" i="82" s="1"/>
  <c r="DP113" i="82" s="1"/>
  <c r="DP114" i="82" s="1"/>
  <c r="DP115" i="82" s="1"/>
  <c r="DP116" i="82" s="1"/>
  <c r="DP117" i="82" s="1"/>
  <c r="DP118" i="82" s="1"/>
  <c r="DP119" i="82" s="1"/>
  <c r="DP120" i="82" s="1"/>
  <c r="DP121" i="82" s="1"/>
  <c r="DP122" i="82" s="1"/>
  <c r="DP123" i="82" s="1"/>
  <c r="DP124" i="82" s="1"/>
  <c r="DP125" i="82" s="1"/>
  <c r="DP126" i="82" s="1"/>
  <c r="DP127" i="82" s="1"/>
  <c r="DP128" i="82" s="1"/>
  <c r="DP129" i="82" s="1"/>
  <c r="DP130" i="82" s="1"/>
  <c r="DP131" i="82" s="1"/>
  <c r="DP132" i="82" s="1"/>
  <c r="DP133" i="82" s="1"/>
  <c r="DP134" i="82" s="1"/>
  <c r="DP135" i="82" s="1"/>
  <c r="DP136" i="82" s="1"/>
  <c r="DP137" i="82" s="1"/>
  <c r="DP138" i="82" s="1"/>
  <c r="DP139" i="82" s="1"/>
  <c r="DP140" i="82" s="1"/>
  <c r="DP141" i="82" s="1"/>
  <c r="DP142" i="82" s="1"/>
  <c r="DP143" i="82" s="1"/>
  <c r="DP144" i="82" s="1"/>
  <c r="DP145" i="82" s="1"/>
  <c r="DP146" i="82" s="1"/>
  <c r="DP147" i="82" s="1"/>
  <c r="DP148" i="82" s="1"/>
  <c r="DP149" i="82" s="1"/>
  <c r="DP150" i="82" s="1"/>
  <c r="DP151" i="82" s="1"/>
  <c r="DP152" i="82" s="1"/>
  <c r="DP153" i="82" s="1"/>
  <c r="DP154" i="82" s="1"/>
  <c r="DP155" i="82" s="1"/>
  <c r="DP156" i="82" s="1"/>
  <c r="DP157" i="82" s="1"/>
  <c r="DP158" i="82" s="1"/>
  <c r="DP159" i="82" s="1"/>
  <c r="DP160" i="82" s="1"/>
  <c r="DP161" i="82" s="1"/>
  <c r="DP162" i="82" s="1"/>
  <c r="DP163" i="82" s="1"/>
  <c r="DP164" i="82" s="1"/>
  <c r="DP165" i="82" s="1"/>
  <c r="DP166" i="82" s="1"/>
  <c r="DP167" i="82" s="1"/>
  <c r="DP168" i="82" s="1"/>
  <c r="DP169" i="82" s="1"/>
  <c r="DP170" i="82" s="1"/>
  <c r="DP171" i="82" s="1"/>
  <c r="DP172" i="82" s="1"/>
  <c r="DP173" i="82" s="1"/>
  <c r="DP174" i="82" s="1"/>
  <c r="DP175" i="82" s="1"/>
  <c r="DP176" i="82" s="1"/>
  <c r="DP177" i="82" s="1"/>
  <c r="DP178" i="82" s="1"/>
  <c r="DP179" i="82" s="1"/>
  <c r="DP180" i="82" s="1"/>
  <c r="DP181" i="82" s="1"/>
  <c r="DP182" i="82" s="1"/>
  <c r="DP183" i="82" s="1"/>
  <c r="DP184" i="82" s="1"/>
  <c r="DP185" i="82" s="1"/>
  <c r="DP186" i="82" s="1"/>
  <c r="DP187" i="82" s="1"/>
  <c r="DP188" i="82" s="1"/>
  <c r="DP189" i="82" s="1"/>
  <c r="DP190" i="82" s="1"/>
  <c r="DP191" i="82" s="1"/>
  <c r="DP192" i="82" s="1"/>
  <c r="DP193" i="82" s="1"/>
  <c r="DP194" i="82" s="1"/>
  <c r="DP195" i="82" s="1"/>
  <c r="DP196" i="82" s="1"/>
  <c r="DP197" i="82" s="1"/>
  <c r="DP198" i="82" s="1"/>
  <c r="DP199" i="82" s="1"/>
  <c r="DP200" i="82" s="1"/>
  <c r="DP201" i="82" s="1"/>
  <c r="DP202" i="82" s="1"/>
  <c r="DP203" i="82" s="1"/>
  <c r="DP204" i="82" s="1"/>
  <c r="DP205" i="82" s="1"/>
  <c r="DP206" i="82" s="1"/>
  <c r="DP207" i="82" s="1"/>
  <c r="DP208" i="82" s="1"/>
  <c r="DP209" i="82" s="1"/>
  <c r="DP210" i="82" s="1"/>
  <c r="DP211" i="82" s="1"/>
  <c r="DP212" i="82" s="1"/>
  <c r="DP213" i="82" s="1"/>
  <c r="DP214" i="82" s="1"/>
  <c r="DP215" i="82" s="1"/>
  <c r="DP216" i="82" s="1"/>
  <c r="DP217" i="82" s="1"/>
  <c r="DP218" i="82" s="1"/>
  <c r="DP219" i="82" s="1"/>
  <c r="DP220" i="82" s="1"/>
  <c r="DP221" i="82" s="1"/>
  <c r="DP222" i="82" s="1"/>
  <c r="DP223" i="82" s="1"/>
  <c r="DP224" i="82" s="1"/>
  <c r="DP225" i="82" s="1"/>
  <c r="DP226" i="82" s="1"/>
  <c r="EE4" i="30"/>
  <c r="EE3" i="30"/>
  <c r="G6" i="85" s="1"/>
  <c r="F7" i="85" s="1"/>
  <c r="EK11" i="30"/>
  <c r="M7" i="48" l="1"/>
  <c r="I8" i="81" s="1"/>
  <c r="Q7" i="48"/>
  <c r="L8" i="81" s="1"/>
  <c r="O7" i="48"/>
  <c r="J8" i="81" s="1"/>
  <c r="P7" i="48"/>
  <c r="K8" i="81" s="1"/>
  <c r="J6" i="85"/>
  <c r="Q9" i="81"/>
  <c r="I6" i="85"/>
  <c r="R9" i="81"/>
  <c r="K6" i="85"/>
  <c r="M6" i="85" s="1"/>
  <c r="I7" i="85"/>
  <c r="G7" i="85"/>
  <c r="F8" i="85" s="1"/>
  <c r="J8" i="85" s="1"/>
  <c r="K7" i="85"/>
  <c r="M7" i="85" s="1"/>
  <c r="P9" i="81"/>
  <c r="O10" i="81" s="1"/>
  <c r="Q10" i="81" s="1"/>
  <c r="J7" i="85"/>
  <c r="EF3" i="30"/>
  <c r="EF4" i="30"/>
  <c r="DQ11" i="82"/>
  <c r="DQ12" i="82" s="1"/>
  <c r="DQ13" i="82" s="1"/>
  <c r="DQ14" i="82" s="1"/>
  <c r="DQ15" i="82" s="1"/>
  <c r="DQ16" i="82" s="1"/>
  <c r="DQ17" i="82" s="1"/>
  <c r="DQ18" i="82" s="1"/>
  <c r="DQ19" i="82" s="1"/>
  <c r="DQ20" i="82" s="1"/>
  <c r="DQ21" i="82" s="1"/>
  <c r="DQ22" i="82" s="1"/>
  <c r="DQ23" i="82" s="1"/>
  <c r="DQ24" i="82" s="1"/>
  <c r="DQ25" i="82" s="1"/>
  <c r="DQ26" i="82" s="1"/>
  <c r="DQ27" i="82" s="1"/>
  <c r="DQ28" i="82" s="1"/>
  <c r="DQ29" i="82" s="1"/>
  <c r="DQ30" i="82" s="1"/>
  <c r="DQ31" i="82" s="1"/>
  <c r="DQ32" i="82" s="1"/>
  <c r="DQ33" i="82" s="1"/>
  <c r="DQ34" i="82" s="1"/>
  <c r="DQ35" i="82" s="1"/>
  <c r="DQ36" i="82" s="1"/>
  <c r="DQ37" i="82" s="1"/>
  <c r="DQ38" i="82" s="1"/>
  <c r="DQ39" i="82" s="1"/>
  <c r="DQ40" i="82" s="1"/>
  <c r="DQ41" i="82" s="1"/>
  <c r="DQ42" i="82" s="1"/>
  <c r="DQ43" i="82" s="1"/>
  <c r="DQ44" i="82" s="1"/>
  <c r="DQ45" i="82" s="1"/>
  <c r="DQ46" i="82" s="1"/>
  <c r="DQ47" i="82" s="1"/>
  <c r="DQ48" i="82" s="1"/>
  <c r="DQ49" i="82" s="1"/>
  <c r="DQ50" i="82" s="1"/>
  <c r="DQ51" i="82" s="1"/>
  <c r="DQ52" i="82" s="1"/>
  <c r="DQ53" i="82" s="1"/>
  <c r="DQ54" i="82" s="1"/>
  <c r="DQ55" i="82" s="1"/>
  <c r="DQ56" i="82" s="1"/>
  <c r="DQ57" i="82" s="1"/>
  <c r="DQ58" i="82" s="1"/>
  <c r="DQ59" i="82" s="1"/>
  <c r="DQ60" i="82" s="1"/>
  <c r="DQ61" i="82" s="1"/>
  <c r="DQ62" i="82" s="1"/>
  <c r="DQ63" i="82" s="1"/>
  <c r="DQ64" i="82" s="1"/>
  <c r="DQ65" i="82" s="1"/>
  <c r="DQ66" i="82" s="1"/>
  <c r="DQ67" i="82" s="1"/>
  <c r="DQ68" i="82" s="1"/>
  <c r="DQ69" i="82" s="1"/>
  <c r="DQ70" i="82" s="1"/>
  <c r="DQ71" i="82" s="1"/>
  <c r="DQ72" i="82" s="1"/>
  <c r="DQ73" i="82" s="1"/>
  <c r="DQ74" i="82" s="1"/>
  <c r="DQ75" i="82" s="1"/>
  <c r="DQ76" i="82" s="1"/>
  <c r="DQ77" i="82" s="1"/>
  <c r="DQ78" i="82" s="1"/>
  <c r="DQ79" i="82" s="1"/>
  <c r="DQ80" i="82" s="1"/>
  <c r="DQ81" i="82" s="1"/>
  <c r="DQ82" i="82" s="1"/>
  <c r="DQ83" i="82" s="1"/>
  <c r="DQ84" i="82" s="1"/>
  <c r="DQ85" i="82" s="1"/>
  <c r="DQ86" i="82" s="1"/>
  <c r="DQ87" i="82" s="1"/>
  <c r="DQ88" i="82" s="1"/>
  <c r="DQ89" i="82" s="1"/>
  <c r="DQ90" i="82" s="1"/>
  <c r="DQ91" i="82" s="1"/>
  <c r="DQ92" i="82" s="1"/>
  <c r="DQ93" i="82" s="1"/>
  <c r="DQ94" i="82" s="1"/>
  <c r="DQ95" i="82" s="1"/>
  <c r="DQ96" i="82" s="1"/>
  <c r="DQ97" i="82" s="1"/>
  <c r="DQ98" i="82" s="1"/>
  <c r="DQ99" i="82" s="1"/>
  <c r="DQ100" i="82" s="1"/>
  <c r="DQ101" i="82" s="1"/>
  <c r="DQ102" i="82" s="1"/>
  <c r="DQ103" i="82" s="1"/>
  <c r="DQ104" i="82" s="1"/>
  <c r="DQ105" i="82" s="1"/>
  <c r="DQ106" i="82" s="1"/>
  <c r="DQ107" i="82" s="1"/>
  <c r="DQ108" i="82" s="1"/>
  <c r="DQ109" i="82" s="1"/>
  <c r="DQ110" i="82" s="1"/>
  <c r="DQ111" i="82" s="1"/>
  <c r="DQ112" i="82" s="1"/>
  <c r="DQ113" i="82" s="1"/>
  <c r="DQ114" i="82" s="1"/>
  <c r="DQ115" i="82" s="1"/>
  <c r="DQ116" i="82" s="1"/>
  <c r="DQ117" i="82" s="1"/>
  <c r="DQ118" i="82" s="1"/>
  <c r="DQ119" i="82" s="1"/>
  <c r="DQ120" i="82" s="1"/>
  <c r="DQ121" i="82" s="1"/>
  <c r="DQ122" i="82" s="1"/>
  <c r="DQ123" i="82" s="1"/>
  <c r="DQ124" i="82" s="1"/>
  <c r="DQ125" i="82" s="1"/>
  <c r="DQ126" i="82" s="1"/>
  <c r="DQ127" i="82" s="1"/>
  <c r="DQ128" i="82" s="1"/>
  <c r="DQ129" i="82" s="1"/>
  <c r="DQ130" i="82" s="1"/>
  <c r="DQ131" i="82" s="1"/>
  <c r="DQ132" i="82" s="1"/>
  <c r="DQ133" i="82" s="1"/>
  <c r="DQ134" i="82" s="1"/>
  <c r="DQ135" i="82" s="1"/>
  <c r="DQ136" i="82" s="1"/>
  <c r="DQ137" i="82" s="1"/>
  <c r="DQ138" i="82" s="1"/>
  <c r="DQ139" i="82" s="1"/>
  <c r="DQ140" i="82" s="1"/>
  <c r="DQ141" i="82" s="1"/>
  <c r="DQ142" i="82" s="1"/>
  <c r="DQ143" i="82" s="1"/>
  <c r="DQ144" i="82" s="1"/>
  <c r="DQ145" i="82" s="1"/>
  <c r="DQ146" i="82" s="1"/>
  <c r="DQ147" i="82" s="1"/>
  <c r="DQ148" i="82" s="1"/>
  <c r="DQ149" i="82" s="1"/>
  <c r="DQ150" i="82" s="1"/>
  <c r="DQ151" i="82" s="1"/>
  <c r="DQ152" i="82" s="1"/>
  <c r="DQ153" i="82" s="1"/>
  <c r="DQ154" i="82" s="1"/>
  <c r="DQ155" i="82" s="1"/>
  <c r="DQ156" i="82" s="1"/>
  <c r="DQ157" i="82" s="1"/>
  <c r="DQ158" i="82" s="1"/>
  <c r="DQ159" i="82" s="1"/>
  <c r="DQ160" i="82" s="1"/>
  <c r="DQ161" i="82" s="1"/>
  <c r="DQ162" i="82" s="1"/>
  <c r="DQ163" i="82" s="1"/>
  <c r="DQ164" i="82" s="1"/>
  <c r="DQ165" i="82" s="1"/>
  <c r="DQ166" i="82" s="1"/>
  <c r="DQ167" i="82" s="1"/>
  <c r="DQ168" i="82" s="1"/>
  <c r="DQ169" i="82" s="1"/>
  <c r="DQ170" i="82" s="1"/>
  <c r="DQ171" i="82" s="1"/>
  <c r="DQ172" i="82" s="1"/>
  <c r="DQ173" i="82" s="1"/>
  <c r="DQ174" i="82" s="1"/>
  <c r="DQ175" i="82" s="1"/>
  <c r="DQ176" i="82" s="1"/>
  <c r="DQ177" i="82" s="1"/>
  <c r="DQ178" i="82" s="1"/>
  <c r="DQ179" i="82" s="1"/>
  <c r="DQ180" i="82" s="1"/>
  <c r="DQ181" i="82" s="1"/>
  <c r="DQ182" i="82" s="1"/>
  <c r="DQ183" i="82" s="1"/>
  <c r="DQ184" i="82" s="1"/>
  <c r="DQ185" i="82" s="1"/>
  <c r="DQ186" i="82" s="1"/>
  <c r="DQ187" i="82" s="1"/>
  <c r="DQ188" i="82" s="1"/>
  <c r="DQ189" i="82" s="1"/>
  <c r="DQ190" i="82" s="1"/>
  <c r="DQ191" i="82" s="1"/>
  <c r="DQ192" i="82" s="1"/>
  <c r="DQ193" i="82" s="1"/>
  <c r="DQ194" i="82" s="1"/>
  <c r="DQ195" i="82" s="1"/>
  <c r="DQ196" i="82" s="1"/>
  <c r="DQ197" i="82" s="1"/>
  <c r="DQ198" i="82" s="1"/>
  <c r="DQ199" i="82" s="1"/>
  <c r="DQ200" i="82" s="1"/>
  <c r="DQ201" i="82" s="1"/>
  <c r="DQ202" i="82" s="1"/>
  <c r="DQ203" i="82" s="1"/>
  <c r="DQ204" i="82" s="1"/>
  <c r="DQ205" i="82" s="1"/>
  <c r="DQ206" i="82" s="1"/>
  <c r="DQ207" i="82" s="1"/>
  <c r="DQ208" i="82" s="1"/>
  <c r="DQ209" i="82" s="1"/>
  <c r="DQ210" i="82" s="1"/>
  <c r="DQ211" i="82" s="1"/>
  <c r="DQ212" i="82" s="1"/>
  <c r="DQ213" i="82" s="1"/>
  <c r="DQ214" i="82" s="1"/>
  <c r="DQ215" i="82" s="1"/>
  <c r="DQ216" i="82" s="1"/>
  <c r="DQ217" i="82" s="1"/>
  <c r="DQ218" i="82" s="1"/>
  <c r="DQ219" i="82" s="1"/>
  <c r="DQ220" i="82" s="1"/>
  <c r="DQ221" i="82" s="1"/>
  <c r="DQ222" i="82" s="1"/>
  <c r="DQ223" i="82" s="1"/>
  <c r="DQ224" i="82" s="1"/>
  <c r="DQ225" i="82" s="1"/>
  <c r="DQ226" i="82" s="1"/>
  <c r="N7" i="48" l="1"/>
  <c r="H6" i="85" s="1"/>
  <c r="L8" i="48"/>
  <c r="H9" i="81" s="1"/>
  <c r="P10" i="81"/>
  <c r="O11" i="81" s="1"/>
  <c r="P11" i="81" s="1"/>
  <c r="O12" i="81" s="1"/>
  <c r="I8" i="85"/>
  <c r="G8" i="85"/>
  <c r="F9" i="85" s="1"/>
  <c r="K8" i="85"/>
  <c r="M8" i="85" s="1"/>
  <c r="S10" i="81"/>
  <c r="R10" i="81"/>
  <c r="EG3" i="30"/>
  <c r="EG4" i="30"/>
  <c r="R11" i="81" l="1"/>
  <c r="Q11" i="81"/>
  <c r="S11" i="81"/>
  <c r="Q8" i="48"/>
  <c r="L9" i="81" s="1"/>
  <c r="P8" i="48"/>
  <c r="K9" i="81" s="1"/>
  <c r="M8" i="48"/>
  <c r="I9" i="81" s="1"/>
  <c r="O8" i="48"/>
  <c r="J9" i="81" s="1"/>
  <c r="I9" i="85"/>
  <c r="J9" i="85"/>
  <c r="K9" i="85"/>
  <c r="M9" i="85" s="1"/>
  <c r="G9" i="85"/>
  <c r="F10" i="85" s="1"/>
  <c r="Q12" i="81"/>
  <c r="R12" i="81"/>
  <c r="P12" i="81"/>
  <c r="O13" i="81" s="1"/>
  <c r="S12" i="81"/>
  <c r="N8" i="48" l="1"/>
  <c r="H7" i="85" s="1"/>
  <c r="L9" i="48"/>
  <c r="K10" i="85"/>
  <c r="M10" i="85" s="1"/>
  <c r="I10" i="85"/>
  <c r="J10" i="85"/>
  <c r="G10" i="85"/>
  <c r="F11" i="85" s="1"/>
  <c r="Q13" i="81"/>
  <c r="S13" i="81"/>
  <c r="R13" i="81"/>
  <c r="P13" i="81"/>
  <c r="O14" i="81"/>
  <c r="Q9" i="48" l="1"/>
  <c r="L10" i="81" s="1"/>
  <c r="P9" i="48"/>
  <c r="K10" i="81" s="1"/>
  <c r="H10" i="81"/>
  <c r="M9" i="48"/>
  <c r="I10" i="81" s="1"/>
  <c r="O9" i="48"/>
  <c r="J10" i="81" s="1"/>
  <c r="G11" i="85"/>
  <c r="F12" i="85" s="1"/>
  <c r="K11" i="85"/>
  <c r="M11" i="85" s="1"/>
  <c r="I11" i="85"/>
  <c r="J11" i="85"/>
  <c r="Q14" i="81"/>
  <c r="S14" i="81"/>
  <c r="R14" i="81"/>
  <c r="O15" i="81"/>
  <c r="P14" i="81"/>
  <c r="N9" i="48" l="1"/>
  <c r="H8" i="85" s="1"/>
  <c r="L10" i="48"/>
  <c r="G12" i="85"/>
  <c r="J12" i="85"/>
  <c r="K12" i="85"/>
  <c r="M12" i="85" s="1"/>
  <c r="H12" i="85"/>
  <c r="F13" i="85"/>
  <c r="I12" i="85"/>
  <c r="Q15" i="81"/>
  <c r="S15" i="81"/>
  <c r="O16" i="81"/>
  <c r="R15" i="81"/>
  <c r="P15" i="81"/>
  <c r="P10" i="48" l="1"/>
  <c r="K11" i="81" s="1"/>
  <c r="Q10" i="48"/>
  <c r="L11" i="81" s="1"/>
  <c r="O10" i="48"/>
  <c r="J11" i="81" s="1"/>
  <c r="M10" i="48"/>
  <c r="I11" i="81" s="1"/>
  <c r="H11" i="81"/>
  <c r="I13" i="85"/>
  <c r="K13" i="85"/>
  <c r="M13" i="85" s="1"/>
  <c r="G13" i="85"/>
  <c r="F14" i="85"/>
  <c r="H13" i="85"/>
  <c r="J13" i="85"/>
  <c r="O17" i="81"/>
  <c r="P16" i="81"/>
  <c r="R16" i="81"/>
  <c r="Q16" i="81"/>
  <c r="S16" i="81"/>
  <c r="L11" i="48" l="1"/>
  <c r="N10" i="48"/>
  <c r="H9" i="85" s="1"/>
  <c r="G14" i="85"/>
  <c r="J14" i="85"/>
  <c r="H14" i="85"/>
  <c r="K14" i="85"/>
  <c r="M14" i="85" s="1"/>
  <c r="F15" i="85"/>
  <c r="I14" i="85"/>
  <c r="R17" i="81"/>
  <c r="P17" i="81"/>
  <c r="O18" i="81"/>
  <c r="Q17" i="81"/>
  <c r="S17" i="81"/>
  <c r="Q11" i="48" l="1"/>
  <c r="L12" i="81" s="1"/>
  <c r="P11" i="48"/>
  <c r="K12" i="81" s="1"/>
  <c r="M11" i="48"/>
  <c r="I12" i="81" s="1"/>
  <c r="O11" i="48"/>
  <c r="J12" i="81" s="1"/>
  <c r="H12" i="81"/>
  <c r="G15" i="85"/>
  <c r="I15" i="85"/>
  <c r="F16" i="85"/>
  <c r="J15" i="85"/>
  <c r="K15" i="85"/>
  <c r="M15" i="85" s="1"/>
  <c r="H15" i="85"/>
  <c r="P18" i="81"/>
  <c r="R18" i="81"/>
  <c r="S18" i="81"/>
  <c r="Q18" i="81"/>
  <c r="O19" i="81"/>
  <c r="L12" i="48" l="1"/>
  <c r="N11" i="48"/>
  <c r="H10" i="85" s="1"/>
  <c r="P12" i="48"/>
  <c r="K13" i="81" s="1"/>
  <c r="O12" i="48"/>
  <c r="J13" i="81" s="1"/>
  <c r="M12" i="48"/>
  <c r="I13" i="81" s="1"/>
  <c r="H13" i="81"/>
  <c r="Q12" i="48"/>
  <c r="L13" i="81" s="1"/>
  <c r="H16" i="85"/>
  <c r="G16" i="85"/>
  <c r="J16" i="85"/>
  <c r="I16" i="85"/>
  <c r="F17" i="85"/>
  <c r="K16" i="85"/>
  <c r="M16" i="85" s="1"/>
  <c r="R19" i="81"/>
  <c r="S19" i="81"/>
  <c r="O20" i="81"/>
  <c r="P19" i="81"/>
  <c r="Q19" i="81"/>
  <c r="L13" i="48" l="1"/>
  <c r="N12" i="48"/>
  <c r="Q13" i="48"/>
  <c r="L14" i="81" s="1"/>
  <c r="L14" i="48"/>
  <c r="O13" i="48"/>
  <c r="J14" i="81" s="1"/>
  <c r="P13" i="48"/>
  <c r="K14" i="81" s="1"/>
  <c r="M13" i="48"/>
  <c r="I14" i="81" s="1"/>
  <c r="N13" i="48"/>
  <c r="H14" i="81"/>
  <c r="G17" i="85"/>
  <c r="I17" i="85"/>
  <c r="K17" i="85"/>
  <c r="M17" i="85" s="1"/>
  <c r="F18" i="85"/>
  <c r="J17" i="85"/>
  <c r="H17" i="85"/>
  <c r="R20" i="81"/>
  <c r="Q20" i="81"/>
  <c r="P20" i="81"/>
  <c r="O21" i="81"/>
  <c r="S20" i="81"/>
  <c r="Q14" i="48" l="1"/>
  <c r="L15" i="81" s="1"/>
  <c r="N14" i="48"/>
  <c r="H15" i="81"/>
  <c r="M14" i="48"/>
  <c r="I15" i="81" s="1"/>
  <c r="O14" i="48"/>
  <c r="J15" i="81" s="1"/>
  <c r="P14" i="48"/>
  <c r="K15" i="81" s="1"/>
  <c r="L15" i="48"/>
  <c r="J18" i="85"/>
  <c r="K18" i="85"/>
  <c r="M18" i="85" s="1"/>
  <c r="I18" i="85"/>
  <c r="G18" i="85"/>
  <c r="H18" i="85"/>
  <c r="F19" i="85"/>
  <c r="R21" i="81"/>
  <c r="O22" i="81"/>
  <c r="P21" i="81"/>
  <c r="Q21" i="81"/>
  <c r="S21" i="81"/>
  <c r="L16" i="48" l="1"/>
  <c r="M15" i="48"/>
  <c r="I16" i="81" s="1"/>
  <c r="N15" i="48"/>
  <c r="H16" i="81"/>
  <c r="Q15" i="48"/>
  <c r="L16" i="81" s="1"/>
  <c r="P15" i="48"/>
  <c r="K16" i="81" s="1"/>
  <c r="O15" i="48"/>
  <c r="J16" i="81" s="1"/>
  <c r="K19" i="85"/>
  <c r="M19" i="85" s="1"/>
  <c r="J19" i="85"/>
  <c r="H19" i="85"/>
  <c r="I19" i="85"/>
  <c r="F20" i="85"/>
  <c r="G19" i="85"/>
  <c r="O23" i="81"/>
  <c r="R22" i="81"/>
  <c r="Q22" i="81"/>
  <c r="P22" i="81"/>
  <c r="S22" i="81"/>
  <c r="M16" i="48" l="1"/>
  <c r="I17" i="81" s="1"/>
  <c r="Q16" i="48"/>
  <c r="L17" i="81" s="1"/>
  <c r="P16" i="48"/>
  <c r="K17" i="81" s="1"/>
  <c r="N16" i="48"/>
  <c r="L17" i="48"/>
  <c r="H17" i="81"/>
  <c r="O16" i="48"/>
  <c r="J17" i="81" s="1"/>
  <c r="H20" i="85"/>
  <c r="I20" i="85"/>
  <c r="G20" i="85"/>
  <c r="J20" i="85"/>
  <c r="F21" i="85"/>
  <c r="K20" i="85"/>
  <c r="M20" i="85" s="1"/>
  <c r="Q23" i="81"/>
  <c r="P23" i="81"/>
  <c r="S23" i="81"/>
  <c r="R23" i="81"/>
  <c r="O24" i="81"/>
  <c r="H18" i="81" l="1"/>
  <c r="Q17" i="48"/>
  <c r="L18" i="81" s="1"/>
  <c r="O17" i="48"/>
  <c r="J18" i="81" s="1"/>
  <c r="M17" i="48"/>
  <c r="I18" i="81" s="1"/>
  <c r="P17" i="48"/>
  <c r="K18" i="81" s="1"/>
  <c r="L18" i="48"/>
  <c r="N17" i="48"/>
  <c r="H21" i="85"/>
  <c r="F22" i="85"/>
  <c r="G21" i="85"/>
  <c r="I21" i="85"/>
  <c r="K21" i="85"/>
  <c r="M21" i="85" s="1"/>
  <c r="J21" i="85"/>
  <c r="R24" i="81"/>
  <c r="Q24" i="81"/>
  <c r="S24" i="81"/>
  <c r="P24" i="81"/>
  <c r="O25" i="81"/>
  <c r="N18" i="48" l="1"/>
  <c r="P18" i="48"/>
  <c r="K19" i="81" s="1"/>
  <c r="H19" i="81"/>
  <c r="O18" i="48"/>
  <c r="J19" i="81" s="1"/>
  <c r="M18" i="48"/>
  <c r="I19" i="81" s="1"/>
  <c r="Q18" i="48"/>
  <c r="L19" i="81" s="1"/>
  <c r="L19" i="48"/>
  <c r="K22" i="85"/>
  <c r="M22" i="85" s="1"/>
  <c r="G22" i="85"/>
  <c r="F23" i="85"/>
  <c r="J22" i="85"/>
  <c r="H22" i="85"/>
  <c r="I22" i="85"/>
  <c r="Q25" i="81"/>
  <c r="P25" i="81"/>
  <c r="S25" i="81"/>
  <c r="R25" i="81"/>
  <c r="O26" i="81"/>
  <c r="L20" i="48" l="1"/>
  <c r="M19" i="48"/>
  <c r="I20" i="81" s="1"/>
  <c r="H20" i="81"/>
  <c r="Q19" i="48"/>
  <c r="L20" i="81" s="1"/>
  <c r="P19" i="48"/>
  <c r="K20" i="81" s="1"/>
  <c r="O19" i="48"/>
  <c r="J20" i="81" s="1"/>
  <c r="N19" i="48"/>
  <c r="H11" i="85" s="1"/>
  <c r="I23" i="85"/>
  <c r="J23" i="85"/>
  <c r="G23" i="85"/>
  <c r="F24" i="85"/>
  <c r="H23" i="85"/>
  <c r="K23" i="85"/>
  <c r="M23" i="85" s="1"/>
  <c r="Q26" i="81"/>
  <c r="S26" i="81"/>
  <c r="O27" i="81"/>
  <c r="R26" i="81"/>
  <c r="P26" i="81"/>
  <c r="Q20" i="48" l="1"/>
  <c r="L21" i="81" s="1"/>
  <c r="L21" i="48"/>
  <c r="P20" i="48"/>
  <c r="K21" i="81" s="1"/>
  <c r="N20" i="48"/>
  <c r="O20" i="48"/>
  <c r="J21" i="81" s="1"/>
  <c r="M20" i="48"/>
  <c r="I21" i="81" s="1"/>
  <c r="H21" i="81"/>
  <c r="J24" i="85"/>
  <c r="I24" i="85"/>
  <c r="H24" i="85"/>
  <c r="G24" i="85"/>
  <c r="F25" i="85"/>
  <c r="K24" i="85"/>
  <c r="M24" i="85" s="1"/>
  <c r="R27" i="81"/>
  <c r="P27" i="81"/>
  <c r="S27" i="81"/>
  <c r="Q27" i="81"/>
  <c r="Q21" i="48" l="1"/>
  <c r="L22" i="81" s="1"/>
  <c r="N21" i="48"/>
  <c r="O21" i="48"/>
  <c r="J22" i="81" s="1"/>
  <c r="H22" i="81"/>
  <c r="P21" i="48"/>
  <c r="K22" i="81" s="1"/>
  <c r="L22" i="48"/>
  <c r="M21" i="48"/>
  <c r="I22" i="81" s="1"/>
  <c r="I25" i="85"/>
  <c r="K25" i="85"/>
  <c r="M25" i="85" s="1"/>
  <c r="G25" i="85"/>
  <c r="H25" i="85"/>
  <c r="J25" i="85"/>
  <c r="N22" i="48" l="1"/>
  <c r="L23" i="48"/>
  <c r="O22" i="48"/>
  <c r="J23" i="81" s="1"/>
  <c r="P22" i="48"/>
  <c r="K23" i="81" s="1"/>
  <c r="H23" i="81"/>
  <c r="Q22" i="48"/>
  <c r="L23" i="81" s="1"/>
  <c r="M22" i="48"/>
  <c r="I23" i="81" s="1"/>
  <c r="Q23" i="48" l="1"/>
  <c r="L24" i="81" s="1"/>
  <c r="H24" i="81"/>
  <c r="O23" i="48"/>
  <c r="J24" i="81" s="1"/>
  <c r="L24" i="48"/>
  <c r="P23" i="48"/>
  <c r="K24" i="81" s="1"/>
  <c r="M23" i="48"/>
  <c r="I24" i="81" s="1"/>
  <c r="N23" i="48"/>
  <c r="P24" i="48" l="1"/>
  <c r="K25" i="81" s="1"/>
  <c r="M24" i="48"/>
  <c r="I25" i="81" s="1"/>
  <c r="Q24" i="48"/>
  <c r="L25" i="81" s="1"/>
  <c r="N24" i="48"/>
  <c r="L25" i="48"/>
  <c r="H25" i="81"/>
  <c r="O24" i="48"/>
  <c r="J25" i="81" s="1"/>
  <c r="M25" i="48" l="1"/>
  <c r="I26" i="81" s="1"/>
  <c r="L26" i="48"/>
  <c r="H26" i="81"/>
  <c r="P25" i="48"/>
  <c r="K26" i="81" s="1"/>
  <c r="O25" i="48"/>
  <c r="J26" i="81" s="1"/>
  <c r="N25" i="48"/>
  <c r="Q25" i="48"/>
  <c r="L26" i="81" s="1"/>
  <c r="P26" i="48" l="1"/>
  <c r="K27" i="81" s="1"/>
  <c r="N26" i="48"/>
  <c r="H27" i="81"/>
  <c r="O26" i="48"/>
  <c r="J27" i="81" s="1"/>
  <c r="Q26" i="48"/>
  <c r="L27" i="81" s="1"/>
  <c r="M26" i="48"/>
  <c r="I27" i="8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P31" authorId="0" shapeId="0" xr:uid="{48C8B402-109A-4923-9975-45DDE052638C}">
      <text>
        <r>
          <rPr>
            <b/>
            <sz val="8"/>
            <color indexed="81"/>
            <rFont val="Tahoma"/>
            <family val="2"/>
          </rPr>
          <t>לחץ למסמך רלוונטי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E22" authorId="0" shapeId="0" xr:uid="{00000000-0006-0000-2000-000001000000}">
      <text>
        <r>
          <rPr>
            <b/>
            <sz val="8"/>
            <color indexed="81"/>
            <rFont val="Tahoma"/>
            <family val="2"/>
          </rPr>
          <t>לחץ למסמך רלוונטי</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<sst xmlns="http://schemas.openxmlformats.org/spreadsheetml/2006/main" count="42618" uniqueCount="5798">
  <si>
    <t>שם</t>
  </si>
  <si>
    <t>ישראל ישראלי</t>
  </si>
  <si>
    <t>אחוז משרה</t>
  </si>
  <si>
    <t>ת.ז.</t>
  </si>
  <si>
    <t>אחוז גמלה</t>
  </si>
  <si>
    <t>שורה</t>
  </si>
  <si>
    <t>סמל</t>
  </si>
  <si>
    <t>משרד</t>
  </si>
  <si>
    <t>חוק מינימום</t>
  </si>
  <si>
    <t>חודש פרישה</t>
  </si>
  <si>
    <t>השלמה למינימום</t>
  </si>
  <si>
    <t>דריכות בית חולים</t>
  </si>
  <si>
    <t>חודש חישוב</t>
  </si>
  <si>
    <t xml:space="preserve">המספר הנעלם </t>
  </si>
  <si>
    <t>בי"ח מאוחדת</t>
  </si>
  <si>
    <t>מס' חודשי רטרו</t>
  </si>
  <si>
    <t>דירוג</t>
  </si>
  <si>
    <t>דרגה</t>
  </si>
  <si>
    <t>וותק</t>
  </si>
  <si>
    <t>המספר הנעלם</t>
  </si>
  <si>
    <t>מנמ"ש</t>
  </si>
  <si>
    <t>גמול השתלמות א'</t>
  </si>
  <si>
    <t>גמול השתלמות ב'</t>
  </si>
  <si>
    <t>מנמ"ש 2022</t>
  </si>
  <si>
    <t>אחוזית 2016</t>
  </si>
  <si>
    <t>מקצועית מיסים</t>
  </si>
  <si>
    <t>שקלית 2023</t>
  </si>
  <si>
    <t>בוררות מיסים</t>
  </si>
  <si>
    <t>תוס שכר מיסים</t>
  </si>
  <si>
    <t>תוס שיקלית בטל"א</t>
  </si>
  <si>
    <t>ר חדשה שיקלי</t>
  </si>
  <si>
    <t>ר חדשה אחוז</t>
  </si>
  <si>
    <t>ותק פעילות</t>
  </si>
  <si>
    <t>משכורת קובעת</t>
  </si>
  <si>
    <t>חוקר מבקרים</t>
  </si>
  <si>
    <t>תוספת רפורמה</t>
  </si>
  <si>
    <t>רפורמה ב</t>
  </si>
  <si>
    <t>סה"כ משכורת קובעת</t>
  </si>
  <si>
    <t>ענ"א</t>
  </si>
  <si>
    <t>גמלה ברוטו</t>
  </si>
  <si>
    <t>מנמ"ש 2010</t>
  </si>
  <si>
    <t>גמול מינהל</t>
  </si>
  <si>
    <t>מס שורה</t>
  </si>
  <si>
    <t>מס רץ</t>
  </si>
  <si>
    <t>מס סידורי</t>
  </si>
  <si>
    <t>תצוגת אחוז תוספת</t>
  </si>
  <si>
    <t>אחוז תוספת</t>
  </si>
  <si>
    <t>סמל שכר</t>
  </si>
  <si>
    <t>מסד</t>
  </si>
  <si>
    <t>קוד חודש</t>
  </si>
  <si>
    <t>קוד חודש חישוב</t>
  </si>
  <si>
    <t>קוד משרד</t>
  </si>
  <si>
    <t>קוד משרד בחיל"ן</t>
  </si>
  <si>
    <t>קוד דרוג</t>
  </si>
  <si>
    <t>דרוג</t>
  </si>
  <si>
    <t>קוד דרוג חיל"ן</t>
  </si>
  <si>
    <t>קוד דרגה</t>
  </si>
  <si>
    <t>קוד דרגה חיל"ן</t>
  </si>
  <si>
    <t>קוד דרוג דרגה</t>
  </si>
  <si>
    <t>וותק מקס</t>
  </si>
  <si>
    <t>קוד וותק</t>
  </si>
  <si>
    <t>מקדם וותק</t>
  </si>
  <si>
    <t>הסכם 2016 אחוזי</t>
  </si>
  <si>
    <t>הסכם 2016 שקלי</t>
  </si>
  <si>
    <t>תוספת ארגונית אחוזית</t>
  </si>
  <si>
    <t>תוספת ארגונית שקלית</t>
  </si>
  <si>
    <t>הסכם 2016 אחוזי פעימה 4</t>
  </si>
  <si>
    <t>שכר יסוד</t>
  </si>
  <si>
    <t>שכר משולב</t>
  </si>
  <si>
    <t>שיקלית בטל"א</t>
  </si>
  <si>
    <t>הסכם 1999</t>
  </si>
  <si>
    <t>גמול א</t>
  </si>
  <si>
    <t>גמול ב</t>
  </si>
  <si>
    <t>בית חולים מאוחדת</t>
  </si>
  <si>
    <t>גמול מנהל</t>
  </si>
  <si>
    <t>הסכם 2001 / תוספת 3.6</t>
  </si>
  <si>
    <t>הסכם 2009</t>
  </si>
  <si>
    <t>הסכם 2011</t>
  </si>
  <si>
    <t>תוספת שכר מיסים</t>
  </si>
  <si>
    <t>הסכם 2016 %</t>
  </si>
  <si>
    <t>הסכם 2016 סכום</t>
  </si>
  <si>
    <t>ר חדשה אחוזי</t>
  </si>
  <si>
    <t>שיקלית 2023</t>
  </si>
  <si>
    <t>ברוטו פנסיוני</t>
  </si>
  <si>
    <t>שכר פנסיוני</t>
  </si>
  <si>
    <t>מקדמת יוקר</t>
  </si>
  <si>
    <t>מקדמת יוקר % גמלה ו-% משרה</t>
  </si>
  <si>
    <t>פנסיה ברוטו</t>
  </si>
  <si>
    <t>מס"ד</t>
  </si>
  <si>
    <t>שם משרד פרישה</t>
  </si>
  <si>
    <t>קוד משרד פרישה</t>
  </si>
  <si>
    <t>שם תוספת</t>
  </si>
  <si>
    <t>סכום תוספת</t>
  </si>
  <si>
    <t>ביטוח לאומי</t>
  </si>
  <si>
    <t>תוספת מנמ"ש</t>
  </si>
  <si>
    <t>תוספת מנמ"ש 2010</t>
  </si>
  <si>
    <t>מס הכנסה</t>
  </si>
  <si>
    <t xml:space="preserve">ותק פעילות </t>
  </si>
  <si>
    <t>קוד חודש מעבר</t>
  </si>
  <si>
    <t>הסכם 2016 שקלי פ 4</t>
  </si>
  <si>
    <t>הסכם 2016 שקלי פ 5</t>
  </si>
  <si>
    <t>ת שיקלית 2023</t>
  </si>
  <si>
    <t>מנהלי</t>
  </si>
  <si>
    <t>קצט</t>
  </si>
  <si>
    <t>מחר</t>
  </si>
  <si>
    <t>מחרמ</t>
  </si>
  <si>
    <t>דצי</t>
  </si>
  <si>
    <t>מהנדסים</t>
  </si>
  <si>
    <t>הנדסאים</t>
  </si>
  <si>
    <t>משפטנים</t>
  </si>
  <si>
    <t>רופאים</t>
  </si>
  <si>
    <t>מחקר צהל</t>
  </si>
  <si>
    <t>עומץ</t>
  </si>
  <si>
    <t>הסכם 2016 אחוזי פ. 4</t>
  </si>
  <si>
    <t>הסכם 2016 אחוזי פ. 5</t>
  </si>
  <si>
    <t>כן</t>
  </si>
  <si>
    <t>לא</t>
  </si>
  <si>
    <t>זכר</t>
  </si>
  <si>
    <t>נקבה</t>
  </si>
  <si>
    <t>זכאי</t>
  </si>
  <si>
    <t>לא זכאי</t>
  </si>
  <si>
    <t>מקסימום שכר</t>
  </si>
  <si>
    <t>מקסימום לתוספת 3.82%</t>
  </si>
  <si>
    <t>גמול השתלמות א</t>
  </si>
  <si>
    <t>יום הבראה</t>
  </si>
  <si>
    <t>גמול השתלמות ב</t>
  </si>
  <si>
    <t>ביגוד</t>
  </si>
  <si>
    <t>דרגות 42-43+</t>
  </si>
  <si>
    <t>דרגות 44 ומעלה</t>
  </si>
  <si>
    <t>שכר ממוצע במשק</t>
  </si>
  <si>
    <t>עמית מוטב</t>
  </si>
  <si>
    <t>שם דרוג</t>
  </si>
  <si>
    <t>שם דרגה</t>
  </si>
  <si>
    <t>תוספת 99</t>
  </si>
  <si>
    <t>הסכם 2001</t>
  </si>
  <si>
    <t>הסכם 2016 סכומי</t>
  </si>
  <si>
    <t>דרגת שכר</t>
  </si>
  <si>
    <t>מינהלי - עובדי מדינה</t>
  </si>
  <si>
    <t>סגמ</t>
  </si>
  <si>
    <t>סגן</t>
  </si>
  <si>
    <t>סגן3</t>
  </si>
  <si>
    <t>12+</t>
  </si>
  <si>
    <t>סרן</t>
  </si>
  <si>
    <t>סרן3</t>
  </si>
  <si>
    <t>13+</t>
  </si>
  <si>
    <t>סרן5</t>
  </si>
  <si>
    <t>רסנ1</t>
  </si>
  <si>
    <t>14+</t>
  </si>
  <si>
    <t>רסנ3</t>
  </si>
  <si>
    <t>רסנ5</t>
  </si>
  <si>
    <t>15+</t>
  </si>
  <si>
    <t>רסנ7</t>
  </si>
  <si>
    <t>רסנ9</t>
  </si>
  <si>
    <t>16+</t>
  </si>
  <si>
    <t>סאל1</t>
  </si>
  <si>
    <t>סאל3</t>
  </si>
  <si>
    <t>17+</t>
  </si>
  <si>
    <t>סאל5</t>
  </si>
  <si>
    <t>סאל7</t>
  </si>
  <si>
    <t>18+</t>
  </si>
  <si>
    <t>סאל9</t>
  </si>
  <si>
    <t>אלמ1</t>
  </si>
  <si>
    <t>19+</t>
  </si>
  <si>
    <t>אלמ3</t>
  </si>
  <si>
    <t>אלמ5</t>
  </si>
  <si>
    <t>20+</t>
  </si>
  <si>
    <t>אלמ7</t>
  </si>
  <si>
    <t>אלמ9</t>
  </si>
  <si>
    <t>21+</t>
  </si>
  <si>
    <t>אלמ11</t>
  </si>
  <si>
    <t>תאל1</t>
  </si>
  <si>
    <t>22+</t>
  </si>
  <si>
    <t>תאל3</t>
  </si>
  <si>
    <t>תאל5</t>
  </si>
  <si>
    <t>23+</t>
  </si>
  <si>
    <t>תאל7</t>
  </si>
  <si>
    <t>אלף1</t>
  </si>
  <si>
    <t>24+</t>
  </si>
  <si>
    <t>אלף3</t>
  </si>
  <si>
    <t>אלף5</t>
  </si>
  <si>
    <t>25+</t>
  </si>
  <si>
    <t>עובדי מנהל ושירותים מגזר צבורי</t>
  </si>
  <si>
    <t>רשמים</t>
  </si>
  <si>
    <t>חוזה אישי עובדים בכירים</t>
  </si>
  <si>
    <t>שרים ח"כ וכו</t>
  </si>
  <si>
    <t>שירות החוץ</t>
  </si>
  <si>
    <t>מח"ר</t>
  </si>
  <si>
    <t>34+</t>
  </si>
  <si>
    <t>35+</t>
  </si>
  <si>
    <t>36+</t>
  </si>
  <si>
    <t>37+</t>
  </si>
  <si>
    <t>38+</t>
  </si>
  <si>
    <t>39+</t>
  </si>
  <si>
    <t>40+</t>
  </si>
  <si>
    <t>41+</t>
  </si>
  <si>
    <t>42+</t>
  </si>
  <si>
    <t>43+</t>
  </si>
  <si>
    <t>44+</t>
  </si>
  <si>
    <t>45+</t>
  </si>
  <si>
    <t>46+</t>
  </si>
  <si>
    <t>הנדסאים וטכנאים</t>
  </si>
  <si>
    <t>חוזה אישי - יועצים משפטיים</t>
  </si>
  <si>
    <t>פסיכולוגים</t>
  </si>
  <si>
    <t>נגד אקדמאי ישים</t>
  </si>
  <si>
    <t>ביקורת מדינה</t>
  </si>
  <si>
    <t>השירות המשפטי</t>
  </si>
  <si>
    <t>פרקליטים</t>
  </si>
  <si>
    <t>חוזה אישי בכירים צמוד שכ.ממוצע</t>
  </si>
  <si>
    <t>עובדים סוציאליים</t>
  </si>
  <si>
    <t>סנגורים ציבוריים</t>
  </si>
  <si>
    <t>עיתונאים</t>
  </si>
  <si>
    <t>עיתונאים רשות השידור</t>
  </si>
  <si>
    <t>רופאים וטרינרים</t>
  </si>
  <si>
    <t>בכ"מ ועמ"מ</t>
  </si>
  <si>
    <t>מנהלי מחוז ואגף פדגוגי חדש</t>
  </si>
  <si>
    <t>רשות הכבאות</t>
  </si>
  <si>
    <t>מפקח פדגוגי במטה</t>
  </si>
  <si>
    <t>אחים ואחיות בריאות הציבור</t>
  </si>
  <si>
    <t>אחים ואחיות</t>
  </si>
  <si>
    <t>עובדי הוראה</t>
  </si>
  <si>
    <t>ס.בכיר לא מוביל</t>
  </si>
  <si>
    <t>עובדי מחקר</t>
  </si>
  <si>
    <t>בכיר-צמ.ממ.במשק</t>
  </si>
  <si>
    <t>ראש עיר/סגן</t>
  </si>
  <si>
    <t>מנהלי אגפים פדגוגי</t>
  </si>
  <si>
    <t>מחקר-תע"ש</t>
  </si>
  <si>
    <t>סגל בכיר מוביל</t>
  </si>
  <si>
    <t>חוזה אישי - מנכ"ל חדש</t>
  </si>
  <si>
    <t>מפקחים ימיים</t>
  </si>
  <si>
    <t>מפקח כולל מחוז ופדגוגי בשדה חד</t>
  </si>
  <si>
    <t>מפקח כולל מחוז ופדגוגי בשדה</t>
  </si>
  <si>
    <t>מפקח פדגוגי במטה חדש</t>
  </si>
  <si>
    <t>מנהל תחום דעת במטה חדש</t>
  </si>
  <si>
    <t>מנהל תחום דעת במטה</t>
  </si>
  <si>
    <t>329-חדש</t>
  </si>
  <si>
    <t>חוזה אישי עובדים בכירים חדש</t>
  </si>
  <si>
    <t>משטרה-אחיד</t>
  </si>
  <si>
    <t>חוזה אישי- ב"ל</t>
  </si>
  <si>
    <t>מל"ג</t>
  </si>
  <si>
    <t>שופטים</t>
  </si>
  <si>
    <t>דיינים</t>
  </si>
  <si>
    <t>קאדים</t>
  </si>
  <si>
    <t>שופטי ביה"ד לעבודה</t>
  </si>
  <si>
    <t>בכיר צמוד מדד א</t>
  </si>
  <si>
    <t>מ.כולל</t>
  </si>
  <si>
    <t>משטרה-מח"ר</t>
  </si>
  <si>
    <t>משטרה-טכנאים</t>
  </si>
  <si>
    <t>משטרה-מהנדסים</t>
  </si>
  <si>
    <t>משטרה-קצינים מקצועיים</t>
  </si>
  <si>
    <t>משטרה דמ"מ</t>
  </si>
  <si>
    <t>משטרה-קצינים טכניים</t>
  </si>
  <si>
    <t>משטרה-מח"ר מועדף</t>
  </si>
  <si>
    <t>קוד חודש פרישה</t>
  </si>
  <si>
    <t>תוספת 2016 אחוזית במועד הפרישה</t>
  </si>
  <si>
    <t>תוספת 2016 סכומית במועד הפרישה</t>
  </si>
  <si>
    <t>פעימה 1 אחוזי</t>
  </si>
  <si>
    <t>פעימה 1 סכומי</t>
  </si>
  <si>
    <t>פעימה 2 אחוזי</t>
  </si>
  <si>
    <t>פעימה 2 סכומי</t>
  </si>
  <si>
    <t>פעימה 3 אחוזי</t>
  </si>
  <si>
    <t>פעימה 3 סכומי</t>
  </si>
  <si>
    <t>פעימה 4 אחוזי</t>
  </si>
  <si>
    <t>פעימה 4 סכומי</t>
  </si>
  <si>
    <t>פעימה 5 אחוזי</t>
  </si>
  <si>
    <t>פעימה 5 סכומי</t>
  </si>
  <si>
    <t>תוספת 2023 אחוזית במועד הפרישה</t>
  </si>
  <si>
    <t>תוספת 2023 סכומית במועד הפרישה</t>
  </si>
  <si>
    <t>משרד פרישה</t>
  </si>
  <si>
    <t>תת דרגה</t>
  </si>
  <si>
    <t>שם תת דרגה</t>
  </si>
  <si>
    <t>רשות הנמלים</t>
  </si>
  <si>
    <t>חוץ חו"ל</t>
  </si>
  <si>
    <t>מ11</t>
  </si>
  <si>
    <t>מ+12</t>
  </si>
  <si>
    <t>מ13</t>
  </si>
  <si>
    <t>מ+13</t>
  </si>
  <si>
    <t>מ14</t>
  </si>
  <si>
    <t>מ+14</t>
  </si>
  <si>
    <t>ח+11</t>
  </si>
  <si>
    <t>ח12</t>
  </si>
  <si>
    <t>ח13</t>
  </si>
  <si>
    <t>ח+13</t>
  </si>
  <si>
    <t>ח14</t>
  </si>
  <si>
    <t>ח+14</t>
  </si>
  <si>
    <t>א1</t>
  </si>
  <si>
    <t>לשכת הנשיא</t>
  </si>
  <si>
    <t>95% ח'</t>
  </si>
  <si>
    <t>א6+</t>
  </si>
  <si>
    <t>א7+</t>
  </si>
  <si>
    <t>הכנסת</t>
  </si>
  <si>
    <t>שר</t>
  </si>
  <si>
    <t>רס"ב 5</t>
  </si>
  <si>
    <t>רנ"ג 3</t>
  </si>
  <si>
    <t>)ש(43</t>
  </si>
  <si>
    <t>ג15</t>
  </si>
  <si>
    <t>ד.מחדש2</t>
  </si>
  <si>
    <t>רסב5</t>
  </si>
  <si>
    <t>רנ"ג</t>
  </si>
  <si>
    <t>רנ"ג3</t>
  </si>
  <si>
    <t>ממש</t>
  </si>
  <si>
    <t>מפקח</t>
  </si>
  <si>
    <t>סנצ</t>
  </si>
  <si>
    <t>נצמ9</t>
  </si>
  <si>
    <t>נצמ11</t>
  </si>
  <si>
    <t>ניצב3</t>
  </si>
  <si>
    <t>סנצ9</t>
  </si>
  <si>
    <t>נצמ5</t>
  </si>
  <si>
    <t>פקד</t>
  </si>
  <si>
    <t>רפק</t>
  </si>
  <si>
    <t>רפק 9</t>
  </si>
  <si>
    <t>סנצ 9</t>
  </si>
  <si>
    <t>נצמ 7</t>
  </si>
  <si>
    <t>סנצ3</t>
  </si>
  <si>
    <t>סנצ5</t>
  </si>
  <si>
    <t>תנצ</t>
  </si>
  <si>
    <t>נצמ7</t>
  </si>
  <si>
    <t>ניצב</t>
  </si>
  <si>
    <t>ל.מ.לסטטיסטיקה</t>
  </si>
  <si>
    <t>ב-2 ו-6</t>
  </si>
  <si>
    <t>ב-3 ו-6</t>
  </si>
  <si>
    <t>ח4</t>
  </si>
  <si>
    <t>ח3</t>
  </si>
  <si>
    <t>ראש הממשלה</t>
  </si>
  <si>
    <t>א4+</t>
  </si>
  <si>
    <t>ראש מ"מ</t>
  </si>
  <si>
    <t>ראש מ"מ ג</t>
  </si>
  <si>
    <t>ח5</t>
  </si>
  <si>
    <t>האוצר</t>
  </si>
  <si>
    <t>א3</t>
  </si>
  <si>
    <t>א4</t>
  </si>
  <si>
    <t>א5+</t>
  </si>
  <si>
    <t>א6</t>
  </si>
  <si>
    <t>א5</t>
  </si>
  <si>
    <t>8+</t>
  </si>
  <si>
    <t>9+</t>
  </si>
  <si>
    <t>10+</t>
  </si>
  <si>
    <t>ראש עיר</t>
  </si>
  <si>
    <t>ראש עיר ב</t>
  </si>
  <si>
    <t>ח'ח-3</t>
  </si>
  <si>
    <t>ח'ח-2</t>
  </si>
  <si>
    <t>ח. אישי</t>
  </si>
  <si>
    <t>ח1</t>
  </si>
  <si>
    <t>אכיפה במרקרעין</t>
  </si>
  <si>
    <t>הבריאות</t>
  </si>
  <si>
    <t>טכנאי רנטגן מעשי</t>
  </si>
  <si>
    <t>רנטגנאים</t>
  </si>
  <si>
    <t>פזיותרפיסטים</t>
  </si>
  <si>
    <t>א2</t>
  </si>
  <si>
    <t>ב2</t>
  </si>
  <si>
    <t>ב3</t>
  </si>
  <si>
    <t>ב4</t>
  </si>
  <si>
    <t>ב5</t>
  </si>
  <si>
    <t>ב6</t>
  </si>
  <si>
    <t>ב7</t>
  </si>
  <si>
    <t>ב8</t>
  </si>
  <si>
    <t>ג2-ב.</t>
  </si>
  <si>
    <t>ג3-ב.</t>
  </si>
  <si>
    <t>ג4-ב.</t>
  </si>
  <si>
    <t>ג5-ב.</t>
  </si>
  <si>
    <t>ג6-ב.</t>
  </si>
  <si>
    <t>ג7-ב.</t>
  </si>
  <si>
    <t>ג8-ב.</t>
  </si>
  <si>
    <t>ד2-מ.</t>
  </si>
  <si>
    <t>ד3-מ.</t>
  </si>
  <si>
    <t>ד4-מ.</t>
  </si>
  <si>
    <t>ד5-מ.</t>
  </si>
  <si>
    <t>ד6-מ.</t>
  </si>
  <si>
    <t>ד7-מ.</t>
  </si>
  <si>
    <t>ד8-מ.</t>
  </si>
  <si>
    <t>ד9-מ.</t>
  </si>
  <si>
    <t>ה5</t>
  </si>
  <si>
    <t>ה8</t>
  </si>
  <si>
    <t>ד10-מ</t>
  </si>
  <si>
    <t>א</t>
  </si>
  <si>
    <t>ב</t>
  </si>
  <si>
    <t>מ.נושא-ג</t>
  </si>
  <si>
    <t>מ.נושא-ד</t>
  </si>
  <si>
    <t>מ.נושא-ה</t>
  </si>
  <si>
    <t>מ.נושא-ו</t>
  </si>
  <si>
    <t>מדרצ-ג</t>
  </si>
  <si>
    <t>מדרצ-ד</t>
  </si>
  <si>
    <t>מדרצ-ה</t>
  </si>
  <si>
    <t>מדרצ-ו</t>
  </si>
  <si>
    <t>ניהול3-ד</t>
  </si>
  <si>
    <t>ניהול3-ה</t>
  </si>
  <si>
    <t>ניהול3-ו</t>
  </si>
  <si>
    <t>ניהול4-ה</t>
  </si>
  <si>
    <t>ניהול5-ו</t>
  </si>
  <si>
    <t>ניהול6-ו</t>
  </si>
  <si>
    <t>11+</t>
  </si>
  <si>
    <t>3ב</t>
  </si>
  <si>
    <t>3ג</t>
  </si>
  <si>
    <t>3ד</t>
  </si>
  <si>
    <t>רוקחים</t>
  </si>
  <si>
    <t>א2+</t>
  </si>
  <si>
    <t>א3+</t>
  </si>
  <si>
    <t>א11</t>
  </si>
  <si>
    <t>א12</t>
  </si>
  <si>
    <t>א13</t>
  </si>
  <si>
    <t>א14</t>
  </si>
  <si>
    <t>א16</t>
  </si>
  <si>
    <t>ב11</t>
  </si>
  <si>
    <t>ב12</t>
  </si>
  <si>
    <t>ב13</t>
  </si>
  <si>
    <t>ב14</t>
  </si>
  <si>
    <t>ב15</t>
  </si>
  <si>
    <t>ב16</t>
  </si>
  <si>
    <t>ב17</t>
  </si>
  <si>
    <t>ב18</t>
  </si>
  <si>
    <t>ג11</t>
  </si>
  <si>
    <t>ג12</t>
  </si>
  <si>
    <t>ג13</t>
  </si>
  <si>
    <t>ג14</t>
  </si>
  <si>
    <t>ג16</t>
  </si>
  <si>
    <t>ג17</t>
  </si>
  <si>
    <t>ג18</t>
  </si>
  <si>
    <t>ד12</t>
  </si>
  <si>
    <t>ד13</t>
  </si>
  <si>
    <t>ד14</t>
  </si>
  <si>
    <t>ד15</t>
  </si>
  <si>
    <t>ד16</t>
  </si>
  <si>
    <t>ד17</t>
  </si>
  <si>
    <t>ד18</t>
  </si>
  <si>
    <t>ד20</t>
  </si>
  <si>
    <t>ד21</t>
  </si>
  <si>
    <t>ד19</t>
  </si>
  <si>
    <t>ה18</t>
  </si>
  <si>
    <t>ה20</t>
  </si>
  <si>
    <t>ה21</t>
  </si>
  <si>
    <t>ה19</t>
  </si>
  <si>
    <t>א10</t>
  </si>
  <si>
    <t>א15</t>
  </si>
  <si>
    <t>א17</t>
  </si>
  <si>
    <t>א18</t>
  </si>
  <si>
    <t>ב10</t>
  </si>
  <si>
    <t>ב19</t>
  </si>
  <si>
    <t>ג19</t>
  </si>
  <si>
    <t>ד11</t>
  </si>
  <si>
    <t>ה12</t>
  </si>
  <si>
    <t>ה14</t>
  </si>
  <si>
    <t>ה16</t>
  </si>
  <si>
    <t>ה17</t>
  </si>
  <si>
    <t>מ"א</t>
  </si>
  <si>
    <t>ב"א</t>
  </si>
  <si>
    <t>קלינאי תקשורת</t>
  </si>
  <si>
    <t>פארה-רפואיים</t>
  </si>
  <si>
    <t>א3ים</t>
  </si>
  <si>
    <t>ב3ים</t>
  </si>
  <si>
    <t>ב4ים</t>
  </si>
  <si>
    <t>ב5ים</t>
  </si>
  <si>
    <t>ב6ים</t>
  </si>
  <si>
    <t>ב7ים</t>
  </si>
  <si>
    <t>ג2יםב.</t>
  </si>
  <si>
    <t>ג3יםב.</t>
  </si>
  <si>
    <t>ג4יםב.</t>
  </si>
  <si>
    <t>ג5יםב.</t>
  </si>
  <si>
    <t>ג6יםב.</t>
  </si>
  <si>
    <t>ג7יםב.</t>
  </si>
  <si>
    <t>ג8יםב.</t>
  </si>
  <si>
    <t>ד2יםמ.</t>
  </si>
  <si>
    <t>ד3יםמ.</t>
  </si>
  <si>
    <t>ד4יםמ.</t>
  </si>
  <si>
    <t>ד5יםמ.</t>
  </si>
  <si>
    <t>ד6יםמ.</t>
  </si>
  <si>
    <t>ד7יםמ.</t>
  </si>
  <si>
    <t>ד8יםמ.</t>
  </si>
  <si>
    <t>ד9יםמ.</t>
  </si>
  <si>
    <t>ה5יםד</t>
  </si>
  <si>
    <t>ה7יםד</t>
  </si>
  <si>
    <t>ה8יםד'</t>
  </si>
  <si>
    <t>ה9יםד'</t>
  </si>
  <si>
    <t>מרפאים בעיסוק</t>
  </si>
  <si>
    <t>ב9</t>
  </si>
  <si>
    <t>ג1</t>
  </si>
  <si>
    <t>ג3</t>
  </si>
  <si>
    <t>ג4</t>
  </si>
  <si>
    <t>ג5</t>
  </si>
  <si>
    <t>ג6</t>
  </si>
  <si>
    <t>ג7</t>
  </si>
  <si>
    <t>ג8</t>
  </si>
  <si>
    <t>ד2</t>
  </si>
  <si>
    <t>ד4</t>
  </si>
  <si>
    <t>ד5</t>
  </si>
  <si>
    <t>ד6</t>
  </si>
  <si>
    <t>ד7</t>
  </si>
  <si>
    <t>ד8</t>
  </si>
  <si>
    <t>ד9</t>
  </si>
  <si>
    <t>ב-1 ו-6</t>
  </si>
  <si>
    <t>דתות</t>
  </si>
  <si>
    <t>95% ח</t>
  </si>
  <si>
    <t>ס.ראש עי</t>
  </si>
  <si>
    <t>ס.ראש עיר א1</t>
  </si>
  <si>
    <t>ח'ח-4</t>
  </si>
  <si>
    <t>קלדניות שופטים</t>
  </si>
  <si>
    <t>החוץ</t>
  </si>
  <si>
    <t>מ+9</t>
  </si>
  <si>
    <t>מ+10</t>
  </si>
  <si>
    <t>מ12</t>
  </si>
  <si>
    <t>154מ</t>
  </si>
  <si>
    <t>ח+8</t>
  </si>
  <si>
    <t>ח9</t>
  </si>
  <si>
    <t>ח+9</t>
  </si>
  <si>
    <t>ח10</t>
  </si>
  <si>
    <t>ח+10</t>
  </si>
  <si>
    <t>ח11</t>
  </si>
  <si>
    <t>ח+12</t>
  </si>
  <si>
    <t>החינוך</t>
  </si>
  <si>
    <t>11 רמה</t>
  </si>
  <si>
    <t>12 רמה</t>
  </si>
  <si>
    <t>13 רמה</t>
  </si>
  <si>
    <t>14 רמה</t>
  </si>
  <si>
    <t>דוק</t>
  </si>
  <si>
    <t>ג2-ו-8</t>
  </si>
  <si>
    <t>ס.ראש עיר ב</t>
  </si>
  <si>
    <t>מקצ'ט</t>
  </si>
  <si>
    <t>רמה 13</t>
  </si>
  <si>
    <t>רמה 14</t>
  </si>
  <si>
    <t>החקלאות</t>
  </si>
  <si>
    <t>ב-2 ו-4</t>
  </si>
  <si>
    <t>נציבות המים</t>
  </si>
  <si>
    <t>המסחר והתעשייה</t>
  </si>
  <si>
    <t>ב-1 ו-3</t>
  </si>
  <si>
    <t>ב-3 ו-1</t>
  </si>
  <si>
    <t>שב"ס</t>
  </si>
  <si>
    <t>ס. מ"מ ג</t>
  </si>
  <si>
    <t>המשפטים</t>
  </si>
  <si>
    <t>ג1-ו-6</t>
  </si>
  <si>
    <t>עבודה ורווחה</t>
  </si>
  <si>
    <t>ניהול3-ג</t>
  </si>
  <si>
    <t>ניהול4-ג</t>
  </si>
  <si>
    <t>ניהול4-ד</t>
  </si>
  <si>
    <t>ניהול4-ו</t>
  </si>
  <si>
    <t>ניהול5-ד</t>
  </si>
  <si>
    <t>ניהול5-ה</t>
  </si>
  <si>
    <t>ניהול7-ו</t>
  </si>
  <si>
    <t>א2ים</t>
  </si>
  <si>
    <t>ב-1 ו-1</t>
  </si>
  <si>
    <t>ב-1 ו-4</t>
  </si>
  <si>
    <t>רשות האוכלוסיה וההגי</t>
  </si>
  <si>
    <t>מעברי גבול</t>
  </si>
  <si>
    <t>הפנים</t>
  </si>
  <si>
    <t>א1+</t>
  </si>
  <si>
    <t>6 ראש מ</t>
  </si>
  <si>
    <t>6 ראש מ"מ</t>
  </si>
  <si>
    <t>אנשי דת מוסלמים במשרד הפנים</t>
  </si>
  <si>
    <t>עובדים חיונים אקדמאים שכר כולל</t>
  </si>
  <si>
    <t>ב41</t>
  </si>
  <si>
    <t>מבקר המדינה</t>
  </si>
  <si>
    <t>התחבורה</t>
  </si>
  <si>
    <t>התחבורה - נמל חדרה</t>
  </si>
  <si>
    <t>הנהלת בתי משפט</t>
  </si>
  <si>
    <t>ח-85</t>
  </si>
  <si>
    <t>רשות האכיפה והגבייה</t>
  </si>
  <si>
    <t>ג2-ו-6</t>
  </si>
  <si>
    <t>בטחון פנים</t>
  </si>
  <si>
    <t>9-75%</t>
  </si>
  <si>
    <t>9-90%</t>
  </si>
  <si>
    <t>7-85%</t>
  </si>
  <si>
    <t>ס.ראש עיר א</t>
  </si>
  <si>
    <t>בכירים רשות הכבאות</t>
  </si>
  <si>
    <t>בינוי ושיכון</t>
  </si>
  <si>
    <t>ב-2 ו-5</t>
  </si>
  <si>
    <t>מע"צ</t>
  </si>
  <si>
    <t>קליטה</t>
  </si>
  <si>
    <t>התיירות</t>
  </si>
  <si>
    <t>ב-3 ו-5</t>
  </si>
  <si>
    <t>אגף לחינוך התישבותי</t>
  </si>
  <si>
    <t>מדפיס ממשלתי</t>
  </si>
  <si>
    <t>טלויזיה לימודית</t>
  </si>
  <si>
    <t>חינוך מורים</t>
  </si>
  <si>
    <t>תואר ראש</t>
  </si>
  <si>
    <t>תואר ראשון</t>
  </si>
  <si>
    <t>תואר שני</t>
  </si>
  <si>
    <t>תואר שלי</t>
  </si>
  <si>
    <t>תואר שלישי</t>
  </si>
  <si>
    <t>בכירים</t>
  </si>
  <si>
    <t>מוסמכים</t>
  </si>
  <si>
    <t>מנהלים א</t>
  </si>
  <si>
    <t>מנהלים אקדמאים</t>
  </si>
  <si>
    <t>מנהלים ב</t>
  </si>
  <si>
    <t>מנהלים בכירים</t>
  </si>
  <si>
    <t>סגנים אק</t>
  </si>
  <si>
    <t>סגנים אקדמאים</t>
  </si>
  <si>
    <t>מנהל חטב</t>
  </si>
  <si>
    <t>מנהל חטב"צ אקדמאי</t>
  </si>
  <si>
    <t>סר"ע ב</t>
  </si>
  <si>
    <t>המדע והטכנולוגיה</t>
  </si>
  <si>
    <t>ב-3 ו-2</t>
  </si>
  <si>
    <t>הכלכלה והתכנון</t>
  </si>
  <si>
    <t>אנרגיה ותשתית</t>
  </si>
  <si>
    <t>רשות מנהל מקרקעי ישראל</t>
  </si>
  <si>
    <t>איכות הסביבה</t>
  </si>
  <si>
    <t>מחקר מדעי אדמה וים</t>
  </si>
  <si>
    <t>מרכז ההסברה</t>
  </si>
  <si>
    <t>מכס ומע"מ</t>
  </si>
  <si>
    <t>אגף המדידות</t>
  </si>
  <si>
    <t>שרות התעסוקה</t>
  </si>
  <si>
    <t>מינהל המחקר החקלאי</t>
  </si>
  <si>
    <t>356ח</t>
  </si>
  <si>
    <t>רשות החשמל</t>
  </si>
  <si>
    <t>התקשורת</t>
  </si>
  <si>
    <t>משרד לשירותי דת</t>
  </si>
  <si>
    <t>לשכת הפרסום הממשלתי</t>
  </si>
  <si>
    <t>המשרד לפיתוח הנגב והגליל</t>
  </si>
  <si>
    <t>רשות הבדואים</t>
  </si>
  <si>
    <t>מנהל התכנון</t>
  </si>
  <si>
    <t>הרשות להתחדשות עירונית</t>
  </si>
  <si>
    <t>הרשות לשוק ההון</t>
  </si>
  <si>
    <t>משרד הרווחה -זרוע העבודה</t>
  </si>
  <si>
    <t>חוזה 3</t>
  </si>
  <si>
    <t>רשות הדואר</t>
  </si>
  <si>
    <t>שרי ממשלה</t>
  </si>
  <si>
    <t>תזמורת שרות השידור</t>
  </si>
  <si>
    <t>רשות השידור</t>
  </si>
  <si>
    <t>)ש(+40</t>
  </si>
  <si>
    <t>)ש(41</t>
  </si>
  <si>
    <t>)ש(+41</t>
  </si>
  <si>
    <t>)ש(42</t>
  </si>
  <si>
    <t>)ש(+42</t>
  </si>
  <si>
    <t>)ש(+43</t>
  </si>
  <si>
    <t>)ש(44</t>
  </si>
  <si>
    <t>)ש(+44</t>
  </si>
  <si>
    <t>)ש(45</t>
  </si>
  <si>
    <t>)ש(+45</t>
  </si>
  <si>
    <t>)ש(46</t>
  </si>
  <si>
    <t>)ש(+46</t>
  </si>
  <si>
    <t>)ש(40</t>
  </si>
  <si>
    <t>עיתונות-הפקה</t>
  </si>
  <si>
    <t>טח"י משולב</t>
  </si>
  <si>
    <t>ניירות ערך</t>
  </si>
  <si>
    <t>ניהול5-ג</t>
  </si>
  <si>
    <t>ניהול6-ג</t>
  </si>
  <si>
    <t>ניהול6-ה</t>
  </si>
  <si>
    <t>ניהול7-ה</t>
  </si>
  <si>
    <t>ג1-ו-5</t>
  </si>
  <si>
    <t>המכון לפריון העב</t>
  </si>
  <si>
    <t>הרשות להגנת הצרכן ולסחר הוגן</t>
  </si>
  <si>
    <t>המשרד לשיקום האסיר</t>
  </si>
  <si>
    <t>המועצה להשכלה גבוהה</t>
  </si>
  <si>
    <t>מל"מ</t>
  </si>
  <si>
    <t>רשות העתיקות</t>
  </si>
  <si>
    <t>גישור קרנות חדשות</t>
  </si>
  <si>
    <t>מועצה אזורית חוף עזה</t>
  </si>
  <si>
    <t>4-100%</t>
  </si>
  <si>
    <t>3-100%</t>
  </si>
  <si>
    <t>ראש עיר א1</t>
  </si>
  <si>
    <t>7 ראש מ</t>
  </si>
  <si>
    <t>7 ראש מ"מ</t>
  </si>
  <si>
    <t>279-חדש</t>
  </si>
  <si>
    <t>תע"ש</t>
  </si>
  <si>
    <t>חסר בהסבה</t>
  </si>
  <si>
    <t>קוד</t>
  </si>
  <si>
    <t>מדד מחירים חודשי</t>
  </si>
  <si>
    <t>מדד מחירים שנתי</t>
  </si>
  <si>
    <t>% שינוי</t>
  </si>
  <si>
    <t>מדד לפי בסיס 1980</t>
  </si>
  <si>
    <t>מדד לפי בסיס 1987</t>
  </si>
  <si>
    <t>מדד לפי בסיס 2006</t>
  </si>
  <si>
    <t>סוג נתונים: מדדי מחירים</t>
  </si>
  <si>
    <t>נושא: מדד המחירים לצרכן</t>
  </si>
  <si>
    <t>תת נושא: מדד המחירים לצרכן, לפי קבוצות צריכה ראשיות</t>
  </si>
  <si>
    <t>סדרה: 120010 - מדד המחירים לצרכן - כללי</t>
  </si>
  <si>
    <t>משנה: 2007</t>
  </si>
  <si>
    <t>חודש: ינואר</t>
  </si>
  <si>
    <t>עד שנה: 2025</t>
  </si>
  <si>
    <t>סוג מדד: מדדי מחירים</t>
  </si>
  <si>
    <t>סוג בסיס: מדדי מחירים לפי תקופת בסיס נבחרת</t>
  </si>
  <si>
    <t>תקופות בסיס: ממוצע 2006=100.0</t>
  </si>
  <si>
    <t>פריט</t>
  </si>
  <si>
    <t>שנה</t>
  </si>
  <si>
    <t>ינואר</t>
  </si>
  <si>
    <t>פברואר</t>
  </si>
  <si>
    <t>מרס</t>
  </si>
  <si>
    <t>אפריל</t>
  </si>
  <si>
    <t>מאי</t>
  </si>
  <si>
    <t>יוני</t>
  </si>
  <si>
    <t>יולי</t>
  </si>
  <si>
    <t>אוגוסט</t>
  </si>
  <si>
    <t>ספטמבר</t>
  </si>
  <si>
    <t>אוקטובר</t>
  </si>
  <si>
    <t>נובמבר</t>
  </si>
  <si>
    <t>דצמבר</t>
  </si>
  <si>
    <t>120010 - מדד המחירים לצרכן - כללי</t>
  </si>
  <si>
    <t>2007</t>
  </si>
  <si>
    <t>2008</t>
  </si>
  <si>
    <t>2009</t>
  </si>
  <si>
    <t>2010</t>
  </si>
  <si>
    <t>2011</t>
  </si>
  <si>
    <t>2012</t>
  </si>
  <si>
    <t>2013</t>
  </si>
  <si>
    <t>2014</t>
  </si>
  <si>
    <t>2015</t>
  </si>
  <si>
    <t>2016</t>
  </si>
  <si>
    <t>2017</t>
  </si>
  <si>
    <t>2018</t>
  </si>
  <si>
    <t>2019</t>
  </si>
  <si>
    <t>2020</t>
  </si>
  <si>
    <t>2021</t>
  </si>
  <si>
    <t>2022</t>
  </si>
  <si>
    <t>2023</t>
  </si>
  <si>
    <t>2024</t>
  </si>
  <si>
    <t>2025</t>
  </si>
  <si>
    <t>ריק</t>
  </si>
  <si>
    <t>62+</t>
  </si>
  <si>
    <t>63+</t>
  </si>
  <si>
    <t>64+</t>
  </si>
  <si>
    <t>65+</t>
  </si>
  <si>
    <t>66+</t>
  </si>
  <si>
    <t>67+</t>
  </si>
  <si>
    <t>68+</t>
  </si>
  <si>
    <t>69+</t>
  </si>
  <si>
    <t>70+</t>
  </si>
  <si>
    <t>71+</t>
  </si>
  <si>
    <t>72+</t>
  </si>
  <si>
    <t>73+</t>
  </si>
  <si>
    <t>74+</t>
  </si>
  <si>
    <t>75+</t>
  </si>
  <si>
    <t>3+</t>
  </si>
  <si>
    <t>6+</t>
  </si>
  <si>
    <t>7+</t>
  </si>
  <si>
    <t>vetek</t>
  </si>
  <si>
    <t>מנהל ושירותים</t>
  </si>
  <si>
    <t>חוזה אישי</t>
  </si>
  <si>
    <t>ממשלה וח"כ</t>
  </si>
  <si>
    <t>ותק מקסימלי</t>
  </si>
  <si>
    <t>שכר יסוד ותק 0</t>
  </si>
  <si>
    <t>דרגת צה"ל</t>
  </si>
  <si>
    <t>עובדי מנהל ושירותים</t>
  </si>
  <si>
    <t xml:space="preserve">חוזה אישי </t>
  </si>
  <si>
    <t>שרים וח"כ</t>
  </si>
  <si>
    <t>ג</t>
  </si>
  <si>
    <t>ב1</t>
  </si>
  <si>
    <t>רסנ</t>
  </si>
  <si>
    <t>סאל</t>
  </si>
  <si>
    <t>אלמ</t>
  </si>
  <si>
    <t>תאל</t>
  </si>
  <si>
    <t>אלוף</t>
  </si>
  <si>
    <t>עברמד</t>
  </si>
  <si>
    <t>רמד</t>
  </si>
  <si>
    <t>מחקר</t>
  </si>
  <si>
    <t>רענ</t>
  </si>
  <si>
    <t>סרמח</t>
  </si>
  <si>
    <t>רמח</t>
  </si>
  <si>
    <t>רחט</t>
  </si>
  <si>
    <t>סרגף</t>
  </si>
  <si>
    <t>רגף</t>
  </si>
  <si>
    <t>א7</t>
  </si>
  <si>
    <t>עברמד1</t>
  </si>
  <si>
    <t>עברמד3</t>
  </si>
  <si>
    <t>עברמד5</t>
  </si>
  <si>
    <t>עברמד7</t>
  </si>
  <si>
    <t>רמד1</t>
  </si>
  <si>
    <t>רמד3</t>
  </si>
  <si>
    <t>רמד5</t>
  </si>
  <si>
    <t>רמד7</t>
  </si>
  <si>
    <t>רמד9</t>
  </si>
  <si>
    <t>רענ1</t>
  </si>
  <si>
    <t>רענ3</t>
  </si>
  <si>
    <t>רענ5</t>
  </si>
  <si>
    <t>רענ7</t>
  </si>
  <si>
    <t>רענ9</t>
  </si>
  <si>
    <t>סרמח1</t>
  </si>
  <si>
    <t>סרמח3</t>
  </si>
  <si>
    <t>סרמח5</t>
  </si>
  <si>
    <t>סרמח7</t>
  </si>
  <si>
    <t>סרמח9</t>
  </si>
  <si>
    <t>סרמח11</t>
  </si>
  <si>
    <t>רמח1</t>
  </si>
  <si>
    <t>רמח3</t>
  </si>
  <si>
    <t>רמח5</t>
  </si>
  <si>
    <t>רמח7</t>
  </si>
  <si>
    <t>רמח9</t>
  </si>
  <si>
    <t>רמח11</t>
  </si>
  <si>
    <t>רחט1</t>
  </si>
  <si>
    <t>רחט3</t>
  </si>
  <si>
    <t>רחט5</t>
  </si>
  <si>
    <t>סרגף1</t>
  </si>
  <si>
    <t>סרגף3</t>
  </si>
  <si>
    <t>סרגף5</t>
  </si>
  <si>
    <t>סרגף7</t>
  </si>
  <si>
    <t>רגף1</t>
  </si>
  <si>
    <t>רגף3</t>
  </si>
  <si>
    <t>רגף5</t>
  </si>
  <si>
    <t>סמל תוספת</t>
  </si>
  <si>
    <t>הסבר</t>
  </si>
  <si>
    <t>ע' סוציאליים 4%/ע'סוציאליים 5%</t>
  </si>
  <si>
    <t>תוספת אחוזית לעובדים סוציאליים במשרד הבריאות 4% ובביטוח לאומי 5%</t>
  </si>
  <si>
    <t>מ.א / ד"ר</t>
  </si>
  <si>
    <t>תוספת אחוזית לעובדים סוציאליים ועובדי הוראה בעלי תואר שני ושלישי.</t>
  </si>
  <si>
    <t>תוספת בריאות הציבור</t>
  </si>
  <si>
    <t>תוספת שקלית לרופאי בריאות הציבור בתחנות אם וילד, בריאות הנפש, התפתחות הילד, בתי-ספר וכן לרופאי משרד העבודה והרווחה.התוספת משולמת גם לרופאי הביטוח הלאומי.</t>
  </si>
  <si>
    <t>אחיות בעלות תפקיד</t>
  </si>
  <si>
    <t>תוספת אחוזית לאחיות בתי חולים, המועסקות ברשימת תפקידים מוגדרת.</t>
  </si>
  <si>
    <t>אחראית מחלקת אשפוז</t>
  </si>
  <si>
    <t>תוספת אחוזית לאחות אחראית במחלקות הכוללות אשפוז</t>
  </si>
  <si>
    <t>תוספת כפר</t>
  </si>
  <si>
    <t>תוספת אחוזית לאחיות בריאות הציבור העובדות בכפר.</t>
  </si>
  <si>
    <t>תוספת תואר</t>
  </si>
  <si>
    <t>תוספת אחוזית לרוקחים ועובדי מעבדות בעלי תואר שני / שלישי</t>
  </si>
  <si>
    <t>פריפריה א'</t>
  </si>
  <si>
    <t>תוספת שקלית לרופאים מומחים המועסקים בבתי חולים בפריפריה.</t>
  </si>
  <si>
    <t xml:space="preserve">תוספת מפעלית </t>
  </si>
  <si>
    <t>תוספת מפעלית בשיעור 10% לעובדי משרד התקשורת ועובדי רשות הדואר שפרשו לגמלאות עד 30.4.1988</t>
  </si>
  <si>
    <t>תוספת בית חולים</t>
  </si>
  <si>
    <t>תוספת לעובדים בבתי חולים</t>
  </si>
  <si>
    <t>תוספת מתמחה בריאות הציבור</t>
  </si>
  <si>
    <t>תוספת שקלית לרופאים מתמחים בבריאות הציבור.</t>
  </si>
  <si>
    <t>איזון משרדי</t>
  </si>
  <si>
    <t>תוספת שקלית לעובדים בלתי ייחודיים, במטרה לצמצם את הפער בינם לבין עובדי המשרדים הייחודיים.</t>
  </si>
  <si>
    <t>שטחים מיוחד א'</t>
  </si>
  <si>
    <t>תוספת שקלית לעובדים בתקן המנהל האזרחי שמקום עבודתם בשטחים</t>
  </si>
  <si>
    <t>תוספת שקלית לעובדי מנהל ומשק במשרד העבודה והרווחה. זהה לתוספת מנמ"ש בסמל 764 אולם אינה גורמת לפתיחה אוטומטית של תוספות סיכון פסיכיאטרי (626) וגריאטריה (728) כמו סמל 764.</t>
  </si>
  <si>
    <t>השתלמות אחיות</t>
  </si>
  <si>
    <t>גמול השתלמות אחוזי לאחים ואחיות</t>
  </si>
  <si>
    <t>תוספת מקצועות מיוחדים</t>
  </si>
  <si>
    <t>תוספת שקלית לרופאי בתי חולים העוסקים במקצועות מיוחדים ולרופאים וטרינרים.</t>
  </si>
  <si>
    <t>גמול השתלמות שקלי לדירוגים לא אקדמאים.</t>
  </si>
  <si>
    <t>ועדת מעקב 88</t>
  </si>
  <si>
    <t>תוספת שקלית לרוקחים ועובדי מעבדות</t>
  </si>
  <si>
    <t>גמול השתלמות עו"ס</t>
  </si>
  <si>
    <t>גמול השתלמות אחוזי לעו"ס</t>
  </si>
  <si>
    <t>תוספת סכומית למקרים שונים של פגיעה בשכר עקב שנויי דירוג, דרגה או תפקיד.</t>
  </si>
  <si>
    <t>תוספת קרימינולוגי קליני</t>
  </si>
  <si>
    <t>תוספת אחוזית לקרימינולוגים קליניים במשרד הבריאות</t>
  </si>
  <si>
    <t>גמול השתלמות שקלי לדירוגים אקדמאים.</t>
  </si>
  <si>
    <t>תוספת בוררות</t>
  </si>
  <si>
    <t>תוספת המשולמת לעובדי מינהל ומשק בבתי חולים הממשלתיים בעקבות פסק בוררות.</t>
  </si>
  <si>
    <t>תוספת עו"ס 7%</t>
  </si>
  <si>
    <t>תוספת אחוזית לעו"ס בבתי חולים כרוניים ובפנימיות.</t>
  </si>
  <si>
    <t>תוספת השתלמות</t>
  </si>
  <si>
    <t>גמול השתלמות אחוזי לפזיותרפיסטים, פרא רפואיים ומרפאים בעיסוק.</t>
  </si>
  <si>
    <t>גמול השתלמות שקלי לדירוג פרא-רפואיים</t>
  </si>
  <si>
    <t>גמול פיקוח מיוחד</t>
  </si>
  <si>
    <t>תוספת אחוזית לאחיות המכהנות בתפקידי פיקוח ומנהל ארצי במשרד הבריאות.</t>
  </si>
  <si>
    <t>גמול מומחיות לעו"ס</t>
  </si>
  <si>
    <t>תוספת אחוזית לעובדים סוציאליים מומחים שהוכר כעובד סוציאלי בכיר, או עובד סוציאלי שהוכר כעובד סוציאלי מומחה במסגרת "מתוקף בכורות", או עובד סוציאלי שהוכר או יוכר כעובד סוציאלי מומחה, שהינו בעל תואר שני ואשר הציג אישור זכאות למעמד עובד סוציאלי מומחה, כמפורט בהסכם</t>
  </si>
  <si>
    <t>תוספת מיוחדת 7.5%</t>
  </si>
  <si>
    <t>תוספת אחוזית לעובדי משרד העבודה והרווחה (הורחבה לעו"ס במשרדים נוספים)</t>
  </si>
  <si>
    <t>תוספת תפוקה</t>
  </si>
  <si>
    <t>תוספת שקלית לרופאים מומחים בבתי חולים (מחליפה תשלום בגין ססיות).</t>
  </si>
  <si>
    <t>מקצועית מסים</t>
  </si>
  <si>
    <t>תוספת שקלית לעובדי אגפי המסים</t>
  </si>
  <si>
    <t>תוספת 42% לרופאים</t>
  </si>
  <si>
    <t>תוספת אחוזית לרופאי בריאות הציבור, תחנות בריאות הנפש ומשרד ראשי.
התוספת משולמת לאוכלוסיה הנ"ל במקום התכ"ז.</t>
  </si>
  <si>
    <t>תוספת מתמחה</t>
  </si>
  <si>
    <t>סוציאליים 5%/9.5%</t>
  </si>
  <si>
    <t>תוספת אחוזית לעובדים סוציאליים</t>
  </si>
  <si>
    <t>בוררות מסים</t>
  </si>
  <si>
    <t>תוספת אחוזית לעובדי אגפי המסים
ברשות השידור התוספת משולמת לעובדים בדירוג הנדסאים וטכנאים עפ"י פסק בוררות</t>
  </si>
  <si>
    <t>שכר קידום</t>
  </si>
  <si>
    <t>תוספת אחוזית לעובדי מחקר בגין שהיה בדרגה (במקום קידום בותק)</t>
  </si>
  <si>
    <t>הופעה 10%</t>
  </si>
  <si>
    <t>תוספת אחוזית למשפטנים, פרליטים וסנגורים, בגין הופעה בבתי משפט.</t>
  </si>
  <si>
    <t>הופעה 20%</t>
  </si>
  <si>
    <t>תוספת אחוזית למשפטנים, פרקליטים וסנגורים, בגין הופעה בבתי משפט.</t>
  </si>
  <si>
    <t>אחוז ממשולב</t>
  </si>
  <si>
    <t>תוספת אחוזית מהשכר המשולב למגזרים שונים: קצרניות במשרד רוה"מ, סגני האפוטרופוס הכללי במשרד המשפטים, מפקחים אויריים במשרד התחבורה, עובדי המכון הוטרינרי במשרד החקלאות, עובדי מנהל המחקר החקלאי, עובדים מנהליים במשרד החוץ ועובדי ענ"א בשע"ם</t>
  </si>
  <si>
    <t>תוספת שקלית לעובדי מנהל ומשק</t>
  </si>
  <si>
    <t>גמול פיקוח אחיות</t>
  </si>
  <si>
    <t>תוספת אחוזית לאחיות בתפקידי פיקוח ומנהל ארציים</t>
  </si>
  <si>
    <t>תג.רמ. קידום</t>
  </si>
  <si>
    <t>תוספת תגמול רמות קידום לעובדי הוראה בדרגות מ.א. וד"ר המועסקים במכללות במשך 4 שנים שקדמו לפרישה.</t>
  </si>
  <si>
    <t>גמול השתלמות רנטגנאים</t>
  </si>
  <si>
    <t>תוספת שקלית. גמול השתלמות לרנטגנאים מוסמכים.</t>
  </si>
  <si>
    <t>תוספת איזון - עו"ס</t>
  </si>
  <si>
    <t>תוספת שקלית לעובדים סוציאליים, שאינם מקבלים תוספת ייחודית</t>
  </si>
  <si>
    <t>דריכות בי"ח</t>
  </si>
  <si>
    <t>תוספת אחוזית לעובדי מנהל ומשק בבתי חולים</t>
  </si>
  <si>
    <t>תוספת ערבה</t>
  </si>
  <si>
    <t>תוספת שקלית לעובדים שמקום עבודתם בנגב</t>
  </si>
  <si>
    <t>מיוחדת מחקר</t>
  </si>
  <si>
    <t>תוספת אחוזית לעובדי מחקר</t>
  </si>
  <si>
    <t>תמריץ משפטנים</t>
  </si>
  <si>
    <t>תוספת שקלית למשפטנים, פרקליטים וסנגורים ציבוריים</t>
  </si>
  <si>
    <t>יחידת הפיצוח</t>
  </si>
  <si>
    <t>תוספת שקלית לעובדי יחידת הפיצו"ח המופקדים על פיקוח תנועת תוצרת חקלאית מהצומח ומהחי, יישום ההסכמים החקלאיים בין הרשות הפלשתינית ומדינת ישראל ומפקחת על מעבר תוצרת חקלאית מהאוטונומיה לישראל.</t>
  </si>
  <si>
    <t>שטחים מיוחד ב'</t>
  </si>
  <si>
    <t>תוספת שקלית לעובדים בתקן המנהל האזרחי שמקום עבודתם בשטחים.</t>
  </si>
  <si>
    <t>תוספת אחוזית לעובדי האגף לרישום מקרקעין במשרד המשפטים</t>
  </si>
  <si>
    <t>תוספת בתי משפט</t>
  </si>
  <si>
    <t>תוספת אחוזית לעובדי מערכת המשפט</t>
  </si>
  <si>
    <t>תוספת השוואה</t>
  </si>
  <si>
    <t>תוספת אחוזית לעובדי מחקר. השוואה לסגל האקדמי באוניברסיטאות.</t>
  </si>
  <si>
    <t>תוספת מקצועית</t>
  </si>
  <si>
    <t>תוספת לפיזיותרפיסטים, פרא-רפואיים ומרפאים בעיסוק.</t>
  </si>
  <si>
    <t>תוספת מותנית חוות דעת</t>
  </si>
  <si>
    <t>תוספת שקלית לאנשי דת מוסלמים במשרד הפנים</t>
  </si>
  <si>
    <t>תוספת ניהול לרופאים בבי"ח</t>
  </si>
  <si>
    <t>תוספת אחוזית לרופאי מנהל בכירים.</t>
  </si>
  <si>
    <t>גמול השתלמות ב' שקלי/אחוזי לדירוגים שונים</t>
  </si>
  <si>
    <t>תוספת פריפריה</t>
  </si>
  <si>
    <t>תוספת אחוזית לרופאים המועסקים בבתי חולים בפריפריה.</t>
  </si>
  <si>
    <t>אישי (שטחים)</t>
  </si>
  <si>
    <t>תוספת שקלית לעובדי שטחים (לפחות 3 שנים) ששובצו מחדש למשרות שאינן בשטחים</t>
  </si>
  <si>
    <t>ועדת מעקב  88- רנטגנאים</t>
  </si>
  <si>
    <t>תוספת אחוזית לרנטגנאים מעשיים ומוסמכים.</t>
  </si>
  <si>
    <t>תוספת 7.5%</t>
  </si>
  <si>
    <t>תוספת אחוזית לעובדי הלשכה המרכזית לסטטיסטיקה</t>
  </si>
  <si>
    <t>תוספת שקלית לפסיכולוגים</t>
  </si>
  <si>
    <t>גמול השתלמות שקלי לטכנאים והנדסאים לא מוסמכים</t>
  </si>
  <si>
    <t>תוספת מדורגת</t>
  </si>
  <si>
    <t>תוספת שקלית שמשולמת עפ"י דרגת הכבאי</t>
  </si>
  <si>
    <t>השתלמות מצטברת מנמ"ש</t>
  </si>
  <si>
    <t>תוספת לעובדי מנמ"ש בבתי חולים אשר עברו השתלמות של 10 נקודות בעבר בהתאם לקריטריונים המפורטים בנספח א' בחוזר 9/1/א.</t>
  </si>
  <si>
    <t>השתלמות מוכרת מנמ"ש</t>
  </si>
  <si>
    <t>תוספת שקלית לעובד שעבר קורס בן 600 שעות למוד, התורם לתחום המקצועי של עבודתו.</t>
  </si>
  <si>
    <t>תוספת לעובדי מנמ"ש בבתי חולים אשר עברו השתלמות של 5 נקודות בעבר בהתאם לקריטריונים המפורטים בנספח א' בחוזר 9/1/א</t>
  </si>
  <si>
    <t>פסיכיאטרי/גריאטרי</t>
  </si>
  <si>
    <t>תוספת שקלית למרפאים בעיסוק בתקן בתי החולים הגריאטריים ופסיכיטריים</t>
  </si>
  <si>
    <t>גמול השתלמות שקלי לפזיותרפיסטים</t>
  </si>
  <si>
    <t>תוספת תפקיד מחקר</t>
  </si>
  <si>
    <t>תוספת אחוזית לעובדי מחקר בתפקידי ניהול ברמות השונות.</t>
  </si>
  <si>
    <t>כוננות מנהלית/תוספת מנהל</t>
  </si>
  <si>
    <t>תוספת אחוזית לאחיות בתפקידי ניהול (תחליף להסדרי הכוננויות שהיו להן)</t>
  </si>
  <si>
    <t>תוספת אחוזית לפסיכולוגים העובדים בבתי חולים</t>
  </si>
  <si>
    <t>תוספת ייחודית</t>
  </si>
  <si>
    <t>תוספת אחוזית לנושאי משרה שיפוטית</t>
  </si>
  <si>
    <t>תוספת קלדנות</t>
  </si>
  <si>
    <t>תוספת שקלית לקלדניות שופטים בכפוף לחלקיות המשרה</t>
  </si>
  <si>
    <t>קצובת ביגוד (שנתי)</t>
  </si>
  <si>
    <t>קצובת ביגוד לכלל עובדי משרדי הממשלה.
הסמל משולם אחת לשנה במשכורת חודש יולי. -כבאות</t>
  </si>
  <si>
    <t>תוספת גשרים</t>
  </si>
  <si>
    <t>תוספת שקלית לעובדי המכס בגשר הירדן ובמעברי הגבול עם מצרים.</t>
  </si>
  <si>
    <t>תוספת לחוקר רשות האוכלוסין</t>
  </si>
  <si>
    <t>תוספת אחוזית לחוקרים המועסקים בכלא קציעות בדירוג שכר כולל המבוטחים בפנסיה צוברת בלבד</t>
  </si>
  <si>
    <t>בית הנשיא</t>
  </si>
  <si>
    <t>רק ללשכת עובדי בית הנשיא.</t>
  </si>
  <si>
    <t>תוספת משפטנים/פרקליטים</t>
  </si>
  <si>
    <t>תוספת שקלית לעובדי הדירוגים המשפטיים (משפטנים, פרקליטים וסנגורים ציבוריים).</t>
  </si>
  <si>
    <t>תוספת מקצועית פסיכולוגים</t>
  </si>
  <si>
    <t>תוספת אחוזית לפסיכולוגים שאינם מועסקים בבתי חולים</t>
  </si>
  <si>
    <t>תוספת כבאות</t>
  </si>
  <si>
    <t>תוספת שקלית לכבאי שסיים קורס כבאות</t>
  </si>
  <si>
    <t>תוספת כפיים</t>
  </si>
  <si>
    <t>תוספת אחוזית לכבאים</t>
  </si>
  <si>
    <t>גמול ניהול לפסיכולוגים</t>
  </si>
  <si>
    <t>תוספת אחוזית לפסיכולוגים המועסקים בתפקידי ניהול שלא בתקן בתי חולים</t>
  </si>
  <si>
    <t>מבחני נהיגה. דמי חופשה</t>
  </si>
  <si>
    <t>תשלום בגין ימי חופש בפועל לעובדים שעתיים במשרד התחבורה</t>
  </si>
  <si>
    <t>כתיבת גט</t>
  </si>
  <si>
    <t>תוספת בגין כתיבת גיטין שבוצעה בשעות העבודה (עד שעה 13:15 בחוזה חודש ועד שעה 14:00 בחוזה ישן).</t>
  </si>
  <si>
    <t>חתימה/ עדות - גט</t>
  </si>
  <si>
    <t>תוספת בגין חתימות ועדי גיטין שבוצעה בשעות העבודה (עד שעה 13:15 בחוזה חודש ועד שעה 14:00 בחוזה ישן</t>
  </si>
  <si>
    <t>תוספת ניהול</t>
  </si>
  <si>
    <t>תוספת אחוזית לנושאי משרה שיפוטית בתפקידי ניהול</t>
  </si>
  <si>
    <t>תוספת יהלום</t>
  </si>
  <si>
    <t>תוספת שקלית לעובדים במס הכנסה שסיימו קורס להכשרת מפקחים - חוקרים ייעודיים לטיפול בארגוני פשיעה</t>
  </si>
  <si>
    <t>תוספת גמול ניהול</t>
  </si>
  <si>
    <t>לפורשי רשות השידור. הזכאים הם גימלאים שפרשו בתאריך 31.8.14 כולל ואילך ותשלום התוספת שולמה בערב הפרישה
התוספת מחושבת על יסוד המשולב בלבד
תוספת המשולמת לפורשי רשות השידור בכמות של 0.6</t>
  </si>
  <si>
    <t>גמול השתלמות אחוזי לדירוג בכ"מ/עמ"מ</t>
  </si>
  <si>
    <t>רפורמה ב'</t>
  </si>
  <si>
    <t>תוספת שקלית לעובדי אגפי המסים הזכאים לתוספת רפורמה בסמל 4147 וממלא את אחד התפקידים כפי שנקבע בהסכם הקיבוצי המיוחד</t>
  </si>
  <si>
    <t>תוספת 3%</t>
  </si>
  <si>
    <t>תוספת שניתנת רק לעובדי לשכת הנשיא משרד פרישה 101</t>
  </si>
  <si>
    <t>תוספת שכר</t>
  </si>
  <si>
    <t>תוספת אחוזית למשפטנים מתמחים וסטודנטים לרפואה</t>
  </si>
  <si>
    <t>תוספת שקלית לעובדי אגפי המסים, המטפלים בנושאי הרפורמה במס (רווחי הון ומיסוי בינ"ל), עברו קורס בנושא והתחייבו להשתלם ולעסוק בתחום במשך שלוש שנים לפחות.</t>
  </si>
  <si>
    <t>תוספת חוקר</t>
  </si>
  <si>
    <t>תוספת אחוזית לחוקרי נציבות שירות המדינה</t>
  </si>
  <si>
    <t>ענ"א 16.2%</t>
  </si>
  <si>
    <t>תוספת אחוזית לעובדי ענ"א במשרדי הממשלה. התוספת שולמה מול הפחתת 4 כוננויות ממכסת העובד.</t>
  </si>
  <si>
    <t>כוננות מזכירים ראשיים</t>
  </si>
  <si>
    <t>תשלום כוננויות מנהליות למזכירים ראשיים בבתי משפט ובפרקליטות</t>
  </si>
  <si>
    <t>תוספת התיעלות</t>
  </si>
  <si>
    <t>לעובדי הכנסת וללשכת הנשיא</t>
  </si>
  <si>
    <t>תוספת בריאות ציבור</t>
  </si>
  <si>
    <t>תוספת בוררות לרשות השידור</t>
  </si>
  <si>
    <t>תוספת הניתנת לעובדי רשות השידור בדירוג טכנאים והנדסאים.</t>
  </si>
  <si>
    <t>נתיב א'</t>
  </si>
  <si>
    <t>תוספת שקלית לעובדי נתיב הותיקים שעברו למשרד רוה"מ</t>
  </si>
  <si>
    <t>תוספת פו"מ</t>
  </si>
  <si>
    <t>תוספת אחוזית לעובדי נתיב הותיקים שעברו למשרד רוה"מ</t>
  </si>
  <si>
    <t>תוספת אחוזית לפסיכולוגים קליניים, התפתחותיים, שיקומיים וחינוכיים</t>
  </si>
  <si>
    <t>נתיב ג'</t>
  </si>
  <si>
    <t>תוספת אחוזית לעובדי נתיב החדשים, שנקלטו לאחר 1/1/03</t>
  </si>
  <si>
    <t>תוספת שומת מקרקעין</t>
  </si>
  <si>
    <t>תוספת אחוזית לעובדים באגף שומת המקרקעין במשרד המשפטים.</t>
  </si>
  <si>
    <t>תוספת רנטגנאי ב</t>
  </si>
  <si>
    <t>תוספת אחוזית לרנטגנאים.</t>
  </si>
  <si>
    <t>תוספת תואר ב.א</t>
  </si>
  <si>
    <t>תוספת אחוזית לרנטגנאים בעלי תואר ב.א</t>
  </si>
  <si>
    <t>תוספת תואר מ.א</t>
  </si>
  <si>
    <t>תוספת אחוזית לרנטגנאים בעלי תואר מ.א</t>
  </si>
  <si>
    <t>תוספת 3.1%</t>
  </si>
  <si>
    <t>תוספת אחוזית לפזיותרפיסטים</t>
  </si>
  <si>
    <t>תוספת שקלית</t>
  </si>
  <si>
    <t>תוספת שקלית לרופאים. משולמת לכלל הרופאים, בתעריף משתנה לפי דרגה.</t>
  </si>
  <si>
    <t>תוספת שירות</t>
  </si>
  <si>
    <t>נתיב ב'</t>
  </si>
  <si>
    <t>דריכות וכוננות</t>
  </si>
  <si>
    <t>תוספת שקלית לעובדי שטחים, בעקבות הסכמי אחוזת Y</t>
  </si>
  <si>
    <t>בעלות תפקיד ב'</t>
  </si>
  <si>
    <t>תוספת אחוזית לאחיות בעלות תפקיד בבתי חולים ובבי"ס לסיעוד.</t>
  </si>
  <si>
    <t>תוספת אחוזית לפרקליטים, אשר משולמת למנהלי מחלקות ולסגניהם.</t>
  </si>
  <si>
    <t>תוספת שכר 3.6%</t>
  </si>
  <si>
    <t>תוספת אחוזית לכל העובדים בדירוגים הפועלים עפ"י הסכמים קיבוציים ומיוצגים ע"י ההסתדרות</t>
  </si>
  <si>
    <t>גמ.פרק.מחוז</t>
  </si>
  <si>
    <t>תוספת אחוזית לפרקליטי מחוזות במשרד המשפטים.</t>
  </si>
  <si>
    <t>תוספת 2001</t>
  </si>
  <si>
    <t>תוספת אחוזית/שקלית לעובדים שאינם זכאים לתוספת ייחודית (תחליף לתוספת איזון ותוספת 1997).</t>
  </si>
  <si>
    <t>כתיבת גט (לאחר השעה 14.00)</t>
  </si>
  <si>
    <t>תוספת בגין כתיבת גיטין שבוצעה לאחר שעות העבודה (משעה 13:15 בחוזה חודש ומשעה 14:00 בחוזה ישן).</t>
  </si>
  <si>
    <t>חתימה/ עדות - גט (לאחר השעה 14.00</t>
  </si>
  <si>
    <t>תוספת בגין חתימה ועדות גיטין שבוצעה לאחר שעות העבודה (משעה 13:15 בחוזה חודש ומשעה 14:00 בחוזה ישן).</t>
  </si>
  <si>
    <t>תוספת מפעלית ב'</t>
  </si>
  <si>
    <t>לרשות הדואר בלבד</t>
  </si>
  <si>
    <t>ישיבות בי"ד לגיור (בדירוג 87 דרגה 500)</t>
  </si>
  <si>
    <t>תשלום ליו"ר בית דין וחבר בית-דין לגיור בגין ישיבות בעניין הגיור, לפי כמות הישיבות בחודש.</t>
  </si>
  <si>
    <t>הסכם שכר 99</t>
  </si>
  <si>
    <t>תוספת אחוזית לדרגות הנמוכות בדירוגים הכלולים בהסכם 1999.</t>
  </si>
  <si>
    <t>תוספת 1997</t>
  </si>
  <si>
    <t>תוספת אחוזית לעובדים בלתי ייחודיים (בנוסף לתוספת איזון משרדי).</t>
  </si>
  <si>
    <t>תמריץ פרקליטים</t>
  </si>
  <si>
    <t>תוספת שקלית לפרקליטים במשרד המשפטים. התוספת מחליפה את התמריץ המשולם לשאר המשפטנים במשרדי הממשלה (סמל 0839).</t>
  </si>
  <si>
    <t>הסכם אחיות 1997</t>
  </si>
  <si>
    <t>תוספת אחוזית לאחיות</t>
  </si>
  <si>
    <t>השלמת שכר</t>
  </si>
  <si>
    <t>תוספת שקלית בגין ירידה בשכר לערך שעה עקב ביטול תוספת "הסכם 99" בעת עליה בדרגה.</t>
  </si>
  <si>
    <t>ת.עוב.חינוך</t>
  </si>
  <si>
    <t>תוספת הסכם שכר 1999 (לתשלום אוטומטי בלבד)</t>
  </si>
  <si>
    <t>תוספת פריפריה 2000</t>
  </si>
  <si>
    <t>תוספת שקלית לרופאים מומחים, בבתי חולים בפריפריה</t>
  </si>
  <si>
    <t>תוספת אחוזית לעובדים במשרד החקלאות שאינם מקבלים תוספת מחקר חקלאי (סמל 756)</t>
  </si>
  <si>
    <t>תוספת אחוזית לעובדי משרד רו"ה אשר פעילותם מושפעת ישירות מפעילות ראש הממשלה.</t>
  </si>
  <si>
    <t>תוספת סנגור ציבורי מחוזי</t>
  </si>
  <si>
    <t>תוספת לסנגורים ציבוריים מחוזיים, בהתאם לוותקו של כל סנגור ציבורי מחוזי בתפקיד זה בפועל.</t>
  </si>
  <si>
    <t>תוספת ענ"א 8%</t>
  </si>
  <si>
    <t>תוספת אחוזית לעובדי ענ"א המועסקים בנציבות מס הכנסה ובאגף המכס והמע"מ</t>
  </si>
  <si>
    <t>תוספת 2009</t>
  </si>
  <si>
    <t>תוספת אחוזית לדירוגים שונים בעקבות הסכם קיבוצי שנחתם ביום 17.4.2008</t>
  </si>
  <si>
    <t>תוספת אמון</t>
  </si>
  <si>
    <t>תוספת אחוזית למזכירות במשרות אמון בלשכות שרים / סגני שרים ומנכ"לים</t>
  </si>
  <si>
    <t>ש"נ כוללות. ש"נ פנסיוני - תשלום אוטו'</t>
  </si>
  <si>
    <t>תשלום לעובדים בדירוג 122 כשעות נוספות גלובליות.</t>
  </si>
  <si>
    <t>תוספת מקצועות אקוטיים</t>
  </si>
  <si>
    <t>תוספת שקלית לרופאים העוסקים במקצועות במצוקה אקוטית</t>
  </si>
  <si>
    <t>תוספת שקלית לעובדי דירוג המינהלי על מנת לשפר את איכות המינהל הממשלתי.</t>
  </si>
  <si>
    <t>תוספת 2011</t>
  </si>
  <si>
    <t>תוספת אחוזית לכלל העובדים שמשכורתם מחושבת לפי הסכמים קיבוציים החלים לגבי הדירוגים המיוצגים ע"י ההסתדרות</t>
  </si>
  <si>
    <t>ת.סנגור ציבורי ארצי</t>
  </si>
  <si>
    <t>תוספת שקלית לסנגור הציבורי הארצי בהתאם לוותק של הסנגור הציבורי הארצי בתפקיד זה בפועל.</t>
  </si>
  <si>
    <t>תוספת פרקליטים ב'</t>
  </si>
  <si>
    <t>תוספת אחוזית לעובדים בדירוג פרקליטים וסנגורים ציבוריים בעקבות הסכם שטר בוררות</t>
  </si>
  <si>
    <t>תוספת אחוזית לפרקליטים וסנגורים ציבוריים במשרד המשפטים</t>
  </si>
  <si>
    <t>תוספת אחוזית לעובדי מינהל ומשק לעובדים בבתי החולים הממשלתיים במשרד הבריאות</t>
  </si>
  <si>
    <t>תוספת שירות החוץ</t>
  </si>
  <si>
    <t>תוספת אחוזית לעובדים בדירוג שירות החוץ, בשיעור מירבי של 15%, תשולם בהתאם לתקופה בה שירת העובד בשליחויות בהתאם לסיווג המדינה בה היה בשליחות</t>
  </si>
  <si>
    <t>תוספת שיקלית</t>
  </si>
  <si>
    <t>לגימלאים שפרשו לפנסיה בתאריף 31.1.11 ואילך הנמצאים בירוג 24 עובדים סוציאלים</t>
  </si>
  <si>
    <t>תוספת שכר מבקר חשבונות</t>
  </si>
  <si>
    <t>תוספת שקלית לעובד מכס שסיים בהצלחה קורב מבקרי חשבונות ומועסק במשרות המופיעות בנספח ב' של ההסכם הקיבוצי</t>
  </si>
  <si>
    <t>תוספת שקלית לעובדי מס הכנסה ומיסוי מקרקעין אשר אינם זכאים לתוספת רפורמה ב'</t>
  </si>
  <si>
    <t>תוספת שקלית לעובדי שע"ם אשר אינם זכאים לתוספת רפורמה ב'</t>
  </si>
  <si>
    <t>תוספת ליווי אחמ"ים</t>
  </si>
  <si>
    <t>תוספת שקלית המשולמת לנהג מלווה אחמ"ים המדורגים בדירוג המינהלי או בדירוג שירות החוץ במשרד החוץ</t>
  </si>
  <si>
    <t>תוספת לעובדי מכס</t>
  </si>
  <si>
    <t>תוספת חינוך לבריאות</t>
  </si>
  <si>
    <t>תוספת אחוזית לרופאי תחנות אם וילד ורופאי בתי הספר במשרד הבריאות</t>
  </si>
  <si>
    <t>תוספת מבצעית</t>
  </si>
  <si>
    <t>תוספת אחוזית משולמת לכבאים שמועסקים במשרות</t>
  </si>
  <si>
    <t>תוספת כבאי חדש</t>
  </si>
  <si>
    <t>תוספת אחוזית אוטומטית לכל הכבאים בדירוג 202</t>
  </si>
  <si>
    <t>תוספת שקלית לאחים ואחיות</t>
  </si>
  <si>
    <t>תוספת פיקוח רפורמה</t>
  </si>
  <si>
    <t xml:space="preserve">לעובדי הוראה. משולם לדירוגים מ-321 עד-328 </t>
  </si>
  <si>
    <t>תוספת שמירת שכר</t>
  </si>
  <si>
    <t>לעובדי הוראה. מתאים לדירוגים מ-321 עד-328</t>
  </si>
  <si>
    <t>תוספת אקוטית 2012</t>
  </si>
  <si>
    <t>תשלום לדרוג רופאים</t>
  </si>
  <si>
    <t>מקצ במצוקה</t>
  </si>
  <si>
    <t>תוספת בית חולים מאוחדת</t>
  </si>
  <si>
    <t>תוספת אחוזית לעובדי מנמ"ש בבתי חולים</t>
  </si>
  <si>
    <t>תוספת שקלית 2012</t>
  </si>
  <si>
    <t>תוספת שקלית לערך יום לרופאים בדרגות 2 עד 9+ (כולל)</t>
  </si>
  <si>
    <t>מנהלת הגמלאות</t>
  </si>
  <si>
    <t>חיסכון פנסיוני</t>
  </si>
  <si>
    <t>מדד ידוע</t>
  </si>
  <si>
    <t xml:space="preserve">ביטוח לאומי </t>
  </si>
  <si>
    <t>ביטוח בריאות</t>
  </si>
  <si>
    <t>תאריך פרישה</t>
  </si>
  <si>
    <t>מדד לחישוב</t>
  </si>
  <si>
    <t>גמלה</t>
  </si>
  <si>
    <t>הבראה, ביגוד, מענק יובל</t>
  </si>
  <si>
    <t>ניכוי היוון</t>
  </si>
  <si>
    <t>פטור גמלאי</t>
  </si>
  <si>
    <t>גמלה למס חודשי</t>
  </si>
  <si>
    <t>גמלה למס מצטבר שנתי</t>
  </si>
  <si>
    <t>נק זיכוי</t>
  </si>
  <si>
    <t>זיכוי חיסכון</t>
  </si>
  <si>
    <t>סה"כ מס הכנסה שנתי</t>
  </si>
  <si>
    <t>סה"כ מס הכנסה חודשי</t>
  </si>
  <si>
    <t>סה"כ ביטוח לאומי</t>
  </si>
  <si>
    <t>סה"כ ביטוח בריאות</t>
  </si>
  <si>
    <t>סה"כ ביטוח לאומי ובריאות</t>
  </si>
  <si>
    <t>גמלה נטו</t>
  </si>
  <si>
    <t>רמת פעילות</t>
  </si>
  <si>
    <t>קוד פעילות</t>
  </si>
  <si>
    <t>היעדר ביטחון תעסוקתי</t>
  </si>
  <si>
    <t>ד</t>
  </si>
  <si>
    <t>א-</t>
  </si>
  <si>
    <t>א+</t>
  </si>
  <si>
    <t>צניחה+</t>
  </si>
  <si>
    <t>טיסה</t>
  </si>
  <si>
    <t>צה"ל</t>
  </si>
  <si>
    <t>משטרה</t>
  </si>
  <si>
    <t>שב"כ</t>
  </si>
  <si>
    <t>מוסד</t>
  </si>
  <si>
    <t>מוסד חדש</t>
  </si>
  <si>
    <t>מדד</t>
  </si>
  <si>
    <t>מועד עדכון</t>
  </si>
  <si>
    <t>1.1.2019</t>
  </si>
  <si>
    <t>1.7.2021</t>
  </si>
  <si>
    <t>1.1.2022</t>
  </si>
  <si>
    <t>1.1.2023</t>
  </si>
  <si>
    <t>מקורי</t>
  </si>
  <si>
    <t>(מדד 2020 היה מינוס 0.8% ומדד 2021 היה 2.6%)</t>
  </si>
  <si>
    <t>דרגה שלוש אותיות</t>
  </si>
  <si>
    <t xml:space="preserve">התוספת חושבה לקצינים בלבד - להוסיף חישוב לנגדים </t>
  </si>
  <si>
    <t>אחוז תוספת מקצועית קצינים</t>
  </si>
  <si>
    <t>דצ"י</t>
  </si>
  <si>
    <t>אחיות</t>
  </si>
  <si>
    <t>טכנאי רנטגן</t>
  </si>
  <si>
    <t>פיזיוטרפיסטים</t>
  </si>
  <si>
    <t>סגם</t>
  </si>
  <si>
    <t>תנאי אלוף</t>
  </si>
  <si>
    <t>תנאי קצט</t>
  </si>
  <si>
    <t>רסן</t>
  </si>
  <si>
    <t>אלם</t>
  </si>
  <si>
    <t>אלף</t>
  </si>
  <si>
    <t xml:space="preserve">קיזוז קצינים </t>
  </si>
  <si>
    <t>בהפחתה</t>
  </si>
  <si>
    <t>דריכות</t>
  </si>
  <si>
    <t>רמה ג</t>
  </si>
  <si>
    <r>
      <t xml:space="preserve">* אלוף בכל הדירוגים - </t>
    </r>
    <r>
      <rPr>
        <b/>
        <u/>
        <sz val="14"/>
        <rFont val="David"/>
        <family val="2"/>
      </rPr>
      <t>אין קיזוז</t>
    </r>
  </si>
  <si>
    <t>רמה ב</t>
  </si>
  <si>
    <t>קצין טכני</t>
  </si>
  <si>
    <r>
      <t xml:space="preserve">* סג"ם,סגן,אל"מ,תא"ל ואלוף בדירוג קצין טכני - </t>
    </r>
    <r>
      <rPr>
        <b/>
        <u/>
        <sz val="14"/>
        <rFont val="David"/>
        <family val="2"/>
      </rPr>
      <t>אין קיזוז</t>
    </r>
  </si>
  <si>
    <t>רמה א מינוס</t>
  </si>
  <si>
    <t>רמה א</t>
  </si>
  <si>
    <t>א פלוס</t>
  </si>
  <si>
    <t>צניחה פלוס</t>
  </si>
  <si>
    <t>צניחה</t>
  </si>
  <si>
    <t>צוללנים</t>
  </si>
  <si>
    <t>צוללים</t>
  </si>
  <si>
    <r>
      <t xml:space="preserve">* </t>
    </r>
    <r>
      <rPr>
        <b/>
        <u/>
        <sz val="14"/>
        <rFont val="David"/>
        <family val="2"/>
      </rPr>
      <t>קיזוז בהפחתה</t>
    </r>
    <r>
      <rPr>
        <b/>
        <sz val="14"/>
        <rFont val="David"/>
        <family val="2"/>
      </rPr>
      <t xml:space="preserve"> = האחוז הסופי יהיה אחוז המקצועית המקורי פחות אחוז הקיזוז. למשל - רס"ן בדירוג מח"ר ברמה ג' יקבל אחוז מקצועית סופי בסך 28.8% = 4% - 32.8%</t>
    </r>
  </si>
  <si>
    <t>אחוז תוספת נגדים</t>
  </si>
  <si>
    <t>סוג לתוספת מקצועית</t>
  </si>
  <si>
    <t>תמריץ 0</t>
  </si>
  <si>
    <t>8 תמריץ</t>
  </si>
  <si>
    <t>15 תמריץ</t>
  </si>
  <si>
    <t>20 תמריץ</t>
  </si>
  <si>
    <t>12 (22)</t>
  </si>
  <si>
    <t>(שלב 22 לא קיים החל מ- 1994)</t>
  </si>
  <si>
    <t>13 (23)</t>
  </si>
  <si>
    <t>14 (25)</t>
  </si>
  <si>
    <t>קיזוז נגדים</t>
  </si>
  <si>
    <t>+רמה א</t>
  </si>
  <si>
    <t>+צניחה</t>
  </si>
  <si>
    <t>אחוז תוספת פעילות קצינים</t>
  </si>
  <si>
    <t>א מינוס</t>
  </si>
  <si>
    <t>קיזוז בהכפלה</t>
  </si>
  <si>
    <t>תפמ</t>
  </si>
  <si>
    <t>צניחה +</t>
  </si>
  <si>
    <t>רמה א פלוס</t>
  </si>
  <si>
    <t>סגן 3</t>
  </si>
  <si>
    <t>סרן 3</t>
  </si>
  <si>
    <t>רסן 3</t>
  </si>
  <si>
    <t>רסן 5</t>
  </si>
  <si>
    <t>רסן 7</t>
  </si>
  <si>
    <t>רסן 9</t>
  </si>
  <si>
    <t>סאל 3</t>
  </si>
  <si>
    <t>סאל 5</t>
  </si>
  <si>
    <t>סאל 7</t>
  </si>
  <si>
    <t>סאל 9</t>
  </si>
  <si>
    <t>אלמ 3</t>
  </si>
  <si>
    <t>אלמ 5</t>
  </si>
  <si>
    <t>אלמ 7</t>
  </si>
  <si>
    <t>אלמ 9</t>
  </si>
  <si>
    <t>אלמ 11</t>
  </si>
  <si>
    <t>תאל 3</t>
  </si>
  <si>
    <t>תאל 5</t>
  </si>
  <si>
    <t>אלף 3</t>
  </si>
  <si>
    <t>אלף 5</t>
  </si>
  <si>
    <t>סרן 5</t>
  </si>
  <si>
    <t>תאל 7</t>
  </si>
  <si>
    <t>טכנאים</t>
  </si>
  <si>
    <t>רמת מחקר</t>
  </si>
  <si>
    <t>קוד מחקר</t>
  </si>
  <si>
    <t>שינוי במדד לפי בסיס 2007</t>
  </si>
  <si>
    <t>גמול ב עד דרגה 43+</t>
  </si>
  <si>
    <t>ותק פעילות רמה 1</t>
  </si>
  <si>
    <t>ותק פעילות רמה 2</t>
  </si>
  <si>
    <t>ותק פעילות רמה 3</t>
  </si>
  <si>
    <t>רמה 1</t>
  </si>
  <si>
    <t>רמה 2</t>
  </si>
  <si>
    <t>רמה 3</t>
  </si>
  <si>
    <t>קוד זכאות</t>
  </si>
  <si>
    <t>בריאות/רווחה</t>
  </si>
  <si>
    <t>ת. גריאטריה</t>
  </si>
  <si>
    <t>בוררות</t>
  </si>
  <si>
    <t>ס.פסיכיאטריה</t>
  </si>
  <si>
    <t>תוספת גריאטריה</t>
  </si>
  <si>
    <t>ס. פסיכיאטריה</t>
  </si>
  <si>
    <t>תוספת</t>
  </si>
  <si>
    <t>סיכון פסיכיאטרי</t>
  </si>
  <si>
    <t>מנמ"ש 2010 עד 17+ / 38+</t>
  </si>
  <si>
    <t>מנמ"ש 2010 מ 18 / 39</t>
  </si>
  <si>
    <t>רמה</t>
  </si>
  <si>
    <t>שכר יסוד ותק - 0</t>
  </si>
  <si>
    <t>חלק הוותק</t>
  </si>
  <si>
    <t>וותק חובה</t>
  </si>
  <si>
    <t>וותק רגיל</t>
  </si>
  <si>
    <t>וותק תואר שני</t>
  </si>
  <si>
    <t>מקדם לשנה</t>
  </si>
  <si>
    <t>מקדם חלק שנה</t>
  </si>
  <si>
    <t>תוספת וותק</t>
  </si>
  <si>
    <t>ותק חובה</t>
  </si>
  <si>
    <t>ותק מעוגל למטה</t>
  </si>
  <si>
    <t>ותק מעודכן למעלה</t>
  </si>
  <si>
    <t>חודש עדכון</t>
  </si>
  <si>
    <t>שכר מינימום</t>
  </si>
  <si>
    <t>שינוי מדד שנתי מלא</t>
  </si>
  <si>
    <t xml:space="preserve">חישוב הצמדה למדד </t>
  </si>
  <si>
    <t>הצמדה 2009</t>
  </si>
  <si>
    <t>הצמדה 2010</t>
  </si>
  <si>
    <t>הצמדה 2011</t>
  </si>
  <si>
    <t>הצמדה 2012</t>
  </si>
  <si>
    <t>הצמדה 2013</t>
  </si>
  <si>
    <t>הצמדה 2014</t>
  </si>
  <si>
    <t>הצמדה 2015</t>
  </si>
  <si>
    <t>הצמדה 2016</t>
  </si>
  <si>
    <t>הצמדה 2017</t>
  </si>
  <si>
    <t>קוד תאריך פרישה</t>
  </si>
  <si>
    <t>הצמדה 2018</t>
  </si>
  <si>
    <t>הצמדה 2019</t>
  </si>
  <si>
    <t>הצמדה 2020</t>
  </si>
  <si>
    <t>הצמדה 2021</t>
  </si>
  <si>
    <t>הצמדה 2022</t>
  </si>
  <si>
    <t>הצמדה 2023</t>
  </si>
  <si>
    <t>הצמדה 2024</t>
  </si>
  <si>
    <t>הצמדה 2025</t>
  </si>
  <si>
    <t>מועד קידום ינואר XX</t>
  </si>
  <si>
    <t>ינואר 2019</t>
  </si>
  <si>
    <t>ינואר 2010</t>
  </si>
  <si>
    <t>ינואר 2011</t>
  </si>
  <si>
    <t>ינואר 2012</t>
  </si>
  <si>
    <t>ינואר 2013</t>
  </si>
  <si>
    <t>ינואר 2014</t>
  </si>
  <si>
    <t>ינואר 2015</t>
  </si>
  <si>
    <t>ינואר 2016</t>
  </si>
  <si>
    <t>ינואר 2017</t>
  </si>
  <si>
    <t>ינואר 2018</t>
  </si>
  <si>
    <t>ינואר 2020</t>
  </si>
  <si>
    <t>ינואר 2021</t>
  </si>
  <si>
    <t>ינואר 2022</t>
  </si>
  <si>
    <t>ינואר 2023</t>
  </si>
  <si>
    <t>ינואר 2024</t>
  </si>
  <si>
    <t>ינואר 2025</t>
  </si>
  <si>
    <t>ינואר 2026</t>
  </si>
  <si>
    <t>קוד מועד</t>
  </si>
  <si>
    <t>הצמדה 2008</t>
  </si>
  <si>
    <t>ינואר 2009</t>
  </si>
  <si>
    <t>ללא/חלקי/מלא</t>
  </si>
  <si>
    <t>הצמדה מלאה</t>
  </si>
  <si>
    <t>תוספת הצמדה</t>
  </si>
  <si>
    <t>מדד ידוע בפרישה</t>
  </si>
  <si>
    <t>קוד  תאריך סוף שנת הפרישה</t>
  </si>
  <si>
    <t>מדד סוף שנת הפרישה</t>
  </si>
  <si>
    <t>עדכון מדד בשנת פרישה</t>
  </si>
  <si>
    <t>השלמה לשכר מינימום</t>
  </si>
  <si>
    <t>נטרול ותק</t>
  </si>
  <si>
    <t>השל.מהוראה</t>
  </si>
  <si>
    <t>תוספת שלב</t>
  </si>
  <si>
    <t>חנוך מיוחד</t>
  </si>
  <si>
    <t>מורה-מדריך</t>
  </si>
  <si>
    <t>גמול ניהול</t>
  </si>
  <si>
    <t>גמול הדרכה</t>
  </si>
  <si>
    <t>גמול פקוח</t>
  </si>
  <si>
    <t>גמול ייעוץ</t>
  </si>
  <si>
    <t>תוספת פעולה רמה ב</t>
  </si>
  <si>
    <t>תוספת שיטור</t>
  </si>
  <si>
    <t>גמול מיוחד</t>
  </si>
  <si>
    <t>לבדוק לפי דרגה</t>
  </si>
  <si>
    <t>תוספת תמריץ</t>
  </si>
  <si>
    <t>טיסה פעילה</t>
  </si>
  <si>
    <t>גרירת תמריץ</t>
  </si>
  <si>
    <t>תוס.סיכון ג</t>
  </si>
  <si>
    <t>ס.פסיכיאטרי</t>
  </si>
  <si>
    <t>ת.מיוחדת 6%</t>
  </si>
  <si>
    <t>הס.מסגרת 78</t>
  </si>
  <si>
    <t>סיכון א-אח'</t>
  </si>
  <si>
    <t>סיכון ב'-אחיות</t>
  </si>
  <si>
    <t>סיכון ג-אח'</t>
  </si>
  <si>
    <t>יתרון פנסיה</t>
  </si>
  <si>
    <t>תוספת אישית</t>
  </si>
  <si>
    <t>ת. פנימיה</t>
  </si>
  <si>
    <t>שוטף 93</t>
  </si>
  <si>
    <t>דכירות מבצעית</t>
  </si>
  <si>
    <t>תוספת אחוזית דירוג יהלום</t>
  </si>
  <si>
    <t>תוספת מל"מ</t>
  </si>
  <si>
    <t>שהייה מפ ימ</t>
  </si>
  <si>
    <t>פרלמנט %19</t>
  </si>
  <si>
    <t>ת.גריאטריה</t>
  </si>
  <si>
    <t>אחיות בריאות קהילה 9%</t>
  </si>
  <si>
    <t>תוספת אחוזית שע"מ</t>
  </si>
  <si>
    <t>תוספת מינהל</t>
  </si>
  <si>
    <t xml:space="preserve">תוספת רשות חדשה אחוזית </t>
  </si>
  <si>
    <t>תוס. סיכון</t>
  </si>
  <si>
    <t>פנסיה מנדט</t>
  </si>
  <si>
    <t>ת.הש.במשטרה</t>
  </si>
  <si>
    <t>אחוז/שכ.ש.נ</t>
  </si>
  <si>
    <t>גמלאים - %5</t>
  </si>
  <si>
    <t>תוס. פרלמנט</t>
  </si>
  <si>
    <t>הופעה תע"ש</t>
  </si>
  <si>
    <t>תוספת ענא</t>
  </si>
  <si>
    <t>ת. נהג מלוה</t>
  </si>
  <si>
    <t>ת. סמינרים</t>
  </si>
  <si>
    <t>גמלאים - 4%</t>
  </si>
  <si>
    <t>ת.שטחים ר.ג</t>
  </si>
  <si>
    <t>תוספת שטחים</t>
  </si>
  <si>
    <t>תוס אבטחה מ</t>
  </si>
  <si>
    <t>גמ.השתלמות</t>
  </si>
  <si>
    <t>ג.השתל.תואר</t>
  </si>
  <si>
    <t>גמ.חנוך כתה</t>
  </si>
  <si>
    <t>מקצ והכשרות</t>
  </si>
  <si>
    <t>למודי תעודה</t>
  </si>
  <si>
    <t>הפרש אופק</t>
  </si>
  <si>
    <t>תוספת בעד אבטחה לנהגי שרים וסגני שרים</t>
  </si>
  <si>
    <t>תוס.ב"צ 15%</t>
  </si>
  <si>
    <t>תוס. משימות</t>
  </si>
  <si>
    <t>תוספת ת.מ.ה</t>
  </si>
  <si>
    <t>תוספת ממ"ה</t>
  </si>
  <si>
    <t>תוספת סיכון</t>
  </si>
  <si>
    <t>מקדמה ע"ח עוז לתמורה</t>
  </si>
  <si>
    <t>ג.מורה יועץ</t>
  </si>
  <si>
    <t>גריאטר/כרונ</t>
  </si>
  <si>
    <t xml:space="preserve">תגבור הוראה </t>
  </si>
  <si>
    <t>הטבה</t>
  </si>
  <si>
    <t xml:space="preserve">גמול ייעוץ רופאים </t>
  </si>
  <si>
    <t>הכנה בח.גמר</t>
  </si>
  <si>
    <t>תוספת קצרניות</t>
  </si>
  <si>
    <t>גמול השתלמות בדרוג הוראה</t>
  </si>
  <si>
    <t>גמול כפל תואר</t>
  </si>
  <si>
    <t>חינוך כיתה</t>
  </si>
  <si>
    <t>תוספת הכשרה</t>
  </si>
  <si>
    <t>גמול ביניים</t>
  </si>
  <si>
    <t>ת.איזון-כנס</t>
  </si>
  <si>
    <t>ת. שכר-הסכם</t>
  </si>
  <si>
    <t>ת.רעלים תעש</t>
  </si>
  <si>
    <t>יצור תע"ש</t>
  </si>
  <si>
    <t>קבועה תע"ש</t>
  </si>
  <si>
    <t>תוס' תע"ש</t>
  </si>
  <si>
    <t>מפעלי תע"ש</t>
  </si>
  <si>
    <t>ת.שטחים תעש</t>
  </si>
  <si>
    <t>חומרים תע"ש</t>
  </si>
  <si>
    <t xml:space="preserve">תוספת שירות </t>
  </si>
  <si>
    <t>תיאומים-79</t>
  </si>
  <si>
    <t>פיצוי מיוחד</t>
  </si>
  <si>
    <t>הסכם 2008</t>
  </si>
  <si>
    <t>תוספת שחיקה 2011</t>
  </si>
  <si>
    <t>סנג"צ-אר/מח</t>
  </si>
  <si>
    <t>שיקלית 2016</t>
  </si>
  <si>
    <t>ללא וותק</t>
  </si>
  <si>
    <t>ברוטו למינימום</t>
  </si>
  <si>
    <t>הטמעת פריון</t>
  </si>
  <si>
    <t>מנמ"ש 2011</t>
  </si>
  <si>
    <t>אחוזית 2024</t>
  </si>
  <si>
    <t>הסכם 2023 אחוזי</t>
  </si>
  <si>
    <t>הסכם 2023 סכומי</t>
  </si>
  <si>
    <t>תוספת אחוזית 2024</t>
  </si>
  <si>
    <t>3.6% ת. שכר</t>
  </si>
  <si>
    <t>בוררות-מסים</t>
  </si>
  <si>
    <t>גמול השתלמ.</t>
  </si>
  <si>
    <t>מקצוע'מיסים</t>
  </si>
  <si>
    <t>ת.שכר מיסים</t>
  </si>
  <si>
    <t>תוספת חוק מ</t>
  </si>
  <si>
    <t>תוספת אחוז יום</t>
  </si>
  <si>
    <t>סכום/אחוז</t>
  </si>
  <si>
    <t>סכום</t>
  </si>
  <si>
    <t>כן - ללא וותק</t>
  </si>
  <si>
    <t>שקלית בטל"א</t>
  </si>
  <si>
    <t>אחוז</t>
  </si>
  <si>
    <t xml:space="preserve"> דירוג מנהלי -בדרגות 10, 11, 12, +12, 13, +13, 14, +14, 15, +15, 16, +16, דירוג מח"ר (11), ביקורת המדינה (18), מהנדסים, הנדסאים, עיתונאים, בדרגות 35, +35, 36, +36, 37, +37 , 
 דירוג פיזיוטרפיסטים (20) רמה 1 (מעשי),  דירוג עובדים סוציאליים (24) בדרגות יא' - ט',  דירוג בכ"מ עמ"מ (33) בדרגות ה1 - ד,  דירוג רוקחים (34) עד דרגה ד' כולל, דירוגים מרפאים בעיסוק (49) ופארה רפואיים (47): רמה 1 (מעשי), דירוג רשות הכבאות (202) לכבאי שמשובץ בדרגות 4 - 7+ בדירוג.</t>
  </si>
  <si>
    <t>עד דרגה 40+ - 328.76 ₪ , מ-41 עד 43+ - 430.86 ₪ , מ-44 ומעלה - הגבוה מבין 9% מסכום שכר המשולב  לבין 430.86 ₪ .</t>
  </si>
  <si>
    <t>הערות</t>
  </si>
  <si>
    <t xml:space="preserve"> עובדי  משרד הבריאות (107) אשר מועסקים בבתי חולים. ונמצאים באחד מהדירוגים הבאים: פסיכולוגים (דירוג 16), פיזיותרפיסטים (דירוג 20), אחים ואחיות (דירוג 39), פארה רפואים (דירוג 47), מרפאים בעיסוק (דירוג 49). 
 עובדי משרד הרווחה (118)  אשר מועסקים במעונות ממשלתיים : עובדי מנהל ומשק שהם בדירוגים: דירוגים מנהלי (1), מח"ר (11), מהנדסים (12), הנדסאים וטכנאים (13), אחים ואחיות (דירוג 39) </t>
  </si>
  <si>
    <t>עובדי מנהל ומשק בדירוגים:  מנהלי (1), מח"ר (11), מהנדסים (12), הנדסאים וטכנאים (13), אשר מקום עבודתם הינו בבתי חולים פסיכיאטרים .</t>
  </si>
  <si>
    <t xml:space="preserve"> 1.94% מהשכר היסוד בדירוג מנהלי דרגה 17 . עובדי מנהל ומשק בבית חולים ממשלתי, דירוג מינהלי או מח"ר, עובד במשרד הבריאות או הרווחה   </t>
  </si>
  <si>
    <t>מיום 01/01/2017: 0.94% , מיום 01/01/2018: 2.44%, מיום 01/01/2019: 3.94% .  האחוז מחושב מ: שכר משולב+ תוספת ותק+ כל תוספת שכר ותוספת לשכר (אחוזיות ושקליות) שהיו קיימות ב 31/12/2016 והמובאות בחשבון לעניין חישוב ערך שעה למעט:  תוספות שאינן משולמות על בסיס חודשי שבועי או יומי , תוספת שאינן מתעדכנות ע"פ הסכמי תוספת יוקר ויש להן מנגנון עדכון אחר, תוספת שקלית 2016+ תוספת אחוזית 2016 וכול תוספת מכוח הסכם קיבוצי מ- 2016 , תוספת רשות המיסים שקלית חדשה (רכיב: 737), תוספת שכר מיסים רכיב 5253- כי התוספת אינה מהווה רכיב לחישובים תוספות אחרות</t>
  </si>
  <si>
    <t>עובדי משרד הבריאות,עובדי מינהל ומשק בבתי החולים הממשלתיים, בדירוגים  המינהלי (1), דירוג המח"ר (11), דירוג המהנדסים (12) ודירוג טכנאים והנדסאים (13) . כל רכיבי השכר המובאים בחשבון לצורך חישוב ערך שעה (מופיע בהערות על נתונים)+תוספת 2001 (סמל מלם 4550) +תוספת 2009 ,  קבוצה א'=10% , קבוצה ב'=8% .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</si>
  <si>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משרד הבריאות (107) ומשרד הרווחה (118) דירוג מינהלי (1) דירוג מח"ר (11) דירוג מהנדסים (12) דירוג הנדסאים וטכנאים (13) המועסקים בבתי חולים למחלות כרוניות.</t>
  </si>
  <si>
    <t xml:space="preserve">עובדים המועסקים במשרדים: נציבות מס הכנסה (146), מכס ומע"מ (170)- כולל יחידת שע"מ . העובדים בדירוגים בלבד: מינהלי (1), מח"ר (11), הנדסאים (13), מהנדסים (12), משפטנים (21), יהלום (547). </t>
  </si>
  <si>
    <t>עובדים באחד מהמשרדים הבאים: נציבות מס הכנסה (146), מכס ומע"מ (170) ,  בדירוגים: מינהלי (1), מח"ר (11), הנדסאים (13), מהנדסים (12). אחוז: לקבוצה א- 30% , לקבוצה ב' 12%, בסיס הרכיב מורכב מסכום הרכיבים הבאים: שכר יסוד משולב (10002) + גמול השתלמות א' (667) + גמול השתלמות ב' (897) + תוספת שטחים (אישי, א' או ב') + תוספת מקצועית מיסים (705) + תוספת שכר הסכם 99 (רכיב 4624)+ תוספת בט"פ (1929)</t>
  </si>
  <si>
    <t>סכום בסיסי</t>
  </si>
  <si>
    <t>השלמה לסכום בסיסי</t>
  </si>
  <si>
    <t>קוד סכום בסיסי</t>
  </si>
  <si>
    <t>ברוטו לחישוב</t>
  </si>
  <si>
    <t>סכום מינימום</t>
  </si>
  <si>
    <t>קוד מינימום</t>
  </si>
  <si>
    <t>שכר ברוטו</t>
  </si>
  <si>
    <t>תוספת חוק מינימום</t>
  </si>
  <si>
    <t>תוספת אחוזית 2016</t>
  </si>
  <si>
    <t>חודש</t>
  </si>
  <si>
    <t>מינהלי</t>
  </si>
  <si>
    <t>ת.בית חולים</t>
  </si>
  <si>
    <t>תוס. מנמ"ש</t>
  </si>
  <si>
    <t>מנהל המחקר החקלאי</t>
  </si>
  <si>
    <t xml:space="preserve">מנמ"ש </t>
  </si>
  <si>
    <t>שטחים מיוחד א</t>
  </si>
  <si>
    <t>משימה</t>
  </si>
  <si>
    <t>סמל 633 - תפ.מפקד.בזק</t>
  </si>
  <si>
    <t>קיימים רק 2 עובדים</t>
  </si>
  <si>
    <t>איחוד סמלים 636 ו- 764 מנמ"ש</t>
  </si>
  <si>
    <t>לבדוק אם תמיד אותם סכומים</t>
  </si>
  <si>
    <t>סמל 657 - מעונות - האם פנסיוני</t>
  </si>
  <si>
    <t>רשות האוכלוסין וההגירה</t>
  </si>
  <si>
    <t>סמל 663 סיכון ג</t>
  </si>
  <si>
    <t>2 עובדיםם נוכה במינוס</t>
  </si>
  <si>
    <t>סמל 681 - תוספת פנימיה</t>
  </si>
  <si>
    <t>האם פנסיוני, מינהל לחינוך התיישבותי</t>
  </si>
  <si>
    <t>תוספת מיוחדת</t>
  </si>
  <si>
    <t>משרד הרווחה</t>
  </si>
  <si>
    <t>תוס. מיוחדת</t>
  </si>
  <si>
    <t>איך מאופיין</t>
  </si>
  <si>
    <t>סמל 4550 (הסכם 2001?)</t>
  </si>
  <si>
    <t>גמול מנהל שלב א - 105 ₪, שלב ב - 210 ₪, שלב ג- 315 ₪</t>
  </si>
  <si>
    <t>הסכם 2001 אישי</t>
  </si>
  <si>
    <t>1057 / 4994</t>
  </si>
  <si>
    <t>4005 / 5524</t>
  </si>
  <si>
    <t>מינימום לסמל 4544 / 1037</t>
  </si>
  <si>
    <t>השלמת שכר מינימום</t>
  </si>
  <si>
    <t>עיגול לחישוב מינימום</t>
  </si>
  <si>
    <t>עיגול לחישוב שכר מינימום</t>
  </si>
  <si>
    <t>1062 / 5253</t>
  </si>
  <si>
    <t>1037 / 4544</t>
  </si>
  <si>
    <t>1077 / 5401</t>
  </si>
  <si>
    <t>1073 / 5402</t>
  </si>
  <si>
    <t>סמל מלמ</t>
  </si>
  <si>
    <t>תאריך</t>
  </si>
  <si>
    <t>גמר תוקף</t>
  </si>
  <si>
    <t>Teur</t>
  </si>
  <si>
    <t>סמל חילן</t>
  </si>
  <si>
    <t>אירוע</t>
  </si>
  <si>
    <t>31/12/2999</t>
  </si>
  <si>
    <t>יסוד\משולב</t>
  </si>
  <si>
    <t>תוספת חינוך מיוחד \ סמינר</t>
  </si>
  <si>
    <t>גמול השתלמות מאוחד</t>
  </si>
  <si>
    <t>תוספת יוקר</t>
  </si>
  <si>
    <t>ייסוד+וותק</t>
  </si>
  <si>
    <t>פרלמנט 19% -הפחתה</t>
  </si>
  <si>
    <t>ת. אחוז -עו"ס</t>
  </si>
  <si>
    <t>ת.פרלמנט - הפחתה</t>
  </si>
  <si>
    <t>ת ותק מיוחד</t>
  </si>
  <si>
    <t>רכוז חינוכי</t>
  </si>
  <si>
    <t>גמול יעוץ</t>
  </si>
  <si>
    <t>תוספת שהייה</t>
  </si>
  <si>
    <t>מ.א. / ד"ר</t>
  </si>
  <si>
    <t>וותק פעילות</t>
  </si>
  <si>
    <t>תמר.ותק פת.</t>
  </si>
  <si>
    <t>תוספת הקפאה</t>
  </si>
  <si>
    <t>תוספת ב. צ.</t>
  </si>
  <si>
    <t>חב.בכ-רמה א</t>
  </si>
  <si>
    <t>אח בע תפקיד</t>
  </si>
  <si>
    <t>ה.כ.קציני מ</t>
  </si>
  <si>
    <t>אח.מח.אשפוז</t>
  </si>
  <si>
    <t>פעלות רמה ב</t>
  </si>
  <si>
    <t>'חבלה-רמה א</t>
  </si>
  <si>
    <t>הפרש דרגה</t>
  </si>
  <si>
    <t>ת.חתימה ב'</t>
  </si>
  <si>
    <t>תוס. מפעלית</t>
  </si>
  <si>
    <t>ת. שקלית ב"ל</t>
  </si>
  <si>
    <t>תמריץ אקדמאים</t>
  </si>
  <si>
    <t>תמריץ בכיר</t>
  </si>
  <si>
    <t>הסכם 29/09</t>
  </si>
  <si>
    <t>שט.מיוחד א'</t>
  </si>
  <si>
    <t>כוננויות</t>
  </si>
  <si>
    <t>השתל. אחיות</t>
  </si>
  <si>
    <t>%6 ת.מיוחדת</t>
  </si>
  <si>
    <t>ת.מקצ מיוחד</t>
  </si>
  <si>
    <t>תוספת ז'-ח'</t>
  </si>
  <si>
    <t>הסכם 29/19</t>
  </si>
  <si>
    <t>87 הס.מסגרת</t>
  </si>
  <si>
    <t>תוספת בי"ח</t>
  </si>
  <si>
    <t>גמ. השתלמות</t>
  </si>
  <si>
    <t>ה.ביניים 29</t>
  </si>
  <si>
    <t>ת.קר' קליני</t>
  </si>
  <si>
    <t>תוס. חב. קד.</t>
  </si>
  <si>
    <t>תמריץ משוקלל</t>
  </si>
  <si>
    <t>%7 תוס עו"ס</t>
  </si>
  <si>
    <t>93 שוטף</t>
  </si>
  <si>
    <t>תוס. מרש"ל</t>
  </si>
  <si>
    <t>תוס השתלמות</t>
  </si>
  <si>
    <t>שמירת שכ. נגדי</t>
  </si>
  <si>
    <t>גמול פקוח מ</t>
  </si>
  <si>
    <t>גמ. מומחיות</t>
  </si>
  <si>
    <t>דריכות מבצע</t>
  </si>
  <si>
    <t>הוצאות נסיעה</t>
  </si>
  <si>
    <t>%42 תוס רופ</t>
  </si>
  <si>
    <t>%19 פרלמנט</t>
  </si>
  <si>
    <t>%9.אח. בר.ק</t>
  </si>
  <si>
    <t>%9.5,%5 סוצ</t>
  </si>
  <si>
    <t>הפרש קצבה</t>
  </si>
  <si>
    <t>אחוזית שע"מ</t>
  </si>
  <si>
    <t>ר.חדשה שקלי</t>
  </si>
  <si>
    <t>ר.חדשה אחוז</t>
  </si>
  <si>
    <t>פנסית מנדט</t>
  </si>
  <si>
    <t>ת.ה.ש.במשטרה</t>
  </si>
  <si>
    <t>אחוז/ממשולב</t>
  </si>
  <si>
    <t>%5 - גמלאים</t>
  </si>
  <si>
    <t>%10 הופעה</t>
  </si>
  <si>
    <t>%20 הופעה</t>
  </si>
  <si>
    <t>תוספת פיצול</t>
  </si>
  <si>
    <t>ת. משמרות</t>
  </si>
  <si>
    <t>גמ.פיקוח אח</t>
  </si>
  <si>
    <t>תג.רמ.קידום</t>
  </si>
  <si>
    <t>13.75 תוספת</t>
  </si>
  <si>
    <t>%4 - גמלאים</t>
  </si>
  <si>
    <t>גמ.השת.רנטג</t>
  </si>
  <si>
    <t>ניהול לגננת</t>
  </si>
  <si>
    <t>ת.ע"ח שחיקה</t>
  </si>
  <si>
    <t>ת.איזון-עוס</t>
  </si>
  <si>
    <t>העדר קביעות</t>
  </si>
  <si>
    <t>%3 שעות קיץ</t>
  </si>
  <si>
    <t>אגף השיקום</t>
  </si>
  <si>
    <t>ת.משנה מנכל</t>
  </si>
  <si>
    <t>תמר.משפטנים</t>
  </si>
  <si>
    <t>תש.ק.טלפון</t>
  </si>
  <si>
    <t>שט.מיוחד ב</t>
  </si>
  <si>
    <t>גמול השתל</t>
  </si>
  <si>
    <t>הפרש יוקר</t>
  </si>
  <si>
    <t>תוס.קבועות</t>
  </si>
  <si>
    <t>ת. בתי-משפט</t>
  </si>
  <si>
    <t>תוס' השוואה</t>
  </si>
  <si>
    <t>הבראה (אישית)</t>
  </si>
  <si>
    <t>השל.לאופק חדש</t>
  </si>
  <si>
    <t>תוספת איזון</t>
  </si>
  <si>
    <t>תוספת אבטחה</t>
  </si>
  <si>
    <t>תו' מקצועית</t>
  </si>
  <si>
    <t>הפרש ברוטו</t>
  </si>
  <si>
    <t>%15 תוס.ב"צ</t>
  </si>
  <si>
    <t>תוספת מותנית</t>
  </si>
  <si>
    <t>גמ.השתל. ב'</t>
  </si>
  <si>
    <t>תשלום מיוחד</t>
  </si>
  <si>
    <t>תוס פריפריה</t>
  </si>
  <si>
    <t>אישי)שטחים(</t>
  </si>
  <si>
    <t>ת.רנטגן א</t>
  </si>
  <si>
    <t>פנסיה מוקדמת</t>
  </si>
  <si>
    <t>תוספת פרישה</t>
  </si>
  <si>
    <t>%7.5 תוספת</t>
  </si>
  <si>
    <t>ע"ח עוז לתמורה</t>
  </si>
  <si>
    <t>88 וע. מעקב</t>
  </si>
  <si>
    <t>חוקר.מבקרים</t>
  </si>
  <si>
    <t>פקוח ועדות</t>
  </si>
  <si>
    <t>כלכלה רשה"נ</t>
  </si>
  <si>
    <t>שעות גלובליות</t>
  </si>
  <si>
    <t>תוס. מדורגת</t>
  </si>
  <si>
    <t>השתל' 10 נק'</t>
  </si>
  <si>
    <t>הש.מוכ.מנמש</t>
  </si>
  <si>
    <t>השתל' 5 נק'</t>
  </si>
  <si>
    <t>5 תוספת</t>
  </si>
  <si>
    <t>פסיכ/גריאטר</t>
  </si>
  <si>
    <t>ביגוד (אישי)</t>
  </si>
  <si>
    <t>תפקיד-מחקר</t>
  </si>
  <si>
    <t>תגבור הוראה</t>
  </si>
  <si>
    <t>תוס-תפקיד</t>
  </si>
  <si>
    <t>תוספת נהיגה</t>
  </si>
  <si>
    <t>ע"ח אופק חדש</t>
  </si>
  <si>
    <t>תוס. מקצועית</t>
  </si>
  <si>
    <t>מענק יובל</t>
  </si>
  <si>
    <t>שעות פנסיה</t>
  </si>
  <si>
    <t>ש.נ תשלום 175%</t>
  </si>
  <si>
    <t>תשלום שעות</t>
  </si>
  <si>
    <t>גילום מס הכנסה</t>
  </si>
  <si>
    <t>%100 שעות</t>
  </si>
  <si>
    <t>תוס. מבצעית</t>
  </si>
  <si>
    <t>תוספת עומס</t>
  </si>
  <si>
    <t>תוספת שעות</t>
  </si>
  <si>
    <t>פרמיה</t>
  </si>
  <si>
    <t>תחבורה ציבורית</t>
  </si>
  <si>
    <t>כונ. וטרינר</t>
  </si>
  <si>
    <t>פיצול עב.פנ</t>
  </si>
  <si>
    <t>כונ.יום אחד</t>
  </si>
  <si>
    <t>כונ. מיוחדת</t>
  </si>
  <si>
    <t>אירוח מגולם</t>
  </si>
  <si>
    <t>תוספת טיסה</t>
  </si>
  <si>
    <t>תוספת מאמץ</t>
  </si>
  <si>
    <t>מענק היוון</t>
  </si>
  <si>
    <t>קצובת ביגוד</t>
  </si>
  <si>
    <t>תוספת גשר</t>
  </si>
  <si>
    <t>הפר.משכ.נטו</t>
  </si>
  <si>
    <t>החזר כספים</t>
  </si>
  <si>
    <t>הפרש משכורת נטו</t>
  </si>
  <si>
    <t>ביטול מס"ב</t>
  </si>
  <si>
    <t>מענק פרישה פטור</t>
  </si>
  <si>
    <t>מענק פרישה-מענק נישואין</t>
  </si>
  <si>
    <t>שי לחג</t>
  </si>
  <si>
    <t>הצמדה ברוטו</t>
  </si>
  <si>
    <t>אחוז מהשכר</t>
  </si>
  <si>
    <t>משכורת י"ג</t>
  </si>
  <si>
    <t>פיצוי איחור</t>
  </si>
  <si>
    <t>מענק פרישה חייב</t>
  </si>
  <si>
    <t>ת' בית הנשיא</t>
  </si>
  <si>
    <t>תוס.משפטנים</t>
  </si>
  <si>
    <t>גמ. התיעלות</t>
  </si>
  <si>
    <t>תוס. % לפנס</t>
  </si>
  <si>
    <t>מע.פרישה-חי</t>
  </si>
  <si>
    <t>מקצ.פסיכולו</t>
  </si>
  <si>
    <t>יום חופשי</t>
  </si>
  <si>
    <t>פיצ אבדן מש</t>
  </si>
  <si>
    <t>10% מנ וכ"א</t>
  </si>
  <si>
    <t>%10 כספים</t>
  </si>
  <si>
    <t>תוס כבאות</t>
  </si>
  <si>
    <t>%10 פ משרדם</t>
  </si>
  <si>
    <t>תוס. אחוזית</t>
  </si>
  <si>
    <t>תוס גלובלית</t>
  </si>
  <si>
    <t>%10 מ כפיים</t>
  </si>
  <si>
    <t>תוס. כוננות</t>
  </si>
  <si>
    <t>%20 ע מוסך</t>
  </si>
  <si>
    <t>ג.נהול פסיכ</t>
  </si>
  <si>
    <t>תוס % לפנסי</t>
  </si>
  <si>
    <t>מקדמה ברוטו</t>
  </si>
  <si>
    <t>שכר לימוד פטור</t>
  </si>
  <si>
    <t>ימי הבראה</t>
  </si>
  <si>
    <t>מענק נישואין</t>
  </si>
  <si>
    <t>מענק פרישה</t>
  </si>
  <si>
    <t>השתכרות מעל לתקרה</t>
  </si>
  <si>
    <t>גמלאות כפל</t>
  </si>
  <si>
    <t>ג.השתלמ. ב'</t>
  </si>
  <si>
    <t>ת.שיקלית עו"ס</t>
  </si>
  <si>
    <t>מ'מ' שלט'מק</t>
  </si>
  <si>
    <t>תוספת תעודה</t>
  </si>
  <si>
    <t>תוס. מטרדים</t>
  </si>
  <si>
    <t>תוס.איתורית</t>
  </si>
  <si>
    <t>תוס. חומ"ס</t>
  </si>
  <si>
    <t>מקדמה על חשבון רפורמה</t>
  </si>
  <si>
    <t>תוספת דימותן 2022</t>
  </si>
  <si>
    <t>3% תוספת</t>
  </si>
  <si>
    <t>תוספת אקטוארית</t>
  </si>
  <si>
    <t>תוספת דחייה</t>
  </si>
  <si>
    <t>השתתפות מגוף</t>
  </si>
  <si>
    <t>תמלוגים</t>
  </si>
  <si>
    <t>תוספת תפקיד</t>
  </si>
  <si>
    <t>ת.שכר הסכם</t>
  </si>
  <si>
    <t>תוס. רפורמה</t>
  </si>
  <si>
    <t>16.2% ענ"א</t>
  </si>
  <si>
    <t>דמי ניהול</t>
  </si>
  <si>
    <t>כונ.מז.ראשי</t>
  </si>
  <si>
    <t>השכלה ישימה</t>
  </si>
  <si>
    <t>השל.תוס2011</t>
  </si>
  <si>
    <t>תוספת 4220 - יחודית שעמ</t>
  </si>
  <si>
    <t>תוס.התיעלות</t>
  </si>
  <si>
    <t>מענק שנים עודפות-פטור</t>
  </si>
  <si>
    <t>תוס.ב.ציבור</t>
  </si>
  <si>
    <t>8% ת.בוררות</t>
  </si>
  <si>
    <t>תוס. ייעוץ</t>
  </si>
  <si>
    <t>ת.מעבר מופסק</t>
  </si>
  <si>
    <t>השתתפות הסכם מיוחד</t>
  </si>
  <si>
    <t>השתתפות קרנות</t>
  </si>
  <si>
    <t>השתתפות גופים</t>
  </si>
  <si>
    <t>בגץ קרנות (קוריצקי)</t>
  </si>
  <si>
    <t>'נתיב א</t>
  </si>
  <si>
    <t>גמול תפקיד</t>
  </si>
  <si>
    <t>תשלום קיצבה</t>
  </si>
  <si>
    <t>ת.קצבה תע</t>
  </si>
  <si>
    <t>קצבה חודשית - בטחוניים</t>
  </si>
  <si>
    <t>מקדמת יוקר 2.82% - בטחוניים</t>
  </si>
  <si>
    <t>הפרשים</t>
  </si>
  <si>
    <t>שכר לימוד חייב</t>
  </si>
  <si>
    <t>הפרשי מדד חודשי - בטחוניים</t>
  </si>
  <si>
    <t>ת.ש.מקרקעין</t>
  </si>
  <si>
    <t>ת.רנטגן ב</t>
  </si>
  <si>
    <t>מענק יובל  כבאים</t>
  </si>
  <si>
    <t>ת.תואר ב.א.</t>
  </si>
  <si>
    <t>מקדמת הסכם</t>
  </si>
  <si>
    <t>84 של.קיזוז</t>
  </si>
  <si>
    <t>'נתיב ב</t>
  </si>
  <si>
    <t>דריכות וכונ</t>
  </si>
  <si>
    <t>ת. הפעלת מחשב</t>
  </si>
  <si>
    <t>פיצוי חייב במס</t>
  </si>
  <si>
    <t>מענק מחלה</t>
  </si>
  <si>
    <t>תוספת ענ"א</t>
  </si>
  <si>
    <t>מענק שנים עודפות-פיצוי מעל 35</t>
  </si>
  <si>
    <t>בעלות תפק.ב</t>
  </si>
  <si>
    <t>2001 תוספת</t>
  </si>
  <si>
    <t>ע.ח.מס שכר</t>
  </si>
  <si>
    <t>'ת.מפעלית ב</t>
  </si>
  <si>
    <t>תאומ ב97</t>
  </si>
  <si>
    <t>תשל. לכיסוי חוב</t>
  </si>
  <si>
    <t>הסכם ייחודי</t>
  </si>
  <si>
    <t>תוספת מעבר</t>
  </si>
  <si>
    <t>99 הסכם שכר</t>
  </si>
  <si>
    <t>תוס.ב.לאומי</t>
  </si>
  <si>
    <t>1997 תוספת</t>
  </si>
  <si>
    <t>97 .הסכם אח</t>
  </si>
  <si>
    <t>2000 תוספת פריפרייה</t>
  </si>
  <si>
    <t>קידום ראשון</t>
  </si>
  <si>
    <t>קידום שני</t>
  </si>
  <si>
    <t>השתתפות ע"ח המדינה</t>
  </si>
  <si>
    <t>סנג"צ-מחוזי</t>
  </si>
  <si>
    <t>8% ענ"א</t>
  </si>
  <si>
    <t>2009 תוספת</t>
  </si>
  <si>
    <t>הסכם2008</t>
  </si>
  <si>
    <t>מקצ'אקוטיים</t>
  </si>
  <si>
    <t>תוספת שחיקה</t>
  </si>
  <si>
    <t>תוספת הצמדה מדד</t>
  </si>
  <si>
    <t>ת.הסכם שכר</t>
  </si>
  <si>
    <t>תוספת הסכם שכר</t>
  </si>
  <si>
    <t>2009 ת.הצמדה</t>
  </si>
  <si>
    <t>2010 ת.הצמדה</t>
  </si>
  <si>
    <t>2011 תוספת</t>
  </si>
  <si>
    <t>2011 ת.הצמדה</t>
  </si>
  <si>
    <t>סנג"צ-ארצי</t>
  </si>
  <si>
    <t>ת.פרקליט ב</t>
  </si>
  <si>
    <t>ת.בתי משפט</t>
  </si>
  <si>
    <t>2010 מנמ"ש</t>
  </si>
  <si>
    <t>ת.שירות חוץ</t>
  </si>
  <si>
    <t>2010 תוספת</t>
  </si>
  <si>
    <t>תוספת מעוף</t>
  </si>
  <si>
    <t>ת.מבקר חשב'</t>
  </si>
  <si>
    <t>2012 ת.הצמדה</t>
  </si>
  <si>
    <t>2013 ת.הצמדה</t>
  </si>
  <si>
    <t>2014 ת.הצמדה</t>
  </si>
  <si>
    <t>השל.מינימום</t>
  </si>
  <si>
    <t>חינוך לבריא</t>
  </si>
  <si>
    <t>תוספת בט"פ</t>
  </si>
  <si>
    <t>2011 ת.שחיקה</t>
  </si>
  <si>
    <t>פקוח-רפורמה</t>
  </si>
  <si>
    <t>ת.שמירת שכר</t>
  </si>
  <si>
    <t>2012 אקוטית</t>
  </si>
  <si>
    <t>מקצ' במצוקה</t>
  </si>
  <si>
    <t>בי"ח-מאוחדת</t>
  </si>
  <si>
    <t>הפרש מדד א'</t>
  </si>
  <si>
    <t>הפרשי מדד ב'</t>
  </si>
  <si>
    <t>2016 אחוזית</t>
  </si>
  <si>
    <t>2016-שקלית</t>
  </si>
  <si>
    <t>2012 שקלית</t>
  </si>
  <si>
    <t>תוסםפת שקלית 2023</t>
  </si>
  <si>
    <t>תוספת שיקלית 2024</t>
  </si>
  <si>
    <t>תפקיד</t>
  </si>
  <si>
    <t>סמל מחשב</t>
  </si>
  <si>
    <t>1. ממונה (מפקח ראשי)</t>
  </si>
  <si>
    <t>2. ממונה (רכז חוליה)</t>
  </si>
  <si>
    <t>3. ממונה (מפקח ארצי)</t>
  </si>
  <si>
    <t>4. מנהל תחום (רכז בכיר)</t>
  </si>
  <si>
    <t>6. מנהל תחום (מפקח ארצי)</t>
  </si>
  <si>
    <t>7. פקיד שומה</t>
  </si>
  <si>
    <t>8. סגן פקיד שומה</t>
  </si>
  <si>
    <t>9. מנהל מיסוי מקרקעין</t>
  </si>
  <si>
    <t>10. סגן מנהל מיסוי מקרקעין</t>
  </si>
  <si>
    <t>מנהל תחום  (רכז בכיר)</t>
  </si>
  <si>
    <t>פקיד שומה</t>
  </si>
  <si>
    <t>מנהל תחום העוסק בתחום המקצועי (על פי נספח א' להסכם).</t>
  </si>
  <si>
    <t xml:space="preserve"> ממונה (מפקח ראשי)</t>
  </si>
  <si>
    <t xml:space="preserve"> ממונה (רכז חוליה)</t>
  </si>
  <si>
    <t xml:space="preserve"> ממונה (מפקח ארצי)</t>
  </si>
  <si>
    <t xml:space="preserve"> מנהל תחום (מפקח ארצי)</t>
  </si>
  <si>
    <t>סגן פקיד שומה</t>
  </si>
  <si>
    <t xml:space="preserve"> מנהל מיסוי מקרקעין</t>
  </si>
  <si>
    <t xml:space="preserve"> מנהל תחום בכיר העוסק בתחום המקצועי (על פי נספח א' להסכם).</t>
  </si>
  <si>
    <t xml:space="preserve"> סגן מנהל מיסוי מקרקעין </t>
  </si>
  <si>
    <t xml:space="preserve">5. מנהל תחום העוסק בתחום המקצועי </t>
  </si>
  <si>
    <t xml:space="preserve">11. מנהל תחום בכיר העוסק בתחום המקצועי </t>
  </si>
  <si>
    <t>מאפייני רכיבי שכר</t>
  </si>
  <si>
    <t>Name</t>
  </si>
  <si>
    <t>שם רכיב</t>
  </si>
  <si>
    <t>בסיס למינימום רובד 1</t>
  </si>
  <si>
    <t>בסיס למינימום רובד 2</t>
  </si>
  <si>
    <t>ברוטו תקציבית</t>
  </si>
  <si>
    <t>ברוטו צוברת</t>
  </si>
  <si>
    <t>2</t>
  </si>
  <si>
    <t>3</t>
  </si>
  <si>
    <t>תוספת ותק</t>
  </si>
  <si>
    <t>4</t>
  </si>
  <si>
    <t>203</t>
  </si>
  <si>
    <t>210</t>
  </si>
  <si>
    <t>מענק חד פעמי-מותנה בתקופת עבודה</t>
  </si>
  <si>
    <t>211</t>
  </si>
  <si>
    <t>מענק עמידה ביעדים -משרד 105</t>
  </si>
  <si>
    <t>206</t>
  </si>
  <si>
    <t>השלמה למינימום ס.גיטין</t>
  </si>
  <si>
    <t>214</t>
  </si>
  <si>
    <t>מענק שיטעון</t>
  </si>
  <si>
    <t>223</t>
  </si>
  <si>
    <t>תוספת קריאת פתע</t>
  </si>
  <si>
    <t>200</t>
  </si>
  <si>
    <t>שכר יסוד לשעתיים</t>
  </si>
  <si>
    <t>226</t>
  </si>
  <si>
    <t>דמי חבר פטור-מבקרים פנימיים</t>
  </si>
  <si>
    <t>231</t>
  </si>
  <si>
    <t>אגרה מקצועית חשמלאי עוזר</t>
  </si>
  <si>
    <t>233</t>
  </si>
  <si>
    <t>אגרה מקצועית חשמלאי אחר</t>
  </si>
  <si>
    <t>236</t>
  </si>
  <si>
    <t>דמי חבר אגודה מקצועית</t>
  </si>
  <si>
    <t>243</t>
  </si>
  <si>
    <t>תוספת מקצועות מיוחדים  (עבור דרוג 32)</t>
  </si>
  <si>
    <t>244</t>
  </si>
  <si>
    <t>מענק יובל - פנסיה צוברת
(כל הדירוגים מלבד דרוג 01)</t>
  </si>
  <si>
    <t>245</t>
  </si>
  <si>
    <t>מענק יובל - פנסיה תקציבית
(כל הדירוגים מלבד דרוג 01)</t>
  </si>
  <si>
    <t>246</t>
  </si>
  <si>
    <t>דמי חבר פטור ממס</t>
  </si>
  <si>
    <t>247</t>
  </si>
  <si>
    <t>אגרה מקצועית רו"ח מעל 5 ש</t>
  </si>
  <si>
    <t>248</t>
  </si>
  <si>
    <t>אגרה מקצועית רו"ח עד 5ש</t>
  </si>
  <si>
    <t>249</t>
  </si>
  <si>
    <t>אגרה מקצועית שמאי עד 3 ש</t>
  </si>
  <si>
    <t>254</t>
  </si>
  <si>
    <t>256</t>
  </si>
  <si>
    <t>דמי חבר פטור-בכמ עממ</t>
  </si>
  <si>
    <t>265</t>
  </si>
  <si>
    <t>קצובת הבראה למתמחים שנה ראשונה</t>
  </si>
  <si>
    <t>266</t>
  </si>
  <si>
    <t>דמי חבר פטור-הנדסאי טכנאי</t>
  </si>
  <si>
    <t>267</t>
  </si>
  <si>
    <t>תוס.מעונות  -שעתיים
ילדים בגיל 5-12</t>
  </si>
  <si>
    <t>268</t>
  </si>
  <si>
    <t>ת. נהג מלווה</t>
  </si>
  <si>
    <t>269</t>
  </si>
  <si>
    <t>השתתפות בשכר דירה  לשעתיים</t>
  </si>
  <si>
    <t>270</t>
  </si>
  <si>
    <t>מקדמת מענק</t>
  </si>
  <si>
    <t>277</t>
  </si>
  <si>
    <t>תוס.מעונות שעתיים
ילדים עד גיל 5 או אומנה בגיל 3-5</t>
  </si>
  <si>
    <t>282</t>
  </si>
  <si>
    <t>אגרה מקצועית עו"ד עד 3 ש</t>
  </si>
  <si>
    <t>283</t>
  </si>
  <si>
    <t>אגרה מקצועית שנת הסמכה</t>
  </si>
  <si>
    <t>284</t>
  </si>
  <si>
    <t>דצ30</t>
  </si>
  <si>
    <t>285</t>
  </si>
  <si>
    <t>תוספת ערבה - עובדים שעתיים</t>
  </si>
  <si>
    <t>288</t>
  </si>
  <si>
    <t>דמי חבר- שעתיים</t>
  </si>
  <si>
    <t>294</t>
  </si>
  <si>
    <t>297</t>
  </si>
  <si>
    <t>גמ.השתל. ב' - משפטנים</t>
  </si>
  <si>
    <t>298</t>
  </si>
  <si>
    <t>גמ.השתל. ב' - רוקחים מדרגה 5א ומעלה</t>
  </si>
  <si>
    <t>299</t>
  </si>
  <si>
    <t>גמ.השתל. ב' - עבור דרוגים שונים מדרגה 44 ומעלה</t>
  </si>
  <si>
    <t>525</t>
  </si>
  <si>
    <t>תוספת מעבדות 2020</t>
  </si>
  <si>
    <t>528</t>
  </si>
  <si>
    <t>533</t>
  </si>
  <si>
    <t>תוספת שהייה מפקח ימי</t>
  </si>
  <si>
    <t>534</t>
  </si>
  <si>
    <t>537</t>
  </si>
  <si>
    <t>תמריץ ותק בערי פיתוח</t>
  </si>
  <si>
    <t>549</t>
  </si>
  <si>
    <t>תוספת ב.צ.</t>
  </si>
  <si>
    <t>557</t>
  </si>
  <si>
    <t>תשלום אשל לעובדים נוסעים לחול - סמל קיזוז</t>
  </si>
  <si>
    <t>560</t>
  </si>
  <si>
    <t>קצובת נסיעה עובדים חודשיים</t>
  </si>
  <si>
    <t>561</t>
  </si>
  <si>
    <t>קצובת נסיעה עובדים שעתיים</t>
  </si>
  <si>
    <t>564</t>
  </si>
  <si>
    <t>משכרת כוללת</t>
  </si>
  <si>
    <t>575</t>
  </si>
  <si>
    <t>קצובת ביגוד-רכיב דיווח זכאות</t>
  </si>
  <si>
    <t>578</t>
  </si>
  <si>
    <t>589</t>
  </si>
  <si>
    <t>רכ. ח חברתי</t>
  </si>
  <si>
    <t>602</t>
  </si>
  <si>
    <t>ע"ח פריון</t>
  </si>
  <si>
    <t>612</t>
  </si>
  <si>
    <t>קצו. תספורת</t>
  </si>
  <si>
    <t>החזר הוצאות אישייות</t>
  </si>
  <si>
    <t>614</t>
  </si>
  <si>
    <t>יישוב ללא תחבורה ציבורית</t>
  </si>
  <si>
    <t>616</t>
  </si>
  <si>
    <t>628</t>
  </si>
  <si>
    <t>630</t>
  </si>
  <si>
    <t>637</t>
  </si>
  <si>
    <t>נטרול תוספת מעונות</t>
  </si>
  <si>
    <t>תוס. מעונות</t>
  </si>
  <si>
    <t>639</t>
  </si>
  <si>
    <t>640</t>
  </si>
  <si>
    <t>הוצ. נסיעה</t>
  </si>
  <si>
    <t>768</t>
  </si>
  <si>
    <t>643</t>
  </si>
  <si>
    <t>תוספת מקצועות מיוחדים ( עבור דרוג 31)</t>
  </si>
  <si>
    <t>647</t>
  </si>
  <si>
    <t>650</t>
  </si>
  <si>
    <t>הסכם מסגרת 87</t>
  </si>
  <si>
    <t>652</t>
  </si>
  <si>
    <t>וע. מעקב 88</t>
  </si>
  <si>
    <t>654</t>
  </si>
  <si>
    <t>גמ. השתלמות(עו"ס)</t>
  </si>
  <si>
    <t>657</t>
  </si>
  <si>
    <t>תוס. ביומטרי</t>
  </si>
  <si>
    <t>665</t>
  </si>
  <si>
    <t>תוספת דריכות מבצעית</t>
  </si>
  <si>
    <t>677</t>
  </si>
  <si>
    <t>תוספת מעונות - חודשיים
ילדים בגיל 5-12</t>
  </si>
  <si>
    <t>678</t>
  </si>
  <si>
    <t>השלמה בגין ג. השתלמות</t>
  </si>
  <si>
    <t>689</t>
  </si>
  <si>
    <t>הוצאות אישיות</t>
  </si>
  <si>
    <t>697</t>
  </si>
  <si>
    <t>700</t>
  </si>
  <si>
    <t>רכב קבועות</t>
  </si>
  <si>
    <t>702</t>
  </si>
  <si>
    <t>אחוזית יהלום</t>
  </si>
  <si>
    <t>704</t>
  </si>
  <si>
    <t>קבוע.רג.נטו</t>
  </si>
  <si>
    <t>705</t>
  </si>
  <si>
    <t>713</t>
  </si>
  <si>
    <t>הש ר שיניים</t>
  </si>
  <si>
    <t>716</t>
  </si>
  <si>
    <t>קצובת שהייה- פטור ממס</t>
  </si>
  <si>
    <t>717</t>
  </si>
  <si>
    <t>727</t>
  </si>
  <si>
    <t>735</t>
  </si>
  <si>
    <t>הטמ.פריון95</t>
  </si>
  <si>
    <t>730</t>
  </si>
  <si>
    <t>סוצ %5, 9.5%</t>
  </si>
  <si>
    <t>736</t>
  </si>
  <si>
    <t>737</t>
  </si>
  <si>
    <t>רשות חדשה שיקלית</t>
  </si>
  <si>
    <t>738</t>
  </si>
  <si>
    <t>רשות חדשה אחוזית 3.94%</t>
  </si>
  <si>
    <t>739</t>
  </si>
  <si>
    <t>741</t>
  </si>
  <si>
    <t>743</t>
  </si>
  <si>
    <t>לברור</t>
  </si>
  <si>
    <t>750</t>
  </si>
  <si>
    <t>קבועות-נטו</t>
  </si>
  <si>
    <t>751</t>
  </si>
  <si>
    <t>752</t>
  </si>
  <si>
    <t>הופעה %20</t>
  </si>
  <si>
    <t>756</t>
  </si>
  <si>
    <t>תוספת אחוזית מהמשולב</t>
  </si>
  <si>
    <t>765</t>
  </si>
  <si>
    <t>769</t>
  </si>
  <si>
    <t>השתתפות בשכר דירה מיעוטים</t>
  </si>
  <si>
    <t>779</t>
  </si>
  <si>
    <t>789</t>
  </si>
  <si>
    <t>השתתפות בשכר דירה מגולם</t>
  </si>
  <si>
    <t>790</t>
  </si>
  <si>
    <t>השתתפות בשכר דירה בכירים</t>
  </si>
  <si>
    <t>794</t>
  </si>
  <si>
    <t>תוספת איזון- סוציאליים</t>
  </si>
  <si>
    <t>803</t>
  </si>
  <si>
    <t>רכב גלובלי</t>
  </si>
  <si>
    <t/>
  </si>
  <si>
    <t>804</t>
  </si>
  <si>
    <t>קבוע.קש.נטו</t>
  </si>
  <si>
    <t>805</t>
  </si>
  <si>
    <t>807</t>
  </si>
  <si>
    <t>809</t>
  </si>
  <si>
    <t>ת.אבטחה מיוחדת פנסיונית</t>
  </si>
  <si>
    <t>816</t>
  </si>
  <si>
    <t>תוספת כביסה</t>
  </si>
  <si>
    <t>839</t>
  </si>
  <si>
    <t>841</t>
  </si>
  <si>
    <t>ת.אבטחה מיוחדת</t>
  </si>
  <si>
    <t>842</t>
  </si>
  <si>
    <t>תוספת טלפון</t>
  </si>
  <si>
    <t>844</t>
  </si>
  <si>
    <t>החז.הוצ.טלפ</t>
  </si>
  <si>
    <t>849</t>
  </si>
  <si>
    <t>850</t>
  </si>
  <si>
    <t>גמול השתלמות עובדי הוראה</t>
  </si>
  <si>
    <t>851</t>
  </si>
  <si>
    <t>ג.השתל.כפל תואר לדרוג 41 בלבד</t>
  </si>
  <si>
    <t>852</t>
  </si>
  <si>
    <t>יחצ' פיצו"ח</t>
  </si>
  <si>
    <t>853</t>
  </si>
  <si>
    <t>858</t>
  </si>
  <si>
    <t>860</t>
  </si>
  <si>
    <t>קצובת נסיעה</t>
  </si>
  <si>
    <t>864</t>
  </si>
  <si>
    <t>גמ.אח.בטח'ב</t>
  </si>
  <si>
    <t>865</t>
  </si>
  <si>
    <t>867</t>
  </si>
  <si>
    <t>הוצאות רכב משתנות</t>
  </si>
  <si>
    <t>875</t>
  </si>
  <si>
    <t>877</t>
  </si>
  <si>
    <t>תוספת השוואה
לדרוג 43 בלבד</t>
  </si>
  <si>
    <t>883</t>
  </si>
  <si>
    <t>885</t>
  </si>
  <si>
    <t>יעוץ.פנס.מס</t>
  </si>
  <si>
    <t>894</t>
  </si>
  <si>
    <t>895</t>
  </si>
  <si>
    <t>897</t>
  </si>
  <si>
    <t>גמ.השתל. ב' - כל הדירוגים הזכאים עד דרגה 44, מלבד משפטנים ורוקחים מדרגה 5א ומעלה</t>
  </si>
  <si>
    <t>900</t>
  </si>
  <si>
    <t>907</t>
  </si>
  <si>
    <t>שטחים אישית</t>
  </si>
  <si>
    <t>914</t>
  </si>
  <si>
    <t>רכיב הפרשים פנסיוני</t>
  </si>
  <si>
    <t>915</t>
  </si>
  <si>
    <t>רכיב הפרשים -גמל החזר הוצאות</t>
  </si>
  <si>
    <t>916</t>
  </si>
  <si>
    <t>רכיב הפרשים- גמל עבודה נוספת</t>
  </si>
  <si>
    <t>918</t>
  </si>
  <si>
    <t>920</t>
  </si>
  <si>
    <t>922</t>
  </si>
  <si>
    <t>923</t>
  </si>
  <si>
    <t>מקד.הג. שכר</t>
  </si>
  <si>
    <t>927</t>
  </si>
  <si>
    <t>949</t>
  </si>
  <si>
    <t>עיתונות</t>
  </si>
  <si>
    <t>951</t>
  </si>
  <si>
    <t>שע נוספ 150</t>
  </si>
  <si>
    <t>954</t>
  </si>
  <si>
    <t>תוספת שעות גלובלית</t>
  </si>
  <si>
    <t>955</t>
  </si>
  <si>
    <t>ת. שקלית מדורגת</t>
  </si>
  <si>
    <t>959</t>
  </si>
  <si>
    <t>הש.מצט.מנמש</t>
  </si>
  <si>
    <t>962</t>
  </si>
  <si>
    <t>גרעון</t>
  </si>
  <si>
    <t>964</t>
  </si>
  <si>
    <t>הוצאות חניה</t>
  </si>
  <si>
    <t>971</t>
  </si>
  <si>
    <t>קצובת נסיעה עובד עיוור - בשימוש SAP עד ל 31.09.2023, החל מ 01.10.2023 משולם ברכיב 0560/0561</t>
  </si>
  <si>
    <t>978</t>
  </si>
  <si>
    <t>תפקיד מחקר</t>
  </si>
  <si>
    <t>981</t>
  </si>
  <si>
    <t>תגבור 94</t>
  </si>
  <si>
    <t>982</t>
  </si>
  <si>
    <t>מענק מנקו</t>
  </si>
  <si>
    <t>984</t>
  </si>
  <si>
    <t>גילום מטה שכר</t>
  </si>
  <si>
    <t>987</t>
  </si>
  <si>
    <t>שימור שכר</t>
  </si>
  <si>
    <t>993</t>
  </si>
  <si>
    <t>995</t>
  </si>
  <si>
    <t>מקדמה</t>
  </si>
  <si>
    <t>1001</t>
  </si>
  <si>
    <t>מענק השתלמות חייב</t>
  </si>
  <si>
    <t>1002</t>
  </si>
  <si>
    <t>מענ. השתלמות</t>
  </si>
  <si>
    <t>1003</t>
  </si>
  <si>
    <t>מענ.השתלמות</t>
  </si>
  <si>
    <t>1004</t>
  </si>
  <si>
    <t>1006</t>
  </si>
  <si>
    <t>מענק השתלמות פטור</t>
  </si>
  <si>
    <t>1009</t>
  </si>
  <si>
    <t>תוספת משמרת 20%</t>
  </si>
  <si>
    <t>1010</t>
  </si>
  <si>
    <t>תוספת משמרת 20%-</t>
  </si>
  <si>
    <t>1011</t>
  </si>
  <si>
    <t>מענק השתתפות מחקר</t>
  </si>
  <si>
    <t>1014</t>
  </si>
  <si>
    <t>1017</t>
  </si>
  <si>
    <t>הפרש.ע.נוספ</t>
  </si>
  <si>
    <t>1019</t>
  </si>
  <si>
    <t>פדיון חופשה</t>
  </si>
  <si>
    <t>1021</t>
  </si>
  <si>
    <t>כונ.מנהל.אח</t>
  </si>
  <si>
    <t>1023</t>
  </si>
  <si>
    <t>גמול חיפוש</t>
  </si>
  <si>
    <t>1027</t>
  </si>
  <si>
    <t>ימי היעדרות</t>
  </si>
  <si>
    <t>1032</t>
  </si>
  <si>
    <t>הוצאות רכב משתנות מאגר</t>
  </si>
  <si>
    <t>1034</t>
  </si>
  <si>
    <t>משת.רגי.נטו</t>
  </si>
  <si>
    <t>1038</t>
  </si>
  <si>
    <t>ק"מ-מרצים</t>
  </si>
  <si>
    <t>1041</t>
  </si>
  <si>
    <t>משת ב' גלום</t>
  </si>
  <si>
    <t>1043</t>
  </si>
  <si>
    <t>1044</t>
  </si>
  <si>
    <t>שעות העדרות</t>
  </si>
  <si>
    <t>1045</t>
  </si>
  <si>
    <t>1046</t>
  </si>
  <si>
    <t>1050</t>
  </si>
  <si>
    <t>משמרת ג' 50%</t>
  </si>
  <si>
    <t>1051</t>
  </si>
  <si>
    <t>שע.משמרת%75</t>
  </si>
  <si>
    <t>1054</t>
  </si>
  <si>
    <t>ש.משמרת%250</t>
  </si>
  <si>
    <t>1055</t>
  </si>
  <si>
    <t>ש.משמרת%155</t>
  </si>
  <si>
    <t>1061</t>
  </si>
  <si>
    <t>ת. בטן מטוס</t>
  </si>
  <si>
    <t>1064</t>
  </si>
  <si>
    <t>תוספת משמרת רצופה</t>
  </si>
  <si>
    <t>1066</t>
  </si>
  <si>
    <t>ימי שביתה</t>
  </si>
  <si>
    <t>1074</t>
  </si>
  <si>
    <t>שעות שביתה</t>
  </si>
  <si>
    <t>1075</t>
  </si>
  <si>
    <t>ת.מנוף לנהג</t>
  </si>
  <si>
    <t>1077</t>
  </si>
  <si>
    <t>השוואת קצובת נסיעה</t>
  </si>
  <si>
    <t>1078</t>
  </si>
  <si>
    <t>1081</t>
  </si>
  <si>
    <t>ת.רכב כבד ב</t>
  </si>
  <si>
    <t>רכב כבד</t>
  </si>
  <si>
    <t>1084</t>
  </si>
  <si>
    <t>משת קשו נטו</t>
  </si>
  <si>
    <t>1085</t>
  </si>
  <si>
    <t>1086</t>
  </si>
  <si>
    <t>תוספת משאות</t>
  </si>
  <si>
    <t>1088</t>
  </si>
  <si>
    <t>1090</t>
  </si>
  <si>
    <t>ש.נ.שב.%180</t>
  </si>
  <si>
    <t>1091</t>
  </si>
  <si>
    <t>שעות נוספות: 225%</t>
  </si>
  <si>
    <t>1098</t>
  </si>
  <si>
    <t>משמרת לילה 200%</t>
  </si>
  <si>
    <t>1100</t>
  </si>
  <si>
    <t>שעות נוספות 100%</t>
  </si>
  <si>
    <t>1101</t>
  </si>
  <si>
    <t>תוספת משמרת 120%</t>
  </si>
  <si>
    <t>1104</t>
  </si>
  <si>
    <t>שכר יסוד של בני נוער</t>
  </si>
  <si>
    <t>1105</t>
  </si>
  <si>
    <t>משמ.ליל%100</t>
  </si>
  <si>
    <t>1106</t>
  </si>
  <si>
    <t>שעות כוננות 2/3</t>
  </si>
  <si>
    <t>1118</t>
  </si>
  <si>
    <t>תוס.ייחודית</t>
  </si>
  <si>
    <t>1119</t>
  </si>
  <si>
    <t>שעות נוספות 200% / שעות נוספות שבת 200%</t>
  </si>
  <si>
    <t>1121</t>
  </si>
  <si>
    <t>1124</t>
  </si>
  <si>
    <t>1125</t>
  </si>
  <si>
    <t>שעות נוספות 125%</t>
  </si>
  <si>
    <t>1126</t>
  </si>
  <si>
    <t>1128</t>
  </si>
  <si>
    <t>מאמץ הוצל"פ</t>
  </si>
  <si>
    <t>1130</t>
  </si>
  <si>
    <t>תוספת משמרת מוצש 125%</t>
  </si>
  <si>
    <t>1132</t>
  </si>
  <si>
    <t>תוס. קלדנות</t>
  </si>
  <si>
    <t>1134</t>
  </si>
  <si>
    <t>משמרת כפולה</t>
  </si>
  <si>
    <t>1136</t>
  </si>
  <si>
    <t>תוספת מסירת הזמנות לבית משפט</t>
  </si>
  <si>
    <t>1137</t>
  </si>
  <si>
    <t>שעות נוספות 187.5%</t>
  </si>
  <si>
    <t>1138</t>
  </si>
  <si>
    <t>שעות נוספות 175%</t>
  </si>
  <si>
    <t>1139</t>
  </si>
  <si>
    <t>תוספת משמרת שבת 175%</t>
  </si>
  <si>
    <t>1141</t>
  </si>
  <si>
    <t>שעות עיצומים 50%</t>
  </si>
  <si>
    <t>1142</t>
  </si>
  <si>
    <t>משמרת שלישית תוספת של 50%</t>
  </si>
  <si>
    <t>1143</t>
  </si>
  <si>
    <t>שעות נוספות 75%</t>
  </si>
  <si>
    <t>1144</t>
  </si>
  <si>
    <t>מענק עידוד בחופש</t>
  </si>
  <si>
    <t>1146</t>
  </si>
  <si>
    <t>1150</t>
  </si>
  <si>
    <t>שעות נוספות 150%</t>
  </si>
  <si>
    <t>1168</t>
  </si>
  <si>
    <t>1171</t>
  </si>
  <si>
    <t>אש"ל עם מס</t>
  </si>
  <si>
    <t>1174</t>
  </si>
  <si>
    <t>80% ש.נ</t>
  </si>
  <si>
    <t>1175</t>
  </si>
  <si>
    <t>תוספת משמרת שבת 75%</t>
  </si>
  <si>
    <t>1181</t>
  </si>
  <si>
    <t>תוס.שדה אא</t>
  </si>
  <si>
    <t>1183</t>
  </si>
  <si>
    <t>שעות נוספות: 180%</t>
  </si>
  <si>
    <t>1185</t>
  </si>
  <si>
    <t>כביש הנתיב המהיר</t>
  </si>
  <si>
    <t>1186</t>
  </si>
  <si>
    <t>כביש מנהרות הכרמל</t>
  </si>
  <si>
    <t>1187</t>
  </si>
  <si>
    <t>שעות נוספות: 187.5%</t>
  </si>
  <si>
    <t>1188</t>
  </si>
  <si>
    <t>מענק משמרות בתקופת חופשת מנוחה</t>
  </si>
  <si>
    <t>1198</t>
  </si>
  <si>
    <t>תוספת שטחים יומית ג'</t>
  </si>
  <si>
    <t>1200</t>
  </si>
  <si>
    <t>1205</t>
  </si>
  <si>
    <t>תוספת כוננות</t>
  </si>
  <si>
    <t>1207</t>
  </si>
  <si>
    <t>שעות נוספות 25%</t>
  </si>
  <si>
    <t>1210</t>
  </si>
  <si>
    <t>1211</t>
  </si>
  <si>
    <t>פרס עידוד</t>
  </si>
  <si>
    <t>1216</t>
  </si>
  <si>
    <t>השתתפות בקייטנות/מעון</t>
  </si>
  <si>
    <t>1214</t>
  </si>
  <si>
    <t>פרס מנכ"ל</t>
  </si>
  <si>
    <t>שי יום הולדת</t>
  </si>
  <si>
    <t>1217</t>
  </si>
  <si>
    <t>תוספת כביש פתוח</t>
  </si>
  <si>
    <t>1219</t>
  </si>
  <si>
    <t>נהיגה עצמית</t>
  </si>
  <si>
    <t>1223</t>
  </si>
  <si>
    <t>שעות נוספות 100% הור</t>
  </si>
  <si>
    <t>1224</t>
  </si>
  <si>
    <t>שעות נוספות 125% הור</t>
  </si>
  <si>
    <t>1225</t>
  </si>
  <si>
    <t>שעות נוספות 150% הור</t>
  </si>
  <si>
    <t>1226</t>
  </si>
  <si>
    <t>תוספת שטחים יומית</t>
  </si>
  <si>
    <t>1228</t>
  </si>
  <si>
    <t>תוספת שטחים יומית א</t>
  </si>
  <si>
    <t>1229</t>
  </si>
  <si>
    <t>תוספת שטחים יומית ב</t>
  </si>
  <si>
    <t>1235</t>
  </si>
  <si>
    <t>כביש 6 חוצה צפון</t>
  </si>
  <si>
    <t>1240</t>
  </si>
  <si>
    <t>שכר מרצים</t>
  </si>
  <si>
    <t>1245</t>
  </si>
  <si>
    <t>לינה פטור ממס</t>
  </si>
  <si>
    <t>1247</t>
  </si>
  <si>
    <t>נסיעות בתפקיד</t>
  </si>
  <si>
    <t>1249</t>
  </si>
  <si>
    <t>ימי ערך לרופא מינהל</t>
  </si>
  <si>
    <t>1251</t>
  </si>
  <si>
    <t>כוננות רופא וטרינר</t>
  </si>
  <si>
    <t>1260</t>
  </si>
  <si>
    <t>קצובת הבראה חודשית</t>
  </si>
  <si>
    <t>1266</t>
  </si>
  <si>
    <t>1269</t>
  </si>
  <si>
    <t>דמי הבראה</t>
  </si>
  <si>
    <t>1275</t>
  </si>
  <si>
    <t>שט.יומית ב'</t>
  </si>
  <si>
    <t>1284</t>
  </si>
  <si>
    <t>כוננות מנהל בית חולים</t>
  </si>
  <si>
    <t>1286</t>
  </si>
  <si>
    <t>כוננות יום אחד</t>
  </si>
  <si>
    <t>1290</t>
  </si>
  <si>
    <t>תורנות רופא במחלקה רגילה - מומחה</t>
  </si>
  <si>
    <t>1300</t>
  </si>
  <si>
    <t>החזר אגרת רישיון נהיגה</t>
  </si>
  <si>
    <t>1304</t>
  </si>
  <si>
    <t>החזר טלפון</t>
  </si>
  <si>
    <t>1305</t>
  </si>
  <si>
    <t>אגרת שמאים</t>
  </si>
  <si>
    <t>1306</t>
  </si>
  <si>
    <t>עבודה נוספת</t>
  </si>
  <si>
    <t>1307</t>
  </si>
  <si>
    <t>מע. הסתגלות</t>
  </si>
  <si>
    <t>1308</t>
  </si>
  <si>
    <t>מענק הסתגלות פטור</t>
  </si>
  <si>
    <t>1311</t>
  </si>
  <si>
    <t>קצובת נסיעה - לעובדים שעתיים</t>
  </si>
  <si>
    <t>1314</t>
  </si>
  <si>
    <t>אש"ל (גילום)</t>
  </si>
  <si>
    <t>1315</t>
  </si>
  <si>
    <t>1316</t>
  </si>
  <si>
    <t>1317</t>
  </si>
  <si>
    <t>1318</t>
  </si>
  <si>
    <t>אש"ל פטור ממס</t>
  </si>
  <si>
    <t>1320</t>
  </si>
  <si>
    <t>דמי שתיה</t>
  </si>
  <si>
    <t>1321</t>
  </si>
  <si>
    <t>ועדות רפואיות</t>
  </si>
  <si>
    <t>1322</t>
  </si>
  <si>
    <t>ביקורים בשבת רופא וטרינר</t>
  </si>
  <si>
    <t>1323</t>
  </si>
  <si>
    <t>תורנות חול רופא וטרינר</t>
  </si>
  <si>
    <t>1324</t>
  </si>
  <si>
    <t>תורנות רופא וטרינר בע. ש.</t>
  </si>
  <si>
    <t>1326</t>
  </si>
  <si>
    <t>ד.חבר פט.מס</t>
  </si>
  <si>
    <t>1328</t>
  </si>
  <si>
    <t>תורנות רופא וטרינר בשבת</t>
  </si>
  <si>
    <t>1330</t>
  </si>
  <si>
    <t>אגרת עו"ד</t>
  </si>
  <si>
    <t>1336</t>
  </si>
  <si>
    <t>חש. רכב-נטו</t>
  </si>
  <si>
    <t>1337</t>
  </si>
  <si>
    <t>תור.ז במחל.</t>
  </si>
  <si>
    <t>1338</t>
  </si>
  <si>
    <t>רכיב חש'סופי</t>
  </si>
  <si>
    <t>1339</t>
  </si>
  <si>
    <t>1340</t>
  </si>
  <si>
    <t>החז תל אוכל</t>
  </si>
  <si>
    <t>1349</t>
  </si>
  <si>
    <t>1354</t>
  </si>
  <si>
    <t>הח.הוצ.נסיע</t>
  </si>
  <si>
    <t>1358</t>
  </si>
  <si>
    <t>1360</t>
  </si>
  <si>
    <t>קצובת נסיעה הפרשים</t>
  </si>
  <si>
    <t>1375</t>
  </si>
  <si>
    <t>1377</t>
  </si>
  <si>
    <t>בגדי עבודה</t>
  </si>
  <si>
    <t>1384</t>
  </si>
  <si>
    <t>מע. הסתגלות חייב</t>
  </si>
  <si>
    <t>1385</t>
  </si>
  <si>
    <t>1389</t>
  </si>
  <si>
    <t>1400</t>
  </si>
  <si>
    <t>מקדמה-נטו</t>
  </si>
  <si>
    <t>1401</t>
  </si>
  <si>
    <t>גמול ביצוע עיקול</t>
  </si>
  <si>
    <t>1403</t>
  </si>
  <si>
    <t>שנ 100%</t>
  </si>
  <si>
    <t>1404</t>
  </si>
  <si>
    <t>גמולין</t>
  </si>
  <si>
    <t>1418</t>
  </si>
  <si>
    <t>תוספת שעות כוננות 2/3</t>
  </si>
  <si>
    <t>1419</t>
  </si>
  <si>
    <t>כוננות שבת</t>
  </si>
  <si>
    <t>1420</t>
  </si>
  <si>
    <t>קרן מיימון רופאים</t>
  </si>
  <si>
    <t>1422</t>
  </si>
  <si>
    <t>שעות משמרת ב100%</t>
  </si>
  <si>
    <t>1424</t>
  </si>
  <si>
    <t>1426</t>
  </si>
  <si>
    <t>שי ועד לחג</t>
  </si>
  <si>
    <t>1429</t>
  </si>
  <si>
    <t>בונוס</t>
  </si>
  <si>
    <t>1431</t>
  </si>
  <si>
    <t>מענק אבני דרך</t>
  </si>
  <si>
    <t>1434</t>
  </si>
  <si>
    <t>תוספת קריאות פתע 400%</t>
  </si>
  <si>
    <t>1435</t>
  </si>
  <si>
    <t>תוספת קריאות פתע 150%</t>
  </si>
  <si>
    <t>1436</t>
  </si>
  <si>
    <t>קריאת פתע מעל 4 ש</t>
  </si>
  <si>
    <t>1437</t>
  </si>
  <si>
    <t>ש.שכר י.ב.ד</t>
  </si>
  <si>
    <t>1438</t>
  </si>
  <si>
    <t>מענק</t>
  </si>
  <si>
    <t>1440</t>
  </si>
  <si>
    <t>השתתפות בנזק</t>
  </si>
  <si>
    <t>1461</t>
  </si>
  <si>
    <t>תוס. הדרכה</t>
  </si>
  <si>
    <t>1464</t>
  </si>
  <si>
    <t>חוקר-קציעות</t>
  </si>
  <si>
    <t>1476</t>
  </si>
  <si>
    <t>תוספת כלכלה למשמרת ג'</t>
  </si>
  <si>
    <t>1479</t>
  </si>
  <si>
    <t>קרן השתלמות סיום דולרית-פטור</t>
  </si>
  <si>
    <t>1488</t>
  </si>
  <si>
    <t>קה"ש דולרית פדיון-חייב</t>
  </si>
  <si>
    <t>1491</t>
  </si>
  <si>
    <t>ביטוח חובה נטו</t>
  </si>
  <si>
    <t>1492</t>
  </si>
  <si>
    <t>ביטוח מקיף נטו</t>
  </si>
  <si>
    <t>1493</t>
  </si>
  <si>
    <t>אגרת רישוי נטו</t>
  </si>
  <si>
    <t>1497</t>
  </si>
  <si>
    <t>פיצויי איחור</t>
  </si>
  <si>
    <t>1498</t>
  </si>
  <si>
    <t>פיצויים- חייב</t>
  </si>
  <si>
    <t>1499</t>
  </si>
  <si>
    <t>פיצויים -פטור</t>
  </si>
  <si>
    <t>1501</t>
  </si>
  <si>
    <t>תוספת בית הנשיא</t>
  </si>
  <si>
    <t>1510</t>
  </si>
  <si>
    <t>תחום 2 חול</t>
  </si>
  <si>
    <t>1511</t>
  </si>
  <si>
    <t>תחום 2 ששי</t>
  </si>
  <si>
    <t>1518</t>
  </si>
  <si>
    <t>אחר.משמ.כ"ע</t>
  </si>
  <si>
    <t>1534</t>
  </si>
  <si>
    <t>שעות נוספות 100% רופאים</t>
  </si>
  <si>
    <t>1540</t>
  </si>
  <si>
    <t>שעות נוספות 25% רופאים</t>
  </si>
  <si>
    <t>1541</t>
  </si>
  <si>
    <t>שעות נוספות מהבית 125%</t>
  </si>
  <si>
    <t>1544</t>
  </si>
  <si>
    <t>שעות נוספות 50% רופאים</t>
  </si>
  <si>
    <t>1545</t>
  </si>
  <si>
    <t>שעות נוספות מהבית 150%</t>
  </si>
  <si>
    <t>1565</t>
  </si>
  <si>
    <t>1567</t>
  </si>
  <si>
    <t>השתתפות בוועדות</t>
  </si>
  <si>
    <t>1575</t>
  </si>
  <si>
    <t>משמרת ל. שעות 8,9</t>
  </si>
  <si>
    <t>1577</t>
  </si>
  <si>
    <t>ש. נ. %300</t>
  </si>
  <si>
    <t>1585</t>
  </si>
  <si>
    <t>1592</t>
  </si>
  <si>
    <t>גמל התייעלות</t>
  </si>
  <si>
    <t>1600</t>
  </si>
  <si>
    <t>דמי כלכלה גלובליים לדירוג 06</t>
  </si>
  <si>
    <t>1607</t>
  </si>
  <si>
    <t>1608</t>
  </si>
  <si>
    <t>1614</t>
  </si>
  <si>
    <t>מקצוע פסיכולוגים</t>
  </si>
  <si>
    <t>1615</t>
  </si>
  <si>
    <t>מאמץ כפיים</t>
  </si>
  <si>
    <t>1616</t>
  </si>
  <si>
    <t>1617</t>
  </si>
  <si>
    <t>%10 מנ וכ"א</t>
  </si>
  <si>
    <t>1619</t>
  </si>
  <si>
    <t>1620</t>
  </si>
  <si>
    <t>דמי כלכלה למנהל ומוקבליו - דירוגים M5, M6</t>
  </si>
  <si>
    <t>1621</t>
  </si>
  <si>
    <t>דמי כלכלה למנהל ומוקבליו - כל הזכאים מלבד דירוגים M5, M6</t>
  </si>
  <si>
    <t>1622</t>
  </si>
  <si>
    <t>מנהל בחירות</t>
  </si>
  <si>
    <t>1623</t>
  </si>
  <si>
    <t>סגן מנהל בחירות</t>
  </si>
  <si>
    <t>1624</t>
  </si>
  <si>
    <t>תגמול בחירות</t>
  </si>
  <si>
    <t>1628</t>
  </si>
  <si>
    <t>1631</t>
  </si>
  <si>
    <t>הכנה לבחירות</t>
  </si>
  <si>
    <t>1648</t>
  </si>
  <si>
    <t>1653</t>
  </si>
  <si>
    <t>1657</t>
  </si>
  <si>
    <t>1667</t>
  </si>
  <si>
    <t>%10 מזכ כתב</t>
  </si>
  <si>
    <t>1672</t>
  </si>
  <si>
    <t>ג. נהול פסיכולוגים</t>
  </si>
  <si>
    <t>1673</t>
  </si>
  <si>
    <t>ש. נ. %051</t>
  </si>
  <si>
    <t>1685</t>
  </si>
  <si>
    <t>1686</t>
  </si>
  <si>
    <t>1693</t>
  </si>
  <si>
    <t>ימי העדרות</t>
  </si>
  <si>
    <t>1694</t>
  </si>
  <si>
    <t>1699</t>
  </si>
  <si>
    <t>1700</t>
  </si>
  <si>
    <t>דמי כלכלה (בשעות נוספות)</t>
  </si>
  <si>
    <t>1710</t>
  </si>
  <si>
    <t>קיזוז מקדמה ברוטו</t>
  </si>
  <si>
    <t>1711</t>
  </si>
  <si>
    <t>ניכוי בגין משרת אם</t>
  </si>
  <si>
    <t>1719</t>
  </si>
  <si>
    <t>תוספת קריאות פתע 70%</t>
  </si>
  <si>
    <t>1720</t>
  </si>
  <si>
    <t>מקדמה שעתיים</t>
  </si>
  <si>
    <t>1721</t>
  </si>
  <si>
    <t>מקדמה שעתיים הה</t>
  </si>
  <si>
    <t>1730</t>
  </si>
  <si>
    <t>1731</t>
  </si>
  <si>
    <t>חתימה/עד גט</t>
  </si>
  <si>
    <t>1735</t>
  </si>
  <si>
    <t>כתיבת גט 125%</t>
  </si>
  <si>
    <t>1736</t>
  </si>
  <si>
    <t>1745</t>
  </si>
  <si>
    <t>החזר הוצאות אישיות</t>
  </si>
  <si>
    <t>1753</t>
  </si>
  <si>
    <t>מענק שטחים</t>
  </si>
  <si>
    <t>1791</t>
  </si>
  <si>
    <t>שעות עיצומים 100%</t>
  </si>
  <si>
    <t>1792</t>
  </si>
  <si>
    <t>1794</t>
  </si>
  <si>
    <t>רכישת זכויות</t>
  </si>
  <si>
    <t>1797</t>
  </si>
  <si>
    <t>1798</t>
  </si>
  <si>
    <t>מענק עבודה נוספת</t>
  </si>
  <si>
    <t>1901</t>
  </si>
  <si>
    <t>עבודה במילואים</t>
  </si>
  <si>
    <t>1903</t>
  </si>
  <si>
    <t>תגמ. מלואים</t>
  </si>
  <si>
    <t>1905</t>
  </si>
  <si>
    <t>קיזוז ימי מילואים</t>
  </si>
  <si>
    <t>1906</t>
  </si>
  <si>
    <t>פצ.אבדן משמ</t>
  </si>
  <si>
    <t>1917</t>
  </si>
  <si>
    <t>ד.פג.בעבודה</t>
  </si>
  <si>
    <t>1918</t>
  </si>
  <si>
    <t>מענק ראשון בפנסיה צוברת</t>
  </si>
  <si>
    <t>1926</t>
  </si>
  <si>
    <t>ימי השתלמות בשכר</t>
  </si>
  <si>
    <t>1927</t>
  </si>
  <si>
    <t>- דמי פגיעה ע"ח המוסד לביטוח לאומי</t>
  </si>
  <si>
    <t>1928</t>
  </si>
  <si>
    <t>פדיון חופשה שעתי</t>
  </si>
  <si>
    <t>1929</t>
  </si>
  <si>
    <t>תוספת בט"פ פנים</t>
  </si>
  <si>
    <t>1934</t>
  </si>
  <si>
    <t>דמי פגיעה 100% ע"ח מעסיק</t>
  </si>
  <si>
    <t>1935</t>
  </si>
  <si>
    <t>דמי פגיעה השלמת המעסיק 25%</t>
  </si>
  <si>
    <t>1936</t>
  </si>
  <si>
    <t>דמי פגיעה על חשבון המעסיק</t>
  </si>
  <si>
    <t>1940</t>
  </si>
  <si>
    <t>תוספת מדי משפט</t>
  </si>
  <si>
    <t>1941</t>
  </si>
  <si>
    <t>הוצ.רפואיות</t>
  </si>
  <si>
    <t>1942</t>
  </si>
  <si>
    <t>1944</t>
  </si>
  <si>
    <t>גמול השתלמות ב' 
לדרוג בכ"מ ועמ"מ</t>
  </si>
  <si>
    <t>1951</t>
  </si>
  <si>
    <t>1957</t>
  </si>
  <si>
    <t>1961</t>
  </si>
  <si>
    <t>1964</t>
  </si>
  <si>
    <t>ש'נות' שרות</t>
  </si>
  <si>
    <t>1965</t>
  </si>
  <si>
    <t>1971</t>
  </si>
  <si>
    <t>מענק סיכון</t>
  </si>
  <si>
    <t>1978</t>
  </si>
  <si>
    <t>1983</t>
  </si>
  <si>
    <t>ח. מיכ. שבת</t>
  </si>
  <si>
    <t>1989</t>
  </si>
  <si>
    <t>1990</t>
  </si>
  <si>
    <t>אובדן משמרת ללא ערך שעה</t>
  </si>
  <si>
    <t>3002</t>
  </si>
  <si>
    <t>נטו שלילי להסבה</t>
  </si>
  <si>
    <t>3300</t>
  </si>
  <si>
    <t>חוב בהמתנה</t>
  </si>
  <si>
    <t>3393</t>
  </si>
  <si>
    <t>עמ.עוס שלום</t>
  </si>
  <si>
    <t>3394</t>
  </si>
  <si>
    <t>עמותת חומ"ש</t>
  </si>
  <si>
    <t>4101</t>
  </si>
  <si>
    <t>מענק פרישה מיוחד</t>
  </si>
  <si>
    <t>4102</t>
  </si>
  <si>
    <t>מענק פרישה מיוחד פטור מס</t>
  </si>
  <si>
    <t>4105</t>
  </si>
  <si>
    <t>הודעה מוקדמת - חייב במס</t>
  </si>
  <si>
    <t>4109</t>
  </si>
  <si>
    <t>אבטחה- כולל</t>
  </si>
  <si>
    <t>4112</t>
  </si>
  <si>
    <t>הפתחה פנסיונית</t>
  </si>
  <si>
    <t>4116</t>
  </si>
  <si>
    <t>מענק-קה"ש</t>
  </si>
  <si>
    <t>4117</t>
  </si>
  <si>
    <t>7% החזר הפרשת פנסיה</t>
  </si>
  <si>
    <t>החזר קופ"ג</t>
  </si>
  <si>
    <t>4120</t>
  </si>
  <si>
    <t>השלמה-השתלמ</t>
  </si>
  <si>
    <t>4121</t>
  </si>
  <si>
    <t>ש. עבודה 100%</t>
  </si>
  <si>
    <t>4122</t>
  </si>
  <si>
    <t>שעות מחלה 100%</t>
  </si>
  <si>
    <t>4123</t>
  </si>
  <si>
    <t>4124</t>
  </si>
  <si>
    <t>4128</t>
  </si>
  <si>
    <t>זכות מטפחים</t>
  </si>
  <si>
    <t>4129</t>
  </si>
  <si>
    <t>שאלוני בגרות</t>
  </si>
  <si>
    <t>4135</t>
  </si>
  <si>
    <t>4136</t>
  </si>
  <si>
    <t>גמול פעילות שטח</t>
  </si>
  <si>
    <t>4139</t>
  </si>
  <si>
    <t>הח.הוצ.טיסה</t>
  </si>
  <si>
    <t>4140</t>
  </si>
  <si>
    <t>משכורת בסיסית שעתיים</t>
  </si>
  <si>
    <t>4144</t>
  </si>
  <si>
    <t>תוספת שכר 2001</t>
  </si>
  <si>
    <t>4146</t>
  </si>
  <si>
    <t>הודעה מוקדמת - פטור ממס</t>
  </si>
  <si>
    <t>4147</t>
  </si>
  <si>
    <t>4150</t>
  </si>
  <si>
    <t>4154</t>
  </si>
  <si>
    <t>4155</t>
  </si>
  <si>
    <t>4156</t>
  </si>
  <si>
    <t>4158</t>
  </si>
  <si>
    <t>ימי העדרות בחירום</t>
  </si>
  <si>
    <t>4160</t>
  </si>
  <si>
    <t>נסיעות-גלוב</t>
  </si>
  <si>
    <t>4169</t>
  </si>
  <si>
    <t>4170</t>
  </si>
  <si>
    <t>קב.קהל ברצף</t>
  </si>
  <si>
    <t>4173</t>
  </si>
  <si>
    <t>4174</t>
  </si>
  <si>
    <t>4177</t>
  </si>
  <si>
    <t>4180</t>
  </si>
  <si>
    <t>שעת כוננות מזכירים ראשיים</t>
  </si>
  <si>
    <t>4191</t>
  </si>
  <si>
    <t>ביטוח חובה נטו - ידני</t>
  </si>
  <si>
    <t>4192</t>
  </si>
  <si>
    <t>ביטוח מקיף - ידני</t>
  </si>
  <si>
    <t>4194</t>
  </si>
  <si>
    <t>מענק קבוצתי</t>
  </si>
  <si>
    <t>4195</t>
  </si>
  <si>
    <t>מענק אישי</t>
  </si>
  <si>
    <t>4200</t>
  </si>
  <si>
    <t>ימי מחלה משרד הביטחון לשעתיים</t>
  </si>
  <si>
    <t>4201</t>
  </si>
  <si>
    <t>ימי מחלה - משרד הביטחון לעובדים חודשיים</t>
  </si>
  <si>
    <t>4211</t>
  </si>
  <si>
    <t>תוספת חופשה</t>
  </si>
  <si>
    <t>4220</t>
  </si>
  <si>
    <t>ייחודית שעמ</t>
  </si>
  <si>
    <t>4221</t>
  </si>
  <si>
    <t>תוספת שעמ</t>
  </si>
  <si>
    <t>4222</t>
  </si>
  <si>
    <t>ימי בידוד לעובד לא מחוסן</t>
  </si>
  <si>
    <t>4233</t>
  </si>
  <si>
    <t>תוספת התייעלות בית הנשיא</t>
  </si>
  <si>
    <t>4234</t>
  </si>
  <si>
    <t>4256</t>
  </si>
  <si>
    <t>מענק שימור</t>
  </si>
  <si>
    <t>4260</t>
  </si>
  <si>
    <t>החזר הוצאות רכב לנושאי משרה שיפוטית</t>
  </si>
  <si>
    <t>4262</t>
  </si>
  <si>
    <t>תוספת ב. ציבור</t>
  </si>
  <si>
    <t>4263</t>
  </si>
  <si>
    <t>4266</t>
  </si>
  <si>
    <t>גמול ביניים  לדרוג 41 בלבד</t>
  </si>
  <si>
    <t>4268</t>
  </si>
  <si>
    <t>גמול השתלמות א בנציבות ותחבורה</t>
  </si>
  <si>
    <t>4269</t>
  </si>
  <si>
    <t>4270</t>
  </si>
  <si>
    <t>4294</t>
  </si>
  <si>
    <t>בט.רש.מקצוע</t>
  </si>
  <si>
    <t>4318</t>
  </si>
  <si>
    <t>4319</t>
  </si>
  <si>
    <t>4322</t>
  </si>
  <si>
    <t>תגמול דיפרנציאלי</t>
  </si>
  <si>
    <t>4337</t>
  </si>
  <si>
    <t>4349</t>
  </si>
  <si>
    <t>ימי קב. קהל ברצף</t>
  </si>
  <si>
    <t>4366</t>
  </si>
  <si>
    <t>תוספת שכר לפסיכולוגים</t>
  </si>
  <si>
    <t>4374</t>
  </si>
  <si>
    <t>נתיב ג</t>
  </si>
  <si>
    <t>4396</t>
  </si>
  <si>
    <t>תורנות ערב</t>
  </si>
  <si>
    <t>4397</t>
  </si>
  <si>
    <t>שכר עידוד - פרמיה בהכשרה</t>
  </si>
  <si>
    <t>4398</t>
  </si>
  <si>
    <t>הוצאות אופנוע משתנות</t>
  </si>
  <si>
    <t>4399</t>
  </si>
  <si>
    <t>אופנוע-משתנ</t>
  </si>
  <si>
    <t>4402</t>
  </si>
  <si>
    <t>תרבות וספורט-בדיקה רפואית</t>
  </si>
  <si>
    <t>4406</t>
  </si>
  <si>
    <t>4416</t>
  </si>
  <si>
    <t>מש.לילה%150</t>
  </si>
  <si>
    <t>4421</t>
  </si>
  <si>
    <t>מענק הצטיינות חד פעמי</t>
  </si>
  <si>
    <t>4422</t>
  </si>
  <si>
    <t>תוספת שקלית 2000</t>
  </si>
  <si>
    <t>4425</t>
  </si>
  <si>
    <t>מענק יובל (דרוג 01)</t>
  </si>
  <si>
    <t>4426</t>
  </si>
  <si>
    <t>4427</t>
  </si>
  <si>
    <t>תובפת שרות</t>
  </si>
  <si>
    <t>4428</t>
  </si>
  <si>
    <t>נתיב ב</t>
  </si>
  <si>
    <t>4431</t>
  </si>
  <si>
    <t>דמי חבר מגולם</t>
  </si>
  <si>
    <t>4436</t>
  </si>
  <si>
    <t>ימי חופשה שעתיים</t>
  </si>
  <si>
    <t>4437</t>
  </si>
  <si>
    <t>ימי בחינה</t>
  </si>
  <si>
    <t>4447</t>
  </si>
  <si>
    <t>4453</t>
  </si>
  <si>
    <t>תוספת דריכות וכוננות</t>
  </si>
  <si>
    <t>4457</t>
  </si>
  <si>
    <t>הפקעת שכר</t>
  </si>
  <si>
    <t>4459</t>
  </si>
  <si>
    <t>הודעה מוקדמת</t>
  </si>
  <si>
    <t>4470</t>
  </si>
  <si>
    <t>פיצויים</t>
  </si>
  <si>
    <t>4471</t>
  </si>
  <si>
    <t>פצ.תק.ארעית</t>
  </si>
  <si>
    <t>4472</t>
  </si>
  <si>
    <t>4476</t>
  </si>
  <si>
    <t>מענ.הסתגלות</t>
  </si>
  <si>
    <t>4478</t>
  </si>
  <si>
    <t>מענק הדרכה</t>
  </si>
  <si>
    <t>4479</t>
  </si>
  <si>
    <t>4485</t>
  </si>
  <si>
    <t>מענק מחלה מעל 100%</t>
  </si>
  <si>
    <t>4487</t>
  </si>
  <si>
    <t>מענק מחלה שעתי חייב - לא מיושם עדיין</t>
  </si>
  <si>
    <t>4488</t>
  </si>
  <si>
    <t>מענק מחלה שעתי פטור - לא מיושם עדיין</t>
  </si>
  <si>
    <t>4501</t>
  </si>
  <si>
    <t>הוצ. פלאפון</t>
  </si>
  <si>
    <t>4511</t>
  </si>
  <si>
    <t>פרמיה דיפרנציאלית</t>
  </si>
  <si>
    <t>שעות פרמיה</t>
  </si>
  <si>
    <t>4512</t>
  </si>
  <si>
    <t>100%ש.עבודה</t>
  </si>
  <si>
    <t>4518</t>
  </si>
  <si>
    <t>תוספת נהיגה עצמית ב'</t>
  </si>
  <si>
    <t>4534</t>
  </si>
  <si>
    <t>ת.ניהול משרד המשפטים</t>
  </si>
  <si>
    <t>4539</t>
  </si>
  <si>
    <t>4540</t>
  </si>
  <si>
    <t>ש. נ. %521</t>
  </si>
  <si>
    <t>4541</t>
  </si>
  <si>
    <t>בדיקות תקופתיות/</t>
  </si>
  <si>
    <t>4329</t>
  </si>
  <si>
    <t>דמי לינה חיב במס</t>
  </si>
  <si>
    <t>4544</t>
  </si>
  <si>
    <t>3.6% ת. שכר
-נצבר למינימום חוק והוראת שעה</t>
  </si>
  <si>
    <t>4546</t>
  </si>
  <si>
    <t>הודעה מוקדמת שעתיים</t>
  </si>
  <si>
    <t>4547</t>
  </si>
  <si>
    <t>4548</t>
  </si>
  <si>
    <t>3.6% ת. שכר
-נצבר למינימום חוק</t>
  </si>
  <si>
    <t>4549</t>
  </si>
  <si>
    <t>4550</t>
  </si>
  <si>
    <t>4564</t>
  </si>
  <si>
    <t>משכורת כוללת</t>
  </si>
  <si>
    <t>4565</t>
  </si>
  <si>
    <t>225% .ש.נ</t>
  </si>
  <si>
    <t>4566</t>
  </si>
  <si>
    <t>200% .ש.נ</t>
  </si>
  <si>
    <t>4567</t>
  </si>
  <si>
    <t>4568</t>
  </si>
  <si>
    <t>187.5% .ש.נ</t>
  </si>
  <si>
    <t>4569</t>
  </si>
  <si>
    <t>4590</t>
  </si>
  <si>
    <t>4595</t>
  </si>
  <si>
    <t>שעות נוספות מהבית 100%</t>
  </si>
  <si>
    <t>4598</t>
  </si>
  <si>
    <t>החזר הוצאות כלליות</t>
  </si>
  <si>
    <t>החזר הוצאות</t>
  </si>
  <si>
    <t>4624</t>
  </si>
  <si>
    <t>4632</t>
  </si>
  <si>
    <t>4633</t>
  </si>
  <si>
    <t>4638</t>
  </si>
  <si>
    <t>ק"מ-פוקדים</t>
  </si>
  <si>
    <t>4640</t>
  </si>
  <si>
    <t>4642</t>
  </si>
  <si>
    <t>לא, כן</t>
  </si>
  <si>
    <t>4643</t>
  </si>
  <si>
    <t>4651</t>
  </si>
  <si>
    <t>תוספת שכר משרד החקלאות</t>
  </si>
  <si>
    <t>4656</t>
  </si>
  <si>
    <t>שעות הוראה</t>
  </si>
  <si>
    <t>4658</t>
  </si>
  <si>
    <t>4683</t>
  </si>
  <si>
    <t>תוספת נתב</t>
  </si>
  <si>
    <t>4687</t>
  </si>
  <si>
    <t>4688</t>
  </si>
  <si>
    <t>ק הש סיום ח</t>
  </si>
  <si>
    <t>4689</t>
  </si>
  <si>
    <t>מענק חוקרים</t>
  </si>
  <si>
    <t>4694</t>
  </si>
  <si>
    <t>4733</t>
  </si>
  <si>
    <t>ניכוי קרנות השוטרים</t>
  </si>
  <si>
    <t>4734</t>
  </si>
  <si>
    <t>4741</t>
  </si>
  <si>
    <t>זכאות למענק יובל</t>
  </si>
  <si>
    <t>4755</t>
  </si>
  <si>
    <t>חסם כוננויות</t>
  </si>
  <si>
    <t>4797</t>
  </si>
  <si>
    <t>זכאות למענק יובל - הוראה</t>
  </si>
  <si>
    <t>4815</t>
  </si>
  <si>
    <t>פעילות רווחה</t>
  </si>
  <si>
    <t>4837</t>
  </si>
  <si>
    <t>4838</t>
  </si>
  <si>
    <t>דיווח או נטרול קרן ידע</t>
  </si>
  <si>
    <t>4845</t>
  </si>
  <si>
    <t>חשבון סלולרי</t>
  </si>
  <si>
    <t>4847</t>
  </si>
  <si>
    <t>דמי חבר רו"ח</t>
  </si>
  <si>
    <t>4879</t>
  </si>
  <si>
    <t>גילום שווי רכב</t>
  </si>
  <si>
    <t>4915</t>
  </si>
  <si>
    <t>ש.נ 40%.</t>
  </si>
  <si>
    <t>4917</t>
  </si>
  <si>
    <t>תרבות וספורט</t>
  </si>
  <si>
    <t>4918</t>
  </si>
  <si>
    <t>דמי לינה בארץ מגולמים</t>
  </si>
  <si>
    <t>4926</t>
  </si>
  <si>
    <t>תוספת סנגור מחוזי</t>
  </si>
  <si>
    <t>4929</t>
  </si>
  <si>
    <t>ד.מנוי תצפיתנים</t>
  </si>
  <si>
    <t>4930</t>
  </si>
  <si>
    <t>גיור בלנ/ית</t>
  </si>
  <si>
    <t>4193</t>
  </si>
  <si>
    <t>אגרת רישוי - ידני</t>
  </si>
  <si>
    <t>4931</t>
  </si>
  <si>
    <t>4932</t>
  </si>
  <si>
    <t>4934</t>
  </si>
  <si>
    <t>4935</t>
  </si>
  <si>
    <t>4936</t>
  </si>
  <si>
    <t>ש"נ כוללות</t>
  </si>
  <si>
    <t>4938</t>
  </si>
  <si>
    <t>דמי חניה לסוקרים</t>
  </si>
  <si>
    <t>4941</t>
  </si>
  <si>
    <t>מענק פרישה מיוחד חיב מס</t>
  </si>
  <si>
    <t>4944</t>
  </si>
  <si>
    <t>תוספת טלפון אישית</t>
  </si>
  <si>
    <t>4948</t>
  </si>
  <si>
    <t>תחבורה ציבורית לימודים</t>
  </si>
  <si>
    <t>4950</t>
  </si>
  <si>
    <t>41 תוספת שכר 2008 לדרוג</t>
  </si>
  <si>
    <t>4954</t>
  </si>
  <si>
    <t>שכר שעתי חוקרי תקריות ותאונות</t>
  </si>
  <si>
    <t>4966</t>
  </si>
  <si>
    <t>לינה חו"ל חייב במס</t>
  </si>
  <si>
    <t>4967</t>
  </si>
  <si>
    <t>לינה מגולם</t>
  </si>
  <si>
    <t>4968</t>
  </si>
  <si>
    <t>אש"ל חו"ל חייב במס</t>
  </si>
  <si>
    <t>4969</t>
  </si>
  <si>
    <t>אש"ל חו"ל פטור ממס</t>
  </si>
  <si>
    <t>4972</t>
  </si>
  <si>
    <t>4980</t>
  </si>
  <si>
    <t>נסיעות בכביש 6</t>
  </si>
  <si>
    <t>4982</t>
  </si>
  <si>
    <t>אגרה מקצועית שמאי 3 ש</t>
  </si>
  <si>
    <t>4981</t>
  </si>
  <si>
    <t>אגרה מקצועית עו"ד 3 ש</t>
  </si>
  <si>
    <t>4983</t>
  </si>
  <si>
    <t>4985</t>
  </si>
  <si>
    <t>קצובת כלכלה לעובד בתפקיד</t>
  </si>
  <si>
    <t>4994</t>
  </si>
  <si>
    <t>4997</t>
  </si>
  <si>
    <t>תוספת פרקליט ב'</t>
  </si>
  <si>
    <t>4998</t>
  </si>
  <si>
    <t>ת. בתי משפט</t>
  </si>
  <si>
    <t>5211</t>
  </si>
  <si>
    <t>הוצאות אינטרנט</t>
  </si>
  <si>
    <t>5213</t>
  </si>
  <si>
    <t>מענק התמדה קבוצה א/ב</t>
  </si>
  <si>
    <t>5214</t>
  </si>
  <si>
    <t>5224</t>
  </si>
  <si>
    <t>5226</t>
  </si>
  <si>
    <t>הפחתה שנתית</t>
  </si>
  <si>
    <t>5239</t>
  </si>
  <si>
    <t>מענק התמדה</t>
  </si>
  <si>
    <t>5240</t>
  </si>
  <si>
    <t>5244</t>
  </si>
  <si>
    <t>5247</t>
  </si>
  <si>
    <t>כלכלה - מעבר</t>
  </si>
  <si>
    <t>5251</t>
  </si>
  <si>
    <t>5253</t>
  </si>
  <si>
    <t>5254</t>
  </si>
  <si>
    <t>5255</t>
  </si>
  <si>
    <t>קצובת ביגוד שעתי</t>
  </si>
  <si>
    <t>5257</t>
  </si>
  <si>
    <t>קצובת ביגוד- סטודנטים</t>
  </si>
  <si>
    <t>5260</t>
  </si>
  <si>
    <t>השל. מינימום</t>
  </si>
  <si>
    <t>5262</t>
  </si>
  <si>
    <t>תשלום עבור הטענת רכב</t>
  </si>
  <si>
    <t>5264</t>
  </si>
  <si>
    <t>גילום בפועל טיסות לפולין</t>
  </si>
  <si>
    <t>5265</t>
  </si>
  <si>
    <t>גילום טיסות לפולין</t>
  </si>
  <si>
    <t>5267</t>
  </si>
  <si>
    <t>מענק תצהיר'</t>
  </si>
  <si>
    <t>5269</t>
  </si>
  <si>
    <t>מענק פעילות</t>
  </si>
  <si>
    <t>5270</t>
  </si>
  <si>
    <t>תוספת פעילות</t>
  </si>
  <si>
    <t>5272</t>
  </si>
  <si>
    <t>ימי מחלה</t>
  </si>
  <si>
    <t>5273</t>
  </si>
  <si>
    <t>ימי בחירה שעתיים</t>
  </si>
  <si>
    <t>5274</t>
  </si>
  <si>
    <t>5279</t>
  </si>
  <si>
    <t>תוס. מבצעית 13.59%</t>
  </si>
  <si>
    <t>5280</t>
  </si>
  <si>
    <t>ת. כבאי חדש</t>
  </si>
  <si>
    <t>5281</t>
  </si>
  <si>
    <t>מענק שנתי לקלדניות</t>
  </si>
  <si>
    <t>5283</t>
  </si>
  <si>
    <t>5285</t>
  </si>
  <si>
    <t>5286</t>
  </si>
  <si>
    <t>5287</t>
  </si>
  <si>
    <t>5288</t>
  </si>
  <si>
    <t>מענק מיוחד</t>
  </si>
  <si>
    <t>5289</t>
  </si>
  <si>
    <t>תש. לשאירים</t>
  </si>
  <si>
    <t>5293</t>
  </si>
  <si>
    <t>כוננות</t>
  </si>
  <si>
    <t>5295</t>
  </si>
  <si>
    <t>תגמול צינון</t>
  </si>
  <si>
    <t>5296</t>
  </si>
  <si>
    <t>5312</t>
  </si>
  <si>
    <t>ת.מעמ.האישה</t>
  </si>
  <si>
    <t>5315</t>
  </si>
  <si>
    <t>ת. ארגונית</t>
  </si>
  <si>
    <t>5321</t>
  </si>
  <si>
    <t>פיקוח - רפורמה</t>
  </si>
  <si>
    <t>5322</t>
  </si>
  <si>
    <t>5323</t>
  </si>
  <si>
    <t>פיקוח כולל</t>
  </si>
  <si>
    <t>5326</t>
  </si>
  <si>
    <t>ד.חבר אג.מק</t>
  </si>
  <si>
    <t>5327</t>
  </si>
  <si>
    <t>ד.חבר עמ.מק</t>
  </si>
  <si>
    <t>5328</t>
  </si>
  <si>
    <t>החזר הוצאות אחרות (אש"ל) חייב ממס בחו"ל</t>
  </si>
  <si>
    <t>5329</t>
  </si>
  <si>
    <t>החזר הוצאות אחרות (אש"ל) פטור ממס בחו"ל</t>
  </si>
  <si>
    <t>5330</t>
  </si>
  <si>
    <t>תשלום פשרות</t>
  </si>
  <si>
    <t>5364</t>
  </si>
  <si>
    <t>שכר יסוד דירוג רמי</t>
  </si>
  <si>
    <t>5365</t>
  </si>
  <si>
    <t>שכר יסוד מפקח</t>
  </si>
  <si>
    <t>5366</t>
  </si>
  <si>
    <t>5367</t>
  </si>
  <si>
    <t>תוספת תארים</t>
  </si>
  <si>
    <t>5368</t>
  </si>
  <si>
    <t>תוס. רוטציה</t>
  </si>
  <si>
    <t>5369</t>
  </si>
  <si>
    <t>5374</t>
  </si>
  <si>
    <t>תוספת מו"מ</t>
  </si>
  <si>
    <t>5388</t>
  </si>
  <si>
    <t>מענק חד פעמי</t>
  </si>
  <si>
    <t>5389</t>
  </si>
  <si>
    <t>5401</t>
  </si>
  <si>
    <t>אחוזית-2016</t>
  </si>
  <si>
    <t>5402</t>
  </si>
  <si>
    <t>שקלית-2016</t>
  </si>
  <si>
    <t>5404</t>
  </si>
  <si>
    <t>5410</t>
  </si>
  <si>
    <t>פרס העובד המצטיין</t>
  </si>
  <si>
    <t>5422</t>
  </si>
  <si>
    <t>שקלית 2012</t>
  </si>
  <si>
    <t>5426</t>
  </si>
  <si>
    <t>ת. גמול ערך</t>
  </si>
  <si>
    <t>גמול ערך</t>
  </si>
  <si>
    <t>5434</t>
  </si>
  <si>
    <t>תוספת מגן</t>
  </si>
  <si>
    <t>מענק ש. עזר</t>
  </si>
  <si>
    <t>מענק ש.עזר</t>
  </si>
  <si>
    <t>5438</t>
  </si>
  <si>
    <t>סטודנט לומד</t>
  </si>
  <si>
    <t>5439</t>
  </si>
  <si>
    <t>שקלית ת.שני</t>
  </si>
  <si>
    <t>5444</t>
  </si>
  <si>
    <t>מענק ממלא מקום</t>
  </si>
  <si>
    <t>5478</t>
  </si>
  <si>
    <t>ז. לתוספת נהיגה עצמית</t>
  </si>
  <si>
    <t>5484</t>
  </si>
  <si>
    <t>5518</t>
  </si>
  <si>
    <t>ש.נ 100% א. משמרת</t>
  </si>
  <si>
    <t>5519</t>
  </si>
  <si>
    <t>מענק ארוחות</t>
  </si>
  <si>
    <t>5521</t>
  </si>
  <si>
    <t>ה.שהיה חייב</t>
  </si>
  <si>
    <t>5522</t>
  </si>
  <si>
    <t>ה.שהיה פטור</t>
  </si>
  <si>
    <t>5524</t>
  </si>
  <si>
    <t>אחוזית-2023</t>
  </si>
  <si>
    <t>5527</t>
  </si>
  <si>
    <t>ותק סטודנט</t>
  </si>
  <si>
    <t>5532</t>
  </si>
  <si>
    <t>תוספת שקלית 2024</t>
  </si>
  <si>
    <t>5533</t>
  </si>
  <si>
    <t>מענק פיירול למפקחים</t>
  </si>
  <si>
    <t>5535</t>
  </si>
  <si>
    <t>5536</t>
  </si>
  <si>
    <t>תוספת יישון</t>
  </si>
  <si>
    <t>5537</t>
  </si>
  <si>
    <t>מענק רופאים א</t>
  </si>
  <si>
    <t>5548</t>
  </si>
  <si>
    <t>תוספת קצרניות רה"ה</t>
  </si>
  <si>
    <t>6676</t>
  </si>
  <si>
    <t>סיום העסקה בהסכמה</t>
  </si>
  <si>
    <t>6677</t>
  </si>
  <si>
    <t>סיום העסקה בהסכמה פטור</t>
  </si>
  <si>
    <t>8079</t>
  </si>
  <si>
    <t>חלקיות משרה שעתיים</t>
  </si>
  <si>
    <t>8842</t>
  </si>
  <si>
    <t>הוצאות פלאפון</t>
  </si>
  <si>
    <t>9141</t>
  </si>
  <si>
    <t>ביטוח חובה נטו-שולם</t>
  </si>
  <si>
    <t>9142</t>
  </si>
  <si>
    <t>ביטוח מקיף נטו-שולם</t>
  </si>
  <si>
    <t>9143</t>
  </si>
  <si>
    <t>אגרת רישוי נטו-שולם</t>
  </si>
  <si>
    <t>9273</t>
  </si>
  <si>
    <t>חלקיות שעתיים לצורך מקדמת מענק</t>
  </si>
  <si>
    <t>9310</t>
  </si>
  <si>
    <t>ברוטו לביטוח לאומי - ישן</t>
  </si>
  <si>
    <t>9319</t>
  </si>
  <si>
    <t>בסיס תוספת פו"מ</t>
  </si>
  <si>
    <t>9427</t>
  </si>
  <si>
    <t>בסיס לתוספת שרות</t>
  </si>
  <si>
    <t>9428</t>
  </si>
  <si>
    <t>בסיס 2 לתוספת שרות</t>
  </si>
  <si>
    <t>9443</t>
  </si>
  <si>
    <t>רכיב עזר ל4431</t>
  </si>
  <si>
    <t>9464</t>
  </si>
  <si>
    <t>ברוטו קרן השתלמות מדווח</t>
  </si>
  <si>
    <t>9465</t>
  </si>
  <si>
    <t>ברוטו פנסיה מדווח</t>
  </si>
  <si>
    <t>9466</t>
  </si>
  <si>
    <t>ברוטו עבודה נוספת מדווח</t>
  </si>
  <si>
    <t>9467</t>
  </si>
  <si>
    <t>ברוטו החזר הוצאות מדווח</t>
  </si>
  <si>
    <t>9560</t>
  </si>
  <si>
    <t>קצובת נסיעה מגולם-חודשי</t>
  </si>
  <si>
    <t>9563</t>
  </si>
  <si>
    <t>קצובת נסיעה מגולם-שעתי</t>
  </si>
  <si>
    <t>9561</t>
  </si>
  <si>
    <t>קצובת נסיעה חייב-חודשי</t>
  </si>
  <si>
    <t>9621</t>
  </si>
  <si>
    <t>דמי כלכלה דירוג 964-B7</t>
  </si>
  <si>
    <t>9805</t>
  </si>
  <si>
    <t>תוספת ותק לסטודנטים</t>
  </si>
  <si>
    <t>9865</t>
  </si>
  <si>
    <t>בסיס תוספת הכשרה</t>
  </si>
  <si>
    <t>9900</t>
  </si>
  <si>
    <t>יסוד משולב לסטודנטים</t>
  </si>
  <si>
    <t>9901</t>
  </si>
  <si>
    <t>בסיס לרכיב ת.2001 ה.ערך שעה</t>
  </si>
  <si>
    <t>9916</t>
  </si>
  <si>
    <t>עזר לרכיב ותק לסטודנט</t>
  </si>
  <si>
    <t>9935</t>
  </si>
  <si>
    <t>רכיב עזר ל 4935</t>
  </si>
  <si>
    <t>9937</t>
  </si>
  <si>
    <t>פ.עלות מעסיק ביטוח לאומי</t>
  </si>
  <si>
    <t>9950</t>
  </si>
  <si>
    <t>עזר לתוספת שכר 2008</t>
  </si>
  <si>
    <t>9957</t>
  </si>
  <si>
    <t>ביטוח מנהלים ישן</t>
  </si>
  <si>
    <t>9961</t>
  </si>
  <si>
    <t>פ.העמסת עלות - שכר בסיס</t>
  </si>
  <si>
    <t>9962</t>
  </si>
  <si>
    <t>פ.העמסת עלות - עבודה נוספת</t>
  </si>
  <si>
    <t>9963</t>
  </si>
  <si>
    <t>פ.העמסת עלות - החזר הוצאות</t>
  </si>
  <si>
    <t>9964</t>
  </si>
  <si>
    <t>פ.העמסת עלות - קרן השתלמות</t>
  </si>
  <si>
    <t>9985</t>
  </si>
  <si>
    <t>ת.בתי משפט ידני</t>
  </si>
  <si>
    <t>442A</t>
  </si>
  <si>
    <t>מענק יובל - ,תקציבית</t>
  </si>
  <si>
    <t>98KN</t>
  </si>
  <si>
    <t>סכום קיזוז השוואת קצובת נסיעה</t>
  </si>
  <si>
    <t>9T01</t>
  </si>
  <si>
    <t>סך וותק לחישוב</t>
  </si>
  <si>
    <t>9A01</t>
  </si>
  <si>
    <t>העדרות ללא שכר</t>
  </si>
  <si>
    <t>9T02</t>
  </si>
  <si>
    <t>9T03</t>
  </si>
  <si>
    <t>9T04</t>
  </si>
  <si>
    <t>וותק להבראה</t>
  </si>
  <si>
    <t>4538</t>
  </si>
  <si>
    <t>שבת 100%</t>
  </si>
  <si>
    <t>1153</t>
  </si>
  <si>
    <t>ש. נ. %051  מופרש קהש ושנ</t>
  </si>
  <si>
    <t>1152</t>
  </si>
  <si>
    <t>ש. נ. %521 מופרש קהש ושנ</t>
  </si>
  <si>
    <t>264</t>
  </si>
  <si>
    <t>נסיעות בשבת</t>
  </si>
  <si>
    <t>1836</t>
  </si>
  <si>
    <t>הגדרת ערך יום-רופאים</t>
  </si>
  <si>
    <t>New רכיב</t>
  </si>
  <si>
    <t>1601</t>
  </si>
  <si>
    <t>שעות נוספות 250%</t>
  </si>
  <si>
    <t>9982</t>
  </si>
  <si>
    <t>5486</t>
  </si>
  <si>
    <t>קפג בשבתון</t>
  </si>
  <si>
    <t>3802</t>
  </si>
  <si>
    <t>0432</t>
  </si>
  <si>
    <t>זק.שי חנוכה</t>
  </si>
  <si>
    <t>049A</t>
  </si>
  <si>
    <t>שווי רכב מגולם</t>
  </si>
  <si>
    <t>0483</t>
  </si>
  <si>
    <t>זקיפת הטבות</t>
  </si>
  <si>
    <t>0451</t>
  </si>
  <si>
    <t>ביטוח רפואי</t>
  </si>
  <si>
    <t>0462</t>
  </si>
  <si>
    <t>יום לאשה לאשה</t>
  </si>
  <si>
    <t>0454</t>
  </si>
  <si>
    <t>ז.חו"ל הוצ.רכב</t>
  </si>
  <si>
    <t>046A</t>
  </si>
  <si>
    <t>0473</t>
  </si>
  <si>
    <t>זק.ה.מקיפה</t>
  </si>
  <si>
    <t>0437</t>
  </si>
  <si>
    <t>קייטנה</t>
  </si>
  <si>
    <t>0486</t>
  </si>
  <si>
    <t>0484</t>
  </si>
  <si>
    <t>שי לשמחות</t>
  </si>
  <si>
    <t>0452</t>
  </si>
  <si>
    <t>ז.חול מגולם הוצ רכב</t>
  </si>
  <si>
    <t>047C</t>
  </si>
  <si>
    <t>יום הולדת מגולם</t>
  </si>
  <si>
    <t>0469</t>
  </si>
  <si>
    <t>שכר דירה</t>
  </si>
  <si>
    <t>0407</t>
  </si>
  <si>
    <t>ארוחות</t>
  </si>
  <si>
    <t>0474</t>
  </si>
  <si>
    <t>זק. הטבה מגולם</t>
  </si>
  <si>
    <t>0482</t>
  </si>
  <si>
    <t>זק אינטרנט</t>
  </si>
  <si>
    <t>0438</t>
  </si>
  <si>
    <t>עובד מצטיין</t>
  </si>
  <si>
    <t>0444</t>
  </si>
  <si>
    <t>זק-נהיגה עצמית</t>
  </si>
  <si>
    <t>0475</t>
  </si>
  <si>
    <t>ז.חול הוצ אחר</t>
  </si>
  <si>
    <t>043A</t>
  </si>
  <si>
    <t>הכנ.נופש מגולם</t>
  </si>
  <si>
    <t>0442</t>
  </si>
  <si>
    <t>041B</t>
  </si>
  <si>
    <t>ז. אבל מגולמת</t>
  </si>
  <si>
    <t>044A</t>
  </si>
  <si>
    <t>מענקים מגולם</t>
  </si>
  <si>
    <t>0481</t>
  </si>
  <si>
    <t>מינויי ועד</t>
  </si>
  <si>
    <t>0488</t>
  </si>
  <si>
    <t>0480</t>
  </si>
  <si>
    <t>טלפון</t>
  </si>
  <si>
    <t>0446</t>
  </si>
  <si>
    <t>זקיפה-גיבוש</t>
  </si>
  <si>
    <t>048X</t>
  </si>
  <si>
    <t>נטרול זקיפת טלפון</t>
  </si>
  <si>
    <t>0499</t>
  </si>
  <si>
    <t>0479</t>
  </si>
  <si>
    <t>לינה</t>
  </si>
  <si>
    <t>0493</t>
  </si>
  <si>
    <t>זק.הטבה-יעוץ</t>
  </si>
  <si>
    <t>0406</t>
  </si>
  <si>
    <t>הסעות</t>
  </si>
  <si>
    <t>0449</t>
  </si>
  <si>
    <t>שווי רכב</t>
  </si>
  <si>
    <t>424</t>
  </si>
  <si>
    <t>בטוח שיניים</t>
  </si>
  <si>
    <t>0492</t>
  </si>
  <si>
    <t>זקיפת שי-שעון</t>
  </si>
  <si>
    <t>047D</t>
  </si>
  <si>
    <t>0403</t>
  </si>
  <si>
    <t>0487</t>
  </si>
  <si>
    <t>דמי לידה</t>
  </si>
  <si>
    <t>0434</t>
  </si>
  <si>
    <t>הכנ.נופש</t>
  </si>
  <si>
    <t>0471</t>
  </si>
  <si>
    <t>רווחה</t>
  </si>
  <si>
    <t>0433</t>
  </si>
  <si>
    <t>זק.לימודים</t>
  </si>
  <si>
    <t>0463</t>
  </si>
  <si>
    <t>עובד ותיק(מגולם)</t>
  </si>
  <si>
    <t>0489</t>
  </si>
  <si>
    <t>461</t>
  </si>
  <si>
    <t>אירוח</t>
  </si>
  <si>
    <t>0448</t>
  </si>
  <si>
    <t>זק.שי כתה א'</t>
  </si>
  <si>
    <t>0485</t>
  </si>
  <si>
    <t>זק.מגולמ-פולין</t>
  </si>
  <si>
    <t>0497</t>
  </si>
  <si>
    <t>זקיפה טיולים</t>
  </si>
  <si>
    <t>0411</t>
  </si>
  <si>
    <t>מתנות</t>
  </si>
  <si>
    <t>0401</t>
  </si>
  <si>
    <t>שכ"ד – עד 3 שנים</t>
  </si>
  <si>
    <t>0435</t>
  </si>
  <si>
    <t>שי לחייל</t>
  </si>
  <si>
    <t>0402</t>
  </si>
  <si>
    <t>זקיפת תרבות</t>
  </si>
  <si>
    <t>044C</t>
  </si>
  <si>
    <t>שווי ה.מעביד מגולם</t>
  </si>
  <si>
    <t>קלנדרי</t>
  </si>
  <si>
    <t>שכר לימוד</t>
  </si>
  <si>
    <t>044B</t>
  </si>
  <si>
    <t>זקיפת הטבות מגולם</t>
  </si>
  <si>
    <t>040A</t>
  </si>
  <si>
    <t>הסעות מגולם</t>
  </si>
  <si>
    <t>0425</t>
  </si>
  <si>
    <t>0410</t>
  </si>
  <si>
    <t>נסיעות</t>
  </si>
  <si>
    <t>0450</t>
  </si>
  <si>
    <t>שונות</t>
  </si>
  <si>
    <t>443</t>
  </si>
  <si>
    <t>שווי ה.מעביד</t>
  </si>
  <si>
    <t>זק שכ"ל מבטל</t>
  </si>
  <si>
    <t>0466</t>
  </si>
  <si>
    <t>תר. ספורט</t>
  </si>
  <si>
    <t>044D</t>
  </si>
  <si>
    <t>זקיפה-גיבוש מגולם</t>
  </si>
  <si>
    <t>0458</t>
  </si>
  <si>
    <t>שי יום האם</t>
  </si>
  <si>
    <t>0426</t>
  </si>
  <si>
    <t>שי פסח</t>
  </si>
  <si>
    <t>0419</t>
  </si>
  <si>
    <t>464</t>
  </si>
  <si>
    <t>שי אישי</t>
  </si>
  <si>
    <t>0427</t>
  </si>
  <si>
    <t>שי ראש השנה</t>
  </si>
  <si>
    <t>0428</t>
  </si>
  <si>
    <t>זקיפה-תלושים</t>
  </si>
  <si>
    <t>0413</t>
  </si>
  <si>
    <t>פרסים</t>
  </si>
  <si>
    <t>0439</t>
  </si>
  <si>
    <t>קרן השתלמות ע.נ. *</t>
  </si>
  <si>
    <t>467</t>
  </si>
  <si>
    <t>ז.שי לעובד חדש</t>
  </si>
  <si>
    <t>0440</t>
  </si>
  <si>
    <t>זק.אשל בחול</t>
  </si>
  <si>
    <t>0459</t>
  </si>
  <si>
    <t>מילגה</t>
  </si>
  <si>
    <t>0436</t>
  </si>
  <si>
    <t>שכ"ד 3+ שנים לעובדי הכנסת</t>
  </si>
  <si>
    <t>045A</t>
  </si>
  <si>
    <t>0445</t>
  </si>
  <si>
    <t>זקיפה-מנויים</t>
  </si>
  <si>
    <t>0447</t>
  </si>
  <si>
    <t>זק.מועדון טוב</t>
  </si>
  <si>
    <t>042A</t>
  </si>
  <si>
    <t>תר. ספורט מגולם</t>
  </si>
  <si>
    <t>0405</t>
  </si>
  <si>
    <t>045B</t>
  </si>
  <si>
    <t>שונות מגולם</t>
  </si>
  <si>
    <t>0430</t>
  </si>
  <si>
    <t>פורים</t>
  </si>
  <si>
    <t>0453</t>
  </si>
  <si>
    <t>ז.חול הוצ לינה</t>
  </si>
  <si>
    <t>0460</t>
  </si>
  <si>
    <t>זק תאטרון</t>
  </si>
  <si>
    <t>0429</t>
  </si>
  <si>
    <t>תו קניה</t>
  </si>
  <si>
    <t>0465</t>
  </si>
  <si>
    <t>מתנות לחישוב מס</t>
  </si>
  <si>
    <t>0417</t>
  </si>
  <si>
    <t>ריפוי ש?</t>
  </si>
  <si>
    <t>0468</t>
  </si>
  <si>
    <t>יום המשפחה</t>
  </si>
  <si>
    <t>046B</t>
  </si>
  <si>
    <t>שי אישי מגולם</t>
  </si>
  <si>
    <t>0470</t>
  </si>
  <si>
    <t>זק יומלדת</t>
  </si>
  <si>
    <t>0414</t>
  </si>
  <si>
    <t>מענקים</t>
  </si>
  <si>
    <t>047A</t>
  </si>
  <si>
    <t>רווחה מגולם</t>
  </si>
  <si>
    <t>0431</t>
  </si>
  <si>
    <t>ז. שי לטו בשבט</t>
  </si>
  <si>
    <t>5510</t>
  </si>
  <si>
    <t>קבועות נטו-למקבל ניידות</t>
  </si>
  <si>
    <t>5511</t>
  </si>
  <si>
    <t>רכב שירות -למקבלי ניידות</t>
  </si>
  <si>
    <t>5512</t>
  </si>
  <si>
    <t>החזר ביטוח חובה</t>
  </si>
  <si>
    <t>5513</t>
  </si>
  <si>
    <t>החזר ביטוח מקיף</t>
  </si>
  <si>
    <t>9333</t>
  </si>
  <si>
    <t>774</t>
  </si>
  <si>
    <t>החזר ארוחות</t>
  </si>
  <si>
    <t>4916</t>
  </si>
  <si>
    <t>אובדן משמרת לא לע.ש</t>
  </si>
  <si>
    <t>4495</t>
  </si>
  <si>
    <t>תוספת 13.75%</t>
  </si>
  <si>
    <t>1206</t>
  </si>
  <si>
    <t>1428</t>
  </si>
  <si>
    <t>4188</t>
  </si>
  <si>
    <t>מענק מיוחד ללא הפרשות</t>
  </si>
  <si>
    <t>9564</t>
  </si>
  <si>
    <t>קצובת נסיעה חייב-שעתי</t>
  </si>
  <si>
    <t>5549</t>
  </si>
  <si>
    <t>גשר אלנבי</t>
  </si>
  <si>
    <t>5539</t>
  </si>
  <si>
    <t>תוספת ממונה</t>
  </si>
  <si>
    <t>0215</t>
  </si>
  <si>
    <t>הפחתת שעות</t>
  </si>
  <si>
    <t>קוד רכיב מלם</t>
  </si>
  <si>
    <t>קוד רכיב מאנדיי</t>
  </si>
  <si>
    <t>תת סוג מידע</t>
  </si>
  <si>
    <t>שכיחות</t>
  </si>
  <si>
    <t>בסיס למשכורת קובעת</t>
  </si>
  <si>
    <t>תדירות</t>
  </si>
  <si>
    <t>סטאטוס רכיב</t>
  </si>
  <si>
    <t>מספר רכיב בתלוש</t>
  </si>
  <si>
    <t>זכאות במערכת</t>
  </si>
  <si>
    <t>אופן דיווח</t>
  </si>
  <si>
    <t>פירוט דיווח</t>
  </si>
  <si>
    <t>אוכלוסיה זכאית</t>
  </si>
  <si>
    <t>נוסחת חישוב</t>
  </si>
  <si>
    <t>תיאור נוסחה</t>
  </si>
  <si>
    <t>אסכמתא</t>
  </si>
  <si>
    <t>מאפייני רכיב</t>
  </si>
  <si>
    <t>*אופן היישום פירוט מודולים, רולים, תתי סכמות רול/תהליך המייצר את הרכיב אוטומטי בסכמה קוד תהליך ותק</t>
  </si>
  <si>
    <t>בסיסים על פי האפיון*</t>
  </si>
  <si>
    <t>טבלאות ערכים*</t>
  </si>
  <si>
    <t>רכיב בסיס שהוקם ב SAP*</t>
  </si>
  <si>
    <t>הערות ספירטק*</t>
  </si>
  <si>
    <t>חסימות דיווח*</t>
  </si>
  <si>
    <t>הערות דלויט*</t>
  </si>
  <si>
    <t>רכיב דלויט*</t>
  </si>
  <si>
    <t>קבוע</t>
  </si>
  <si>
    <t>פעיל</t>
  </si>
  <si>
    <t>אוטומטי</t>
  </si>
  <si>
    <t xml:space="preserve">
עובדי מעבדה המועסקים בבתי חולים ממשלתיים במחוזות ומטה משרד הבריאות אשר משכורתם מחושבת על פי הסכמים קיבוציים החלים על דרוג בכ"מ (33).
תחולת ההסכם 1/1/2021.</t>
  </si>
  <si>
    <t>סכום קבוע 400 למשרה מלאה.
עובדים בחלקיות משרה יהיו זכאים לחלק יחסי.
 תקרת סכום 1000 שח בחודש (לא כולל הפרשי רטרו).</t>
  </si>
  <si>
    <t>תוספת זאת לא תיכלל בבסיס חישוב כל תוספת שכר וכל תוספת שכר הקיימת ערב חתימת הסכם זה.</t>
  </si>
  <si>
    <t>/ILPY/V_MM
ILGNR
בטבלאות האוטומטים לדרוג 33</t>
  </si>
  <si>
    <t>התוספת איזה מהווה רכיב לחישוב תוספות שהן אחוז מהשכר.
מאפייני הרכיב אושרו לרכיב 525 בלבד</t>
  </si>
  <si>
    <t>דירוג עובדים סוציאלים (24), דירוג עובדי הוראה (41)(240)(802)</t>
  </si>
  <si>
    <t xml:space="preserve">
לדירוג העובדים הסוציאלים:
אם הוא בעל תואר שני (MA) זכאי ל: 7% מהשכר היסוד המשולב
אם הוא בעל תואר שלישי (PHD) זכאי ל: 10% מהשכר היסוד המשולב
לדירוג עובדי ההוראה:
אם הוא בעל תואר שני (MA) זכאי ל: 5% מהשכר היסוד המשולב
אם הוא בעל תואר שלישי (PHD) זכאי ל: 10% מהשכר היסוד המשולב</t>
  </si>
  <si>
    <t>בסיס החישוב:
שכר משולב + תוספת וותק + רכיב 981 תגמור 94 + רכיב 4144 תוספת שכר 2001 + רכיב 4950 תוספת שכר 2008 + רכיב 4994 תוספת 2011</t>
  </si>
  <si>
    <t>PRZNT-J</t>
  </si>
  <si>
    <t>9841
9H41
BS_C001</t>
  </si>
  <si>
    <t>הרכיב אוטומטי לדרוג 41 דרגה מ"א וד"ר - יושם רק לדרגה מ"א</t>
  </si>
  <si>
    <t>עדכון מאפייני השכר תקף לרכיב מלמ 534 בלבד.</t>
  </si>
  <si>
    <t>מדווח</t>
  </si>
  <si>
    <t>קוד 01- אזור עדיפות א- 4 שנות ותק נוספות
קוד 02- אזור עדיפות ב- 3 שנות ותק נוספות</t>
  </si>
  <si>
    <t>עובדים בדירוג עובדים סוציאליים (24), דירוג אחים ואחיות בריאות הציבור (38), דירוג אחים ואחיות (39) אשר מקום עבודתם הינו באיזור עדיפות לאומית א' ואיזור עדיפות לאומית ב', זכאים לקידום שנות וותק בהתאם למקום עבודתם.
עובדים באיזור עדיפות לאומית א': קידום של 4 שנות וותק
עובדים באיזור עדיפות לאומית ב': קידום של 3 שנות וותק
יש לאמת בבדיקות את סיווג אזורי העדיפות הלאומית הרשומים בהערות על נתונים.</t>
  </si>
  <si>
    <t>איזור עדיפות א' :(1-(A*(((1+B)^4
איזור עדיפות ב': (1-(A*(((1+B)^3
בכפוף לחלקיות משרה.
A= שכר משולב (10002) 
B=אחוז תוספת וותק לדירוג הרלוונטי 
לאחיות המקבלות תשלום בסמלים 537 ו- -938 גמול ערי פיתוח אכן יש תוספת מיוחדת וירטואלית -שמירת ערך שעה - (מחושב רק לאחיות שעונות על הקריטריונים)
לדוגמא: האחות שהסכום שמירת השכר וירטואלית = 311.05
מכאן ערך שעה = סה"כ ברוטו לערך שעה + 311.05 = 12,142.41 לחלק ב 52 ולחלק ב 36 כפול 12= 77.83 ₪</t>
  </si>
  <si>
    <t>אחוזי הוותק לדירוג עובדים סוציאליים (24):
משנת וותק 1-5 7%, 6-11 2%, 12-35 1%, 36-40 0.5%
אחוזי הוותק לדירוג אחים ואחיות בריאות הציבור (38), דירוג אחים ואחיות (39):
משנת וותק 1-9 3.1%, 10-19 2.1%, 20-32 1.9%, 33-35 1.1% משנת 36 ואילך 0.85%.
דוגמאות למציאת אחוז הוותק: 
1.עובד בדירוג 39 ששנות הוותק הרשומות בתלוש שלו הינן 13 וזכאי לקידום וותק של 4 שנים, אחוז הוותק שלו יהיה 2.1%.
2.עובד בדירוג 39 ששנות הוותק הרשומות בתלוש שלו הינן 30 וזכאי לקידום וותק של 4 שנים, אחוז הוותק שלו יהיה לשנתיים אחוז של 1.9%, ולשנתיים הנוספות יהיה זכאי לאחוז וותק של 1.1%.הסבר לנוסחה: 
שלב 1: בודקים מהו השכר המשולב (סמל מלם 10002) הרשום בתלוש 
שלב 2: בודקים מהו אחוז הוותק בהתאם לשנות הוותק הרשומות בתלוש השכר של העובד ובהתאם לדירוג הרלוונטי.
שלב 3. בודקים לאיזה אזור עדיפות לאומית העובד משתייך, בהתאם לקוד אגף הרשום בתלוש.
שלב 4: מוסיפים לאחוז הוותק משלב 2 את הספרה 1 (1+אחוז הוותק) 
שלב 5: מעלים בחזקה את התוצאה שהתקבלה בשלב 4, את מספר שנות הוותק לקידום לו זכאי העובד- 3 או 4 בהתאם לאזור עדיפות לאומית אליו משתייך העובד.
שלב 6: מחסירים את התוצאה שהתקבלה בשלב 5 בספרה 1
שלב 7: את התוצאה שהתקבלה בשלב 6 מכפילים בשכר המשולב הרשום בתלוש העובד (סמל מלם 10002)
שלב 8: מכפילים בחלקיות משרה.</t>
  </si>
  <si>
    <t>module INMGR:                                                                     ILGNR - N
אחוז מטבלה (לכל דרגה אחוז שונה)  
rule =8S5</t>
  </si>
  <si>
    <t>/ILPY/V_MM
V_T539A
V_T539J
/ILPY/WT_GEN_VC</t>
  </si>
  <si>
    <t>0002
0003
9T01</t>
  </si>
  <si>
    <t>מדובר בסמל מלם 537
כתובת האתר לבדיקת איזורי עדיפות:
https://apps.moital.gov.il/DevelopmentAreas/DevelopmentAreas.aspx
אגפים באיזור עדיפות לאומית א':
אגף 107 בית חולים זיו צפת.
אגף 207 בית חולים פוריה
אגף 307 בית חולים נהריה.
אגף 346- לשה"ב מחוז דרום.
אגף 616 לשכת בריאות מחוז הצפון.
אגף 643 בריאות הנפש באר שבע.
אגפים באיזור עדיפות לאומית ב':
אגף 113-בית חולים מזרע.
אגף 137-בית חולים ברזילי.
אגף 146 לשכת בריאות מחוז ירושלים.
אגף 207-בית חולים פוריה.
אחוזי הותק לדירוגים רשומים ב WT 1101.</t>
  </si>
  <si>
    <t>רכיב</t>
  </si>
  <si>
    <t xml:space="preserve">
1) דירוג 31 (רופאים) 
2) עובד באחד מהמקומות הבאים: מרפאות לבריאות נפש, מרפאת אם וילד, התפתחות הילד, רופאי בית ספר מומחים, משרדי הממשלה המפורטים במשפחה 3108</t>
  </si>
  <si>
    <t xml:space="preserve">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משרד האוצר ושירות התעסוקה (רכיב 4549 במלמ)
3108E- רופאים מתמחים (רכיב 616 במלמ)</t>
  </si>
  <si>
    <t>CONST</t>
  </si>
  <si>
    <t>V_T510k,                                    /ilpy/v_mm</t>
  </si>
  <si>
    <t>*רכיב 549 קיים במשרד האוצר (105) לרופאים, בוועדת הלבנה מיום 25.08.2020 (אסמכתא 1540) הוחלט שמינואר 2021 יופסק השימוש ברכיב במשרד.
מאחר והיה שימוש ברכיב בשנת 2022 לעובד אחד במשרד, הוחלט בפגישה עם החשכ"ל שהתקיימה בתאריך 20.09.2022 שזה לא תקין שהעובד מקבל את הרכיב ויבחר בהמשך אופן טיפול מול החשכ"ל (אסמכתא 3193), במידה ורואים תשלומים ברכיב 549 במשרד האוצר (105) בריצות במקביל יש להתעלם מכך.
*עדכון מאפייני הרכיב תקף אך ורק לרכיבי מלמ
549,4262,4549, 616
שאר רכיבי המלמ המצויינים מאפייני הרכיב עדין לא אושרו</t>
  </si>
  <si>
    <t>ILGNR</t>
  </si>
  <si>
    <t>/ILPY/WT_GEN_VC</t>
  </si>
  <si>
    <t>סכום וכמות</t>
  </si>
  <si>
    <t>בשדה כמות יש לדווח את הדירוג המקביל לצורך חישוב השכר (שקלית, אחוזית)</t>
  </si>
  <si>
    <t xml:space="preserve">
המשכורת הכוללת שמשולמת ברכיב 564 היא רק לדירוג: חוזים מיוחדים (90),
כל משרד משתמש בדירוג הזה לסוג עובדים שונה, דוגמאות:
- עובדי הכנסת (102): יועצים פלמנטריים
- לשכת הקשר נתיב (186): מתנדבים
- אוצר (105): שני עובדים ישנים שהכניסו אותם לדירוג הזה (אין סיבה)
- משרד הקליטה (139): עובד אחד שתפקידו מנהל אגף יוצאי אתיופיה, השכלתו תואר שני 
- לשכה מרכזית לססטטיסטיקה (103): השכר הראשון במדינה שהוצע בזמנו לסוקרים 
- משרד לאיכות הסביבה (166): עובד אחד שמועסק בדירוג הזה ללא סיבה מיוחדת</t>
  </si>
  <si>
    <t xml:space="preserve">
סכום מדווח ע"פ החוזה שעליו חתם העובד</t>
  </si>
  <si>
    <t>המלצה: לסגור את הדירוג ושתהיה אחידות בין סוגי עובדים בין כל המשרדים</t>
  </si>
  <si>
    <t>סכום מדווח
דירוג 90 זכאי לרכיבים 5401,5402 (שקלית,אחוזית 2016). חישוב הסכום לרכיבים אלו מתבצע על פי הדירוג המוזן בשדה כמות.
בתהליך רכיבים האוטומטים מייצרים את הרכיבים 5401,5402 ועבור דירוג 90 מחושב ע"י מודול ZLGNR הפונה לטבלת ה GNR עם הדירוג שנמצא בשדה כמות.
האחוז מחושב מבסיס של רכיב 564-משכורת כוללת.
K:\SACH\ספירטק\General\users\לקוחות\חשב הכללי\פרוייקט שכר\מסמכי אפיון\חשכל - אפיון - רכיבי שכר\מסמכי דלוייט\מיילים תשובות דלוייט\דירוג 90
כדי להשתמש ברכיב שהוא כפוף לאחוז משרה לצורך רכיבי שכר שמתבססים על 564,  יש להשתמש ברכיב מעטפה 9036</t>
  </si>
  <si>
    <t>מאפייני רכיב לא עודכנו!
כדי להשתמש ברכיב שהוא כפוף לאחוז משרה יש להשתמש ברכיב מעטפה 9036</t>
  </si>
  <si>
    <t>בשדה כמות יש למדווח את הדירוג המקביל לצורך חישוב השכר (שקלית, אחוזית)</t>
  </si>
  <si>
    <t>כמות</t>
  </si>
  <si>
    <t>זכאות א
זכאות ב:
בכ"מ עמ"מ  (33) אשר הינם בעלי תואר שני או שלישי.
זכאות ב:
רוקחים (34) אשר הינם בעלי תואר שני או שלישי.</t>
  </si>
  <si>
    <t>חישוב לזכאות ב:
A*B
A=
לבעלי תואר שני = 6%
לבעלי תואר שלישי= 9%
B = שכר משולב (10002).
חישוב לזכאות ב:
A*B
A=
לבעלי תואר שני Msc=פרמטר 687A (7%)
 לבעלי תואר שלישי Phd =פרמטר 687B (9%)
B = שכר משולב (10002).</t>
  </si>
  <si>
    <t>BS_C001</t>
  </si>
  <si>
    <t>מדובר בסמל מלם 578
מאפייני הרכיב אושרו לרכיב 578 בלבד!
מדווח באופן ידני ע"י חשב השכר</t>
  </si>
  <si>
    <t>Schema</t>
  </si>
  <si>
    <t>T510K</t>
  </si>
  <si>
    <t>זכאות א':
זכאות מצטברת:
א. עובדים אשר משובצים בדירוג רופאים (31)  
ב. הינם בתפקיד של רופאים מומחים/רופאים/מתמחים/רופאים תחומיים, 
ג.מועסקים באחד מהמקצועות הבאים: פסיכיאטריה של הילד, כירורגיה כללית, רפואה גרעינית, פתולוגיה, הרדמה, רנטגן, כדיולוגיה, רופאי מינהל רפואי לרבות מנהלי בית חולים וסגניהם, גריאטריים שיקומיים, נפרולוגים ורופאים במחלקה פנימית אישפוזית או יחידה אישפוזית פנימית בבתי חולים, אונוקולוגים. 
רפואה דחופה לרבות רפואה דחופה בילדים נשים פנימי וכירורגיה שכל משרתם על פי התקן הינו בחדר מיון.
טיפול נמרץ כללי ונשמתי טיפול נמרץ ילדים לרבות טיפול נמרץ נשמתי.
 שיקום ורפואה פיזיקלית, ניאונטולוגיה לרבות פגים, המוטולוגיה אונקולוגית לרבות המטולוגיה אונקולוגית ילדים.
זכאות ב':
רופא וטרינר (32) אשר סיים את לימודיו בתחום התמחותו בקורס אקדמאי מוכר המקביל ברמתו ובהיקף לימודיו לקורס אקדמאי מוכר במשרד הבריאות בבריאות הציבור.</t>
  </si>
  <si>
    <t>זכאות א':
סכום קבוע בהתאם לתפקיד כל הרופאים למעט רופאים רנטגנאים:
א. מומחה לרבות מנהל, סכום קבוע מטבלת הפרמטרים, פרמטר 3103A 
ב. מתמחה/תחומי, סכום קבוע מטבלת הפרמטרים, פרמטר 3103B 
רופאים רנטגנאים:
א. מומחה לרבות מנהל, סכום קבוע מטבלת הפרמטרים, פרמטר 3103C 
ב. מתמחה/תחומי, סכום קבוע מטבלת הפרמטרים, פרמטר3103D
זכאות ב':
פרמטר 3103E</t>
  </si>
  <si>
    <t>ILGNR
סכום מטבלה</t>
  </si>
  <si>
    <t>/ILPY/V_GEN_VC
/ILPY/V_MM</t>
  </si>
  <si>
    <t>רכיב פוצל מרכיב 643:
זכאות א -643
זכאות ב - 243</t>
  </si>
  <si>
    <t>מדובר בסמל מלם 643
יש לשקול אם לפצל את סמל מלם 643 לשני רכיבים, רכיב אחד לזכאות א', ורכיב שני לזכאות ב'.
מאפייני הרכיב אושרו לרכיב 643 בלבד!</t>
  </si>
  <si>
    <t>קוד 1- מומחה בהתאם לתפקיד
קוד 2- מתמחה בהתאם לתפקיד
קוד 3- מומחה רנטגנאים
קוד 4- מתמחה רנטגנאים</t>
  </si>
  <si>
    <t>module ILGNR 
FEATURE ILGNR
סכום מטבלה (לכל קוד סכום שונה)</t>
  </si>
  <si>
    <t>/ILPY/V_MM
/ILPY/WT_GEN_VC
/ILPY/INFT_SEL
/ILPY/TF4_VALUES</t>
  </si>
  <si>
    <t>רכיב פוצל ל2:
זכאות א -643
זכאות ב - 243</t>
  </si>
  <si>
    <t>א.   
דירוג: מינהלי (1) ודירוג רשות הכבאות (202):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פסיכולוגים (16)+ ביקורת המדינה (18) + השירות המשפטי (21) + פרקליטים (22) + סנגורים ציבוריים (25) +עיתונאים (27), בכ"מ עמ"מ (33) +רוקחים (34) + מקצ"ט (62) + מפקחים ימיים בעלי תעודה של רב חובל בכיר או/מכונאי ראשי בכיר (61) +קלדניות שופטים (526) + עובדי שירות החוץ (9): אנשי דת מוסלמים (315)  ביצע 400 שעות לימוד שהוכרו על ידי הוועדה בהתאם לקריטריונים שנקבעו+ פנים חוזה שכר כולל (610) + פנים חוזר שכר כולל (110)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משרד לבטחון פנים (135)
קורס(320) 
מאבטח יהא זכאי לגמול השתלמות א+ב בתנאי שיעמוד בתנאים המזכים 
(קורס הכשרת לוחם +קורס השלמה ייעודי פ"ח) יזכה בגמול השתלמות א'  
ב.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 
 דירוג פארה רפואיים(47):
רק עובד שהיה זכאי לגמול השתלמות לפני ה 03/03/2022.</t>
  </si>
  <si>
    <t xml:space="preserve">
זכאות א' + זכאות ב'
- סכום אחיד לכל הדרגות, פרמטר 0001* חלקיות משרה (328.76 ₪) 
- לדירוג רוקחים (34) בלבד פרמטר 001A* חלקיות משרה (275.19 ₪)
- הנדסאים וטכנאים (13) שאינם בעלי נתונים מתאימים לקבלת תעודת רישום לפי תקנות רשות ההסמכה ונוהליה, מהנדסים לא אקדמאים (12), לפי 228.43 ₪ 
מפקחים ימיים בעלי השכלה תיכונית שאינם בעלי תעודות של רב חובל בכיר ו/או מכונאי ראשי יחושב ברכיב 647 לפי 328.76</t>
  </si>
  <si>
    <t>רכיב 647- לדירוגים לא אקדמאיים: דירוג מינהלי (1)+ קלדניות שופטים (526)+ אחיד (77)+ אקדמאי ישים (300)+מקצ"ט (62) +מפקחים ימיים (61)  + דירוג רשות הכבאות (202).
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
רכיב 654- לדירוג עו"ס (24)
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
רכיב 1957- רק לעובדי הוראה בתעשייה וברווחה
רכיב 1951- רק במשרד לביטחון פנים
רכיב 684- רק למשרד הבריאות (107) ורק לדירוגים פיזיוטרפיסטים (20),פארה רפואיים (47), פארה רפואיים שכר כולל (48), מרפאים בעיסוק (49)</t>
  </si>
  <si>
    <t>IV Module INMGR:
1. ILGNR (21)</t>
  </si>
  <si>
    <t>חושב כמו רכיב 647</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</si>
  <si>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אך ורק לרכיבי מלמ
647,654,667,684,4268
שאר רכיבי המלמ המצויינים מאפייני הרכיב עדין לא אושרו
עדכון מאפייני הרכיב תקף אך ורק לרכיבי מלמ
1098,1119,1200,4304
שאר רכיבי המלמ המצויינים מאפייני הרכיב עדין לא אושרו
לגבי דירוגים 110 ו610 על פי חמוטל מהממונה על השכר האסמכתא שלהם היא 3350
לפי העדכון מ07/2023 הסכום שמשולם בדירוג 588 לא מעודכן ישנה אסמכתא משלומי בעניין (3389)</t>
  </si>
  <si>
    <t>פרמטר*חלקיות משרה*חלקיות חודש</t>
  </si>
  <si>
    <t>/ILPY/V_MM
V_T510K</t>
  </si>
  <si>
    <t>ע" אפיון יוניק מאילנה במייל
K:\SACH\ספירטק\General\users\לקוחות\חשב הכללי\פרוייקט שכר\יישום\יישום - רכיבי שכר\ישום משרדי פיילוט</t>
  </si>
  <si>
    <t>יוניק</t>
  </si>
  <si>
    <t>דירוג 33</t>
  </si>
  <si>
    <t>Module INMGR: ILGNR</t>
  </si>
  <si>
    <t>/ILPY/WT_GEN_VC
/ILPY/V_MM</t>
  </si>
  <si>
    <t>ממתין לתשובות מBDO לגבי שאלה באפיון על דיווח בסוג מידע 0014 למרות שהתהליך אוטומטי</t>
  </si>
  <si>
    <t>BDO</t>
  </si>
  <si>
    <t>סכום לתשלום</t>
  </si>
  <si>
    <t>ע"פ דיווח
דירוגים לא זכאים:
סמל דירוג	שם דירוג
5	חוזה-בכירים
10	איכות הסביבה
14	כלכל. נבחרים
15	יוע. משפטיים
23	חוזים אישיים
32	רופאים וטרינ
40	מילג'-בריאות
45	ראש עיר/סגן
48	פארה-רפואיים
57	חוזה אישי
59	מנכ"ל חדש
64	לשכות שר ומנכ"ל
87	עובדים חיוניים
110	שכר כולל-פנים
122	מנהל תעופ אזרחי
148	שכר כולל-מנמ"ש
164	שכר כולל-מומחים
167	יחידת היעדים
187	שכ.כולל-משפטנים
203	בכיר. רש.הכבאות
210	סיירת ירוקה
211	פקחים-נצ.המים
264	שכר כולל-נהג שר
287	שכר כולל-צוערים
321	מפקח מחוז ופדג'
322	מפקח מחוז ופדג'
323	תפקיד פדג' במטה
324	תפקיד פדג' במטה
325	מנהל תחום דעת
326	מנהל תחום דעת
327	מנהל מח.ואגף פד
328	מנהל מח.ואגף פד
343	חוקרי ממ"ד
382	המטה הקיברנטי
384	מאבטחי נציגויות
387	שכ.כולל-מאבטחים
491	אב בי"ד לגיור
492	אב בי"ד לגיור
493	חבר בי"ד לגיור
494	חבר בי"ד לגיור
496	אב בי"ד לגיור
497	חבר בי"ד לגיור
517	עוזרים ויועצים
522	המטה לבטח.לאומי
551	כלכלנים נבחרים
552	איכות הסביבה
553	שכר כולל-פנים
554	שכר כולל-צוערים
555	שכר כולל-מומחים
558	חוזה אישי - ב"ל
568	סגל בכיר מוביל
569	ס.בכיר לא מוביל</t>
  </si>
  <si>
    <t xml:space="preserve">
משרד העבודה והרווחה (118, 195): עובדים בתפקידים: רכז מינהל וזכאות בלשכות הממשלתיות,  או עובדי המחלקה לארגון ומנהל בתפקידים: הממונה, סגן הממונה, רכז בכיר, רכז,מפקח מרכז מחוזי ומפקח מחוזי  
משרד הבריאות (107) עובדי זכאות בשיקום ורשויות מקומיות ע"פ סווג משרות מוגדר (מנוהל ע"י רשימת משרות מאושרות, לבדוק מול החשב של משרד הבריאות)
משרד האוצר (105) עובדים בדירוג עו"ס - דרוג 24 העובדים בלשכה לשיקום נכים   
בתי דין רבניים עובדים בדירוג עו"ס- דרוג 24</t>
  </si>
  <si>
    <t xml:space="preserve">
A * B
A = שכר יסוד + תוספת ותק (שכר משולב במלם 10002) 
B = פרמטר קבוע בטבלה 0084</t>
  </si>
  <si>
    <t>IV Module INMGR:
1. ILGNR-N (21)
2. PRZNT-J</t>
  </si>
  <si>
    <t>מיפוי מאפייני הרכיב תקפים לרכיב מלמ 697 בלבד</t>
  </si>
  <si>
    <t>זכאות מצטברת: 1) בדירוג מינהלי (1) דרגה 17 לפחות, והמקביל לו בדירוגים המקצועיים מח"ר (11), הנדסאים (13), מהנדסים (12)- דרגה 37 לפחות 2) העובד ממלא אחר תפקידים מסוימים (מצוין בהערות) 3) העובד זכאי לתוספת בוררות מיסים (סמל 741/WT1012) בשיעור המלא 30% (קבוצה א)  * עובדים במשרדים הבאים: משרד האוצר (105), נציבות מס הכנסה (146), מכס ומע"מ (170)</t>
  </si>
  <si>
    <t xml:space="preserve">
תוספת שקלית-
סכום קבוע בהתאם לפרמטר 0016</t>
  </si>
  <si>
    <t>התפקידים:
בנציבות מס הכנסה (146):
מפקח מס הכנסה, מפקח מס הכנסה בכיר, ממונה, מנהל תחום, סגן פקיד שומה, פקיד שומה, מעריך, מרכז, שמאי מחוזי, סגן ממונה, ממונה, גובה ראשי, סגן נציב מס הכנסה, תפקידים מקבילים כגון כלכלן
במכס ומע"מ (170):
מבקר חשבונות, מבקר חשבונות בכיר, ממונה, סגן ממונה, גובה ראשי, מרכז, מעריך, מעריך בכיר, ממונה, מנהל תחום, סגן מנהל בית מכס, מנהל בית מכס, סגן מנהל המכס, תפקידים מקבילים כמו כלכלן ומפקח ארצי</t>
  </si>
  <si>
    <t>ע"פ תשובת החשב איתן תבריזי הסמל 705 (מלם) הינו מדווח ידנית ובתנאי גם שיש לעובד דיווח של סמל 741 (מלם)
וכן התוספת ממשיכה אוטומטית לעובד המועבר לתפקיד אחר</t>
  </si>
  <si>
    <t>-</t>
  </si>
  <si>
    <t>קוד01 - רמה א'- מפקח ימי 
קוד 02 - רמה ב'-מפקח ראשי וראש ענף</t>
  </si>
  <si>
    <t>מפקחים ימיים (61) במשרד התחבורה (122)
התוספת משולמת לעובד שמלאו לו 20 שנות וותק, 
העובד מקבל החל משנת הוותק ה-21 תוספת שהייה, המשולמת בהתאם לתפקידו.
רמה א' לעובד בתפקיד מפקח ימי, ורמה ב' לעובד בתפקיד מפקח ראשי וראש ענף.</t>
  </si>
  <si>
    <t>רמה א'- מפקח ימי : פרמטר 858
רמה ב'-מפקח ראשי וראש ענף : פרמטר 859</t>
  </si>
  <si>
    <t>רמה א'- מפקח ימי: 100.97*1.021= 103.10 
רמה ב'-מפקח ראשי וראש ענף: 108.16*1.021= 110.43
הכפלת התעריפים המצויינים באסמכתא 1389 בתוספת יוקר של 2.1% שניתנה בשנת 2006, כמצוין באסמכתא 1391.</t>
  </si>
  <si>
    <t>מדובר בסמל מלם 717
מאפייני הרכיב אושרו עבור רכיב מלמ 717 בלבד!</t>
  </si>
  <si>
    <t>עובדי משרד הבריאות (משרד 107) אשר בדירוג רופאים (דירוג 31) ורופאים וטרינרים ( דירוג 32) ואשר הינם במעמד מתמחה.
תוספת מתמחה משולמת לדירוג רופאים (דירוג 31) למתמחים אשר מועסקים משרה מלאה בלבד ואשר הינם עד דרגה 3+
לדירוג רופאים וטרינרים (דירוג 32) התוספת משולמת גם למתמחים המועסקים בחלקיות משרה.</t>
  </si>
  <si>
    <t>A*B
A=שכר משולב (10002)
B=10%</t>
  </si>
  <si>
    <t>INMGR:
ILGNR-N - לפי דרוג ודרגות זכאיות 
PRZNT-J</t>
  </si>
  <si>
    <t>/ILPY/WT_GEN_VC
V_T539J
/ILPY/V_MM</t>
  </si>
  <si>
    <t>(מדובר בסמל מלם 727)
פירוט הדרגות:
דרגת הרופא
3-2+ (מתמחים)
6-4+ (מומחים ומתמחים)
7-7+ (מומחים ומתמחים)
9-8+ (מומחים ומתחים)
רופאים וטרינרים שאינם מומחים ואינם מתמחים (ללא קשר לדרגתם)
מאפייני רכיב 727 אושרו.</t>
  </si>
  <si>
    <t>קודים לדיווח:
קוד 01 - 5%
קוד 02- 9.5%</t>
  </si>
  <si>
    <t>זכאות מצטברת א'-תריץ ענפי:
א. דירוג סוציאליים (24).
ב. מועסקים באחד מהמקומות הבאים:
*במחלקות ולשכות לשירותים החברתיים וקציני מבחן, למעט אלו שזכאים לתמריצים לעובדים בעירות פיתוח. 
*בתי חולים והתחנות לבריאות הנפש.
זכאות מצטברת ב' -מסלול נמרץ ב:
א. דירוג עובדים סוציאליים (24) 
ב. עובדים ש-50% לפחות משעות עבודתם מוקדשות לטיפול ישיר בפונים, והתחייבו לשלוש שנות עבודה בטיפול ישיר בנוסף לשנתיים של התחייבות לפי זיכרון הדברים מיום 22.2.1981 (ובסה"כ חמש שנים) יהיה זכאים משנת העבודה השניה לתוספת של 9.5%.
ג. מועסקים באחד מהמקומות הבאים:
*מועסקים במחלקות  לשירותים חברתיים.
*מועסקים במערכת הבריאות (משרד הבריאות -107)
*מועסקים במינהל לחינוך התיישבותי ועליית הנוער (משרד 145)
*מועסקים באגף לטיפול במפגר וחסות הנוער במשרד הרווחה (משרד 118)</t>
  </si>
  <si>
    <t>חישוב א':
A * B 
A = שכר משולב.
B = פרמטר 697  (5%)
חישוב ב':
A * B 
A = שכר משולב.
B = פרמטר 697A  (9.5%)</t>
  </si>
  <si>
    <t>ILGNR-N (21), PRZNT-J</t>
  </si>
  <si>
    <t>/ILPY/WT_GEN_VC
קוד בטבלה- /ilpy/tf4_values</t>
  </si>
  <si>
    <t>* תוספת זו מחליפה את תוספת בית החולים ולכן תוספת בית החולים תבוטל לדירוג 24 מתאריך 1.6.1988.
(מדובר בסמל מלם 730)
הסבר על השתלשלות התוספת:
תמריץ ענפי:
•	סעיף 8 להסכם הקיבוצי מיום 1.7.1983 קובע כי תשולם תוספת של 5% מהשכר המשולב לעובדי המחלקות לשירותים חברתיים ולקציני מבחן
(למעט לאלו הזכאים לתמריצים לעובדים בערי פיתוח).
•	סעיף 7 להסכם הקיבוצי מיום 16.2.1989 מרחיב את התוספת על עובדי בתי החולים והתחנות לבריאות הנפש
•	(סעיף 8 לועדת המעקב מיום 7.12.1993 מרחיב את התוספת גם על עו"סים במוסד לביטוח לאומי)
מסלול נמרץ ב:
•	ההסכם הקיבוצי מיום 22.1.1979 חל על כל המעסיקים החתומים, וקובע שעובד ש-50% לפחות משעות עבודתו מוקדשות לטיפול ישיר בפונים, 
והתחייב בכתב לעבוד בטיפול ישיר במשך שלוש שנים רצופות לפחות (או שהשלים שש שנות עבודה בעבודה סוציאלית, בלי התחייבות), ייקודם בשתי שנות ותק ויהיה זכאי לכל התשלומים הצמודים לשנת הותק. 
בהמשך, בזיכרון דברים מיום 22.2.1981, קוצרה ההתחייבות של העובדים הסוציאליים אצל המעסיקים כאמור, משלוש שנים לשנתיים, ומשש שנים לחמש שנים בלי התחייבות.
דבר זה נקרא "מסלול נמרץ א".
•	סעיף ז להסכם הקיבוצי מיום 14.3.1988 מחיל על עובדי המחלקות לשירותים חברתיים את "מסלול נמרץ ב",
שאומר שעובד שהתחייב לשלוש שנות עבודה בטיפול ישיר בנוסף לשנתיים של התחייבות לפי זיכרון הדברים מיום 22.2.1981 (ובסה"כ חמש שנים), יהיה זכאי לגמול ולקידום בוותק כדלקמן:
1. משנת העבודה השניה - הגדלה של התמריץ הענפי לעובדים המחלקות מ-5% ל-9.5%  
2. משנת העבודה השלישית, קידום של שתי שנות ותק נוספות
•	סעיף 7 לועדת המעקב מיום 7.12.1993 מרחיב את "מסלול נמרץ ב" גם על עובדי מערכת הבריאות 
•	ההסכם הקיבוצי מיום 1.11.2009 מרחיב את "מסלול נמרץ ב" גם על הקבוצות הבאות בשירות המדינה: 1. עובדי המנהל לחינוך התיישבותי  2. האגף לטיפול במפגר וחסות הנוער.</t>
  </si>
  <si>
    <t>עובדי משרד הבריאות, לשכות, מעבדות ומכונים.
בדירוגים הבאים: מנהלי (1), טכנאי רנטגן מעשי (7), רנטגנאים (8), מח"ר (11), מהנדסים (12), טכנאים (13), פסיכולוגים (16), פיזיותרפיסטים (20), עובדים סוציאליים (24), פארה רפואיים (47), מרפאים בעיסוק (49) המועסקים בתפקיד מנהל ומשק.</t>
  </si>
  <si>
    <t>A*B
A=סכום קבוע בסך של 437.73 ₪.
B=חלקיות משרה</t>
  </si>
  <si>
    <t>Module INMGR:const</t>
  </si>
  <si>
    <t>התוספת אינה משולמת לעובדי שירותי אספקה במשרד הבריאות, או לעובדים המועסקים ביחידות שהוכרו לצורכי שכר כבתי חולים.
התוספת משולמת גם לעובדי אזור יהודה ושומרון ואזור חבל עזה.
מאפייני הרכיב אושרו לרכיב 736 בלבד</t>
  </si>
  <si>
    <t>דיווח רכיב</t>
  </si>
  <si>
    <t>* עבודה עם חומרים מסוכנים * שייך לאחד המשרדים הבאים: בריאות (107), המדפיס הממשלתי (148), המרכז למיפוי ישראל (172), מנהל מחקר חקלאית (180).</t>
  </si>
  <si>
    <t xml:space="preserve">
סכום קבוע בטבלת פרמטרים 0056</t>
  </si>
  <si>
    <t>IV Module INMGR:
ILGNR</t>
  </si>
  <si>
    <t>/ilpy/wt_gen_vc</t>
  </si>
  <si>
    <t>רשימת תפקידים סגורה המזכה בתוספת סיכון
מדובר על רכיב 739 במלם
מאפייני רכיב 739 אושרו.</t>
  </si>
  <si>
    <t>זכאות א':
1) עובדים באחד מהמשרדים הבאים: נציבות מס הכנסה (146), מכס ומע"מ (170) 
2) בעלי תפקידים מסוימים המחולקים לקבוצה א ולקבוצה ב (המצויינים בהערות)
3) בדירוגים: מינהלי (1), מח"ר (11), הנדסאים (13), מהנדסים (12)
זכאות ב':
 במשרד 122 ישנם 2 עובדים שמאושרים כחריגים וזכאים לקבלת התוספת אסמכתאות (3345,3346)
במשרד 194 הרשות לשוק ההון עובד אחד שמאושר כחריג.
במשרד 187 המשרד לשרותי דת עובד אחד שמאושר כחריג
במשרד 119 רשות האוכלוסין וההגירה 2 עובדים שמאושרים כחריגים</t>
  </si>
  <si>
    <t xml:space="preserve">
A * B
A - אחוז מדווח בהתאם לתפקיד המבוצע. הערכים:
לקבוצה א- 30% 
לקבוצה ב- 12%
B - בסיס הרכיב מורכב מסכום הרכיבים הבאים: שכר יסוד משולב (10002) + גמול השתלמות א' (667) + גמול השתלמות ב' (897) + תוספת שטחים (1657,907,853) + תוספת מקצועית מיסים (705) + תוספת שכר הסכם 99 (רכיב 4624)</t>
  </si>
  <si>
    <t>בנציבות מס הכנסה:
קבוצה א'-
משנה לנציב מס הכנסה, סגן נציב מקצועי, סגן נציב חקירות, סגן נציב לגבייה ובקרה, סגן נציב תפעול ופיקוח שומות, סגן נציב לכלכלה ומודיעין, סגן נציב מס רכוש, פקיד שומה, מפקח ארצי: חקלאות/ דרום ומרכז/ צפון מיעוטים/ ישום ניהול ספרים, מנהל מס עיזבון, אח' חקירות (חיפה וצפון ירושלים ודרום), מפקח ארצי פיצויים ופטורים, סגן פקיד שומה, מנהל מחלקת גבייה/ ניכווים ומלוות/ תפעול ופיקוח שומות/ מודיעין/ ביקורות/ שומת מקרקעין, מנהל המוקד הארצי, עוזר מקצועי ראשי/ ניכויים/ מס רכוש ושבח/ עצמאיים/ שכירים/ ציוד ומלאי/ חשבונות וגבייה/ ביקורת (מפקח מס הכנסה), רכז+ סגן מודיעין ארצי, רכז צוות ביקורת/ ניכויים/ פיקוח שומות, סגן מנהל מנהל מחלקת מודיעין (רכז חולייה), רכז חוליית מודיעין/ ביקורת חשבונות/ חקירות הנציבות, מפקח ראשי רכז צוות פשמ"ג, רכז חוליית עצמאיים/ חברות/ מידגם/ ניכויים, רכז צוות ניכויים/ ביקורת, ממונה לשכת ביקורת ב', אחראי חוליית ניכויים, רכז חוליית שומה חקלאית פת"ג ומקרקעין, אחראי לשומות שכירים, מפקח מס הכנסה ראשי, בוחן ובודק פת"ג, מפקח מס הכנסה, אחראי ריכוז ידע, מפקח ראשי, ממונה איזורי מס רכוש, עוזר ראשי מס רכוש, שמאי, סגן שמאי, אחראי מדור שכירים, גובה ראשי, ממונה על ההוצאה לפועל איזור הצפון, אחראי לגבייה אזור הצפון, חוקר ראשי מודיעין, חוקר ראשי, אחראי חוליית ניכויים
קבוצה ב'-
מבקר חוץ- שומה/ חקלאות/ ניהול ספרים, אחראי על ביקורת חוץ, מעריך שכירים, מעריך שכירים א, מעריך מס רכוש, עוזר לגבייה ניכויים ומע"מ, עוזר לגבייה אחראי ביקורת קופות, עוזר לגבייה, עוזר לחשבונות, חוקר, מבקר פנים בניכויים, עוזר למפקח מבקר, עוזר ראשי לענייני תפעול שומה, אחראי על מבקרי פנים, רכז חוליית גביית נדלן ופת"ג
במכס ומע"מ:
קבוצה א'-
סגן מנהל המכס- חקירות/ מע"מ/ בלו/ ביצוע, סגן ראשון הערכה וסיווג, גובה המכס, גובה המכס אחראי משטרה תחנות, ממונה אזורי מס קנייה ומעמ/ מעמ/ חקו"פ/ מנהל חקו"פ/ מנהל ארצי ביקורת חשבונות/ מתאם הערכה ארצי/ מתאם חקירות ופיקוח ארצי/ ממונה יח' הערכה ארצית/ סיווג ארצי, סגן גובה המכס, סגן ממונה אזורי, מפקח ארצי, מנהל תחנת מכס, מבקר חשבונות, רכז חולייה בכיר, רכז חולייה ביקורת חשבונות, מעריך ראשי, סגן מעריך ראשי, סגן ממונה מעריך ראשי, מעריך, ממונה אזורי חקו"...</t>
  </si>
  <si>
    <t>IV Module INMGR:
 PRZNT-J</t>
  </si>
  <si>
    <t>BS_0741</t>
  </si>
  <si>
    <t>מאפייני הרכיב הם לרכיב מלם 741 
ע"פ תשובת החשב איתן תבריזי הסמל 741 (מלם) הינו מדווח ידנית
במשרד 122 ישנם 2 עובדים שמאושרים כחריגים וזכאים לקבלת התוספת אסמכתאות (3345,3346)
מאפייני רכיב 741 אושרו</t>
  </si>
  <si>
    <t xml:space="preserve">
1) משפטן המדורג באחד מהדירוגים: השירות המשפטי (21), פרקליטים (22)
2) מופיע בפני ערכאות שיפוטיות, בממוצע פעמיים בשבוע</t>
  </si>
  <si>
    <t xml:space="preserve">
10% * (שכר משולב (10002) + תוספת משפטנים (1565))</t>
  </si>
  <si>
    <t>נוהל אישור תשלום תוספת הופעה:
1. הסמכות לאשר תוספת הופעה 10% היא בידי נציבות שירות המדינה
2. אחראי במשרד בו מועסק משפטן הזכאי לקבל תוספת זו יפנה בכתב לנציבות שירות המדינה ויפרט בפנייתו את תאריכי הופעותיו (בפירוט יומי) של אותו משפטן בפני ערכאות שיפוטיות במשך שלושת החודשים מהתחלת הופעותיו, כשהן מאושרות על ידי הממונה הישיר של המשפן ועל ידי האחראי 
3. נציבות שירות המדינה תאשר את שיעור התוספת, לאחר שתבדוק ותאמת את פניית המשרד
4. האישור יהיה בתוקף כל עוד מכהן המשפטן בתפקידו הנוכחי ותדירות הופעותיו הממוצעות בפני ערכאות שיפוטיות במשך שלושה חודשים היא כפי שצוין בפניית האחראי 
4. חדל עובד לכהן בתפקידו הנוכחי ו/ או להופיע בפני ערכאות שיפוטיות בתדירות כמצוין, או הקטין את תדירות הופעותיו, יורה האחראי להפסיק לשלם לו את התוספת האמורה או יורה להקטין את שיעור התוספת וידווח על כך לנציבות שירות המדינה</t>
  </si>
  <si>
    <t>SUMME-J</t>
  </si>
  <si>
    <t>/ILPY/V_MM                               V_T539J</t>
  </si>
  <si>
    <t>מאפייני רכיב 751 אושרו</t>
  </si>
  <si>
    <t xml:space="preserve">
עובד באחד מהדירוגים הבאים:  השירות המשפטי (21), פרקליטים (22) וסנגורים ציבוריים (25) אשר מתקיים בו אחד מהתנאים הבאים: 
א. הינו פרקליט המועסק במשרד המשפטים (116) פרקליטות המדינה או בפרקליטות מחוז אשר כל עיסוקו הוא הופעות בפני ערכאות שיפוטיות והכנה לאותן הופעות, ואושר לו התשלום על ידי האחראי.
ב. הינו : א. משפטן. ב. מתפקד ביחידה המוגדרת בתקן המאושר של המשרד הנוגע בדבר, כיחידת תביעות
ג. כל עיסוקו באופן רצוף, מתמיד וקבוע הוא הופעות בפני ערכאות והכנה לאותן הופעות. (שלושת התנאים במצטבר), ואושר לו התשלום על ידי האחראי.
ד. מועסק במשרות בעלות אופי שיפוטי כגון: רשמים בבתי משפט ובבתי הדין לעבודה ומפקחים על רישום מקרקעין, ומדורג בדירוג השירות המשפטי (21), כל עוד הם מכהן בתפקידו.
ה. משפטנים ביחידת הממונה הראשי על יחסי עבודה במשרד התעשיה, המסחר והתעסוקה אשר מונו לתפקידם לפי סעיף 1 לחוק יישוב סכסוכי עבודה.
ו. משפטן אשר איננו נמנה על היחידות המפורטות בסעיפים א' וב' לעיל, המופיע בפני ערכאות שיפוטיות בממוצע 4-3 פעמים בשבוע, שכל עבודתו שלובה וכרוכה בהופעות בפני ערכאות שיפוטיות.</t>
  </si>
  <si>
    <t xml:space="preserve">
A*B
A=שכר משולב (10002)+תוספת משפטנים (1565)
B=20% 
במידה ודווח אחוז יש לקחת את האחוז המדווח</t>
  </si>
  <si>
    <t>BS_0752</t>
  </si>
  <si>
    <t>9752,
9753</t>
  </si>
  <si>
    <t>אופן היישום לא תואם את המימוש</t>
  </si>
  <si>
    <t>דירוג "משפטנים שכר כולל (987)" אינם זכאים לרכיב זה ע"פ מרב ממשרד המשפטים כי במרתון עלה הנושא שהם כן זכאים
מאפייני הרכיב אושרו לרכיב מלמ 752 בלבד!</t>
  </si>
  <si>
    <t>אוטומטי/מדווח</t>
  </si>
  <si>
    <t>זכאות א: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
באזור עובדים 8093 (בית הנשיא) - גם דירוג 21 זכאים
דירוגים הזכאים במשרד 180 אזור עובדים 1156:
43,01,12,13,11</t>
  </si>
  <si>
    <t>חישוב תוספת קבוצה א:
A * B
A = בסיס התוספת = שכר יסוד + תוספת ותק + השלמת משולב 99
באזור עובדים 8093 יש להוסיף לבסיס החישוב רכיבים 1989,4233.
באזור עובדים 400 יש להוסיף לבסיס גם את רכיב 1358.
B = בהתאם לתפקיד והמשרד כדלקמן: 
דירוג 43 במשרד החקלאות– 3.31%
שאר הדירוגים – 15% 
אזור עובדים 8093 -מוזן ידנית 54% 
עבור מכס ומעמ אזורי עובדים 570 - זכאות לפי דיווח ידני - 8%
אם מדווח אחרת, יקבלו לפי הדיווח</t>
  </si>
  <si>
    <t>INMGR:
SUMME-B
SUMME-J
PRZNT-J
ILGNR -N
פיצר IL014</t>
  </si>
  <si>
    <t>הוקם רכיב בסיס (9H60) עבור תוספת 4624.
הוקם רכיב בסיס (9460) לשכר משולב ובסיס קודם (9H60)</t>
  </si>
  <si>
    <t>/ILPY/V_MM
V_T539J
כל הטבלאות של האוטומטים</t>
  </si>
  <si>
    <t>9H60
9460
9200</t>
  </si>
  <si>
    <t>אחוז זכאות</t>
  </si>
  <si>
    <t>1060
1093</t>
  </si>
  <si>
    <t xml:space="preserve">
א. עובד המדורג בדירוג "עובדי מחקר (43)" שלא במערכת הביטחון
ב. עובדים במשרד החלקאות ב: יחידות התחנה לחקר הסחף ולשכת המדען הראשי
ג. משכורתו מחושבת ע"פ הסכמים קיבוציים</t>
  </si>
  <si>
    <t xml:space="preserve">
3.31% משכר יסוד משולב + שכר קידום (743) + תפקיד מחקר (978) + תוספת 2010 (5240)</t>
  </si>
  <si>
    <t>- 	גמלאי לשכת המדען הראשי: 5875380.
- עובד לשכת המדען הראשי: 495630.
- גמלאי התחנה לחקר הסחף: 7417488, 7793128, 306706052.
- עובדי התחנה לחקר הסחף: 50080704, 22069157, 27349554, 23917446.</t>
  </si>
  <si>
    <t>תוספת נהג מלווה</t>
  </si>
  <si>
    <t>בלתי קבוע</t>
  </si>
  <si>
    <t>נוכחות</t>
  </si>
  <si>
    <t xml:space="preserve">
תוספת שקלית לנהגי שרים, סגני שרים ומנכ"לים המלווים אורחים מחו"ל
נהג הנמצא בשירותו של שר או מנכ"ל מעל 10 שנים והשר או המנכ"ל יאשרו בכתב כי בנוסף לתפקידו הרגיל ממלא הנהג גם תפקיד של ליווי אורחים מחו"ל, יקבל תוספת שקלית מיוחדת</t>
  </si>
  <si>
    <t xml:space="preserve">
תוספת שקלית בסך של 23.57 ₪.</t>
  </si>
  <si>
    <t>Module INMGR: CONST</t>
  </si>
  <si>
    <t>/ILPY/V_MM                   V_T510K</t>
  </si>
  <si>
    <t>ממתין לתשובה מדלויט לגבי המאפיינים.</t>
  </si>
  <si>
    <t>מדובר בסמל מלם 768
הבדיקה לא כוללת את משרד 135</t>
  </si>
  <si>
    <t>2010/נוכחות</t>
  </si>
  <si>
    <t>לוחמי אש בדירוג 002 ,</t>
  </si>
  <si>
    <t>מדווח ע"י קובץ שמגיע מנוכחות לביא של הכבאות
כמות - מספר הפעמים שהעובד זכאי 
החישוב - כמות (מספר הפעמים שהעובד זכאי)*2.84 ש"ח
מוגבל ל 33 פעמים</t>
  </si>
  <si>
    <t>כמות מדווחות ע"י קובץ שמעלים לרכיב,ומעדכן את הכמות לכל העובדים על ידי חשב .</t>
  </si>
  <si>
    <t>נהיגה ברכב כבד 2.84 עבור כל יום</t>
  </si>
  <si>
    <t>VALBS-K</t>
  </si>
  <si>
    <t>T_510J</t>
  </si>
  <si>
    <t>זכאות א:
עובדים סוציאליים (24).</t>
  </si>
  <si>
    <t>חישוב א (עובדים סוציאליים):
סכום שקלי- פרמטר 693 (248.43 ₪)</t>
  </si>
  <si>
    <t>Module INMGR: CONST,
דירוג 24- סכום שקלי</t>
  </si>
  <si>
    <t>/ILPY/V_MM                     V_T510K                        V_T539A</t>
  </si>
  <si>
    <t>מדובר בסמל מלם 794
מאפייני הרכיב אושרו לרכיב מלמ 794 בלבד!</t>
  </si>
  <si>
    <t>עובד שמקום עבודתו הקבוע ובסיסו בנגב
תשולם לראשונה למפרע לאחר שמילא חודשיים עבודה רצופים בנגב. לאחר מכן, תשלום שוטף.
עובד ארעי-  1) עובד 6 ימים בשבוע= זכאי ל25% מהתוספת 2) עובד 5 ימים בשבוע= זכאי ל 28.83% מהתוספת</t>
  </si>
  <si>
    <t>עובד שמשולמת לו 1699 - יש לקחת את 805 בחישוב לערך שעה.
﻿עובד שלא משולם לו 1699 - תוספת ערבה היא לא לערך שעה.
סכום קבוע בהתאם לפרמטר 0039 (מחולק לתאריכים)</t>
  </si>
  <si>
    <t>"הנגב" - השטח במדינת ישראל הנמצא דרומית לקואורדינטת הרוחב 30, העוברת כ 5- ק"מ מדרום לשדה בוקר.
התוספת תחושב למשכורת קובעת רק אם העובד קיבל תוספת זו במשך 3 שנים רצופים</t>
  </si>
  <si>
    <t>GNRL</t>
  </si>
  <si>
    <t>587 אקדמאים מקביל לדירוג מח"ר (11)
ע"פ פנינה החשבת של נציבות מס הכנסה (146): מושלמת מתוקף הוראה בתקשיר לעובדים אשר מקום עבודתם בנגב, התשלום נעשה על סמך אישור ממח' משאבי אנוש. אצלנו תוספת זו משולמת רק לעובדים שעובדים וגרים באילת.
מאפייני הרכיב תקפים לרכיב מלם 805</t>
  </si>
  <si>
    <t xml:space="preserve">
עובדים שעובדים בדירוג "עובדי מחקר (43)" זכאי לתוספת מיוחדת באחוזים ממשכורתו</t>
  </si>
  <si>
    <t>החל מה 01.01.2023
לאחוז של 28.80 %
ולאחוז של 43.50 %
בדרגות ב ומעלה: 42.8%
בדרגות ה עד ג: 27.8%
האחוז בהתאם לדרגה (42.8%/27.8%), מתוך:
השכר המשולב (10002) + תוספת השוואה 2010 (5240) + שכר קידום (743)</t>
  </si>
  <si>
    <t>module INMGR:                                                                     ILGNR - N
אחוז מטבלה (לכל דרגה אחוז שונה)                                                   PRZNT - J</t>
  </si>
  <si>
    <t>9H50
9450
9200</t>
  </si>
  <si>
    <t>יש ליישם רכיב 743 - ממתין לתשובות מדלויט
יש להוסיף את רכיב 743 לבסיס שהוקם 9H50
אחרי יישום 0743</t>
  </si>
  <si>
    <t>מאפייני רכיב 807 אושרו</t>
  </si>
  <si>
    <t>זכאות מצטברת: 
משרדים: כולם 
דרוגים: מינהלי (1), לשכות שר ומנכ"ל חוזה שכר כולל (64), נהג שר ומנכ"ל חוזה שכר כולל חדש (764), נהג שר ומנכ"ל חוזה שכר כולל (264). 
עובד אשר נמצא בוותק של מעל 3 שנים בתפקיד ונושא נשק במסגרת התפקיד בלבד.
 במידה והעובד נמצא בחופשה ללא תשלום והוותק לא מחושב העובד יקבל את התוספת עד שבתלוש המשכורת שלו נמצא וותק של מעל 36 חודשים.
במקרה שעובד עזב את שירות המדינה וחזר וכל עוד זה בתקופה סבירה לעיתים ניתן לשמור על רצף השירות וזה תלוי במשרד ובאישור של נציבות שירות המדינה.</t>
  </si>
  <si>
    <t xml:space="preserve">
משתנה קבוע 0041D * חלקיות</t>
  </si>
  <si>
    <t>בוותק של מעל שלוש שנים משולמת התוספת בסמל 809 (WT1193) הנכלל בשכר הפנסיוני. לפני קבלת הוותק התוספת משולמת ברכיב מלם 841 (WT1192)</t>
  </si>
  <si>
    <t>מאפייני הרכיב אושרו לרכיב 809 בלבד
משרד 104 דירוג 11 לא זכאי מצ"ב אישור של שלומי אסמכתא (3348)</t>
  </si>
  <si>
    <t>:זכאות עו"ה שהוסמכו לרובד חינוכי כלשהו בחינוך פורמאלי בארץ שקיבלו יחדות גמול</t>
  </si>
  <si>
    <t>INMGR
PRZNT J</t>
  </si>
  <si>
    <t>./ILPY/V_MM         
   V_T539J</t>
  </si>
  <si>
    <t>ביוניק 39</t>
  </si>
  <si>
    <t>IT0014 - 0851</t>
  </si>
  <si>
    <t>תוספת אחוזית לדירוג עובדי הוראה בגין תעודת הוראה/כפל תואר דירוג: 41/801/802/240.</t>
  </si>
  <si>
    <t>INMGR
ILGNR(2)
PRZNT J</t>
  </si>
  <si>
    <t>./ILPY/V_MM   
/ILPY/WT_GEN_VC      
V_T539J</t>
  </si>
  <si>
    <t>אם קיים דיווח לרכיב הזה צריל לנטרל את רכיב 4266 - שלא יקבל גם אותו</t>
  </si>
  <si>
    <t>זכאות מצטברת:
א. עובד במשרד החקלאות (111)
ב. עובד ביחידת הפיצו"ח 
ג. משובץ באחד מהדירוגים הבאים: חוזה מיוחד (90), עובדים חיונים אקדמאים שכר כולל(87), יחידת הפיצו"ח (567), עובדים חיוניים אקדמאים ש.כ.חדש (587)
יחידת הפיצו"ח (290)</t>
  </si>
  <si>
    <t xml:space="preserve">
 סכום קבוע בסך של: 900 ₪ *חלקיות משרה</t>
  </si>
  <si>
    <t>(מדובר בסמל מלם 852)
מאפייני רכיב 852 אושרו.</t>
  </si>
  <si>
    <t>דירוג 41 
עבור משרדים 110, 145 ו-314 בלבד.
שאינם מקבלים את התוספות הבאות:
גמול ניהול סמלים 781,782,787,788
גמול הדרכה סמל 520
גמול חינוך כיתה סמל 859</t>
  </si>
  <si>
    <t>SUMME - J    רכיב עזר 9865 בSUMME B  =8C8 רול</t>
  </si>
  <si>
    <t>./ILPY/V_MM                                   V_T539J   T539A IL014</t>
  </si>
  <si>
    <t>ביוניק 32</t>
  </si>
  <si>
    <t>רכיב/אחוז</t>
  </si>
  <si>
    <t>במידה ומשולם ברכיב 0875 אחוז שאינו תואם את האפיון, יש לדווח את האחוז לתשלום ברכיב 9985, התשלום בפועל מבוצע ברכיב 0875</t>
  </si>
  <si>
    <t>התוספת המשולמת לעובדים בדירוגים ובמשרדים מסויימים, העובדים בבתי משפט/בתי דין רבניים.
ליחידות 2601-2621
הדייוח הוא ידני של אחוז/רכיב
א. משרד הדתות (108) בדרוגים: מנהלי (1), מח"ר (11)
ב. משרד המשפטים (116) בדרוגים: מנהלי (1), מח"ר (11), מהנדסים (13) - כרגע לא ליישום
ג. הנהלת בתי המשפט (126): בדרוגים: מנהלי (1)  מח"ר (11), מהנדסים (13).
ד. רשות האכיפה והגביה (127): בדרוגים: מנהלי (1) מח"ר (11).</t>
  </si>
  <si>
    <t xml:space="preserve">
הגבוה מבין 1001.49 ש"ח לחישוב-
A*B
A=אחוז מהשכר המשולב תלוי דרוג
B=שכר משולב (10002)+הסכם 99 (4624)
A=
 1. משרד הדתות (108):
מנהלי (1), 22%. 
 מח"ר (11), 22%. 
2. משרד המשפטים (116):
מנהלי(1): 16.5%/22%. 
מח"ר (11): 12.75%/16.5%/ 22%.
הנדסים וטכנאים (13): 12.75 / 16.5%/22%
המנהלת בתי המשפט (126):
מנהלי (1), 22%.
מח"ר (11) 18.78%,22%.
הנדסים וטכנאים (13) 18.78%, 22%.
רשות האכיפה והגביה (127):
מנהלי (1): 22%.
מח"ר(11): 18.78/ 22%</t>
  </si>
  <si>
    <t>*רצ"ב ההסכם הקיבוצי מאפריל 2001 ראה סעיף 2.5 האומר שמי שמקבל תוספת איזון (ותוספת מנספח ג') תוספת בתי משפט 875 .
יהיה זכאי לאותם רכיבים או תשלום המלא של תוספת 4550 (22% מהמשולב)  לפי הגבוה מבינהם.
*משרד 127: רכיב 875 - משולם לדרוג 11 18.75% מהיסוד המשולב ,ולעובדים חריגים ע"פ דיווח רכיב 4708 מחושב 22% (ראה אסמכתא 3223)</t>
  </si>
  <si>
    <t>ILINF-N, ILGNR-N (21), PRZNT-J</t>
  </si>
  <si>
    <t>בסיס רכיבי השכר משתנה בין משרד המשפטים לשאר המשרדים דבר המחייב  הפרדת רכיבי שכר</t>
  </si>
  <si>
    <t>עדכון מאפייני הרכיב תקף לרכיב מלמ 875 בלבד!! 
4624-הסכם שכר 99. נכנס לבסיס החישוב</t>
  </si>
  <si>
    <t>זכאות במצטבר:
1. עובדים המדורגים בדירוג: עובדי מחקר (43) 
2. מועסקים או הועסקו בשירות המדינה שלא במערכת הביטחון החל מיום 1/8/2010
3. משכורתם נקבעת בהסכמים קיבוציים
יהיו זכאים ל"תוספת השוואה"</t>
  </si>
  <si>
    <t>חישוב :
A*B
A= בסיס החישוב = שכר קובע לפנסיה:
- יסוד משולב (10002)
- שכר קידום (743)
- תפקיד מחקר (978)
- מיוחדת מחקר (807)
- מחקר חקלאי (756)
- תוספת 2010 (5240)
B=19.26%</t>
  </si>
  <si>
    <t>INMGR
ILGNR(2)
PRZNT B</t>
  </si>
  <si>
    <t>./ILPY/V_MM    
     /ILPY/WT_GEN_VC    
    V_T539J
v_T539a
/ILPY/BSPY_WP_SQ</t>
  </si>
  <si>
    <t>לדרוג 43 בלבד ע"פ תשובת דלוייט</t>
  </si>
  <si>
    <t>מאפייני הרכיב אושרו לרכיב מלמ 877 בלבד!</t>
  </si>
  <si>
    <t>בתפקיד נהגי שרים וסגני שרים שהם בדירוג מינהלי (1)</t>
  </si>
  <si>
    <t xml:space="preserve">
פרמטר 0041E* חלקיות</t>
  </si>
  <si>
    <t>הרכיב מושפע מחלקיות משרה אך לא ינוכה לו שכר מהיעדרות בעבודה כולל חופשה ומחלה.</t>
  </si>
  <si>
    <t>מאפייני רכיב לא עודכנו!</t>
  </si>
  <si>
    <t>מאפייני הרכיב אושרו לסמל מלם 883</t>
  </si>
  <si>
    <t>זכאות א:
 דירוג 31 (רופאים) במשרדים: משרד הבריאות (107), משרד העבודה -משרד הרווחה תחום זרוע תעסוקה (195), משרד האוצר (105), משרד הביטחון והביטוח לאומי (שניהם לא בתכול הפרויקט), משרד התחבורה (122) (למשרד התחבורה אין פירוט ל תפקידים מזכים) 
רשימת תפקידים המזכים בתוספת לדירוג 31 (רופאים) בהתאם למשרדים השונים:
א. משרד הבריאות (107)
· מנהל כללי
· מנהל שירותי אשפוז
· מנהל שירותי בריאות הנפש
· מנהל שירותי בריאות הציבור
· מנהל שירותי מחלות ממושכות ושקום
· מנהל השירות לבריאות העובד
· קמ"ט יו"ש/עזה
· סגן מנהל שירות
· ממונה על רישוי מוסדות חוץ
· מפקח רפואי ראשי על מוסדות פרטים לחולי נפש
· מנהל המחלקה לאפדימיולוגיה
· מנהל המרכז לברה"נ בכלא אילון
· מנהל המחלקה למקצועות רפואיים
· מנהל המחלקה לעובדי מדינה
· מנהל שרוי רפואה מונעת האישית
· מנהל המחלקה לתזונה
· מנהל מחלקה לבריאות השן
· מנהל המכון הרפואי לבטיחות בדרכים
· רופא מחוזי
· רופא נפתי
· סגן רופא מחוזי
· מדען ראשי של משרד הבריאות
· מנהל המחלקה למניעת התמכרות לסמים ואלכוהול
· מנהל המחלקה לאם ולילד – ועדת מעקב מיום 27.3.95
· יועץ שר הבריאות לקשרי חוץ – ועדת מעקב מיום 2.9.96
להלן רשימת בעלי התפקידים הזכאים (התווספו בהחלטת ועדת המעקב 22/05/2012):
א.מנהל האגף לרפואה קהילתית
ב.מנהל מחלקת בקרה על קופות חולים
ג.מנהל המחלקה ליחסים בין לאומיים
ד.מנהל המחלקה לבקרה רפואית
ה.מנהל המחלקת לנהלים וסטנדרטים
ו.מנהל מחלקת נהלים וסטנדרטים בקהילה
ז.מנהל המחלקה לקביעת סטנדרטים נהלים ואכיפה
ח. מנהל המחלקה לטיפול בהתמכרות
ט.מנהל האגף לאפידמיולוגיה
י. מנהל המחלקה להתפתחות הילד ושיקומו
יא. מנה למחלקה לגנטיקה
יב. מנהל המחלקה לפסיכיאטריה משפטית
יג. מפקח רפואי ראשי על ספקי בריאות הנפש
יד. מנהל המחלקה לבריאות העובד
טו. סגן מנהל המרכז לבקרת מחלות
 ב. במשרד הבטחון
רופא ראשי שיקום
סגן רופא ראשי שיקום
יו''ר ועדות רפואיות
ג.  ביטוח לאומי
מנהל המחלקה לעניינים רפואיים
סגן מנהל המחלקה לעניינים רפואיים
רופא מחוזי
ד. משרד העבודה-משרד הרווחה תחום זרוע תעסוקה (195)
רופא ראשי
יועץ תעסוקתי
ה. משרד האוצר (105)
- רופא ראשי שיקום
- יו"ו ועדות רפואיות
 זכאות ב:
 רופאים וטרינרים דירוג 32
 רשימת...</t>
  </si>
  <si>
    <t xml:space="preserve">
A*B
A = כלל הרכיבים הנכנסים לבסיס ערך יום שאינם כוללים את התוספת הזו בבסיסם (מפורט בהערות אילו רכיבי שכר נמצאו מבדיקת התלושים)
B = שיעור תוספת ניהול בפרמטר 3110</t>
  </si>
  <si>
    <t>הרכיבים עליהם מחושבת התוספת: (בהתאם לאסמכתאות)
תוספת בריאות הציבור (4262)</t>
  </si>
  <si>
    <t>ilgnr-n-(01)
=895 רול שמכפיל את האחוז מהגרל</t>
  </si>
  <si>
    <t>/ILPY/BSPY_WP_SQ
/ILPY/WT_GEN_VC</t>
  </si>
  <si>
    <t>אפיון סופי לרכיב נשלח ע"י דלויט בTue 6/8/2021 5:05 PM 
אופן הישום שונה</t>
  </si>
  <si>
    <t>מדובר בסמל מלם 895
רכיבי שכר אשר נכנסים לערך יום מבדיקת התלושים ולא מהסתמכות על אסמכתאות:
* שכר משולב (10002).
* תוספת מקצוע מיוחד (643).
* פריפריה א' (585).
* תוספת פריפריה (899)
* תוספת ב.צ (549)
מאפייני השכר אושרו לרכיב מלמ 895 בלבד!</t>
  </si>
  <si>
    <t>summe B</t>
  </si>
  <si>
    <t>0002 0003
0642 0243</t>
  </si>
  <si>
    <t>/ILPY/BSPY_WP_SQ
T539J</t>
  </si>
  <si>
    <t>שונה כדי שיתוסף  לערך שעה</t>
  </si>
  <si>
    <t>דירוג: שירות החוץ (9)+ מח"ר (11)+ קלדניות שופטים (526)+ משפטנים (21)+ הנדסאים וטכנאים (13)+ מהנדסים (12) + פסיכולוגים (16)+ ביקורת המדינה (18) + פרקליטים (22) + סנגוריים ציבוריים (25) + עיתונאים (27)+בכ"מ ועמ"מ (33) + רוקחים (34)+מפקחים ימיים (61) + מהנדסים (93) +  מח"ר (91) + מח"ר מועדף (99) + דמ"ם (100) + הנדסאים וטכנאים (92) + פנים חוזה שכר כולל (610) + פנים חוזר שכר כולל (110)
התנאים ל 
1) קיימת זכאות מדווחת לגמול השתלמות א'
2) 400 שעות לימוד שהוכרו על ידי הוועדה בהתאם לקריטריונים שנקבעו
דירוג עוס"ים (24) - יש אפשרות לבחור בין גמול השתלמות א' (רכיב 1002) וב' (רכיב 1003 ) לבין גמול השתלמות לפי יחידות (רכיב 1618 דלוייט) לפי הגבוה מביניהם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</si>
  <si>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(שכר יסוד +ותק סמל מלם 10002)
B=1.2%
C=מספר יחידות זכאות עד 5 יחידות.
כל 100 שעות לימוד מזכות ביחידת זכאות.
לדירוג רוקחים (34):
ישולם 317.34 ₪ (פרמטר 002A )
מדרגה 5א ישולם הגבוה מבין 6% מסכום השכר המשולב (שכר יסוד +ותק סמל מלם 10002) לבין 317.34 ₪  
לדירוג מפקחים ימיים (61)
 לדרגות : מפקח ימי א'+ מפקח ימי ב':
ישולם 328.76 ₪ (פרמטר 0002)
לדרגות : מפקח ימי ג'+ ראש ענף:
ישולם 430.86 ₪ (פרמטר 0003)
לדירוג מנהל מקרקעי ישראל (565)
עובדים בדרגה 1 עד 6 - פרמטר 003A
עובדים בדרגה 7 -  פרמטר 003B
ליתר הדירוגים:
1. עד דרגה 40+ - 328.76 ₪ (פרמטר 0002) * חלקיות משרה
2. מ-41 עד 43+ - 430.86 ₪ (פרמטר 0003) * חלקיות משרה
3. מ-44 ומעלה - הגבוה מבין 9% מסכום שכר המשולב (שכר יסוד +ותק סמל מלם 10002) לבין 430.86 ₪ (פרמטר 0003) * חלקיות משרה</t>
  </si>
  <si>
    <t>רכיב 897- גמול השתלמות ב' כללי ולדרוג 565
רכיב 1944- גמול השתלמות ב' רק לדירוג בכ"מ ועמ"מ (33), ורק במשרדים הבריאות (107) והחלקאות (111), דירוג בכ"מ ועמ"מ (33) מקבלים עד 5 יחידות זיכוי, רכיב 1944 מוגבל ל100% משרה.
רכיב 924- גמול השתלמות ב' (נראה כי שולם לדירוג 13 בלבד) 
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</si>
  <si>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IV Module INMGR:
1.ILINF (N)-בדיקה האם מדווח זכאות 
2.ILINF(P)-בדיקה האם מדווח 647
1. ILGNR (21)
או- 
prznt (j)(במקרה שיש בv_mm01)</t>
  </si>
  <si>
    <t>/ILPY/WT_GEN_VC
/ILPY/INFT_SEL
v_t539j
SUBFEATER-ILSFT</t>
  </si>
  <si>
    <t>כשמגיעות הדרגות יש צורך להוסיף בפיצר INMGR</t>
  </si>
  <si>
    <t>*הכללים לקרטיונים לזכאות לדירוג רוקחים (34) הינם אותם כללים החלים על דירוג מח"ר (11), מהנדסים (12), הנדסאים (13), ע"פ סעיף 10.2 בהסכם באסמכתא מספר 923.
* דירוג ביקורת המדינה (18) סעיף 4 לאסמכתא 1702 קובע כי בהתאם להסכם גלוברזון (המוזכר בתחילת האסמכתא) מרכיבי השכר של דירוג 18 צמודים לשל דירוג 11.
לגבי דירוגים 110 ו610 על פי חמוטל מהממונה על השכר האסמכתא שלהם היא 3350
לפי העדכון מ07/2023 הסכום שמשולם בדירוג 588 לא מעודכן ישנה אסמכתא משלומי בעניין (3389)</t>
  </si>
  <si>
    <t>IV Module INMGR:
1.ILINF(T)-בדיקה האם מדווח 647
2.ILINF (N)
3. ILGNR (21)</t>
  </si>
  <si>
    <t>/ILPY/WT_GEN_VC
/ILPY/INFT_SEL
V_T539J</t>
  </si>
  <si>
    <t>לא נבדק דיווח לגמול השתלמות א בעקבות עובד   022487078 משרד 105 במשכית שאין לו גמול השתלמות א</t>
  </si>
  <si>
    <t>IV Module INMGR:
ILNMG-הפניה לתוכנית /ILPY/GR02/ 
שתחזיר 9997 לEM בv_MM
במקרה שמדווח רכיב זכאות
2. ILGNR-N (21)
הגבוה מבינהם-
3. SUMME-J</t>
  </si>
  <si>
    <t>/ILPY/V_MM                      V_T510K</t>
  </si>
  <si>
    <t>זכאות מצטברת: לכלל עובדי משרד הממשלה ויחידות הסמך העובדים בתפקיד דוברות
הוזנו כמות השעות הבאות:  10 עד 43 שעות חודשיות במשרדי הממשלה 10 עד 27 שעות חודשיות ביחידות הסמך</t>
  </si>
  <si>
    <t xml:space="preserve">
Aָ*B*0.7
A=ערך שעה
B=כמות השעות שהוזנו</t>
  </si>
  <si>
    <t>קריטריונים מזכים לתשלום:
1.תדירות גבוהה של טיפול תקשורתי שוטף בנושאי המשרד 
2. הגורם לעבודה נוספת בבית הדובר/ת הוא המעסיק או התקשורת בהתאם לארועים בשטח</t>
  </si>
  <si>
    <t>VALBS-01*0.75</t>
  </si>
  <si>
    <t>אפשור דיווח כמות ב14</t>
  </si>
  <si>
    <t>*עדכון מאפייני הרכיב תקף לרכיב מלמ 1719 בלבד!!
*על פי חשב משרד פיתוח הנגב והגליל (189), חשבת משרד רשות לשוק ההון (191) סמל מלם 1719 מדווח ידנית.</t>
  </si>
  <si>
    <t xml:space="preserve">
- שולם לעובד תוספת שטחים מיוחדת א + ב במועד (01/10/93) במשך 3 שנים לפחות ברציפות עד למועד ביטול המשרה
- עובד במועד הקובע שמהמשרה שלו בשטחים מבוטלת ומשובץ מחדש</t>
  </si>
  <si>
    <t xml:space="preserve">
פרמטר 00428A + פרמטר 0042B בסכום אחד, כתוספת שטחים אישית</t>
  </si>
  <si>
    <t>עובד שקיבל עד ביטול ההסכם במשך 3 שנים תוספת שטחים מיוחד א+ב , זכאי כל חודש לתוספת שטחים מיוחדת שזה הסיכום של שטחים מיוחדת א+ב</t>
  </si>
  <si>
    <t>עדכון מאפייני הרכיב תקף לרכיב מלמ 907 בלבד!</t>
  </si>
  <si>
    <t>זכאות א : 
1) משרד האוצר (105) בלשכה לשיקום נכים,
2) עבודה במכון לרפואה משפטית
3) דרוגים מינהלי (1) ומח"ר (11)
זכאות ב':
1) משרד הבריאות (107)
2)עובדים מנהלתיים דירוגים מנהלי (1) ומח"ר (11) שעובדים מול נכים.
*ראה הערה בהערות על נתונים</t>
  </si>
  <si>
    <t>חישוב א:
A
A - תעריף ליום בטבלת הקבועים 0044</t>
  </si>
  <si>
    <t>ILGNR (02)</t>
  </si>
  <si>
    <t>* מלבד משרד האוצר בלשכה לשיקום נכים, המשך השימוש ברכיב יאושר רק לעובדים שמקבלים את רכיב השכר כיום. הרכיב חסום לדיווחים חדשים.
*על פי חשבת השכר של משרד האוצר (105) הסמל מדווח ידנית, מדווחים סמל, תאריך התחלה ללא תאריך סיום,  וסכום (19.17 ₪ )
*חוזר הממונה העמ/83/134 (226) מיום 27/10/1983
הסכם קיבוצי מיום 15/12/1983
* שליחים- אין לפתוח את הרכיב לזכאות שליחים במערכת החדשה.</t>
  </si>
  <si>
    <t>זכאות מצטברת:
א. עובד במשרד: לשכה המרכזית לסטטיסטיקה (103)
ב. עובד באחד מהדירוגים:  מנהלי (01) מח"ר (11) מהנדסים (12) הנדסאים וטכנאים (13) השירות המשפטי (21)</t>
  </si>
  <si>
    <t xml:space="preserve">
A*B
7.5%= A 
B=שכר משולב (10002)+ הסכם 99 (4624)+ גמול השתלמות (647+667+897) +גמול מינהל (4983)+ תוספת איזון (סמל מלם 628 בסך קבוע של 257.37 ₪.) +תוספת שטחים (907)</t>
  </si>
  <si>
    <t>תוספת איזון (628) לא משולמת בתלוש השכר, אך נכנסת לבסיס חישוב הסמל.
נכנס לחישוב כל רכיב שהוקם מלפני שנת 1993 ושנכנס למשכורת הקובעת לצורך גמלאות.</t>
  </si>
  <si>
    <t>IV Module INMGR:
1. ILGNR-N (02)
2. PRZNT-J</t>
  </si>
  <si>
    <t>BS_0920</t>
  </si>
  <si>
    <t>*עדכון מאפייני הרכיב תקף לרכיב מלמ 920 בלבד!!
*על פי חשבת הלשכה המרכזית לסטטיסטיקה (103) התשלום בסמל הינו אוטומטי.</t>
  </si>
  <si>
    <t>קוד 01 - ת. ועדת מעקב פסיכולוגים                   קוד 02 - ת. למועסקים במוסדות חינוך                קוד 03 -ת. פסיכולוגים</t>
  </si>
  <si>
    <t>דירוג: פסיכולוגים (16)</t>
  </si>
  <si>
    <t xml:space="preserve">
סכום שקלי שמשולם כל חודש בהתאם ל:
א) פסיכולוגים המועסקים בתקן בתי חולים ובתחנות לבריאות הנפש יקבלו בהתאם לפרמטר 430A  
ב) פסיכולוגים המועסקים במוסדות החינוך יקבלו בהתאם לפרמטר 430B
ג) פסיכולוגים אשר אינם עונים על ההגדרה בסעיף א או ב יקבלו בהתאם לפרמטר 430C</t>
  </si>
  <si>
    <t>מאפייני הרכיב אושרו לרכיב מלמ 922 בלבד!</t>
  </si>
  <si>
    <t>זכאות מצטברת:
1.רופא וטרינר (32) 
2.בעל תואר שלישי במדעי הטבע:
א. עבור תואר שלישי שנלמד בישראל - התואר בתחום מדעי הטבע נלמד במסלול המוכר על ידי המועצה להשכלה גבוהה. 
או
ב.  עבור תואר שלישי שנלמד בחו"ל - העובד הציג תעודת שקילות של הגף להערכת תארים במשרד החינוך לפיה התואר הוא בתחום מדעי הטבע ושקול לתואר שלישי ממוסד אוניברסיטאי מוכר בישראל.</t>
  </si>
  <si>
    <t>A*B
A=שכר משולב
B=5%</t>
  </si>
  <si>
    <t>module INMGR:
ILGNR - N                                                                                              PRZNT - J 
רק עבור דירוג 32</t>
  </si>
  <si>
    <t>/ILPY/V_MM
/ILPY/WT_GEN_VC                      V_T539J</t>
  </si>
  <si>
    <t>*מדובר בסמל מלם 962, בבי.איי התוספת נקראת בשם :"גרעון"
*תוספת 5% תובא בחשבון לעניין פיצויי פיטורים כמשמעותם בחוק פיצויי פיטורים,  תשכ"ג - 1963, לעניין חישוב ערך שעה לעבודה נוספת (לרבות כוננויות, משמרות ושעות נוספות), לעניין גמלאות, לעניין הפרשות לקופת גמל לקצבה (עבור רופאים וטרינרים המבוטחים בפנסיה צוברת בגין המשכורת הקובעת) ולעניין הפרשות לקרן השתלמות וכל הפרשה אחרת הנוהגת לגבי השכר המשולב.
*תוספת 5% תיכלל בבסיס לחישוב תוספות שכר אחוזיות קיימות.
לגבי תוספות שכר אחוזיות עתידיות יחולו הכללים שייקבעו לגביהן.
מאפיני רכיב 962 אושרו</t>
  </si>
  <si>
    <t>קוד 01 -תפקיד א' 8%                                קוד 02 - תפקיד ב' 10%                            קוד 03 - תפקיד ג' 12%                             קוד 04 - תפקיד ד' 14%                             קוד 05 - תפקיד ד' 17%</t>
  </si>
  <si>
    <t xml:space="preserve">
עובד המדורג בדירוג "עובדי מחקר (43)" הממונה על חוקרים או טכנאים או בתפקיד מנהל מכון מחקר, זכאים לתוספת שכר אחוזית בהתאם לתפקידם  
חוקר: עובד המשובץ בדירוג אקדמי, לרבות בעל מלגה המועסק בעבודת מחקר
טכנאי: עובד הממלא תפקיד של טכנאי</t>
  </si>
  <si>
    <t xml:space="preserve">
אחוז (בהתאם לתפקיד) מן השכר יסוד משולב + שכר קידום (743) + ,תוס' 2010 (5240)
ממונה על 2 חוקרים, או על 1 חוקר ועל 3 טכנאים= תפקיד א= 8%
ממונה על 6 חוקרים, או על 4 חוקר ועל 6 טכנאים= תפקיד ב= 10%
ממונה על 14 חוקרים, או על 10 חוקר ועל 12 טכנאים= תפקיד ג= 12%
בתפקיד מנהל מכון מחקר, או סגן מנהל מינהל= תפקיד ד= 14%
בתפקיד מנהל מינהל מחקר, או מדען ראשי במשרד או במינהל= תפקיד ה= 17%</t>
  </si>
  <si>
    <t>יש לשים לב: 
- עובד מחקר אשר סיים את תפקידו אחרי 1/4/78 ואשר קיבל תוספת תפקיד במשך שלוש שנים רצופות לפחות, ימשיך לקבל את מלוא התוספת אם נתקיימו בו שני אלה:
א. העובד מילא תפקידים שזיכו אותו בתוספת תפקיד במשך שמונה שנים לפחות, ברציפות או בהפסקות
ב. העובד שירת כעובד מחקר בשירות המדינה, במשך 12 שנים ברציפות לפחות (חל"ת לא ייחשב, אולם לא תפסקנה את הרציפות)
- עובד מחקר שסיים את תפקידו אחרי שלוש שנים ונתמנה לתפקיד אחר המזכה אותו בתוספת תפקיד נמוכה מתוספת התפקיד אותה קיבל בתפקיד הקודם, ימשיך לקבל את מלוא תוספת התפקיד אותה קיבל בשלוש השנים הקודמות בתפקידו הקודם
- במקרה שבו העובד נתמנה בתקופה של שלוש שנים למספר תפקידים ברציפות, בעלי שיעור תוספת שונה, אך בעלי שיעור גבוה משיעור התוספת בתפקיד הנוכחי, יהיה העובד זכאי לשיעור תוספת התפקיד הנמוכה מבין שיעורי התוספת לה היה זכאי במהלך התקופה כאמור.
-בסעיף 25.35 לתקשי"ר בהגדרות רשום: אחוז מן המשכורת המשולבת הכוללת קידום ותק או תוספת ותק ותוספת בוררות, לכן בבסיס חישוב התוספת נכלל רכיב 743.</t>
  </si>
  <si>
    <t>module INMGR:                                                                     ILGNR - N
FEATURE ILGNR
אחוז מטבלה (לכל קוד אחוז שונה)                                                     PRZNT - J</t>
  </si>
  <si>
    <t>הוקם רכיב בסיס(9H50) עבור תוס' 2010 (5240) יש להוסיף את רכיב 743 לבסיס אחרי הקמתו הוקם רכיב בסיס (9450)נוסף לשכר משולב (9200) ובסיס קודם (9H50)</t>
  </si>
  <si>
    <t>9200           9H50 9450</t>
  </si>
  <si>
    <t>קוד 01 -תפקיד א' 8%                                
קוד 02 - תפקיד ב' 10%                           
קוד 03 - תפקיד ג' 12%                            
קוד 04 - תפקיד ד' 14%                             
קוד 05 - תפקיד ד' 17%</t>
  </si>
  <si>
    <t xml:space="preserve">
מדובר על הסכם הוראה 1994 שחל על עובדי הוראה.</t>
  </si>
  <si>
    <t xml:space="preserve">
מדובר על סכום שקלי שמפורט בפרטמר בהתחשב בחלקיות משרה של העובד</t>
  </si>
  <si>
    <t>IL014 פיצר לפי משרד(1000) ודירוג (41)
CONST</t>
  </si>
  <si>
    <t>/ILPY/V_MM
V_T510K
v_t539A</t>
  </si>
  <si>
    <t>קבוצה א
א. דירוג "העסקת בני נוער בתקופת הקיץ"
(מספר הדירוג במלם 152, בעבר המספר היה 52, אך הוא נפסק לשימוש ב 6/18)
ב. העסקת בני נוער מאושרת בחופשת הקיץ בלבד
ג. העסקת בני נוער תהא מגיל 14 בלבד, וכל עוד טרם מלאו להם 18 שנים
ד. בנים ובנות של עובדי מדינה (כל סוג עובד)
ה. בכפוף לקיום תקציב ואישור חשב
קבוצה ב
דירוגים O9 P7 A7 K6</t>
  </si>
  <si>
    <t xml:space="preserve">
קבוצה א
1. העסקת בני נוער תתבסס על שעות העבודה
2. ניתן להעסיק את בני נוער עד 10 ימי עבודה
3. ניתן להעסיק לכול היותר עד 8 שעות ביום ולא יותר מ 40 שעות שבועיות
4. השכר יגלם תוספת של 4.6% משכר העבודה בגין החופשה
5. השכר השעתי הינו בהתאם לשכר המינימום הקבוע ע"פ חוק, השכר המצוין לעיל הינו חישוב, גם שכולל את 4.6% בגין חופשה וכן בגין אחוז מתוך שכר מינימום.
קבוצה ב
עובדים שעתיים, 
טבלאות שכר פר שעה מעודכנות במרכבה בהתאם לדירוג דרגה של העובד.</t>
  </si>
  <si>
    <t>MODULE
TARIF A
PC 93 - 1</t>
  </si>
  <si>
    <t>V_T510</t>
  </si>
  <si>
    <t>שכר יסוד לבני נוער (דרוג N3) A7, P7  הרכיב מגיע באוטומטים במקום רכיב 0200</t>
  </si>
  <si>
    <t>משולם בסמלי מלם:
1104- לדירוג 152 החדש
10002- שכר יסוד
4694 - כשדירוג 52 היה קיים, שולם עד 8/2018.</t>
  </si>
  <si>
    <t xml:space="preserve">
לנושא משרה שיפוטית תשולם במשך תקופת כהונתו תוספת חודשית של 15% 
עובד שעובד במשרה שיפוטית
"נושא משרה שיפוטית"- עובד באחד מהדירוגים: שופטים (82), שופטים בבית דין לעבודה (85), שופט תעבורה, דיינים (83), קאדים (84) וקאדי מד'הב, רשמים (4)</t>
  </si>
  <si>
    <t xml:space="preserve">
A*B
A= חמישה עשר אחוז (15%) 
B=סכימת הרכיבים:
יסוד משולב, תוספת ותק שיפוטי (9805), תוספת יוקר, תוספת שהייה במשרה שיפוטית (533)</t>
  </si>
  <si>
    <t>BS_1118</t>
  </si>
  <si>
    <t>ע"פ חשבת האכיפה הגבייה (127), לא מדווח מבוצע באופן אוטומי
עדכון מאפייני הרכיב תקף לרכיב מלמ 1118 בלבד!!</t>
  </si>
  <si>
    <t xml:space="preserve">
דירוג: קלדניות שופטים (526) יהיו זכאיות כל חודש לסכום שקלי 
התוספת מותנת בכך שהעובדת מועסקת בתפקיד של קלדנית שופט או רשם ומפעילת אולם משפטים</t>
  </si>
  <si>
    <t xml:space="preserve">
סכום שקלי המשולם כל חודש כפוף לחלקיות משרה
עד ליום 28/02/2017: 536.25 ₪ 
מיום 1/03/2017 עד 31/05/2018: 543.62 ₪  
מיום 1/06/2018 עד 31/07/2019: 547.65 ₪ 
מיום 1/08/2019 עד 30/11/2019: 552.34 ₪ 
מיום 1/12/2019: 557.03 ₪
מיום 1/12/2024 : 568.17</t>
  </si>
  <si>
    <t>מאפייני הרכיב נכונים רק לרכיב 1132</t>
  </si>
  <si>
    <t>כל דירוג: פרקליטים (22), סנגורים (25), 
זכאות הינה אוטומטית</t>
  </si>
  <si>
    <t xml:space="preserve">
סכום קבוע פרמטר 0100 * מקדם וותק שכר: (1% או 0.75% בהתאם לסך שנות וותק מחושב) ^ (בחזקת) סך שנות וותק מחושב
על התוספת יערך חישוב סך שנות וותק מחושב</t>
  </si>
  <si>
    <t>התוספת מתעדכנת בהתאם ליוקר</t>
  </si>
  <si>
    <t>IV Module INMGR:
1.       ZSNFC-1
2.       ILGNR-P</t>
  </si>
  <si>
    <t>עדכון מאפייני השכר תקף לרכיב מלמ 1565 בלבד!</t>
  </si>
  <si>
    <t>קוד 01 - פסיכולוג 6% 
קוד 02 - פסיכולוג מומחה 8% 
קוד 03 - פסיכולוג מדריך - 10%</t>
  </si>
  <si>
    <t>פסיכולוגים המועסקים בתחנות לבריאות הנפש, לשכות בריאות ובמערכת החינוך, ובשאר מקומות העבודה שאינם בבתי חולים יהיו זכאים לתוספת מקצועית בהתאם לתפקיד</t>
  </si>
  <si>
    <t xml:space="preserve">
תפקיד: 
פסיכולוג זכאים לשיעור 6% מהשכר המשולב
פסיכולוג מומחה זכאים לשיעור 8% מהשכר המשולב
פסיכולוג מדריך זכאים לשיעור 10% מהשכר המשולב</t>
  </si>
  <si>
    <t>- התוספת משולמת מיום 01/07/1994</t>
  </si>
  <si>
    <t>module ILGNR 
FEATURE ILGNR
אחוז מטבלה (לכל קוד אחוז שונה)                                                       PRZNT - J</t>
  </si>
  <si>
    <t>/ILPY/V_MM
/ILPY/WT_GEN_VC
/ILPY/INFT_SEL
/ILPY/TF4_VALUES                  V_T539J</t>
  </si>
  <si>
    <t>קוד 01 -פסיכולוג אחראי 3%                         קוד 02 - פסיכולוג ראשי/מחוזי 4%                 קוד 03 - פסיכולוג בכיר ג' 5%                       קוד 04 - פסיכולוג בכיר ב' 7%</t>
  </si>
  <si>
    <t xml:space="preserve">
תפקיד: 
פסיכולוג אחראי זכאים לשיעור 3% מהשכר המשולב
פסיכולוג ראשי/ מחוזי זכאים לשיעור 4% מהשכר המשולב
פסיכולוג בכיר ג' זכאים לשיעור 5% מהשכר המשולב
פסיכולוג בכיר ב' ומעלה זכאים לשיעור 7% מהשכר המשולב</t>
  </si>
  <si>
    <t>-גמול ניהול ישולם רק לעובד שאינו זכאי לתוספת כלשהי בגין תפקידו כמנהל כגון: גמול תפקיד, מכסת שעות נוספות גלובליות</t>
  </si>
  <si>
    <t>מאפייני רכיב 1672 אושרו</t>
  </si>
  <si>
    <t>א.   לכול עובד שקיים אצלו הפרש שלילי בין הסכום הבסיסי שהוגדר לבין הסכימה של שכר היסוד + תוספות קבועות
ב.   דירוג סטודנטים (71), שקיים אצלם הפרש שלילי בין "הסכום הבסיסי" (פרמטר MINWAGE2)  / 182= ערך שעה שצריך להיות, לבין שכר יסוד שלו (מחודש קודם) / שעות של חודש קודם= כמה קיבל בפועל, ההפרש בשכר לערך שעה (שיצא) כפול שעות של חודש קודם= תוספת חוק מינימום. ההפרש יהווה את ההשלמה לחוק מינימום</t>
  </si>
  <si>
    <t>א)  
ישולם ההפרש, אם חיובי בלבד, בין גובה "הסכום הבסיסי" (Y) (פרמטר MINWAGE2) לבין "סכום רכיבי השכר" שחושבו (X) לצורך השלמת שכר מינימום.
הפרשי הוראות שעה= Y-X
יש לשים לב שזה כפוף לחלקיות משרה, ולכן במידה והעובד עם חלקיות משרה, מכפילים את חלקיות המשרה שלו בפרמטר Y</t>
  </si>
  <si>
    <t>הסכום הבסיסי (Y)= סכום שנקבע אחת לשנה, שכר מינימום שהעובד זכאי אלמלה הוראת השעה.
סכום רכיבי השכר (X)= שכר יסוד (לא כולל הוותק של החישוב יסוד משולב)+ תוספת יוקר שאינה נכללת בשכר יסוד או משולב+ תוספות קבועות שמשולמות לעובד עקב עבודתו.
תוספות קבועות:
1. גמול השתלמות א+ב (רכיבים: 647,677,897,1951)
2. גמול מנהל ג (רכיבים: 4983)
3. תוספת 2001 (רכיבים: 4550)
4. תוספת סיכון (רכיב: 918)
5. תוספת ענ"א (רכיב 4169)
6. תוספת 7.5% (רכיב: 920)- בלשכה המרכזית לסטטיסטיקה
7. תוספת בית משפט (רכיב: 875)
8. תוספת בוררות מיסים (רכיב: 741)
9. תוספת שכר מיסים (רכיב: 5253)
10. תוספת רפורמה (רכיב: 4147)
11. תוספת שכר (רכיב: 4124)
12. ועדת מעקב 88 (רכיב: 922)
13. מקצוע פסיכולוגים (רכיב: 1614)
14. אחוז ממשולב (רכיב 756) 
15. תוספת בית הנשיא (1501) בלשכת הנשיא (101)
16. תוספת התייעלות (4233) בלשכת הנשיא (101)
17. תוספת 3% (1989) בלשכת הנשיא (101)
18. תוספת סיכון (739)
19. מקצועית מיסים (705)
20. תוספת כבאות (1619)
21. תוספת ערבה (805)
22. תוספת 13.6% (5279)
23.תוספת 3.6% (4544) - נצבר לכל הדירוגים ולדירוג J3 , 02 מדרגה 10 בלבד
24.תוספת מעוף (5244)
לדרוגים 22, 25,  רכיבים 752 ו 4997 נצברים גם לשכר מינימום
1389
בחלק מהמקרים זה כן נכלל 3.6% בתוספות הקבועות , ובחלק לא- יש לבדוק
חישוב ךדירוג סטדנטים (71):
ב) חישוב:
דוגמא: 4655.95/182= 25.58 ₪ לשעה
שכר יסוד של עובד 1765.51 ₪, שעות חודש קודם 116.83,
חישוב: 1765.51/116.83= 15.11
25.58-15.11= 10.47
10.47*116.83= 1223 ₪, תוספת חוק מינימום</t>
  </si>
  <si>
    <t>Schema
תיעוד אופן היישום במסמך וורד בשם - אופן חישוב שכר מינימום מתבסס על החישוב בסכמה כיום
K:\SACH\ספירטק\General\users\לקוחות\חשב הכללי\פרוייקט שכר\מסמכי אפיון\חשכל - אפיון - רכיבי שכר\מיכל</t>
  </si>
  <si>
    <t>עדכון מאפייני הרכיב תקף לרכיב מלמ 1699 בלבד!</t>
  </si>
  <si>
    <t>דירוג בכ"מ ועמ"מ (33) משרדים משרד הבריאות (107) משרד החלקאות (111)</t>
  </si>
  <si>
    <t>A*B*C 
A=שכר משולב (שכר יסוד +ותק סמל מלם 10002) 
B=1.2% 
C=מספר יחידות זכאות עד 5 יחידות. כל 100 שעות לימוד מזכות ביחידת זכאות.</t>
  </si>
  <si>
    <t>רכיב 1944- גמול השתלמות ב' רק לדירוג בכ"מ ועמ"מ (33), ורק במשרדים הבריאות (107) והחלקאות (111), דירוג בכ"מ ועמ"מ (33) מקבלים עד 5 יחידות זיכוי, רכיב 1944 מוגבל ל100% משרה.</t>
  </si>
  <si>
    <t>INMGR : PRZNT</t>
  </si>
  <si>
    <t>/ILPY/V_MM                      V_T539J                                          V_T512Z</t>
  </si>
  <si>
    <t>שעות חופשה 100%</t>
  </si>
  <si>
    <t>עובדים שעתיים אשר לקחו שעות חופשה לפי חוק חופשה ומחלה</t>
  </si>
  <si>
    <t>שעת חופשה * ערך שעה</t>
  </si>
  <si>
    <t>Schema-VALBS-011</t>
  </si>
  <si>
    <t>מאפינים לברור</t>
  </si>
  <si>
    <t>מאפייני הרכיב אושרו לרכיב 4122 בלבד
אין אסמכתא לעניין מאחר ומדובר ברכיב טכני לתשלום שעות חופשה לשעתיים</t>
  </si>
  <si>
    <t>נגזר מהנתונים המדווחים בסוגי מידע של מערכת תמר:
1. שיבוץ העובד במאגר תקנים – סוג מידע 9043, תקן מסוג "שרות קשות" (קוד 2)
2. רישיון נהיגה – סוג מידע 0094 
3. בעלות על רכב – סוג מידע 0442
4. אירועי רכב – סוג מידע 9041 - מונע תשלום
5. החזרי תשלומי רכב – סוג מידע 9044</t>
  </si>
  <si>
    <t>דירוגים שעתיים:
387 (מאבטחים חוזה שכר כולל), 585 (סוקרים חוזה שכר כולל חדש), 589 (עובדי חמ"ק במטה הקיברנטי הלאומי במשרד רוה"מ)</t>
  </si>
  <si>
    <t>A*B
A=כמות ימי מחלה
B=ערך שעה.</t>
  </si>
  <si>
    <t>Schema-VALBS-01</t>
  </si>
  <si>
    <t>עדכן מאפייני רכיב זה תקפים לרכיב מלמ 4123 בלבד!
*בין השנים 2020-2021 היה שימוש בסמל 4123 בלשכת הנשיא (101) ובמשרד רוה"מ (104) בלבד.
*במשרד החינוך (110) היה תשלום בסמל מלם 4123 לדירוג 71 (סטודנטים) עד חודש 7/2019.
*על פי חשב משרד רוה"מ (104) סמל 4123 מגיע מהנוכחות.</t>
  </si>
  <si>
    <t xml:space="preserve">
חל על כלל המשרדים
העובד הינו בדירוג: מתמחים למשפטים (81)</t>
  </si>
  <si>
    <t xml:space="preserve">
A *14.25%
A = שכר משולב (מפורט בנתונים נדרשים)</t>
  </si>
  <si>
    <t>(בהסכם משנת 2001 האחוז המקורי היה 4.8% / 8.57%, ב 2008 האחוז עלה ל: 14.25%)</t>
  </si>
  <si>
    <t>ILGNR-N (23)
 PRZNT-J</t>
  </si>
  <si>
    <t>מאפייני רכיב נכונים רק עבור רכיב מלם 4124
כרגע ברוה"מ הזכאות היה ככלל המשרדים לדרוג מתמחים</t>
  </si>
  <si>
    <t>קוד 1- רמה א
קוד 2- רמה ב1
קוד 3- רמה ב2
קוד 4- רמה ג</t>
  </si>
  <si>
    <t xml:space="preserve">
העובד צריך לעמוד בכל התנאים הבאים:
א. העובד מועסק במשרד התחבורה (122.123) 
ב. העובד מועסק ברשות הספנות והנמלים
ג. משובץ בתפקיד של מפקח ימי (דירוג 61)
ד. העובד משובץ באחד התפקידים הבאים:                   
1.מנהל אגף א' פיקוח ובקרה ספנות ונמלים (רמה ג')
2.מנהל תחום פיקוח כלי שייט זרים (רמה ב'2)
3.מנהל תחום פיקוח טכני (רמה ב'2)
4.מנהל תחום בנמל אשדוד (רמה ב'2)
5.מנהל תחום בוחן ראשי סיפון (רמה ב'2)
6.מנהל תחום קשר ואמצעי ניווט (רמה ב'2)
7.מנהל תחום חומרים מסוכנים ואיכות הסביב (רמה ב'2)
8.מנהל תחום בוחן ראשי מכונה (רמה ב'2)
9.מפקח ימי בכיר נמל אילת (רמה ב'1)
10.מפקח ימי בכיר מכונה בנמל אשדוד (רמה ב'1)
11.מפקח ימי בכיר מכונה וביקורת מיכליות זרות (רמה ב'1)
12.מפקח ימי בכיר חומרים מסוכנים ובטיחות השייט בנמל אשדוד (רמה ב'1)
13.מפקח ימי בכיר מכונה בנמל חיפה (רמה ב'1)
14.מפקח ימי בכיר סיפון נמל חיפה (רמה ב'1)
15.מפקח ימי איכות הסביבה בנמל אשדוד (רמה א')
16.מפקח ימי פיקוח על אוניות (רמה א')
ה. משכורותו מחושבת לפי הסכמים קיבוציים</t>
  </si>
  <si>
    <t xml:space="preserve">
התוספת תשולם בסכומים מדורגים בהתאם לרמת משרתו של העובד:
1. רמה א' 200 ₪. (במלם קוד דיווח 0.10)
2. רמה ב'1 650 ₪.(במלם קוד דיווח 0.21)
3. רמה ב'2 900 ₪.(במלם קוד דיווח 0.22)
4. רמה ג' 900 ₪.(במלם קוד דיווח 0.30)</t>
  </si>
  <si>
    <t>התוספת לא תכלל בבסיס לחישוב תוספות אחוזיות קיימות כלשהן.
מאפייני הרכיב אושרו לרכיב 4135 בלבד</t>
  </si>
  <si>
    <t>תוספת אחוזית לכלל עובדי ההוראה.
משרד החינוך 110 דירוג עובדי הוראה 41 דירוג 240- עוז לתמורה</t>
  </si>
  <si>
    <t>תוספת שכר בשיעור של 3% מהשכר המשולב התוספת כלולה בבסיס החישוב של כל תוספת אחוזית שבסיסה כלול השכר המשולב..</t>
  </si>
  <si>
    <t>module INMGR:                                                                     ILGNR - N
אחוז מטבלה 
PRZNT - J</t>
  </si>
  <si>
    <t>ביוניק 3</t>
  </si>
  <si>
    <t>זכאות מצטברת:
1) חוקרי יחידת החקירות באגף השכר במשרד האוצר (105)
2)עובדים חיוניים אקדמאיים שכר כולל חדש (587)</t>
  </si>
  <si>
    <t xml:space="preserve">
שכר משולב * 30%</t>
  </si>
  <si>
    <t>- התוספת נחשבת לערך שעה 
- התוספת הינה פנסיונית ובהתאם יש לבצע הפרשות בגינה</t>
  </si>
  <si>
    <t>הרכיב הינו מדווח ידנית
עדכון מאפייני הרכיב תקף לרכיב מלמ 4156 בלבד!!</t>
  </si>
  <si>
    <t>משרדים:
 הנהלת בתי הדין הרבניים (108)
המשרד לענייני דתות (187)
לשכת הפרסום הממשלתית (188)
משרד הפנים (120)
משרד המשפטים (116)
משרד הבריאות (משרד ראשי) ולשכות בריאות מחוזיות (107)
משרד החוץ (109)
משרד הבינוי והשיכון (136)
המשרד לקליטת עליה (139)
נציבות שירות המדינה (104)
 מע"צ (186)
משרד התשתיות הלאומיות (164)
משרד האוצר (105)
הנהלת בתי המשפט (126)
 משרד התעשייה והמסחר (113)
 משרד החינוך (110)
 מנהל מקרקעי ישראל (165)
משרד התחבורה (122)
המרכז למיפוי ישראל (172)
משרד העבודה והרווחה (195)
 משרד החקלאות (111)
משרד התייירות (142)
 המשרד לאיכות הסביבה (166)
 הלשכה המרכזית לסטטיסטיקה (103)
 משרד ראש הממשלה (104)
 השירות המטאורולוגי (122)
 משרד המדע התרבות והספורט (162)
משרד התקשורת (185)
נציבות המים (112)
מנהל מחקר חקלאי (180)
המשרד לביטחון פנים (135)
נציבות מס הכנסה (146)
אגף המכס והמע"מ (170)
המדפיס הממשלתי (148)
1. שייכים לדרוגים: מנהלי (1), מח"ר (11), מהנדסים (12) הנדסאים וטכנאים (13)
2. עובד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זכאים לאחת מהתוספות הבאות: 
    א. תוספת השכר בשיעור 22% או השיעור השקלי של התוספת, עליה הוסכם בהסכם הקיבוצי מיום 19.4.01 (לפי מל"מ רכיב 4550)
    ב. תוספת 22% לעובדים מנהליים בבתי משפט (תוספת 875 במל"מ)
ג  תוס 22% לעובדים במשרד ראש הממשלה</t>
  </si>
  <si>
    <t xml:space="preserve">
בסיס * A
בסיס = שכר משולב (10002)
A=16.2%</t>
  </si>
  <si>
    <t>IV Module INMGR:
ILGNR (23)-N
  PRZNT-J</t>
  </si>
  <si>
    <t>שכר יסוד + תוספת ותק + 4624 (השלמת משולב 99) 
(רכיב 9169) כרגע משתמש בבסיס 9200</t>
  </si>
  <si>
    <t>התקבל עדכון לאפיון בתאריך 28/02/2022</t>
  </si>
  <si>
    <t>*תוספת ענ״א 16.2% תהווה שכר לעניין חישוב ערך שעה לצורך תשלום עבור שעות נוספות, לעניין פיצויי פיטורים כמשמעותם בחוק פיצויי פיטורים,התשכ״ג 1963- ולעניין הפרשות לפנסיה ולקרן השתלמות.
* תוספת ענ״א 16.2% לא תובא בחשבון לעניין חישוב ערך שעה לצורך תשלום עבור כוננויות, שכר עידוד ומשמרות.
*תוספת ענ"א 16.2% תובא בחשבון בחישוב העדרות (אסמכתא 3195 סעיף 2)
עדכוני רכיב שכר רלוונטים לרכיב מלמ 4169 בלבד</t>
  </si>
  <si>
    <t xml:space="preserve">
תוספת שמשולמת לעובד לשם שמירת שכרו הפנסיונו, בעת מעבר לתפקיד אחר שפוגע בשכרו הפנסיונו, או בעת מעבר בין משרדי ממשלה 
ישנם כמה מסלולים:
1. מסלול ירוק-
א. עובד העובר מהעסקה לפי דירוג דרגה להעסקה בדירוג דרגה/ מהעסקה בחוזה מיוחד שאינו גלובלי (חוזה מיוחד) לחוזה מיוחד
ב. העסקה גם בתפקיד הקודם וגם הנוכחי הוא העסקה שחל לגביו חוק שעות העבודה והמנוחה
ג. בעל וותק של 3 שנים
ד. דרגות התקן של המשרה שאליה נבחר הזוכה הן מתח דרגות 43-41 (כולל) בדירוג המח"ר, או עד למתח דרגות מקביל בדרוגים השונים
ה. פער שכר פנסיוני של עד 2,000 ש"ח, בין שכרו הפנסיוני בתפקיד הנוכחי ובין שכרו הפנסיוני בתפקיד בו זכה
ו. נמצא בהערכות גבוהות בביצועים
2. מסלול כתום- 
כמו במסלול הירוק+ והפער הפנסיוני גבוה מ-2,000 ש"ח ל 4,000 ש"ח 
3. מסלול אדום-
א. עובדים אשר לא עונים על הקריטריונים של המסלול ירוק או כתום
ב. עוברים מהעסקה בדירוג דרגה לחוזה אישי או להיפך
ג. עוברים מהעסקה בחוזה גלובלי לחוזה לא גלובי או להיפך
ד. מועסקים בשכר מומחים (בתפקיד חדש או קודם)
ה. עובדים המבקשים לשכר שכר באופן רטרואקטיבי
ו. כל מקרה אחר</t>
  </si>
  <si>
    <t>Schema
Rule =872
=873
=874</t>
  </si>
  <si>
    <t>סך כל הרכיבים הפנסיונים</t>
  </si>
  <si>
    <t>יש מייל בנושא בתאריך 19/04/2021</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</si>
  <si>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t>
  </si>
  <si>
    <t xml:space="preserve">
עבור כל המשרדים מלבד 170 - 
מוזן סכום ההפרש של העובד בין הברוטו שהיה מקבל בתפקיד הקודם לתפקיד שאליו הועבר
עבור משרד 170 - 
A-B
A=סכום שמוזן ע"י חשב השכר מהווה סכום שמירת השכר בגין עבודה נוספת
B = תשלומים בגין עבודה נוספת
והתשלום לעובד ברכיב יהיה הפער בניהם. (מחושב ע"י המערכת)</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</si>
  <si>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t>
  </si>
  <si>
    <t>רול =8S3 למשרד 170</t>
  </si>
  <si>
    <t>*סמל מלם 4173- משלם לעובד שמירת שכר בגין שכרו הפנסיוני, מדובר בסמל שכר נשחק ואופן הדיווח הינו : ברוטו פנסיוני פחות הסכום שמדווח בסמל,
מדווחים את הסכום שנקבע, ברגע שהברוטו לפנסיה של העובד שונה מיום קבלת שמירת השכר, הרכיב יושפע בהתאם,
לדוגמא: הסכום המדווח הינו 5,000 ₪, אם הייתה עלייה של 500 ₪ בשכרו של העובד בברוטו לפנסיה , תהיה שחיקת שכר של 500 ₪ בסמל השכר של השמירת שכר, והסכום שישולם בעקבות כך בסמל 4173 יהיה 4,500 ₪ ולא 5,000 ₪.
-	לגבי אופן דיווח סמל 4173: ידווח פעם אחת הסכום לשמירת השכר, וכל החודש המערכת תבדוק אם הייתה עלייה בברוטו לפנסיה.
*סמל מלם 4174- משלם לעובד שמירת שכר בגין עבודה נוספת, מדובר בסמל שכר שאינו נשחק, ומשולם לפי סכום מדווח.
היות ומדובר על שמירת שכר פנסיוני, יש לנטרל הבראה , ביגוד ומענק יובל.
-	לגבי אופן דיווח סמל 4174: ידווח ידנית פעם אחת הסכום לשמירת השכר.
*סמל מלם 5322- משלם לעובד שמירת שכר בגין שכרו הפנסיוני, מדובר בסמל שכר שאינו נשחק, ומשולם לפי סכום מדווח.
סמל מלם 5322 מיועד לדירוגים 321 – 328 (עובדי הוראה בתפקידי פיקוח ומטה) וגם 5 (חוזה בכירים) ו-57 (חוזה אישי)
לגבי אופן דיווח סמל 5322: ידווח ידנית פעם אחת הסכום לשמירת השכר.
ע"פ חשבת משרד האוצר (105): סמל 5332 מדווח סכום תוספת לשכר הפנסיוני, מהווה חלק מהשכר הפנסיוני, גם לערך שעה.
*סיכום פגישה 26/05/2020
בפועל הבראה וביגוד לא נכנסים לחישוב למרות שהם נכנסים לפנסיה.
*עדכון מאפייני הרכיב תקף אך ורק לרכיבי מלמ
4173,5322 
שאר רכיבי המלמ המצויינים מאפייני הרכיב עדין לא אושרו.</t>
  </si>
  <si>
    <t>נגזר מהנתונים המדווחים בסוגי מידע של מערכת תמר:
1. שיבוץ העובד במאגר תקנים – סוג מידע 9043, תקן שונה מ "שרות קשות"
2. רישיון נהיגה – סוג מידע 0094 
3. בעלות על רכב – סוג מידע 0442
4. אירועי רכב – סוג מידע 9041 - מונע תשלום
5. החזרי תשלומי רכב – סוג מידע 9044</t>
  </si>
  <si>
    <t xml:space="preserve">
מזכירים ראשיים ברמה א' במשרד המשפטים (116), הנהלת בית המשפט (126) 
וברשות האכיפה והגבייה (127)</t>
  </si>
  <si>
    <t xml:space="preserve">
A * B *  5.33
A = מספר הכוננויות שבוצעו על-ידי המזכירים הראשיים (לא שעות אלא מספר הפעמים שהמזכיר בכוננות)
B = ערך שכר שעה</t>
  </si>
  <si>
    <t>1) לפי התקשיר, עבור כל כוננות יש תשלום של 5.33 שעות עבודה
2) המכסה המרבית של כוננויות הניתנת לעובד לא תעלה על שש כוננויות לחודש, אלא אם נקבעאחרת בהסכם או בהסדר קיבוצי;
3) כוננויות לא יוקצו לעובדים או לקבוצות עובדים שנציבות שירות המדינה קבעה כי לא יינתנו להם כוננויות.</t>
  </si>
  <si>
    <t>'=A84 רול
הכפלה בערך שעה</t>
  </si>
  <si>
    <t>שכר ערך שעה</t>
  </si>
  <si>
    <t>V_T510K
אפשור דיווח כמות ב14 
512W-הכפלה בערך שעה</t>
  </si>
  <si>
    <t>/001</t>
  </si>
  <si>
    <t>חישוב:
A * B *  5.33
A = מספר הכוננויות שבוצעו על-ידי המזכירים הראשיים (לא שעות אלא מספר הפעמים שהמזכיר בכוננות)
B = ערך שכר שעה</t>
  </si>
  <si>
    <t>*רשות האכיפה והגביה (127) הינה יחידת סמך באגף המשפטים, 
*על פי חשבת רשות האכיפה והגבייה (127): נותנים את הרכיב למנהלי לשכות (יש אישור) זה מוכתב אוטומט הם לא צריכים לדווח בטופס אש"ל, מקבל 4 כוננויות בחודש, במעבר תפקיד סוגרים את הזכאות לעובד (משאבי אנוש מודיעים), הסמל מדווח ידנית ולא מגיע מהנוכחות.
*על פי חשבת משרד המשפטים (116):הסמל מדווח ידנית, בכמות יש לרשום 6.00,
זה אומר תשלום אוטומטי של 6 כוננויות מבלי לדווח בפועל בדו"ח הנוכחות כוננויות,
עדכון מאפייני רכיב זה תקפים לרכיב מלמ 4180 בלבד!!.</t>
  </si>
  <si>
    <t>קוד 1-גמול השתלמות א . קוד 2 - גמול השתלמות א+ב . קוד 3-גמול השתלמות א+ב דרגה 7</t>
  </si>
  <si>
    <t>מינהל מקרקעי ישראל (165) דירוג מינהל מקרקעי ישראל (565).
במונחי SAP: 
J4.
עובד אשר דירוגו הרעיוני הינו אחד מהדירוגים המקצועיים, זכאי לקבלת גמול השתלמות א' וגמול השתלמות ב', בכפוף לעמידת העובד בכל תנאי הזכאות לרכיב הנ"ל, כפי שהיה מעת לעת בדירוגו הרעיוני.  (ראה WT 10002)</t>
  </si>
  <si>
    <t>עובד שניתן לו אישור לגמול השתלמות א' בלבד:
פרמטר 0001 
עובד שניתן לו אישור לגמול השתלמות א'+ב' והוא בדרגות 1-6:
פרמטר 880 
עובד שניתן לו אישור לגמול השתלמות א'+ב' והוא בדרגה 7:
פרמטר 881</t>
  </si>
  <si>
    <t>כמות 1 = 328.76
כמות 2 = 759.76
כמות 3= 928.76</t>
  </si>
  <si>
    <t>מדובר בסמל מלם 4270
הדירוגים המקצועיים לפי התקשי"ר : 
רופאים (31), רוקחים (34), ביוכימאים ומיקרוביולוגים (33), רנטגנאים (8), אקדמאים ממדעי החברה והרוח (11),השירות המשפטי (21), והפרקליטים (22), עיתונאים (27), מהנדסים (12), הנדסאים וטכנאים (13), עובדי מחקר (43), עובדי הוראה (41), אחים (38,39), עובדים סוציאליים (34), עובדים בדירוג פארה-רפואיים (47)</t>
  </si>
  <si>
    <t>module ILGNR FEATURE ILGNRסכום מטבלה (לכל קוד סכום שונה)</t>
  </si>
  <si>
    <t>תוספת פו"מ תחול על עובדים וותיקים במשרד לשכת הקשר נתיב אשר החלו את עבודתם מתאריך 17/11/2002 אשר מדורגים בדרוגים המיוצגים על ידי ההסתדרות ובדרוג מח"ר.</t>
  </si>
  <si>
    <t>תוספת פו"מ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לשתלום התוספת הינו: שכר משולב, גמול השתלמות א' וב'
במידה ויגדל הבסיס הקבוע יגדל הערך השיקלי בהתאם.</t>
  </si>
  <si>
    <t>תוספת נתיב א' ונתיב' המשולמים לעובדי נתיב אינן כלולות בבסיס השכר האמורים.</t>
  </si>
  <si>
    <t>PRZNT-J
 רכיב עזר 9319 בSUMME B</t>
  </si>
  <si>
    <t>./ILPY/V_MM                                   V_T539J</t>
  </si>
  <si>
    <t>-דירוג פסיכולוגים (16), פסיכולוגים בדירוג מח"ר (11) - פסיכולוגים קליניים, התפתחותיים, שיקומיים, מתמחים, מלגאים, חינוכיים</t>
  </si>
  <si>
    <t xml:space="preserve">
35% מתוך הרכיבים הבאים:
1) שכר יסוד משולב
2) תוספת ותק
3) כל תוספת שכר שמובאת לעניין חישוב ערך שעה עד ליום 25-3-01 שזה כולל:
- גמול השתלמות א+ב (667+897)
- תוספת ועדת מעקב 88 (922)
- תוספת מקצועית פסיכולוגים (1614)
- תוספת גמול ניהול פסיכולוגים (1672)</t>
  </si>
  <si>
    <t>רכיבים שלא יובאו בחשבון לבסיס החישוב:
1) תוספות שאינן משולמות על בסיס חודשי/ שבועי/ יומי
2) תוספות שאינן מתעדכנות על פי הסכמי תוספת היוקר
3) השלמת שכר עד לשכר המינימום</t>
  </si>
  <si>
    <t>INMGR                                                                                    ILGNR(2)                                                                                             PRZNT B</t>
  </si>
  <si>
    <t>./ILPY/V_MM         /ILPY/WT_GEN_VC        V_T539J
v_t539A</t>
  </si>
  <si>
    <t>צריך ךלהוסיף את דרוג 11,
הורדנו כיון שנתן בהפרשים לכל העובדים בדרוג 11</t>
  </si>
  <si>
    <t>מאפייני רכיב מלם 4366 אושרו.</t>
  </si>
  <si>
    <t>לעובדים שאינם מתמחים ואינם מומחים יש לדווח זכאות לרכיב בIT0014-9522 (סמל עיסוק 790 במשכית)</t>
  </si>
  <si>
    <t xml:space="preserve">
דירוג רופאים (31), דירוג רופאים וטרינרים (32).</t>
  </si>
  <si>
    <t>דירוג רופאים 31 :
הסכומים נמצאים בטבלת שכר היסוד ושקלית 2016
דירוג רופאים וטרינרים (32):
1. החל מדרגה 2 עד דרגה 3+ : פרמטר 862
2. החל מדרגה 4 עד דרגה 6+ ורופאים וטרינרים שאינם מומחים ואינם מתמחים (ללא קשר לדרגתם): פרמטר 863
3. החל מדרגה 7 עד דרגה 7+: פרמטר 864
4. החל מדרגה 8 ועד דרגה 9+: פרמטר 865
5.דרגה 10 ומעלה: פרמטר 866</t>
  </si>
  <si>
    <t>ILGNR ולעובדים שאינם מתמחים ואינם מומחים נוסף MODIF של בדיקת דיווח של רכיב 9522</t>
  </si>
  <si>
    <t>מדובר בסמל מלם 4422
התוספת לא תהווה שכר לעניין חישוב ערך יום, ולעניין חישוב התשלום עבור עבודה נוספת, ולא תכלל בבסיס לחישוב תוספת אחוזית.
עדכון מאפייני הרכיב תקף לרכיב מלמ 4422 בלבד!!</t>
  </si>
  <si>
    <t>תוספת שירות תחול על עובדים וותיקים במשרד לשכת הקשר נתיב אשר החלו את עבודתם מתאריך 17/11/2002 אשר מדורגים בדרוגים המיוצגים על ידי ההסתדרות ובדרוג מח"ר.</t>
  </si>
  <si>
    <t>תוספת שירות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לתשלום תוספת שירות הינו: שכר משולב, גמול השתלמות א' וב', תוספת פו"מ ותוספת נתיב א'.</t>
  </si>
  <si>
    <t>PRZNT-J
 רכיב עזר 9428 בSUMME B 
 רכיב עזר 9427 בSUMME J</t>
  </si>
  <si>
    <t>התוספת תחול על כל העובדים הותיקים אשר החלו את עבודתם לפני 01/01/2003 במשרד לשכת הקשר נתיב בלבד. 
עובדים אשר מדורגים בדרוגים המיוצגים על ידי ההסתדרות ועל פי הסכמים קיבוציים.
 הסכמים קיבוציים בין המדינה לבין ההסתדרות אשר חלים במדינה על כלל הדירוגים במדינה או על חלקם.</t>
  </si>
  <si>
    <t>העובדים הותיקים והקיימים זכאים לתוספת שכר בשיעור 10% על בסיס השכר.
בסיס השכר הינו: שכר משולב, גמול השתלמות א' ו-ב', תוספת שירות ותוספת פו"מ.</t>
  </si>
  <si>
    <t>מובהר בזאת כי תוספת גמול השתלמות א' ותוספת גמול השתלמות ב' מהוות חלק מבסיס השכר.
תוספת נתיב א' אינה כלולה בבסיס השכר האמור.</t>
  </si>
  <si>
    <t>INMGR-
ILGNR N - עם 10% לכל מי שמדווח לו הרכיב
PRZNT J</t>
  </si>
  <si>
    <t>9H80
9980
9200</t>
  </si>
  <si>
    <t>./ILPY/V_MM 
V_T539J
/ILPY/WT_GEN_VC</t>
  </si>
  <si>
    <t>מאפייני רכיב 4428 אושרו</t>
  </si>
  <si>
    <t>דירוג סטודנטים (71).
סטודנט אשר השלים תקופת העסקה של 3 חודשים לפחות, יהיה זכאי להיעדר יום אחד מהעבודה, בכל שנת לימודים, לצורך השתתפות בבחינה במסגרת לימודיו. זאת כל עוד לא השלים באותו החודש את מכסת שעות העבודה החודשיות שנקבעה עבורו, בהתאם להיקף העסקתו המוגדר.
היעדרות לרגל בחינה, כאמור לעיל, תתואם מראש עם האחראי על עבודת הסטודנט במשרד, לפחות שבועיים לפני מועד ההיעדרות.</t>
  </si>
  <si>
    <t>A*B
A=כמות שעות
B=ערך שעה</t>
  </si>
  <si>
    <t>"היקף העסקתו המוגדר"-ככלל, היקף העסקת סטודנט יהיה 96 שעות בחודש.	בהתאם לצורך ובכפוף להסכמתו בכתב של הסטודנט, ניתן יהיה להעסיקו בהיקף משרה של מעל 96 שעות ועד ל- 120 שעות בחודש. אין להעסיק סטודנט מעבר ל- 120 שעות בחודש.</t>
  </si>
  <si>
    <t>VALBS 01</t>
  </si>
  <si>
    <t>מאפייני הרכיב לא עודכנו!</t>
  </si>
  <si>
    <t>*מדובר בסמל מלם 4437
*במקרה שבו סטודנט לא ניצל בשנה מסוימת את זכאותו ליום היעדרות לרגל בחינה, יוכל לממש זאת בשנה העוקבת, כל עוד הינו מועסק כסטודנט. יום היעדרות לרגל בחינה או חלק ממנו אינו ניתן לפדיון, אם לא נוצל מכל סיבה שהיא.
*במשרדים בהם מערכת הנוכחות מנוהלת במרכב"ה, לא נדרש לדווח ימי היעדרות לרגל בחינה. נתונים אלה יתממשקו אוטומטית למערכת השכר, על כן לא תופיע שורה נפרדת בגינם בתלוש השכר של הסטודנט.
במשרדים בהם מערכת הנוכחות אינה מנוהלת במרכב"ה, נדרש לחשב את כמות ימי בחינה ולדווח כמות זו באמצעות סמל 4437.
* פי חשב מכס ומעמ (170) הכמות בסמל 4437 מדווחת ידנית, מדווח מספר ימים והמערכת הופכת את כמות הימים לכמות שעות.</t>
  </si>
  <si>
    <t>זכאות מצטברת:
1. עובד מדינה בתקן המינהל האזרחי 
2. מקום עבודתו הקבוע הוא באיו"ש
3. רשימה שמית פרטנית שמועברת ע"י המנהל האזרחי
4. חתימה על התחייבות, ונתינת הסכמה לועדת המעקב
5. נדרש לעבוד במנהל האזרחי ביום 20/2/2012</t>
  </si>
  <si>
    <t xml:space="preserve">
פרטמר 0017</t>
  </si>
  <si>
    <t>הסכום נמצא בטבלת הקבועים</t>
  </si>
  <si>
    <t>IV Module INMGR:
   ILGNR</t>
  </si>
  <si>
    <t>עדכון מאפייני רכיב זה תקף לרכיב מלמ 4453 בלבד!!
במשרד 111 הרכיב מוזן לעובדים באזור יהודה ושומרון ביחדות: 
יחידה 051001 ו 51003  היו"ש
יחידה 61001 ו 61003  מת"ק עזה</t>
  </si>
  <si>
    <t>רקע:
סכום שכר שמופקע מהשכר של העובד על פי פסק דין של בית הדין למשמעת של עובדי מדינה
חשב מכס ומע"מ (170): לאחר קבלת פסק דין של בית הדין למשמעת של עובדי המדינה על ענישה של עובד, יש לדוגמא לנכות משכורת קובעת אחת ב-12 תשלומים וזה הסמל לביצוע.</t>
  </si>
  <si>
    <t xml:space="preserve">
בהתאם למה שניתן בפסק הדין, במידה ורשום שם בתשלומים, או בסכום אחד, וכן על פני איזה תקופה-
ההוראות ניתנות בפסק הדין ועל פי זה מפקיעים את שכר העובד</t>
  </si>
  <si>
    <t>SCHEMA RULE =858, =856</t>
  </si>
  <si>
    <t>ניתן להפקיע עד 25 % מהברוטו, עפ"י מייל מדלויט בתאריך: 04/10/2021</t>
  </si>
  <si>
    <t>מאפייני הרכיב עודכנו לרכיב שכר 4457.</t>
  </si>
  <si>
    <t>זכאות א:
דירוגים: מנהלי (1), טכנאי רנטגן מעשי (7), רנטגנאים (8), שירות החוץ (9), מח"ר (11),  מהנדסים (12), הנדסאים וטכנאים (13), פסיכולוגים (16), ביקורת המדינה (18), פזיותרפיסטים (20), משפטנים (21), פרקליטים (22), עובדים סוציאליים (24), סנגורים ציבוריים (25), עיתונאים (27), בכ"מ עמ"מ (33), רוקחים (34), פארה רפואיים (47), מרפאים בעיסוק (49), מפקחים ימיים (61), מקצ"ט (62), רשות הכבאות (202) , עובדי מנהל ושירותים מגזר צבורי (2). 
זכאות ב:
סטודנטים תואר שני בלבד- דרגה 14 (71)
זכאות ג:
אחים ואחיות בריאות הציבור (38), אחים ואחיות (39)
דירוגים שלא זכאים: קלדניות שופטים (526) - רשום בבירור בהסכם שלהם</t>
  </si>
  <si>
    <t>זכאות א :
בסיס החישוב * 3.6%
זכאות ב:
החישוב מבוצע רטרו על חודש קודם (כלומר, בתשלום משכורת דצמבר, החישוב יעשה בגין חודש נובמבר)
(a+b) * 0. 235
a= רכיב שכר יסוד (רכיב מל"מ 10002, ברטרו מדובר על רכיב מל"מ 9803)
b= תוספת ותק (רכיב מל"מ 9805, רכיב WT 1001)
זכאות ג :
בסיס החישוב * 5.35%</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</si>
  <si>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(10002)+ 647 + 667 + 1619 + 1951 + 1607 + 4656 + 4658 + 1617 + 1615 + 4447 +1616 +4983+1168</t>
  </si>
  <si>
    <t>IV Module INMGR:
1. ILGNR-N (21)
2. PRZNT-J
הרכיב פוצל ל 4544 ו 4548 היות ויש שוני בצבירת הרכיב לשכר מינימום על פי דירוג דרגה, הפיצול נעשה בפיצר ILSMM
בעבר יושם רק רכיב 4544, והיה פיתרון עבור חישוב מינימום על פי האמור מטה.
רכיב 4544 נצבר למינימום על פי דירוג דרגה, פיצר ILMDR
סימון 4544 עם PC73-3</t>
  </si>
  <si>
    <t>BS_4544</t>
  </si>
  <si>
    <t>/ILPY/WT_GEN_VC
v_t539j</t>
  </si>
  <si>
    <t>9544
9004</t>
  </si>
  <si>
    <t>כרגע לא הוכנס בסיס:
כל רשימת הרכיבים המופיעים באפיון האקסס למ.הבריאות
רכיב 0669- לא קיים</t>
  </si>
  <si>
    <t>*התוספת תהווה שכר לכל דבר וענין והיא תובא בחשבון לענין חישוב ערך שעה, לעבודה הנוספת , לרבות כוננויות,תורנויות,משמרות,קריאות פתע ושכר עידוד,לענין פיצויי פיטורים כמשמעותם בחוק פיצויי פיטורים,התשכ״ג 1963- , לענין גמלאות,הפרשות  פנסיה,לקרן השתלמות וכל הפרשה אחרת הנהוגה לענין שכר משולב.
*בהתאם לסעיף 5 להסכם הקיבוצי מיום 31.02.2001 התוספת לא תובא בחשבון לענייו חישוב השלמת השכר עד לשכר המינימום כמשמעותו בחוק שכר המינימום התשמ"ז - 1987, 
התוספת לא תובא בחשבון לעניין חישוב השלמת שכר לשכר מינימום אך ורק לדרגות והדירוגים הבאים:
1.מנהלי (1) דרגות +12-18.
2. טכנאי רנטגן מעשי (7), רנטגנאים (8) דרגות: 4-9.
3. מח"ר (11), מהנדסים (12), הנדסאים וטכנאים (13), פסיכולוגים (16), עיתונאים (27) דרגות:
 +35-39.
4. משפטנים (21), פרקליטים (22), דרגות ג'-ד'.
5. עובדים סוציאליים (24) ח'-יא'.   
6. בכ"מ עמ"מ (33) דרגות : ב-ה1.
7. רוקחים (34) דרגות ב'- מ'1.
8. אחים ואחיות בריאות הציבור (38), אחים ואחיות (39) דרגות 10-12.
9. פיזיותרפיסטים  (20) פארה רפואיים (47), מרפאים בעיסוק (49) דרגות 1-3.
 10. מקצ"ט (62) +5-11.
11.סטודנטים (71)
* דירוג ביקורת המדינה (18) סעיף 4 לאסמכתא 1702 קובע כי בהתאם להסכם גלוברזון (המוזכר בתחילת האסמכתא) מרכיבי השכר של דירוג 18 צמודים לשל דירוג 11.
 **בקרב סטודנטים (71) הרכיב יכנס לרובד השני של שכר מינימום (אסמכתא 131)**
*רכיבים הנכנסים לחישוב אך לא אושרו:
ס.פסיכולוגי- 626 -על פי וועדת הלבנה רשום כי הרכיב לא מהווה רכיב שכר לכל דבר ועניין (מסקנות של חמוטל: לבדוק אם בפועל נכנס לערך לשעה,אם כן לא צריך להיכנס).
ת.גיריאטריה- 728- על פי וועדת הלבנה רשום כי רכיב לא יובא בחשבון לכל דבר ועניין (מסקנות עם חמוטל: לבדוק אם הפועל נכנס לערך לשעה, אם כן לא צריך להיכנס).
לווי אח"מים- 5268- צמוד למדד המחירים
*רכיבים שטרם קיבלו אישור אך מחושבים בפועל:
רכיבים הרלוונטים לערך שעה משרד הבריאות (107):
509      תוספת אחוזית עו"ס
534      מ.א / ד"ר
600      תוספת בית חולים
626      ס. פסיכיאטרי
639      השתלמות אחיות
652      מקצ"-מיקרו
684      תוספת השתלמות
736      תוספת מינהל
798      דריכות בית החולים
884      תוספת מקצועית
913      ת. רנטגן א
922      ועדת מעקב 88
965      פסיכיאטרי / גיריאטרי
966      גריאטריה / כרוני
1614    מקצו. פסיכולוג
4340    בי"ח מאוחדת
4366    תוספת שכר
4415    תוספת רנטגן ב'
4418    תוספת תואר ב.א
4624    הסכם שכר 99
5340    בי"ח מאוחדת
בשאר המשרדים רכיבים שעדין לא אושרו:
תוספת ממ"ה (912)
תוספת ת.מ.ה. (911)
מחקר חקלאי 756
עדכון מאפייני רכיב זה תקף לרכיב מלמ 4544 בלבד!</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</si>
  <si>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t>
  </si>
  <si>
    <t>MODULE SUMME J
PC 93-1
VALBS</t>
  </si>
  <si>
    <t>v_t539j</t>
  </si>
  <si>
    <t>לא פעיל</t>
  </si>
  <si>
    <t xml:space="preserve">
עובדים מיחידת החקירות באגף השכר במשרד האוצר (105) בדירוג 587 בלבד
 או
חוקרי משמעת בנציבות שירות המדינה במשרדראש הממשלה (101) מלבד מנהל היחידה וסגנו  המצבעים פעילות מיוחדת מחוץ למשרד בהתאם לתוכנית עבודה מאושרת מראש ע"י הממונה</t>
  </si>
  <si>
    <t xml:space="preserve">
A * B
A = מספר החקירות מחוץ למשרד (מוגבל עד ל-8 בחודש)
B = תעריף ליום עבודה (פרמטר 0093)</t>
  </si>
  <si>
    <t>עבור כעבודה חקירתית או מודיעינית מחוץ לשעות הפעילות הרגילה של המשרד.
* החל מיום 1.8.2006 ישולמו לחוקרי משמעת בנציבות שרות המדינה גמולי פעילות שטח ע"פ הכללים:
א. העובדים הזכאים לתשלום גמול פעילות שטח הינם חוקרי המשמעת  בנציגות שרות המדינה (לא כולל מנהל היחידה וסגנו).
ב. ערך כל גמול פעילות שטח יהיה 100 ₪ וסכומו יעודכן בהתאם ובמעודי עדכון תוספת היוקר.
ג. עובד יהיה זכאי למכסה של עד 8 גמולי פעילות שטח בחודש.
ד. גמול פעילות שטח ישולם לעובד הנדרש לבצע פעילות מיוחדת מחוץ למשרד בהתאם לתכנית עבודה מאושרת מראש ע"י הממונה.
ה. אישור מוקדם לפעילות שטח יינתן ע"י מנהל אגף החקירות ו/או סגנו ע"פ תכנון מראש בלבד לפחות 24 שעות טרם ביצועה.
ו. הפעילות תכלול פעולות חקירה או פעילות מבצעית חקירתית ומודיעינית מחוץ לכתלי המשרד כגון- חקירות שטח, פעילות מונעת, תצפיות, פעילות סמויה ומעקבים וכל פעילות יזומה שתקבע ע"י מנהל האגף ו/או סגנו.</t>
  </si>
  <si>
    <t>Schema-VALBS-K  הישום שונה</t>
  </si>
  <si>
    <t>עבודה נעשית לפני או אחרי שעות הרגילות של המשרד או ביום שישי או שבת. 
הגמול יוענק בגין פעילות בהיקף העולה על 10 שעות עבודה ביום כאשר לפחות 4 שעות מתוכן נעשו במסגרת פעילות שטח מתוכננת מראש שהתבצעה מחוץ לכותלי המשרד.
חייב לקבל אישור מראש ממנהל היחידה לביצוע עבודת השטח וע"פ תכנון מראש בלבד.
סיכום מפגישה 26/05/2020 - הרכיב מגיע מהנוכחות, ניתן גם לדווח ישירות
*המאפיינים אושרו  לרכיב 4136  בלבד</t>
  </si>
  <si>
    <t xml:space="preserve">
א) עובדי משרדי הממשלה הזכאים להחזר הוצאות רכב, בהתאם לרמת הניידות המאושרת להם
ב) עובד שמוזן לו תקן רכב (דרכים רגילות או קשות)
ג) מקרים חריגים: הוזן רכב מסוג M1 למעט רכבים אשר סיווג המשנה שלהם הינו: מונית, רכב סיור, רכב מדברי, אמבולנס, כיבוי אש, אוטובוס, פרטי, אוטובוס ציבורי וזוטובוס
ד) לא מוזן לעובד חופשת לידה, שמירת היריון, שירות מילואים או תאונת עבודה     מגבלה: תשלום ההוצאות המשתנות בכל חודש לא יעלה על 1/12 ממכסת הקילומטרים השנתית שנקבעה בכל רמת ניידות (ראה פירוט בהערות)
לגבי דירוג של חברי כנסת (6): ח"כ הנוסע לצורך מילוי תפקידו ברכב הנמצא בבעלותו או ברשותו, והוא משלם את מלוא החזקתו זכאי להחזר התשלומים לפי התעריפים שמשולמים לעובדי המדינה בעלי רכב שירות וכן בכפוף ל:
שיעור החזר ההוצאות יהיה בהתאם למקום מגוריו של חבר הכנסת:
א) עבור 2000 ק"מ בחודש- אם מקום מגוריו בין רחובות לנתניה, בירושלים וסביבתה וביהודה ושומרון
ב) עבור 2500 ק"מ בחודש- אם מקום מגוריו דרומית רחובות ועד באר שבע, או צפונית לנתניה ועד חיפה
ג) עבור 3000 ק"מ בחודש- אם מקום מגוריו דרומית לבאר שבע, או צפונית לחיפה או במחוז חיפה
יש לשים לב:
1. ח"כ שלא נכח בכנסת ביום שמתקיימת בו ישיבת הכנסת ינוכה סכום השווה ל 1/25 מהסכום לו הוא זכאי לפי הק"מ של מקום מגוריו
2. ח"כ שהשתתף בישיבת ועדה או בסיור של ועדה ביום שבו מליאת הכנסת איננה מקיימת ישיבה, ישולם סכום נוסף בשיעור 1/25 מהסכום לו הוא זכאי לפי הק"מ של מקום מגוריו
כמובן שהתעריף יהיה לפי רכב שירות דרכים רגילות (0.68 ₪ לק"מ)</t>
  </si>
  <si>
    <t xml:space="preserve">
A*B
A- דיווח קילומטרים בפועל
B- תעריף ע"פ פרמטר: 00109
א) לבעלי רכב שירות אישי דרכים רגילות- סך של 0.68 ₪ נטו לק"מ (1034), במשרדים הכנסת (102) ומשרד לביטחון פנים משולם בסמל 867.
ב) לבעלי רכב שירות אישי דרכים קשות- תעריף מיוחד א: 1.29 ₪ נטו לק"מ (1084)
ג) לבעלי רכב שירות אישי תעריף מיוחד ב: 0.85 ₪ נטו לק"מ (1041)
ד) לבעלי קטנוע שירות ואישי- סך של 0.41 ₪ לק"מ (תעריף זה כולל גם את ההוצאות הקבועות)- (1070)
ה) לבעלי טילון שירות ואישי (אופניים עם מנוע עזר)- סך של 0.29 ₪ לק"מ (תעריף זה כולל גם את ההוצאות הקבועות)- (1071)
ו) לבעלי אופנוע מ500 סמ"ק שירות ואישי-סך של 0.55 ₪ לק"מ (תעריף זה כולל גם את ההוצאות הקבועות)- (4398)
ז) לבעלי אופנוע מ-151 עד 499 סמ"ק שירות ואישי-סך של 0.50 ₪ לק"מ (תעריף זה כולל גם את ההוצאות הקבועות)- (4399)
ח) מרצים ונותני שירותים שונים- המשתמשים במוכינתם לנסיעות הקשורות במתן השירות, 1.4 ש"ח ברוטו לק"מ - (1038)</t>
  </si>
  <si>
    <t>א. פעמיים בשנה – במשכורת חודש אפריל ובמשכורת חודש אוקטובר – תיערך התאמת תשלום ההוצאות המשתנות על פי מספר הקילומטרים שעליו דיווח העובד במשך 6 חודשים שחלפו, ובמידת הצורך יושלם ההפרש עד למכסה היחסית המתייחסת לאותה תקופה
ב. עובד המקבל מהמנהל הכללי של המשרד אישור למכסת קילומטרים נוספת לשם ביצוע משימה חולפת (בהתאם למכסה העומדת לרשות המשרד באיגום מיוחד) – זכאי בתקופה שלה ניתן האישור להוצאות משתנות במסגרת 1/12 מהמכסה השנתית המאושרת בדרגת ניידותו ובתוספת המכסה שאושרה על ידי המנהל הכללי לאותה התקופה, אשר לא תעלה על 2,000 קילומטר בשנה
ג. עובד אשר נעדר חודש שלם מהעבודה ויש לו אחזקת רכב – לא זכאי לתשלום עבור ק"מ משתנות.
כאשר מדווח סמל זה – מנוכה לעובד משתנות רגילות נטו (משולם לעובד בסמל 1034)
ד. רמת הניידות:
1. מכסת הקילומטרים השנתית על פי רמת הניידות לבעל רכב שירות:
רמת ניידות א: 4,500
רמת ניידות ב: 6,000
רמת ניידות ג: 8,000
רמת ניידות ד: 10,000
2. מכסת הקילומטרים השנתית על פי רמת הניידות לבעל רכב אישי:
רמת ניידות 1: 1,000
רמת ניידות 2: 1,500
רמת ניידות 3: 2,000
רמת ניידות 4: 2,500
רמת ניידות 5: 3,000
*בהתאם להוראות עובד שאושרה לו רמת ניידות רכב ומחזיק אופנוע/קטנוע מקבל תעריף לק"מ הכולל בתוכו את רכיב הקבועות,
*יש לחסום את רכיבי הוצאות קבועות בסמלים 700 ו-750 . מעובדים המקבלים משתנות בסמלים:
משתנות קטנוע-סמל 1070
משתנות לבעלי טילון  -  סמל 1071
משתנות אופנוע- סמל 4398 
משתנות לבעלי אופנוע בנפח מנוע 499 סמ"ק - סמל 4399
*חבר בית דין לגיור - ותיקים (491), חבר בית דין לגיור - ותיקים (493):
התשלום מבוסס על בסיס הצהרה, ניתן להצהיר עד 500 ק"מ כנסיעות בעיר, המכסה המקסימלית ברכב ד' הינה 833 ק"מ, תשלום של 68 אגורות נטו לכל ק"מ, מקסימום 500 ק"מ: 340 ₪ (תלוי בחלקיות משרה).</t>
  </si>
  <si>
    <t>T510J</t>
  </si>
  <si>
    <t>דרכים קשות = מגורים בישוב עם דרכים לא סלולות
(1041 בקרב השליחים מופיע כשעות העדרות והוא משויך ל WT 3003)
במשרד הפנים רכיב 1041 משולם לעובדים ותיקים בשטחי יהודה ושומרון, עובדים חדשים לא מקבלים את התוספת)
במשרד האוצר כבר לא קיימים עובדים המקבלים את התשלום
כיצד אתם מזהים את הסמ"ק של האופנוע: לפי רישיון הרכב. ואז אירוע 340 מגדיר בדיוק את הסמ"ק
עדכון מאפייני הרכיב תקף אך ורק לרכיבי מלמ
1034,1041,1070,1071,1072,1084,4398,4399,867
שאר רכיבי המלמ המצויינים מאפייני הרכיב עדין לא אושרו
*הכפפה לחלקיות משרה נעשית בנוכחות
*על פי החשכ"ל אין לפתוח את סמל מלם 1071 במערכת החדשה. (אסמכתא 3092)</t>
  </si>
  <si>
    <t>זכאות מצטברת:
א. כל המשרדים  מלבד בית הנסיא (אזור עובדים 8093)
ב. עובד בדירוגים הזכאים: מנהלי (1), מח"ר (11), מהנדסים (12), הנדסאים וטכנאים (13), עיתונאים בשירות הציבורי (27), מקצ"ט (62), דירוג (02) , דירוג (202)</t>
  </si>
  <si>
    <t>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יש לשים לב: אם העובד מקבל את הרכיבי שכר הבאים, יש להפחית לו את הסכום מתוספת השכר 2001 (4550):
1. טיסה פעילה (606 + 607)
2. תוספת מיוחדת 6% (642)
3. תוספת פנימית (681)
4. תוספת מקצועית מיסים (705)
5. תוספת מיוחדת 7.5% (697)
6. תוספת מינהל משרד הבריאות (736)
7. בוררות מיסים (741)
8. אחוז ממשולב (756)
9. תוספת אחוזית לאגף רישום מקרקעין (858)
10. תוספת בית משפט (875)
11. תוספת 7.5% בלמ"ס (920)
12. תוספת שומת מקרקעין (4406)
13. תוספת שכר במשרד החקלאות (4651)
14. תוספת שכר במשרד רוה"מ (4687)
15. תוספת כבאות סמל (1619)
16.תוספת כפיים (1648) (4447) (1615) (1617)
17. תוספת 13.6% (5279)
18. תוספת איזון (628)
19. תוספת מטרדים (1964)
20. תוספת 10% (1667)</t>
  </si>
  <si>
    <t>חישוב ברכיב עזר - 9455 
IV Module INMGR: 
   Summe J
   ILGNR (23)
פיצ'ר ILGNR-9455 (, הבחנה לפי משרד, במידה ומדובר ל"הנהלת בתי המשפט" יוחזר EM 02 , לשאר המשרדים הזכאים יוחזר 01))
חישוב ברכיב 4550
IV Module INMGR
ILNUL
SUMME J
(מחושב רכיב 9455 פחות התוספות שיש להפחית עפ"י האפיון.)
במידה והסכום פחות התוספות קטן מאפס- לא ישולם הרכיב</t>
  </si>
  <si>
    <t>פרוט במסמך "נושאים מיוחדים".מייל מאורואל דלויט ב9/5/21 בו נרשם שכל המשרדים זכאים לרכיב זה (בשונה מהאפיון הראשוני שנמצא ב"נושאים מיוחדים" שם שלחו רשימה ספציפית של משרדים. וכן במהלך החישוב מחושב עם רכיב 9544</t>
  </si>
  <si>
    <t>זכאות
העובד נמצא באחד הדירוגים הבאים: 
* דירוג מנהלי (1), משטרה אחיד (77),  בדרגות 10, 11, 12, +12, 13, +13, 14, +14, 15, +15, 16, +16, 
*דירוג מח"ר (11), ביקורת המדינה (18), משטרה מח"ר (91), בדרגות 35, +35, 36, +36, 37, +37 
* דירוג הנדסאים וטכנאים (13), משטרה - טכנאים (92), נגד טכנאי ישים (392), נגד אקדמאי ישים (300),  בדרגות 35, 35+, 36, 36+, 37, 37+ 
* דירוג מהנדסים (12) משטרה מהנדסים (93), בדרגות בדרגות 35, 35+, 36, 36+, 37, 37+ 
* דירוג פיזיוטרפיסטים (20) רמה 1 (מעשי).
* דירוג עובדים סוציאליים (24) בדרגות יא' - ט'.
* דירוג עיתונאים (27) בדרגות 35, 35+, 36, 36+, 37 37+
* דירוג בכ"מ עמ"מ (33) בדרגות ה1 - ד
* דירוג רוקחים (34) עד דרגה ד' כולל.
* דירוגים מרפאים בעיסוק (49) ופארה רפואיים (47): רמה 1 (מעשי)
* דירוג רשות הכבאות (202) ודירוג 02 לכבאי שמשובץ בדרגות 4 - 7+ בדירוג.</t>
  </si>
  <si>
    <t xml:space="preserve">
- לעובדי הדירוג המנהלי (1), משטרה אחיד (77) ודירוג רשות הכבאות (202)בדרגות הכתובות לעיל:
WT1000+WT1001 (שכר יסוד + כולל וותק) * 4%
- לעובדי הדירוגים: מח"ר (11), הנדסאים וטכנאים (13), מהנדסים (12), ביקורת מדינה (18), עיתונאים (27), משטרה מח"ר (91), משטרה - טכנאים (92), משטרה מהנדסים (93),נגד טכנאי ישים (392) נגד אקדמאי ישים (300)  בדרגות הכתובות לעיל:
WT1000 + WT1001  (שכר יסוד + כולל וותק) *3.6%
- דירוג עובדים סוציאליים (24): (שכר יסוד + כולל וותק) * 3.3%  
- דירוג בכ"מ עמ"מ (33): (שכר יסוד + כולל וותק) * 3.9%
- דירוג רוקחים (34): (שכר יסוד + כולל וותק) * 3.8%
- דירוג פיזיוטרפיסטים (20), דירוגים מרפאים בעיסוק (49) ופארה רפואיים (47): (שכר יסוד + כולל וותק) * 3.45%</t>
  </si>
  <si>
    <t>* דירוג ביקורת המדינה (18) סעיף 4 לאסמכתא 1702 קובע כי בהתאם להסכם גלוברזון (המוזכר בתחילת האסמכתא) מרכיבי השכר של דירוג 18 צמודים לשל דירוג 11.
עדכון מאפייני רכיב זה תקף לרכיב מלמ 4642 בלבד!!.</t>
  </si>
  <si>
    <t>+זכאות א: 
הקדמה לרכיב השלמת שכר, החל מיום 01/01/1999 יהיו העובדים בדירוגים המצוינים זכאים ל (רכיב מלם 4624):  
1) דירוג המינהלי (1): בדרגות 10 עד 16/16+ לתוספת שכר בשיעור 4% מהשכר המשולב 
2) דירוג המח"ר (11)+ הנדסאים (13) + פסיכולוגים (16) + ביקורת המדינה (18) + עיתונאים (27): בד/*-רגות 35 עד 37/37+ לתוספת שכר בשיעור 3.6% מהשכר המשולב
3) דירוג בכ"מ עמ"מ (33) בדרגות ה1 - ד': תוספת השכר תהיה 3.9% מהשכר המשולב.
4) דירוג רוקחים (34) עד דרגה ד' (כולל): תוספת השכר תהיה 3.8% מהשכר המשולב.
5) דירוג פיזיוטרפיסטים (20), פארה-רפואיים (47), מרפאים בעיסוק (49),  רמה 1 (מעשי) הדרגה רלוונטית ל-3 הדירוגים: תוספת השכר תהיה 3.45% מהשכר המשולב
6) דירוג עובדים סוציאליים (24) דרגות יא - ט: תוספת השכר תהיה 3% מהשכר המשולב
7) דירוג כבאים (202) (002), שקודמו לדרגה 10 ושכרם הפנסיוני ירד לעומת דרגה 9 או 9+ או 8 (השינוי נובע בין היתר מאחר ובדרגה 10 תוספת 3.6% נכנסת לתוך שכר המינימום, כאשר עד דרגה 9+ התוספת הינה מחוץ לשכר המינימום.
בהתאם להסכם נקבע בנוגע לתוספת 3.6% כי במידה ומצב כזה קורה תבוצע השלמת שכר בדומה לדירוגים האחרים בסמל 4643. – כיום הסמל הנ"ל בדרוג 002 ו-202 לא נוצר בבט"פ)
יחד עם זאת: תשלום התוספת יופסק לעובד החל ממועד בו יעלה לדרגה שמעבר לדרגה 16+ בדירוג המינהלי (1), תשלום התוספת יופסק לעובד החל ממועד בו יעלה לדרגה שמעבר לדרגה 37+ בדירוג המח"ר (11) + הנדסאים (13)
(עד כאן רכיב "הסכם 99"- מספר 4624)   
יש לשים לב: שכרו של עובד שעולה מעל דרגה 16+ (במינהלי) או 37+ (מח"ר + הנדסאים) לא יפחת עקב עלייה זו.    
ולכן: עובד שייווצר לגביו הפרש שלילי בגין העלייה בדרגה- (כלומר התוספת בשכר המשולב בעקבות העלייה בדרגה תהיה נמוכה יותר מ4% או 3.6% מתוספת שהופסקה) יהיה זכאי לתוספת אישית בסכום ההפרש. אשר תקוזז ותופחת כנגד כל הגדלה של שכר לערך שעה, למעט השלמת שכר עד לשכר מינימום, כמפורט להלן:    ויש לשים לב: 
א) התוספת האישית לא תובא בחשבון לעניין חישוב השלמת שכר ער לשכר המינימום 
ב) החל ממועד בו חדל העובד, הזכאי לתוספת אישית, להיות זכאי לתשלום השלמת שכר עד לשכר מינימום, תקוזז התוספת האישית כנגד כל הגדלה של השכר המובא בחשבון לעניין חישוב ערך שעה
ג) למען הסר ספק מובהר כי א...</t>
  </si>
  <si>
    <t>חישוב זכאות א:
התוספת הינה תוספת שקלית בגין ירידה בשכר לערך שעה עקב ביטול תוספת "הסכם 99" עקב עלייה בדרגה, החישוב מתבצע בדרך הבא: 
שלב א: מחשבים את כל השכר והתוספות כולל הוותק וכל מה שכרוך במצב מדומה שעדיין הוא נשאר בדרגה המקסימלית לזכאות של הסכם 99 כולל הזכאות של הרכיב הזה (שזה 16+ לדירוג המינהלי, או 37+ לדירוג המח"ר או הנדסאים)
שלב ב: מחשבים את כל השכר והתוספות כולל הוותק וכל מה שכרוך במצב הנוכחי, יש לשים לב שזה בלי הסכם 99
שלב ג: אם קיים הפרש שלילי בין שלב ב לשלב א - ז"א שבשלב א הוא מקבל יותר מאשר שלב ב וזה למרות שהוא עלה בדרגה אך בגלל שהתבטלה התוספת של הסכם 99-
הוא זכאי לתוספת אישית של ההפרש הנ"ל 
זכאות ב:
התוספת הינה תוספת שקלית בגין תוספת 2001 (4544).
במידה ועובד עולה לדרגה בה תוספת 2001 (4544) כן נכללת ברכיבים להשלמת הכנסה.
נבדק אם השכר לשעה של העובד בדרגתו החדשה נמוך מהשכר לשעה הקודם, ואם כן תבוצע השלמת שכר אוטומטית ברכיב 4643.</t>
  </si>
  <si>
    <t>*מקרה להמחשת החישוב (המספרים רנדומליים, למעט שיעור התוספת להסכם 99): 
אם עובד בדרגה 16+ בדירוג המינהלי היה מרוויח 5000 ש"ח כשכר, הוא היה זכאי לתוספת של 4% בהתאם ל"הסכם 99",
בעקבות התוספת שכרו עמד על 5,200 ש"ח.
כאשר העובד עלה לדרגה 17, עלה שכר הבסיס שלו ב3% וכעת שכרו עומד על 5,150 ש"ח.
מכיוון שהוא לא זכאי לתוספת של 4%, בפועל בעקבות העלייה בדרגה נוצר לו הפרש שלילי בשיעור של 50 ש"ח (ההפרש בין 5,200 ש"ח לבין 5,150 ש"ח (הוא מרוויח כרגע פחות מאשר בדרגה יותר נמוכה בה הוא היה)
במצב זה תשולם לעובד תוספת אישית בסכום של 50 ש"ח, לכיסוי ההפרש השלילי, אם שכרו יעלה בעוד חודש ל 5,175 ש"ח, יקטן לו שיעור התוספת ל25 ש"ח, אם שכרו יעלה בעוד חודשיים ל5,190 ש"ח, תקטן התוספת ל10 ש"ח.
ברגע שכרו בדרגה 17 ואילך, עוקף את השכר שקיבל בדרגה עד 16+ (כולל התוספת 4% שניתנה בזמנו) אין יותר הפרש שלילי, ולכן אין יותר זכאות לתוספת "השלמת שכר" (4643) ולא יבוצע עוד החישוב.
*הערות:
1. (אסמכתא 3242) יש להשוות כל דרגה מעל 16+ או 37+ (בהתאם לדירוג) לדרגה שמתחתיה ב +.
לדוג' –  דרגה 38 יש להשוות לשכר בדרגה 37+
            דרגה 38+ יש להשוות לשכר בדרגה 37+
            דרגה 39 יש להשוות לשכר בדרגה 38+
            דרגה 39+ יש להשוות לשכר בדרגה 38+
            דרגה 17 יש להשוות לשכר בדרגה 16+
            דרגה 17+ יש להשוות לשכר בדרגה 16+
            וכן הלאה..
 בשכר שאליו משווים, בדרגה הקודמת, לא יחושב רכיב 4643- זאת אומרת, אם העובד בדירוג 39 תבוצע השוואת שכר בין השכר בדרגה 39 (השכר הנוכחי) לבין שכר בדרגה 38+, בחישוב השכר להשוואה בדרגה 38+ לא יחושב השוואה לדירוג 37+.
2.	אם עובד נכנס ישר לדרגה בה אין את רכיב הסכם 99 (לדוגמא נכנס ישר לדרגה 17 ) אז עדיין צריך לעשות את החישוב ולבדוק אם יש צורך בהשלמה (אסמכתא 3242).
3.	החישוב נעשה כל פעם מחדש, גם אם עלייה מדרגה אחת לשנייה יש עלייה, ברגע שהעובד עולה שוב בדרגה יש לבדוק שוב אם יש הרעה בתנאים. זאת מפני וגם ישנם מקרים שבדרגות גבוהות פתאום יכולה להיות ירידה בערך שעה (אסמכתא 3242).</t>
  </si>
  <si>
    <t>מודול ZCMP
ואריאנט להשוואה - A
טבלה להגדרת הדירוגים אליהם יש להשוות ILG/PY_CMP_BP/
 פיצר Z4643 מחזירX עבור טווח דרגות להשוואה (דרגות המזכות ב 4624)
תיעוד נוסף בתקיית היישום
K:\SACH\ספירטק\General\users\לקוחות\חשב הכללי\פרוייקט שכר\יישום\יישום - רכיבי שכר\ישום משרדי פיילוט\רכיב 4643</t>
  </si>
  <si>
    <t>ההשוואה הינה על רכיבים משכר בסיס הרלוונטים לדירוגים 01,11,13 ללא תוספות שכר מינימום, כולל שמירת שכר - 4173,4174</t>
  </si>
  <si>
    <t>*בסיס החישוב של הרכיב הזה: זה עושים מצב מדומה למה היה קורה במידה ולא היה עולה בדרגה, אין רכיבים מסוימים, זה פשוט אותם רכיבים כמו בדרגה החדשה, לא לשכוח שמחשבים את המצב המדומה להכניס גם את רכיב "הסכם 99" (4624)
*דירוג ביקורת המדינה (18) סעיף 4 לאסמכתא 1702 קובע כי בהתאם להסכם גלוברזון (המוזכר בתחילת האסמכתא) מרכיבי השכר של דירוג 18 צמודים לשל דירוג 11.
*(אסמכתא 3243) אופן בדיקת הרכיב:1.	אם הסמל קיים ערך השעה אמור להיות זהה לדרגה שמולה נבדקה ההשוואה.
2.	אם הסמל אינו קיים כלומר שמול הדרגה שנבדקה ערך השעה יהיה זהה או יותר גבוה.
*עדכון מאפייני הרכיב תקף לרכיב מלמ 4643 בלבד!!</t>
  </si>
  <si>
    <t xml:space="preserve">
 חל על עובדי משרד החקלאות (111) בדירוגים הבאים:
מינהלי (1), מח"ר (11), מהנדסים (12), הנדסאים וטכנאים (13, מקצ"ט (62), עובדים סוציאליים (24), משפטנים (21) יחידת הפיצו"ח (290)</t>
  </si>
  <si>
    <t xml:space="preserve">
לעובדי דירוג המשפטנים (21) ויחידת הפיצו"ח (290):
שכר משולב (10002)+הסכם 99 (4624) * 8.15%
לעובדי הדירוגים: מינהלי (1), מח"ר (11), מהנדסים (12), הנדסאים וטכנאים (13, מקצ"ט (62), עובדים סוציאליים (24):
שכר משולב (10002)+הסכם 99 (4624) *15%</t>
  </si>
  <si>
    <t>Module INMGR:
ILGNR - N  
PRZNT - J
FEATURE IL014 - לפי דירוג ומשרד החלקאות - 1100
אם משולם רכיב 756 הרכיב מנוטרל ברול =8B7</t>
  </si>
  <si>
    <t>נוסף לרכיב הסכם 99</t>
  </si>
  <si>
    <t>/ILPY/V_MM
/ILPY/WT_GEN_VC
V_T539J</t>
  </si>
  <si>
    <t>9200
9036</t>
  </si>
  <si>
    <t>(מדובר בסמל מלם 4651)
מאפייני רכיב 4651 אושרו</t>
  </si>
  <si>
    <t>זכאות מצטברת:
 א. משובץ בדרוג מפקח ימי (דרוג 61)
ב. תפקיד נתב
ג. עובד בנמל חדרה (משרד 123)</t>
  </si>
  <si>
    <t>סכום קבוע שקלי פרמטר 857 (1,600 ₪)</t>
  </si>
  <si>
    <t>מדובר בסמל מלם 4683
מאפייני הרכיב אושרו לרכיב מלמ 4683 בלבד!</t>
  </si>
  <si>
    <t>עובדי משרד לביטחון פנים (135) בתפקידים הבאים:
מנהל תחום, ממונה, מרכז בכיר, עוזר לראש אגף, סגן מנהל מחלקה, מרכז, ראש ענף, מנהל מדור, רכז בכיר, רכז, מזכירה בכירה.
עובדי משרד ראש הממשלה (104): בתפקידים המפורטים בנספח א' לועדת מעקב מיום 02.01.2000 (אסמכתא 1636)</t>
  </si>
  <si>
    <t>חישוב
הגבוה מבין:
א. A * 22%
A = שכר משולב מפורט בנתונים נדרשים)
ב. 812 ₪ לחודש פרטמר 443 (סכום מתעדכן).</t>
  </si>
  <si>
    <t>Module INMGR:const, summe -j הגבוה מבין שתיהם</t>
  </si>
  <si>
    <t>v_t539j
/ILPY/V_MM
V_T510K</t>
  </si>
  <si>
    <t>*מדובר בסמל מלם 4687
*משרד לבטחון פנים (135) יש לעדכן את התוספת בסך 812 ₪ לחודש בהתאם לשיעורי השינוי שיחולו בשכר המשולב של דרגה 19 בדירוג המנהלי לרבות שינויים בגין הסכמי תוספת יוקר) ובאותם מועדים בו ישונה השכר כאמור.
מאפייני הרכיב עודכנו לרכיב 4687 בלבד.</t>
  </si>
  <si>
    <t>זכאות מצטברת:
משרד נציבות מס הכנסה-רשות המיסים (146), משרד מיסוי מקרקעין , אגף מכס ומע"מ רשות המיסים (170):
1. שייכים לדרוגים: מנהלי (1), מח"ר (11), מהנדסים (12) הנדסאים וטכנאים (13)
2. עובד בתפקיד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עובדים אשר הסכם ענ"א מיום 11/02/2003 אינו חל עליהם (סמל מלם 4169, WT 1251)</t>
  </si>
  <si>
    <t xml:space="preserve">
A*B
A=שכר משולב (10002)
B=8%</t>
  </si>
  <si>
    <t>{לפי ורד מרשות  האכיפה והגביה, התוספת אינה אוטומטית ותלויה באישור משאבי אנוש}</t>
  </si>
  <si>
    <t>*מדובר בסמל מלם 4932.
*התוספת מהווה שכר לעניין חישוב ערך שעה לצורך תשלום בעד עבודה נוספת לרבות עבור שעות נוספות, כונניות, תורנויות, משמרות, קריאות פתע ושכר עידוד לעניין פיצויי פיטורים כמשמעותם בחוק פיצויי פיטורים התשכ"ג -1963, ולעניין הפרשות לפנסיה לקרן השתלמות וכל הפרשה אחרת הנהוגה לעניין השכר המשולב.
*מדינת ישראל מתחייבת לפעול להכרה בתוספת כתוספת קבוע לענין חוק שירות המדינה התש"ל 1970.
* החל מיום 01/10/2008 לעובדים הממלאים אחר התנאים המפורטים בסעיף 4 לשכ. 2008-9946 מיום 2008-11-24 ואשר ביצעו כונניות בהתאם לאישור ערב המועד הקובע, תופחתנה , שתי כונניות ממכסת אשר אושרה לתפקידם ערב המועד הקובע,
*עובדים אשר ערב המועד הקובע , מכסת הכוננות שלהם קטנה מ-2, תופחתנה ביחס לתפקידם רק מכסת הכוננות אשר אושרה להם כאמור.
עדכון מאפייני רכיב זה תקף לרכיב 4932 בלבד!!</t>
  </si>
  <si>
    <t xml:space="preserve">
עובדים בדירוג  מנהלי (1), רנטגן מעשי (7), רנטגנאים (8), דירוג שירות החוץ (9), מח"ר (11), מהנדסים (12), הנדסאים וטכנאים (13), פסיכולוגים (16), שירות המשפטי (21), עובדים סוציאליים (24), עיתונאים (27), מקצ"ט (62), רוקחים (34), בכ"מ ועמ"מ (33), אחים ואחיות (38,39), פארה רפואים ומרפאים בעיסוק (47,49), פיזיוטרפיסטים (20), פרקליטים (22), סנגורים ציבוריים (25)
במשרד 139-  קיים רכיב זה לאחיות מעשיות(דירוג 38 דרגה 130.)</t>
  </si>
  <si>
    <t xml:space="preserve">
בסיס החישוב לכלל הדירוגים- קוד מלם (4934):
כל רכיבי השכר שמובאים בחשבון לצורך חישוב ערך שעה לרבות את תוספת הסכם 2001 - 3.6% (WT1007). 
לצורך החישוב יבוצע תחילה חישוב של הסכם תוספת 2001 ואז על גביו את החישוב של תוספת הסכם 2009.
שיעור התוספת:
דירוג מנהלי- 01: עד תאריך שכר 10/2016 כולל - 4.7% 
                       מתאריך שכר 11/2016 כולל- 5%
דירוג רנטגנאים 8: 4.6%
דירוג שירות החוץ (9): עד תאריך שכר 07/2016 כולל - 4.7% 
                       מתאריך שכר 08/2016 כולל- 5%
דירוג מח"ר- 11, פסיכולוגים (16), ביקורת המדינה (18)- 
עד תאריך שכר 10/2017 כולל- 4.7%
                       מתאריך שכר 11/2016 כולל- 5%
דירוג מהנדסים 12: 5%
דירוג הנדסאים 13: 5%
דירוג שירות המשפטי 21: 5%
דירוג עובדים סוציאליים 24: 4%
דירוג מקצ"ט 62 ועיתונאים 27- 5%
דירוג רוקחים (34)- 3.33%
 בכ"מ ועמ"מ (33):
* דרגות ה1-ד (כולל) 4.8%
* מדרגה ג' ומעלה 5%
אחים ואחיות (38,39):
* לאחות המשובצת בטבלת שכר של אחיות בעלי תואר ב.א, מ.א או ד"ר 6.33%.
* לאחות מוסמכת 4%.
* לאחות מעשית 2.5%.
פארה רפואים ומרפאים בעיסוק (47,49): 4.16%
פיזיותרפסיטים (20): 4.16%
פרקליטים (22) וסנגורים ציבוריים (25) 5%
במשרד 139-ה 
(יסוד משלוב+ גמול השתלמות (סמל 0639)+תוספת שכר 5.35% (סמל 4544))*2.5%
נגזר באופן אוטומטי מתוך דירוג 38 דרגה 130.</t>
  </si>
  <si>
    <t>הערך האחוזי מתועד בטבלת הקבועים:
0011 - אחוז תוספת
דירוג 90- ממתין להנחייה מטיפול מטה שכר</t>
  </si>
  <si>
    <t>מי שמקבל רכיב 1619 - לא זכאי לרכיב 4934</t>
  </si>
  <si>
    <t>BS_4934</t>
  </si>
  <si>
    <t>*	תוספת 2009 תהווה שכר לכל דבר ועניין ותובא בחשבון לעניין חישוב ערך שעה לצורך תשלום עבור עבודה נוספת לרבות כוננויות, תורנויות, משמרות, קריאות פתע ושכר עידוד, לעניין פיצויי פיטורים כמשמעותם בחוק פיצויי פיטורים, תשכ"ג-1963, לעניין הפרשות לקרן פנסיה (לגבי עובדים בפנסיה צוברת), הפרשות לקרן השתלמות וכל הפרשה אחרת הנוהגת לגבי השכר המשולב.
*תוספת 2009 לא תובא בחשבון לעניין חישוב השלמת השכר עד לשכר המינימום כמשמעותו בחוק שכר מינימום, התשמ"ז-1987.
*תוספת 2009 תובא בחשבון לעניין חישוב תוספות שנתיות ומענקים שנתיים המחושבים על בסיס השכר המובא בחשבון לצורך חישוב ערך שעה או  על בסיס המשכורת הקובעת בפנסיה תקציבית.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תקפים לרכיב מלמ 4934 בלבד!
עובדים סוציאלים (24) במשרד להרווחה (118) 
יוכנס לחישוב רכיב- חקיקה מעמסה (רכיב מלמ 1057) , רכיב זה יכנס לחישוב כבר בחישוב של תוספת 3.6% עליו נבנה החישוב של תוספת 2009.</t>
  </si>
  <si>
    <t>משרד התחבורה (122) דירוג מנהל תעופה אזרחי (122), 
השכר הכולל לדירוג 122 מתחלק לשכר בסיס (סמל מלם 10002) ושעות נוספות כוללות (סמל מל"ם 4936) 
מספר השעות הנוספות הינו: 100 שעות נוספות לטייסים, 70 שעות נוספות למהנדסים ו 50 שעות נוספות להנדסאים/טכנאים.
רכיב 4936 מחושב בהתאם לחוזר מיום 2007-12-20.</t>
  </si>
  <si>
    <t>מדובר בתשלום סכומי המתעדכן בעת עדכון סמל מלם 10002 לדירוג 122.
 הסכום לתשלום נקבע בהתאם לדרגת העובד.
 מצ"ב טבלה עם סכומים מעודכנים לשנים 2014-2023 באסמכתא 3339 (סמל 4936-סכומים לתשלום)
עדכון 1.2025 - יש להכפיל תעריף קיים ב3.24%</t>
  </si>
  <si>
    <t>מדובר בסמל מלם 4936
לדירוג 122 לא ישולם תגמול בגין כוננויות, משמרות שכר עידוד וכדומה.
מאפייני רכיב 4936 אושרו.</t>
  </si>
  <si>
    <t>INMGR                                                                                    ILGNR(2)                                                                                             PRZNT J(9950 על רכיב)</t>
  </si>
  <si>
    <t>./ILPY/V_MM         /ILPY/WT_GEN_VC        V_T539J</t>
  </si>
  <si>
    <t>אפיון 
K:\SACH\ספירטק\General\users\לקוחות\חשב הכללי\פרוייקט שכר\יישום\יישום - רכיבי שכר\ישום משרדי פיילוט</t>
  </si>
  <si>
    <t>ביוניק 4</t>
  </si>
  <si>
    <t>קודים לדיווח:
1-שלב 1
2-שלב 2
3-שלב 3</t>
  </si>
  <si>
    <t>עובדים בדירוג:
מנהלי (1)- כלל משרדים
עובדי מנהל ושירותים מגזר צבורי (2)- במשרד לבט"פ 135(הדירוג נקרא גם אחיד עיריות) ל"עובד עובר" 
דרוג מקצ"ט (62)-כלל המשרדים
דרוג עובדים אקדמיים חיוניים (87) עובדים אקדמיים חיוניים חדש(587)- כלל המשרדים
דרוג רשות הכבאות (202) במשרד לבט"פ 135
דרוג עובדי מעברי הגבול (519) ברשות האוכלוסין וההגירה 119
דרוג קלדנית שופט (526) במשרד הנהלת בתי המשפט-126 אשר אלמלא דירוג זה הייתה מדורגת בדירוג המנהלי זכאי לגמול השתלמות (אישור הזכאות לגמול המינהל יינתן לעובד על -ידי ועדת הגמול ) רמות שכר 09 עד 30
דרוג מנהל מקרקעי ישראל (565) במשרד רשות מקרקעי ישראל אשר דירוגם הרעיוני הינו הדרוג המינהלי
דרוג בוחני נהיגה שכר כולל חדש (588) במשרד התחבורה -122</t>
  </si>
  <si>
    <t xml:space="preserve">
A*פרמטר 0006
A הוא מספר השלבים שהפרט השלים (40 שעות קורסים מזכים) 
0006- סכום לכל שלב- עד 3 שלבים</t>
  </si>
  <si>
    <t>לדירוג 519 בהתאם לחוזר הממונה על השכר הותר שימוש בסמל 4983 גמול מינהל למועסקים במעברי הגבול- לדירוג הנ"ל אין התניה והוא ישולם גם אם אין לעובד גמול א' בסמל 647 ( בדגש: רק לדירוג 519 תבוטל ההתניה).
לדירוג 2, הרכיב משולם לעובד עובר- , כהגדרתו בהסכם הרפורמה (אסמכתא 175), אשר ערב יום כינון הרשות היה מדורג בדירוג האחיד, ולא זכאי לגמול שלטון מקומי (WT 1564). יובהר כי כל הכללים החלים במדינה לגבי הזכאות לגמול המינהל, יחולו גם על עובד עובר.</t>
  </si>
  <si>
    <t>ILGNR-N(10)
CONST-M
פיצר ILGNR -הפניה לתוכנית /ILPY/GR02
שמטפלת בקודים</t>
  </si>
  <si>
    <t>/ILPY/WT_GEN_VC
/ILPY/TF4_VALUES
V_T510K
/ilpy/inft_sel</t>
  </si>
  <si>
    <t>מספר השעות שהשלים עד כה - כל שלב הוא 105 שעות
עדכון מאפייני השכר תקף לרכיב מלמ 4983 בלבד!</t>
  </si>
  <si>
    <t>קוד 02- 9.5%</t>
  </si>
  <si>
    <t xml:space="preserve">
1. עובד באחד הדירוגים: מנהלי (1), עובדי המינהל והשירותים במגזר הציבורי (2),  טכנאי רנטגן מעשי (7), רנטגנאים (8), שירות החוץ (9), מח"ר (11), מהנדסים (12), הנדסאים וטכנאים (13), פסיכולוגים (16), ביקורת המדינה (18), משפטנים (21), פרקליטים (22),סנגורים ציבוריים (25), (21,22,25, בתנאי שלא צמוד לשכר נושא משרה שיפוטית), עובדים סוציאליים (24), עיתונאים (27), עובדי מעבדה (33), רוקחים (34), סטודנטים לרפואה ולסיעוד (36), מפקחים ימיים (61), מקצ"ט (62),נערים עובדים וחניכים (52),  מתמחים למשפטים (81), דירוג (רשות הכבאות) 202
2. עובד באחד הדירוגים: פיזיוטרפיסטים (20), פארא רפואיים (47), מרפאים בעיסוק 49)
3.אחים ואחיות (38,39)
4. סטודנטים (71) - סטודנטים לתואר שני בלבד (דרגה 14)</t>
  </si>
  <si>
    <t xml:space="preserve">
1. לגבי קבוצה 1:
A * 7.25% 
A= בסיס החישוב כלל התוספות הנכנסות לשכר ערך שעה עד הסכם 2011
2. לגבי קבוצה 2:
 A * 12.25% 
A= בסיס החישוב כלל התוספות הנכנסות לשכר ערך שעה עד הסכם 2011
3  A*B
A=4%
B=בסיס החישוב
4 לגבי סטודנטים (71) לדרגה 004 תואר שני בלבד-.
7.25% * השכר שעה שלהם
(כאשר שכר השעה שלהם מורכב משכר יסוד, וותק, ותוספת 23.5%)
חישוב לסטודנטים לתואר שני:
החישוב מבוצע רטרו על חודש קודם (כלומר, בתשלום משכורת דצמבר, החישוב יעשה בגין חודש נובמבר)
(a+b+c) * 7.25%
a= רכיב שכר משולב (רכיב מל"מ 10002/002, ברטרו מדובר על רכיב מל"מ 9803)
b= תוספת ותק (רכיב מל"מ 9805/003, רכיב WT 1001)
c=  תוספת שכר 23.5% (רכיב מל"מ 4544, רכיב WT 1007)</t>
  </si>
  <si>
    <t>יצויין- רכיבים שהתווספו לאחר חתימת ההסכם אינו נכלל בבסיס החישוב לתוספת
זכאות 1 לאזור עובדים 700,710 - בסיס החישוב מצורף באסכמתא +1168 נוסף + 1667 +954+4656
בסיס החישוב לבית הנשיא אזור עובדים 8093 -
יסוד משולב + גמול א+ גמול ב +  0756 +1501 +4233+  4934 +1989 +4544</t>
  </si>
  <si>
    <t>BS_9004</t>
  </si>
  <si>
    <t>נוסף דירוג 41 - והוספו הרכיבים 4950 ו4144</t>
  </si>
  <si>
    <t>מדובר בסמל מלם 4994
*מבדיקות תלושים עולה כי במשמר הכנסת (102) תוספת 2011 לדירוג 81 מחושבת גם על תוספת שקלית 2016 (5402)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4994 בלבד!</t>
  </si>
  <si>
    <t>יצויין- רכיבים שהתווספו לאחר חתימת ההסכם אינו נכלל בבסיס החישוב לתוספת
זכאות 1 דירוג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 תוספת 2001 (4544)+ תוספת כבאי חדש (5280)</t>
  </si>
  <si>
    <t xml:space="preserve">
א) עובד נדרש למכסת קילומטרים נוספים לשם ביצוע משימה חולפת (מכסת קילומטרים נוספים מ WT1066)
ב) העובד מבצע נסיעה בתפקיד ברכב פרטי או ברכב אישי או ברכב שירות
ג) העובד אינו מקבל החזר הוצאות על פי תעריפי תחבורה ציבורית עבור נסיעותיו בתפקיד (1247,4948)
ד) לעובד מוגדרת מכסה ממאגר</t>
  </si>
  <si>
    <t xml:space="preserve">
min {A,B} * C
A = ק"מ מדווחים לעובד
B = תקרה לדיווח בהתאם לרמת ניידות 
C = מחיר לקילומטר בהתאם לפרמטרים 00109</t>
  </si>
  <si>
    <t>יש לשים לב:
1. מהמכסה השנתית המאושרת בדרגת ניידותו ובתוספת המכסה שאושרה על ידי המנהל הכללי לאותה התקופה, אשר לא תעלה על 2,000 קילומטר בשנה
2. עובד הנדרש לנסיעות מרובות במסגרת תפקידו, (כגון מפקח, מדריך חקלאי וכו') זכאי לתוספת ממכסת "מאגר" שלא תעלה בסך הכול על 10,000 קילומטר בשנה- זה מה שרלוונטי לרכיב הזה. שאר האיפיון זה על הוצאות רכב משתנות</t>
  </si>
  <si>
    <t>הרכיב מתייחס לרכיבי מלם הבאים:
א) 1032- הוצאות משתנות מאגר (פרמטר 109A)
ב) 1078- משתנות ב' מאגר (פרמטר 109C)
ג) 1085- משתנות קשות מאגר (פרמטר 109B)
לפי פגישה על מערכת תמר (19.5.2020)
המאגר נגזר מסוג תקן, אישי לעובד, מנוהל במלם בארוע 200.</t>
  </si>
  <si>
    <t xml:space="preserve">
העובד הינו ב: דירוג פרקליטים (22), דירוג סנגורים ציבוריים (25)</t>
  </si>
  <si>
    <t xml:space="preserve">
A*B
A= 4% 
B=שכר יסוד משולב (10002) + גמולי השתלמות (667,647,897)+הופעה (752) +תוס' פרקליטים (1565)+ תמ. פרקליטים (4639) + תוספת 2001 (4550) + תוספת 3.6% (4544)+ תוספת 2009 (4934) + (5296)
(בסיס השכר לתוספת יהיה בסיס השכר לתוספת 2011)</t>
  </si>
  <si>
    <t>BS_4994</t>
  </si>
  <si>
    <t>מדובר בסמל מלם 4997
*על פי חשבת משרד האוצר (105), הסמל לא מגיע מהנוכחות אלא מהדירוג, הסמל מדווח אוטומטי.
מאפייני הרכיב עודכנו לרכיב מלמ 4997 בלבד!</t>
  </si>
  <si>
    <t xml:space="preserve">
לכול עובד במדינה אשר בדירוג: עובדים סוציאליים (24)</t>
  </si>
  <si>
    <t xml:space="preserve">
מדובר בתוספת חודשית שיקלית שתשולם כל חודש בתעריף:
לפי משפחת פרמטרים 120</t>
  </si>
  <si>
    <t>מדובר בסמל מלם 5224
עדכון מאפייני הרכיב תקף לרכיב מלמ 5224 בלבד!!</t>
  </si>
  <si>
    <t xml:space="preserve">
עובדים בדירוג "עובדי מחקר" (43)</t>
  </si>
  <si>
    <t xml:space="preserve">
14% מהשכר המשולב (10002) + שכר קידום (743)</t>
  </si>
  <si>
    <t>יש להקים רכיב בסיס שיכלול את 0002 ו 0743
אחרי יישום 0743</t>
  </si>
  <si>
    <t>יש ליישם רכיב 743 - ממתין לתשובות מדלויט
יש להקים רכיב בסיס שיכלול את 0002 ו 0743
אחרי יישום 0743</t>
  </si>
  <si>
    <t>מאפייני הרכיב אושרו לרכיב 5240 בלבד!
(*על פי אסמכתא 1276 סעיף 3.2 תוספת השוואה 2010 תהווה בסיס לחישוב כל התשלומים המחושבים על בסיס השכר המשולב (הכולל תוספת קידום וותק).
כדי לדעת אילו רכיבים מחושבים על תוספת השוואה 2010 באפיון בעמודת נוסחה של כל רכיב שכר רשום מה הבסיס לחישוב ואם בבסיס החישוב כלולה תוספת השוואה 2010 התוספת תהיה רשומה בבסיס החישוב)</t>
  </si>
  <si>
    <t xml:space="preserve">
סטודנטים (דירוג 71), אזרח ותיק (525) 
הוזן שעות מחלה 100% (רכיב 5272)</t>
  </si>
  <si>
    <t xml:space="preserve">
A*B
A- כמות שעות 
B- ערך שעה</t>
  </si>
  <si>
    <t>Schema-
VALBS-01</t>
  </si>
  <si>
    <t>כרגע יושם כמות מדווחת * ערך שעה
 , נשלחה שאלה בנוגע לאופן המרת כמות ימים לכמות שעות</t>
  </si>
  <si>
    <t>*הערה: בנוגע לרכיב 5272- מותנה בכך שכל המשרדים עולים לנוכחות.
*עדכון מאפייני הרכיב תקף אך ורק לרכיבי מלמ 5272.
*סטודנט זכאי למכסת ימי מחלה בהתאם לחוק דמי מחלה, תשל"ו-1976, דהיינו עד 18 ימי מחלה לשנה. צבירת ימי המחלה הינה חודשית, בהתאם לחלקיות העסקתו בפועל באותו החודש.
למרות האמור לעיל, סטודנט יהיה זכאי לתשלום בגין הימים שבהם נעדר עקב מחלה, החל מהיום הראשון (עד למספר ימי המחלה שנצברו עד אותו חודש). 
המשרד ינהל את מכסת ימי המחלה עד לצבירה המותרת בחוק. 
הסטודנט יהיה זכאי לתשלום בגין ימי מחלה, רק עבור ימים שהיה מתוכנן כי יעבוד בהם.
*על פי חשב מכס ומעמ (170) סמל מלם 5272 מדווח לפי ימים (לפי ממוצע אחוז העסקה 3 חודשים אחורה) והמערכת הופכת באופן ממוחשב את כמות הימים לכמות שעות.</t>
  </si>
  <si>
    <t>אחוז אופציונלי</t>
  </si>
  <si>
    <t>1.משרד החינוך (110), חינוך התיישבותי (145)
עובדי הוראה בתפקידי פיקוח ובתפקידי מטה זכאים לתוספת אחוזית על פי תפקידם בשיעור של 7% או 9% משכר היסוד.
תפקידים הזכאים ל 7%: מפקח כולל, מפקח תחום פדגוגי בשדה ,עובדים בתפקידים פדגוגים, מנהלי תחומי הדעת במטה.
תפקידים הזכאים ל9% : מפקח מחוז.
2. משרד העבודה והרווחה (195)
עובדי הוראה בתפקידי פיקוח ובתפקידי מטה זכאים לתוספת אחוזית על פי תפקידם בשיעור של 7% או 9% משכר היסוד.
תפקידים הזכאים ל 7%: מפקח כולל קיים, מפקח תחום פדגוגי בשדה קיים.
תפקידים הזכאים ל9% : מפקח רב מחוזי מקצועי/פדגוגי קיים
הגדרת עובד קיים:עובד אשר היה מועסק כמפקח ערב ביום 14.01.2019 והיה זכאי לגמול פיקוח בתפקידו כאמור. .
3. משרד המדע והטכנולוגיה (162)
מפקח ספורט קיים, דהיינו מפקח אשר נקלט לעבודתו קודם ליום 10.4.2014 זכאי לקבלת תוספת גמול פיקוח בשיעור של 7%.
4.במשרד 190 -הדירוגים הם במונחי סאפ: F5,F6,F7,F8,F9,G1,G2,G3</t>
  </si>
  <si>
    <t>1. משרדים 110 ו-145
אופן ה  9%/7% *שכר הבסיס (משכר היסוד) * חלקיות משרה
התוספת ניתנת אוטומטית לדירוגים 321-326 בשיעור של 7%.
במקרה שהעובד זכאי לתשלום של 9%, משאבי אנוש נותנים הוראה לחשב שכר והחשב שכר מזין ידנית את האחוז בסמל.
2.משרדים 195 
אופן ה  7%/9% *שכר הבסיס (שכר היסוד)*חלקיות משרה
התוספת מוזנת ידנית לאחר אישור ממשאבי אנוש.
3.משרד 162
אופן ה  7% *שכר הבסיס (שכר היסוד)*חלקיות משרה
התוספת ניתנת באופן אוטמטי לדירוג 322
4.במשרד 190-
החישוב הוא:
שכר משלוב *7%</t>
  </si>
  <si>
    <t>עובדים בדרוגים הנ"ל 321 עד 326 המקבלים את תוספת 5321 לא זכאים לתוספת השלמת שכר בסמל 5322 לפיכך יש לבצע חסימה (ממייל של יהודה: הסכם עובדי הוראה בתפקידי פיקוח ומטה -תוספת מגן)
ע"פ מיילים של יהודה (מצורף באסכמתאות):
למשרד החינוך (110) (145) התוספת תשולם אוטומטית ולמשרד העבודה (195) הסמל ישולם על פי דיווח פרטני</t>
  </si>
  <si>
    <t>ILINF-N
ILGNR-N
PRZNT-J
(אוטומטים פיצר IL014)</t>
  </si>
  <si>
    <t>/ILPY/V_MM
/ILPY/INFT_SEL
/ILPY/V_GEN_VC
V_T539J</t>
  </si>
  <si>
    <t>ממתין לתשובות מדלויט לגבי מאפייני רכיב ואופן דיווח לחלק מהמשרדים</t>
  </si>
  <si>
    <t xml:space="preserve">
max {0,A-B}
A = סכום המשכורת הפנסיונית המדווחת לשמירה
B = סכום הרכיבים הפנסיוניים של העובד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
מוזן סכום ההפרש של העובד בין הברוטו שהיה מקבל בתפקיד הקודם לתפקיד שאליו הועבר</t>
  </si>
  <si>
    <t>סכום מדווח</t>
  </si>
  <si>
    <t>רכיב 0002 בודק אם דווח הרכיב ואם כן מכניס לשכר יסוד ברכיב 0002</t>
  </si>
  <si>
    <t>שכר יסודי דירוג רמ"י</t>
  </si>
  <si>
    <t>סכום וקוד</t>
  </si>
  <si>
    <t>עובדים במשרד רמי דירוג J4 ידווח להם סכום בשדה תווך + קוד ועובדים בשאר המשרדים ידווח להם סכום בלבד בשדה סכום</t>
  </si>
  <si>
    <t>עובדי רשות מרקרעי ישראל בלבד.</t>
  </si>
  <si>
    <t>הרכיב הינו רכיב מדווח ע"י החשבת , עדכון הוותק יהיה באחריות חשבת השכר, ויהיה חלק מרכיב זה.
הרכיב ידווח יחד עם קוד תקרה. ראה פירוט במסמך אפיון.</t>
  </si>
  <si>
    <t>תשלום השכר בפועל בתלוש יהיה לא לא פחות מתחילת הטווח של הקוד המוזן, ולא יותר מהתקרה המקסימלית (5% מסוף רובד 7)</t>
  </si>
  <si>
    <t>שכר יסוד רשות מקרקעי ישראל</t>
  </si>
  <si>
    <t>/ILPY/V_MM ,
 /ILPY/VC_GEN_WT , 
/ilpy/inft_sel
עבור הקודים
/ILPY/TF4_VALUES
                                                      פיצר - ILGNR
/ilpy/inft_sel</t>
  </si>
  <si>
    <t>מדווחים את הסכום בשדה תווך וכן מדווחים קוד מ01-08 
לעובדים שלא בדירוג J4 השדה קוד יהיה ריק (ויווצר להם קוד ZZ אוטומטי מפורט למטה)
מ01 עד 08 זה תקרות לפי דרגות - מפורט באסמכתא (קוד 08 זה מה שכתוב באסמכתא  - תקרה 2)
וקוד ZZ - זה עבוד עובדם ללא תקרה  - שונים ממשרד 165(מדירוג J4) - מוגדר להם שהתקרה היא 100000 כדי שתמיד יקבלו את מה שמדווח...
הנוסחה הכללית היא המינימום בין מה שדווח לבין התקרה..</t>
  </si>
  <si>
    <t>משרד 190: רשות הבדואים.</t>
  </si>
  <si>
    <t>שיעור התוספת הוא 10% מברוטו לפנסיה</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</si>
  <si>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והתנהלות פרטנית אל מול האוכלוסייה.</t>
  </si>
  <si>
    <t>RULE: =837</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</si>
  <si>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t>
  </si>
  <si>
    <t>סכום/כמות</t>
  </si>
  <si>
    <t>לדרוג 90  באם זכאי לרכיב 5401 יש צורך לדווח  ב   IT0014-0564
בשדה סכום את סכום המשכורת הכוולת של העובד
בשדה כמות את סמל הדרוג שלפיו נחתם הסכם העסקתם בדירוג 90</t>
  </si>
  <si>
    <t>זכאות א'
מנהלי (01),מינהל ושירותים במגזר הציבורי (2), שירות החוץ (9), מח"ר (11), מהנדסים (12), הנדסאים וטכנאים (13), ביקורת המדינה (18), משפטנים (21) (למעט מי ששכרו צמוד לנושא משרה שיפוטית),  פרקליטים (22) (למעט מי ששכרו צמוד לנושא משרה שיפוטית),סנגורים ציבוריים (25) (למעט מי ששכרו צמוד לנושא משרה שיפוטית), עיתונאים (27), סטודנטים לרפואה ולסיעוד (36), נערים ועובדים חניכים (52), מקצ"ט (62), מתמחים במשפטים (81) ,
זכאות ב'
פיזיותרפיסטים (20), פארה רפואיים (47), מרפאים בעיסוק (49)
זכאות ג' 
בכ"מ ועמ"מ (33), טכנאי רנטגן מעשי (7), רנטגנאים (8), פסיכולוגים (16), רוקחים (34). 
זכאות ד'
דירוג 90
לעובדים המועסקים בחוזה מיוחד מסוג "חוזה דירוג 90" אשר בחוזה ההעסקה שעליו הם חתומים נקבע כי עדכון שכרם יהיה בהתאם לתוספות אשר יינתנו לדירוג אליו הם צמודים במסגרת הסכמי שכר.
סכום התוספת האחוזית יקבע לכל עובד על פי חוזה ההעסקה עליו הוא חתום ולפי הדרוג אליו הוא משויך, התוספות ישולמו רק לעובדים שדווח להם בסמל 0564 בשדה כמות את סמל הדרוג שלפיו נחתם הסכם העסקתם בדירוג 90 .
דרוג 290 -  מחליף את דרוג 90 ביחידת הפיצו"ח
דירוג 63-סכום התוספת ניתן לפי דירוג הצל של העובד
זכאות ה'
עובדים סוציאליים (24) שלא במשרד הבריאות (107)
זכאות ו'
 עובדים סוציאליים (24) במשרד הבריאות (107) בלבד</t>
  </si>
  <si>
    <t>A*B
A=בסיס החישוב אשר רשום בתיאור הנוסחא
B=האחוז לו זכאי הדירוג.
זכאות א' פרמטר 825 התוספת משולמת החל מ 01/03/2017
זכאות ב' פרמטר 826 התוספת משולמת החל מ 01/01/2017
זכאות ג' פרמטר 827 התוספת משולמת החל מ 01/01/2017
זכאות ד' דירוג 90 -בהתאם לדירוג שדווח להם בסמל 0564 בשדה כמות.
דירוג 63 - סכום התוספת ניתן לפי דירוג הצל של העובד
זכאות ה' פרמטר 828 התוספת משולמת החל מ 01/03/2017
זכאות ו' פרמטר 829 התוספת משולמת החל מ 01/01/2017
אופן ה 
בסיס ה  
שכר משולב, תוספת וותק, כל תוספת שכר שיקלית, ותוספת שכר אחוזית שהיו קיימות עד 31/12/2015
יצויין כי יש לחשב קודם כל את התוספות האחוזיות שקדמו לתוספת הזאת לפי שיטת פירמידה כלומר קודם כל שכר יסוד +תוספת וותק על גבי זה את תוספת הסכם 99, לאחר מכן את תוספת 2001 (3.6%), לאחר מכן את תוספת 2009 (5%), לאחר מכן את תוספת 2011 (7.25%) ועל גבי זה את החישוב של תוספת אחוזית 2016</t>
  </si>
  <si>
    <t>רכיבים רלוונטים לחישוב:
1. שכר יסוד רכיבי מל"מ -5365,1104,5389,10002 (רכיב דלויט 1000) 
2. וותק מל"מ 566,9805 10002 דלויט (1001)
2. גמול השתלמות א' מל"מ 647,654,667,648,1957,4268, דלויט(1002)
3. גמול השתלמות ב' מל"מ 897,924,1944,4269, דלויט(1003)
4. תוספת 2001 מל"מ 4550 דלויט (1034)
5. גמול מנהל מל"מ 4983, דלויט(1005)
6. תוספת שכר 3.6%  מל"מ 4544, דלויט(1007)
7. תוספת 2009 מל"מ 4934, דלויט(1008)
8. תוספת הסכם 2011 מל"מ 4994, דלויט(1009)
 תוספות ייחודיות:
במשרד התחבורה (122):
א. תוספת טיסה פעילה (607) 
ב.תוספת מפקח אוירי 15% (756)
במשרד הרווחה (118)
חקיקה-מעמסה (1057) לעוס בלבד (24)
בשאר המשרדים
-מ.א/ד"ר (534)
-תוספת ענ"א 16.2% (4169)
-תוספת הופעה 20% (752)
-תוספת משפטנים (1565)
-תוספת תמריץ משפטנים (839)
-תוספת סוציאליות 5%, 9.5% (730)
-תוספת שכר, סמל מלם 4124
- תוספת בוררות מיסים (741)
- תוספת מקצוע מיסים (705)
- תוספת ענא (4932)
- תוספת שירות החוץ (5219)
-תוספת שכר -(4366)
-וע מעקב 88- (922)
-מקצועות פסיכולוגיה (1614)
במשרד מבקר המדינה (121):
-תוספת מבקר המדינה (911)
- תוספת 7.5% מל"מ 920 דלויט(1073)
- תוספת 3% מל"מ 1989 דלויט (5034)
-רכיב 4997 - רק לדירוג 22
-רכיב 4998 - רק לדירוג 22
-רכיב 4639</t>
  </si>
  <si>
    <t>IV Module INMGR:
1. ILGNR-N (02)
2. PRZNT-J 
עבור דירוג 90:
1. ZLGNR-N (02)
2. PRZNT-J</t>
  </si>
  <si>
    <t>BS_5401</t>
  </si>
  <si>
    <t>:9400
9034
9H94
9H95-מכיל את כל התוספות היחודיות במשרדיפ השונים</t>
  </si>
  <si>
    <t>יש צורך בבסיס להוסיף את רכיב 4932,5219,121עדיין לא הוקם.כמו"כ יש צורך להוסיף את רכיב 756 לאחר שיפוצל, את החלק של משרד התחבורה בלבד! לדירוג 22 מחושב בבסיסים ברכיב 9540</t>
  </si>
  <si>
    <t>א. התוספת האמורה לא תהווה בסיס לתוספת שכר ותוספות לשכר שהיו קיימות ביום
31.12.2015 (שכן הן בבסיסה).
ב. תוספת אחוזית 2016 לא תובא בחשבון לעניין חישוב השלמת השכר עד לשכר
המינימום כמשמעותו בחוק שכר מינימום, התשמ"ז 1987- . למען הסר ספק מובהר כי התוספת מהווה "תוספת מוחרגת" לעניין הוראות חוק שכר מינימום (העלאת סכומי
. שכר מינימום – הוראת שעה), התשע"ה 2015-
ג. תוספת אחוזית 2016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התשכ"ג 1963- , לעניין גמלאות, הפרשות לקופת גמל לקצבה, הפרשות לקרן השתלמות וכל הפרשה אחרת הנוהגת לגבי השכר המשולב.
ד. תוספת אחוזית 2016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ה.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5401 בלבד!</t>
  </si>
  <si>
    <t>מופיע בטבלת הקבועים כל הדירוגים שזכאים
במשרד 195:
עובדים בדרג עובד הוראה 041 +עובדים באופק חדש דרוגים 321-328 מקבלים תוספת שקלית 611.04 שח(במונחי סאפ: F5,F6,F7,F8,F9,G1,G2,G3)
611.04 ש"ח מינואר 2024 לפני כן היה 563.60 ש"ח.</t>
  </si>
  <si>
    <t>Pay Structure</t>
  </si>
  <si>
    <t>דירוג 90- הסכום המשולם נקבע בהתאם למספר הרשום בכמות, המופיע לצד סמל 564. 
המספר הרשום בכמות הינו הדירוג אליו מוצמד העובד. לדוגמא עובד שמוזן לו כמות 11 יקבל את הסכום המשולם לדירוג 11 (מח"ר).
דרוג 290 יחידת הפיצו"ח זכאי גם לרכיב זה.
סטודנטים (71) התשלום מבוצע ברכיב ברכיב 5439 (רכיב דלויט 1242)</t>
  </si>
  <si>
    <t>ILGNR (21)
עבור דירוג 90:
ZLGNR (21)</t>
  </si>
  <si>
    <t>עבור דירוג 90 ו 290, באם זכאי לרכיב זה, יש למדווח:
IT0014-0564
לדרוג 90  באם זכאי לרכיב 5401 יש צורך למדווח  ב   IT0014-0564
בשדה סכום את סכום המשכורת הכוולת של העובד
בשדה כמות את סמל הדרוג שלפיו נחתם הסכם העסקתם בדירוג 90</t>
  </si>
  <si>
    <t>זכאות א:
 דירוג רופאים (31) 
המשובצים בדרגות: החל מדרגה 2 ועד 9+ כולל.
זכאות ב:
דירוג רופאים וטרינרים (32)
המשובצים בדרגות: החל מדרגה 2 ועד 9+ כולל.</t>
  </si>
  <si>
    <t>דירוג 31 : Pay Structure 
 מופיע בטבלת שכר היסוד 
דירוג 32:
דרגות 2-7 ורופאים וטרינרים שאינם מומחים ואינם מתמחים (ללא קשר לדרגתם): פרמטר 860.
דרגה 8 עד דרגה 9+:
פרמטר 861</t>
  </si>
  <si>
    <t>ILGNR (21)</t>
  </si>
  <si>
    <t>מדובר בסמל מלם 5422
תוספת שקלית 2012 תהווה שכר לעניין חישוב ערך יום, ולעניין חישוב התשלום עבור עבודה נוספת.
בדירוג רופאים וטרינרים (32) בחוזר ביצוע משנת 2015 התוספת נקראת שקלית 2015, אך בתלוש בפועל התוספת נקראת שקלית 2012.
התוספת לא תכלל בבסיס לחישוב תוספת אחוזית, והוראה זו גוברת על כל הוראה אחרת בהסכמים שהעניקו תוסםת אחוזיות בדירוג הרופאים (31)
מאפייני הרכיב אושרו לרכיב מלמ 5422 בלבד!</t>
  </si>
  <si>
    <t xml:space="preserve">
דירוג סטודנטים (71) דרגה - סטודנטים לתואר שני (014)</t>
  </si>
  <si>
    <t xml:space="preserve">
החישוב נעשה תמיד רטרו בגין חודש אחד אחורה
H*I
H= כמות השעות בגין חודש קודם, מדובר על כמות שעות רגילות (ולא של שעות נוספות) 
I= פרמטר 0111- "תוספת שקלית לתואר שני"
הרכיב מהווה בסיס לחישוב ערך שעה</t>
  </si>
  <si>
    <t>MODULE ILGNR
PC 93-1
VALBS</t>
  </si>
  <si>
    <t>*ע"פ שלומי: השעות הנוספות לא נכללות בחישוב
*ע"פ חמוטל מהממונה על השכר: במלם לוקחים את שכר היסוד של העובד ומחלקים בערך מינימום לשעה
*עדכון מאפייני רכיב זה תקף לרכיב מלמ 5439 בלבד!!.
*על פי חשבת נציבות מס הכנסה (146): סמל מלם 5439 -	הינו אוטומטי, מגיע מהנוכחות, החשב לא נדרש להזין שום נתון.</t>
  </si>
  <si>
    <t>כל עובדי המדינה מלבד-
•	משרד החינוך
•	דירוג 8
•	דירוג 124
•	דירוגים 38 ו-39</t>
  </si>
  <si>
    <t>סכום קבוע 400 ש"ח לפי הסכם שכר
החל מיום 1-10-2024 עלה ל500 ש"ח.
לשעתיים - 2.2 ש"ח כפול שעות עבודה
לשכר יומי - 19.2 ש"ח כפול ימי עבודה (5 ימי עבודה בשבוע)
16 ש"ח כפול ימי עבודה (6 ימי עבודה בשבוע)</t>
  </si>
  <si>
    <t>IV Module INMGR:
1. ILGNR (05)                                                                                 עבור דירוג  290 ו 90:
ZLGNR (21)</t>
  </si>
  <si>
    <t>/ILPY/V_MM
 /ILPY/WT_GEN_VC
 הוספת הרכיב בפיצר ilnmg        כדי שיחזיר 90 עבור 2 הדרוגי: 90 290</t>
  </si>
  <si>
    <t>MODULE 
SUMME B
 ILSEN -8
תהליך ותק ZC71
ותק מקבלת דרוג 71</t>
  </si>
  <si>
    <t>הרכיב בתוקף מ-01.07.2023
האפיון הועבר במייל</t>
  </si>
  <si>
    <t>קוד רכיב שכר</t>
  </si>
  <si>
    <t>שם רכיב שכר - דלויט</t>
  </si>
  <si>
    <t>השלמת שכר מינימום 1 - דלויט</t>
  </si>
  <si>
    <t>השלמת שכר מינימום 2 - דלויט</t>
  </si>
  <si>
    <t>משכורת קובעת - דלויט</t>
  </si>
  <si>
    <t>פנסיה צוברת - דלויט</t>
  </si>
  <si>
    <t>סוג יחידה - דלויט</t>
  </si>
  <si>
    <t>תדירות - דלויט</t>
  </si>
  <si>
    <t>זכאות - דלויט</t>
  </si>
  <si>
    <t>נוסחה - דלויט</t>
  </si>
  <si>
    <t>תיאור נוסחה - דלויט</t>
  </si>
  <si>
    <t>נתונים נדרשים - דלויט</t>
  </si>
  <si>
    <t>הערות - דלויט</t>
  </si>
  <si>
    <t>אסמכתאות - דלויט</t>
  </si>
  <si>
    <t>פרמטרים - דלויט</t>
  </si>
  <si>
    <t>עובדים סוציאליים תוספת 4%</t>
  </si>
  <si>
    <t>עובדי משרד הבריאות (107), אשר הינם עובדים סוציאלים (דירוג 24)</t>
  </si>
  <si>
    <t>A*B
A=שכר משולב (10002)
B=7%</t>
  </si>
  <si>
    <t>משרד
דירוג</t>
  </si>
  <si>
    <t xml:space="preserve">
מדובר בסמל מלם 509</t>
  </si>
  <si>
    <t>הע 93-22 מיום 1993-06-14,  חוזר הממונה הע- כללי הסכם 2011-1-46,</t>
  </si>
  <si>
    <t>חינוך מיוחד</t>
  </si>
  <si>
    <t>זכאות:
עובדי הוראה בחינוך המיוחד, כפי שיוגדרו מעת לעת ע"י משרד החינוך בהתייעצות עם הסתדרות המורים וארגון המורים ובעלי הסמכה לחינוך מיוחד.
הזכאות החל מ-1.1.2001.
משרדים- מינהל לחינוך התיישבותי, משרד הבריאות ומשרד הרווחה והשירותים החברתיים.</t>
  </si>
  <si>
    <t>חישוב:
(A+B+C) * D
A = שכר משולב
B = תגבור הוראה (981)
C = תוספת שכר הסכם 99 (4144)
D = שיעור התוספת תלוי (פירוט בפרמטרים 440-440C).</t>
  </si>
  <si>
    <t>מדובר על תוספת אחוזים לעובדי הוראה במוסדות לחינוך מיוחד
הזכאות החל מ-1.1.2001.</t>
  </si>
  <si>
    <t>מיפוי מאפייני הרכיב תקף לרכיב מלמ 516</t>
  </si>
  <si>
    <t>חינוך מיוחד,</t>
  </si>
  <si>
    <t>440,  440A,  440B,  440C,</t>
  </si>
  <si>
    <t>גמול ניהול 12</t>
  </si>
  <si>
    <t>שיעורי גמול הניהול המפורטים בטבלה המצ"ב נקבעים כאמור בהתאם לדרג המוסד החינוכי, מספר הכיתות בו, ומספר שנות הוותק בניהול.</t>
  </si>
  <si>
    <t>דירוג
שכר משולב
תוספת תגבור 94</t>
  </si>
  <si>
    <t>מנהל/סגן מנהל המועסק ביותר ממשרה אחת לא יהיה זכאי בגין זות לתוספת מעבר לשיעורים שנקבעו לעיל.</t>
  </si>
  <si>
    <t>גמול ניהול1,  הסכם קיבוצי גמול ניהול,  גמול ניהול,  שכר,</t>
  </si>
  <si>
    <t>גמול ניהול 11</t>
  </si>
  <si>
    <t>גמול ניהול,  גמול ניהול הסכם,  שכר,  שכר,</t>
  </si>
  <si>
    <t>תוספת בגין יעוץ ליחידות אחרות</t>
  </si>
  <si>
    <t>זכאות מצטברת:
1. עובדי משרד הבריאות בדירוג רופאים (31) ברמת מומחיות של רופא מומחה ורופא מתמחה. 
2. נכונים לתת ייעוץ בתחום התמחותם לכל מחלקה, מכון או יחידה בבית חולים ככל שידרש.
3. אינם זכאים לתוספת מקצועות מיוחדים בגין אותו יום/תקופה לתשלום.
4. עובדים במחלקות/מכונים הבאים:
א.התפתחות הילד לרבות רופא ניורולוג ילדים שמשרתו ביחידה/מכון/מחלקה הנ"ל.
ב.גנטיקה קלינית.
ג.מחלקות זיהומיות לרבות רופא מחלות זיהומיות בילדים שמשרתו ביחידה/מכון/מחלקה הנ"ל.
ד.ראומטולוגיה לרבות רופא ראומטולוג ילדים שמשרתו ביחידה/מכון/מחלקה הנ"ל.
ה.מחלות ריאה לרבות רופא מומחה במחלות ריאה בילדים שמשרתו ביחידה/מכון/מחלקה הנ"ל.
ו.אנדוקרינולוגיה לרבות רופא אנדוקרינולוג בילדים שמשרתו ביחידה/מכון/מחלקה הנ"ל.
ז.סוכרת.
ח.אשפוז יום, פנימי, ילדים, נשים, כירורגיה (מובהר כי הכוונה לרופאים שכל השתכרותם נובעת מעבודתם במחלקת אשפוז יום).
ט.שיקום חולי לב.
י.אפידמולוגיה.</t>
  </si>
  <si>
    <t>חישוב:
A*B
A = שכר משולב.
B = שיעור התוספת:
רופא מומחה-42%
רופא מתמחה-21%
בהתאם לחלקיות משרה</t>
  </si>
  <si>
    <t>לרופא הנעדר מפאת חופשה מנוחה או מחלה או כל סיבה אחרת יש להפחית מתוספת גמול היעוץ החל מיום ההעדרות ה11 בהתאם לחלק היחסי של התשלום בגין כל יום העדרות</t>
  </si>
  <si>
    <t>משרד
דירוג
רמת מומחיות
מקום עבודה</t>
  </si>
  <si>
    <t>*(מדובר בסמל מלם 529)
*התוספת משולמת למתמחה עד דרגה 3+ ולמומחה מדרגה 4.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</si>
  <si>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הער-94-20 (112) מיום 02/11/1994,  הסכם קיבוצי מיום 2000-07-13,</t>
  </si>
  <si>
    <t>זכאות:
עובדים במשרד הכנסת (102), ביחידה של משמר הכנסת</t>
  </si>
  <si>
    <t>*למתגייסים עד 30.08.2011 :במקרים בהם קיבל שוטר תוספות פעילות שונות למעלה מ-9 שנים, לצורך חישוב ותק פעילות תלקחנה תוספות הפעילות הגבוהות ביותר.</t>
  </si>
  <si>
    <t>קוד רכיב קודם: 535: וותק פעילות</t>
  </si>
  <si>
    <t>מסמכים בנושא וותק פעילות,</t>
  </si>
  <si>
    <t>תוספת מעבר עובדים סוציאליים</t>
  </si>
  <si>
    <t>מועד התשלום, הפרשים והפרשות:
לעובד פעיל המועסק במועד הביצוע – מועד תשלום משכורת חודש ספטמבר 2022 המשתלמת בחודש אוקטובר 2022, ולכל המאוחר מועד תשלום משכורת חודש אוקטובר 2022 המשתלמת בחודש נובמבר 2022.
	לעובד שהעסקתו הסתיימה לפני מועד הביצוע – מועד תשלום משכורת חודש פברואר 2023 המשתלמת בחודש מרץ 2023, ולכל המאוחר מועד תשלום משכורת חודש מרץ 2023 המשתלמת בחודש אפריל 2023.</t>
  </si>
  <si>
    <t>עובדים במעבר אשר סיימו העסקתם לפני מועד הביצוע, ולגביהם ינהגו כך:
 בגין ההפרשים לא יבצעו הפרשות לקופת גמל לקצבה ולקרן השתלמות, ובמקום
ביצוע הפרשות האמורות, העובדים האמורים יהיו זכאים למענק חד פעמי בסכום
הפרשות המעסיק לקופת גמל לקצבה ולקרן השתלמות בגין ההפרשים.</t>
  </si>
  <si>
    <t>הסכם קיבוצי עובדים סוצאליים,  חוזר ביצוע עוסי"ם,</t>
  </si>
  <si>
    <t>תוספת דרג ביניים 2020</t>
  </si>
  <si>
    <t>תוספת זאת לא תיכלל בבסיס לחישוב כל תוספת שכר וכל תוספת שכר הקיימת ערב חתימת ההסכם
מתבסס על הסכם קיבוצי שנחתם ב23/3/2021.
מאפיינים אושרו לרכיב 546 בלבד!</t>
  </si>
  <si>
    <t>הוראות יישום-הסכם קיבוצי מיום 23/3/21,  הסכם קיבוצי מיום 24-03-2021,</t>
  </si>
  <si>
    <t>זכאות: * דירוג 31 (רופאים) * עובד באחד מהמקומות הבאים: מרפאות לבריאות נפש, מרפאת אם וילד, התפתחות הילד, רופאי בית ספר מומחים, משרדי הממשלה המפורטים במשפחה 3108</t>
  </si>
  <si>
    <t>חישוב: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ביטוח לאומי, משרד האוצר ושירות התעסוקה (רכיב 4549 במלמ)
3108E- רופאים מתמחים (רכיב 616 במלמ)</t>
  </si>
  <si>
    <t>הער-94-21 (125) מיום 27.11.1994,  הער-94-20 (112) מיום 02/11/1994,  הסכם בוררות מיום 26.11.2008,  הסכם בוררות מיום 2008-12-22,  שכ 2013-37617 מיום 06.06.2013,  חוזר הע-2008-2-11 מיום 22-12-2008,  פסק בוררות 26-11-2008,  מש. 2020-765 מיום 2020-08-25,  תוספת בריאות הציבור,  20.09.22 סיכום פגישה רכיבי שכר,</t>
  </si>
  <si>
    <t>3108A,  3108B,  3108C,  3108D,  3108E,</t>
  </si>
  <si>
    <t>זכאות:
אחים ואחיות (38, 39).</t>
  </si>
  <si>
    <t>חישוב:
A * פרמטר 688 (10%)</t>
  </si>
  <si>
    <t>שכר יסוד של אחות מוסמכת ברמה 10. (2511.15)</t>
  </si>
  <si>
    <t>מאפייני הרכיב אושרו לרכיב 559 בלבד!</t>
  </si>
  <si>
    <t>הסכם קיבוצי אחיות נחתם ביום 18.12.88,  הסכם קיבוצי אחיות שנחתם ביום 4.1.94,  משמעות האמרה" רכיב לכל דבר ועניין",</t>
  </si>
  <si>
    <t>688,</t>
  </si>
  <si>
    <t>שכר יסוד- שליחים</t>
  </si>
  <si>
    <t>" משרד החוץ שליחים משרדים 91,92,437:
רכיב ישן 565
זכאות:
עובדים במשרד חוץ בתור שליחים במשרדים 91,92,437.</t>
  </si>
  <si>
    <t>חישוב:
 סכום- בפרטמר 444. ל-100% משרה (ל-1.1.2018 19,127 ₪)
לא קיימת אסמכתא- ההסתכמות היא על מסמך אפיון של עמית."</t>
  </si>
  <si>
    <t>מסמך אפיון מודל שליחים נוכחי,  עדכון דרגות עובדי איתן בני זוג של שליחים,</t>
  </si>
  <si>
    <t>444,</t>
  </si>
  <si>
    <t>הכ. קציני מ.</t>
  </si>
  <si>
    <t>קוד רכיב קודם: 567: הכ. קציני מ.</t>
  </si>
  <si>
    <t>חוקת שכר במשטרה רכיב 567,</t>
  </si>
  <si>
    <t>זכאות:
אחיות ואחיות (38,39) במשרד הבריאות.</t>
  </si>
  <si>
    <t>חישוב:
A * פרמטר 689 (5% משנת 1996).</t>
  </si>
  <si>
    <t>משרד
דירוג
מקום עבודה
תפקיד</t>
  </si>
  <si>
    <t>מדובר בסמל מלם 569
מאפייני הרכיב אושרו לרכיב 569 בלבד!</t>
  </si>
  <si>
    <t>689,  823,</t>
  </si>
  <si>
    <t>זכאות:
עובדים במשרד הכנס
ת (102), ביחידה של משמר הכנסת</t>
  </si>
  <si>
    <t>תוספת הכפר תשולם גם אם יש רופא באותו כפר</t>
  </si>
  <si>
    <t>הסכם קיבוצי האחים והאחיות,  חוזר יחידה הסכם אחיות,  פתיחת רכיב 570,  הסכם קיבוצי מיום 1983-05-08,</t>
  </si>
  <si>
    <t>תוספת שיטור חדש</t>
  </si>
  <si>
    <t>התמריץ ישולם בהתאם לתמריץ מדווח או מהמקצוע
הזכאות הינה על פי מקצוע</t>
  </si>
  <si>
    <t>קוד רכיב מל"מ הינו 570</t>
  </si>
  <si>
    <t>תוספת שיטור חדש סמל 570,</t>
  </si>
  <si>
    <t>חישוב:</t>
  </si>
  <si>
    <t>- הקיזוזים אינם מופעלים על קצינים בדרגת ניצב
- הרכיב נקרא באסמתכאות "תוספת פעילות ג'"</t>
  </si>
  <si>
    <t>חוקת שכר משטרה 576 – שיטור א',  סיכום ועדת מעקב,  תיקון במרכיבים מסוימים בשכר שוטרים,</t>
  </si>
  <si>
    <t>משרד הבריאות (107) רופאים מומחים לרבות מנהלים (31) אשר מקום עבודתם בבתי חולים בפריפריה.
בתי חולים בפריפריה 1:
זיו צפת (107), פוריה-טבריה (207)
בתי חולים פריפריה 2:
נהריה (307), ברזילי אשקלון (137), בי"ח לבריאות הנפש ב"ש (643), יוספטל.
בתי חולים פריפריה 3:
הלל יפה- חדרה (507),בי"ח לבריאות הנפש שער מנשה (313), בי"ח פרדסיה.</t>
  </si>
  <si>
    <t>משפחת פרמטרים  3106</t>
  </si>
  <si>
    <t>מומחה א' : רופא בשנתיים הראשונות בבית החולים,
מומחה ב': רופא המועסק מעל שנתיים בבית החולים ואינו מנהל.
מנהל: מנהל בית חולים וסגנו, מנהל מחלקה או מכון וסגנו, סגן מנהל מחלקה או מכון בכיר,מנהל יחידה מקצועית,מנהל מרפאה בבית חולים, מנהל חדרי מיון ומנהל מרפאות חוץ.</t>
  </si>
  <si>
    <t>משרד
דירוג
מומחיות
מקום עבודה
פריפריה</t>
  </si>
  <si>
    <t>מדובר בסמל מלם 585
מאפייני הרכיב אושרו לסמל מלמ 585 בלבד!</t>
  </si>
  <si>
    <t>הסכם קיבוצי מיום 1991-07-21,  חוזר הער 2000-11 מיום 2000-07-26,</t>
  </si>
  <si>
    <t>3106A,  3106B,  3106C,  3106D,  3106E,  3106F,  3106G,  3106H,  3106I,</t>
  </si>
  <si>
    <t>תוספת חתימה ב'</t>
  </si>
  <si>
    <t>קוד רכיב קודם: 592: תוספת חתימה ב'</t>
  </si>
  <si>
    <t>התוספת משולמת לעובד אחד בלבד</t>
  </si>
  <si>
    <t>סמל 592-תיעוד חוקת שכר במשטרה,</t>
  </si>
  <si>
    <t>בסיס דיור</t>
  </si>
  <si>
    <t>עובד אית"ן- אזרח ותושב ישראלי המועסק בתפקידי עזר לעבודת נציגות ישראל בחוץ לארץ, לתקופה קצובה על פי חוזה מיוחד, והוא אינו דיפלומט או שליח. עובד אית"ן מבצע עבודתו בהתאם להוראות הדיפלומט הממונה עליו.
הסכם קיבוצי בעניין עובדי אית"ן ואית"ן אבטחה נחתם בין הממונה על השכר במשרד האוצר לבין יו"ר ההסתדרות ביום 03/02/2019 ותחולתו מיום 01/01/2018.
תקופת העסקה מרבית של עובד אית"ן תהיה ארבע שנים והיא ניתנת להארכה בשנה אחת בכל פעם, מטעמים ארגוניים/ אישיים חריגים, אך לא יותר משש שנים בסך הכול.</t>
  </si>
  <si>
    <t>* עובד אית"ן המבוטח בפנסיה צוברת יהיה זכאי להפרשות לקופת גמל לקצבה בשיעורים החלים על עובדי מדינה המועסקים בחוזים מיוחדים בארץ (עמוד 84 באסמכתא 985).
* מדובר על זכאות עובדי אית"ן לפי משרד, ולא לפי הבחנה בין הדירוגים שקיימים בארץ.
* סמל מלמ 599
מאפייני הרכיב אושרו לרכיב מלמ 599 בלבד!</t>
  </si>
  <si>
    <t>מסמכי אפיון- שליחים,</t>
  </si>
  <si>
    <t>עובדי  משרד הבריאות (107) אשר מועסקים בבתי חולים. ונמצאים באחד מהדירוגים הבאים: פסיכולוגים (דירוג 16), פיזיותרפיסטים (דירוג 20),אחים ואחיות (דירוג 39), פארה רפואים (דירוג 47), מרפאים בעיסוק (דירוג 49).
.
לעובדי מנהל ומשק דירוגים מנהלי (1), מח"ר (11), מהנדסים (12), הנדסאים וטכנאים (13) התוספת מבוטלת מיום 01-01-2014</t>
  </si>
  <si>
    <t>פסיכולוגים (דירוג 16) סכום קבוע בסך של 90.48 ₪.
פיזיותרפיסטים (דירוג 20) סכום קבוע בסך של 80.23 ₪.
אחים ואחיות (דירוג 39) 627.79 ₪.
חישוב של: 25%* שכר תחילי של אחות מוסמכת ברמה 10 (פרמטר 823)
פארה רפואים (דירוג 47) סכום קבוע בסך של 63.5 ₪. 
מרפאים בעיסוק (דירוג 49) סכום קבוע בסך של 61.74 ₪.</t>
  </si>
  <si>
    <t>משרד
מקום עבודה
דירוג</t>
  </si>
  <si>
    <t>(מדובר בסמל מלם 600)
על פי חמוטל בן דור סגנית הממונה על השכר, הרכיב מהווה בסיס לרכיבי עבודה נוספת המשולמים לפי ערך שעה.
ישנם עובדי מנמ"ש שמקבלים את הרכיב בשנת 2023 בבית החולים זיו צפת למרות שאין זכאות לעובדי מנמ"ש לרכיב.
מוסכם כי התוספת לא תובא בחשבון לצור חישוב שכר המינימום כמשמעותו בחוק שכר מינימום התשמ"ז-1987, לאחים ואחיות שדרגתם היא עד 13 (כולל).</t>
  </si>
  <si>
    <t>חוזר הער 2008-2-8 מיום 2008-12-02,  הע-95-7 מיום 1995-02-12,  הער 88-42 מיום 1998-12-19,  הסכם מיום 1973-10-28,  הסכם קיבוצי מיום  1971-12-13,  הסכם קיבוצי מיום 1986-10-31,  הסכם קיבוצי מיום 1977-07-21,  חוזר הער 2013-2-25 מיום 2013-12-30,  נספח לחוזר הע 2006-2-4 מיום 2006-05-15,  חוזר הממונה 2006-1-16,  החלטת ועדת מעקב מיום 1988-01-19,  חוזר הער 97-1 (5) מיום 1997-01-12,  EXT RE  משמעויות בהסכמים רכיב שכר 600 -,  חוזר הער 2008-2-8 מיום 2008-12-02,  עובדי מנמש במשרד הרווחה,  מכתב מיום 1987-05-25,  שמ-2009-4101 מיום 2009-12-2,  חוזר הע 2011-02-11 מיום 2011-05-04,</t>
  </si>
  <si>
    <t>823,</t>
  </si>
  <si>
    <t>זכאות מצטברת:
1.עובדים אשר מועסקים במינהל התעופה האזרחית שבמשרד התחבורה (122)
2. עובדים אשר משובצים באחד מהתפקידים הבאים:
א. מנהל מחלקת רישוי עובדי טיס-רמה א'.
ב. ראש ענף פיקוח והדרכת טיס-רמה א'.
ג. טייס ניסוי-רמה א'.
ד. מרכז (מפקח לעניני רישוי ופיקוח מבצעי)-רמה ב'.
ה. מנהל מחלקת מבצעי אויר-רמה ב'.
ו. ממונה חקירות תאונות אויר-רמה ג'.
ז. ממונה על התקינה-רמה ג'.
ח. סגן למבצעים-רמה ג'.
ט. מנהל מחלקת שדות תעופה פנים ארציים-רמה ג'.</t>
  </si>
  <si>
    <t>חישוב:
 סכום קבוע בסך של 1943.23 ₪.</t>
  </si>
  <si>
    <t>משרד
תפקיד</t>
  </si>
  <si>
    <t>מדובר בסמל מלם 607.
במכתב משנת 1992 רשומים סכומים לפי רמות, בפועל על פי החוזר שיצא בשנת 2006 יש סכום אחד.
בבדיקות שנערכו נמצא כי הרכיב שולם לעובד אחד בלבד עד חודש מאי 2019.
מאפייני הרכיב אושרו לרכיב מלמ 607 בלבד!</t>
  </si>
  <si>
    <t>מכתב מיום 1992-02-23,  חוזר הע 2006-03-06 מיום 2006-05-16,  הסכם בוררות מיום 1998-03-29,</t>
  </si>
  <si>
    <t>תוספת סיכון מחלקה סגורה לרכיב 621</t>
  </si>
  <si>
    <t>שנת עבודה ראשונה:סמל 621</t>
  </si>
  <si>
    <t>נספח לחוזר הע 2006-2-4 מיום 2006-05-15,  הסכם קיבוצי מיום 1977-07-21,  הודעה מספר לז-56 מיום 1977-05-18,</t>
  </si>
  <si>
    <t>840A,</t>
  </si>
  <si>
    <t>תוספת סיכון מחלקה סגורה לרכיב 622</t>
  </si>
  <si>
    <t>סמלי מלם 622 משלמים לדירוג פארה רפואיים (47)
שנת עבודה שנייה:סמל 622</t>
  </si>
  <si>
    <t>840B,</t>
  </si>
  <si>
    <t>תוספת סיכון מחלקה סגורה לרכיב 623</t>
  </si>
  <si>
    <t>סמלי מלם 623 משלמים לדירוג פארה רפואיים (47)
שנת עבודה שלישית ואילך:סמל 623</t>
  </si>
  <si>
    <t>תוספת עובד מעבדה בכיר</t>
  </si>
  <si>
    <t>תוספת זאת לא תיכלל בבסיס לחישוב כל תוספת שכר וכל תוספת שכר הקיימת ערב חתימת ההסכם
מתסבב על הסכם קיבוצי שנחתם ב23/3/2021.</t>
  </si>
  <si>
    <t>תשלום מיוחד קורונה</t>
  </si>
  <si>
    <t>זכאות א+זכאות ב':
*"שכר פנסיוני" - רכיב ברוטו פנסיה המנוהל במערכת ללא הבראה וביגוד.
כלומר כלל הרכיבים הנכנסים לרובד הראשון לא כולל הבראה וביגוד.
*"החלק היחסי" - של התקופה בה העובד מצוי בסטטוס 14/15/16 מתוך חודש העבודה.
*"חלקיות המשרה של העובד" - לגבי עובד המועסק במשרה חלקית, תחושב חלקיות המשרה הממוצעת בפועל בחודשים דצמבר 2019, ינואר 2020, פברואר 2020.
1. במידה ועובד הועסק רק בחלק מהתקופה בין דצמבר 2019 לבין פברואר 2020, יילקחו החודשים בהם הועסק במסגרת התקופה בלבד.
2. במידה ועובד החל העסקתו רק בחודש מרץ 2020, תילקח בחשבון, לצורך חישוב זה, חלקיות המשרה בחודש זה בלבד.
3. במידה ועובד החל העסקתו רק בחודש אפריל 2020, תילקח בחשבון, לצורך חישוב זה, חלקיות המשרה בחודש זה בלבד.
*"שיעור ההפחתה בהיקף המשרה"
1.שיעור היקף המשרה של העובד בחודש אפריל 2020.
2.שיעור היקף המשרה המשוקלל בחודש בגינו משולם השכר (לפי תקופות הסטטוס).
3.גובה שיעור ההפחתה לעיל יהיה ההפרש שבין שני הגורמים לעיל.
4.במקרה שבו שיעור ההעסקה בחודש אפריל קטן משיעור ההעסקה במהלך הסכם זה – רכיב זה לא ייכלל במסגרת חישוב התשלום המיוחד.
זכאות ג:
*לצורך החישוב המיוחד לסטודנט יילקחו בחשבון שלושת חודשי העבודה המלאים ביותר של העובד בתקופה שבין אוגוסט 2019 לבין אוגוסט 2020.
-סטודנט אשר החל העסקתו לאחר ה-1 באוגוסט 2020 – יילקחו בחשבון לצורך החישובים להלן 3 החודשים שקדמו לחודש בו שהה בהסדר.
-ככל שלסטודנט, אשר החל העסקתו לאחר ה-1 באוגוסט 2020, אין 3 חודשי עבודה לפני יציאתו להסדר – יחושב הממוצע בהתאם לחודשי העבודה הקיימים.
-סטודנט אשר בחודש תחילת העסקתו הוצא להסדר – יבוצע חישוב לפי 75 שעות עבודה בממוצע לחודש.
*	נתון ימי עבודה בהסדר יחושב לפי כמות הימים בהם דווח לעובד חופשת חירום רפואי ג' בהתאם לנתוני הנוכחות שיתקבלו בגין החודש בו שהה העובד בהסדר.</t>
  </si>
  <si>
    <t>*על פי אישור חשכ"ל- אסמכתא 3148, אין לפתוח את רכיב 633 במערכת החדשה.
*מדובר בסמל מלם 633 וסמל מלם 4337.
*סמל מלם 633:משלם את התשלום המיוחד לעובדים חודשיים,
בנוסף עד חודש אוגוסט 2020 (כולל) בוצע סמל 633 התשלום לעובדים שעתיים. 
*סמל מלם 4337:החל מחודש ספטמבר 2020 (כולל) ועד סוף חודש יוני 2021 שולם התשלום המיוחד לדירוגים השעתיים בסמל מלם 4337 המבוסס על דיווחי נוכחות. (ראה בנוסף WT 1082)
*.	תשלומים בגין ביגוד והבראה ישולמו באופן מלא לעובד בסטטוס 14,15 ו-16.</t>
  </si>
  <si>
    <t>מש. 2020-368,  מש. 2020-614 מיום 2020-07-07,  מש. 2020-719 מיום 2020-08-17,  שכ. 2020-874 מיום 2020-10-18,  הסכם קיבוצי מיום 2020-11-12,  הסכם קיבוצי מיום 2021-03-14,  רכיבים לא לפתיחה במערכת שכר החדשה,</t>
  </si>
  <si>
    <t>896,  896,</t>
  </si>
  <si>
    <t>תוספת מנמ"ש לרכיב 636</t>
  </si>
  <si>
    <t>דירוג
משרד
מקום עבודה</t>
  </si>
  <si>
    <t>במשרד הבריאות (107) תוספת מינהל ומשק מבוטלת לדירוג מינהל ומשק בבתי חולים ממשלתיים החל מ 01.01.2014
סמל מלם 636 משלם לעובדי מינהל ומשק בלבד במשרד הרווחה (118) בלבד.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t>
  </si>
  <si>
    <t>הסכם קיבוצי מיום 2013-08-06,  חוזר הממונה הע-87-17 (79) מיום 1987-04-07,  נספח לחוזר הע 2006-2-4 מיום 2006-05-15,  חוזר הע 2011-1-45 מיום 2011-07-24,  משמעות האמרה" רכיב לכל דבר ועניין",  חוזר הע 2011-02-11 מיום 2011-05-04,</t>
  </si>
  <si>
    <t>0022,  839,</t>
  </si>
  <si>
    <t>ועדת מעקב  88</t>
  </si>
  <si>
    <t>תוספת כללית שקלית המשולמת בהתאם לועדת מקב 88 לעובדי משרד הבריאות (107) אשר הינם בדירוגים: בכ"מ ועמ"מ (33) ורוקחים (34)  טכנאי רנטגן מעשי (7) ורנטגאים (8)</t>
  </si>
  <si>
    <t>דירוג בכ"מ ועמ"מ (33):
עובדים בתקן בית חולים: תוספת בסכום קבוע של 299.37 ₪.
עובדים שאינם בתקן בית חולים:תוספת בסכום קבוע של 176.33 ₪.
דירוג רוקחים (34):
עובדים בתקן בית חולים: תוספת בסכום קבוע של 264.46 ₪.
עובדים שאינם בתקן בית חולים:תוספת בסכום קבוע של 176.33 ₪.
דירוג טכנאי רנטגן מעשי (7) ורנטגנאים (8) מדובר בסכום קבוע של 498.69 ₪.</t>
  </si>
  <si>
    <t>משרד
דירוג
מקום עבודה</t>
  </si>
  <si>
    <t>סמל מלם 652 משלם לדירוגים 33 ו34
סמל מלם 913 משלם לדירוג 8 ודירוג 7
מאפייני הרכיב אושרו לרכיב 913 בלבד!
דירוג 33: לעובדים אשר משובצים בתקן בית חולים, התוספת מכונה בשם תוספת בית חולים. לעובדים אשר אינם משובצים בתקן בית חולים התוספת מכונה בשם מקצועות מיקרביולוגים.
מאפייני הרכיב אושרו לרכיב 652 בלבד</t>
  </si>
  <si>
    <t>הער 88-27 מיום 1988-09-09,  הער 88-23 מיום 1988-08-04,  נספח לחוזר הע 2006-2-4 מיום 2006-05-15,  הסכם קיבוצי מיום 1994-05-03,  הער 24-88 מיום 1988-08-04,  דירוג טכנאי רנטגן מעשי (7) ורנטגנאים (8),</t>
  </si>
  <si>
    <t>תוספת שקלית לפסיכיאטרים מחוזיים וסגניהם</t>
  </si>
  <si>
    <t>עובדי משרד הבריאות (107) בדירוג רופאים (31) בתפקיד פסיכיאטר מחוזי ותפקיד סגן רופא פסיכיאטר מחוזי.</t>
  </si>
  <si>
    <t>חישוב:
פרמטר 3112A לסגן הספיכיאטר המחוזי
פרמטר 3112B לפסיכיטאר המחוזי</t>
  </si>
  <si>
    <t>מקום עבודה 
דירוג
תפקיד</t>
  </si>
  <si>
    <t>מדובר בסמל מלם 653
.</t>
  </si>
  <si>
    <t>העמ-79-13 (167),  פסיכיאטרים מחוזיים  1979-05-21,  העמ-2003-17 מיום 2003-01-12,</t>
  </si>
  <si>
    <t>3112A,  3112B,</t>
  </si>
  <si>
    <t>גמול השתלמות א רכיב 654</t>
  </si>
  <si>
    <t>רכיב 654- לדירוג עו"ס (24)</t>
  </si>
  <si>
    <t>זכאות מדווחת לגמול השתלמות א' על ידי כך שהעובד השלים את החובות שלו ועמד בקריטריניום לזכאות</t>
  </si>
  <si>
    <t>עדכון מאפייני הרכיב תקף לרכיבי מלמ
654</t>
  </si>
  <si>
    <t>הסכם קיבוצי מיום 05-07-1988,  הסכם קיבוצי מיום 05-06-1994,  חוזר הממונה 2006-1-16,  החלטת מעקב מיום 02-06-1993,  חוזר שכר מיום 19-06-1994,  מייל בנושא גמול השתלמות א,  חוזר הממונה 2006-1-16,  נספח לחוזר הע 2006-2-4 מיום 2006-05-15,</t>
  </si>
  <si>
    <t>0001,</t>
  </si>
  <si>
    <t>תוספת קרימינולוג קליני</t>
  </si>
  <si>
    <t>עובד אשר מועסק בתפקיד קרימינולוג קליני ואשר נמצא בדירוג מח"ר 11</t>
  </si>
  <si>
    <t>חישוב:
A * 20%
A =שכר משולב</t>
  </si>
  <si>
    <t>תפקיד
דירוג</t>
  </si>
  <si>
    <t>מדובר על רכיב מלם 659
מאפייני הרכיב עודכנו .</t>
  </si>
  <si>
    <t>הסכם קיבוצי מיום 2010-04-25,  חוזר הממונה 2010-1-23,</t>
  </si>
  <si>
    <t>תוספת סיכון מחלקה סגורה לרכיב 661</t>
  </si>
  <si>
    <t>שנת עבודה ראשונה-סמל 661
מאפייני הרכיבים אושר לרכיב 661
סמלי שכר 661,662,663 משלמים לדירוג אחים ואחיות (39)</t>
  </si>
  <si>
    <t>תוספת סיכון מחלקה סגורה לרכיב 662</t>
  </si>
  <si>
    <t>שנת עבודה שנייה-סמל 662
מאפייני הרכיב אושרו לרכיב 662
סמלי שכר 662 משלמים לדירוג אחים ואחיות (39)</t>
  </si>
  <si>
    <t>תוספת סיכון מחלקה סגורה לרכיב 663</t>
  </si>
  <si>
    <t>זכאות: דירוגים לא לפי אסמכתאות אלא לפי מערכת רכיבי שכר של האוצר-  מינהלי- עובדי מדינה (1), מח"ר (1), מהנדסים, הנדסאים וטכנאים, פסיכולוגיים, עובדים סוציאליים, אחים ואחיות, עובדי הוראה, קלינאי תקשורת, פארה-רפואיים, מרפאים בעיסוק ועובדים חיוניים אקדמאיים שכר כולל. משרדים לא לפי אסמכתא אלא לפי מערכת צפייה ברכיבי שכר: משרד הבריאות ומשרד הרווחה והשירותים החברתיים (118).</t>
  </si>
  <si>
    <t>חישוב:
מדובר על תוספת שקלית לעובדי מנהל ומשק ודירוגים פרא רפואיים במוסדרות פסיכיאטריים. טרם נמצאה אסמכתא.</t>
  </si>
  <si>
    <t>שנת עבודה שלישית ואילך:סמל 663
מאפייני הרכיב אושרו לרכיב 663
סמלי שכר 661,662,663 משלמים לדירוג אחים ואחיות (39)</t>
  </si>
  <si>
    <t>נספח לחוזר הע 2006-2-4 מיום 2006-05-15,  הסכם קיבוצי מיום 1977-07-21,  הודעה מספר לז-56 מיום 1977-05-18,  שמ-2009-4101 מיום 2009-12-2,</t>
  </si>
  <si>
    <t>840C,</t>
  </si>
  <si>
    <t>גמול השתלמות א' רכיב 667</t>
  </si>
  <si>
    <t>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</si>
  <si>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עדכון מאפייני הרכיב תקף לרכיבי מלמ
667</t>
  </si>
  <si>
    <t>זכרון דברים מיום 25-04-1991,  פסק בוררות מיום 15-03-1988,  פסק בוררות מיום 15-08-1995,  הסכם קיבוצי מיום 10-05-1979,  הסכם קיבוצי מיום 28-12-2009,  הסכם קיבוצי משפטנים מיום 16-02-1995,  חוזר הממונה 2006-1-16,  נוהל אמש - זכאות לגמול השתלמות,  הער-5-90(37) מיום 1990-03-25,  הער 6-90-(38) מיום 1990-03-25,  חוזר הממונה העמ-94-9 (42) מיום 17-4-1994,  פסק בוררות מיום 1988-11-27,  נספח לחוזר הער 18.91.43,  מייל בנושא גמול השתלמות א,  חוזר הממונה 2006-1-16,  נספח לחוזר הע 2006-2-4 מיום 2006-05-15,</t>
  </si>
  <si>
    <t>0001,  001A,</t>
  </si>
  <si>
    <t>זכאות: * עובדי מנהל ומשק בבית חולים ממשלתי * דירוג 01 או 11 * עובד במשרד הבריאות או משרד הרווחה</t>
  </si>
  <si>
    <t>חישוב:
1.94% מהשכר היסוד בדירוג 01 רמת שכר 13 (מנהלי דרגה 17)</t>
  </si>
  <si>
    <t>מדובר על רכיב מלם 669
מאפייני הרכיב אושרו</t>
  </si>
  <si>
    <t>חוזר הממונה 2008-2-9,  פסק בוררות מוסכמת 1-02,</t>
  </si>
  <si>
    <t>דירוג
מקום עבודה</t>
  </si>
  <si>
    <t>מדובר בסמל מלם 674
התוספת הינה שכר לכל דבר וענין
מאפייני הרכיב אושרו עבור רכיב מלמ 674 בלבד!</t>
  </si>
  <si>
    <t>הסכם קיבוצי מיום 1984-11-29,</t>
  </si>
  <si>
    <t>תוספת פנימייה</t>
  </si>
  <si>
    <t>זכאות : עובדי פנימייה, בתפקידים:</t>
  </si>
  <si>
    <t xml:space="preserve">
חישוב:  סכום קבוע שמשולם כל חודש
פרמטר 250</t>
  </si>
  <si>
    <t>הזכאות מופיעה בסעיף 5 (ב)</t>
  </si>
  <si>
    <t>הסכם קיבוצי מיום 15-08-1978,  חוזר העמ 2006-3-8,</t>
  </si>
  <si>
    <t>250,</t>
  </si>
  <si>
    <t>גמול השתלמות א' רכיב 684</t>
  </si>
  <si>
    <t>רכיב 684- רק למשרד הבריאות (107) ורק לדירוגים פיזיוטרפיסטים (20),פארה רפואיים (47), פארה רפואיים שכר כולל (48), מרפאים בעיסוק (49)</t>
  </si>
  <si>
    <t>עדכון מאפייני הרכיב תקף לרכיבי מלמ
684</t>
  </si>
  <si>
    <t>החלטת  ועדת מעקב מיום 1992-03-31,  החלטת ועדת מעקב 2 מיום 1992-03-31,  נספח לחוזר הער 18.91.43,  חוזר הממונה 2006-1-16,  הסכם קיבוצי מיום 1994-09-12,</t>
  </si>
  <si>
    <t>תוספת מ. נגדים</t>
  </si>
  <si>
    <t>זכאות:
עובדים במשרד הכנסת (102), ביחידה של משמר הכנסת
מדובר על נגדים שקיבלו הפרשים פעם אחת ברכיב הזה בעקבות הסכם הנגדים שחל עליהם.</t>
  </si>
  <si>
    <t>חישוב:
שולם לאנשי משמר הכנסת בחודש מאי 2017 בלבד
בחודש מאי 2017 יושם בכנסת הסכם הנגדים. סמל זה שולם ברטרו לכל הנגדים אשר זכאים להפרשים מחודש מרץ 2016.
לכל עובד אשר זכאי להפרש בגין יישום ההסכם, שולם בגין כל החודש הסכום הכולל של התוספת בסמל 686 (מלם) - תשובת חשבת משרד הכנסת.</t>
  </si>
  <si>
    <t>קוד רכיב קודם: 686: הגדר בקרה מ</t>
  </si>
  <si>
    <t>EXT  FW  רכיב 686 - הגדר בקרה מ,  הסכם שכר הנגדים מיום 31/12/2015,</t>
  </si>
  <si>
    <t>שמירת שכר נגדים</t>
  </si>
  <si>
    <t>כללי:
בעקבות הסכם הנגדים החדש שנחתם ב 31/12/2015, הנגדים מקבלים שכר בהתאם למודל החדש, מורידים להם רכיבים מסוימים ומוסיפים להם רכיבים חדשים, ולכן נגדים שגויסו לשירות במשטרה טרם כניסתו של סיכום זה לתוקף, אז בוחנים שאין להם ירידה בשכר בעקבות ההסכם החדש (הוספה והורדה של רכיבים)
זכאות: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שנכנס לשירות לפני 31/12/2015 והיה מקבל שכר עוד לפי המודל הישן</t>
  </si>
  <si>
    <t>חישוב:
יהיו זכאים במשך שנתיים ממועד כניסת סיכום זה לתוקף לשכר הגבוה מבין שני אלה:
א) שכר בהתאם למודל שכר הנגדים החדש (מודל חדש)- כל ההסכם והתוספות החדשות שמפורטות
ב) שכר שיחושב לפי הכללים לחישוב שכרם כפי שהיו ערב כניסת סיכום זה לתוקף (מודל ישן)
יש לשים לב:
בתום שנתיים מ 31/12/2015 יבחן שכר הנגדים: נגדים שיתברר ביום הבדיקה כי שכרם הפנסיוני לפי המודל החדש נמוך משכרם הפנסיוני לפי המודל הישן יהיה זכאים מיום הבדיקה ואילך לתוספת שכר אישית בגובה ההפרש שבין שכרם הפנסיוני לפי המודל הישן לבין שכרם הפנסיוני לפי המודל החדש, ממועד הבדיקה ואילך תקוזז תוספת השמירת שכר כנגד כל עלייה בשכרו הפנסיוני של הנגד, יהיה מקורה אשר יהא</t>
  </si>
  <si>
    <t>אין כיצד לבדוק רכיב שכר זה בתלוש עקב כך שהחישוב מבוצע בחישוב צל</t>
  </si>
  <si>
    <t>קוד רכיב קודם: 687: אי מתן קביעות (ככה הוא נקרא בBI, אבל בתלוש הוא נקרא תוספת שמירת שכר נגדים)</t>
  </si>
  <si>
    <t>הסכם שכר הנגדים מיום 31/12/2015,  חוק משכן הכנסת, רחבתו ומשמר הכנסת, תשכ"ח-1968,</t>
  </si>
  <si>
    <t>גמול השתלמות שקלי לפארה רפואיים</t>
  </si>
  <si>
    <t>דירוג
זכאות לגמול השתלמות</t>
  </si>
  <si>
    <t>*מדובר בסמל מלם 692
*התוספת הינה שכר לכל דבר ועניין.
*החל מינואר 1992 הוחל בתשלום גמול השתלמות אחוזי, בסמל 684. עובד רשאי על פי בחירתו להמשיך לקבל את הגמול השקלי בסמל 692 במקום האחוזי, אם קיבל את הגמול השקלי לפני ינואר 1992.
לכן מקבלים את התוספת עובדים בודדים בלבד.</t>
  </si>
  <si>
    <t>הסכם קיבוצי מיום 1985-01-20,  החלטת  ועדת מעקב מיום 1992-03-31,  נספח לחוזר הע 2006-2-4 מיום 2006-05-15,</t>
  </si>
  <si>
    <t>855,</t>
  </si>
  <si>
    <t>גמול פקוח מיוחד</t>
  </si>
  <si>
    <t>משרד הבריאות (107) דירוג אחים ואחיות בריאות הציבור (38) המכהנים בתפקידי פיקוח ומנהל ארצי יקבלו תוספת גמול פיקוח מיוחד.
תפקידי פיקוח בתחום הסיעוד: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</si>
  <si>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10%*השכר הקובע
השכר הקובע=שכר משולב (10002)+גמול פיקוח אחיות (766)=השתלמויות אחיות (639)</t>
  </si>
  <si>
    <t>אין אסמכתא לעניין סמלי מלם 5322 או 658 אך מאחר ומדובר בהשלמת שכר חשכ"ל אישרו זאת ואין צורך בוועדת הלבנה.</t>
  </si>
  <si>
    <t>משרד
דירוג
תפקיד</t>
  </si>
  <si>
    <t>מדובר בסמל מלם 694
מאפייני הרכיב אושרו לרכיב 694 בלבד</t>
  </si>
  <si>
    <t>העמ 93-22-(68) מיום 1993-06-13,  חוזר הער 2014-2-19 מיום 2014-10-20,  שכ. 2004-3675 מיום 2004-06-13,  חוזר הער 2016-2-20 מיום 2016-11-27,  חוזר הער 2017-2-11 מיום 2017-03-05,  סמל מלם 694,</t>
  </si>
  <si>
    <t>תוספת אחוזית (מומחיות)</t>
  </si>
  <si>
    <t>זכאות: עובדים שמקבלים תוספת שכר מכוח ההסכם בדירוג עובדים סוציאליים ועובדים סוציאליים מומחים והמיוצגים ע"י ההסתדרות. הזכאות תחל או מ-1.12.2009 או מהמועד שהתקיימו לגבי העובד ההכרה במומחיות או בכירות של עובד סוציאלי- המאוחר מבינהם.</t>
  </si>
  <si>
    <t>חישוב:
A * 4%
כאשר:
A = שכר משולב</t>
  </si>
  <si>
    <t>איסור כפל גמולים:
לצורך קביעת הזכאות לקבלת גמול מומחיות, ועל פי בחירת העובד, יוכרו לימודים אשר הובאו בחשבון לצורך קביעת זכאותו של העובד לגמול השתלמות עד לגובה של שלוש יחידות גמול (336 שעות לימוד). במקביל - תוספת גמול ההשתלמות עד לגובה של שלוש יחידות גמול (336 שעות לימוד) תבוטל ותפסיק להשתלם לעובד.</t>
  </si>
  <si>
    <t>דירוג עובד סוציאלי / סוציאלי מומחה
שכר משולב</t>
  </si>
  <si>
    <t>מאפייני הרכיב אושרו לרכיב 695 בלבד</t>
  </si>
  <si>
    <t>חוזר הע- 18-1-2015,  תיקון הסכם קיבוצי מיום 9.2.2015,  הע 2015-1-18,</t>
  </si>
  <si>
    <t>זכאות: 1. מועסקים בשירות המדינה ועובדים במשרד החוץ. 2. משכורתם מחושבת ע"פ הסכמים קיבוציים. 3. מיוצגים ע"י ההסתדרות. 4. מדורגים בדירוג שירות החוץ.</t>
  </si>
  <si>
    <t>חישוב:
(A+B+C) * D
A = שכר משולב בהתחשב בותק.
B= כל תוספת יוקר ששולמה עד משכורת 12/2010 (כולל).
C= תוספת שכר ותוספת שקלית (שקליות ואחוזיות).
D= שיעור התוספת</t>
  </si>
  <si>
    <t>מועד קבלת הזכאות:
עובדים אשר יצאו לשליחות ראשונה לאחר 1.1.2011 (לרבות עובדים חדשים), מועד תחילת הזכאות לתוספת שירות החוץ הוא מועד יציאת העובד לשליחות השניה.
הערה: במידה ומועד דירוגו של עובד בדירוג שירות החוץ יהיה מאוחר ממועד השליחות הזכאות תהיה לאחר קבלת המועד שבו קיבלת העובד את דירוג עובד שירות החוץ.</t>
  </si>
  <si>
    <t>הסכם קיבוצי מיום 16-11-2014 תוספת שירות החוץ,</t>
  </si>
  <si>
    <t>845A,  845B,  845C,</t>
  </si>
  <si>
    <t>דריכות מבצעית</t>
  </si>
  <si>
    <t>קוד רכיב קודם: 698: דריכות מבצע</t>
  </si>
  <si>
    <t>חוקת שכר במשטרה רכיב 698,  פקודת קבע תוספת דריכות מבצעית,</t>
  </si>
  <si>
    <t>תוספת תפוקה לרופאים מומחים</t>
  </si>
  <si>
    <t>משרד הבריאות (107) דירוג רופאים (31) אשר מקום עבודתם הינו בבתי חולים ואשר הינם בהתמחות: מנהל, מומחה, רופא משולב.</t>
  </si>
  <si>
    <t>פרמטר בהתאם להתמחותו של הרופא:
מנהל- פרמטר 3105A
מומחה- פרמטר 3105B
משולב- פרמטר 3105C</t>
  </si>
  <si>
    <t xml:space="preserve">
0699א- 	3,465
 	3,496
0699ב - 	3,247
 	3,276
0699ג - 	2,164	 
2,183</t>
  </si>
  <si>
    <t>(מדובר בסמל מלם 699)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*יש להצמיד את תוספת תפוקה למדד בתחילת כל רבעון: ינואר, אפריל, יולי ואוקטובר.
*הגדרת "מנהל" 
בהתאם להסכם מיום 19.08.1991 :
בהתאם לסעיף 5.4.1. להסכם, מנהל הינו: מנהל בית חולים וסגנו, מנהל מחלקה או מכון וסגנו, סגן מנהל מחלקה או מכון בכיר, מנהל יחידה מקצועית, מנהל מרפאה בבית חולים, מנהל חדרי מיון ומנהל מרפאות חוץ.
בנוסף בהתאם לנספח ה' להסכם יש לשלם ברמה של מנהל גם לבעלי התפקידים הבאים: מנהל כלי, מנהל שירותי אשפוז.
*הגדרת "רופא משולב" הינו רופא בעל תואר מומחה המועסק במשרה מלאה, אשר משרתו מתחלקת בין עבודה במחלקה בבית חולים לבין עבודה ברפואה קהילתית ראשונית או מקצועית, במרפאה שאינה מרפאת חוץ של בית חולים ואשר משרתו הוגדרה כרופא משולב.
*החל מיוני 2016 תוספת התפוקה משולמת גם לרופאים המועסקים בהיקף משרה חלקי בבית חולים ממשלתי ובנוסף לכך בהיקף משרה חלקי בתאגיד בריאות בבית חולים ממשלתי כלשהו, ובלבד שהשיעור המצטבר של שתי המשרות הוא לפחות 100% (להלן: "הרופאים הזכאים").</t>
  </si>
  <si>
    <t>הער-94-16 (87),  הסכם קיבוצי מיום 1994-06-20,  הער 91-17 מיום 1991-08-19,  הסכם קיבוצי מיום 1979-03-15,  חוזר הער 2014-2-9 מיום 2014-04-28,  חוזר הער 2014-2-21 מיום 2014-10-21,  חוזר הער 2015-2-10 מיום 2015-04-16,  חוזר הער 2015-2-21 מיום 2015-10-19,  חוזר הער 2016-2-12 מיום 2016-04-19,  חוזר הער 2016-2-18 מיום 2016-10-25,  חוזר הער 2017-2-13 מיום 2017-04-19,  חוזר הער 2017-2-16 מיום 2017-10-17,  חוזר הער 2018-2-11 מיום 2018-04-16,  חוזר הער 2018-2-14 מיום 2018-10-21,  חוזר הער 2019-2-7 מיום 2019-04-30,  חוזר הער 2019-2-15 מיום 2019-10-23,  חוזר הער 2020-2-8 מיום 2020-04-19,  חוזר הער 2004-2-5 מיום 2004-05-23,  חוזר הער 2016-2-14 מיום 2016-06-13,  הסכם קיבוצי מיום 2000-07-13,  תוספת תפוקה לרופאים אוקטובר 2020,  תוספת תפוקה רופאים-אפריל 2021,  חוזר הע -2022-02-08,   חוזר הער 2022-67,</t>
  </si>
  <si>
    <t>3105A,  3105A,  3105A,  3105A,  3105A,  3105A,  3105A,  3105A,  3105A,  3105A,  3105A,  3105A,  3105A,  3105A,  3105A,  3105A,  3105A,  3105A,  3105A,  3105A,  3105A,  3105A,  3105A,  3105A,  3105A,  3105A,  3105A,  3105A,  3105A,  3105A,  3105A,  3105A,  3105A,  3105A,  3105A,  3105A,  3105A,  3105B,  3105B,  3105B,  3105B,  3105B,  3105B,  3105B,  3105B,  3105B,  3105B,  3105B,  3105B,  3105B,  3105B,  3105B,  3105B,  3105B,  3105B,  3105B,  3105B,  3105B,  3105B,  3105B,  3105B,  3105B,  3105B,  3105B,  3105B,  3105B,  3105B,  3105B,  3105B,  3105B,  3105B,  3105B,  3105B,  3105B,  3105C,  3105C,  3105C,  3105C,  3105C,  3105C,  3105C,  3105C,  3105C,  3105C,  3105C,  3105C,  3105C,  3105C,  3105C,  3105C,  3105C,  3105C,  3105C,  3105C,  3105C,  3105C,  3105C,  3105C,  3105C,  3105C,  3105C,  3105C,  3105C,  3105C,  3105C,  3105C,  3105C,  3105C,  3105C,  3105C,  3105C,  3105C,</t>
  </si>
  <si>
    <t>השתתפות ביטוח שיניים</t>
  </si>
  <si>
    <t>זכאות:
עובדים במשרד הכנסת (102)</t>
  </si>
  <si>
    <t>חישוב:
לעובדי הכנסת:
לעובדי משמר הכנסת:</t>
  </si>
  <si>
    <t>החזר הוצאות נסיעה</t>
  </si>
  <si>
    <t>קוד רכיב קודם 721.
כיום הרכיב משולם לשני עובדים בלבד.</t>
  </si>
  <si>
    <t>סמל מלם 721-לא אסמכתא,</t>
  </si>
  <si>
    <t>החזר הוצאות נסיעה מוגדלות</t>
  </si>
  <si>
    <t>קוד רכיב קודם 722.
כיום הרכיב משולם ל-9 עובדים בלבד.</t>
  </si>
  <si>
    <t>סמל מלם 722-לא אסמכתא,</t>
  </si>
  <si>
    <t>תוספת רופא 42%</t>
  </si>
  <si>
    <t>דירוג רופאים (31)
עובדים כרופאי בריאות הציבור 
עובדים בתחנות: תחנות אם וילד, תחנות לבריאות הנפש והתפתחות הילד, רופאי בית ספר ותחנות למניעת מחלות ריאה.</t>
  </si>
  <si>
    <t>A*B
A=שכר משולב (10002)+כל התוספות המשולמות לרופאים הזכאים הנכנסות לערך שעה (מפורט בהערות)
B=42%</t>
  </si>
  <si>
    <t>רכיבים הנכנסים לערך שעה:
סמל מלם 549 תוספת ב.צ.
סמל מלם 893 תוספת ב"צ 15%
סמל מלם 5455 ת. בריאות 2019 
סמל מלם 4422 תוספת שקלית
סמל מלם 5422 שקלית 2012
סמל מלם 899 תוס' פריפריה
סמל מלם 5276 חינוך לבריאות</t>
  </si>
  <si>
    <t>משרד
דירוג
מקום העבודה</t>
  </si>
  <si>
    <t>מדובר בסמל מלם 724
מאפייני הרכיב אושרו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1.	החל מיום 1.1.2018, תהיה הזכאות לחישוב תוספת רופאים 42% על בסיס כל התוספות המשולמות לרופאים הזכאים, אשר נלקחות בחשבון לחישוב ערך יום, ואשר לא נקבע לגביהן מפורשות שאינן מהוות בסיס לחישוב תוספות אחוזיות. 
2.	ככל שלא ייקבע אחרת, "תוספת רופאים 42%" תחושב גם על בסיס תוספות שכר חדשות אשר יסוכם עליהן בהסכמים קיבוציים עתידיים ואשר תעמודנה בתבחינים הקבועים בסעיף 3 לעיל (הסכם קיבוצי מיום 29-07-2019) (נלקחות בחשבון לערך יום ולא נקבע לגביהן מפורשות שאינן מהוות בסיס לחישוב תוספות אחוזיות).</t>
  </si>
  <si>
    <t>הער-85-30 מיום 1983-09-21,  הסכם קיבוצי 2019-07-29,  זכרון דברים מיום 1983-07-05,  חוזר הער 2019-2-14 מיום 2019-08-20,  הסכם קיבוצי מיום 2000-07-13,</t>
  </si>
  <si>
    <t>תוספת פרלמנט</t>
  </si>
  <si>
    <t>זכאות:
תוספת פלמנטרית תשולם ל:
1. כל העובדים במשרד הכנסת (102)
2. כל עובדי הכנסת המועסקים על פי תקן (כולל דירוגים שונים)
3. עובדים המועסקים במשרות תקניות על פי חוזה מיוחד
4. עובדים המועסקים על פי חוזה מיוחד בשכר חודשי לפי דרגה (כגון: סדרנים, מדריכים)
5. יחידת משמר הכנסת גם זכאים
יש לשים לב: שהתוספת לא תשולם לעובדים ארעיים המקבלים שכר עבודה יומי או לפי שעות על תעריפי שכר מקצועיים שונים (סטודנטים דירוג 71)</t>
  </si>
  <si>
    <t>חישוב:
לעובדי הכנסת (רכיב 748): 54% מתוך:
1. שכר משולב
2. הסכם 99 (4624)
3. גמול השתלמות א' (667)
4. גמול השתלמות ב' (897)
5. תוספת איזון 3% (756)
6. תוספת התייעלות (4233)
7. השתלמות אחיות (639) לדירוג אחים ואחיות (38/39)
לעובדי משמר הכנסת (רכיב 726): משלם 19% ורכיב 748 משלם 35%, בסך הכול יחד הם מקבלים כמו עובדי הכנסת 54%:
1. שכר משולב
2. הסכם 99 (4624)
3. גמול השתלמות א' (667)
4. גמול השתלמות ב' (897)
5. תוספת איזון 3% (756)
6. תוספת התייעלות (4233)</t>
  </si>
  <si>
    <t>מחכה לאישור:
בדירוג השירות המשפטי (21), לוקחים בחשבון גם:
1. תוספת משפטנים (1565)
2. תמריץ משפטנים (839)
בדירוג האחים והאחיות (38/39), לוקחים בחשבון גם:
1. תוספת שכר 5.35% (4544)
בדירוג הרופאים (31), לוקחים בחשבון גם:
1. תוספת בריאות ציבור (549)
בדירוג הסטונדטים (71), לוקחים בחשבון גם:
1. תוספת חוק מינימום (1699)</t>
  </si>
  <si>
    <t>קודי שכר ישנים:
726- פרלמנט 19%
748- תוספת פרלמנט</t>
  </si>
  <si>
    <t>החלטה על תוספת פרלמנט מכתב מיום 1-11-1973,  תוספת פרלמנט מכתב מיום 24-12-1991,  מכתב מחשב הכנסת מיום 3-6-99,  הסכם קיבוצי מיום 1999-11-14,</t>
  </si>
  <si>
    <t>אחיות בריאות הציבור 9%</t>
  </si>
  <si>
    <t>דירוג
שכר משולב</t>
  </si>
  <si>
    <t>קוד רכיב קודם 729
מאפייני הרכיב אושרו לרכיב 729 בלבד!</t>
  </si>
  <si>
    <t>הסכם קיבוצי מיום 1983-05-08,  הסכם קיבוצי מיום 1990-02-22,</t>
  </si>
  <si>
    <t>תוספת שירות במשטרה</t>
  </si>
  <si>
    <t>קוד רכיב קודם: 742: ת. הש. במשטרה</t>
  </si>
  <si>
    <t>תוספת מנמ"ש לרכיב 764</t>
  </si>
  <si>
    <t>משרד הבריאות (107) דירוג פסיכולוגים (16) העובדים בבתי חולים ממשלתיים.</t>
  </si>
  <si>
    <t>סכום קבוע הנמצא בטבלת הפרמטרים (0022)</t>
  </si>
  <si>
    <t>במשרד הבריאות (107) תוספת מינהל ומשק מבוטלת לדירוג מינהל ומשק בבתי חולים ממשלתיים החל מ 01.01.2014
1. סמל מלם 764 משולם גם לדירוגי מנמ"ש: מינהלי (1), מח"ר (11), מהנדסים (12), הנדסאים וטכנאים (13), וגם לפסיכולוגים (16).
 1.א.סמל מלם 764 משולם לדירוג פסיכולוגים (16) גם במשרד הבריאות (107) וגם במשרד הרווחה (118) .
1.ב. סמל מלם 764 משולם לדירוגי מינהל ומשק: מינהלי (1), מח"ר (11), מהנדסים (12), הנדסאים וטכנאים (13) רק במשרד הרווחה (118).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
על פי יהודה תורג'מן סמל מלם 764 במשרד הרווחה (118) לא מבוטל לעובדי מנמ"ש.</t>
  </si>
  <si>
    <t>הסכם קיבוצי מיום 2013-08-06,  חוזר הממונה הע-87-17 (79) מיום 1987-04-07,  חוזר ממונה הע-95-7 (24) (פתיחה לפסיכולוגים,  חוזר הממונה 2006-1-16,  נספח לחוזר הע 2006-2-4 מיום 2006-05-15,  חוזר הע 2011-1-45 מיום 2011-07-24,  עובדי מנמש במשרד הרווחה,  משמעות האמרה" רכיב לכל דבר ועניין",  חוזר הע 2011-02-11 מיום 2011-05-04,</t>
  </si>
  <si>
    <t>גמול פיקוח</t>
  </si>
  <si>
    <t>משרד הבריאות (107) דירוג אחים ואחיות בריאות הציבור (38) המכהנים בתפקידי פיקוח ומנהל ארצי יקבלו תוספת גמול פיקוח.
תפקידי פיקוח בתחום הסיעוד:
אחות ראשית במשרד הבריאות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</si>
  <si>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אחות ראשית : 22.5%* השכר המשולב (10002)
יתר התפקידים:20%* השכר המשולב (10002)</t>
  </si>
  <si>
    <t>מדובר בסמל מלם 766
התוספת אינה חלה על אחיות המקבלות תוספת בית חולים (600) או אחיות המקבלות תמריץ.</t>
  </si>
  <si>
    <t>זכרון דברים מיום 1979-09-17,  הבהרות להסכם קיבוצי מיום 1983-05-08,  חוזר הער 2017-2-11 מיום 2017-03-05,  חוזר הער 2016-2-20 מיום 2016-11-27,  שכ. 2004-3675 מיום 2004-06-13,  חוזר הער 2014-2-19 מיום 2014-10-20,  שמ-2009-4101 מיום 2009-12-2,</t>
  </si>
  <si>
    <t>דירוג רנטגן מעשי (7) ודירוג רנטגנאים (8) 
זכאות א:עובד אשר השלים 100 שעות לימוד אשר הוכרו על ידי ועדת השתלמות.
זכאות ב:עובד אשר השלים 400 שעות לימוד (כולל 100 השעות הראשונות האמורות בסעיף א')  אשר הוכרו על ידי ועדת השתלמות.
זכאות ג:עובד אשר השלים 112 שעות לימוד נוספות על ה400 שעות האמורות בסעיף ב', עד לתקרה של 336 שעות אשר הוכרו על ידי ועדת ההשתלמות.</t>
  </si>
  <si>
    <t>זכאות א:1.2%* השכר המשולב או פרמטר 698 (85.75 ₪) כגבוה ביניהם.
זכאות ב: 4.8%* השכר המשולב או פרמטר 698B (220.48 ₪) כגבוה ביניהם.
זכאות ג: עבור כל 112 שעות לימוד הנוספות על סעיף ב' 1.2% * השכר המשולב, עד תקרה של 3.6%.</t>
  </si>
  <si>
    <t>דירוג
מספר שעות השתלמות</t>
  </si>
  <si>
    <t>(מדובר על סמל מלם 786)
 מאפייני הרכיב אושרו לרכיב 786 בלבד!
לא יוכרו קורסים או השתלמויות אשר מספר שעות הלימוד בהם קטן מ-25.</t>
  </si>
  <si>
    <t>רנטגאים הסכם קיבוצי מיום 2000-05-15,  הער 90-20-(98) מיום-1990-06-13,  נספח לחוזר הע 2006-2-4 מיום 2006-05-15,</t>
  </si>
  <si>
    <t>698,  698B,</t>
  </si>
  <si>
    <t>דמי יצוג</t>
  </si>
  <si>
    <t>זכאות:
עובדי מדינה שליחים המשרתים בחו"ל.</t>
  </si>
  <si>
    <t>חישוב:
החזר הוצאות בגין דמי ייצוג, כנגד קבלות בלבד.
תקרת הסכום:
ראש נציגות או דרג שגריר- 133,000 ₪ (מכסה שנתית).
כל יתר השליחים 47,000 ₪ (מכסה שנתית).</t>
  </si>
  <si>
    <t>א. הוצאות אירוח בבתי העובדים המהוות הוצאות ישירות הקשורות לאירוח עצמו כגון
מוצרי מזון, משקאות, מבשלת, קייטרינג, מנקה ומלצר. לעניין סעיף זה, לא תוכר כל
הוצאה מעורבת כגון הוצאות חשמל, כלים שנרכשו וכיו"ב.
ב. הוצאות אירוח מחוץ לבתי העובדים )במשרד, במקומות הארחה, בבתי מלון או
במסעדות( לרבות תשלומים לעובדים ולמלצרים, שכירת אולמות, תשלום בגין חניית
האורחים וכיו"ב. יובהר כי אירועים ממלכתיים כגון יום העצמאות, יום הזיכרון וכנס
נספחים זרים, ימומנו מתקציב המשרדים ובכפוף לאישור חשב המשרד.
ג. מוצרים ותשורות צנועות בעלות אופי ישראלי אשר נרכשו בישראל לטובת אירוח
והתארחות במשימות עבודה 2 .
ד. הוצאות משלוח פרחים, שליחויות, מתנות, בקבוקי יין, כרטיסי תיאטרון וכד' לנציגים
זרים במקום, כגון: אנשי ממשל ואנשי ציבור שהקשר אתם רצוי 2 .
ה. דמי חברות במועדונים, לדוגמה הסגל הדיפלומטי או הקונסולרי, במועדון יהודי מקומי,
בבית כנסת, במועדון עיתונאים וכיו"ב, למעט חברות במועדון ספורט. יובהר כי לא יוכרו
דמי חברות בגינם השליח מקבל תמורה או שירות כלשהו.
ו. הוצאות נסיעה בתחבורה ציבורית לרבות מוניות וכן הוצאות בגין חניה לצורך קבלות
פנים, אירועים רשמיים, פגישות עם גורמים זרים וכיו"ב, עד לסכום של 600 ₪. החזרי
הוצאות אלו יהיו אך ורק כנגד קבלות.
ז. דמי שירות בסכומים סבירים בהתאם למנהגי המקום.
ח. הוצאות נוספות בגין ייצוג לבעלי תפקידים שבמסגרת מילוי תפקידם עליהם לארח
גורמים רשמיים זרים 3 ו/או להתארח על ידם, באישור מראש ובכתב על ידי חשב המשרד.</t>
  </si>
  <si>
    <t>נוהל דמי יצוג ואחזקת בית,  עדכון דרגות עובדי איתן בני זוג של שליחים,</t>
  </si>
  <si>
    <t>זכאות א: 
עובדי מינהל ומשק בבתי החולים הממשלתיים
זכאות ב:
* דירוג מנהלי (1), מח"ר (11).
* אינם עובדים בבתי חולים ממשלתיים
* עובדים במשרד הבריאות או במשרד הרווחה</t>
  </si>
  <si>
    <t>חישוב א:
 A * 3.5%
A = שכר משולב
חישוב ב:
A * B
A = אחוז קבוע לתוספת הנמצא בטבלת פרמטרים 0020
B = בסיס התוספת = שכר משולב +  השלמת משולב 99 (סמל 4624)</t>
  </si>
  <si>
    <t>עובד מינהל ומשק המועסק לפי כתב הרשאה, אשר מועד תחילת העסקתו כעובד מינהל ומשק (בבית חולים ממשלתי) הינו מיום 1.1.2011 ואילך, יהיה זכאי לתשלום תוספת דריכות בי"ח הקבועה בהחלטת ועדת המעקב מיום 23.3.94 , במשכורתו, החל מהמועד בו קיבל כתב מינוי בתפקידו האמור, למפרע למועד בו חלפו 12 חודשים מהיום בו קיבל כתב הרשאה בתפקידו האמור.
מאפייני הרכיב אושרו לרכיב 798 בלבד</t>
  </si>
  <si>
    <t>חוזר ממונה הע-95-7 (24) (פתיחה לפסיכולוגים,  חוזר העמ-95-1 (3),  החלטת ועדת מעקב 94-9664.ת,  ועדת מעקב מיום 1994-03-23,  חוזר הממונה העמ-95-1 (3),  הסכם קיבוצי מיום 2011-04-01,  חוזר הממונה 2011-2-11,</t>
  </si>
  <si>
    <t>0020,</t>
  </si>
  <si>
    <t>מענק מיוחד .</t>
  </si>
  <si>
    <t>סמל 825: רשות לחדשנות טכנולוגית (192)</t>
  </si>
  <si>
    <t>מענק מיוחד 825,  תנאי פרישה לעובדים,</t>
  </si>
  <si>
    <t>מקדמה על חשבון השתכרות יתר</t>
  </si>
  <si>
    <t>עובד אשר בסיבת הפסקה מושהה על ידי נציב שרות המדינה או על ידי שופט</t>
  </si>
  <si>
    <t>בחצי שנה הראשונה ישולם A*50%
לאחר מכן ישולם A</t>
  </si>
  <si>
    <t>A= כלל הרכיבים המרכיבים משכורת הקובעת</t>
  </si>
  <si>
    <t>סטטוס עובד
כלל הרכיבים המרכיבים משכורת קובעת לחודש מלא</t>
  </si>
  <si>
    <t>תשלום זה יבוצע במשך חצי שנה</t>
  </si>
  <si>
    <t>מייל משלומי,</t>
  </si>
  <si>
    <t>תוספת למשנה למנכ"ל משרד החוץ (ת.כפר-אחיות)</t>
  </si>
  <si>
    <t>זכאות: רק למשנה מנכ"ל אחד של משרד החוץ המדורג בדירוג שרות החוץ והוא בעל מינוי קבוע.</t>
  </si>
  <si>
    <t>חישוב:
A * 13%
A= שכרו האישי בדרוג שירות החוץ של המשנה למנכ"ל.</t>
  </si>
  <si>
    <t>אין לשלם את התוספת לבעל מינוי בפועל או למי שאינו בדרוג שירות החוץ.</t>
  </si>
  <si>
    <t>שכרו האישי של המשנה למנכ"ל
דירוג העובד</t>
  </si>
  <si>
    <t>הערה בנוגע לשם הרכיב בשיוך- "ת.כפר-אחיות" זה שמו של הרכיב ב-BI אך בתלוש שכר של השליחים הרכיב הוא "ת.משנה מנכ"ל".</t>
  </si>
  <si>
    <t>חוזר שכ. 2003-1719 מיום 25.3.2003,</t>
  </si>
  <si>
    <t>תמריץ משפטנים/ פרקליטים</t>
  </si>
  <si>
    <t>זכאות: דירוג משפטנים (187 בלבד, מאחר ודירג 987 התמריץ מגולם בשכר) דירוג פרקליטנים (22) השירות המשפטי (21)</t>
  </si>
  <si>
    <t>חישוב:
A*B*C
A-סט פרמטרים 105A עד 105B כאשר: 
105A- משפטן אשר קיבלת תוספת הופעה (להוסיף רכב מלם)
105B- משפטן אשר לא מקבל תוספת הופעה
105C- פרקליטן (22)
B- ותק בריבית דה ריבית לפי נוהל חישוב ותק אשר מפורט בWT 1001- לשנות נוסח
C- חלקיות משרה</t>
  </si>
  <si>
    <t>תוספת הופעה- יש תוספת הופעה 10% ותוספת הופעה 20%, אם הם לא מופיעים בתלוש מגיע לעובד את פרמטר 105B, אחרת מגיע לו פרמטר 105A</t>
  </si>
  <si>
    <t>1. דירוג
2.האם שולם תוספת הופעה
3.ותק העובד
4.חלקיות משרה של העובד</t>
  </si>
  <si>
    <t>במשרד המשפטים משולם בסמל שכר 4639-תמריץ פרקליטים, לדירוג פרקליטים בלבד
מיפוי מאפייני הרכיב תקפים לכל רכיבי המלמ הרלוונטים לאפיון זה- 839,4639</t>
  </si>
  <si>
    <t>תקשי"ר,  הסכם קיבוצי מיום 29-10-1994,  הסכם קיבוצי מיוחד מיום 04-12-2006,  העמ 2006-3-12,  הסכם מיום 14-11-1994,</t>
  </si>
  <si>
    <t>105A,  105B,  105C,</t>
  </si>
  <si>
    <t>תוספת פתקים</t>
  </si>
  <si>
    <t>זכאות:
עובדים במשרד הכנסת (102)
עובדים שהתקבלו לעבודה עד ליום 31/01/2007- זכאים, עובדים שהתקבלו מיום 1/02/2007 אינם זכאים לרכיב הנ"ל.</t>
  </si>
  <si>
    <t>חישוב:
מדובר על סכום של 47 שקלים כל חודש</t>
  </si>
  <si>
    <t>קוד רכיב קודם:
843: תוספת פתקים לעובדי הכנסת
943: תוספת פתקים לעובדי משמר הכנסת</t>
  </si>
  <si>
    <t>מכתב לחשב הכנסת מיום 21-01-2007,</t>
  </si>
  <si>
    <t>לימודי תעודה</t>
  </si>
  <si>
    <t>זכאות:
א) עובד שסיים לימודי תעודה שהתנאי לכניסה אליהם הוא תואר בוגר או כשירות לעבודה סוציאלית ושמשך הלימודים הוא שנתיים לפחות
ב) עובדים סוציאליים הכשירים, הקבועים, הארעיים, המקבלים משכורת לפי סולם הדירוג של העובדים הסוציאלים וכן העובדים ע"פ חוזה מיוחד בו נקבע כי משכורתם משתלמת לפי הסולם הנ"ל</t>
  </si>
  <si>
    <t>חישוב:
עבודה סוציאלית שאינו אקדמאי- יסוד משולב * 2.5%
עובד סוציאלי אקדמאי- יסוד משולב * 3%</t>
  </si>
  <si>
    <t>עובדים שסיימו לימודיהם לתואר ראשון במסלול ארבע-שנתי שכלל שנת התמחות בשכר- תראה שנה זו כשנת ותק לכל דבר וענין.</t>
  </si>
  <si>
    <t>חוזר הע-79-15 מיום 24-1-1979,  חוזר 83-40 (137) מיום 15-7-1983,</t>
  </si>
  <si>
    <t>תוספת קושי שירות-איתן</t>
  </si>
  <si>
    <t>זכאות:
עובדי משרד החוץ- שליחים 91,92,437</t>
  </si>
  <si>
    <t>חישוב:
B * A
A = שכר יסוד + תוספת דרגה + תוספת ותק
B = רמת קושי של הנציגות בהתאם למדינה של השליחות (משפחת פרמטרים 432)</t>
  </si>
  <si>
    <t>עובד במשרד החוץ שליחים
רמת קושי במדינה שבוצעה בה השליחות</t>
  </si>
  <si>
    <t>* שליחים הרכיב נקרא ב-BI "הפרש יוקר" אך מהות הרכיב היא "קושי שירות"- סמל 876
מאפייני הרכיב עודכנו לרכיב מלמ 876 בלבד! רכיב 783 עדין לא אושר</t>
  </si>
  <si>
    <t>הוראת ביצוע למלם לחישוב שכר שליחים,  מדדי יוקר מחיה קושי שירות- שליחים מש. 2019-2563,  עדכון דרגות עובדי איתן בני זוג של שליחים,</t>
  </si>
  <si>
    <t>432A,  432B,  432C,  432D,  432E,  432F,</t>
  </si>
  <si>
    <t>תוספת מקצועית המגזר הרפואי</t>
  </si>
  <si>
    <t>* לעניין שכר משולב תחילתי- שכר משולב ללא תוספת ותק (שכר בסיס).</t>
  </si>
  <si>
    <t>מאפייני הרכיב אושרו לרכיב 884 בלבד</t>
  </si>
  <si>
    <t>מדובר בסמל מלם 884</t>
  </si>
  <si>
    <t>הסכם קיבוצי שנחתם ביום 16-11-1999,  זכרון דברים שנחתם ביום 21-4-1994,  נספח לחוזר הע 2006-2-4 מיום 2006-05-15,</t>
  </si>
  <si>
    <t>690A,  690B,  894,  895,</t>
  </si>
  <si>
    <t>זכאות א: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יהיה זכאי לתוספת אחוזית בגין מקצועו המשטרתי, מטרתה היא לבטא את התפתחותו המקצועית של הנגד במהלך שנות שירותו במשטרת ישראל 
זכאות ב':
המגזר הרפואי דירוגים: פזיוטרפיסטים (20), פארה רפואים (47) ומרפאים בעיסוק (49).</t>
  </si>
  <si>
    <t>חישוב א:
התוספת המקצועית תשולם לנגד בשיעורים קבועים לפי טבלה שמחולקת לפי:
1. הרה דירוג
2. מקצועות מחולקים ל8 קבוצות, שכל תפקיד שאותו מבצע הנגד סווג לקבוצה אחת
הטבלה מצורפת בקובץ אקסל
החישוב יהיה:
1. שיעור התוספת (בהתאם לטבלה 1 המצורפת באקסל)
2. מהשיעור של טבלה 1 יבוצע קיזוז בשיעורים הקבועים בטבלה 2, טבלה 2 מורכבת לפי קבוצות המקצוע וכן לפי רמת הפעילות
3. השיעור נטו (טבלה 1 בקיזוז טבלה 2) יוכפל ב :
- שכר המשולב
- תוספת גמול השתלמות
חישוב ב':
A * פרמטר המהווה %.
A = שכר משולב תחילתי של עובד מעשי ברמה 2 / שכר משולב תחילתי של עובד ב.א רמה 1.
פארה רפואים (47) ומרפאים בעיסוק (49):
מעשי- פרמטר 690A 
מוסמך ומעלה- פרמטר 690B
פיזיוטרפיסטים (20):
דרגה מעשי-סכום קבוע בסך של 306.55 ש"ח.
דרגת מוסמך ומעלה-סכום קבוע בסך של 428.74 ש"ח.</t>
  </si>
  <si>
    <t>התוספת המקצועית מחליפה תוספות ששולמו בגין שלבים מקצועיים ולפיכך כלל התוספות השכר ששולמו לנגדים בגין שלבים מקצועיים יבוטלו</t>
  </si>
  <si>
    <t>קוד רכיב קודם: 998: תוספת מקצועית</t>
  </si>
  <si>
    <t>הסכם שכר הנגדים מיום 31/12/2015,  חוק משכן הכנסת, רחבתו ומשמר הכנסת, תשכ"ח-1968,  תוספת מקצועית,</t>
  </si>
  <si>
    <t>משכורת כוללת- כנסת</t>
  </si>
  <si>
    <t>זכאות:
עובדים במשרד הכנסת (102)
עובדים בדירוג יועץ פלמנטרי (90)</t>
  </si>
  <si>
    <t>תוספת מפעלית</t>
  </si>
  <si>
    <t xml:space="preserve">
- הסכום לא ינופח, אלא יהיה לפי הסכום ששולם בפועל
- בחודש התשלום לא יוכפף לחלקיות משרה</t>
  </si>
  <si>
    <t>הוחלט שלא לאפיין (אסמכתא 3135 )</t>
  </si>
  <si>
    <t>רכיב 890 א',  רכיב 890 ב',  EXT RE  890-  אישור לא לאפיין,</t>
  </si>
  <si>
    <t>תוספת בריאות הציבור 15%</t>
  </si>
  <si>
    <t>ע"פ האסמכתא משכורת בסיסית: (שכר יסוד+תוספת ותק+תוספת משפחה+כל תוספות היוקר+תוספת של 2.5%+2.5%)*15%</t>
  </si>
  <si>
    <t>*התוספת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</si>
  <si>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ועדה פריטטית מיום 26.11.1976,  הסכם קיבוצי מיום 2000-07-13,</t>
  </si>
  <si>
    <t>3109,</t>
  </si>
  <si>
    <t>זכאות מצטברת:
א. עובדים במשרד הבריאות אשר משובצים בדירוג רופאים (31) 
ב. עובד אשר משובץ באחד מהתפקידים הבאים:
מתמחה,תחומי, מומחה, מנהל, מנהל בית חולים וסגנו.
ג. מועסק באחד מבתי החולים הבאים: העמק, סורוקה, נהריה, חדרה, פרדסיה (לב השרון), מרכז בריאות קריית שמונה, מרכז בריאות בקה אל גרבייה, בית החולים לבריאות הנפש באר שבע, מרכז גריאטרי פרדס חנה, צפת, פוריה, אשקלון, יוספטל, שער מנשה, מזרע.</t>
  </si>
  <si>
    <t>חישוב:
 A * B
A = אחוז מטבלת הפרמטרים בהתאם להתמחות:
⦁	 מתמחה/תחומי - פרמטר 3100A
⦁	 מומחה/מנהל (למעט מנהל בית חולים וסגנו) פרמטר 3100B.
⦁	 מנהל בי"ח או סגנו - 3100C.
B- שכר בסיס לערך יום עבודה:
שכר משולב (10002)+תוספת פריפריה א' (585)+ תוספת מתמחה (727)+ ת.מקצוע מיוחד (643)
להוסיף עוד תוספות שעולים בבדיקות)</t>
  </si>
  <si>
    <t>משרד
דירוג
תפקיד
מקום עבודה</t>
  </si>
  <si>
    <t xml:space="preserve">
יש לשאול חשב על אופן החישוב
מדובר בסמל מלם 899</t>
  </si>
  <si>
    <t>פסק בורר שוהם מיום 1985-07-03,  הסכם קיבוצי מיום 25/08/2011,  חוזר הער/86/4 (47) מיום 16/04/1986,</t>
  </si>
  <si>
    <t>3100A,  3100B,  3100C,</t>
  </si>
  <si>
    <t>גמול השתלמות ב' לרכיב 924</t>
  </si>
  <si>
    <t>רכיב 924- גמול השתלמות ב' (נראה כי שולם לדירוג 13 בלבד)</t>
  </si>
  <si>
    <t>א) זכאות מדווחת לגמו"ש א'
ב) דרגת העובד</t>
  </si>
  <si>
    <t>חוזר הממונה 2006-1-16,  חוזר הממונה הע-94-22 (47) מיום 15-05-1994,  29-04-1994 הנדסאים וטכנאים,</t>
  </si>
  <si>
    <t>0002,  0003,</t>
  </si>
  <si>
    <t>ריבוי יחידות</t>
  </si>
  <si>
    <t>* אח או אחות העובד בשלוש יחידות מנהליות נפרדות שונות או יותר, יהיה זכאי לתוספת "ריבוי יחידות".
* "יחידה מנהלתית נפרדת": תחנה, מרפאה, מרכז (שאין דינו בית חולים), מעון (שאין דינו בית חולים)\ בית ספר, גני ילדים.</t>
  </si>
  <si>
    <t>מקום העבודה.
דירוג העובד.
עבודה במינימום 3 יחידות מנהליות נפרדות.
חלקיות משרה.</t>
  </si>
  <si>
    <t>הסכם קיבוצי אחיות מיום 8-3-1990,  חוזר אחיות בבריאות הציבור 20-1-1980,</t>
  </si>
  <si>
    <t>עובדי מינהל ומשק (דירוג 1) בבית חולים אשר השלים לפחות 250 שעות השתלמות מצטברת המוכרות על ידי ועדה משותפת של משרד הבריאות וקופ"ח, זכאי ל 10 נקודות זכאות (סמל מלם 956)</t>
  </si>
  <si>
    <t>סכום קבוע בטבלת הפרטמטרים 0061A*חלקיות משרה</t>
  </si>
  <si>
    <t>דירוג
מקום עבודה
מספר נקודות זכאות</t>
  </si>
  <si>
    <t>לבדוק מול חשב שאי אפשר לקבל גם סמל מלם 959 וסמל מלם 956
חסרה אסמכתא לסכומים מעודכנים
אפשר לקבל את תוספת זו (סמל מלם 956) או תוספת הש.מוכ. מנמ"ש (סמל מלם 957), אי אפשר לקבל את שניהם. 
(סמל מלם 959 משלם השתלמות מוכרת)
קורס בן 25 שעות לימוד מזכה בנקודה אחת
קורס בן 50 שעות לימוד מזכה בשתי נקודות
קורס בן 75 שעות לימוד ומעלה מזכה בשלוש נקודות
אם נקבע שקורס מסתיים בבחינה, והעובד עמד בבחינת הסיום, יש להוסיף לזכות העובד/ת נקודה אחת, אם הקורס בן 50 שעות למוד ( ועד בכלל).
אם הקורס בן 51 שעות למוד ומעלה, יש להוסיף לזכות העובד שתי נקודות.
עובד יהיה זכאי לתוספת השתלמות מצטברת לאחר צבירת 10 נקודות וכאשר מרבית הנקודות (דהיינו 6 מתוך 10) הן סך של קורסים שנסתיימו עם בחינה או הערכה מתאימה אחרת, כלאמר תעודה מוכרת והמאושרת על ידי ועדה משותפת של משרד הבריאות וקופ"ח.
העובדים יהיו זכאים בתום אגירת 50% מהניקוד ובאישור העדה משותפת של משרד הבריאות וקופ"ח.לתשלום בגובה מחצית הסכום שישולם בעד השתלמות מצטברת מלאה.</t>
  </si>
  <si>
    <t>הסכם קיבוצי מיום 1979-07-19,  הער-2003-2 (21) מיום 2003-01-12,  השתלמות מנמש מיום 1980-02-05,  חוזר הע 2011-02-11 מיום 2011-05-04,  מש. 2022-133 מיום 2022-04-11,</t>
  </si>
  <si>
    <t>0061A,</t>
  </si>
  <si>
    <t>השתלמות מוכרת</t>
  </si>
  <si>
    <t>עובדי מינהל ומשק (דירוג 1) בבית חולים אשר עבר קורס בן 600 שעות למוד, התורם בתחום המקצועי של עבודתו, והמוכר על ידי ועדה משותפת של משרד הבריאות וקופ"ח, זכאי להשתלמות מוכרת (957).</t>
  </si>
  <si>
    <t>סכום קבוע בטבלת הפרטמטרים 0061B*חלקיות משרה.</t>
  </si>
  <si>
    <t>דירוג
מקום עבודה
קורס בן 600 שעות לימוד</t>
  </si>
  <si>
    <t>לבדוק מול חשב שאי אפשר לקבל גם סמל מלם 959 וסמל מלם 956
חסרה אסמכתא לסכומים מעודכנים
אפשר לקבל תוספת אחת בלבד מהתוספות הבאות: או תוספת זו (סמל מלם 959) או תוספת השתל' 10 נק' (סמל מלם 956), או תוספת השתל' 5 נק' (סמל מלם 959)
מדובר על סמל מלם 957
מאפייני הרכיב אושרו</t>
  </si>
  <si>
    <t>0061B,</t>
  </si>
  <si>
    <t>תוספת ע"ס בתפקיד ניהולי במערכת הבריאות</t>
  </si>
  <si>
    <t>זכאות:
תוספת זו תחול על עובדים סוציאליים (24) במערכת הבריאות המהווה עובד בתפקיד ניהולי, המועסק אצל אחד מהמעסיקים הבאים בלבד:
* משרד הבריאות.
* בית חולים ממשלתי עירוני בעיריית ת"א-יפו ובעיריית חיפה (איכילוב ובני ציון).</t>
  </si>
  <si>
    <t>חישוב:
A * B
A = שכר משולב.
B = שיעור המצויין בפרמטר 695 (12.5%).</t>
  </si>
  <si>
    <t>על פי גרא:
	תוספת עו"ס בתפקיד ניהולי
התשלום יהיה לפי דיווח סמל התוספת לאוכלוסיית הזכאים בלי סכום, בלי כמות וכיו"ב.
חוקה הסמל:
•	סכום לתשלום = יסוד משולב * 12.5%.
•	התוספת לא תבוא בחשבון בחישוב שום תוספת אחוזית קבועה, למעט תוספת הסכם 2001 – 3.6% - סמל 4544.
•</t>
  </si>
  <si>
    <t>* התוספת קיימת החל מ-01/08/2019.
* תוספת תפקיד ניהול במערכת הבריאות תהווה בסיס לחיישוב תוספת 3.6%, אך לא תהווה בסיס לכל תוספת קיימת אחרת (לרבות תוספת אחוזית 2016).
מאפייני הרכיב אושרו לרכיב961 בלבד!
	תוספת תובא בחשבון לחישוב השלמה לשכר מינימום המשולמת בסמל 5260, אך לא תבוא בחשבון בחישוב השלמה לשכר מינימום המשולמת בסמל 1699.
•	על התוספת יופרש לפנסיה ברובד הראשון ולקרן השתלמות והיא תיכלל במשכורת הקובעת לחישוב פיצויים ומענקי פרישה.</t>
  </si>
  <si>
    <t>הסכם קיבוצי שנחתם ביום 26-9-2019,  חוזר הער 2019-1-42 מיום 23-10-2019,  מייל הסבר על תוספות חדשות משרד הבריאות,</t>
  </si>
  <si>
    <t>695,</t>
  </si>
  <si>
    <t>פסיכיאר/ גריאטר</t>
  </si>
  <si>
    <t>עובדי משרד הבריאות אשר בדירוג מרפאים בעיסוק (49) אשר משובצים בתקן בתי חולים פסיכיאטרים וגריאטרים .</t>
  </si>
  <si>
    <t>סכום שקלי המצוין בפרמטר 005 (61.74 ₪.)</t>
  </si>
  <si>
    <t>מדובר בסמל מלם 965
מאפייני הרכיב אושרו.</t>
  </si>
  <si>
    <t>נספח לחוזר הע 2006-2-4 מיום 2006-05-15,  הער 89-6 מיום 1989-02-16,</t>
  </si>
  <si>
    <t>005,</t>
  </si>
  <si>
    <t>גריאטרי/ כרוני</t>
  </si>
  <si>
    <t>משרד הבריאות (107) עובדים בדירוג פזיותרפיסטים (20) ודירוג פרא רפואיים (47) אשר מקום עבודתם הינו בבתי חולים למחלות כרוניות לרבות פסיכיאטריות, להוציא את העובדים במרפאות של בתי חולים הנ"ל.
מקבלים תוספת חודשית של בשם גריאטרי/כרוני.</t>
  </si>
  <si>
    <t>פרמטר קבוע 830 (44.1 ₪) * חלקיות משרה</t>
  </si>
  <si>
    <t>מדובר בסמל מלם 966</t>
  </si>
  <si>
    <t>נספח לחוזר הע 2006-2-4 מיום 2006-05-15,  הסכם קיבוצי מיום 1977-07-21,  הסכם קיבוצי מיום 1977-07-21,</t>
  </si>
  <si>
    <t>830,</t>
  </si>
  <si>
    <t>ימים</t>
  </si>
  <si>
    <t>קבוצה א'
רקע כללי/זכאות:
ניכוי מספר ימי היעדרות שהעובד נעדר לפי דיווח ולפי תעריף מדווח לניכוי (50% מערך יום או 100%)
לא ייעדר עובד מעבודה, אלא למתן עדות או הופעה בפני בית משפט או בית דין , מסיבה מחלה, לידה ,אבל, תאונה בעבודה, שירות מילואים, לרגל פעילות ארגונית
על-פי אישור יציאה בתפקיד, או אם קיבל רשות לצאת לחופשת מנוחה, לחופשה ללא משכורת, או להשתלמות
- על העובד למלא טופס בקשה להיעדרות, סיבת ההיעדרות ולמסור את הטופס לממונה הישיר, ממונה הישיר יוסיף הערות ויעביר למנהל היחידה אשר יחליט אם להעביר את סיבת היעדרות כזקיפה על חשבון חופשת מנוחה, חל"ת וכו, או להעביר זאת כהיעדרות לא מוצדקת
קבוצה ב'
שרים ח"כ וכו' דירוג 6:
*המיפוי הוא לא לפי אסמכתא אלא לפי מידע ששולמי קן דרור (חשב שכר של רוה"מ) סיפק* עמית טוקר מסר כי אין צורך באסמכתא (מצ"ב מייל).
הרכיב מנוכה משכרו של השר כאשר שר נעדר מוועדות הכנסת מתחת למינימום שנדרש ממנו להיות נוכח או כאשר הוא עושה פעולה שאינה ראויה.
קיימת וועדת אתיקה שמקבלת החלטה האם לבצע את הניכוי משכרו של השר.
 במקרה של שרים הניכוי יהיה ידני באירוע מסויים.</t>
  </si>
  <si>
    <t>חישוב קבוצה א':
A*B
A= סכימת הרכיבים המושפעים מערך שעה + רכיבי החזר הוצאות קבועים, כל זה בחלוקה ב20.83 אם מדובר בעובד של חמישה ימים או ב30 אם עובד של שישה ימים 
פחות קצובת נסיעה
B= כמות ימים
חישוב קבוצה ב':
 רכיב 1033- שר/חבר כנסת עובד 6 ימים ולכן החלוקה תהיה ב-25.</t>
  </si>
  <si>
    <t>החזר הוצאות קבועות רכיבי מלם:
700- רכב שרות
604+614 - קצובת נסיעה (ע"פ החשב רק חודשי )
750- קבועות נטו
1621- כלכלה (אשל)
842 - מכסת שח.טלפ
960- קצובת נסיעה (ע"פ החשב רק חודשי)
842- מכסת שעות טלפון
1621- דמי כלכלה למנהלים ומקובליהם
רכיבי שכר הנכנסים לחישוב:
4268-.גמול השתלמ
4269-.גמול השתלמ</t>
  </si>
  <si>
    <t>משמעות "כן" ברובד 1 היא שיש לחשב את הימי העדרות במינוס לצורך הפרשה לפנסיה (אסמכתא 3110- הסבר)
*סמל מלם 1013-לא ליישום. על פי תיעוד החוקה שכר ברוטו לפנסיה חלקי 25 יום בחודש.
*1027 - עובד שבוע קצר (ע"פ החשב יש בעיה עם הסמל הזה, צריך להבדיל בין ימי העדרות של יום ולבין ימי העדרות של שעות, וזה צריך להיות מחולק)
*1043- עובד XXX (שליחים)
*ע"פ חשבת על נציבות מס הכנסה (146):
1.	 סמל 1027 שכר ברוטו + החזר הוצאות רכב +ק. נסיעה . חלקי 20.83 (עובדים מועסקים 5 ימים בשבוע)
2.	 סמל 1043 שכר ברוטו +החזר הוצאות רכב +ק. נסיעה (סמלי מלם 604,614,700,750) חלקי 30 ימים בחודש
3. סמל 1693 -ימי העדרות, מנוכה במשרד לביטחון פנים (135).
מחושב ברוטו לפנסיה ללא החזר הוצאות לחלק ל-30.
*סמל 1049 לא לפתיחה במערכת שכר החדשה. אסמכתא 3148.
מאפייני רכיב עודכנו לסמלי מלמ 1027,1043,1693 בלבד, שאר מאפייני הרכיבים עדין לא עודכנו
החזר הוצאות קבועות רכיבי מלם:
700- רכב שרות
604/614 - קצובת נסיעה
750- קבועות נטו
1621- כלכלה (אשל)
842 - מכסת שח.טלפ
רכיב קבוע (לפי יהודה) = רכיב אשר רשום עליו שהוא מהווה שכר לכל דבר ועניין.
*בבדיקת הרכיב במשרד התחבורה (122) הבדיקות לדירוג בוחני רישוי שכר כולל חדש (588) לא היו תקינות, מאחר ורכיבי שכר 4268-גמול השתלמות ו 4269-גמול השתלמות לא נכנסו לחישוב ערך שעה, אך על פי מטה שכר יש להכניס לערך שעה. מצ"ב אסמכתא.
*במשרד הבריאות (107) הרכיב מגיע ממערכת הנוכחות.
*מאפייני הרכיב אושרו לסמל מלם 1027 בלבד.</t>
  </si>
  <si>
    <t>תכם 13.1.0.2,  ימי העדרות- שרים,  רכיב שכר 4268 ורכיב שכר 4269,  תקשי"ר,  סמל מלם 1013-לא ליישום,  מש. 2022-12,  רכיבים לא לפתיחה במערכת שכר החדשה,</t>
  </si>
  <si>
    <t>משתנות נטו תח"צ</t>
  </si>
  <si>
    <t>מופיע רק במשרד המשפטים (116), תשובת חשבת השכר שם:
לעיתים בסוף שנה עובדים מקבלים אישור לקבל את המשתנות שדיווחו ביתר. יש נוסחה שאנו יודעים להמיר מק"מ לסכום של תחבורה ציבורית
, אנחנו ממעטים להשתמש בו כי לרוב משולם מאגר</t>
  </si>
  <si>
    <t>מכתב מיום 16-12-1981,</t>
  </si>
  <si>
    <t>שעות היעדרות</t>
  </si>
  <si>
    <t>שעות</t>
  </si>
  <si>
    <t>זכאות/ רקע כללי:
לא ייעדר עובד מעבודה: אלא למתן עדות או הופעה בפני בית משפט או בית דין/ מסיבה מחלה/ לידה/ אבל/ תאונה בעבודה/ שירות מילואים / לרגל פעילות ארגונית/ יציאה בתפקיד/ חופשת מנוחה/ חל"ת/ להשתלמות
נאלץ עובד להיעדר מהעבודה בחלק של יום בלבד (לרבות איחור) והממונה סובר שיש סיבה טובה להעדרות:
1. ינוכה מחופשת המנוחה של העובד מספר השעות בהן נעדר העובד
2.  אם לא נותרו לרשות העובד ימי חופשת מנוחה, ייחשב זמן היעדרו כחופשה ללא משכורת
נאלץ עובד להיעדר מהעבודה בחלק של יום בלבד (לרבות איחור) והממונה סובר שאין סיבה טובה להעדרות:
1. ינוכה מחופשת המנוחה של העובד מספר השעות בהן נעדר העובד
2.  אם לא נותרו לרשות העובד ימי חופשת מנוחה, ייחשב זמן היעדרו כחופשה ללא משכורת
3. הועסק עובד כזה באותו יום בו נעדר ללא רשות, בשעות נוספות, ינוכה משעות נוספות אלו (ולא ממשכורתו) מלוא הזמן שנעדר ללא רשות
יוצאי דופן:
1. היעדרות מהעבודה לשם אבטחת מוסדות חינוך- אין לנכות משכרו או לזקוף על חשבון חופשה שנתית של עובד המקיים חובת אבטחת מוסדות חינוך
2. פעולות התנדבות במשמר האזרחי- ימים אלה ייחשבו כימי עבודה, אולם הם לא יהיו זכאים לתשלום אש"ל והוצאות נסיעה בימים אלה</t>
  </si>
  <si>
    <t>חישוב:
ערך שכר שעה + תוספת מעונות לשעה (בהתאם לשעות העבודה האפשריות) 
X כמות של שעות היעדרות</t>
  </si>
  <si>
    <t>רכיב מלם 1694- משרד לביטחון פנים (135) ומשרד הבריאות (122)
רכיב מלם 4441- משרד לביטחון פנים (135) ומשרד הבריאות (122)
רכיב מלם , 1524 ,4441 ו-1044 מדווח במינוס במשרד הבריאות (107)
סמל מלמ 1044 מגיע ממערכת הנוכחות של משרד הבריאות.</t>
  </si>
  <si>
    <t>משמעות "כן" ברובד 1 היא שיש לחשב את השעות העדרות במינוס לצורך הפרשה לפנסיה (אסמכתא 3110- הסבר)
הרכיב משלם את סמלי מלם 1044,1694,4441 
במערכת עפרה של משרד האוצר יש המלצה לסגור את סמל מלם 4441.
שליחים- סמל מלמ 1041 נקרא "משת ב' גלום" אך לפי התלוש הכוונה לשעות היעדרות.
מאפייני הרכיב אושרו עבור רכיבי מלמ , 1524, 1044,1694,4441 בלבד! שאר מאפייני הרכיב עדין לא אושרו.</t>
  </si>
  <si>
    <t>תקשי"ר,  מייל מיניב סויסה,  מש. 2022-12,</t>
  </si>
  <si>
    <t>חקיקה-מעמסה</t>
  </si>
  <si>
    <t>תקרת הרכיב 1000 ₪
תחולת התוספת 1/8/2019.</t>
  </si>
  <si>
    <t>הסכם קיבוצי שנחתם ביום 26-9-2019,  מייל הסבר על תוספות חדשות משרד הבריאות,  פתיחת רכיב חקיקה מעמסה לעוס,</t>
  </si>
  <si>
    <t>זכאות לקבוצה א':
א. על הסמנכ"ל למינהל ומשאבי אנוש לבדוק ולהכין רשימה יומית של היחידות אשר נוקטות עיצומים ואסיפות, וכן מהות העבודות אותן נמנעים העובדים מלבצע, והיקף העבודה אשר אינה מבוצעת על ידם מתוך סך הכל עבודתם הרגילה.
ב. יכין הסמנכ"ל רשימה, החתומה על ידו, שתכלול את הפרטים הדרושים לצורך קביעתו והוכחתו של השכר הראוי: שמות כל העובדים שהתייצבו לעבודה, מספר שעות העבודה שעבד כל עובד, פירוט העבודה שביצע כל עובד והיקפה בהשוואה לתפקידו הרגיל ומהות העבודות אותן נמנעו העובדים מלבצע.
ג. לשים לב:
א. עובדים הנוקטים שביתה חלקית (עיצומים) לא יועסקו בעבודה נוספת ולא יהיו זכאים לתמורה בגינה. במהלך העיצומים לא תאושר עבודה נוספת ולא יינתן תשלום בגין שעות נוספות, כוננויות ושכר עידוד.
ב. לעובדים הנוקטים עיצומים לא ישולמו תשלומים עבור החזר הוצאות רכב משתנות, אש"ל ודמי כלכלה, אלא אם כן היציאה בתפקיד קיבלה אישור מראש ובכתב מאת הסמנכ"ל . 
ג. במקרה בו השביתה או העיצומים גרמו להפסקת העבודה במשמרות, או של פיצול יום עבודה וכיו"ב, לא ישולמו לעובדים התוספות או רכיבי השכר עבור עבודה זו.
 זכאות קבוצה ב: עובדי חו"ל שליחים- לא קיימת נוסחא לחישוב, ראה הסבר בנוסחה.</t>
  </si>
  <si>
    <t>חישוב לזכאות קבוצה א':
שכר שעה X כמות שעות העיצומים
חישוב לזכאות קצובה ב': עובדי חו"ל- שליחים:
החישוב מתבצע ע"י הממונה על השכר- חישוב ידני / קובץ אקסל שמועבר למלמ</t>
  </si>
  <si>
    <t>* שליחים רכיב 1069- הרכיב נקרא ב-BI  "ימי שביתה" אך השימוש שלו הוא "שעות עיצומים"
*ע"פ איתן הדיווח מבוצע ידנית ולא דרך מערכת הנוכחות.
*על פי חשבת משרד התיירות (142) סמל מלם 1791, מדווח ידנית לפי ימים ולפי אחוזים,
מאפייני הרכיב אושרו עבור רכיב מלמ 1971 בלבד!</t>
  </si>
  <si>
    <t>חוזר הממונה 2007-1-20,  חוזר הממונה 2008-1-47,</t>
  </si>
  <si>
    <t>משרד הבריאות (107) דירוג פסיכלוגים (16) המועסקים בבתי חולים ממשלתיים.</t>
  </si>
  <si>
    <t>3.5%* השכר המשולב (10002)</t>
  </si>
  <si>
    <t>(מדובר בסמל מלם 1076)
מאפייני הרכיב אושרו.</t>
  </si>
  <si>
    <t>הע95-27 (65) מיום 1995-06-01,</t>
  </si>
  <si>
    <t>תגמול בגין יום בחירות</t>
  </si>
  <si>
    <t>זכאות:
רופאים בבית חולים ממשלתי (31)</t>
  </si>
  <si>
    <t>חישוב:
החל מ- 9.4.2019 רופא שעבד בפועל בבית החולים ביום שבתון (ביום בחירות מקומיות או כלליות) יקבל בנוסף לשכרו הרגיל, גמול שקלי בגין עבודתו ביום זה- "גמול בחירות". כמו כן ככל שביצע בפועל שעות נוספות / כוננות / תורנות יקבל תגמול בגין עבודה נוספת בהתאם להסכמים הקיבוציים החלים על הרופאים.
נוסחא
A * B
A = ערך שעה
B = כמות שעות בהן עבד הרופא בפועל בבית החולים ביום השבתון.</t>
  </si>
  <si>
    <t>דוגמה:
רופא שעבד ביום השבתון בין השעות 7:00 ל-7:00 ביום שלמחררת (24 שעות עבודה מתוכן 8 שעות עבודת בוקר ו-16 שעות תורנות), יקבל בנוסף לערך יום עבודה ותגמול תורנות חול כקבוע בהסכמים קיבוציים החלים על הצדדים "גמול בחירות" בגובה מכפלת 15 בערך שעה כלומר בגין 15 שעות עבודה ביום שבתון בין השעות 7:00 - 22:00.</t>
  </si>
  <si>
    <t>הזכאות לגמול בחירות מותנית בהגעה לבית החולים ועבודה בפועל ביום השבתון.</t>
  </si>
  <si>
    <t>הסכם פשרה תיק מספר 0491-0004-2019-040523,</t>
  </si>
  <si>
    <t>כוננות 6/7</t>
  </si>
  <si>
    <t>דירוג אחים ואחיות (39) אשר מקום עבודתם בבית חולים ונדרשים לביצוע כוננות בשבת.</t>
  </si>
  <si>
    <t>A * B  *6/7
A = מספר כוננויות
B =ערך שכר שעה</t>
  </si>
  <si>
    <t>דירוג
מקום עבודה
מספר כונניות
ערך שעה</t>
  </si>
  <si>
    <t>קוד רכיב קודם 1103 ו1562 מגיעים ממערכת הנוכחות של משרד הבריאות ולא ממערכת המרכב"ה.
"כוננות"- מצב בו נדרש עובד, על ידי המוסמך לכך , להשאר רתוק בביתו (או מקום אחר), על מנת להענות לכל קריאה, מצד המוסמך לכך, להתיצב במקום העבודה לשם מילוי תפקיד, זמן הכוננות הינו מחוץ למכסת שעות העבודה הרגילות של העובד ומחוץ לשעות העבודה הרגילות של המוסד בו הוא כונן.
נקרא עובד להתיצב במקום עבודתו לצורך מילוי תפקידו יהיה זכאי לתמורה, עבור זמן שהותו בתפקיד, בשעות נוספות לפי פסקה 27.21 בתקשי"ר, תמורה זו ניתנת במקום התמורה עבור כוננות בשעות אלו.</t>
  </si>
  <si>
    <t>1023-73 נחתם ביום 1979-12-05,  ברמ 02-77 מיום 1977-04-26,  סמל 1103,</t>
  </si>
  <si>
    <t>כלל הדירוגים והעובדים במדינה
התשלום מחולק לפי טבלאות יסוד, שמופיעים בטבלה נפרדת מחולקים לדירוגים ודרגות</t>
  </si>
  <si>
    <t xml:space="preserve">
חישוב:  
1. עובד חודשי: הסכום שרשום בטבלת שכר בסיס.
2.עובד שעתי: הסכום שרשום בטבלת שכר בסיס* מספר שעות בחודש (תמיד רטרו על החודש הקודם).
3. עובד יומי: השכר שרשום בטבלת שכר בסיס*מספר ימים בחודש.</t>
  </si>
  <si>
    <t>חישוב דירוג סטודנטים (71)
"סטודנט לומד" מקבל שכר שעתי בהתאם לשכר המינימום לשעה, כהגדרתו לפי חוק שכר המינימום , התשמ"ז -1987 כפי שיהיה מעת לעת.
*דירוג סטודנטים (71) מקבלים את השכר יסוד בתלוש בהפרשים.
*לדרוג 688 + 188 משולם בסמל 1104 – במשכורות חודש 6/23 בוצע עדכון ע"י חברת מלמ לסמל 1104 
התשלום נעשה ערך שעה X שעות באותו חודש שנלקח מארוע 041</t>
  </si>
  <si>
    <t>*מאפייני הרכיב אושרו לרכיב 10002.
*רכיב 1104 משולם כל חודש בשוטף ובהפרשים מכיוון שמועבר דו"ח נוכחות לחשבת פעמיים בחודש.</t>
  </si>
  <si>
    <t>תקשי"ר,  חוזר הממונה 2006-1-15,  חוזר הממונה הע-79-119 מיום 23-07-1979,  חוזר 9-1-א מיום 05-02-1980,  הסכם קיבוצי מיום 15.08.2016,  מודל שכר אית"ן,  חוזר העמ -0491-0001-2022-003750,  רכיב 1104,  הסכם קיבוצי 2010,</t>
  </si>
  <si>
    <t>872,  873,  873,  873,</t>
  </si>
  <si>
    <t>עבודה בשכר בימי חול משמר הכנסת</t>
  </si>
  <si>
    <t>תיעוד חוקת שכר רכיב 1115,  העסקה חריגה של שוטרים,  תעריפים להעסקת שוטרים באירועים,  העסקת שוטר בשכר,  העסקת אנשי משטרה באירוע תמורת תשלום,  העסקה בשכר אנשי משטרה באירוע,  תעריפי עבודה בשכר,</t>
  </si>
  <si>
    <t>שעות בקרה ערב</t>
  </si>
  <si>
    <t>פיילוט במשרד הבריאות (107) לעובדים אשר מבצעים בקרה בתחום הגריאטריה לאבטחת טיפול ראוי ובקרות פתע בשעות לא שגרתיות בין השעות 16:00 ל 22:00 בלילה, הנכללים ברשימה סגורה המפורטת בנספח א' להסכם.</t>
  </si>
  <si>
    <t>115%*ערך שעה* שעות ביצוע בפועל</t>
  </si>
  <si>
    <t>משרד 
רשימת עובדים סגורה
ערך שעה
שעות ביצוע בפועל</t>
  </si>
  <si>
    <t>יש לקבל אסמכתא על הארכת תוקף ההסכם
מדובר בסמל מלם 1149, הרכיב מגיע ממערכת הנוכחות של משרד הבריאות (107).
1.  יובהר כי לא יינתן תגמול בהתאם למודל זה בגין בקרות מסוגים אחרים.
2. התגמול יינתן לעד שני עובדים במשמרת.
3. על אף האמור לעיל במקרים יוצאי דופן יינתן התגמול לשלושה עובדים במשמרת וזאת בלי לפרוץ את מסגרת התקציב המאושרת ליישום המודל בסך של 200,000 ₪.
4. שעות בקרה משמרת ערב הינן בין השעה 16:00 לשעה 22:00 ושעות בקה משמרת לילה הינן בין השעות 22:00 בלילה ל 6:00 בבוקר למחרת, במצב של חפיפה בין שעות בקרה משמרת ערב לבין שעות בקרה משמרת לילה המשמרת תחושב לצורך התגמול המשמרת כמשמרת לילה, ובלבד שלפחות שעתיים מתוך הבקרה התבצעו בתחום שעות המשמרת הרלוונטיות.
מבדיקות התלושים תשלום הפיילוט החל בחודש יולי 2019, לכן יש תשלומים גם לאחר נובמבר 2019.</t>
  </si>
  <si>
    <t>שכ. 2019-6500 מיום 2019-03-21,</t>
  </si>
  <si>
    <t>עבודה בשכר שבת וחגים משמר הכנסת</t>
  </si>
  <si>
    <t>תעריפי שבת וחג חלים:
מהשעה 07:00 בשבת\חג עד השעה 24:00 במוצ"ש או חג
תעריפי ערב שבת/ ערב חג חלים:
מהשעה 17:00 עד השעה 07:00 למחרת</t>
  </si>
  <si>
    <t>העסקה חריגה של שוטרים,  תעריפים להעסקת שוטרים באירועים,  העסקת שוטר בשכר,  העסקת אנשי משטרה באירוע תמורת תשלום,  העסקה בשכר אנשי משטרה באירוע,  1151 – העסקה בשכר שבתות חגים,  תעריפי עבודה בשכר,</t>
  </si>
  <si>
    <t>שעות קורונה 45%</t>
  </si>
  <si>
    <t>משרד הבריאות (107) דירוג אחים ואחיות (39) בעקבות המעבר הזמני בתקופת "הקורונה" למשמרות של 12 שעות, זכאי העובד החל מהשעה הראשונה של המשמרת הרביעית באותו השבוע , לתוספת של 45% מערך שעה בגין כל שעה משעות המשמרת.</t>
  </si>
  <si>
    <t>משרד 
דירוג
ערך שעה
כמות שעות מדווחת</t>
  </si>
  <si>
    <t>מדובר בסמל מלם 1159
* תקופת ההסכם 1.4.2020-30.4.2020
*יובהר כי התגמול לפי סעיף זה יהיה בנוסף לתשלום בגין תחום המשמרת, בגין כל שעה, אך יכלול וימצה גמול בעד שעות נוספות.
*למען הסר ספק, בשלוש המשמרות הראשונות, חישוב מספר השיות לצורך תשלום הגמול יתבצע על בסיס כל משמרת.</t>
  </si>
  <si>
    <t>הסכם קיבוצי מיום 2020-03-25,</t>
  </si>
  <si>
    <t>משמרת קורונה רביעית בשבוע 50%</t>
  </si>
  <si>
    <t>מדובר בסמל מלם 1160
* תקופת ההסכם 1.4.2020-30.4.2020
*דירוג אחים ואחיות (39): יובהר כי תוספת משמרת קורונה 4 תהיה בנוסף לתשלום בגין תחום משמרת והתוספות מכח ועדת מעקב מיום 14.02.1987, בסך 45%/50% בגין כל שעה - סמל מלם: 1549
*דירוגים מינהלי (1) ומח"ר (11):
א. התוספת של 50% מערך שעה בגין משמרות 1-3 בשבוע: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
ב. תשלום של 50% מערך שעה בגין משמרת רביעית ואילך:
-התגמול הינו בנוסף לעבודה במשמרות לפי ההסדרים הקיימים.</t>
  </si>
  <si>
    <t>הסכם קיבוצי מיום 2020-03-25,  מש. 2020-307 מיום 2020-04-05,</t>
  </si>
  <si>
    <t>שעות קורונה 40%</t>
  </si>
  <si>
    <t>מדובר בסמל מלם 1161
* תקופת ההסכם 1.4.2020-30.4.2020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t>
  </si>
  <si>
    <t>מש. 2020-307 מיום 2020-04-05,</t>
  </si>
  <si>
    <t>הפחתת שכר</t>
  </si>
  <si>
    <t>מדובר בשכר מינימום מופחת לאנשים עם מוגבלויות שיכולת עובדתם מופחתת, מותאם לכושר עבודתם.
עבור כל עובד אשר יש בשכרו הפחתת שכר (דיווח סמל מלם 1180) אנו מקבלים אישור מהמוסד לביטוח לאומי.
אנו פועלים בעניין בהתאם להוראת של משרד העבודה, הרווחה והשירותים החברתיים.</t>
  </si>
  <si>
    <t>רכיב שכר 1180- הפחתת שכר,  חוק שכר מינימום,</t>
  </si>
  <si>
    <t>ועדה רפואית</t>
  </si>
  <si>
    <t>זכאות:
דירוג רופאים (31) עקב השתתפותם בוועדות רפואיות.</t>
  </si>
  <si>
    <t>חישוב:
 מפורט במשפחת פרמטרים 691
* ועדה רפואית ציבורית- 691A + 691B
* חוות דעת רגילה- 691C + 691D
* חוות דעת משפטית- 691E + 691F</t>
  </si>
  <si>
    <t>הסכם בין מ''י לבין הסתדרות הרפואית בישראל,  מכתב הממונה על השכר 95-7558 מיום 27-2-1995,  ועדות רפואיות, בדיקות, שירותים רפואיים והרצאות,  תעריפי ועדות רפואיות ושירותים רפואים אחרים,</t>
  </si>
  <si>
    <t>691A,  691B,  691C,  691D,  691E,  691F,</t>
  </si>
  <si>
    <t>הדרכה קלינית</t>
  </si>
  <si>
    <t>*על פי התכתבות בנושא (אסמכתא 1552) אפיון הסמל הינו כמו סמל 1242 בשינוי של שיוך תקציבי ל-600 וסיווגו בתור עבודה נוספת לעניין התצוגה בתלוש וביצוע הפרשות פנסיוניות.
בהתאם להנחיה, בתוקף מיום 1.10.2015 הוגדר סמל חדש שמספרו 1250.
שם הסמל: הדרכה קלינית
אפיון הסמל: כמו סמל 1242 בשינוי של שיוך תקציבי ל-600 וסיווגו בתור עבודה נוספת לעניין התצוגה בתלוש וביצוע הפרשות פנסיוניות.
ידווח לפיזיותרפיסטים (דירוג 20) במשרד הבריאות (סמל משרד 107).</t>
  </si>
  <si>
    <t>התכתבות בנושא סמל מלם 1250,</t>
  </si>
  <si>
    <t>כוננות מתוכננת מחלקה שישי 8-13 מנהלים</t>
  </si>
  <si>
    <t>משרד הבריאות (107) רופא מנהל (דירוג 31) אשר מקום עבודתו בבית חולים המבצע כוננות מחלקה ביום שישי מהשעה 13:00 ועד 8:00 בבוקר למחרת.
זכאים לשכר של 2.5 ימי עבודה עבור כל כוננות.</t>
  </si>
  <si>
    <t>שכר יום עבודה *כמות כוננויות מחלקה מדווחת בחודש * 2.5
שכר יום עבודה= שכר יסוד (סמל מלם 10002)+כל התוספות הנכנסות לחישוב שכר יום עבודה, הכל מחולק ב 25.
(לעדכן בבדיקות אלו עוד תוספות נכנסות לשכר יום עבודה)
2.5=מספר שכר ימי העבודה להם זכאי הרופא=מספר קבוע לא משתנה</t>
  </si>
  <si>
    <t>שכר יום עבודה= שכר יסוד (סמל מלם 10002)+כל התוספות הנכנסות לחישוב שכר יום עבודה, הכל מחולק ב 25.
(לעדכן בבדיקות אלו עוד תוספות נכנסות לשכר יום עבודה)</t>
  </si>
  <si>
    <t>משרד
דירוג 
מקום עבודה
מספר כוננויות בחודש 
ערך יום עבודה</t>
  </si>
  <si>
    <t>מדובר בסמל מלם 1254, הרכיב מגיע ממערכת הנוכחות של משרד הבריאות (107).
(ראה גם WT 4075 -סמל מלם 1277 כוננות רופא מומחה)</t>
  </si>
  <si>
    <t>זכרון דברים מיום 1976-11-29,  זכרוו דברים מיום 1977-02-27,  טבלה לחישוב תורנות וכוננות של רופאים 1993-01-13,  זכרון דברים מיום 1983-07-05,  משמעויות בהסכמים,</t>
  </si>
  <si>
    <t>כוננות מתוכננת מיון יום חול 8-16 מנהלים</t>
  </si>
  <si>
    <t>משרד הבריאות (107) רופא מנהל (דירוג 31) אשר מקום עבודתו בבית חולים המבצע כוננות מיון ביום חול מהשעה 16:00 ועד 8:00 בבוקר למחרת.
זכאים לשכר של 3.25 ימי עבודה עבור כל תורנות.</t>
  </si>
  <si>
    <t>שכר יום עבודה *כמות כוננויות מיון מדווחת בחודש * 3.25
שכר יום עבודה= שכר יסוד (סמל מלם 10002)+כל התוספות הנכנסות לחישוב שכר יום עבודה, הכל מחולק ב 25.
(לעדכן בבדיקות אלו עוד תוספות נכנסות לשכר יום עבודה)
3.25=מספר שכר ימי העבודה להם זכאי הרופא=מספר קבוע לא משתנה</t>
  </si>
  <si>
    <t xml:space="preserve">
שכר יום עבודה= שכר יסוד (סמל מלם 10002)+כל התוספות הנכנסות לחישוב שכר יום עבודה, הכל מחולק ב 25.
(לעדכן בבדיקות אלו עוד תוספות נכנסות לשכר יום עבודה)</t>
  </si>
  <si>
    <t>מדובר בסמל מלם 1256, הרכיב מגיע ממערכת הנוכחות של משרד הבריאות (107).
(ראה גם WT 1425 סמל מלם 1279-כוננות רופא מומחה)</t>
  </si>
  <si>
    <t>כוננות מתוכננת מיון שישי 8-13 מנהלים</t>
  </si>
  <si>
    <t>משרד הבריאות (107) רופא מנהל (דירוג 31) אשר מקום עבודתו בבית חולים המבצע כוננות מיון ביום שישי מהשעה 13:00 ועד 8:00 בבוקר למחרת.
זכאים לשכר של 3.75 ימי עבודה עבור כל כוננות.</t>
  </si>
  <si>
    <t>שכר יום עבודה *כמות כוננויות מיון מדווחת בחודש * 3.75
שכר יום עבודה= שכר יסוד (סמל מלם 10002)+כל התוספות הנכנסות לחישוב שכר יום עבודה, הכל מחולק ב 25.
(לעדכן בבדיקות אלו עוד תוספות נכנסות לשכר יום עבודה)
3.75=מספר שכר ימי העבודה להם זכאי הרופא=מספר קבוע לא משתנה</t>
  </si>
  <si>
    <t>מדובר בסמל מלם 1257, הרכיב מגיע ממערכת הנוכחות של משרד הבריאות (107).
(ראה גם WT 1426 סמל מלם 1280-כוננות רופא מומחה)</t>
  </si>
  <si>
    <t>קצובת הבראה שנתית לרכיב 1259</t>
  </si>
  <si>
    <t>תקופת שירות מוגדרת כ:
1. תקופות עבודה מחוץ לשירות שהוכרו כוותק לצורך תשלום משכורת.
2. תקופות עבודה מחוץ לשירות, בשנים שלמות, לרבות שירות בצבא הקבע (שירות חובה לא נכלל), שלא הוכרו לצורך תשלום ותק.
3. תקופת היעדרות לרגל לידה/תאונה בעבודה/שירות מילואים, בעדה משתלמים דמי לידה/פגיעה מהמוסד לביטוח לאומי.
4. חופשת מחלה ללא משכורת.
5. חופשה ללא משכורת בה הועסק העובד בשלוחה של המדינה בחוץ-לארץ במעמד של עובד מקומי.
6. תקופות אחרות, בעדן לא שולמה משכורת לעובד- לא תובאנה בחשבון.
7.שירות חובה בצה"ל לא יובא בחשבון כתקופת שירות לפי סעיף זה, למעט תקופת שירות בצה"ל המזכה בהחזרה לעבודה על-פי הוראות פרק משנה 34.2.
8. 
הכללים המזכים לזכאות למספר ימי הבראה:
דירוג רנטגנאי (דירוג 8) זכאי ל5 ימים נוספים מהאמור מטה)
3 השנים הראשונות: 6
מהשנה ה- 4 עד ה-10: 8
מהשנה ה- 11 עד ה-15: 9
מהשנה ה- 16 עד ה-19: 10
מהשנה ה- 20 : 11</t>
  </si>
  <si>
    <t>סמל מלם 1259-קצובת הבראה של 5 ימים נוספים לדירוג 8
1. מספר שנות שירות
2. זכאות לימי הבראה על פי הכללים המזכים
3. חלקיות משרה
4. עובד שמקום עבודתו בנגב
מאפייני הרכיב תקפים לרכיב מלם 1259</t>
  </si>
  <si>
    <t>תקשי"ר,  הוראת תכם 13.3.0.1,  חוזר הע 2019-1-21 מיום 26-5-2019,  הוראת תכם 13.3.1,  חוזר הער 2020-1-26 עדכון קצובת הבראה 2020,  הוראת תכם 13.3.0.1,  הסכם קיבוצי מיום 1973-07-25,  ק.הבראה 2021.docx,  מכתב מיום 1997-08-17,  ותק לשכר ל13 ימי הבראה,  זכאות ליום ה 13 בהבראה,</t>
  </si>
  <si>
    <t>0025,  0025,  0025,  0025,  0025,  0025,  0025,</t>
  </si>
  <si>
    <t>זכאות: דירוגים: סטונדטים (71), סוקרים בלשכה המרכזית לסטטיסטיקה (584), סוקרים חוזה ( 585 + 487)
לעובדי הסיעה (דירוג 63)
שליחים
עובד אי"תן יהיה זכאי לקצובת הבראה שתשלום בכל חודש בסכום השווה ל-1/12 משיעור קצובת ההבראה לה זכאי העובד.</t>
  </si>
  <si>
    <t>חישוב:
א. מחושב על בסיס חודשי לפי שעות עבודתו בפועל באותו חודש
A * B/12 * C
A = מספר ימי הבראה (כמות, לפי הוותק)- לסטודנטים ערך זה יהיה קבוע 7 (הוותק המקסימלי שיכול להיות הוא 3 שנים), לסוקרים (584+487) הכמות תהיה לפי וותק הבראה מחושב, כמו בקצובת הבראה הרגילה
B = ערך יום הבראה קבוע שנקבע אחת לשנה ע"י החשב הכללי (נקבע בפרמטרים הקבועים 0025)
C = שעות עבודה חודשיות בפועל לחלק בשעות עבודה למשרה מלאה באותו החודש
ב. לעובדי הסיעה (דירוג 63), מוזן ידנית מכוח הסכם העסקה פרטי שנחתם עימם, אין נוסחת חישוב
 שליחים
מחיר יום הבראה * מספר הימים המפורטים בהתאם למספר שנות העבודה של העובד.
3 שנים ראשונות: 7 ימים.
4-10 שנים: 9 ימים.
11-15 שנים: 10 ימים.
16-19 שנים: 11 ימים.
20-24 שנים: 12 ימים.</t>
  </si>
  <si>
    <t>סטודנט יהיה זכאי לקבלת תשלום קצובת הבראה ונופש וקצובת ביגוד, אשר תחושב על בסיס חודשי לפי שעות עבודתו בפועל באותו החודש (הוראה 13.1.0.3)
תמיד משולם בהפרשים, כי החישוב הוא על בסיס שעות חודש קודם
-רכיב 1269 משולם לדירוג מאבטחים (387), הרכיב מחושב לפי חלקיות העסקה משוקללת, נתון שלא רשום בתלוש. ראה מייל מחשב (אסמכתא 3151)</t>
  </si>
  <si>
    <t>1. צבירת ימי הבראה
2. דירוג סטודנט או משרה מלאה
3. חלקיות משרה
4. שעות עבודה בחודש נוכחי
5. מס שעות עבודה למשרה מלאה</t>
  </si>
  <si>
    <t>א. 1260- קצובת הבראה חודשית
ב. 4970- הפחתת הבראה חודשית
ג. 1269 - קצובת הבראה חודשית למאבטחים (387) ובוחני רישוי
*סטודנטים משולם תמיד 7 ימים ומאבטחים לפי וותק.</t>
  </si>
  <si>
    <t>תכמ 13.1.0.3,  תקשי"ר,  הוראת תכם 13.3.0.1,  חוזר שכר מיום 2011-1-11,  חוזה העסקה מאבטח,  חוזה בוחני רישוי,  מסמכי אפיון- שליחים,  תכם 13.1.0.3 עדכני,  חוזר הע 2020-1-31 מיום 2020-06-29,  חישוב קצובת הבראה סטודנטים,  חוזר הע-2021-1-20 מיום2020-6-1,   חישוב דמי הבראה למאבטחים בסמל 1269,  חוזר הע- 2022-01-11,  מייל לפתיחת דירוג קשבים,  חוזר העמ -0491-0001-2022-003750,  חוזר נשמ מיום 2016-11-16,</t>
  </si>
  <si>
    <t>0025,  0025,  0025,  0025,  0025,  0025,  0025,  868,  868,  868,  868,  868,  868,</t>
  </si>
  <si>
    <t>ימי ערך תכ"ז</t>
  </si>
  <si>
    <t>* עובד בדירוג רופאים (31).
* כמות כונניות.
* סכום ערך יום.</t>
  </si>
  <si>
    <t>* סמל מלמ 1276
* הרכיב מגיע ממערכת הנוכחות של משרד הבריאות.
תכ"ז = תמורה כספית זהה
התמורה הכספית הזהה ניתנת לרופאים אשר התחייבו לבצע עבודה נוספת והיא במקום התמורה לה היו זכאים אילולא ההתחייבות בגין ביצוע מכסת העבודה הנוספת</t>
  </si>
  <si>
    <t>טבלה לחישוב תורנות וכוננות של רופאים 1993-01-13,  פיצול סמל 1284 + 1276,  הסכם קיבוצי מיום 1979-03-15,</t>
  </si>
  <si>
    <t>כוננות מתוכננת מיון חול 8-16 רופא מומחה</t>
  </si>
  <si>
    <t>משרד הבריאות (107) דירוג רופאים (31)  אשר מקום עבודתם בבית חולים,
 מדובר ברופאים מומחים המבצעים כוננות מיון ביום חול משעה 16:00 ועד למחרת בשעה 08:00.
זכאים לשכר של 3.25 ימי עבודה עבור כל כוננות.</t>
  </si>
  <si>
    <t>שכר יום עבודה *מספר כוננויות מיון בחודש * 3.25 *מקדם מומחה 1.2
שכר יום עבודה= שכר משולב (סמל מלם 10002) +תוספת שקלית 2012 (5422), הכל מחולק ב 25.
(לעדכן בבדיקות אלו עוד תוספות נכנסות לשכר יום עבודה
3.25=מספר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</si>
  <si>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</si>
  <si>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משרד
דירוג
רופא מומחה
מספר כוננויות מיון בחודש
ערך יום עבודה</t>
  </si>
  <si>
    <t>מדובר בסמל מלם 1279, הרכיב מגיע ממערכת הנוכחות של משרד הבריאות (107).
(ראה גם WT 1434 סמל מלם 1256-כוננות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</si>
  <si>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  חוזר ביצוע 4-9-1 מיום 1977-03-18,</t>
  </si>
  <si>
    <t>כוננות מתוכננת מיון יום שישי 8-13 רופא מומחה</t>
  </si>
  <si>
    <t>משרד הבריאות (107) דירוג רופאים (31)  אשר מקום עבודתם בבית חולים,
 מדובר ברופאים מומחים המבצעים כוננות מיון ביום שישי משעה 13:00 ועד למחרת בשעה 08:00.
זכאים לשכר של 3.75 ימי עבודה עבור כל כוננות.</t>
  </si>
  <si>
    <t>שכר יום עבודה *מספר כוננויות מיון בחודש * 3.75 *מקדם מומחה 1.2
שכר יום עבודה= שכר משולב (סמל מלם 10002)+תוספת שקלית 2012 (5422), הכל מחולק ב 25.
(לעדכן בבדיקות אלו עוד תוספות נכנסות לשכר יום עבודה)
3.75=מספר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</si>
  <si>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</si>
  <si>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מדובר בסמל מלם 1280, הרכיב מגיע ממערכת הנוכחות של משרד הבריאות (107).
(ראה גם WT 1435 סמל מלם 1257-כוננות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</si>
  <si>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t>
  </si>
  <si>
    <t>כוננות מיון שבת 8-8 רופא מומחה</t>
  </si>
  <si>
    <t>משרד הבריאות (107) דירוג רופאים (31)  אשר מקום עבודתם בבית חולים,
 מדובר ברופאים מומחים המבצעים כוננות מיון בשבת משעה 8:00 ועד למחרת בשעה 08:00.
זכאים לשכר של 4.25 ימי עבודה עבור כל כוננות.</t>
  </si>
  <si>
    <t>שכר יום עבודה *מספר כוננויות מיון בחודש * 4.25 *מקדם מומחה 1.2
שכר יום עבודה= שכר משולב (סמל מלם 10002)+תוספת שקלית 2012 (5422), הכל מחולק ב 25.
(לעדכן בבדיקות אלו עוד תוספות נכנסות לשכר יום עבודה
4.25=מספר שכר ימי העבודה להם זכאי הרופא=מספר קבוע לא משתנה</t>
  </si>
  <si>
    <t>מדובר בסמל מלם 1281, הרכיב מגיע ממערכת הנוכחות של משרד הבריאות (107).
(ראה גם  WT 1436 סמל מלם 1367-כוננות רופא מנהל)
התוספות הנכנסות לחישוב שכר יום עבודה בבדיקות בתלושי שכר:
*תוספת שקלית 2012 (5422)</t>
  </si>
  <si>
    <t>כוננות על מנהל</t>
  </si>
  <si>
    <t>משרד הבריאות (107) רופא (דירוג 31) שהוא מנהל מחלקה/יחידה/מכון/מרפאת חוץ בבית חולים יקבל תשלום בגובה שכר שלושים ימי עבודה לחודש בהיותו כונן על במשך כל החודש.</t>
  </si>
  <si>
    <t>שכר יום עבודה *30 * 0.83 
שכר יום עבודה= שכר משולב (סמל מלם 10002)+כל התוספות הנכנסות לשכר יום עבודה, הכל מחולק ב 25.
0.83= מקדם כוננות על
30= מספר שכר ימי העבודה להם זכאי הרופא=מספר קבוע לא משתנה</t>
  </si>
  <si>
    <t>מדובר בסמל מלם 1283, הרכיב מגיע ממערכת הנוכחות של משרד הבריאות (107).
1. מנהל מחלקה המבצע כוננות מתוכננת יונהג לגביו:
א. אם מקום עבודתו הינו באחד מהמקומות שנקבעו כאזור פריפריה א' יופחת מן הכוננות המתוכננת ה-21 ואילך, שכר יום עבודה אחד מהתשלום המגיע לו בהיותו כונן על.
ב.אם מקום עבודתו הינו באחד מהמקומות שנקבעו כאזור ב' יופחת מן הכוננות המתוכננת ה-11 ואילך, שכר יום עבודה אחד מהתשלום המגיע לו בהיותו כונן על.
סעיף זה חל גם על רופא שקיבל מינוי בפועל של מנהל בעת העדרו של המנהל ולתקופת המינוי יחסית לחלקיות עבודתו באותו חודש.
2. נעדר מנהל מפאת חופשה או מחלה יופחת מן התשלום עבור היותו כנן על , שכר יום עבודה אחד בגין כל יום של העדרות, ובלבד שבכל מקרה יהיה זכאי לתשלום בגובה שכר 14 ימי עבודה לחודש בנוסף למשכורתו.
"פריפריה א":
בית חולים עמק בעפולה
בית חולים סורוקה
בית חולים נהריה
בית חולים חדרה
בית חולים פרדסיה
מרכז בריאות קריית שמונה
מרכז בריאות בקה אל גרבייה
מרכז גריאטרי פרדס חנה
בית חולים צפת
בית חולים פוריה
בית חולים אשקלון
בית חולים שער מנשה
בית חולים רמות רמז
"אזור ב":
בית חולים עכו
בית חולעם מזרע
בית חולים אסף הרופא
בית חולים נס ציונה
בית חולים שמואל הרופא
בית חולים באר יעקב
בית חולים איתנים
בית חולים רמב"ם
בית חולים השרון
בית חולים גהה
בית חולים בית אבקה
בית חולים יפו
בית חולים עיר עתיקה
מרכז גריאטרי נתניה
בית חולים תל השומר
בית חולים בת ים
בית חולים קפלן</t>
  </si>
  <si>
    <t>הסכם קיבוצי מיום 1979-03-15,  טבלה לחישוב תורנות וכוננות של רופאים 1993-01-13,  זכרון דברים מיום 1983-07-05,  חוזר הער/86/4 (47) מיום 16/04/1986,  חוזר הער 79-40 מיום 1979-04-09,  זכרון דברים מיום 1976-11-29,  משמעויות בהסכמים,</t>
  </si>
  <si>
    <t>ביקורי מחלקה בשבת</t>
  </si>
  <si>
    <t>משרד הבריאות (107) דירוג רופאים (31),
הזכאות הינה לרופא מנהל אשר מקום עבודתו הינו בבית חולים, הנדרש לבצע בשבת/חג ביקור רפואי במחלקה או נדרש לבצע בשבת/חג עבודה שגרתית או אחרת במחלקה שאינה בתורנות,  
עבור כלביקור זכאי הרופא לתמורה של שכר יום עבודה אחד.</t>
  </si>
  <si>
    <t>כמות מדווחת של ביקורי שבת/חג * שכר יום עבודה * 1
שכר יום עבודה= שכר יסוד (סמל מלם 10002)+תוספת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</si>
  <si>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ביקורי שבת/חג
מקום עבודה
שכר יום עבודה</t>
  </si>
  <si>
    <t>מדובר בסמל מלם 1285, הרכיב מגיע ממערכת הנוכחות של משרד הבריאות (107).
ע"פ סעיפים 22 ו 23 לזכרון דברים מיום 27.02.1977
1. במחלקות בהם יש תורן מחלקה יבוצע הביקור בשבת או חג ללא תשלום נוסף.
2. מנהל מחלקה רשאי באישורו של מנהל בית חולים להורות לתכנן ביקור שבת שיבוצע על ידי רופא שאינו תורן ואינו כונן במחלקה בשבת או בחג. במקרים כנ"ל יקבל הרופא (גם זוטר) תשלום כמפורט בסעיף 19 להסכם מיום 29-11-1976</t>
  </si>
  <si>
    <t>זכרון דברים מיום 1976-11-29,  זכרוו דברים מיום 1977-02-27,  טבלה לחישוב תורנות וכוננות של רופאים 1993-01-13,  משמעויות בהסכמים,  תיקון הוראת יישום מספטמבר 21,</t>
  </si>
  <si>
    <t>קרן רופאים בית חולים</t>
  </si>
  <si>
    <t>משרד הבריאות (107) דירוג רופאים (31) אשר מקום עבודתם בבית חולים, מבוצעת הפרשה מהשכר המשולב לשם תשלום חליפי לרופאים הזכאים.</t>
  </si>
  <si>
    <t>דירוג רופאים (31) עד דרגה 3+ ורופאים תחומיים:
שכר משולב (10002)*פרמטר 817* חלקיות משרה
דירוג רופאים (31) מדרגה 4:
שכר משולב (10002)*פרמטר 818* חלקיות משרה</t>
  </si>
  <si>
    <t>משרד
מקום עבודה
דירוג
דרגה</t>
  </si>
  <si>
    <t>מדובר בסמל מלם 1291
על פי סעיף 2 להסכם קיבוצי מיום 1988-06-14
"תשלום חליפי": תשלום לרופאים אשר לא בצעו עבודה נופת (כוננות או תורנות), לרבות מחמת יציאה לחופשה בשכר או שביצעו עבודה נוספת כנ"ל בשיעור אשר התמורה עבורו אינה מגיעה לסכום השווה ל-42% מהשכר המהווה את הבסיס לחישוב ערך יום עבודה של כל רופא-זכאי לתשלום חליפי.
על פי סעיף 5א להסכם קיבוצי מיום 1988-06-14:
הפרשות הרופאים מועברות לקרן והמעסיקים ישלמו מהקרן לרופאים הזכאים את התשלום החליפי כך שתושלם הכנסתם מעבודה נוספת עד לסכום של 42% מהשכר המהווה בסיס לחשוב ערך יום עבודה של כל רופא.
על פי סע' 5 להסכם הקיבוצי מיום 1994-04-04
בכל מקרה שהפרשות הרופאים אינן מגיעות לכיסוי מלא ומוחלט של סך ההוצאות בגין התשלום החליפי ו/או בכל מקרה שהכספים שבקרן אינם מספיקים, כדי ביצוע תשלום חליפי תהיה המדינה רשאית לשנות את שיעורי ההפרשות הרופאים בגובה הדרוש כדי לכסות את הגירעון בקרן, לאחר שתמסר הודעה מנומקת על כך להר"י.</t>
  </si>
  <si>
    <t>הסכם קיבוצי מיום 1988-06-14,  שכ.2014-82773 מיום 2015-01-11,  הסכם קיבוצי מיום 1994-04-04,</t>
  </si>
  <si>
    <t>817,  817,  818,  818,</t>
  </si>
  <si>
    <t>תשלום חליפי</t>
  </si>
  <si>
    <t>זכאות מצטברת:
.1	משרד הבריאות (107) 
.2	דירוג רופאים (31)
.3	 מקום עבודתם בבית חולים.
.4	הינם רופאים זכאים בהתקיים אחד מהתנאים הבאים:
⦁	רופא אשר לא זכאי לכוננויות או תורנויות עפ"י ההסכמים הקיבוציים החלים.
⦁	רופא חולה בחופשת מחלה בשכר אשר לא מבצע אף כוננות או תורנות יותר מחודש ימים. 
⦁	רופא בהריון לאחר החודש החמישי להריונה אשר עקב סיבות רפואיות מנועה מביצוע של כוננות או תורנות.</t>
  </si>
  <si>
    <t>עד 42%* השכר המהווה בסיס לחישוב ערך יום עבודה של כל רופא
(יש להוסיף בבדיקות אלו רכיבי שכר נכנסים לערך יום)</t>
  </si>
  <si>
    <t>משרד
דירוג
מקום עבודה
זכאות לתשלום חליפי</t>
  </si>
  <si>
    <t>מדובר בסמל מלם 1292
תוספת שקלית 2012 (סמל מלם 5422) לא נכנס לחישוב ערך יום.</t>
  </si>
  <si>
    <t>הסכם קיבוצי מיום 1994-04-04,  מייל מיום 2015-07-08,</t>
  </si>
  <si>
    <t>תוספת מעונות עד גיל 5.5.</t>
  </si>
  <si>
    <t>משרד
דירוג
מקום עבודה
חלקיות משרה</t>
  </si>
  <si>
    <t>*מדובר בסמל מלם 1293
*התשלום בסמל אינו אוטומטי אלא ע"פ הגשת המסמכים הרלוונטיים למחלקת משאבי אנוש.
ב*אסמכתא 1504 רשום שתוקפה עד 31.12.2003 אך על פי יהודה תורג'מן התוקף לא תמיד עדכני ויש הרבה מקרים שתוקף ההסכם מוארך.
*לגבי אפיון ילדי אומנה במרכבה, ראה אסמכתא 3008.</t>
  </si>
  <si>
    <t>התכתבות בנושא סמל מלם 1293,  חוזר משרד הבריאות מיום 1987-05-11,  מכתב מיום 2003-08-15,  תקשי"ר,  אפיון ילדי אומנה במרכבה,</t>
  </si>
  <si>
    <t>867,</t>
  </si>
  <si>
    <t>כוננות מיוחדת</t>
  </si>
  <si>
    <t>*מדובר בתוספת עבור קריאת פתע לעובדי כבאות אשר הגיעו מעיריית תל אביב. להסכם מעבר מיום 15.07.2012 התוספת ממשיכה לחול על העובדים העוברים מרשויות הכבאויות השונות לשירות המדינה.</t>
  </si>
  <si>
    <t>חוקת העבודה לעובדים ברשויות המקומיות בישראל,</t>
  </si>
  <si>
    <t>אשל עבודה בשכר</t>
  </si>
  <si>
    <t>תעריפי עבודה בשכר,  חוקת שכר משטרה סמל 1312,  עדכון סכום אשל גלובלי,  שינוי קבוצתי אשל,  עדכון סכומי האשל,</t>
  </si>
  <si>
    <t>אירוח- גילום</t>
  </si>
  <si>
    <t>כוננות מתוכננת מיון שבת 8-8 מנהלים</t>
  </si>
  <si>
    <t>משרד הבריאות (107) דירוג רופאים (31)  אשר מקום עבודתם בבית חולים,
 מדובר ברופאים מנהלים המבצעים כוננות מיון בשבת משעה 8:00 ועד למחרת בשעה 08:00.
זכאים לשכר של 4.25 ימי עבודה עבור כל כוננות.</t>
  </si>
  <si>
    <t>שכר יום עבודה *כמות כוננויות מיון מדווחת בחודש * 4.25
שכר יום עבודה= שכר יסוד (סמל מלם 10002)+כל התוספות הנכנסות לחישוב שכר יום עבודה, הכל מחולק ב 25.
(לעדכן בבדיקות אלו עוד תוספות נכנסות לשכר יום עבודה)
4.25=מספר שכר ימי העבודה להם זכאי הרופא=מספר קבוע לא משתנה</t>
  </si>
  <si>
    <t>מדובר בסמל מלם 1367, הרכיב מגיע ממערכת הנוכחות של משרד הבריאות (107).
(ראה גם WT 1427 סמל מלם 1281-כוננות רופא מומחה)</t>
  </si>
  <si>
    <t>עבודה בזמן כוננות</t>
  </si>
  <si>
    <t>משרד הבריאות (107) דירוג רופאים (31),
רופא מנהל בכוננות מתוכננת אשר מקום עבודתו הינו בבית חולים , הנקרא לבית חולים לאחר השעה 19:30 ונדרש לעבודה רפואית של 4.5 שעות לפחות.
זכאי לתמורה של שכר יום עבודה אחד עבור כל קריאה לבית חולים.</t>
  </si>
  <si>
    <t>כמות מדווחת של קריאות בכוננות מתוכננת * שכר יום עבודה * 1
שכר יום עבודה= שכר יסוד (סמל מלם 10002)+ 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</si>
  <si>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ימי עבודה בזמן כוננות
מקום עבודה
שכר יום עבודה</t>
  </si>
  <si>
    <t>מדובר בסמל מלם 1369, הרכיב מגיע ממערכת הנוכחות של משרד הבריאות (107).</t>
  </si>
  <si>
    <t>זכרון דברים מיום 1976-11-29,  זכרוו דברים מיום 1977-02-27,  טבלה לחישוב תורנות וכוננות של רופאים 1993-01-13,  משמעויות בהסכמים,</t>
  </si>
  <si>
    <t>מענק פרישה- כנסת</t>
  </si>
  <si>
    <t>ח"כ (6) לשעבר שכיהן תקופה רצופה של למעלה משנה, זכאי למענק פרישה
יוצאי דופן שלא זכאים למענק הפרישה:
א. ח"כ לשעבר שנבחר לכנסת או שנתמנה לשר, בתוך תקופה של חמישה חודשים מהיום שבו חדל לאחרונה לכהן כחבר כנסת, כל עוד הוא מכהן כחבר כנסת או כשר
ב. ח"כ לשעבר שמכהן כשר או כסגן שר, כל עוד הוא מכהן כשר או כסגן שר
ג. ח"כ לשעבר הזכאי לפנסיה תקציבית ושקצבתו מגיעה ל 100% מהמשכורת הקובעת 
יש לשים לב:
ח"כ לשעבר שהיה זכאי למענק יותר מפעם אחת לא יקבל בכל חייו מענק בסכום העולה על תשע פעמיים המשכורת הקובעת</t>
  </si>
  <si>
    <t>בשיעור של המשכורת הקובעת לכל שנת כהונה החל מהשנה השניה לכהונתו, ובלבד שסכום המענק לא יעלה על שש פעמיים המשכורת הקובעת, המענק ישולם בשיעור יחסי אם העובד עבד חלק מהשנה</t>
  </si>
  <si>
    <t>סמלי מלם: 1613+1382</t>
  </si>
  <si>
    <t>תורנות מיון חול 8-16 למתמחה</t>
  </si>
  <si>
    <t>משרד הבריאות (107) דירוג רופאים (31) אשר מקום עבודתם בבית חולים, המבצעים תורנות מיון ביום חול מהשעה 16:00 ועד למחרת בבוקר בשעה 8:00.</t>
  </si>
  <si>
    <t>שכר יום עבודה *מספר תורנוית מיון בחודש * 5
שכר יום עבודה= שכר יסוד (סמל מלם 10002)+תוספת ותק+תוספת יוקר+תוספת בית חולים (סמל מלם 600)+ תוספת מתמחה (727) + תוספת שקלית 2012 (5422), הכל מחולק ב 25.
(לעדכן בבדיקות אלו עוד תוספות נכנסות לשכר יום עבודה)
5=מספר קבוע, לא משתנה.</t>
  </si>
  <si>
    <t>משרד
מקום עבודה
דירוג
מספר תורנויות מיון בחודש
ערך יום עבודה</t>
  </si>
  <si>
    <t>מדובר בסמל מלם 1393, במשרד הבריאות רכיב זה מגיע ממערכת הנוכחות.
ראה גם 1447 סמל מלם 1459-תורנות סטז'ר)
רכיבי שכר אשר נכנסים לערך שעה מבדיקת התלושים ולא מהסתמכות על אסמכתאות:
*תוספת מתמחה (727) 
*תוספת שקלית 2012 (5422)
הזכאות לתשלום עבור תורנויות עפ"י סעיף זה הינה לרופא תורן בחדרי מיון בימי קבלה של כל אחד מן המקצועות הבאים:
פנימית, ילדים, נשים ויולדות (חדר לידה), כירוגית. אורתופדית (או טראומטולוגיה) וכמו כן זכאי לתשלום עבור תורנויות לפי סעיף זה רופא תורן באחד המקצועות הבאים, בימי קבלה של ביה"ח: הרדמה, יחידות לטיפול נמרץ.
בנוסף לתשלום לפי רכיב זה. רופא שביצע שתי תורנויות ברצף ביום חול זכאי גם ליום חופשה בתום עבודתו. חופשה זו אינה ניתנת לפדיון, אולם ניתנת לצבירה לצורך לימוד לבחינות התמחות.</t>
  </si>
  <si>
    <t>זכרון דברים מיום 1976-11-29,  משמעויות בהסכמים,  זכרוו דברים מיום 1977-02-27,  טבלה לחישוב תורנות וכוננות של רופאים 1993-01-13,</t>
  </si>
  <si>
    <t>כוננות מחלקה מתוכננת חול 8-16 מנהלים</t>
  </si>
  <si>
    <t>משרד הבריאות (107) רופא מנהל (דירוג 31) אשר מקום עבודתו בבית חולים המבצע כוננות מחלקה ביום חול משעה 16:00 ועד 8:00 למחרת.
זכאים לשכר של 2 ימי עבודה עבור כל כוננות.</t>
  </si>
  <si>
    <t>שכר יום עבודה *כמות כוננויות מחלקה מדווחת בחודש * 2
שכר יום עבודה= שכר יסוד (סמל מלם 10002)+כל התוספות הנכנסות לחישוב שכר יום עבודה, הכל מחולק ב 25.
(לעדכן בבדיקות אלו עוד תוספות נכנסות לשכר יום עבודה)
2=מספר שכר ימי העבודה להם זכאי הרופא=מספר קבוע לא משתנה</t>
  </si>
  <si>
    <t>מדובר בסמל מלם 1407, הרכיב מגיע ממערכת הנוכחות של משרד הבריאות (107).
(ראה גם WT 4074 סמל מלם 1282-כוננות רופא מומחה)</t>
  </si>
  <si>
    <t>תוספת אבטחה לעובדי אית"ן</t>
  </si>
  <si>
    <t>זכאות: 
עובדי אבטחה אית"ן משרד 437</t>
  </si>
  <si>
    <t>חישוב:
A * 25%
A = שכר בסיס.</t>
  </si>
  <si>
    <t>* לא מצויין מספר דירוג זכאי מאחר וברכיבים שמשולמים עבור שליחות של עובדים לחו"ל, לא קיימת הבחנה בין דירוגים.</t>
  </si>
  <si>
    <t>ככלל עובדי אית"ן אבטחה אינם זכאים לחוק שעות עבודה ומנוחה, התשי"א 1951.
כלומר לכל גמול בגין עבודה בשעות נוספות, בימי מנוחה ובשעות לילה. על אף שהחוק אינו חל על עובד אית"ן הוא זכאי לתוספת אבטחה. תוספת זו נועדה לספק פיצוי לעובד עבור תנאי העבודה הכרוכים בביצוע התפקיד.
* ב-BI הרכיב נקרא "שי ועד לחג" אך בפועל לפי התלוש מדובר על ""תוספת אבטחה"
* סמלי מלמ 1426 + 1425
מאפייני הרכיב אושרו לרכיב מלמ 1425 בלבד!, רכיב 1426 לא אושר עדין</t>
  </si>
  <si>
    <t>חוברת תנאי העסקה ושכר- עובדי איתן,  מודל שכר עובדי אית''ן אבטחה,  נספח א2- מודל שכר עובדי אית''ן אבטחה,  עדכון דרגות עובדי איתן בני זוג של שליחים,</t>
  </si>
  <si>
    <t>תורנות סטג'ר מחלקה, שבת/חג 8:00-8:00</t>
  </si>
  <si>
    <t>משרד הבריאות (107) רופא סטג'ר דירוג 31 דרגה 1, אשר מקום עבודתו בבית חולים המבצע תורנות מחלקה ביום שבת או חג מהשעה 08:00 ועד 8:00 בבוקר למחרת.
זכאי לשכר של 5 ימי עבודה עבור כל תורנות.</t>
  </si>
  <si>
    <t>ערך יום עבודה *כמות תורנויות מחלקה מדווחת בחודש * 5
ערך יום עבודה= שכר משולב (סמל מלם 10002)+כל התוספות הנכנסות לחישוב שכר יום עבודה, הכל מחולק ב 25.
(לעדכן בבדיקות אלו עוד תוספות נכנסות לשכר יום עבודה) 
5=מספר שכר ימי העבודה להם זכאי הרופא=מספר קבוע לא משתנה</t>
  </si>
  <si>
    <t>ערך יום עבודה= שכר משולב (סמל מלם 10002)+כל התוספות הנכנסות לחישוב שכר יום עבודה, הכל מחולק ב 25.
(לעדכן בבדיקות אלו עוד תוספות נכנסות לשכר יום עבודה)</t>
  </si>
  <si>
    <t>משרד
דירוג 
מקום עבודה
מספר תורנויות בחודש 
ערך יום עבודה</t>
  </si>
  <si>
    <t>2 סמלי מלם משלמים את הרכיב:
סמל מלם 1453 משלם את הרכיב באופן שוטף.
סמל מלם 1660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1660 בBI שונה משמו בתלוש ואינו משקף את מהות הרכיב.
(ראה גם WT 1390 סמל מלם 1392-תורנות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1.א.4. להוראות ביצוע לרופאים מיום 18.03.1977 המבהיר את סעיפים 10-15 לזכרון הדברים מיום 29.11.1976.
זכאי לשכר של 6.5 ימי עבודה החל מהתורנות השביעית ומעלה.
3.ע"פ סעיף 2 לתנאי עבודה סטז'רים מיום 03.04.1986 יש לאשר לכל סטז'ר לא יותר מ-6 תורנויות מחלקה או 3 תורנויות מיון.</t>
  </si>
  <si>
    <t>טבלה לחישוב תורנות וכוננות של רופאים 1993-01-13,  ועדה פרטטית מיום 1977-03-25,  זכרון דברים מיום 1976-11-29,  תנאי עבודה סטז'רים מיום 1986-03-14,  משמעויות בהסכמים,  חוזר ביצוע 4-9-1 מיום 1977-03-18,</t>
  </si>
  <si>
    <t>תורנות סטג'ר במיון, שבת/חג 8:00-8:00</t>
  </si>
  <si>
    <t>משרד הבריאות (107) רופא סטג'ר דירוג 31 דרגה 1, אשר מקום עבודתו בבית חולים המבצע תורנות מיון ביום שבת או חג מהשעה 08:00 ועד 8:00 בבוקר למחרת.
זכאים לשכר של 6 ימי עבודה עבור כל תורנות.</t>
  </si>
  <si>
    <t>ערך יום עבודה *כמות תורנויות מיון מדווחת בחודש * 6
ערך יום עבודה= שכר משולב (סמל מלם 10002)+כל התוספות הנכנסות לחישוב שכר יום עבודה, הכל מחולק ב 25.
(לעדכן בבדיקות אלו עוד תוספות נכנסות לשכר יום עבודה)
6=מספר שכר ימי העבודה להם זכאי הרופא=מספר קבוע לא משתנה</t>
  </si>
  <si>
    <t xml:space="preserve">
ערך יום עבודה= שכר משולב (סמל מלם 10002)+כל התוספות הנכנסות לחישוב שכר יום עבודה, הכל מחולק ב 25.
(לעדכן בבדיקות אלו עוד תוספות נכנסות לשכר יום עבודה)</t>
  </si>
  <si>
    <t>2 סמלי מלם משלמים את הרכיב:
סמל מלם 1454 משלם את הרכיב באופן שוטף.
סמל מלם 1661 שילם את הרכיב בין החודשים 5-12/2017 בלבד.
הרכיבים מגיעים ממערכת הנוכחות של משרד הבריאות (107).
באגפים הבאים: בי"ח וולפסון (אגף 27), בי"ח רמבם (אגף 407), בי"ח שיבא-תל השומר (אגף 707), בי"ח אסף הרופא (אגף 807)
השם של רכיב 1661 בBI שונה משמו בתלוש ואינו משקף את מהות הרכיב.
(ראה גם WT 1392 סמל מלם 1395-תורנות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סעיפים 1.ב.3 ,1.ב.4, 1.ב.6 להוראות ביצוע לרופאים מיום 18.03.1977 המבהיר את סעיף 15 לזכרון הדברים מיום 29.11.1976.
 זכאי לשכר של 7.5 ימי עבודה החל מהתורנות השביעית ומעלה (סמל מלם 1395).
3.ע"פ סעיף 2 לתנאי עבודה סטז'רים מיום 03.04.1986 יש לאשר לכל סטז'ר לא יותר מ-6 תורנויות מחלקה או 3 תורנויות מיון.</t>
  </si>
  <si>
    <t>תורנות סטז'ר מחלקה,שישי ערב שבת/ערב חג 13:00-08:00</t>
  </si>
  <si>
    <t>משרד הבריאות (107) רופא סטג'ר דירוג 31 דרגה 1, אשר מקום עבודתו בבית חולים המבצע תורנות מחלקה ביום שישי בערב שבת או בערב חג מהשעה 13:00 ועד 8:00 בבוקר למחרת.
זכזכאים לשכר של 3.5 ימי עבודה עבור כל תורנות</t>
  </si>
  <si>
    <t>ערך יום עבודה *כמות תורנויות מחלקה מדווחת בחודש * 3.5
ערך יום עבודה= שכר משולב (סמל מלם 10002)+כל התוספות הנכנסות לחישוב שכר יום עבודה, הכל מחולק ב 25.
(לעדכן בבדיקות אלו עוד תוספות נכנסות לשכר יום עבודה)
3.5=מספר שכר ימי העבודה להם זכאי הרופא=מספר קבוע לא משתנה</t>
  </si>
  <si>
    <t>2 סמלי מלם משלמים את הרכיב:
סמל מלם 1457 משלם את הרכיב באופן שוטף.
סמל מלם 1663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(ראה גם WT 1389 סמל מלם 1391-תורנות רופא )
השם של רכיב 1663 בBI שונה משמו בתלוש ואינו משקף את מהות הרכיב.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1.א.2. להוראות ביצוע לרופאים מיום 18.03.1977 המבהיר את סעיפים 10-15 לזכרון הדברים מיום 29.11.1976.
זכאי לשכר של 5 ימי עבודה החל מהתורנות השביעית ומעלה (סמל מלם 1391).
3.ע"פ סעיף 2 לתנאי עבודה סטז'רים מיום 03.04.1986 יש לאשר לכל סטז'ר לא יותר מ-6 תורנויות מחלקה או 3 תורנויות מיון.</t>
  </si>
  <si>
    <t>תורנות סטג'ר מיון, חול 16:00-08:00</t>
  </si>
  <si>
    <t>משרד הבריאות (107) רופא סטג'ר דירוג 31 דרגה 1, אשר מקום עבודתו בבית חולים המבצע תורנות מיון ביום חול מהשעה 16:00 ועד 8:00 בבוקר למחרת, 
זכאים לשכר של 4 ימי עבודה עבור כל תורנות</t>
  </si>
  <si>
    <t>שכר יום עבודה *כמות תורנויות מחלקה מדווחת בחודש * 4
ערך יום עבודה= שכר משולב (סמל מלם 10002)+כל התוספות הנכנסות לחישוב שכר יום עבודה, הכל מחולק ב 25.
(לעדכן בבדיקות אלו עוד תוספות נכנסות לשכר יום עבודה)
4=מספר שכר ימי העבודה להם זכאי הרופא=מספר קבוע לא משתנה</t>
  </si>
  <si>
    <t>2 סמלי מלם משלמים את הרכיב:
סמל מלם 1459 משלם את הרכיב באופן שוטף.
סמל מלם 1668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1668 בBI שונה משמו בתלוש ואינו משקף את מהות הרכיב.
ראה גם WT 4012 סמל מלם 1393-תורנות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לסעיף 15 לזכרון דברים מיום 29.11.1976:
החל מהתורנות השביעית בחודש זכאי רופא סטז'ר לשכר תורנות כשל רופא בית חולים.
לכן על פי סעיף 1.ב.3. ו1.ב.4. להוראות ביצוע לרופאים מיום 18.03.1977 המבהיר את סעיפים 15 לזכרון הדברים מיום 29.11.1976.
זכאי לשכר של 4 ימי עבודה החל מהתורנות השביעית ומעלה (סמל מלם 1393).
3.ע"פ סעיף 2 לתנאי עבודה סטז'רים מיום 03.04.1986 יש לאשר לכל סטז'ר לא יותר מ-6 תורנויות מחלקה או 3 תורנויות מיון.</t>
  </si>
  <si>
    <t>תורנות סטג'ר מיון, שישי ערב שבת/ערב חג 13:00-08:00</t>
  </si>
  <si>
    <t>משרד הבריאות (107) רופא סטג'ר דירוג 31 דרגה 1, אשר מקום עבודתו בבית חולים המבצע תורנות מיון ביום שישי ערב שבת או בערב חג  מהשעה 13:00 ועד 8:00 בבוקר למחרת, 
זכאים לשכר של 4.5 ימי עבודה עבור כל תורנות.</t>
  </si>
  <si>
    <t>שכר יום עבודה *כמות תורנויות מחלקה מדווחת בחודש * 4.5
ערך יום עבודה= שכר משולב (סמל מלם 10002)+כל התוספות הנכנסות לחישוב שכר יום עבודה, הכל מחולק ב 25.
(לעדכן בבדיקות אלו עוד תוספות נכנסות לשכר יום עבודה)
4.5=מספר שכר ימי העבודה להם זכאי הרופא=מספר קבוע לא משתנה</t>
  </si>
  <si>
    <t>2 סמלי מלם משלמים את הרכיב:
סמל מלם 1460 משלם את הרכיב באופן שוטף.
סמל מלם 1669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1669 בBI שונה משמו בתלוש ואינו משקף את מהות הרכיב.
ראה גם WT 1391 סמל מלם 1394-תורנות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סעיף 1.ב.5. להוראות ביצוע לרופאים מיום 18.03.1977 המבהיר את סעיף 15 לזכרון הדברים מיום 29.11.1976.
זכאי לשכר של 6 ימי עבודה החל מהתורנות השביעית ומעלה (סמל מלם 1394).
3.ע"פ סעיף 2 לתנאי עבודה סטז'רים מיום 03.04.1986 יש לאשר לכל סטז'ר לא יותר מ-6 תורנויות מחלקה או 3 תורנויות מיון.</t>
  </si>
  <si>
    <t>הדרכה לסטודנטים</t>
  </si>
  <si>
    <t>זכאות:
עבדים בהדרכת סטודנטים במקצועות הבריאות- פזיותרפיסטים (20), מרפאים בעיסוק (49), קלינאות תקשורת ותזונה.</t>
  </si>
  <si>
    <t>חישוב:
התשלום בגין הדרגת פזיותרפיסטים יהיה לפי מספר שבועות הדרכה (4 / 6 / 8 שבועות), יקבע לפי הותק של המדריך בהדרכת סטודנטים ולפי מספר סטודנטים המודרכים במקביל ( 1 / 2 / 3 סטודנטים).
בהמתנה להכוונה של דניאלה כיצד למפות</t>
  </si>
  <si>
    <t>חוזר יחידה תיק 0491-0004-2017-019391,</t>
  </si>
  <si>
    <t>משמרת מתוגברת לילה</t>
  </si>
  <si>
    <t>דירוג אחים ואחיות (דירוג 39) המועסקים בבתי חולים, אחות זכאית המבצעת  משמרת מלאה ורצופה בת 8 שעות המונהגת בימי חול בשעות הלילה בין השעות 23:00-07:00.
זכאית לתעריף שקלי קבוע עבור כל משמרת מלאה.</t>
  </si>
  <si>
    <t>מספר משמרות מדווח * פרמטר 0011A</t>
  </si>
  <si>
    <t>דירוג
מקום עבודה
משמרת</t>
  </si>
  <si>
    <t>(מדובר בסמל מלם 1513) הרכיב מגיע ממערכת הנוכחות של משרד הבריאות (107).
בהסכם המקורי תוקף ההסכם הינו עד 31.12.2014 אך מתבצעת הארכה מידי שנה.
התוספת לא מהווה בסיס לחישוב כל הטבה או תוספת המשולמת לאחיות, לרבות תמריץ מיוחד כמשמעו בהסכם הקיבוצי  המיוחד כמשמעו בהסכם הקיבוצי המיוחד מיום 31.10.1986.
"ימי חול"-הימים א'-ה' וביום שישי ובערבי חג עד השעה 15:00 למעט ימי חג או מועד.
"אחות זכאית"- אחות שהתבקשה מראש על ידי הגורם המוסמך לבצע משמרת מיוחדת במחלקה בבית חולים והיא זכאית לבצעה ובלבד שהתקיימו התנאים הבאים:
1. מועסקת במחלקה בבית חולים בה מבוצעת המשמרת המיוחדת, במשרה מלאה ובלבד שהשלימה עבודה בהיקף של 40 שעות באותו השבוע בחמש משמרות.
2. לא ניתן לשבץ במשמרת מיוחדת אחות במשרה מלאה כאמור בסעיף קטן 1. תוצע המשמרת המיוחדת לאחות במשרה חלקית המועסקת באותה מחלקה בבית החולים.
3.לא ניתן לשבץ אחות במשרה חלקית באותה מחלקה בבית החולים,תוצע המשמרת המיוחדת לאחות המועסקת במשרה מלאה במחלקה אחרת בבית החולים, אשר השלימה עבודה בהיקף האמור בסעיף 1.
4.לא ניתן לשבץ אחות במשרה מלאה ממחלקה אחרת כאמור בסעיף קטן 3. תוצע המשמרת לאחות במשרה חלקית המועסקת במחלקה אחרת בבית החולים.
5. על אף האמור לעיל, אחות אשר החלה העסקתה בבית החולים במשרה חלקית וטרם חלפו 6 חודשים ממועד תחילת העסקתה במשרה חלקית לא תהיה זכאית להיות מועסקת במשמרת מיוחדת. 
6. על אף האמור לעיל, אחות אשר היקף משרתה פחת לאחר מועד התחילה, לא תהיה זכאית להיות מועסקת במשרה מיוחדת למשך שישה חודשים ממועד הפחתת המשרה.
"מחלקה בבית חולים"- מחלקה שאושר לה להפעיל משמרת מיוחדת בהתאם להסכם זה.
"הגורם המוסמך"-האחות אחראית המחלקה בפיקוח מנהלת הסיעוד בית החולים.
"משמרת מיוחדת"- משמרת מלאה ורצופה בת 8 שעות המונהגת בימי חול בשעות הלילה בין השעות 23:00-07:00, המזכה אחות זכאית בתעריף מתוגבר.
"תעריף מתוגבר"- התמורה בגין כל שעה בש"ח לאחות זכאית בגין ביצוע משמרת מיוחדת.
"אחות במשרה חלקית"- אחות המועסקת בחצי משרה או יותר ובלבד שהשלימה עבודה בהיקף של שיעור חלקיות משרתה מוכפל ב-40 שעות, בחישוב לאותו שבוע.</t>
  </si>
  <si>
    <t>הסכם קיבוצי מיום 2012-03-22,  חוזר הער-רפואי 2012-2-10 מיום 2012-04-18,  חוזר הער 2014-2-6 מיום 2014-02-09,  הסכם קיבוצי מיום 2014-03-09,  הסכם קיבוצי מיום 2015-05-16,  הסכם קיבוצי מיום 2016-03-10,  הסכם קיבוצי מיום 2017-01-16,  הסכם קיבוצי מיום 2018-03-14,  הסכם קיבוצי מיום 2019-05-06,</t>
  </si>
  <si>
    <t>0011A,</t>
  </si>
  <si>
    <t>תורנות אחיות יום ו בהמשך ליום עבודה 13:00-19:00</t>
  </si>
  <si>
    <t>*התוספת עבור התורנות תשולם רק עבור שעות מלאותו חלקי שעות לא יובאו בחשבון.
*מדובר בסמל מלם 1522.
*הרכיב מגיע מהנוכחות של משרד הבריאות.</t>
  </si>
  <si>
    <t>זכרון דברים מיום 21-20-1979,  מש. 2022-133 מיום 2022-04-11,</t>
  </si>
  <si>
    <t>כוננות + עבודה 75% בתורנות</t>
  </si>
  <si>
    <t>זכאות מצטברת:
* משרד הבריאות (107).
* דירוגים: מנהלי (1), עובדים סוציאליים (24), אחים ואחיות (38,39).</t>
  </si>
  <si>
    <t>חישוב:
A * B * 75%
A = ערך שעה.
B = כמות שעות המזכות בעבודה נוספות.</t>
  </si>
  <si>
    <t>* עובד המועסק ביום מנוחה שבועי, ביום העצמאות או ביום מועד, זכאי ל-75% משכרו הרגיל בעד כל שעה של העסקה שאינה בלילה.
* עובד שעבד מעבר למכסת השעות השבועיות של 42.5 שעות יהיה זכאי לתוספת בשיעור 75% משכרו היומי בעד אותו יום.
* עובד שהועסק בימים ראשון עד שישי 42.5 שעות ובנוסף הועסק ביום המנוחה משעה 18:00-22:00 יהיה זכאי לתוספת של 75%.
* כוננות לאחיות- מצב שבו נדרש העובד, ע"י המוסמך לכך, להישאר רתוק בביתו (או במקום מוסכם אחר), על מנת להיענות לכל קריאה מצד המוסמך לכן להתייצב במקום העבודה לשם מילוי תפקידו.
הכוננות היא רלוונטיות לימי שישי בין השעות 17:00-19:00 ובימי שבת בין השעטת 7:00-19:00.</t>
  </si>
  <si>
    <t>ערך שעה.
כמות שעות המזכות בעבודה נוספת.
עובד במשרד הבריאות בדירוגים- מנהלי (1) / עובדים סוציאליים (24) / אחים ואחיות (38,39).</t>
  </si>
  <si>
    <t>תקשי''ר תשלום בעד עבודה נוספת,  הסכם קיבוצי מיום 5-9-1991,</t>
  </si>
  <si>
    <t>תורנות יום חול 75% אחיות</t>
  </si>
  <si>
    <t>משרד
מקום עבודה
דירוג
משמרת</t>
  </si>
  <si>
    <t>קוד רכיב שכר קודם 1528 ו 1570 מגיע ממערכת הנוכחות של משרד הבריאות (107).
לפי המסמך המצורף אסמכתא מספר 1116 מדובר על השעות שבין 19:00 בערב ל 7:00 בבוקר. אך זאת לא אסמכתא מאושרת.
הכללת התוספת במשכורת הקובעת חלה רק על עובד אשר היה משובץ בתקן אחות כללית ערב/לילה ועבד במשך כל שנות שירותו לפי מתכונת זו.
קוד רכיב קודם 1570 אינו מגיע ממערכת הנוכחות של משרד הבריאות, מדבר על שעות תורנות בין השעות 19:00 בערב ל 7:00 בבוקר.</t>
  </si>
  <si>
    <t>חוזר הער 77-134 מיום 1977-11-30,  סמלי שכר משמרות אחיות-לא אסמכתא מאושרת,  מכתב מיום 1988-12-09,  הער 79-16-(178) מיום 1979-10-24,  שמ-2009-4101 מיום 2009-12-2,</t>
  </si>
  <si>
    <t>תוספת  אחות אחראית משמרת</t>
  </si>
  <si>
    <t>1.5%=אחוז התוספת על פי הסכם קיבוצי מיום 18.12.1988 (אסמכתא 1233) 
הגדלה ב- 3.6%= על פי חוזר הממונה הע-2001-7 
הגדלה ב- 4%=על פי  הער 2012-1-4 מיום 2012-01-08 (חוזר ביצוע)</t>
  </si>
  <si>
    <t>* עובד בדירוג אחים ואחיות (39).
* כמו משמרות המזכות בתוספת.
* שכר תחילי של אחות מוסמכת ברמה 10.</t>
  </si>
  <si>
    <t>*מדובר בסמל מלם 1529
*על פי מערכת הצפייה ברכיבי שכר של משרד האוצר: סמל מלם 1512 (רכיב דלויט 1146) משולם לאחראי משמרת, עבור משמרות בימי חול ובימי שבת או מועד,
וסמל מלם 1529 משולם לאחראי משמרת בעת תורנות.
*סמל מלם 1512 (רכיב דלויט 1146) משולם בתלוש ברובד תוספות, וסמל מלם 1529 משולם בתלוש ברובד עבודה נוספת.
*הרכיב מגיע ממערכת הנוכחות של משרד הבריאות.
*התוספת אינה שכר לכל דבר וענין, לרבות לצורך חישוב גימלאות, פיצוי פיטורין, קרן השתלמות, ערך שעה לחישוב עבודה נוספת ותוספת אחוזיות.</t>
  </si>
  <si>
    <t>הסכם קיבוצי שנחתם ביום 18-12-1988,  זכרון דברים מיום 1979-04-30 אחים ואחיות,  חוזר הער 2012-1-4 מיום 2012-01-08,  חוזר הממונה הע-2001-7,  זכרון דברים מיום 1979-04-30,</t>
  </si>
  <si>
    <t>823,  886,</t>
  </si>
  <si>
    <t>משמרת יום שישי 19:00-7:00</t>
  </si>
  <si>
    <t>משרד
דירוג
ערך שעה
כמות שעות מדווחת</t>
  </si>
  <si>
    <t>*מדובר בסמל מלם 1532
*התוספת עבור משמרות תשולם רק עבור שעות מלאות, חלקי שעות לא יובאו בחשבון.
* מקור הרכיב במשרד הבריאות (107) הינו ממערכת הנוכחות של משרד הבריאות ולא מהמרכב"ה</t>
  </si>
  <si>
    <t>זכרון דברים מיום 1979-04-30 אחים ואחיות,  שמ-2009-4101 מיום 2009-12-2,</t>
  </si>
  <si>
    <t>משמרת כפולה שישי/שבת 125% אחיות</t>
  </si>
  <si>
    <t>מדובר בסמל מלם 1538
רכיב שכר 1538 מגיע ממערכת הנוכחות של משרד הבריאות (107).
הכללת התוספת במשכורת הקובעת חלה רק על עובד אשר היה משובץ בתקן אחות כללית ערב/לילה ועבד במשך כל שנות שירותו לפי מתכונת זו.</t>
  </si>
  <si>
    <t>מכתב מיום 1988-12-09,  זכרון דברים מיום 1979-04-30 אחים ואחיות,  שמ-2009-4101 מיום 2009-12-2,</t>
  </si>
  <si>
    <t>תורנות אחיות 50% שלא בהמשך לעבודה יום חול ערב/ליל</t>
  </si>
  <si>
    <t>משרד
מקום עבודה
דירוג
כמות שעות תורנויות מדווחת
ערך שעה</t>
  </si>
  <si>
    <t>*מדובר בסמל מלם 1550 הנתונים מגיעים ממערכת הנוכחות של משרד הבריאות (107) ולא ממערכת המרכב"ה.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</si>
  <si>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זכרון דברים מיום 1979-04-30,</t>
  </si>
  <si>
    <t>תורנות בהמשך ליום עבודה 125% אחיות</t>
  </si>
  <si>
    <t>משרד
דירוג
כמות שעות מדווחת
ערך שעה</t>
  </si>
  <si>
    <t>מדובר בסמל מלם 1566 שמקורו במערכת הנוכחות של משרד הבריאות (107) ולא מהמרכב"ה.
* התוספת עבור תורנות תשולם רק עבור שעות מלאות וחלקי שעות לא יובאו בחשבון.
* תורן לילה אשר עקב צרכי העבודה , עבד בתחום משמרת בוקר בהמשך ישיר לתורנות זכאי לתשלום עבור שעות אלו לפי תעריף לילה וזאת בתנאי שלא היה מסודר מראש לעבודה במשמרת בוקר או לתורנות בשעות אלו.</t>
  </si>
  <si>
    <t>תורנות שבת שלא בהמשך לעבודה 7:00-19:00</t>
  </si>
  <si>
    <t>דירוג
מקום עבודה
תורנות
ערך שעה
כמות שעות מדווחת</t>
  </si>
  <si>
    <t>הרכיב מגיע ממערכת הנוכחות של משרד הבריאות
* המרת תורנות תאושר על סמך מסמך המעיד על עבודה בפועל כגון ספר נתוחים, דו"ח אחות כללית ערב / לילה וכו'.</t>
  </si>
  <si>
    <t>זכרון דברים מיום 21-20-1979,</t>
  </si>
  <si>
    <t>שעות תורנות 100% אחיות</t>
  </si>
  <si>
    <t>*מדובר בסמל מלם 1572 הנתונים מגיעים ממערכת הנוכחות של משרד הבריאות (107) ולא ממערכת המרכבה.
*נפתח בWT שונה מהWT של שעות נוספות 100% (WT 1082), מאחר ועובד יכול לקבל תשלום של 100% * ערך שעה גם בסמל זה וגם בסמל שכר 1534 שעות 100%.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</si>
  <si>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הצמדה פנסיה</t>
  </si>
  <si>
    <t>תשלום הפרשי שכר והחזרי הוצאות לעובדי המדינה ולגמלאיה בגין טעויות שנעשו על ידי המשרד ולכן הרכיב משולם בריבית והצמדה.</t>
  </si>
  <si>
    <t>הרכיב משולם רטרו - לא ניתן לדווח במלמ והחשב שכר של המשרד מזין את הסכום באופן ידני ועל פי הוראת תק"מ יש לשלם את הרכיב בהצמדה. 
 התשלום מתבצע לאחר ועדה משרדית לבחינת תשלום הפרשי שכר- המנהל הכללי בכל משרד ימנה ועדה משרדית וכן מרכז לוועדה לצורך דיון במקרים שבהם עובד מבקש הפרשי שכר. 
הוועדה המרכזית תתכנס לדון במקרים של הפרשי שכר רטרוטקטיבים וזאת לאחר קבלת פנייה מעובד, ממבקר חיצוני, מאגף השכר או מאגף משאבי אנוש.</t>
  </si>
  <si>
    <t>חשב המשרד לא יאשר תשלום הפרשים במקרים בהם לא נדונה הבקשה בהתאם לכללים הבאים:
1) הבקשה תוגש למכרז הוועדה על גבי טופס " בקשה לתשלום הפרשי שכר" ותכלול את כל המסמכים הרלוונטים כולל תלושי שכר.
2) העובד יצרף לבקשה מכתב המפרט את נימוקיו.
3) מנהל מחלקת השכר יבצע חישוב של כלל התשלום המבוקש, בנפרד לכל אחת מהתקופות ( תקופה שעולה על 7 שנים ותקופה שאינה עולה עך 7 שנים) באמצעות מערכת חישובי ריבית והצמדה ( מערכת משכית).</t>
  </si>
  <si>
    <t>תשלום הפרשי שכר,  תשלום הפרשי שכר,</t>
  </si>
  <si>
    <t>זכאות:
משרד- שרי ממשלה (206).
דירוגים- שרים ח"כ וכו (6).</t>
  </si>
  <si>
    <t>חישוב:
שר שנפטר תשללום משכורתו לשאיריו, בעד החודש שבו נפטר ובעד 12 חודשים נוספים, ומכאן ואילך תשולם להם קצבה בשיעור שהיה משתלם לנפטר אילו פרש ביון פטירתו.</t>
  </si>
  <si>
    <t>שר ממשלה.
סכום המשכורת.</t>
  </si>
  <si>
    <t>קוד רכיב מלמ ישן- 1613</t>
  </si>
  <si>
    <t>קובץ חיקוקים והחלטות בדבר 2019,</t>
  </si>
  <si>
    <t>תוספת 25% מתגברי אבטחה</t>
  </si>
  <si>
    <t>זכאות: עובד שמועסק בשירות המדינה ורק בעת היותו בתפקיד מתגבר בטמ"ח (אבטחה קצר מועד בנציגויות ישראל בחו"ל).</t>
  </si>
  <si>
    <t>חישוב:
A * 25%
A= שכר משולב</t>
  </si>
  <si>
    <t>*הזכאות: היא לעובד שמועסק בשירות המדינה ורק בעת היותו בתפקיד מתגבר בטמ"ח (אבטחה קצר מועד בנציגויות ישראל בחו"ל).
*מדובר על זכאות זמנית בעת העבודה שהיא לפי חוזה לתקופות קצובות, לא באופן רצוף וקבוע ולא בהעסקה מלאה.</t>
  </si>
  <si>
    <t>עובד במשרד החוץ (109)
מתגבר אבטחה קצר מועד בנציגויות ישראל ובחו"ל.</t>
  </si>
  <si>
    <t>שכ. 2015-61005 מיום 2016-01-17.pdf,</t>
  </si>
  <si>
    <t>מענק 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</si>
  <si>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
רופאים אלו זכאים לתשלום מענק חד פעמי במשכורת חודש אוגוסט 2019</t>
  </si>
  <si>
    <t>סכום קבוע של 7,100 ₪.
בכפוף לחלקיות משרה.</t>
  </si>
  <si>
    <t>מדובר בסמל מלם 1787
תשלום הסמל מתאפשר רק אם לא משולם סמל מלם תוספת חינוך לבריאות 2012 (5276)</t>
  </si>
  <si>
    <t>חוזר הער  2019-2-13 מיום 2019-08-20,  החלטת ועדת מעקב מיום 2019-07-29,</t>
  </si>
  <si>
    <t>פיצוי לאחיות בגין אובדן משמרת</t>
  </si>
  <si>
    <t>סוכמים את הסכומים בפועל של הסמלים המפורטים מטה שששולמו בשלושת החודשים הקלנדריים הקודמים לחודש שבו דווחו ימי המחלה, מחלקים ב- 90, וכופלים במספר ימי המחלה שמופיעים בדוח הנוכחות.
הסמלים הם:
1510
1511
1526
1528
1532
1552
1554
1564</t>
  </si>
  <si>
    <t>מדובר בסמל מלם 1911
על פי הסיכום פגישה מיום 07.11.2000 הסמל לא מהווה בסיס לתשלומים אחרים ולא יהיו עליו הפרשות וניכויים.</t>
  </si>
  <si>
    <t>שכ. 2000-1708 מיום 2000-04-16,  סמל 1911-סיכום פגישה מיום 2000-11-07,  אישור עמית טוקר להשתמש באסמכתא 1607,</t>
  </si>
  <si>
    <t>השתתפות ביטוח בריאות</t>
  </si>
  <si>
    <t>זכאות:
עובדים במשרד הכנסת (102) ביחידת משמר הכנסת.
השכר של עובדי משמר הכנסת צמוד לשכר שוטרים ולכן כל הטבה שהשוטר זכאי לה גם עובד משמר הכנסת זכאי לה.
זכאות להחזר של דמי ביטוח בריאות שנוכו מהעובד לפי חוק ביטוח הממלכתי</t>
  </si>
  <si>
    <t>חישוב:
זכאים להחזר של 1/3 מדמי ביטוח הבריאות שנוכו ממנו</t>
  </si>
  <si>
    <t>הרציונל מאחורי תשלום רכיב זה:
1. על פי חוק ביטוח בריאות הממלכי כל תושב חייב להירשם באחת מקופות החולים ועל המעביד לנכות את דמי ביטוח הבריאות ממשכורתו של העובד ולהעביר אותם לביטוח לאומי
2. מנכים מהתלוש של העובד את דמי ביטוח הבריאות ומעבירים למוסד לביטוח לאומי
3. המשטרה משתתפת בתשלום דמי ביטוח בריאות הממלכי שהשוטר משלם, ולפיכך תעביר המשטרה מדי חודש לחשבונו של השוטר, שני שלישים מדמי ביטוח הבריאות נוכו ממנו
4. המשטרה לא תשתתף בתשלום שישלם שוטר עבור ביטוח רפואי משלים</t>
  </si>
  <si>
    <t>פקודת משטרת ישראל מספר 7-3-10,  חוק משכן הכנסת, רחבתו ומשמר הכנסת, תשכ"ח-1968,  פקודת המשטרה מספר 07-03-10,</t>
  </si>
  <si>
    <t>השלמת דמי פגיעה ביטוח לאומי</t>
  </si>
  <si>
    <t>זכאות:
עובד שנפגע בדרך לעבודה או בעבודה, יהיה זכאי לקבל מהמוסד לביטוח לאומי "דמי פגיעה"</t>
  </si>
  <si>
    <t>חישוב:
1. המוסד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t>
  </si>
  <si>
    <t xml:space="preserve">
התוספת הנ"ל (1934) מדברת על השלמה לסכומים של הביטוח לאומי.</t>
  </si>
  <si>
    <t>*מאפייני הרכיב אושרו לסמל מלם 1934.
1.מוסד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
רקע כללי: (תקשיר 33.65)
עובד, שפגיעה בעבודה גרמה לו שאינו מסוגל לעבודתו ואף לא לעבודה מתאימה אחרת, משלם לו המוסד לביטוח לאומי "דמי פגיעה" בשיעור שנקבע בחוק הביטוח הלאומי. דמי הפגיעה משתלמים בעד פרק הזמן שעובד אינו מסוגל לעבודה כאמור, וזאת בתנאי שהוא לא עסק למעשה בכל עבודה והוא נזקק לטיפול רפואי, לשיקום או להחלמה (ראה 33.613 ). המוסד לביטוח לאומי אינו משלם לפגיעה אחת יותר מדמי פגיעה שלושה עשר שבועות.</t>
  </si>
  <si>
    <t>תקשי"ר,  חוזר נא-40 מיום 10-04-1991,</t>
  </si>
  <si>
    <t>עובדים בדירוג רנטגן אשר שמם מופיע ברשימה סגורה של עובדים הזכאים לתוספת.
ואשר מקיים את התנאים המצטברים הבאים:
א. הוסמכו כרנטגנאים עד שנת 1983 (כולל).
ב. אינם זכאים לתוספת תואר המשולם בשיעור 5% לפי סעיף 5 להסכם הקיבוצי מיום 25.5.99.
ג. סיימו לימודי תעודה במינהל שירותי בריאות והינם בעלי תעודה על סיום לימודים אלו.
ד. החלו עבודתם כרנטגנאים אצל המעסיקים לפני 31.12.98.</t>
  </si>
  <si>
    <t>חישוב:
A * 3.86%
A = שכר משולב</t>
  </si>
  <si>
    <t>דירוג
רשימה סגורה של אנשים הזכאים לתוספת תעודה</t>
  </si>
  <si>
    <t>מדובר בסמל מלם 1962.
מאפייני הרכיב אושרו.
על החברה המיישמת לברר מול המשרד מיהם העובדים ברשימה הסגורה.</t>
  </si>
  <si>
    <t>הסכם קיבוצי מיום 2000-05-15,  סיכום דיון מיום 2000-09-21,</t>
  </si>
  <si>
    <t>תורנות 7 ומעלה לרופאים ומתמחים</t>
  </si>
  <si>
    <t>* מתמחה בחופשת לימודים לקראת בחינת שלב א' יכללו במניין המתמחים לצורך חישוב B ו- C, אך רופאים שנבצר מהם לבצע תורנות לא יכללו בחישוב זה, כגון- רופאה בהריון או רופא במילואים.
* סך התקציב D = 600 בגין כל תורנות עודפת או חלק ממנה מעל 6 תורנויות חודשיות.
* אופן התגמול- ככל שיתברר שממוצע התורנויות המחלקתי A עולה על 6 תורנויות ישלם בית החולים לרופא המתמחה תשלום נוסף בגין התורנויות העודפות או חלקה ע"פ נוסחה F.
* תורנויות 1-4 (כולל): 140% מתעריף תורנות מלאה, ע"פ תעריף הקבוע בהסכם מיום 29-11-1976 בהתאמה לסוג התורנות- מחלקה / מיון ולמועד בו מתבצעת התורנות.
* תרנות 5 ומעלה: 160% מתעריף תורנות מלאה, ע"פ נוסחה הקבועה בהסכם מיום 29-11-1976 בהתאמה לסוג התורנות- מחלקה / מיון ולמועד בו מתבצעת התורנות.
* התעריף עבור תורנות מלאה שמבצע "מתמחה בהתמחות על" במקצוע התמחות העל יהיה תשלום בסכום של 120% מתעריף תורנות מלאה, ע"פ תעריף הקבוע בהסכם מיום 29-11-1976 בהתאמה לסוג התורנות- מחלקה / מיון ולמועד בו מתבצעת התורנות (זאת מבלי לגרוע מזכאותו של מומחה המבצע תורנות מומחה בתחום התמחותו לתעריף של עד 140% מתעריף תורנות מלאה).</t>
  </si>
  <si>
    <t>רופא מתמחה בלבד.
מספר תורניות.
ערך יום.</t>
  </si>
  <si>
    <t>* ביצוע תורנויות לא יחול על מומחים בדרגה של מנהל יחידה ומעלה.
* מאחר והחישוב המשקלל נתונים של 4 חודשים- הרכיב משולם בהפרשים.</t>
  </si>
  <si>
    <t>הוראות ביצוע להסכם קיבוצי מיום 25-8-2011,  הוראות ביצוע שכ 2012-26244,  החלטת ועדת מעקב מיום 11-3-2012,</t>
  </si>
  <si>
    <t>ניכויי חוב</t>
  </si>
  <si>
    <t>רקע:
מדובר על ניכוי חוב שהעובד חייב למשרד ומורידים לו מהתלוש.</t>
  </si>
  <si>
    <t>חישוב:
הזנה של הסכום החוב/ ניכוי שהעובד חייב להשיב למשרד (בגין כל מיני סיבות)
ההזנה מבוצעת ע"י חשב השכר.</t>
  </si>
  <si>
    <t>הרכיבים במלם שמשמשים לניכוי חוב:
רכיב 2320- חוב למשרד
רכיב 3016- ניכוי חוב
רכיב 3001- גביית חובות (מנוכה גם אצל שליחים).
רכיב 3046- החזר חוב
רכיב 3204- ניכוי חוב/ מקדמה
רכיב 2418- חוב רכב
רכיב 2212- ניכוי חוב
רכיב 3802- החזר נטו
רכיב 3852- ניכוי חוב
רכיב 2501-חוב למשרד מ</t>
  </si>
  <si>
    <t>רכיב 2501 במשרד התיירות (142) משמש ל 2 מצבי דיווח גם כניכוי וגם כהחזר לעובד : 
• כאשר יש השתתפות העובד במנוי תרבות /סדנת תזונה שהמשרד מימן. העובד מתחייב להשתתף בחלק יחסי של ההחזר ולכן מבוצע ניכוי בסמל 2501.
• התחשבנות בגין החזר לעובד (מדווח בסמל שלילי- החזר), סמל זה מדווח כאשר אין סמל לדווח החזר שהעובד זכאי. לדוגמא החזר בגין ועדת נזיקין.</t>
  </si>
  <si>
    <t>שירות רפואי</t>
  </si>
  <si>
    <t>חוזר 22-08-2009,</t>
  </si>
  <si>
    <t>ניכוי השתתפות שכר דירה</t>
  </si>
  <si>
    <t>רכיב 2340 שכר דירה,</t>
  </si>
  <si>
    <t>ארוחת בוקר/ ערב</t>
  </si>
  <si>
    <t>זכאות:
לא נמצאו אסמכתאות, נמצא רק הסכם אחד שלא ברור אם הוא שייך לרכיב הזה
ע"פ בדיקה ב BI ובתלושים מדובר על ניכוי של המשרד ולא על תוספת משלמת, נדרש לברר במה מדובר- נשלח מייל ליהודה
נשלח לליאן מייל להבהרה</t>
  </si>
  <si>
    <t>חישוב:
ממתין להבהרה</t>
  </si>
  <si>
    <t>סבסוד מזנון</t>
  </si>
  <si>
    <t>החזר הוצאות לעובדים העובדים במשרדים בהם אין מזנון, ע"פ קבלות.</t>
  </si>
  <si>
    <t>סכום ידני ע"פ קבלות, הסכום יכול להיות בגין קבלות של מספר חודשים</t>
  </si>
  <si>
    <t>משרד בלי מזנון</t>
  </si>
  <si>
    <t>מדובר בסמל מלם 3107
הקצבה הינה 12.30 ₪ לחודש, וההחזר מתבצע בהתאם להצגת קבלות, לא ניתן לבדיקה מאחר וניתן לצבור ולשלם פעם בכמה חודשים.</t>
  </si>
  <si>
    <t>הוראת תכם 13.0.0.0.2.ה,</t>
  </si>
  <si>
    <t>השתכרות חיצונית</t>
  </si>
  <si>
    <t>כלל העובדים אשר הושעו ממקום עבותדם. 
משכורת בתקופת ההשעיה- 1)עובד שהושעה על פי הוראת בית משפט לא תשולם לו כל משכורת בתקופת השעייתו. 
2)עובד שהושעה על ידי נציב שירות המדינה תשולם לו במשך ששת חודשי ההשעיה הראשונים, לרבות תקופת השעייתו הקודמת על ידי השר מחצית ממשכורתו הקובעת, וממועד זה ואילך תשולם לו משכורתו הקובעת המלאה.</t>
  </si>
  <si>
    <t>לא ישולמו לעובד המושעה הרכיבים הבאים:
עבודה נוספת- שעות נוספות, כונניות ופרמיות. למעט עובד אשר רכיבי העבודה הנוספת כלולים בתוך השכר הבסיסי והרגיל שלו ואינם מותנים בשום תנאי נוסף.
החזר הוצאות- אחזקת רכב(רמת ניידות) לרבות החזר הוצאות בגין אגרת רישוי וביטוח.
זכויות נלוות- קצובת הבראה (העובד יהיה זכאי לקצובת הבראה בתנאי שישהה בחופשה עשרה ימים במהלך שנת העבודה), קצובת ביגוד ומתנות- המשרד לא ישתתף בעלות מתנה לעובד מושעה.
קרן השתלמות וקופת גמל- המשרד לא יפריש כספים לקופה.</t>
  </si>
  <si>
    <t>התקופת השעיה בשכר, יופרשו לעובד הפרשות פנסיוניות בהתאם לביטוח הפנסיוני שבחר העובד, בכפוף לגובה שכרו בתקופת ההשעיה, והכל בהתאם לכללים המקובלים. המדינה תפריש את חלקה ואת חלקו של העובד ממשכורתו.</t>
  </si>
  <si>
    <t>מאפייני רכיב אושרו !</t>
  </si>
  <si>
    <t>תקשי"ר,  חוזר נשמ מיום 06-06-2021,</t>
  </si>
  <si>
    <t>מענק בקרות לילה</t>
  </si>
  <si>
    <t>זכאות תנאים מצטברים:
א. היכללות ברשימת אנשי המקצוע בתחום הגריאטרי המבצעים בקרות בשעות לא שגרתיות. הרשימה נקבעה ע"פ תעודות זהות של עובדים והיא שמורה בתקיה של משרד האוצר - "בקרות בגריאטריה בשעות לא שגרתיות שכ 2019-6500"
ב. ביצוע בקרות בשעות לא שגרתיות (כמפורט בחישוב) לאבטחת טיפול ראוי ובקרת פתח במהלך תקופת רישוי (לא ינתן תגמול בהתאם למודל זה בגין בקרות מסוגים אחרים).
ג. התגמול יינתן לעד שני עובדים במשמרת.
ד. קיימים מקרים יוצאי דופן שבהם יינתן תגמול לשלושה עובדים במשמרת, מבלי לעבור את מסגרת התקציב המאושרת ליישום מודל זה (סך העלות- 200,000 ₪).</t>
  </si>
  <si>
    <t>חלק שני:
עבור ביצוע 3 בקרות בהיקף מצטבר שלא יפחת מ-10 שעות בקרה ברבעון, יקבל העובד מענק חד פעמי בהתאם לחלוקה:
ערב (בין השעות 22:00-16:00): פרמטר 696 (270 ₪).</t>
  </si>
  <si>
    <t>* במידה והעובד ביצע שלוש משמרות ברבעון מסוגים שונים, יחושב גובה התגמול בהתאם לתמהיל היחסי של המשמרות. לדוגמה- ביצע עובד 2 משמרות ערב ומשמרת לילה אחת: 270 *2/3 + 450 * 1/3.
במידה וביצע יותר מ 3 משמרות יש לקחת את 3 המשמרות הטובות ביותר לעובד. 
* בסיום כל רבעון תתאפס צבירת הבקרות לצורך חישוב המענק.</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</si>
  <si>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(לבדוק אם האריכו את התאריך של הפיילוט )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</si>
  <si>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בקרות בגריאטריה בשעות לא שגרתיות שכ 2019-6500,</t>
  </si>
  <si>
    <t>696,</t>
  </si>
  <si>
    <t>תוספת בגין בקרות בערב</t>
  </si>
  <si>
    <t>חישוב:
* ערב (בין השעות 22:00-16:00):
A * B * C
A = שיעור 115%.
B = ערך שעה.
C = שעות מזכות לפי ביצע בפועל.</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</si>
  <si>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</si>
  <si>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696A,</t>
  </si>
  <si>
    <t>מענק צוערים</t>
  </si>
  <si>
    <t>משרד
תפקיד צוער</t>
  </si>
  <si>
    <t>חוזה מיוחד להעסקת עובדת- מתמחה (צוער),  מסמכים בנושא מענק צוערים,  רכיבי שכר 4536+4537,  מענק צוערים במשרד התיירות,</t>
  </si>
  <si>
    <t>*"משכורת" - המשכורת המשולמת לשוטר או לסוהר, לפי הענין, למעט החזרי הוצאות, תשלומים שנתיים, גילום מס וזקיפת מס.
*"נגד" - שוטר או סוהר בדרגת סמל ראשון, רס"ל, רס"ר, רס"מ, רס"ב או רנ"ג.
*"תואר אקדמאי"-  תואר אקדמאי שמוכר על ידי המועצה להשכלה גבוהה בישראל או ע"י אגף להערכתתארים במשרד החינוך.
*"תעודת הסמכה" - א. תעודת הסמכה של טכנאי מוסמך או הנדסאי, המוצאת מטעם משרד החינוך.
ב. תעודת הסמכה של טכנאי מוסמך או הנדסאי, המוצאת מטעם משרד העבודה, משרד החינוך, והמכון הממשלתי להכשרה טכנולוגית (להלן מה"ט)
ג. תעודת רישום בפנקס הטכנאים או ההנדסאים, שהוצאה על ידי רשות ההסמכה הממלכתית לרישום טכאים והנדסאים.</t>
  </si>
  <si>
    <t>קוד רכיב קודם: 4196: השכלה ישימה</t>
  </si>
  <si>
    <t>1.התוספת הינה שכר לכל דבר וענין והיא תובא בחשבון לענין חישוב ערך שעה, לעניין פיצויי פיטורים כמשמעתם בחוק פיצויי פיטורים, לעניין גמלאות, הפרשות לפנסיה, וקרן השתלמות.
2.התוספת לא תחול על שוטר שהוא נגד אשר מתקיים בו אחד מן התנאים:
א. בתאריך 10.11.2008 היה זכאי לגמול השתלמות ב' (897)/תוספת תואר (603)/תוספת תמריץ בשיעור 20% (756).
ב. החל את לימודי בפועל לקראת תואר אקדמאי, בהיותו שוטר או סוהר לפני יום 01.12.2008 וסיים את לימודיו האמורים עד יום 01.10.2013.
ג. החל את לימודיו בפועל, לפני 10.11.2008, לקראת תעודת הסמכה כטכנאי או הנדסאי, בהיותו שוטר או סוהר, בתחום ההשכלה שהוגדר, במועד תחילת לימודיו, כמזכה בדירוג טכנאים במשטרה או שב"ס וסיים את לימודיו האמורים עד ליום 01.10.2012.</t>
  </si>
  <si>
    <t>סיכום בין משרדי מיום 2015-12-31,  סיכום בין משרדי מיום 2008-11-10,  4196  משמר הכנסת,</t>
  </si>
  <si>
    <t>תוספת דריכות</t>
  </si>
  <si>
    <t>קוד רכיב קודם: 4228: תוס. דריכות</t>
  </si>
  <si>
    <t>הפרשי דרגה</t>
  </si>
  <si>
    <t>* סמל מלמ 4264
* סמל זה יפעל במקרים הבאים:
1. העברה לרגל דרישות השירות או מסיבות בריאותיות: העובד עובר למשרה, שלה צמודה בתקן דרגה נמוכה מדרגתו, לרגל דרישות השירות או בגלל אי התאמה למשרתו הקודמת מסיבות בריאות.
2. העברה לרגל דרישת העובד: הועבר עובד, לפי דרישתו, למשרה שלה צמודה בתקן דרגה נמוכה מדרגתו, ידורג בדרגה הצמודה למשרתו החדשה, אולם ימשיך לקבל את המשכורת ששולמה לו לאחרונה בדרגתו הקודמת, ובלבד שלא תהיה גבוהה משיא הדרגה הצמודה למשרתו החדשה (אין האמור לעיל פוגע בזכותו של עובד להעלאה בדרגה אחת מעל דרגת משרתו בתקן או לקבלת תוספת שהייה בדרגה).
3. העברה לרגל צמצומים או חידוש הארגון: הועבר עובד, לרגל צמצומים או חידוש הארגון, למשרה, שלה צמודה בתקן דרגה נמוכה מדרגתו הקודמת, ייקבעו דרגתו ומשכורותו במשרתו החדשה לאחר מו"מ עם ועד העובדים.
4. העברה לרגל סיבות משמעתיות: הועבר עובד למשרה, שלה צמודה בתקן דרגה נמוכה מדרגתו הקודמות, או הורד בדרגה, לרבל סיבות משמעותיות, תיקבע משכורתו במשרתו או דרגתו החדשה בהתאם להחלטת בית הדין למשמעת.
5. הורדת דרגה בתקן: הורדה דרגה הצמודה למשרה פלונית בתקן, ימשיך העובד המועסק בה לכהן בדרגתו הנוכחית, ודרגה זו תיראה כדרגה אישית. היה העובד בעת הורדת דרגת משרתו בתקן בדרגה נמוכה מהדרגה הגבוהה ביותר, הצמודה לה לפני ההורדה, ורגתו של העובד אינה נמוכה מהדרגה הגבוהה ביותר הצמודה למשרתו בתקן לאחר ההורדה, מותר להעלות את העובד בדרגה אחת, אם מילא אחר התנאים המקובלים: דרגה זו תיראה כדרגה אישית.</t>
  </si>
  <si>
    <t>פרוטוקול מישיבה שנערכה במשרד הבריאות 4264 + 1017,  קביעת דרגת עובד שהועבר למשרה נמוכה יותר,</t>
  </si>
  <si>
    <t>ויתור שכר</t>
  </si>
  <si>
    <t>זכאות:
שרי ממשלה (206)
דירוג שרים ח"כ וכו' (6).</t>
  </si>
  <si>
    <t>חישוב:
עדכון שכר יסוד חל בשכר הממוצי ה-1 אפריל, 1 ביולי, 1 באוקטובר או ב-1 בינואר לעומת שיעורו שלושה חדשים קודם לכן, ישתנה מאותו מועד שכר היסוד של השרים ששכרם הכולל ישוב ויעלה על השכר הממוצע באותו יחס שבו עלה עליו שלושה חדשים קודם לכן.
ראש הממשלה, שר או סגן רשאים לוותר בשנה מסוימת על קבלת חלק השכר הנובע מעדכון השכר באותה שנה.
הודיע ראש הממשלה או שר לחשב משרד ראש הממשלה או הודיע סגן שר לחשב הכנסת על ויתור, לא ישולם לו חלק השכר כאמור, בעד אותה שנה ממועד תשלום השכר שלאחר מסירת ההודעה.
* ראש הממשלה, שר או סגן שהודיע על ויתור השכר יהיה רשאי לשנות את הודעתו באותה שנה.</t>
  </si>
  <si>
    <t>קובץ חיקוקים והחלטות בדבר,</t>
  </si>
  <si>
    <t>וייתור שכר</t>
  </si>
  <si>
    <t>זכאות:
במשרד חברי הכנסת (203), חברי הכנסת (6) רשאים לוותר על השכר שלהם:
חובה על חבר כנסת לקבל את שכרו, אולם חבר כנסת רשאי לוותר בשנה מסוימת על קבלת חלק מהשכר הנובע מעדכון השכר באותה שנה 
הודיע חבר הכנסת לחשב הכנסת על הויתור לא ישולם לו חלק השכר כאמור בעד אותה שנה ממועד תשלום השכר שלאחר מסירת ההודעה והוויתור יחול לכל דבר ועניין  
חבר כנסת שהודיע שהוא מוותר על חלק מהשכר לא יהיה רשאי לשנות את הודעתו באותה שנה</t>
  </si>
  <si>
    <t>חישוב:
חלק השכר שחבר כנסת החליט לוותר עליו (אין סכום קבוע מראש)</t>
  </si>
  <si>
    <t>סמל שכר מלם: 4265</t>
  </si>
  <si>
    <t>א. זכאות: 
דירוג: מינהלי (1):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השירות המשפטי (21) + בכ"מ עמ"מ (33) +רוקחים (34) + מקצ"ט (62) + מפקחים ימיים (61) +קלדניות שופטים (526) + עובדי שירות החוץ (9): ביצע 400 שעות לימוד שהוכרו על ידי הוועדה בהתאם לקריטריונים שנקבעו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ב. זכאות: 
דירוג: פיזיותרפיסטים (20), עובדים סוציאלים (24), פארה רפואיים (47), פארה רפואיים שכר כולל (48), מרפאים בעיסוק (49): ניתן לצבור עד 9 יחידות גמול השתלמות המהוות 10.8% מהשכר המשולב כל 112 שעות מהוות יחידה אחת שערכה תוספת 
של 1.2% מן השכר המשולב
ג.זכאות 
דירוג עיתונאים (27) באותם תנאים כמו עובדים המדורגים בדרוג מח"ר (11) בעלי השכלה אקדמאית או לא אקדמאים בעלי השכלה תיכונית אשר התקבלו לעבודה עד 1.1.90 ויהיו זכאים לאותם תנאים המחייבים עיתונאים אקדמאים
ד.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t>
  </si>
  <si>
    <t>חישוב: 
א) + ד) חישוב:
סכום אחיד לכל הדרגות, פרמטר 0001* חלקיות משרה (328.76 ₪) 
 לדירוג רוקחים (34) בלבד פרמטר 001A* חלקיות משרה (275.19 ₪)
ב) חישוב:
מספר היחידות לזכאות (מקסימום 9) * 1.2% (ערך כל יחידה) * השכר יסוד משולב (שתלוי בדירוג+דרגה+וותק)</t>
  </si>
  <si>
    <t>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t>
  </si>
  <si>
    <t>עדכון מאפייני רכיב תקף לרכיב מלמ
4268
לפי העדכון מ07/2023 הסכום שמשולם בדירוג 588 לא מעודכן ישנה אסמכתא משלומי בעניין (3389)</t>
  </si>
  <si>
    <t>חוזה נשמ 03-2012,  חוזר הממונה 2006-1-16,  תכ. 2012-446 מיום 2012-07-01,  מייל בנושא גמול השתלמות א,  חוזר הממונה 2006-1-16,  נספח לחוזר הע 2006-2-4 מיום 2006-05-15,  תנאי העסקת עובדים בחוזה 10,  גמולי השתלמות א' וב' לדירוג 588 - בוחני רישוי,</t>
  </si>
  <si>
    <t>דירוג: מח"ר (11)+ קלדניות שופטים (526)+ משפטנים (21)+ הנדסאים וטכנאים (13)+ מהנדסים (12) +עיתונאים (27)+בכ"מ ועמ"מ (33) + מפקחים ימיים (61) + מהנדסים (93) + רוקחים (34) + מח"ר (91) + מח"ר מועדף (99) + דמ"ם (100) + הנדסאים וטכנאים (92)
התנאים לזכאות:
1) קיימת זכאות מדווחת לגמול השתלמות א'
2) 400 שעות לימוד שהוכרו על ידי הוועדה בהתאם לקריטריונים שנקבעו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</si>
  <si>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B=1.2%
C=מספר יחידות זכאות עד 5 יחידות.
כל 100 שעות לימוד מזכות ביחידת זכאות.
לדירוג רוקחים (34):
ישולם 317.34 ₪ (פרמטר 002A )
מדרגה 5א ישולם הגבוה מבין 6% מסכום השכר המשולב לבין 317.34 ₪  
לדירוג מפקחים ימיים (61)
 לדרגות : מפקח ימי א'+ מפקח ימי ב':
ישולם 328.76 ₪ (פרמטר 0002)
לדרגות : מפקח ימי ג'+ ראש ענף:
ישולם 430.86 ₪ (פרמטר 0003)
ליתר הדירוגים:
1. עד דרגה 40+ - 328.76 ₪ (פרמטר 0002) * חלקיות משרה
2. מ-41 עד 43+ - 430.86 ₪ (פרמטר 0003) * חלקיות משרה
3. מ-44 ומעלה - הגבוה מבין 9% מסכום שכר המשולב לבין 430.86 ₪ (פרמטר 0003) * חלקיות משרה</t>
  </si>
  <si>
    <t>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</si>
  <si>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לפי העדכון מ07/2023 הסכום שמשולם בדירוג 588 לא מעודכן ישנה אסמכתא משלומי בעניין (3389)</t>
  </si>
  <si>
    <t>הסכם קיבוצי מיום 13-06-2001,  חוזה נשמ 03-2012,  חוזר הממונה 2006-1-16,  נוהל אמש - זכאות לגמול השתלמות,  תכ. 2012-446 מיום 2012-07-01,  תנאי העסקת עובדים בחוזה 10,  גמולי השתלמות א' וב' לדירוג 588 - בוחני רישוי,</t>
  </si>
  <si>
    <t>שעות צבירה</t>
  </si>
  <si>
    <t>זכאות:
משרד הבריאות (107).
מדובר על סמל שמשולם עבור המרת שעות צבירה (בנק שעות) לכסף, לצורך יציאה לחופשה של העובד.
בהמתנה לאסמכתא מהחשבת שכר</t>
  </si>
  <si>
    <t>חישוב:
A * B
A = ערך שעה.
B = כמות ניצול ימי החופשה.</t>
  </si>
  <si>
    <t>* לא מדובר על פדיון ימי חופשה בסיום יחסי העסקה *</t>
  </si>
  <si>
    <t>הע 2008-1-7,  חוזר הער- רפואי 2013-2-16 מכסת צבירה לרופאים,</t>
  </si>
  <si>
    <t>הפחתת שכר.</t>
  </si>
  <si>
    <t>רכיב 1031 קנס כספי,  שאלות בנוגע למיפוי,  טופס פתיחת דירוג 4409,  שכר שביתה,</t>
  </si>
  <si>
    <t>תוספת רנטגן ב'</t>
  </si>
  <si>
    <t>דירוגים:טכנאי רנטגן מעשי (דירוג 7) ורנטגנאים (דירוג 8)</t>
  </si>
  <si>
    <t>A*B
A=3.75%
B=פרמטר 838 =השכר התחילי של דרגה 4 בדירוג רנטגנאים (דירוג 8)</t>
  </si>
  <si>
    <t>הערה: רק בדרגות 4-7 בדירוג רנטגנאים (8) הרכיב לא יכנס לחישוב שכר מינימום 
מדרגה 8 יכנס לשכר המינימום
רובד 2
(עד 2021 לא יושם כי דרגות 4-7 לא יקבלו את החישוב שכר מינימום לרובד שני)</t>
  </si>
  <si>
    <t>דירוג
דרגה</t>
  </si>
  <si>
    <t>(מדובר בסמל מלם 4415)
מאפייני הרכיב אושרו
"שכר תחילי"- ללא תוספת וותק
מוסכם כי התוספת לא תובא בחשבון לעניין חישוב השלמת שכר עד לשכר המינימום, כמשמעותו בחוק שכר המינימום התשמ"ז-1987, בדרגות4-7 בדירוג הרנטגנאים (דירוג 8).</t>
  </si>
  <si>
    <t>רנטגאים הסכם קיבוצי מיום 2000-05-15,  דירוג טכנאי רנטגן מעשי (7) ורנטגנאים (8),  מש. 2021-226 מיום 2021-03-22,</t>
  </si>
  <si>
    <t>838,</t>
  </si>
  <si>
    <t>תואר ב.א</t>
  </si>
  <si>
    <t>משרד  הבריאות (107), דירוג טכנאי רנטגן מעשי (7) ודירוג רנטגנאים (8) אשר הינם בעלי תואר ב.א. בחוג המשולב במדעי החברה והטבע, שהינו המסלול האקדמי של בוגרי הכשרה בדימות (רנטגן).</t>
  </si>
  <si>
    <t>שכר משולב (10002)*5%</t>
  </si>
  <si>
    <t>משרד
דירוג
תואר ב.א.</t>
  </si>
  <si>
    <t>מדובר בסמל מלם 4418
מובהר כי התואר מ.א. הינו תואר המוכר על ידי המועצה להשכלה גבוהה בישראל בלבד.</t>
  </si>
  <si>
    <t>הער 99-10-(73) מיום 1999-05-30,</t>
  </si>
  <si>
    <t>תואר מ.א</t>
  </si>
  <si>
    <t>משרד  הבריאות (107), דירוג טכנאי רנטגן מעשי (7) ודירוג רנטגנאים (8) אשר הינם:
 א.רנטגנאי הדמייה ראשיים בבתי חולים כלליים מעל 300 מיטות 
או לחילופין 
ב. בעלי תואר ב.א. בחוג המשולב במדעי החברה והטבע, שהינו המסלול האקדמי של בוגרי הכשרה בדימות (רנטגן). וגם בעלי תואר מ.א. במינהל מערכות בריאות במינהל עסקים.</t>
  </si>
  <si>
    <t>שכר משולב (10002)* 5%</t>
  </si>
  <si>
    <t>משרד
דירוגבתפקיד רנטגנאי הדמייה ראשיים בבתי חולים כלליים מעל 300 מיטות 
תואר ב.א. ותואר א.מ.</t>
  </si>
  <si>
    <t>מדובר בסמל מלם 4419
בנוסף מקבל העובד את סמל מלם 4418 -תואר ב.א. (WT 1420)
מובהר כי התואר ב.א. הינו תואר המוכר על ידי המועצה להשכלה גבוהה בישראל בלבד.</t>
  </si>
  <si>
    <t>זכאות:
דירוג פיזיותרפיסטים (20).</t>
  </si>
  <si>
    <t>חישוב:
A * 3.1%
A = שכר משולב.</t>
  </si>
  <si>
    <t>החל מ- 1.1.99.</t>
  </si>
  <si>
    <t>הסכם קיבוצי מיום 17-11-1999 פיזיוטרפיסטים,</t>
  </si>
  <si>
    <t>זכאות א':
עובדים במשרד הכנסת (102), ביחידה של משמר הכנסת
זכאות ב':
זכאות מצטברת:
1.משרד הבריאות (107)עובדי מינהל ומשק בבתי חולים אשר בדירוג מינהלי (1), מח"ר (11), מהנדסים (12), הנדסאים וטכנאים (13).
2.חתומים על ההסכם שמועסקים במשרת "עובד כוח עזר" או "עובד כוח עזר מיומן", 3.מועסקים במסגרת העסקה של 39 שעות שבועיות בלבד , ומועסקים מעל ל- 50% משרה.
4.אינם מקבלים שכר עידוד.
5.התחייבו בכתב התחייבות לעבוד במקום עבודתם שנת עבודה מלאה, , והשלימו שנת עבודה מלאה לפי כתב ההתחייבות שעליהם חתמו.</t>
  </si>
  <si>
    <t>זכאות ב':
פרמטר 445.
מחציתו משולם במשכורת חודש אוגוסט ומחציתו השנייה משולמת בחודש פברואר.</t>
  </si>
  <si>
    <t>זכאות ב':
"שנת עבודה מלאה" - מיום אחד בספטמבר של כל  שנה (להלן: "המועד הקובע") ועד ה-31 באוגוסט של השנה העוקבת.</t>
  </si>
  <si>
    <t>זכאות ב':
 מדובר בסמל מלם 4464.</t>
  </si>
  <si>
    <t>חוזר הער 2016-2-17 מיום 2016-09-20,  פתיחת טופס,  הסכם קיבוצי מיום מינהל ומשק 2016-09-14,  מנמש -תמריץ שנתי כח עזר,</t>
  </si>
  <si>
    <t>445,  445,</t>
  </si>
  <si>
    <t>קצובת דיור</t>
  </si>
  <si>
    <t>מסמך זכאויות הוראות שות"ש שליחים,</t>
  </si>
  <si>
    <t>משרד הבריאות (107) דירוג אחיות (39) אשר מועסקות במשרה מלאה בתפקידים הבאים :
קבוצה א:
אחות אחראית מחלקה.
אחות כללית ערב לילה.
קבוצה ב':
אחות מפקחת.
מרכזת תחום.
מרכזת תחום בכירה.
סגנית אחות ראשית בבי"ח בו עד 300 מיטות.
סגנית אחות ראשית בבי"ח בו 301-600 מיטות.
אחות ראשית בבי"ח בו עד 300 מיטות.
קבוצה ג'
סגנית אחות ראשית בבי"ח בו מעל 600 מיטות.
אחות ראשית בבי"ח בו 301-600 מיטות.
סגנית מנהלת בית ספר לסעוד א' וב'.
קבוצה ד'
אחות ראשית בבי"ח בו מעל 600 מיטות.
מנהלת בית ספר לסעוד א' וב'.</t>
  </si>
  <si>
    <t>קבוצה א:
13%*השכר המשולב (סמל מלם 10002)
קבוצה ב':
18%*השכר המשולב (סמל מלם 10002)
קבוצה ג':
20%*השכר המשולב (סמל מלם 10002)
קבוצה ד':
25%*השכר המשולב (סמל מלם 10002)</t>
  </si>
  <si>
    <t>מדובר בסמל מלם 4500
מאפייני הרכיב אושרו</t>
  </si>
  <si>
    <t>העמ 95-14 (56) מיום 1995-05-07,  חוזר הממונה הע-2001-7,  חוזר הער 2012-1-4 מיום 2012-01-08,</t>
  </si>
  <si>
    <t>שעות נסיעה כוננות</t>
  </si>
  <si>
    <t>דירוג
ערך שעה
כמות מדווחת</t>
  </si>
  <si>
    <t>*מדובר בסמל מלם 4514.
*הרכיב מגיע ממערכת הנוכחות של משרד הבריאות.
*למען הסר ספק, מובהר כי שעות נסיעה אלו יקוזזו משעות הכוננות כדין קריאה בפועל.</t>
  </si>
  <si>
    <t>החלטת ועדת מעקב מיום 1996-08-29.pdf,</t>
  </si>
  <si>
    <t>ממוצעי שכר</t>
  </si>
  <si>
    <t>רכיבי שכר 4536+4537,</t>
  </si>
  <si>
    <t>הסכם יחודי</t>
  </si>
  <si>
    <t>קוד רכיב קודם: 4611: הסכם יחודי</t>
  </si>
  <si>
    <t>חוקת שכר במשטרה רכיב 4611,</t>
  </si>
  <si>
    <t>זכאות:
דירוגים: 1) עובדים סוציאלים (24) המועסקים בתפקידים:
 א) בבתי הדין הרבני: -עו"ס בדרגה ז'-ה' -מפקח סוציאלי ארצי בדרגה ה'-ג' ב) במשרד הקליטה: -עו"ס קליטת עלייה בדרגה י'-ח' -מנהל מחלקת שירותי רווחה בדרגה ד'-ב' ג) במשרד החקלאות: -עו"ס מרכזת רווחה בדרגה ט'-ז' ד) במינהל לחינוך התיישבותי: -עו"ס קליטה ואבחון בדרגה ז'-ה' -מפקח מרחבי בדרגה ו'-ד' -מפקח מרכז מרחבי בדרגה ד'-ב' ה) במשרד התחבורה: -מרכז בכיר בדרגה ה'-ב' ו) בנציבות שירות המדינה: -ממונה על הגמלאות ושירותי הרווחה בדרגה א' (אישית)</t>
  </si>
  <si>
    <t>חישוב:
התוספת תשולם באחוזים של 6.85% מהשכר המשולב</t>
  </si>
  <si>
    <t>- בהסכם המקורי התוספת היתה תוספת שקלית אך ממרץ 1997 התוספת נהפכה להיות אחוזית
- בהסכם המקורי הזכאות היתה לעוד דירוגים, אך היא בוטלה ונשארו רק הדירוגים הזכאים המוזכרים בנוסחה
-</t>
  </si>
  <si>
    <t>מאפייני הרכיב אושרו לרכיב מלמ 4628 בלבד!</t>
  </si>
  <si>
    <t>הסכם קיבוצי מיוחד מיום 19-4-2001- הוראות ביצוע,  החלטת ועדת מעקב 10-01-1999,  הסכם קיבוצי מיום 07-05-1996,  הסכם קיבוצי מיום 16-09-1997,</t>
  </si>
  <si>
    <t>שעות מחלה</t>
  </si>
  <si>
    <t>משרד
דירוג
מספר שעות מחלה
ערך שעה</t>
  </si>
  <si>
    <t>מדובר בסמל מלם 4631, הסמל מגיע ממערכת הנוכחות של משרד הבריאות (107) ולא מהמרכב"ה, השם של הרכיב בתלוש השכר הינו שעות מחלה.</t>
  </si>
  <si>
    <t>מכתב מיום 2010-04-07,  מכתב מיום 2004-02-03,  מכתב נשמ מיום 2014-06-01,</t>
  </si>
  <si>
    <t>תוספת פריפרייה 2000</t>
  </si>
  <si>
    <t>זכאות מצטברת:
א.עובדים במשרד הבריאות אשר משובצים בדירוג רופאים (31) 
ב.הינם ברמת מומחיות של: מנהל/ מומחה שאינו מנהל מדרגה 4 ומעלה.
לעניין זה: מנהל- מנהל בית חולים וסגנו, מנהל מחלקה או מכון וסגנו, סגן מנהל מחלקה או מכון בכיר, מנהל מרפאה בבית חולים, מנהל חדרי מיון ומנהל מרפאות חוץ.
מומחה שאינו מנהל - מומחה (מדרגה 4 ומעלה) שאינו נושא תפקיד של מנהל כאמור.
ג. זכאי לתוספת פריפריה על פי ההסכם הקיבוצי מיום 21.07.1991. 
ד. עובד בבית חולים בפריפריה: צפת, פוריה, נהריה, אשקלון, בריאות הנפש ב"ש, חדרה, שער מנשה או פרדסיה.</t>
  </si>
  <si>
    <t>חישוב:
מנהל באזור פריפריה 1 פרמטר 3107A
מנהל באזור פריפריה 2 פרמטר 3107B
מנהל באזור פריפריה 3 פרמטר 3107C
מומחה שאינו מנהל באזור פריפריה 1 פרמטר 3107D
מומחה שאינו מנהל באזור פריפריה 2  פרמטר 3107E
מומחה שאינו מנהל באזור פריפריה 3 פרמטר 3107F</t>
  </si>
  <si>
    <t>פריפריה 1 = בי"ח צפת ופוריה; פריפריה 2 = נהריה, אשקלון ובריאות הנפש ב"ש; פריפריה 3 = חדרה, שער מנשה ופרדסיה</t>
  </si>
  <si>
    <t>מקום עבודה
דירוג
רמת מומחיות
דרגה</t>
  </si>
  <si>
    <t>תוספת פריפריה 2000, לא תיכלל בבסיס לחישוב תוספות אחוזיות.
מדובר בסמל מלם 4650</t>
  </si>
  <si>
    <t>הסכם קיבוצי מיום 2000-07-13,  חוזר הער-2000-13 (67) מיום 02-10-2000,  חוזר הע 2008-02-11 מיום 2008-12-22,  הסכם קיבוצי מיום 1991-07-21,  חוזר הער 2000-11 מיום 2000-07-26,</t>
  </si>
  <si>
    <t>3107A,  3107B,  3107C,  3107D,  3107E,  3107F,</t>
  </si>
  <si>
    <t>אשל חייב במס</t>
  </si>
  <si>
    <t>מדובר בקוד רכיב ישן 4919</t>
  </si>
  <si>
    <t>כוננות שבת קב"ט</t>
  </si>
  <si>
    <t>קצין ביטחון של משרד ממשלתי המועסק בכתב מינוי בפנסיה תקציבית.
יאושר לאותו קצין ביטחון תוספת של 2 כוננויות בחודש בנוסף למכסת הכוננויות הקיימת.
הסדר זה לא יחול על קב"ט של משרד ממשלתי המועסק על פי חוזה מיוחד, שכן במשכורתו הכוללת נכללים כל התוספות לרבות תוספת הכוננות הנ"ל.</t>
  </si>
  <si>
    <t>תשלום 2 הכוננויות יהיה מכניסת השבת ועד יום א' בבוקר, סה"כ 36 שעות כוננות כל אחת. התשלום בעד כל שעה תהיה של 2/3, היינו תשלום תשלום של 24 שעות לפי 100% (סמל שכר 1205)</t>
  </si>
  <si>
    <t>ההקצאה זו תתוקצב ע"י אגף התקציבים במרד האוצר בהתאם לסיכום הממונה על התקציבים.</t>
  </si>
  <si>
    <t>הסדרת מערך הביטחון,</t>
  </si>
  <si>
    <t>תחבורה ציבורית למרצים</t>
  </si>
  <si>
    <t>זכאות:
החזר הוצאות נסיעה לעובד שהינו מרצה עובד מדינה.</t>
  </si>
  <si>
    <t>חישוב:
העובד זכאי להחזר הוצאות בגין נסיעות בין עירוניות אשר בוצעו בתחבורה ציבורית או ברכב הפרטי, החזר הוצאות הנסיעה יהיה ע"פ התעריפים הנהוגים בשירותי התחבורה הציבורית.</t>
  </si>
  <si>
    <t>** הערה:
עובד מדינה המרצה מעבר לשעות העבודה הרגילות, אינו זכאי לתשלום בגין ביטול זמן.
שעות בעד כל שעה של ביטול זמן בנסיעה יהיה 40% מהתעריף החל על השירות שבעדו בוצעה הנסיעה.
הזמן יחושב ע"פ שעה אחת של ביטול זמן על כל 50 ק"מ של נסיעה.
ניתן לשלם למרצה ביטול זמן, כאשר המרחק בין המוצא לבין מקום מתן השירות הוא יותר מ-30 ק"מ בכיוון אחד.</t>
  </si>
  <si>
    <t>תחבורה ציבורית למרצה,  הוראת תכמ 13.9.4 תח''צ למרצים,</t>
  </si>
  <si>
    <t>מפקח - אשל עירוני</t>
  </si>
  <si>
    <t>לעובדים הזכאים לקצובת הכלכלה לא יחול עוד הסדר התשלום עבור שיחות טלפון ע"פ סעיף 25.62 לתקשי"ר 
דרוגים שלא חלה עליהם ההפחתה בתקרה של 01/03/2017-31/05/2017:
דירוג הרופאים (31) 
דירוג עובדי מחקר בטחוני (43)
דירוג עובדי הוראה : (דירוגים 240, 321-329 מ-801 עד 824)
לפי יהודה, התעריפים המגיעים להם לאותה תקופה הינם:
לתעריף א' 29.50 ₪
לתעריף ב' 59.00 ₪
לתעריף ג' 88.50 ₪
למעט: חוזה אישי- מנהלים כלליים ומקביליהם (59) / שרים ח"כ וכו (6) / חוזה אישי עובדים בכירים (5) / חוזה אישי – יועצים משפטיים (15) / חוזה אישי עובדים בכירים (57) / לשכות שר ומנכ"ל חוזה שכר כולל (64) / מומחים  חוזה שכר כולל (164) / נהג שר ומנכ"ל חוזה שכר כולל (264) / חוזה אישי עובדים בכירים חדש (557) / לשכות שר ומנכ"ל - שכר כולל חדש (564) / נהג שר ומנכ"ל חוזה שכר כולל חדש (764) / בכירים בלשכות שר ומנכ"ל - שכר כולל חדש (864) / מומחים - חוזה שכר כולל חדש (964) / סגל בכיר מוביל (568) / סגל בכיר שאינו מוביל (569)</t>
  </si>
  <si>
    <t>דיווח כלכלה: סוג ארוחה</t>
  </si>
  <si>
    <t xml:space="preserve">
1.	עובד התובע קצובת כלכלה אינו חייב להמציא קבלות על הוצאותיו אלו
2.	עובד השוהה בתפקיד מחוץ למקום מגוריו הקבוע, ומקבל קצובת כלכלה ו/או קצובת לינה על חשבון המשרד, או החזר הוצאות בכל צורה אחרת כגון תלושים - אינו זכאי לקצובת אש"ל
3.	תעריפי קצובת כלכלה, יעודכנו ויפורסמו מעת לעת על-ידי הממונה על השכר והסכמי עבודה במשרד האוצר
4.	עובד השוהה בתפקיד מחוץ למקום עבודתו הרגיל יותר מ 24- שעות רצופות, זכאי לקצובת לינה ולקצובת כלכלה על כל תקופה שלמה של 24 שעות
5.	עובד הנעדר מהעבודה מחמת השתתפותו בבחינות על משרה פנויה בשירות המדינה שעליה פורסם מכרז, או בבחינות לקביעת דרגה, יחשבו לו ימי/שעות הבחינה אליהם הוזמן כתקופת היעדר בתפקיד, והוא יהא זכאי לקצובת כלכלה
6.	לא ניתן תשלום לעובד הזכאי לקצובת אש"ל גלובלי (סמלים 1600 ו- 1621), או לעובד המקבל כל תשלום אחר הבא במקום קצובת לינה או קצובת כלכלה
סיכום פגישה 26/05/2020 - בפועל לא רואים הבדל בין התעריפים, אם העובד זכאי לתעריף 2 אז יקבל תעריף א' *2, אם זכאי לתעריף 3 אז יקבל תעריף א' * 3
סיבת פתיחת רכיב חדש : בעקבות פסק דין לעובדים בתפקדי מפקחים האפיון זהה לסמל מל"ם 4985 הסיבה שבגללה נפתח סמל חדש הינה מאחר ו</t>
  </si>
  <si>
    <t>תקשי"ר,  הע 2017-1-20 מיום 01.03.2017,  שכ.2013-40590 מיום 25.06.2013,  מייל על קצובת כלכלה,  אישורי נשמ,  "מפקח - אשל עירוני" עם איפיון זהה לסמל 4985,  פסק דין - מפקחי משרד הבריאות,  פרוטוקול דיון מיום 11.11.2020,</t>
  </si>
  <si>
    <t>110A,  110A,  110A,  110B,  110B,  110B,  110C,  110C,  110C,</t>
  </si>
  <si>
    <t>סנג"צ ארצי</t>
  </si>
  <si>
    <t>עדכון תוספת סנגור ציבורי,</t>
  </si>
  <si>
    <t>עובדי משרד הבריאות,עובדי מינהל ומשק בבתי החולים הממשלתיים, אשר משכורותיהם מחושבות לפי ההסכמים הקיבוציים החלים לגבי אחד הדירוגים הבאים: הדירוג המינהלי (1), דירוג המח"ר (11), דירוג המהנדסים (12) ודירוג טכנאים והנדסאים (13) (להלן: "עובדי מינהל ומשק") ואשר מיוצגים על-ידי ההסתדרות.</t>
  </si>
  <si>
    <t>A*B
A=כל רכיבי השכר המובאים בחשבון לצורך חישוב ערך שעה+תוספת 2001 (סמל מלם 4550) +תוספת 2009 (סמל מלם 4934)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
B= קבוצה א'=10%
B= קבוצה ב'=8%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</si>
  <si>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מקום עבודה
דירוג 
דרגה</t>
  </si>
  <si>
    <t>מדובר בסמל מלם 5216
מאפייני הרכיב עודכנו.
הרכיבים שנכנסים בחישוב התוספת מבדיקת תלושים: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t>
  </si>
  <si>
    <t>חוזר הע 2011-02-11 מיום 2011-05-04,  הסכם קיבוצי  מיום 2011-04-01,  חוזר הע 2011-02-11 מיום 2011-05-04,</t>
  </si>
  <si>
    <t>תוספת אחוזית מהמשולב לרכיב 5218</t>
  </si>
  <si>
    <t>זכאות: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משנה לאפוטרופוס לענייני ירושה), ראש הממשלה (בתפקיד קצרניות בלבד), חקלאות, מנהל מחקר חקלאי או מכס ומע"מ (עובדי שע"מ)</t>
  </si>
  <si>
    <t>חישוב תוספת:
A * B
A = בסיס התוספת = שכר יסוד + תוספת ותק + השלמת משולב 99
B = בהתאם לתפקיד והמשרד כדלקמן: פרמטר 0052A - עובדי ענ"א באגף המכס והמע"מ; 0052B - עובדי משרד התחבורה או עובדי משרד החקלאות או עובדי מנהל מחקר חקלאי, 0052C עובדי משרד ראש הממשלה; 0052D - משרד המשפטים (מוסמכים בסמכות רשם), 0052E - משרד המשפטים באגף לרישום מקרקעין (לא מוסמכים בסמכות רשם); 005 - משרד המשפטים בעגף לרישום מקרקעין מוסמכים בסמכות רשם; 0052G - משרד החוץ שאינם עובדי שירות החוץ</t>
  </si>
  <si>
    <t>1. תפקיד של מפקח טיסה או מפקח ביצוע תקנות רישוי במנהל התעופה
2. עובד במשרד המשפטים שמוסמך (או לא) בסמכות רשם</t>
  </si>
  <si>
    <t>* סמל 5218 תוספת אחוזית לשליחים לשון ההסכם:
א.	התוספת האחוזית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תשכ"ג-1963, הפרשות לקרן השתלמות והפרשות לפי הסכם המעבר מפנסיה תקציבית לפנסיה צוברת מיום 3.3.99, כנוסחו מעת לעת.
ב. התוספת האחוזית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ג. התוספת האחוזית לא תובא בחשבון לעניין חישוב השלמת השכר עד לשכר המינימום כמשמעותו בחוק שכר מינימום, התשמ"ז – 1987.
רכיב אופיין ואושר.</t>
  </si>
  <si>
    <t>שכ.2000-1564,  העמ/97/4 (23),  העמ/99/34 (104),  העמ-96-32 (88),  העמ-94-2 (6),  חוזר הממונה העמ-93-42 (144),  מכתב הממונה מיום 1995-02-19,  העמ-94-11 (44),  חוזר הממונה העמ-94-13 (68) מיום 22-05-1994,  הוראות ביצוע להסכם הקיבוצי מיום 29.6.2011,  תוספת לעובדי בית הנשיא,</t>
  </si>
  <si>
    <t>0052A,  0052B,  0052B,  0052C,  0052C,  0052D,  0052E,  0052F,  0052G,  0052H,</t>
  </si>
  <si>
    <t>בסיס השכר לחישוב התוספת:
בסיס השכר לחישוב התוספת יהיה: שכר משולב וכל תוספת יוקר וכל תוספות השכר ותוספות לשכר שהיו קיימות ביום 31.12.2022 והמובאות בחשבון לעניין חישוב ערך שעה.
להלן הרכיבים הנכללים בחישוב בסיס השכר:
סמל 1 –שכר משולב 
סמל 559 –תוספת בי"ח לתפקיד
סמל 569 – אח' מח' אשפוז
סמל 600 –תוספת בית חולים
סמל 639 –השתלמות אחיות 
סמל 4544 –ת. שכר 5.35% 
סמל 4934 –תוספת 2009 6.33% 
סמל 4994 –תוספת 2011 4% 
סמל 5283 –תוספת שקלית אחיות. 
סמל 729 - אחיות 9%</t>
  </si>
  <si>
    <t>שכר משולב + וותק
תוספת יוקר
תוספות המובאות בחשבון לעניין ערך שעה</t>
  </si>
  <si>
    <t>בסיס השכר לחישוב התוספת כולל את הפירוט בתיאור נוסחא למעט:
(א)	תוספות שאינן משולמות על בסיס חודשי, שבועי או יומי;
(ב)	תוספות שאינן מתעדכנות על-פי הסכמי תוספת יוקר ויש להן מנגנון עדכון אחר;
(ג)	השלמת שכר עד לשכר מינימום בהתאם לחוק שכר מינימום, התשמ"ז-1987;
מאפייני הרכיב אושרו לרכיב 5245</t>
  </si>
  <si>
    <t>הסכם קיבוצי אחיות 01.11.2023,  מייל רכיבים נכללים בחישוב התוספת,</t>
  </si>
  <si>
    <t>פקד מתקדם</t>
  </si>
  <si>
    <t>קוד רכיב קודם: 5249: פקד מתקדם</t>
  </si>
  <si>
    <t>זכאות: דירוג מנהלי או בדירוג שירות החוץ. מועסק במשמרת "נהג מלווה אורחים רשמיים", "מנהל מדור (רכב / תחבורה)", סגן מנהל מחלקת תחבורה, מחלקת תחבורה, חטיבת משאבים" או מנהל מחלקת תחבורה במשרד החוץ ובעלי הכשרה לנהיגה ברכב משוריין וייעודי לצרכי ליווי ואבטחה.</t>
  </si>
  <si>
    <t>חישוב:
התשלום הינו תוספת שקלית חודשית שכפופה לחלקיות משרה.
1. עובד המועסק כנהג מלווה אח"מ עד 18 חודשים- פרמטר 0090A.
2. עובד המועסק כנהג מלווה אח"מ לתקופה 19-36 חודשים- פרמטר 0090B.
3. עובד המועסק כנהג מלווה אח"מ מעל ל-37 חדושים- פרמטר 0090C.</t>
  </si>
  <si>
    <t>זכאות מצטברת:
1. העובד נושא נשק במסגרת עבודתו.
2. העובד עובר במסגרת עבודתו הכשרות וקורסים מיוחדים של השב"כ.
3. העובד מבצע במסגרת עבודתו נסיעות באזורים מסוכנים, לרבות אזור גדר הביטחון וגשר הירדן.
4. העובד מבצע במסגרתו עבודתו נסיעות ברכבים משוריינים ורכבים ייעודיים לליווי ואבטחת אורחים רשמיים של מדינת ישראל ואח"מים מחו"ל.
5. העובד מבצע ליווי ואבטחת אורחים רשמיים של מדינת ישראל ואח"מים מחו"ל.</t>
  </si>
  <si>
    <t>התוספת תובא בחשבון ערך שעה רק לעניין הרכיבים המשולמים מכוח חוק (לא כולל שכר עידוד, פרמיה, תורניות או מענק יובל) אך כן תבוא בחשבון לערך שעה לחישוב כוננויות</t>
  </si>
  <si>
    <t>הסכם קיבוצי מיום 26.9.2011 שכ. 2011-33719,  הסכם קיבוצי מיום 2011-09-26,  עדכון תוספת ליווי אחמ''ים לנהגים במשרד החוץ,  מש. 2022-237 מיום 2022-08-24,</t>
  </si>
  <si>
    <t>0090A,  0090A,  0090A,  0090A,  0090B,  0090B,  0090B,  0090B,  0090C,  0090C,  0090C,  0090C,</t>
  </si>
  <si>
    <t>תוספת ותק פעילות ("פשיעה חמורה")</t>
  </si>
  <si>
    <t>זכאות: 1. עובדים המועסקים באגף המכס והמע"מ (146) 2. עובד באחת היחידות של חקירות 3. עובד באחד מהתפקידים המפורטים בהערות  4. מחויבים לעסוק בפעילות בתחום הפשיעה החמורה 5. המשכורת של העובד מחושבת על פי הסכמים קיבוציים של הדירוגים המיוצגים ע"י ההתסדרות: מינהלי (1), מח"ר (11), הנדסאים (13) - לא זכאים מי שמקבל שכר כולל 5. זכאות החל מהמועד בו ותק הפעילות שלו עולה על שנה אחת.   זכאות חריגה: עובד אשר היה מועסק ביחידה מזכה ערב חתימת ההסכם ומתקיימים התנאים הבאים במצטבר: 1. העובד נדרש להשתתף בפעילות מבצעית של היחידה המזכה בה היה מועסק ערב חתימת הסכם זה. האמור בפסקה זו ייבחן אחת לשנה, בחודש ינואר של כל שנה קאלנדרית, ולא באופן חודשי. 2. העובד חתם על הסכמתו להשתתף בפעילות מבצעית של היחידה המזכה בה היה מועסק ערב חתימת הסכם זה.</t>
  </si>
  <si>
    <t>חישוב:
זכאות לתוספת חודשית קבועה שתלויה על שנות וותק הפעילות של העובד:
תוספת ותק פעילות "פשיעה חמורה" עם ותק של בין 1-2 שנים פרמטר 0091A
תוספת ותק פעילות "פשיעה חמורה" עם ותק של בין 2-3 שנים פרמטר 0091B
תוספת ותק פעילות "פשיעה חמורה" עם ותק של בין 3-4 שנים פרמטר 0091C
תוספת ותק פעילות "פשיעה חמורה" עם ותק של בין 4-5 שנים פרמטר 0091D
תוספת ותק פעילות "פשיעה חמורה" עם ותק של מעל 5 שנים פרמטר 0091E
בהתאם לחלקיות משרה</t>
  </si>
  <si>
    <t>מדובר על רכיב מלם 5270
מאפייני הרכיב עודכנו.</t>
  </si>
  <si>
    <t>הסכם קיבוצי מיום 2011-02-06,  חוזר הממונה 2017-3-7,  חוזר שכר 3-7-2018,</t>
  </si>
  <si>
    <t>0091A,  0091A,  0091A,  0091A,  0091A,  0091A,  0091B,  0091B,  0091B,  0091B,  0091B,  0091B,  0091C,  0091C,  0091C,  0091C,  0091C,  0091C,  0091D,  0091D,  0091D,  0091D,  0091D,  0091D,  0091E,  0091E,  0091E,  0091E,  0091E,  0091E,</t>
  </si>
  <si>
    <t>תוספת חינוך לבריאות 2012</t>
  </si>
  <si>
    <t>זכאות:
רופאים (31) שמקיימים את שני התנאים המצטברים:
* רופאים שהועסקו ביום 1.1.18 ובמועד ההחלטה הם מועסקים כרופאי מינהל במשרדי הממשלה ובלשכות הבריאות (למעט משרד הביטחון).
* רופאים הזכאים ל-11 ימי ערך המחושבים לפי מקדם שאינו עולה על 0.875.
* מדובר על רופאים שאינם זכאים לתוספת מחינוך לבריאות 2012 מכוח החלטת מעקב 22.3.2012.</t>
  </si>
  <si>
    <t>חישוב:
A * פרמטר 692 (17%)
A = שכר משולב.
פרמטר מהווה שיעור ההכפלה.</t>
  </si>
  <si>
    <t>עובד בדירוג רופא (31) 
שכר משולב.
שיעור הפרמטר להכפלה.</t>
  </si>
  <si>
    <t>* התוספת לא תהווה שכר לעניין חישוב ערך יום ולא תיכלל בבסיס לחישוב תוספות אחוזיות.
* תוספת חינוך לבריאות 2012 תשולם גם בעת היעדרות אשר בגינה משולם שכר.</t>
  </si>
  <si>
    <t>החלטת ועדת מעקב מיום 2012-05-22,</t>
  </si>
  <si>
    <t>692,  692,</t>
  </si>
  <si>
    <t>מילואים שישי שבת</t>
  </si>
  <si>
    <t>זכאות:
עובד מכלל הדירוגים ומכלל המשרדים שיוצא לשרת במילואים ובעקבות המילואים דווח ימי העדרות בגין שישי ושבת.</t>
  </si>
  <si>
    <t>אופן חישוב:
לפי ערך של יום (1/30) מכלל הרכיבים הנכנסים לחישוב ברוטו לביטוח לאומי.
תיקרה: עד 30,000 ₪.</t>
  </si>
  <si>
    <t>הסבר על הרכיב: הרכיב נוצר בעקבות שהיו מורידים עקב יציאה למילואים ווזה כלל גם את שישי שבת במידה והעובדים שירתו במילואים בשישי שבת ואז נוצרה עוול אז הקימו סמל מל"מ שלאחר דיווחו היעדרות בגין מילואים כולל שישי-שבת אז הסמל הזה מחזיר את התשלום בגין שישי שבת שדווחו כימי היעדרות. אולי כדאי לשקול שימי היעדרות בגין מילואים מלכתחילה לא תכלול את ימי שישי-שבת אלא רק ימי עבודה בפועל.</t>
  </si>
  <si>
    <t>יש באסמכתאות מחשבון ניכוי ימי היעדרות שהיה בתכ"ם, בו ניתן לראות כיצד מחשבים את כמות הימים לרכיב
*לא לאפיון, מאחר ובמערכת החדשה יהיה סכרון בין המערכת והחוקה(אסמכתאות 3254,3170)</t>
  </si>
  <si>
    <t>סיכום דיון מיום 22.10.2014 חש. 2014-75302,  תכם 13.1.0.2,  מחשבון ניכוי ימי היעדרות מילואים,    אפיון חוקת רכיב5299 לא לאפיון,  אישור לאי אפיון מילואים שישי שבת,</t>
  </si>
  <si>
    <t>התייצבות מעל 6 שעות-מנהלים / מומחים- יום שישי</t>
  </si>
  <si>
    <t>משרד
דירוג 
תפקיד
שכר יום עבודה 
כמות התייצבויות</t>
  </si>
  <si>
    <t>מדובר בסמל מלם 5333 אשר מקורו במערכת הנוכחות של משרד הבריאות (107).
התוספות הנכנסות לחישוב שכר יום עבודה בבדיקות בתלושי שכר:
*פריפריה א (585)
*שקלית 2012 (5422)
*תוספת פריפריה (899)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</si>
  <si>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מיוחד מיום 19-4-2001- הוראות ביצוע,</t>
  </si>
  <si>
    <t>התייצבות מעל 6 שעות-מנהלים/מומחים-יום שבת</t>
  </si>
  <si>
    <t>מדובר בסמל מלם 5334 אשר מקורו במערכת הנוכחות של משרד הבריאות (107).
התוספות הנכנסות לחישוב שכר יום עבודה בבדיקות בתלושי שכר:
*שקלית 2012 (5422)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</si>
  <si>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מיום 25/08/2011,</t>
  </si>
  <si>
    <t>התייצבות אחרי 22:00 מנהלים/ מומחים-יום שישי</t>
  </si>
  <si>
    <t>מדובר בסמל מלם 5336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</si>
  <si>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אחרי 22:00-מנהלים / מומחים -יום שבת</t>
  </si>
  <si>
    <t>מדובר בסמל מלם 5337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</si>
  <si>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תוספת מקצועות במצוקה אקוטית 2012</t>
  </si>
  <si>
    <t>עובדים במשרד הבריאות אשר משובצים בדירוג רופאים (31) בתפקידים של מומחה לרבות מנהל/מתמחה/תחומי, ואשר מועסקים במקצועות במצוקה אקוטית כדלקמן: הרדמה, ניאונטולוגיה, טיפול נמרץ כללי ונשימתי, טיפול נמרץ ילדים, טיפול נמרץ לב.</t>
  </si>
  <si>
    <t xml:space="preserve">
מדובר בסכום קבוע בהתאם לתפקיד:
א. מומחה לרבות מנהל, סכום קבוע מטבלת הפרמטרים, פרמטר 3101A 
ב. מתמחה/תחומי, סכום קבוע מטבלת הפרמטרים, פרמטר 3101B</t>
  </si>
  <si>
    <t>משרד
דירוג
מקצוע
תפקיד</t>
  </si>
  <si>
    <t>תוספת מקצועות במצוקה אקוטית 2012, לא תיכלל בבסיס לחישוב תוספות אחוזיות.
מדובר בסמל מלם 5338.</t>
  </si>
  <si>
    <t>הסכם קיבוצי מיום 25-11-2011,  הסכם קיבוצי מיום 25/08/2011,</t>
  </si>
  <si>
    <t>3101A,  3101A,  3101B,  3101B,</t>
  </si>
  <si>
    <t>תוספת מקצועות במצוקה</t>
  </si>
  <si>
    <t>זכאות מצטברת:
א. עובדים במשרד הבריאות אשר משובצים בדירוג רופאים (31) בתפקידים של: מומחים לרבות מנהל/מתמחה/תחומי.
ב. מועסקים בבתי חולים 
ג.מועסקים באחד מהמקצועות הבאים: פנימית (לא בהתמחות על), גריאטריה, כירוגיה כללית, רפואה דחופה, פתולוגיה, המטו-אונקולוגיה ילדים, שיקום, פסיכיאטריה של הילד, רפואה גרעינית</t>
  </si>
  <si>
    <t xml:space="preserve">
מדובר בסכום קבוע בהתאם לתפקיד:
א. מומחה לרבות מנהל, סכום קבוע מטבלת הפרמטרים, פרמטר 3102A 
ב. מתמחה/תחומי, סכום קבוע מטבלת הפרמטרים, פרמטר 3102B</t>
  </si>
  <si>
    <t>משרד
דירוג 
מומחיות
מקום עבודה 
מקצוע
תפקיד</t>
  </si>
  <si>
    <t>תוספת מקצועות במצוקה, לא תיכלל בבסיס לחישוב תוספות אחוזיות.
מדובר בסמל מלם 5339</t>
  </si>
  <si>
    <t>3102A,  3102A,  3102B,  3102B,</t>
  </si>
  <si>
    <t>זכאות: עובדים בקבוצת עובדים 01 או 11 עובד בבית חולים ממשלתי
זכאות רכיב 5340
כל עובדי מינהל ומשק בבתי חולים הממשלתים.
דירוגים- מינהלי (1), מח"ר (11), מהנדסים (12), טכנאים ומהנדסים (13).</t>
  </si>
  <si>
    <t>חישוב:
A * 18.23%
A = שכר משולב הקבוע לגבי דרגה 17 בותק 0 בטבלת השכר של דירוג מינהלי (1).</t>
  </si>
  <si>
    <t>הערך מתועד בטבלת הקבועים (גם האחוז)
0014 - שכר יסוד של עובד ברמת שכר 13 בקבוצת עובדים 01</t>
  </si>
  <si>
    <t>הרכיב החל ב-1.1.2014
מאפייני רכיב 1015 אושרו</t>
  </si>
  <si>
    <t>הסכם קיבוצי מיום 6/8/2013,  חוזר ממונה 2013-2-25,  חוזר הע 2011-02-11 מיום 2011-05-04,</t>
  </si>
  <si>
    <t>תורנות מחלקה חול מנהלים /מומחים החל מתורנות חמישית</t>
  </si>
  <si>
    <t>משרד הבריאות (107) דירוג רופאים (31)  אשר מקום עבודתם בבית חולים,
 מדובר ברופאים מומחים המבצעים תורנות מחלקה ביום חול מהשעה 16:00 ועד למחרת בבוקר בשעה 8:00, החל מהתורנות המלאה החמישית.</t>
  </si>
  <si>
    <t>שכר יום עבודה *מספר תורנוית מחלקה בחודש * פרמטר 800
שכר יום עבודה= שכר משולב (סמל מלם 10002)+תוספת מקצוע מיוחד (643)+שקלית 2012 (5422)+ תוספת פריפרייה (899) + מקצוע במצוקה (5339), הכל מחולק ב 25.
(לעדכן בבדיקות אלו עוד תוספות נכנסות לשכר יום עבודה)</t>
  </si>
  <si>
    <t>שכר יום עבודה= שכר משולב (סמל מלם 10002)+כל התוספות הנכנסות לחישוב שכר יום עבודה, הכל מחולק ב 25.
(מפורט בהערות אילו רכיבי שכר נמצאו מבדיקת התלושים, נא לעדכן בבדיקות)</t>
  </si>
  <si>
    <t>משרד
דירוג
רופא מומחה
מספר תורנויות מחלקה בחודש
ערך יום עבודה
תורנות חמישית</t>
  </si>
  <si>
    <t>מדובר בסמל מלם 5341, הרכיב מגיע ממערכת הנוכחות של משרד הבריאות (107).
התוספות הנכנסות לחישוב שכר יום עבודה בבדיקות בתלושי שכר:
*תוספת מקצוע מיוחד (643)
*שקלית 2012 (5422)
*תוספת פריפרייה (899) 
*מקצוע במצוקה (5339)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</si>
  <si>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הסכם קיבוצי מיום 25/08/2011,  זכרון דברים מיום 1976-11-29,  משמעויות בהסכמים,</t>
  </si>
  <si>
    <t>800,  800,</t>
  </si>
  <si>
    <t>תורנות מחלקה שישי 8-13 מנהלים /מומח מתורנות חמישית</t>
  </si>
  <si>
    <t>משרד הבריאות (107) דירוג רופאים (31)  אשר מקום עבודתם בבית חולים,
 מדובר ברופאים מומחים המבצעים תורנות מחלקה בערב שבת מהשעה 13:00 עד למחרת בבוקר בשעה 8:00, החל מהתורנות המלאה החמישית.</t>
  </si>
  <si>
    <t>שכר יום עבודה *מספר תורנוית מחלקה בחודש * פרמטר 801
שכר יום עבודה= שכר משולב (סמל מלם 10002)+כל התוספות הנכנסות לשכר יום עבודה, הכל מחולק ב 25.
(לעדכן בבדיקות אלו עוד תוספות נכנסות לשכר יום עבודה)</t>
  </si>
  <si>
    <t>שכר יום עבודה= שכר משולב (סמל מלם 10002)+כל התוספות הנכנסות לשכר יום עבודה, הכל מחולק ב 25.
(לעדכן בבדיקות אלו עוד תוספות נכנסות לשכר יום עבודה)</t>
  </si>
  <si>
    <t>מדובר בסמל מלם 5342,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</si>
  <si>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801,  801,</t>
  </si>
  <si>
    <t>תורנות מחלקה שבת 8-8 מנהלים /מומחים מתורנות חמישית</t>
  </si>
  <si>
    <t>משרד הבריאות (107) דירוג רופאים (31)  אשר מקום עבודתם בבית חולים,
 מדובר ברופאים מומחים המבצעים תורנות מחלקה בשבת או חג משעה 8:00 ועד למחרת בבוקר בשעה 8:00, החל מהתורנות המלאה החמישית.</t>
  </si>
  <si>
    <t>שכר יום עבודה *מספר תורנוית מחלקה בחודש * פרמטר 802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</si>
  <si>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</si>
  <si>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802,  802,</t>
  </si>
  <si>
    <t>תורנות מיון חול 8-16 מנהלים/מומחים מתורנות חמישית</t>
  </si>
  <si>
    <t>משרד הבריאות (107) דירוג רופאים (31)  אשר מקום עבודתם בבית חולים,
 מדובר ברופאים מומחים המבצעים תורנות מיון ביום חול משעה 16:00 ועד למחרת בשעה 08:00, החל מהתורנות המלאה החמישית..</t>
  </si>
  <si>
    <t>שכר יום עבודה *מספר תורנוית מיון בחודש * פרמטר 805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</si>
  <si>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מיון בחודש
ערך יום עבודה
תורנות חמישית</t>
  </si>
  <si>
    <t>מדובר בסמל מלם 5344,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</si>
  <si>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805,  805,</t>
  </si>
  <si>
    <t>תורנות מיון שישי 8-13 מנהלים/מומחים מתורנות חמישית</t>
  </si>
  <si>
    <t>משרד הבריאות (107) דירוג רופאים (31)  אשר מקום עבודתם בבית חולים,
 מדובר ברופאים מומחים המבצעים תורנות מיון בערב שבת או חג משעה 13:00 ועד למחרת בשעה 08:00, החל מהתורנות המלאה החמישית.</t>
  </si>
  <si>
    <t>שכר יום עבודה *מספר תורנוית מיון בחודש * פרמטר 806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</si>
  <si>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</si>
  <si>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תורנות חמישית</t>
  </si>
  <si>
    <t>מדובר בסמל מלם 5345,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</si>
  <si>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806,  806,</t>
  </si>
  <si>
    <t>תורנות מיון שבת/חג 8-8 מנהלים/מומח מתורנות חמישית</t>
  </si>
  <si>
    <t>משרד הבריאות (107) דירוג רופאים (31)  אשר מקום עבודתם בבית חולים,
 מדובר ברופאים מומחים המבצעים תורנות מיון בשבת או חג משעה 08:00 ועד למחרת בשעה 08:00, החל מהתורנות המלאה החמישית.</t>
  </si>
  <si>
    <t>שכר יום עבודה *מספר תורנוית מיון בחודש * פרמטר 807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</si>
  <si>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5346,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</si>
  <si>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807,  807,</t>
  </si>
  <si>
    <t>תורנות מחלקה מקוצרת למנהלים / מומחים ביום חול</t>
  </si>
  <si>
    <t>משרד הבריאות (107) דירוג רופאים (31)  אשר מקום עבודתם בבית חולים,
 מדובר ברופאים מומחים המבצעים חצי תורנות מחלקה ביום חול משעה 16:00 ועד השעה 23:00.</t>
  </si>
  <si>
    <t>שכר יום עבודה *מספר חצאי תורנוית מחלקה בחודש * פרמטר 803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</si>
  <si>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מחלקה בחודש
ערך יום עבודה</t>
  </si>
  <si>
    <t>מדובר בסמל מלם 5347,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</si>
  <si>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803,  803,</t>
  </si>
  <si>
    <t>תורנות מחלקה מקוצרת למנהלים / מומחי בערב שבת או חג</t>
  </si>
  <si>
    <t>משרד הבריאות (107) דירוג רופאים (31)  אשר מקום עבודתם בבית חולים,
 מדובר ברופאים מומחים המבצעים חצי תורנות מחלקה בערב שבת וחג משעה 13:00 ועד השעה 21:30.</t>
  </si>
  <si>
    <t>שכר יום עבודה *מספר חצאי תורנוית מחלקה בחודש * פרמטר 808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</si>
  <si>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5348,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</si>
  <si>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808,  808,</t>
  </si>
  <si>
    <t>תורנות מיון מקוצרת ביום חול מנהלים /מומחים</t>
  </si>
  <si>
    <t>משרד הבריאות (107) דירוג רופאים (31)  אשר מקום עבודתם בבית חולים,
 מדובר ברופאים מומחים המבצעים חצי תורנות מיון ביום חול משעה 16:00 ועד שעה 23:00.</t>
  </si>
  <si>
    <t>שכר יום עבודה *מספר חצאי תורנוית מיון בחודש * פרמטר 809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</si>
  <si>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מיון בחודש
ערך יום עבודה</t>
  </si>
  <si>
    <t>מדובר בסמל מלם 5349,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</si>
  <si>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תורנות מיון מקוצרת בערב שבת וחג מנהלים/ מומחים</t>
  </si>
  <si>
    <t>משרד הבריאות (107) דירוג רופאים (31)  אשר מקום עבודתם בבית חולים,
 מדובר ברופאים מומחים המבצעים חצי תורנות מיון בערב שבת וחג משעה 16:00 ועד שעה 21:30.</t>
  </si>
  <si>
    <t>שכר יום עבודה *מספר חצאי תורנוית מיון בחודש * פרמטר 810
שכר יום עבודה= שכר משולב (סמל מלם 10002)+כל התוספות הנכנסות לשכר יום עבודה, הכל מחולק ב 25.
(לעדכן בבדיקות אלו עוד תוספות נכנסות לשכר יום עבודה)</t>
  </si>
  <si>
    <t>מדובר בסמל מלם 5350,,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</si>
  <si>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810,  810,</t>
  </si>
  <si>
    <t>תורנות מחלקה מומחה בהתמחות על ביום חול 16:00-08:00</t>
  </si>
  <si>
    <t>משרד הבריאות (107) רופא  מתמחה על  דירוג 31, אשר מקום עבודתו בבית חולים המבצע תורנות מחלקה מלאה במקצוע התמחות העל  ביום חול מהשעה 16:00 ועד 8:00 בבוקר למחרת,</t>
  </si>
  <si>
    <t>שכר יום עבודה *מספר תורנוית מחלקה בחודש * פרמטר 831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</si>
  <si>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משרד
דירוג 
מומחיות
מקום עבודה
מספר תורנויות בחודש 
ערך יום עבודה</t>
  </si>
  <si>
    <t>מדובר בסמל מלם 5352,במשרד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10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</si>
  <si>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הסכם קיבוצי מיום 25/08/2011,  זכרון דברים מיום 1976-11-29,</t>
  </si>
  <si>
    <t>831,  831,</t>
  </si>
  <si>
    <t>תורנות מחלקה מומחה בהתמ על בערב שבת/חג 13:00-08:00</t>
  </si>
  <si>
    <t>משרד הבריאות (107) רופא  מתמחה על  דירוג 31, אשר מקום עבודתו בבית חולים המבצע תורנות מחלקה מלאה במקצוע התמחות העל בערב שבת או חג מהשעה 13:00 ועד 8:00 בבוקר למחרת,</t>
  </si>
  <si>
    <t>שכר יום עבודה *מספר תורנוית מחלקה בחודש * פרמטר 832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</si>
  <si>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5353,במשרד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11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</si>
  <si>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832,  832,</t>
  </si>
  <si>
    <t>תורנות מחלקה מומחה בהתמחות על בשבת/חג 8:00-8:00</t>
  </si>
  <si>
    <t>משרד הבריאות (107) רופא  מתמחה על  דירוג 31, אשר מקום עבודתו בבית חולים המבצע תורנות מחלקה מלאה במקצוע התמחות העל בשבת או חג מהשעה 08:00 ועד 8:00 בבוקר למחרת,</t>
  </si>
  <si>
    <t>שכר יום עבודה *מספר תורנוית מחלקה בחודש * פרמטר 833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</si>
  <si>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5354,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12 ו13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</si>
  <si>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833,  833,</t>
  </si>
  <si>
    <t>תורנות מיון מומחה בהתמחות על ביום חול 16:00-08:00</t>
  </si>
  <si>
    <t>משרד הבריאות (107) רופא  מתמחה על  דירוג 31, אשר מקום עבודתו בבית חולים המבצע תורנות מיון מלאה במקצוע התמחות העל  ביום חול מהשעה 16:00 ועד 8:00 בבוקר למחרת,</t>
  </si>
  <si>
    <t>שכר יום עבודה *מספר תורנוית מחלקה בחודש * פרמטר 834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</si>
  <si>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5355,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ו15ג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</si>
  <si>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834,  834,</t>
  </si>
  <si>
    <t>תורנות מיון מומחה בהתמח על בערב שבת/חג 13:00-08:00</t>
  </si>
  <si>
    <t>משרד הבריאות (107) רופא  מתמחה על  דירוג 31, אשר מקום עבודתו בבית חולים המבצע תורנות מיון מלאה במקצוע התמחות העל בערב שבת או חג מהשעה 13:00 ועד 8:00 בבוקר למחרת,</t>
  </si>
  <si>
    <t>שכר יום עבודה *מספר תורנוית מחלקה בחודש * פרמטר 835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</si>
  <si>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5356,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ו15ה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</si>
  <si>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835,  835,</t>
  </si>
  <si>
    <t>תורנות מומחה בהתמחות  על מיון בשבת 8:00-8:00</t>
  </si>
  <si>
    <t>משרד הבריאות (107) רופא  מתמחה על  דירוג 31, אשר מקום עבודתו בבית חולים המבצע תורנות מיון מלאה במקצוע התמחות העל בשבת או חג מהשעה 08:00 ועד 8:00 בבוקר למחרת,</t>
  </si>
  <si>
    <t>שכר יום עבודה *מספר תורנוית מחלקה בחודש * פרמטר 836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</si>
  <si>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5357,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ו15ו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</si>
  <si>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836,  836,</t>
  </si>
  <si>
    <t>פיצוי כוננות עקב השתלמות מנהל מחלקה</t>
  </si>
  <si>
    <t>משרד הבריאות (107) דירוג רופאים  (31), רופא בתפקיד מנהל מחלקה זכאי לפיצוי על אובדן כוננות -על.</t>
  </si>
  <si>
    <t>מספר כוננויות * 100% מערך יום עבודה * מקדם כוננות 0.83</t>
  </si>
  <si>
    <t>משרד
דירוג
תפקיד
מספר כוננויות</t>
  </si>
  <si>
    <t>מדובר בסמל מלם 5362, הרכיב מגיע ממערכת הנוכחות של משרד הבריאות (107).
הזכאות לקבל פיצוי בשל אי זכאות לתשלום כוננות על היא עד מכסה של 130 יום לכל תקופה בת 6 שנים.</t>
  </si>
  <si>
    <t>שכ. 2013-34495 מיום 2013-07-08,  הסכם קיבוצי מיום 25/08/2011,  הסכם קיבוצי מיום 1979-03-15,  הסכם קיבוצי מיום 1979-12-04,</t>
  </si>
  <si>
    <t>פיצוי כוננות עקב השתלמות מנהל וסגן בית חולים</t>
  </si>
  <si>
    <t>משרד הבריאות (107) דירוג רופאים  (31), רופא בתפקיד מנהל בית חולים ובתפקיד סגן מנהל בית חולים זכאי לפיצוי על אובדן כוננות -על  עקב השתלמות.</t>
  </si>
  <si>
    <t>בית חולים עד 99 מיטות:
מנהל בית חולים: מספר כוננויות* 100% מערך יום עבודה* מקדם כוננות 1.2
סגן מנהל בית חולים: מספר כוננויות* 100% מערך יום עבודה *מקדם כוננות 0.87
בית חולים מ 100 מיטות ועד 299 מיטות:
מנהל בית חולים: מספר כוננויות* 100% מערך יום עבודה * מקדם כוננות 1.87
סגן מנהל בית חולים: מספר כוננויות *100% מערך יום עבודה* מקדם כוננות 1.33
בית חולים מ 300 מיטות ומעלה:
מנהל בית חולים: מספר כוננויות * 100% מערך יום עבודה * מקדם כוננות 2.2
סגן מנהל בית חולים: מספר כוננויות * 100% מערך יום עבודה * מקדם כוננות 1.53</t>
  </si>
  <si>
    <t>מדובר בסמל מלם 5363, הרכיב מגיע ממערכת הנוכחות של משרד הבריאות (107).
1.הזכאות לקבל פיצוי בשל אי זכאות לתשלום כוננות על, היא עד מכסה של 130 יום לכל תקופה בת 6 שנים.
2. הפיצוי ישולם למנהל בית חולים הזכאי לו במשכורת אחד החודשים: אפריל, יולי אוקטובר, ינואר, בשל שהות בחול במהלך שלושת החודשים אשר קדמו לחודש אשר בגינו משולמת המשכורת.3.לגבי מנהלים הזכאים גם לפיצוי בגין אי ניצול כוננות על או כוננות מתוכננת בעת היעדרות עקב השתלמות (WT נוכחי) וגם לפיצוי בגין אי ניצול כוננות על (כוננות בית חולים) עקב שהייה בתפקיד בחו"ל (WT 1464)
יחולו הכללים האמורים בסעיפים אלו בהגבלות הבאות:
המנהלים בעלי הזכאות משני המקורות יהיו זכאים מדי שנה, לתשלום בסכום שאינו עולה על סכום השווה לתשלום עבור 38 כוננויות מתוכננות לפי הכללים והחלוקה שלהלן:
א.פיצוי בסכום השווה ללא יותר מ-25 כוננויות בשנה בשל שהייה בחו"ל (הסכם מיום 2011-04-27)
ב.פיצוי השווה ללא יותר מ-13 כוננויות בשנה מכוח הסדר הפיצוי בגין ימי השתלמות (הסכם מיום 2011-08-25). 
ג.אם זכאי המנהל לפיצוי של פחות מ-25 כוננויות בשנה בשל שהייה בחו"ל - יוגבל לניצול של עד 22 כוננויות בשנה מכוח הסדר הפיצוי בגין ימי השתלמות, ובלבד שלא יהיה זכאי ליותר מ-38 כוננויות בשנה משני המקורות יחד.
ד.על אף האמור לעיל, מנהל הזכאי לפיצוי משני המקורות כאמור בסעיף 4, יהיה רשאי לקבל לצורך השתלמות, בפעם אחת, פיצוי בסכום השווה ללא יותר מ- 78 כוננויות (13 * 6), ובלבד שב- 6 השנים הבאות לאחר מתן הפיצוי בגין 78 הכוננויות יהיה זכאי המנהל לפיצוי אך ורק בגין לא יותר מ-25 כוננויות מתוכננות בשנה בשל שהייה בחו"ל, על פי ההסכם מיום 17.4.11.
4.הפיצוי לכל אחד מהמנהלים הזכאים, יהיה בגובה תעריף לכוננות-על למנהלי בתי חולים.</t>
  </si>
  <si>
    <t>שכ. 2013-34495 מיום 2013-07-08,  הסכם קיבוצי מיום 25/08/2011,  הסכם קיבוצי מיום 1979-03-15,  הסכם מיום 2011-04-17,</t>
  </si>
  <si>
    <t>מנהל שירות</t>
  </si>
  <si>
    <t>זכאות:
רופא (31) מומחה המועסק במשרה מלאה בבית חולים.
מתח דרגות לתפקיד יהיה בין 6-8.
קידום מתח הדרגות יעשה כך:
שנתיים- דרגה 6.
3 שנים- דרגה 7.
3 שנים- דרגה 8.
לאחר 3 שנים בדרגה 8 יהיה זכאי העובד לתוספת שהייה בדרגה.
* הוותק למינוי מנהל שירות יהיה כוותק הנדרש למינוי מנהל מחלקה אצל כל מעסיק בהתאם לנהלים הקיימים כיום לגבי מנהל יחידה.</t>
  </si>
  <si>
    <t>חישוב:
מנהל שירות יהיה זכאי לכונניות על בכמות שבהתאם לדרגה שלו:
דרגה 6: כמות כונניות 10
דרגה 7: כמות כונניות: 20
דרגה 8: כמות כונניות 30.
התמורה בעד כל כוננות על של מנהת שירות תהיה 50% מהתמורה המשולמת בעד כוננות על של מנהל מחלקה באותה דרגה.</t>
  </si>
  <si>
    <t>מנהל שירות יהיה זכאי לכונניות על בכמות שבהתאם לדרגה שלו:
דרגה 6: כמות כונניות 10
דרגה 7: כמות כונניות: 20
דרגה 8: כמות כונניות 30.</t>
  </si>
  <si>
    <t>הסכם קיבוצי מיום 1979-03-15,  טבלה לחישוב תורנות וכוננות של רופאים 1993-01-13,  זכרון דברים מיום 1983-07-05,  חוזר ביצוע רופאים הער 2012-2-4,</t>
  </si>
  <si>
    <t>תורנות מחלקה יום חול 8-16 מנהלים/מומחים תורנות 1-4</t>
  </si>
  <si>
    <t>משרד הבריאות (107) דירוג רופאים (31)  אשר מקום עבודתם בבית חולים,
 מדובר ברופאים מומחים המבצעים תורנות מחלקה ביום חול משעה 16:00 ועד למחרת בשעה 08:00 בגין התורנות הראשונה ועד הרביעית.</t>
  </si>
  <si>
    <t>שכר יום עבודה *מספר תורנוית מחלקה בחודש * פרמטר 804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</si>
  <si>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ועד רביעית</t>
  </si>
  <si>
    <t>מדובר בסמל מלם 5379,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</si>
  <si>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804,  804,</t>
  </si>
  <si>
    <t>תורנות מחלקה שישי 8-13 מנהלים / מומחים תורנות 1-4</t>
  </si>
  <si>
    <t>משרד הבריאות (107) דירוג רופאים (31)  אשר מקום עבודתם בבית חולים,
 מדובר ברופאים מומחים המבצעים תורנות מחלקה בערב שבת או חג מהשעה 13:00 עד למחרת בבוקר בשעה 8:00, בגין התורנות הראשונה ועד הרביעית.</t>
  </si>
  <si>
    <t>שכר יום עבודה *מספר תורנוית מחלקה בחודש * פרמטר 811
שכר יום עבודה= שכר משולב (סמל מלם 10002)+כל התוספות הנכנסות לשכר יום עבודה, הכל מחולק ב 25.
(לעדכן בבדיקות אלו עוד תוספות נכנסות לשכר יום עבודה)</t>
  </si>
  <si>
    <t xml:space="preserve">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</si>
  <si>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עד רביעת</t>
  </si>
  <si>
    <t>מדובר בסמל מלם 5391,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</si>
  <si>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811,  811,</t>
  </si>
  <si>
    <t>תורנות מחלקה שבת/חג 8-8 מנהלים / מומחים תורנות 1-4</t>
  </si>
  <si>
    <t>משרד הבריאות (107) דירוג רופאים (31)  אשר מקום עבודתם בבית חולים,
 מדובר ברופאים מומחים המבצעים תורנות מחלקה בשבת או חג מהשעה 08:00 עד למחרת בבוקר בשעה 8:00, בגין התורנות הראשונה ועד הרביעית.</t>
  </si>
  <si>
    <t>שכר יום עבודה *מספר תורנוית מחלקה בחודש * פרמטר 812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</si>
  <si>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10002)+כל התוספות המשמשות לחישוב שכר יום עבודה, הכל מחולק ב 25.
(לעדכן בבדיקות אלו עוד תוספות נכנסות לשכר יום עבודה)</t>
  </si>
  <si>
    <t>מדובר בסמל מלם 5392,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</si>
  <si>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812,  812,</t>
  </si>
  <si>
    <t>תורנות מיון יום חול 8-16 מנהלים תורנות  1-4</t>
  </si>
  <si>
    <t>משרד הבריאות (107) דירוג רופאים (31)  אשר מקום עבודתם בבית חולים,
 מדובר ברופאים מומחים המבצעים תורנות מיון ביום חול משעה 16:00 ועד למחרת בשעה 08:00, מתורנות ראשונה ועד תורנות רביעית.</t>
  </si>
  <si>
    <t>שכר יום עבודה *מספר תורנוית מיון בחודש * פרמטר 813
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</si>
  <si>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עבודה
תורנות ראשונה עד רביעית</t>
  </si>
  <si>
    <t>מדובר בסמל מלם 5393,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</si>
  <si>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813,  813,</t>
  </si>
  <si>
    <t>תורנות מיון יום שישי מנהלים /מומחים תורנות 1-4</t>
  </si>
  <si>
    <t>משרד הבריאות (107) דירוג רופאים (31)  אשר מקום עבודתם בבית חולים,
 מדובר ברופאים מומחים המבצעים תורנות מיון ביום בערב שבת או חג משעה 13:00 ועד למחרת בשעה 08:00, מתורנות ראשונה ועד תורנות רביעית.</t>
  </si>
  <si>
    <t>שכר יום עבודה *מספר תורנוית מיון בחודש * פרמטר 814
שכר יום עבודה= שכר משולב (סמל מלם 10002)+תוספת ותק+תוספת יוקר, הכל מחולק ב 25.
(לעדכן בבדיקות אלו עוד תוספות נכנסות לשכר יום עבודה)</t>
  </si>
  <si>
    <t>מדובר בסמל מלם 5394,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</si>
  <si>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814,  814,</t>
  </si>
  <si>
    <t>תורנות מיון שבת/חג 8-8 מנהלים /מומחים תורנות 1-4</t>
  </si>
  <si>
    <t>משרד הבריאות (107) דירוג רופאים (31)  אשר מקום עבודתם בבית חולים,
 מדובר ברופאים מומחים המבצעים תורנות מיון בשבת או חג משעה 08:00 ועד למחרת בשעה 08:00, מתורנות ראשונה ועד תורנות רביעית.</t>
  </si>
  <si>
    <t>שכר יום עבודה *מספר תורנוית מיון בחודש * פרמטר 815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</si>
  <si>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 כל הרכיבים שנכנסים לחישוב שכר יום עבודה, מחולק ב 25.
(לעדכן בבדיקות אלו עוד תוספות נכנסות לשכר יום עבודה)</t>
  </si>
  <si>
    <t>מדובר בסמל מלם 5395,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</si>
  <si>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815,  815,</t>
  </si>
  <si>
    <t>התיצבות מעל 6 שעות -רופא מנהל מחלקה-יום שישי ושבת</t>
  </si>
  <si>
    <t>מדובר בסמל מלם 5398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</si>
  <si>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רופא מומחה -יום חול</t>
  </si>
  <si>
    <t>מדובר בסמל מלם 5411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</si>
  <si>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הסכם קיבוצי מיום 25/08/2011,  שכ. 2014-63561 מיום 2014-10-05,</t>
  </si>
  <si>
    <t>התייצבות רופא מנהל שירות-יום שישי</t>
  </si>
  <si>
    <t>מדובר בסמל מלם 5418 אשר מקורו במערכת הנוכחות של משרד הבריאות (107).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</si>
  <si>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התייצבות רופא מנהל שירות- יום שבת</t>
  </si>
  <si>
    <t>מדובר בסמל מלם 5419 אשר מקורו במערכת הנוכחות של משרד הבריאות (107) ולא ממערכת המרכב"ה.
התוספות הנכנסות לחישוב שכר יום עבודה בבדיקות בתלושי שכר:
*שקלית 2012 (5422)
*מקצוע מיוחד (643)
*אקוטית 2012 (5338)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</si>
  <si>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תוספת גלובלית</t>
  </si>
  <si>
    <t>זכאות:
* רופאים מומחים בבתי חולים בדרגות 4 עד 8+ (למעט מנהלים שמקבלים כונניות על כונניות מנהל ו-11 ימי ערך).
* רופא שעבד מעל ל-10 שעות בכל חודש.</t>
  </si>
  <si>
    <t>חישוב:
A * 10 * 1.25
A = ערך שעה.
* מדובר על תשלום חודשי.</t>
  </si>
  <si>
    <t>* גם אם העובד נעדר מעבודה תשלום לו תוספת גלובלנית בגין השכר המשולם.
* התוספת כפופה לחלקיות משרה.</t>
  </si>
  <si>
    <t>חוזר הער- רפואי 2012-2-6 מיום 22-3-2012,</t>
  </si>
  <si>
    <t>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</si>
  <si>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t>
  </si>
  <si>
    <t>יסוד משולב  (10002) *17%</t>
  </si>
  <si>
    <t>משרד
דירוג
אין זכאות לסמל מלם תוספת חינוך לבריאות 2012 (5276)</t>
  </si>
  <si>
    <t>מדובר בסמל מלם 5455
תשלום הסמל מתאפשר רק אם לא משולם סמל מלם תוספת חינוך לבריאות 2012 (5276)
התוספת אינה נכללת בבסיס לחישוב תוספות אחוזיות.</t>
  </si>
  <si>
    <t>טופס פתיחת סמל 5455,  חוזר הער  2019-2-13 מיום 2019-08-20,  החלטת ועדת מעקב מיום 2019-07-29,  זכרון דברים מיום 1983-07-05,  הסכם קיבוצי מיום 1979-12-04,</t>
  </si>
  <si>
    <t>ליושב ראש הכנסת, ראש האופוזיציה, סגני יושב ראש הכנסת, יושבי ראש ועדות הכנסת וחברי כנסת (כל אלו בדירוג 6),
יושלמו תוספת יוקר ופיצויי התייקרות בשיעורים הנהוגים לכלל עובדי המדינה</t>
  </si>
  <si>
    <t>לשנת 2019 ולשנת 2020 תוספת יוקר היתה בסכום של: 3,408 ₪</t>
  </si>
  <si>
    <t>סטודנטים:
 1. ותק לשכר
 2.דירוג
 3.כמות שעות חודש קודם</t>
  </si>
  <si>
    <t>*רכיב 9805- ותק משולם במלם רק לדירוג: סטודנטים (71)
*מאפייני הרכיב אושרו לרכיבים 9805 בלבד!
מדובר ברכיב 9805</t>
  </si>
  <si>
    <t>תקשי"ר,  חוזר הממונה 2006-1-15,  הסכם קיבוצי מיום 15.08.2016,  חוזר ממונה 2016-1-31,  הע 2018-1-30,  הע 2018-1-22,  הע 2009-1-51,  הסכם קיבוצי מיוחד רשות מקרקעי ישראל,  עדכון שכר יסוד 2023,</t>
  </si>
  <si>
    <t>0102,</t>
  </si>
  <si>
    <t>זכאות:
יש מסמך וורד (שמצורף לאסמכתאות) ששם מקובץ כל חוקת הוותק בצורה מסודרת 
ישנם דירוגים שזכאים לתוספת ותק בעבור כל שנת שירות (חוקת הותק לא חלה על כלל הדירוגים,ישנם דירוגים שהם בחוזה שכר כולל)</t>
  </si>
  <si>
    <t>לדירוגים:
- שופטים (82), שופטי בית הדין לעבודה (85), דיינים (83), קאדים (84): 4% לכל שנה ב 5 שנים הראשונות, 1% לכל שנה החל מהשנה ה 6 עד השנה ה 35 עד בכלל
- מנהלי (01) כל שנת וותק עלייה של 1% עד שנת 37.
- מח"ר (11) משנת וותק 1-30 עלייה של 1% מ31-40 0.75%. 
- מהנדסים (12) משנת וותק 1-30 1%, מ31-40 0.75%.
- הנדסאים וטכנאים (13) משנת וותק 1-30 1%, 31-40 0.75%.
- שירות המשפטי (21) משנת וותק 1-35, 1%, משנת 35-40 0.75%.
- עובדים סוציאליים (24) משנת וותק 1-5 7%, 6-11 2%, 12-35 1%, 36-40 0.5%
- סטודנטים: חישוב ותק לסטודנטים -  (דירוג 71, הזכאות גם לסטודנט לומד וגם לסטודנט תואר שני):
החישוב נעשה תמיד רטרו בגין חודש אחד אחורה
חישוב : A*B
A= כמות שעות חודש קודם, לפי חמוטל מהממונה על השכר, במלם לוקחים את שכר היסוד של העובד ומחלקים בערך מינימום לשעה
B= ותק שירות*פרמטר 0102 או 0.6 ₪ הנמוך מבינהם (רכיב שכר 9805 במלמ) (פרמטר 0102 מפורט בדאטה מודל של דניאלה)
דירוג חניכים (52): ערך שעה* כמות שעות שעשה
עובדי משרד החוץ שליחים- 91,92, 437
זכאות:
עובד משרד החוץ שהצטרף לשליחות מחוץ לישראל (אית"ן + חוזים מיוחדים).
חישוב:
A * B * 0.32%
A= שכר בסיסי
B= מספר שנות ותק (מפורט בתיאור נוסחה).</t>
  </si>
  <si>
    <t>דירוג 90- ממתין להנחייה מטיפול מטה שכר
דירוג 525 אזרח ותיק-לא זכאי
עובדי משרד החוץ שליחים (91,92,437):
1. הותק המקסימלי שניתן יהיה לצבור הוא 40 שנה לפי הדירוג אליו השתייך העובד כדלקמן (בתלוש צל):
מנהלי- 37 שנה.
מהנדסים / מח"ר / טכנאים- 40 שנה.
משפטנים 40 שנה.
רופאים- 35 שנה.
2. הותק הקובע לחישוב הוא מספר שנות ותק שהיו לעובד ערב הצטרפותו לשליחות מחוץ לארץ, עם עדכון מדי חודש ינואר בדומה לשירות המדינה.</t>
  </si>
  <si>
    <t>עובדי משרד החוץ שליחים:
עובד במשרד החוץ
שליח בחו"ל
שנות ותק ליום השליחות
שכר בסיסי</t>
  </si>
  <si>
    <t>*רכיב 566- תוספת וותק שליחים, ב-BI הסמל נקרא "תמיכת הורים" אך הכוונה לתוספת וותק.
*דירוג 43 -עובדי מחקר : בשכר המשולב (סמל מל"מ 10002) לא ניתן ביטוי לוותק של העובד, לדוגמא :בסמל מלם 10002 עובד בדירוג מחקר שהוותק שלו 30 שנה יקבל אותו שכר כמו עובד מחקר ללא וותק בכלל. 
הביטוי לוותק של העובד ניתן בסמל מל"מ 743-שכר קידום, ראה רכיב דלויט 1058.
*מאפייני הרכיב אושרו לרכיבים 9805 בלבד!
*מאחר ובדירוג מקצ"ט 62 לא רשום את האחוז נעשה חישוב ידני של האחוז.(אושר באסמכתא 3406)</t>
  </si>
  <si>
    <t>תקשי"ר,  חוזר הממונה 2006-1-15,  הסכם קיבוצי מיום 15.08.2016,  חוזר ממונה 2016-1-31,  הע  2016-1-25,  הע 2018-1-22,  חוזר שכר מיום 27-01-2019,  וותק,  חוזר נשמ מיום 2016-11-16,  הסכם קיבוצי מיוחד רשות מקרקעי ישראל,  טבלת שכר לדירוג עוזרים משפטיים דירוג 562,  שכר יסוד אחיות B.A.,  שכר יסוד אחיות דוקטור,  שכר יסוד אחיות מעשי,  שכר יסוד אחיות M.A.,  חוזר הע 32-01-2017,  חוזר שכר מיום 1-3-2020,  הסכם קיבוצי לרופאים וטרינרים (32)-2015,  הוראת ביצוע וותק לעובדים סוציאליים חדשים,  חישוב וותק עובדים סוציאליים חדשים,  עדכון שכר יסוד 2023,  תוספת ותק לדירוג מקצט 62,  פתיחת דרוג 290,  מייל אישור דרוג 290 מחליף את דרוג 90 ביחידת הפיצוח,</t>
  </si>
  <si>
    <t>שכר משולב שרים</t>
  </si>
  <si>
    <t>זכאות:
משרד- שרי ממשלה (206) ולשכת הנשיא (101)
דירוגים- שרים ח"כ וכו' (6).</t>
  </si>
  <si>
    <t>חישוב:
הסכום לראש הממשלה- פרמטר 683.
הסכום לשרי ממשלה- פרמטר 683A</t>
  </si>
  <si>
    <t>*מאפייני הרכיב אושרו לרכיב 10002.</t>
  </si>
  <si>
    <t>683,  683A,</t>
  </si>
  <si>
    <t>שכר יסוד של אזרח ותיק</t>
  </si>
  <si>
    <t>דירוג אזרח ותיק (סמל 525 במלם)
1. זכאות העסקה הינה מגיל 62 לנשים, ומגיל 67 לגברים.
2. היקף העסקה הינו שעתי ועד 120 שעות בחודש.
3. תקופת העסקה הינה עד 3 שנים ולא ניתנת להארכה.
4. אין להעסיק גמלאי שירות מדינה בתקן זה.</t>
  </si>
  <si>
    <t>1. העסקת אזרח ותיק תתבסס על שעות העבודה.
שכר שעת עבודה:
תקן מינהלי (דרגה 90 בדירוג 587) שכר לשעה בסך 30.7 ₪.
תקו מקצועי (דרגה 120 בדירוג 587) שכר לשעה בסך 41.19 ₪.</t>
  </si>
  <si>
    <t>מדובר בסמל מלם 10002 לדירוג אזרח ותיק (סמל מלם 525)
א.מדובר בתוכנית העסקה נסיונית למשך 3 שנים בה יועסקו 60 אזרחים ותיקים במסלול העסקה זה, ולאחר מכן תיבחן האפשרות להרחבת התוכנית.
ב."אזרח ותיק"- ארח/ית שעבר/ה את גיל הפרישה (להלן "העובד") כהגדרתו בסעיף 3 לחוק פרישה התשס"ד-2004, גבר גיל 67, אישה גיל 62
ג. אין מדובר בהעסקה בתקן משרד כמשמעותו בחוק שירות המדינה (מינויים)התשי"ט-1959.
ד. אופי העיסוק הינו מאפיין משרות בעלי תחלופה גבוהה, ואינו כולל משימות שהיו מוטלות על עובד מדינה בתקן קבוע במשרה מלאה.
ה. לא יאושרו עיסוקים הכוללים: סמכויות חתימה או סמכויות סטטוריות, ניהול עובדים/תקציבים/פרוייקטים, מטלות זהות לאלו המוטלות על עובד מדינה ללא החנה ביניהם או יצירת מדרג.
ו. בעת אישור תיאור העיסוק הוא יסווג לאחד משני הסוגים הבאים:
1.תקן אזרח מינהלי.
2.תקן אזרח מקצועי.
ז.אין להעסיק עובדים בתקן אזרח ותיק במשרות אמון.
ח. העובד לא זכאי לגמול השתלמות.
ט. שעות נוספות משולמות בהתאם לחוק שעות עבודה ומנוחה התשי"א-1951 ולפרק 27.2 בתקשי"ר.
י. תוספת משמרות במקרה שאושרה, משולמת בהתאם להוראות סע' 27.62 בתקשי"ר.
יא. תשלום בגין עבודה ביום שישי הוא 100%.
יב. העובד זכאי לתשלום מלא עבור 9 ימי חג .
יג. תשלום חופשה כמפורט בסיף 33.12 בתקשי"ר.
יד. העובד זכאי לתשלום ימי אבל.
טו. העובד זכאי לחופשת מחלה כמפורט בסע' 33.2 בתקשי"ר.
טז. עובד זכאי לימי הצהרה בהתאם לפסקה 33.242 לתקשי"ר.
.
טז. קיימת זכאות לקצובת הבראה וביגוד בהתאם לדירוג 587.
יז. קצובת נסיעה- בהתאם להוראות וצו הרחבה בנושא, או עבור כרטיס חופשי חודש כנמוך ביניהם.
יח. קיימת לעובד זכאות ל 2 ימי בחירה בהתאם לסעיף 32.41 לתקשי"ר.
יט. החזר הוצאות אש"ל וכלכלה בהתאם לסעיף 26.2 בתקשי"ר.
כ. העובד אינו זכאי להחזר הוצאות רכב.
כא. החזר הוצאות טלפון ניד בהתאם לשיקול דעת המעסיק.
כב. העובד אינו זכאי להחזר הוצאות בגין תשלום לאגודות
*מאפייני הרכיב אושרו לרכיב 10002.</t>
  </si>
  <si>
    <t>חוזר נשמ מיום 2016-11-16,  חוק גיל פרישה תשסד-2004,</t>
  </si>
  <si>
    <t>שכר יסוד של מלגאים (דירוג 40)</t>
  </si>
  <si>
    <t>דירוג מילגאים (דירוג 40 במלם)</t>
  </si>
  <si>
    <t>השכר משולם בהתאם לדרגה:
א-מתמח (10) -2,084 ₪.
א-מתמח (11) -3,266 ₪.
ב-מתמח (12) 4,300 ₪.
מתמח-ק (13) - 8,764 ₪.
מילג-ה (14) - 7,272.1 ₪.
מל-מדע (15) - 12,000 ₪.
מיל-קל (16) -12,180 ₪.
מילג-ו (17) -4,822.9 ₪.
ב-מסתכ (20) -2,084 ₪.
ב-מסתכ (21) -4,300 ₪.
ב-מתמח (25)- 10,600 ₪.
קליט-ג (30) -1,792.59 ₪.
קליט-ג (31) -4,000 ₪.
קליט-ג (32) -2,500 ₪.
מילג-א (40) -640 ₪.
מילג-ב (50) -480 ₪.
מילג-ג (60) -200 ₪.
מילג-ד (70) -4,300 ₪.
מל-מדע (71) -7,000 ₪.
מל-מדע (72) -7,900 ₪.
מל-מדע (80) -3,156.61 ₪.
מל-מדע (81) -2,712.35 ₪.
מל-מדע (82) -1,713.06 ₪.
מל-מדע (83) -3,699.27 ₪.
מל-מדע (84) -2,284.08 ₪.
מל-מדע (85) -2,658.2 ₪.
מל-מדע (86) -2,380 ₪.
מל-מדע (87) -4,090 ₪.
מל-מדע (88) -4,675 ₪.
מל-מדע (89) -4062.29 ₪.
מל-מדע (90) - 3,490.56 ₪.
מל-מדע (91) -4,037 ₪.
מל-מדע (92) -4,300 ₪.
מל-מדע (93) -3,852 ₪.
מל-מדע (94) -4263 ₪.
מל-מדע (95) -4,193.99 ₪.
מל-מדע (96) - 15,886.33 ₪.
מל-מדע (97) -23,829.5 ₪.
מל-מדע (98) -23,639.19 ₪.
מל-מדע (99) 5,000 ₪.</t>
  </si>
  <si>
    <t>מדובר בדירוג שמתוקצב על ידי משרד הקליטה לצורך העסקת עובדים חדשים. 
העובד נקלט בדרגה המתאימה לסכום התקצוב שאושר לו על ידי משרד הקליטה, וכאשר אושר לו על ידי משרד הקליטה תקצוב שאין לו דרגה מקבילה בדרגות של דירוג 40, פותחים לעובד דרגה מתאימה בהתאם לסכום התקצוב שאושר.</t>
  </si>
  <si>
    <t>בטיפול מטה שכר.
אין אסמכתאות לכל הדרגות שנפתחו.
מדובר בסמל מלם 10002 לדירוג מילגאים (40)
מדובר בעובדים שהינם עולים חדשים, ומקבלים תקצוב ממשרד הקליטה, הדרגות בדירוג 40 נפתחו בהתאם לתקצוב שאושר לעובד על ידי משרד הקליטה, ובאישור נציבות שירות המדינה.
העובד מקבל אישור לתקצוב ממשרד הקליטה, ונקלט בדרגה המתאימה לסכום התקצוב שאושר לו על ידי משרד הקליטה.  
וכאשר אושר לעובד על ידי משרד הקליטה תקצוב בסכום שאין לו דרגה מקבילה בדרגות של דירוג 40, פותחים לעובד דרגה המתאימה בהתאם לסכום התקצוב שאושר.
בהשוואת טבלאות שכר יסוד משנת 2007 ו2008 (עמודים 1,2,6 לאסמכתא מספר 1068) לטבלת שכר היסוד כיום, חלק מהדרגות מתעדכנות במהלך השנים.
אין לנכות בדירוג 40 דמי חבר.
*מאפייני הרכיב אושרו לרכיב 10002.</t>
  </si>
  <si>
    <t>צילום מסך ממלם, שכר יסוד מלגאים דירוג 40,  דירוג מלגאים (40),  מסמכים לפתיחת דרגות בדירוג מלגאים (40),</t>
  </si>
  <si>
    <t>שכר יסוד של סוקרים</t>
  </si>
  <si>
    <t>זכאות:
במשרד: הלשכה המרכזית לססטיסטיקה
דירוגים: סוקרים (584)</t>
  </si>
  <si>
    <t>מחולק לפי רמות של דרגות לדירוג סוקרים 584:
דרגה 36 (170) "סוקר טלפון"- ערך שעה 33.2 ₪
דרגה 36א (175) "סוקר טלפון ותיק"- ערך שעה 34.52 ₪
דרגה 37 (180) "סוקר עסקים שטח בוקר"- ערך שעה 33.98 ₪
דרגה 37א (185) "סוקר טלפון שטח בוקר ותיק"- ערך שעה 35.33 ₪
דרגה 38 (190) "סוקר משפחות שטח ערב"- ערך שעה 34.29 ש"ח
דרגה 38א (195) "סוקר משפחות שטח ערב ותיק"- ערך שעה 36.34 ש"ח 
זכאות לדרגה ברמת שכר א של סוקר ותיק בשלוש הדרגות הנ"ל, תינתן על פי התנאים:
1. שלוש שנות ותק בעבודה במרכז לאיסוף נתונים
2. שהייה של שנתיים בחוזה 584 ובכפוף להמלצת הממונה
סוקר תמיד יחל את עבודתו בלמס בדרגה נמוכה</t>
  </si>
  <si>
    <t>טבלה של שכר ערך שעה סוקרים דירוג 584,</t>
  </si>
  <si>
    <t>שכר של גמלאי חברי כנסת</t>
  </si>
  <si>
    <t>בפועל מה שקורה:
טובי ממשרד הכנסת עושה את כל חישובי התקופה באקסל שלה וככה מגיעה למספר חודשי כהונה בכנסת שלהם זכאי החבר כנסת לשעבר, ומזינה את הסכום במערכת</t>
  </si>
  <si>
    <t>קיים בדלויט ללא קוד - שורה 277</t>
  </si>
  <si>
    <t>השתתפות חד פעמית במכינה אוניברסיטאית</t>
  </si>
  <si>
    <t>* לא נמצא סמל מלמ לשיוך.
* שליח ו/או ילדו שחזרו לארץ לפני תום תקופת השירות המינימלית לא יהיו זכאים להשתתפות בהוצאות בגין מכינה אוניברסיטאית.
* שליח שניצל את זכאותו להשתתפות בהוצאות בגין מבחני I.B או A.P או להשלמת לימודים באופן פרטי או בהוצאות בגין לימודים בקולג' בזמן שהותו בחו"ל עבור ילדו. אינו זכאי להשתתפות המשרד בהוצאות בכין מכינה אוניברסיטאית.
* שליח שניצל את זכאותו למענק חד פעמי עבור שיערי עזר לילדיו תקוזז השתתפות המשרד בגין מכינה אוניברסיטאית עבור ילדו.</t>
  </si>
  <si>
    <t>סכום השתתפות בגין מכינה אוניברסטאית,  השתתפות חד פעמית במכינה אוניברסטאית,</t>
  </si>
  <si>
    <t>קיים בדלויט ללא קוד - שורה 296</t>
  </si>
  <si>
    <t>החזר הוצאות טלפון נייד</t>
  </si>
  <si>
    <t>מכסת שימוש בשקלים לא כולל מע"מ לפי אוכלוסיית יעד:
א. 10,000 ₪ בלתי מוגבלת.
בעלי תפקידים שלהלן:
1.	דובר, קב"ט - אחד בלבד בכל משרד.
2.	עוזרי שר או יועצי שר, 3 לכל היותר בכל משרד ובהתאם לשיקול דעתו של השר.
3.	עוזר שר בלי תיק/עוזרי סגן שר או יועצי סגן שר - עוזר/יועץ אחד לכל היותר.
ב. 350 ₪: 	קיימת אפשרות להקצות מכסת השתתפות זו עד ל - 5 נושאי תפקיד בכל משרד - באישור סמנכ"ל. 
ג. 185 ₪: 	מנהלי תחומים וממונים, שעבודתם מצריכה שימוש ברמה זו, על פי הקריטריונים שקבע המשרד.
ד. 125 ₪: 	עובדים שעבודתם מצריכה שימוש ברמה זו, על פי הקריטריונים שקבע המשרד. 
ה. 75 ₪: 	עובדים שעבודתם מצריכה שימוש ברמה זו, על פי הקריטריונים שקבע המשרד. 
ו. 50 ₪: 	עובדים שעבודתם מצריכה שימוש ברמה זו, על פי הקריטריונים שקבע המשרד. 
ז. 43 ₪: השתתפות המשרד בתשלום הקבוע עבור שימוש בכרטיס SIM ONLY תכנית "ללא הגבלה "הכוללת חבילת גלישה בנפח 45/25 ג'יגה + השתתפות בשירות תיקונים למכשיר סלולאר.
ח. 32 ₪ / 25 ₪: השתתפות המשרד בתשלום הקבוע עבור שימוש בכרטיס SIM ONLY תכנית "ללא הגבלה" הכוללת חבילת גלישה בנפח 25 ג'יגה בלבד.
ט. 5 ₪ / 10 ₪: מכסה זו מיועדת לצרכים מיוחדים כדוגמת בתי חולים, באישור עורך המכרז.
י. 0 ₪: מכסה זו תינתן לתקופה זמנית מוגדרת מראש לעובדים העומדים בקריטריונים הבאים:
•	עובדים היוצאים לחופשה ללא תשלום בארץ.
•	עובדים בתקופת השעיה.
•	עובדים אשר יוצאים לשליחות ומבקשים לשמור על מספר המנוי.
•	עובדים אשר האריכו חופשת לידה רשאים לצאת עם המכשיר לרבות מכשיר ליסינג.</t>
  </si>
  <si>
    <t>השתתפות בעלות טלפון סלולרי לעובדי איתן,  תהליך קבלת מכשיר סלולרי מכשיר לעובדי המדינה,  סגירת סמל 4501,</t>
  </si>
  <si>
    <t>קיים בדלויט ללא קוד - שורה 530</t>
  </si>
  <si>
    <t>ספרות משפטן</t>
  </si>
  <si>
    <t>קיים בדלויט ללא קוד - שורה 544</t>
  </si>
  <si>
    <t>תוספת מבקר המדינה</t>
  </si>
  <si>
    <t>מדובר בסמל מלם 911</t>
  </si>
  <si>
    <t>זכרון דברים מיום 1978-12-06,</t>
  </si>
  <si>
    <t>קיים בדלויט ללא קוד - שורה 578</t>
  </si>
  <si>
    <t>תורנות אחיות חול שלא בהמשך לשעות העבודה 13-19</t>
  </si>
  <si>
    <t>מדובר בסמל מלם 1519, במשרד הבריאות (107) הסמל מגיע ממערכת הנוכחות.</t>
  </si>
  <si>
    <t>קיים בדלויט ללא קוד - שורה 586</t>
  </si>
  <si>
    <t>תוספת מנהל ומשק 2022</t>
  </si>
  <si>
    <t>עד 07/2022 הפרמטרים היו שונים ולכן פוצלו</t>
  </si>
  <si>
    <t>רכיב מלם 1063
קוד מיון כלכלי 110
תקרת סכום 450 ש"ח
מאפייני הרכיב אושרו לרכיב 1063 בלבד
הזכאות לתוספת זו הינה לעובדים בדירוג מנהלי )קוד דירוג – 1 ) ולעובדים בדירוג המח"ר )קוד  דירוג – 11 )העובדים במרכזים הרפואיים הממשלתיים לבריאות הנפש בלבד, בכפוף לדיווח ע"י היחידות ואישור נש"מ כי הם זכאים לתוספת לפי הקריטריונים הבאים –
1.10 .עובדים המועסקים בתפקידי מזכירות אשר במסגרת תפקידם עוסקים בקבלת 
מטופלים באשפוז ובמערך האמבולוטרי או במסגרת תפקידם עוסקים בביצוע פעולות 
הקשורות לקבלת מטופלים. 
2.10 .מועסקים ביחידת הכספים בתפקידי גבייה מול קופות החולים ועיקר עבודתם בגבייה 
מול קופות החולים</t>
  </si>
  <si>
    <t>מש 2022-104 מיום 2022-03-22,</t>
  </si>
  <si>
    <t>901A,  901B,  901B,</t>
  </si>
  <si>
    <t>קיים בדלויט ללא קוד - שורה 587</t>
  </si>
  <si>
    <t>תוספת בריאות הנפש 2022</t>
  </si>
  <si>
    <t>902,</t>
  </si>
  <si>
    <t>קיים בדלויט ללא קוד - שורה 588</t>
  </si>
  <si>
    <t>תוספת מנהל ומשק מטה 2022</t>
  </si>
  <si>
    <t>תוספת זו לעובדים במטה משרד הבריאות ובכלל זה היחידות המנהליות, לשכות ומחוזות, מכונים ומעבדות
רכיב 1096
סיווג התוספת - תוספת שכר
מאפייני הרכיב אושרו לרכיב  1096 בלבד!
תקרת סכום : 450</t>
  </si>
  <si>
    <t>הסכם קיבוצי מיום 2012-04-25,   מש 2022-198 מיום 01-07-2022,</t>
  </si>
  <si>
    <t>קיים בדלויט ללא קוד - שורה 590</t>
  </si>
  <si>
    <t>גמול השתלמות יחידות</t>
  </si>
  <si>
    <t>יש לשייך סמל 684 מל"מ</t>
  </si>
  <si>
    <t>קיים בדלויט ללא קוד - שורה 591</t>
  </si>
  <si>
    <t>תוספת עבודה מתוקף מינוי בחוק</t>
  </si>
  <si>
    <t>*עו"ס לחוק, המועסק במשרה חלקית באחד התפקידים המנויים בקבוצה א' או בקבוצה ב', יהיה זכאי לחלק יחסי מתוספת עבודה מתוקף מינוי לחוק בהתאם לקבוצה ולשיעור חלקיות משרתו כעו"ס לחוק.
*יובהר כי לצורך חישוב תוספת עבודה מתוקף מינוי לחוק המשולמת לעובד המועסק אצל אותו מעסיק הן כעו"ס לחוק והן במשרה נוספת של עו"ס שהיא איננה עו"ס לחוק - יחול האמור להלן:
*עובד המועסק אצל אותו מעסיק בשיעורי משרה כוללים (כולל חלק המשרה שאינה עו"ס לחוק) הנמוכים מ-50% יהיה זכאי לתוספת עבודה מתוקף מינוי בחוק בשיעור משרתו הכוללת.
*עובד המועסק אצל אותו מעסיק בשיעורי משרה כוללים של 50% ומעלה, יהיה זכאי לתוספת עבודה מתוקף מינוי בחוק בשיעור העסקתו במשרת עו"ס לחוק, ולא פחות מ-50%.</t>
  </si>
  <si>
    <t>דירוג דרגה אחוז משרה בתפקיד</t>
  </si>
  <si>
    <t>מדובר בסמל מלם 5400, טרם בוצע שיוך.
לשלוח לחנה לעלות את הטבלה לאקסס.</t>
  </si>
  <si>
    <t>הסכם קיבוצי מיום 2022-05-12,  חוזר הע 2022-1-14 מיום 2022-07-03,  הוראות יישום מיום 2022-09-15,  אישור חשכל על שימוש בטופס כאסמכתא,  טופס סמל מלם 5400 ממערכת רכיבי שכר באוצר,</t>
  </si>
  <si>
    <t>904,  905,  906,</t>
  </si>
  <si>
    <t>קיים בדלויט ללא קוד - שורה 596</t>
  </si>
  <si>
    <t>אחוז התוספת יתעדכן בהתאם לאישור על עמידה באבני  הדרך, עדכון ראשון יבוצע בתאריך 01.01.2025 בכפוף לאישור עמידה באבן הדרך.</t>
  </si>
  <si>
    <t>מדובר בסמל מלם 4220</t>
  </si>
  <si>
    <t>חוזר העמ-2022-3-12,  הסכם קיבוצי עובדי שעמ,  מייל הוראת יישום שנשלח על ידי החשכל,</t>
  </si>
  <si>
    <t>903A,</t>
  </si>
  <si>
    <t>קיים בדלויט ללא קוד - שורה 617</t>
  </si>
  <si>
    <t>תוספת קייטנות</t>
  </si>
  <si>
    <t>זכאות:
עובדי אית"ן (עובדי חו"ל).
1. השתתפות תאושר רק עבור ילדי שליחים הנלווים לשליחות המסיימים כיתות א'-ב' המשתתפים בקייטנות במקום השירות.
2. השתתפות מאושרת הינה בגין 5 שעות פעילות ביום למשך 15 ימי פעילות בלבד (סה"כ 75 שעות פעילות), המתקיימים בתחילת החופשה הנהוגה במערכת החינוך המקומית עם תום שנת הלימודים. אם הפעילות בקייטנה מתקיימת באופן רחב יותר, מבחינת מספר הימים או מבחינת מספר השעות ביום, העלות המוכרת תחושב כחלק יחסי של עלות הקייטנה לפי היחס שבין 75 שעות פעילות לבין סך שעות הפעילות הקייטנה בפועל.</t>
  </si>
  <si>
    <t>חישוב:
השתתפות המשרד תהיה באופן הבא:
1. עבור קייטנה שעלותה המוכרת עד 100$- לא תהיה השתתפות.
2. עבור קייטנה שעלותה המוכרת בין 100$-500$- המשרד ישתתף בהפרש שבין העלות המוכרת לבין 100$.
3. עבור קייטנה שעלותה המוערכת מעל 500$- המשרד ישתתף בסכום של:
א. 400$.
ב. כאשר העלות המוכרת היא בין 500$ - 1,000$: 65%.
ג. כאשר העלות המוכרת היא בין 1,000$ - 1,500$: 50%.</t>
  </si>
  <si>
    <t>השתתפות המשרד תשלום כנגד אישור רישום הילד בקייטנה וכנגד קבלות ותיעשה באמצעות תלוש השכר של העובד.</t>
  </si>
  <si>
    <t>לא נמצא רכיב מלמ התיעוד בוצע בעזרת מסמך האפיון</t>
  </si>
  <si>
    <t>החלטת ועדה לתנאי שירות חו"ל שכ. 2015-48437,  עדכון דרגות עובדי איתן בני זוג של שליחים,</t>
  </si>
  <si>
    <t>קיים בדלויט ללא קוד - שורה 620</t>
  </si>
  <si>
    <t>תוספת בסיס דיור</t>
  </si>
  <si>
    <t>זכאות:
עובדי אית"ן</t>
  </si>
  <si>
    <t>חישוב:
סכום אחיד העומד על 2,000 ₪ המשולם בכל חודש ללא תלות במקום העסקתו של העובד.</t>
  </si>
  <si>
    <t>ב-BI הרכיב נקרא "תוספת מוגדלת" אך לפי התלוש מדובר על בסיס דיור.</t>
  </si>
  <si>
    <t>מסמכי אפיון- שליחים,  עדכון דרגות עובדי איתן בני זוג של שליחים,</t>
  </si>
  <si>
    <t>קיים בדלויט ללא קוד - שורה 753</t>
  </si>
  <si>
    <t>זכאות:
עובדים המשובצים בתקן בתי חולים במחלקת פסכיאטריה / גריאטריה בדירוג מרפאים בעיסוק (49).</t>
  </si>
  <si>
    <t>חישוב:
סכום שקלי המצוין בפרמטר 694A</t>
  </si>
  <si>
    <t>קיים בדלויט ללא קוד - שורה 775</t>
  </si>
  <si>
    <t>תוספת טכנולוג רפואי</t>
  </si>
  <si>
    <t>רכיב זה מהווה תחליף לגמול השתלמות עבור דירוג זה, עובדים שקיבלו לפני 03/03/2023 גמול השתלמות, ימשיכו לקבל את שיניהם,
בנוסף, עובד אשר עבד במשרה אחרת וקיבל גמול השתלמות ו החל לעבוד לאחר 03/03/2023 כטכנולוג רפואי , עדיין זכאי לקבל את שינהם
מאפייני הרכיב אושרו לרכיב 1173 בלבד</t>
  </si>
  <si>
    <t>הוראת יישום - הסכם קיבוצי לטכנולוגים רפואיים,</t>
  </si>
  <si>
    <t>קיים בדלויט ללא קוד - שורה 815</t>
  </si>
  <si>
    <t>תמהיל דירוג הביקורת- כל עובד אשר נמצא בדירוג המנהלי (01) זכאי לתוספת ממ"ה כ- 3\2 מגובה התוספת של העובדים אשר נמצאים בדירוגים הבאים- 
	דירוג המח"ר (11)
	דירוג המשפטנים והפרקליטים 
	דירוג רואי חשבון 
	דירוג בנק ישראל</t>
  </si>
  <si>
    <t>הליכי אישור תוספת ת.מ.ה - גלוברזון,</t>
  </si>
  <si>
    <t>קיים בדלויט ללא קוד - שורה 829</t>
  </si>
  <si>
    <t>דוגמא לדייוח בהתאם לימי העסקה: 
עובד נכנס לבידוד מיום חמישי ועד ליום ראשון כולל, אופן הידווח יתבצע באמצעות סמל 4222 כמות 2 (בגין יום חמישי ובגין יום ראשון).
עובד 6 ימים- עובד נכנס לבידוד מיום חמישי ועד יום ראשון כולל, אופן הדיווח יתבצע באמצעות סמל 4222 כמות 3 (בגין יום חמישי, שישי וראשון).</t>
  </si>
  <si>
    <t>הנחיות ביצוע ימי בידוד,</t>
  </si>
  <si>
    <t>קיים בדלויט ללא קוד - שורה 900</t>
  </si>
  <si>
    <t>התייצבות שלא בכוננות שישי/שבת מעל 6 שעות +</t>
  </si>
  <si>
    <t>שכר יום עבודה:
שכר יסוד (סמל מלם 10002) + כל הרכיבים הנכנסים לחישוב שכר יום עבוד הכל מחולק ב 25.
(מפורט בהערות אילו רכיבי שכר נמצאו מבדיקת התלושים,נא לעדכן בבדיקות)</t>
  </si>
  <si>
    <t>הרכיב מגיע ממערכת הנוכחות של משרד הבריאות.
התוספות הנכנסות לחישוב שכר יום עבודה בבדיקות בתלושי שכר:
מקצוע מיוחד (643)
שקלית 2012 (5422)
אקוטית 2012 (5338)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</si>
  <si>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מש 2021-360 מיום 2021-06-16,</t>
  </si>
  <si>
    <t>קיים בדלויט ללא קוד - שורה 904</t>
  </si>
  <si>
    <t>הסכם קיבוצי מיום 2008-01-24,</t>
  </si>
  <si>
    <t>קיים בדלויט ללא קוד - שורה 905</t>
  </si>
  <si>
    <t>הסכם קיבוצי מיום 2001-12-18,</t>
  </si>
  <si>
    <t>קיים בדלויט ללא קוד - שורה 906</t>
  </si>
  <si>
    <t>מקצועות והכשרות</t>
  </si>
  <si>
    <t>הסכם קיבוצי מיום 1983-11-16,  הסכם קיבוצי מיום 1998-09-08,  הסכם קיבוצי מיום 2002-07-10,</t>
  </si>
  <si>
    <t>קיים בדלויט ללא קוד - שורה 907</t>
  </si>
  <si>
    <t>חוזר מנכל מיוחד ריכוז ההוראות בנושא גמולים,  הסכם קיבוצי 15-5-89,</t>
  </si>
  <si>
    <t>קיים בדלויט ללא קוד - שורה 908</t>
  </si>
  <si>
    <t>גמול השתלמות תואר</t>
  </si>
  <si>
    <t>קיים בדלויט ללא קוד - שורה 909</t>
  </si>
  <si>
    <t>תוספת 2023</t>
  </si>
  <si>
    <t>עובד שעתי (לא כולל סטודנט) מופיע ברכיב נפרד 8066
עובד יומי מופיע ברכיב 8067
עובדי הוראה</t>
  </si>
  <si>
    <t>חוזר הע 2023-01-19 מיום 2023-07-20,</t>
  </si>
  <si>
    <t>910,</t>
  </si>
  <si>
    <t>קיים בדלויט ללא קוד - שורה 910</t>
  </si>
  <si>
    <t>תוספת 2023 שעתי</t>
  </si>
  <si>
    <t>911,</t>
  </si>
  <si>
    <t>קיים בדלויט ללא קוד - שורה 911</t>
  </si>
  <si>
    <t>תוספת 2023 יומי</t>
  </si>
  <si>
    <t>912,  913,</t>
  </si>
  <si>
    <t>קיים בדלויט ללא קוד - שורה 912</t>
  </si>
  <si>
    <t>תוספת שקלית 2023</t>
  </si>
  <si>
    <t>מדובר בסמל מלם 5524
מאפייני הרכיב עודכנו לסמל מלם 5524</t>
  </si>
  <si>
    <t>חוזר הע 2023-1-19 מיום 2023-07-20,</t>
  </si>
  <si>
    <t>914,</t>
  </si>
  <si>
    <t>קיים בדלויט ללא קוד - שורה 913</t>
  </si>
  <si>
    <t>שקלית שע 2023</t>
  </si>
  <si>
    <t>915,</t>
  </si>
  <si>
    <t>ייחודית שע"מ</t>
  </si>
  <si>
    <t>תוספת שע"מ</t>
  </si>
  <si>
    <t>אחוז משולב</t>
  </si>
  <si>
    <t>הסכם 99</t>
  </si>
  <si>
    <t xml:space="preserve">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t>
  </si>
  <si>
    <t>הפחתה</t>
  </si>
  <si>
    <t>סה"כ</t>
  </si>
  <si>
    <t>כולם</t>
  </si>
  <si>
    <t>רשות אכיפה וגביה</t>
  </si>
  <si>
    <t>רשות התחרות</t>
  </si>
  <si>
    <t>4550/1040</t>
  </si>
  <si>
    <t>סכום מקסימום</t>
  </si>
  <si>
    <t>סכום מקסימום למשרד</t>
  </si>
  <si>
    <t>חישוב סכום 4550</t>
  </si>
  <si>
    <t>זכאות משרד</t>
  </si>
  <si>
    <t>משרד החוץ</t>
  </si>
  <si>
    <t>אחוז לחישוב</t>
  </si>
  <si>
    <t>זכאות בגיליון נתוני גימלאי</t>
  </si>
  <si>
    <t>הטמעת פריון 95</t>
  </si>
  <si>
    <t>1059 / 5216</t>
  </si>
  <si>
    <t>5340 / 1072</t>
  </si>
  <si>
    <t>גמול מינהל 105</t>
  </si>
  <si>
    <t>גמול מינהל 210</t>
  </si>
  <si>
    <t>גמול מינהל 315</t>
  </si>
  <si>
    <t>4983 / 1056</t>
  </si>
  <si>
    <t>4220 / 1774</t>
  </si>
  <si>
    <t>Sub SetAllCheckBoxes()</t>
  </si>
  <si>
    <t>    Dim cell1 As Range</t>
  </si>
  <si>
    <t>        If cell1.Value = True Then</t>
  </si>
  <si>
    <t>            cell1.Value = False</t>
  </si>
  <si>
    <t>        End If</t>
  </si>
  <si>
    <t>    Next cell1</t>
  </si>
  <si>
    <t>End Sub</t>
  </si>
  <si>
    <t>כדי ליצור כפתור "איפוס" בגליון אקסל (Excel) שמאפס תיבות סימון (checkboxes), יש לבצע את הצעדים הבאים:</t>
  </si>
  <si>
    <t>שלב 1: ודא שתיבות הסימון קיימות</t>
  </si>
  <si>
    <t>תיבות הסימון באקסל יכולות להיות משני סוגים:</t>
  </si>
  <si>
    <r>
      <t>1. מתוך לשונית "מפתחים" (Developer)</t>
    </r>
    <r>
      <rPr>
        <sz val="11"/>
        <color theme="1"/>
        <rFont val="Calibri"/>
        <family val="2"/>
        <charset val="177"/>
        <scheme val="minor"/>
      </rPr>
      <t xml:space="preserve"> — נקראות </t>
    </r>
    <r>
      <rPr>
        <b/>
        <sz val="11"/>
        <color theme="1"/>
        <rFont val="Calibri"/>
        <family val="2"/>
        <charset val="177"/>
        <scheme val="minor"/>
      </rPr>
      <t>Form Controls</t>
    </r>
    <r>
      <rPr>
        <sz val="11"/>
        <color theme="1"/>
        <rFont val="Calibri"/>
        <family val="2"/>
        <charset val="177"/>
        <scheme val="minor"/>
      </rPr>
      <t>.</t>
    </r>
  </si>
  <si>
    <r>
      <t>2. ActiveX Controls</t>
    </r>
    <r>
      <rPr>
        <sz val="11"/>
        <color theme="1"/>
        <rFont val="Calibri"/>
        <family val="2"/>
        <charset val="177"/>
        <scheme val="minor"/>
      </rPr>
      <t xml:space="preserve"> — פחות מומלץ לרוב המשתמשים.</t>
    </r>
  </si>
  <si>
    <r>
      <t xml:space="preserve">ההוראות כאן הן עבור תיבות סימון מסוג </t>
    </r>
    <r>
      <rPr>
        <b/>
        <sz val="11"/>
        <color theme="1"/>
        <rFont val="Calibri"/>
        <family val="2"/>
        <charset val="177"/>
        <scheme val="minor"/>
      </rPr>
      <t>Form Control</t>
    </r>
    <r>
      <rPr>
        <sz val="11"/>
        <color theme="1"/>
        <rFont val="Calibri"/>
        <family val="2"/>
        <charset val="177"/>
        <scheme val="minor"/>
      </rPr>
      <t>.</t>
    </r>
  </si>
  <si>
    <t>שלב 2: הוסף לשונית "מפתחים" (אם היא לא קיימת)</t>
  </si>
  <si>
    <t>1. עבור לקובץ (File) &gt; אפשרויות (Options).</t>
  </si>
  <si>
    <t>2. בחר "התאמה אישית של רצועת הכלים" (Customize Ribbon).</t>
  </si>
  <si>
    <t>3. סמן את "מפתחים" (Developer) ולחץ על אישור.</t>
  </si>
  <si>
    <t>שלב 3: צור כפתור איפוס</t>
  </si>
  <si>
    <r>
      <t xml:space="preserve">1. עבור ללשונית </t>
    </r>
    <r>
      <rPr>
        <b/>
        <sz val="11"/>
        <color theme="1"/>
        <rFont val="Calibri"/>
        <family val="2"/>
        <charset val="177"/>
        <scheme val="minor"/>
      </rPr>
      <t>"מפתחים" (Developer)</t>
    </r>
    <r>
      <rPr>
        <sz val="11"/>
        <color theme="1"/>
        <rFont val="Calibri"/>
        <family val="2"/>
        <charset val="177"/>
        <scheme val="minor"/>
      </rPr>
      <t>.</t>
    </r>
  </si>
  <si>
    <r>
      <t xml:space="preserve">2. לחץ על </t>
    </r>
    <r>
      <rPr>
        <b/>
        <sz val="11"/>
        <color theme="1"/>
        <rFont val="Calibri"/>
        <family val="2"/>
        <charset val="177"/>
        <scheme val="minor"/>
      </rPr>
      <t>Insert</t>
    </r>
    <r>
      <rPr>
        <sz val="11"/>
        <color theme="1"/>
        <rFont val="Calibri"/>
        <family val="2"/>
        <charset val="177"/>
        <scheme val="minor"/>
      </rPr>
      <t xml:space="preserve"> &gt; תחת </t>
    </r>
    <r>
      <rPr>
        <b/>
        <sz val="11"/>
        <color theme="1"/>
        <rFont val="Calibri"/>
        <family val="2"/>
        <charset val="177"/>
        <scheme val="minor"/>
      </rPr>
      <t>Form Controls</t>
    </r>
    <r>
      <rPr>
        <sz val="11"/>
        <color theme="1"/>
        <rFont val="Calibri"/>
        <family val="2"/>
        <charset val="177"/>
        <scheme val="minor"/>
      </rPr>
      <t xml:space="preserve"> בחר בכפתור (Button).</t>
    </r>
  </si>
  <si>
    <t>3. גרור בגיליון ליצירת הכפתור.</t>
  </si>
  <si>
    <t>4. תיפתח תיבת דיאלוג לבחירת מאקרו — לחץ על "New".</t>
  </si>
  <si>
    <t>שלב 4: כתוב את הקוד לאיפוס תיבות הסימון</t>
  </si>
  <si>
    <t>בחלון שייפתח (עורך VBA), הדבק את הקוד הבא:</t>
  </si>
  <si>
    <t>vba</t>
  </si>
  <si>
    <t>CopyEdit</t>
  </si>
  <si>
    <t>Sub ResetCheckboxes()</t>
  </si>
  <si>
    <t xml:space="preserve">    Dim chkBox As CheckBox</t>
  </si>
  <si>
    <t xml:space="preserve">    For Each chkBox In ActiveSheet.CheckBoxes</t>
  </si>
  <si>
    <t xml:space="preserve">        chkBox.Value = xlOff</t>
  </si>
  <si>
    <t xml:space="preserve">    Next chkBox</t>
  </si>
  <si>
    <t>הקוד עובר על כל תיבות הסימון בגליון הפעיל ומכבה אותן (מאפס אותן).</t>
  </si>
  <si>
    <t>שלב 5: שמור וחזור לגליון</t>
  </si>
  <si>
    <r>
      <t xml:space="preserve">1. לחץ על </t>
    </r>
    <r>
      <rPr>
        <b/>
        <sz val="11"/>
        <color theme="1"/>
        <rFont val="Calibri"/>
        <family val="2"/>
        <charset val="177"/>
        <scheme val="minor"/>
      </rPr>
      <t>Ctrl + S</t>
    </r>
    <r>
      <rPr>
        <sz val="11"/>
        <color theme="1"/>
        <rFont val="Calibri"/>
        <family val="2"/>
        <charset val="177"/>
        <scheme val="minor"/>
      </rPr>
      <t xml:space="preserve"> לשמירה.</t>
    </r>
  </si>
  <si>
    <t>2. סגור את עורך ה-VBA.</t>
  </si>
  <si>
    <r>
      <t xml:space="preserve">3. הכפתור שיצרת כעת מפעיל את המאקרו </t>
    </r>
    <r>
      <rPr>
        <sz val="10"/>
        <color theme="1"/>
        <rFont val="Arial Unicode MS"/>
      </rPr>
      <t>ResetCheckboxes</t>
    </r>
    <r>
      <rPr>
        <sz val="11"/>
        <color theme="1"/>
        <rFont val="Calibri"/>
        <family val="2"/>
        <charset val="177"/>
        <scheme val="minor"/>
      </rPr>
      <t>.</t>
    </r>
  </si>
  <si>
    <t>הערות חשובות:</t>
  </si>
  <si>
    <r>
      <t>שמירת הקובץ</t>
    </r>
    <r>
      <rPr>
        <sz val="11"/>
        <color theme="1"/>
        <rFont val="Calibri"/>
        <family val="2"/>
        <charset val="177"/>
        <scheme val="minor"/>
      </rPr>
      <t xml:space="preserve">: כדי שהמאקרו יעבוד בעתיד, עליך לשמור את הקובץ כסוג </t>
    </r>
    <r>
      <rPr>
        <b/>
        <sz val="11"/>
        <color theme="1"/>
        <rFont val="Calibri"/>
        <family val="2"/>
        <charset val="177"/>
        <scheme val="minor"/>
      </rPr>
      <t>Excel Macro-Enabled Workbook</t>
    </r>
    <r>
      <rPr>
        <sz val="11"/>
        <color theme="1"/>
        <rFont val="Calibri"/>
        <family val="2"/>
        <charset val="177"/>
        <scheme val="minor"/>
      </rPr>
      <t xml:space="preserve"> (</t>
    </r>
    <r>
      <rPr>
        <sz val="10"/>
        <color theme="1"/>
        <rFont val="Arial Unicode MS"/>
      </rPr>
      <t>.xlsm</t>
    </r>
    <r>
      <rPr>
        <sz val="11"/>
        <color theme="1"/>
        <rFont val="Calibri"/>
        <family val="2"/>
        <charset val="177"/>
        <scheme val="minor"/>
      </rPr>
      <t>).</t>
    </r>
  </si>
  <si>
    <r>
      <t>אבטחה</t>
    </r>
    <r>
      <rPr>
        <sz val="11"/>
        <color theme="1"/>
        <rFont val="Calibri"/>
        <family val="2"/>
        <charset val="177"/>
        <scheme val="minor"/>
      </rPr>
      <t>: ודא שהמאקרו מאושר להפעלה כאשר פותחים את הקובץ.</t>
    </r>
  </si>
  <si>
    <t>אם תיבות הסימון מפוזרות על פני גליונות שונים – נדרש להתאים את הקוד.</t>
  </si>
  <si>
    <t>מס סמל</t>
  </si>
  <si>
    <t>רכיב שכר</t>
  </si>
  <si>
    <t>יסוד משולב</t>
  </si>
  <si>
    <t>תוס. בוררות</t>
  </si>
  <si>
    <t>ת. אחוז-יום</t>
  </si>
  <si>
    <t>שט.מיוחד ב'</t>
  </si>
  <si>
    <t>תוס. קצרנות</t>
  </si>
  <si>
    <t>%10 פקח עיר</t>
  </si>
  <si>
    <t>נכוי %6 א"ע</t>
  </si>
  <si>
    <t>השל לפג בעב</t>
  </si>
  <si>
    <t>תאונ.עבודה+</t>
  </si>
  <si>
    <t>השתכרות חיצ</t>
  </si>
  <si>
    <t>משכ.בסיסית</t>
  </si>
  <si>
    <t>'נתיב ג</t>
  </si>
  <si>
    <t>ימי חופשה</t>
  </si>
  <si>
    <t>ליווי אח"מים</t>
  </si>
  <si>
    <t>ימי חג</t>
  </si>
  <si>
    <t>תוספת שקלית 2016</t>
  </si>
  <si>
    <t>וותק סטודנט</t>
  </si>
  <si>
    <t>תוספת יישום</t>
  </si>
  <si>
    <t>ת.אחיות4202</t>
  </si>
  <si>
    <t>קצרנית רוהמ</t>
  </si>
  <si>
    <t>דרוג מנהלי</t>
  </si>
  <si>
    <t>דרוג מחר</t>
  </si>
  <si>
    <t>קוד חיל"ן</t>
  </si>
  <si>
    <t>עובד אחד שקיבל הפרשים</t>
  </si>
  <si>
    <t>רשות ההגירה והאוכלוסין</t>
  </si>
  <si>
    <t>תוספת מעונות</t>
  </si>
  <si>
    <t>סכומים במינוס - כנראה הפרשים</t>
  </si>
  <si>
    <t>מנהל לחינוך התיישבותי</t>
  </si>
  <si>
    <t>תוספת פנימיה</t>
  </si>
  <si>
    <t>המדפיס הממשלתי</t>
  </si>
  <si>
    <t>הנהלת בתי המשפט/תיירות</t>
  </si>
  <si>
    <t>תוספת אבטחה מ</t>
  </si>
  <si>
    <t>הנהלת בתי המשפט/רוה"מ/חוץ</t>
  </si>
  <si>
    <t>הנהלת בתי המשפט/רוה"מ/תמ"ס</t>
  </si>
  <si>
    <t xml:space="preserve">תוספת אבטחה </t>
  </si>
  <si>
    <t>הנהלת בתי משפט, מס הכנסה, מכס ומע"מ, רשות אוכלוסין והגירה</t>
  </si>
  <si>
    <t xml:space="preserve">מקרקעי ישראל </t>
  </si>
  <si>
    <t>שטחים מיוחד ב</t>
  </si>
  <si>
    <t>משרד המשפטים - אגף רישום</t>
  </si>
  <si>
    <t>אין במינהלי</t>
  </si>
  <si>
    <t>אישי שטחים</t>
  </si>
  <si>
    <t>קבוצה 1</t>
  </si>
  <si>
    <t>קבוצה 2</t>
  </si>
  <si>
    <t>קבוצה 3</t>
  </si>
  <si>
    <t>קבוצה 4</t>
  </si>
  <si>
    <t>קבוצה 5</t>
  </si>
  <si>
    <t>קבוצה 6</t>
  </si>
  <si>
    <t>קבוצה 7</t>
  </si>
  <si>
    <t>קבוצה 8</t>
  </si>
  <si>
    <t>קבוצה 9</t>
  </si>
  <si>
    <t xml:space="preserve"> ממונה (רכז חוליה/מפקח ארצי)</t>
  </si>
  <si>
    <t>מנהל תחום  (רכז בכיר/ העוסק בתחום המקצועי/מפקח ארצי)</t>
  </si>
  <si>
    <t>פקיד שומה/סגן פקיד שומה/מנהל מיסוי מקרקעין/סגן מנהל מיסוי מקרקעין/מנהל תחום בכיר העוסק בתחום המקצועי</t>
  </si>
  <si>
    <t>מפקח / מרכז / ראש ענף / מנהל מדור</t>
  </si>
  <si>
    <t>מרכז (מודיעין)</t>
  </si>
  <si>
    <t>סגן מנהל תחוםנ/נמפקח מס הכנסה בכיר / מפקח שומת מקרקעין בכיר</t>
  </si>
  <si>
    <t>ממונה ניהול ספרים במשרדי שומה בלבד</t>
  </si>
  <si>
    <t>מנהל תחום ניהול ספרים במשרדי שומה בלבד</t>
  </si>
  <si>
    <t>מס הכנסה, מכס ומע"מ, רשות אוכלוסין</t>
  </si>
  <si>
    <t>אוצר, רוה"מ</t>
  </si>
  <si>
    <t>הש. מצט.מנמש</t>
  </si>
  <si>
    <t>לא פנסיוני</t>
  </si>
  <si>
    <t>נראה שזה ידני (עובד אחד במנהלי)</t>
  </si>
  <si>
    <t>לא קיים</t>
  </si>
  <si>
    <t>מס הכנסה/מכס ומע"מ/בטל"א</t>
  </si>
  <si>
    <t>עובד אחד ?</t>
  </si>
  <si>
    <t>1040 / 4550</t>
  </si>
  <si>
    <t>1056 / 4983</t>
  </si>
  <si>
    <t>לא בטוח שפנסיוני</t>
  </si>
  <si>
    <t>לא נראה פנסיוני</t>
  </si>
  <si>
    <t>תוספת ענ"א 16.2%</t>
  </si>
  <si>
    <t>הנהלת בתי המשפט/משרד המשפטים</t>
  </si>
  <si>
    <t>נתיב</t>
  </si>
  <si>
    <t>ת.ש. מקרקעין</t>
  </si>
  <si>
    <t>משרד המשפטים</t>
  </si>
  <si>
    <t>הפרשים במינוס</t>
  </si>
  <si>
    <t>תוספת שכר (22%)</t>
  </si>
  <si>
    <t>ענ"א 8%</t>
  </si>
  <si>
    <t>105 / 798</t>
  </si>
  <si>
    <t>ליווי אחמ"ים</t>
  </si>
  <si>
    <t>חוץ</t>
  </si>
  <si>
    <t>2 עובדים עם סכום שלילי</t>
  </si>
  <si>
    <t>ביטחון פנים</t>
  </si>
  <si>
    <t>2 עובדים , משרד החוץ</t>
  </si>
  <si>
    <t>מינהל לחינוך התיישבותי</t>
  </si>
  <si>
    <t>תוספת שכר מינימום (1699) = סכום בסיסי פחות רכיבי שכר הנכללים בחישוב.</t>
  </si>
  <si>
    <t xml:space="preserve">השלמת שכר מינימום (5260) = </t>
  </si>
  <si>
    <t>אגף לחינוך התיישבותי</t>
  </si>
  <si>
    <t>רוה"מ</t>
  </si>
  <si>
    <t>מדווח ידני</t>
  </si>
  <si>
    <t>תוס.קצרנות</t>
  </si>
  <si>
    <t>עובדת אחת - רוהמ</t>
  </si>
  <si>
    <t>2 עובדים בתמ"ס</t>
  </si>
  <si>
    <t>עובד אחד במשרד הרווחה</t>
  </si>
  <si>
    <t>1054 / 4934</t>
  </si>
  <si>
    <t>5401 / 1077</t>
  </si>
  <si>
    <t>תוספת בתי משפט 22%</t>
  </si>
  <si>
    <t>תוספת בתי משפט 18.78%</t>
  </si>
  <si>
    <t>תוספת בתי משפט 16.5%</t>
  </si>
  <si>
    <t>תוספת בתי משפט 12.75%</t>
  </si>
  <si>
    <t>עדכון מאפייני הרכיב תקף לרכיב מלמ 875 בלבד!! 
4624-הסכם שכר 99. נכנס לבסיס החישוב
1.	משרד 116 – משרד המשפטים
1.1.	כברירת מחדל שיעור התוספת נקבע בהתאם לדירוג כלהלן:
סמל דירוג	שם דירוג	% התוספת
1	מנהלי	16.50%
11	מח"ר	12.75%
12	מהנדסים	14.50ֵ%
13	הנדסאים/טכנאים	12.75%
1.2.	ללא קשר לדירוג באגפים 2221, 2421, 2601 – 2810 שיעוד התוספת הינו 22%.
1.3.	באגף 1921 תוספת זו משולמת לדירוג 11 – מח"ר בלבד!
1.4.	באגפים 1015, 3004, 3014 בלבד בדירוג 12 – מהנדסים בלבד, שיעור התוספת 12.75% ולא 14.50%!
1.5.	למי שמדווח סמל 4708 שיעור התוספת הינו 16.50%, למעט בדירוגים 11 ו-13, אשר מקבלים את התוספת לפי 22% ולא לפי 16.50%.
2.	משרד 126 – הנהלת בתי משפט
2.1.	בדירוג 1 – מנהלי, שיעור התוספת = 22%;
2.2.	בדירוגים 11 – מח"ר ו-13 – הנדסאים/טכנאים, שיעור התוספת = 18.78%.
2.3.	בדירוג 12 – מהנדסים, בכלל אין זכאות.
3.	משרד 108 – בתי הדין הרבניים
3.1.	התוספת משולמת באגף 5 ו-6 בלבד!
3.2.	דירוגים 1-מנהלי ו-11-מח"ר בלבד!
3.3.	שיעור התוספת = 22%.</t>
  </si>
  <si>
    <t>הנהלת בתי המשפט' משרד המשפטים, משרד הדתות</t>
  </si>
  <si>
    <t>מס הכנסה, מכס ומע"מ, רשות אוכלוסין ועוד</t>
  </si>
  <si>
    <t>מכס ומע"מ, מנהל המחקר החקלאי</t>
  </si>
  <si>
    <t>נראה שזה ידני (4 עובדים במנהלי + 1 מח"ר)</t>
  </si>
  <si>
    <t>מנח"ש 10%</t>
  </si>
  <si>
    <t>עובד אחד</t>
  </si>
  <si>
    <t>משרד לביטחון פנים</t>
  </si>
  <si>
    <t>ת.הש.שקל</t>
  </si>
  <si>
    <t>פיצוי אבדן משמרת</t>
  </si>
  <si>
    <t>עובד אחד מנהלי ואחד מח"ר</t>
  </si>
  <si>
    <t>ניכוי 6%  מאמהות מפנסיוני + הוצ רכב קבועות</t>
  </si>
  <si>
    <t>תגמ. מילואים</t>
  </si>
  <si>
    <t>מ'מ' שלט מ'</t>
  </si>
  <si>
    <t>עובד אחד מח"ר 52.44 ₪</t>
  </si>
  <si>
    <t>גמול. השת. תואר</t>
  </si>
  <si>
    <t>עובד אחד מח"ר 458.82 ₪</t>
  </si>
  <si>
    <t>משרד הרווחה (אותו עובד עם סמל 1957)</t>
  </si>
  <si>
    <t>עובד 1 במנהלי ו- 1 במח"ר</t>
  </si>
  <si>
    <t>סכומים שליליים 2 במנהלי ו- 5 במח"ר</t>
  </si>
  <si>
    <t>הזנה ידנית? גם במינהלי וגם במח"ר</t>
  </si>
  <si>
    <t>מס כוננויות*ערך שעה* 5.33</t>
  </si>
  <si>
    <t>לא תקין - בשלב זה הזנה ידנית</t>
  </si>
  <si>
    <t>גמול ב עד דרגה 40+</t>
  </si>
  <si>
    <t>גמול ב מדרגה 44</t>
  </si>
  <si>
    <t>פו"מ (נתיב דור ותיק)</t>
  </si>
  <si>
    <t>פו"מ נתיב דור ותיק</t>
  </si>
  <si>
    <t>פו"מ</t>
  </si>
  <si>
    <t>דור מעבר</t>
  </si>
  <si>
    <t>שירות</t>
  </si>
  <si>
    <t>נתיב א</t>
  </si>
  <si>
    <t>מספר</t>
  </si>
  <si>
    <t>נתיב א (דור ותיק)</t>
  </si>
  <si>
    <t>תוספת שרות</t>
  </si>
  <si>
    <t>נתיב ב (דור ותיק)</t>
  </si>
  <si>
    <t>תוספת שרות (דור ותיק)</t>
  </si>
  <si>
    <t>לשכת הקשר נתיב</t>
  </si>
  <si>
    <t>משרדים לא זכאים</t>
  </si>
  <si>
    <t>תוספת חומ"ס</t>
  </si>
  <si>
    <t>תוספת השלמה שקלית</t>
  </si>
  <si>
    <t>מ'מ' שלט' מק</t>
  </si>
  <si>
    <t>תוספת בטפ</t>
  </si>
  <si>
    <t>דריכות בית חולים (798)</t>
  </si>
  <si>
    <t>טיסה פעילה (606 + 607)</t>
  </si>
  <si>
    <t>תוספת מיוחדת 6% (642)</t>
  </si>
  <si>
    <t>תוספת איזון (628)</t>
  </si>
  <si>
    <t>תוספת פנימית (681)</t>
  </si>
  <si>
    <t>תוספת מיוחדת 7.5% (697)</t>
  </si>
  <si>
    <t>תוספת מקצועית מיסים (705)</t>
  </si>
  <si>
    <t>תוספת מינהל משרד הבריאות (736)</t>
  </si>
  <si>
    <t>בוררות מיסים (741)</t>
  </si>
  <si>
    <t>אחוז ממשולב (756)</t>
  </si>
  <si>
    <t>תוספת אחוזית לאגף רישום מקרקעין (858)</t>
  </si>
  <si>
    <t>תוספת בית משפט (875)</t>
  </si>
  <si>
    <t>תוספת 7.5% בלמ"ס (920)</t>
  </si>
  <si>
    <t>תוספת כפיים (1648) (4447) (1615) (1617)</t>
  </si>
  <si>
    <t>תוספת כבאות סמל (1619)</t>
  </si>
  <si>
    <t>תוספת 10% (1667)</t>
  </si>
  <si>
    <t>תוספת מטרדים (1964)</t>
  </si>
  <si>
    <t>תוספת שומת מקרקעין (4406)</t>
  </si>
  <si>
    <t>תוספת שכר במשרד החקלאות (4651)</t>
  </si>
  <si>
    <t>תוספת שכר במשרד רוה"מ (4687)</t>
  </si>
  <si>
    <t>תוספת 13.6% (5279)</t>
  </si>
  <si>
    <t>נתיב ג' (4374)</t>
  </si>
  <si>
    <t>שקלית תואר שני</t>
  </si>
  <si>
    <t>3 עובדים סכומים שונית. ידני?</t>
  </si>
  <si>
    <t>647 / 667</t>
  </si>
  <si>
    <t>דרגה מקסימלית לקבלת הסכם 99</t>
  </si>
  <si>
    <t>קוד דירוג</t>
  </si>
  <si>
    <t>קוד דרגה מקסימלית</t>
  </si>
  <si>
    <t>קוד דרוג דרגה מקסימלית</t>
  </si>
  <si>
    <t>דרגה מקסימלית</t>
  </si>
  <si>
    <t>לפני חישוב השלמת שכר</t>
  </si>
  <si>
    <t>כולל חישוב השלמת שכר</t>
  </si>
  <si>
    <t>הנהלת בתי המשפט / משרד המשפטים</t>
  </si>
  <si>
    <t>מס הכנסה, מכס ומע"מ</t>
  </si>
  <si>
    <t>הטמעט פריון 95</t>
  </si>
  <si>
    <t>תוס שקלית</t>
  </si>
  <si>
    <t>יחודית שע"מ</t>
  </si>
  <si>
    <t>תוס' מבקר חשב</t>
  </si>
  <si>
    <t>חוקר</t>
  </si>
  <si>
    <t>הש.מצט. מנמ"ש</t>
  </si>
  <si>
    <t>משרד הרווחה, רווחה/זרוע עבודה,תעשיה</t>
  </si>
  <si>
    <t>הנהלת בתי המשפט, משרד המשפטים, משרד הדתות</t>
  </si>
  <si>
    <t>משרד החקלאות, מנהל המחקר החקלאי</t>
  </si>
  <si>
    <t>התחלת התוספת</t>
  </si>
  <si>
    <t>משרד החקלאות, מנהל המחקר החקלאי, מכס ומע"מ, חוץ</t>
  </si>
  <si>
    <t>7.5%/8%/15%</t>
  </si>
  <si>
    <t>נהג מלווה</t>
  </si>
  <si>
    <t>הנהלת בתי המשפט/תיירות/רוה"מ</t>
  </si>
  <si>
    <t>מס הכנסה, רווחה</t>
  </si>
  <si>
    <t>הלמ"ס</t>
  </si>
  <si>
    <t>תוספת קצרנות</t>
  </si>
  <si>
    <t>כולם/מדווח ידנית</t>
  </si>
  <si>
    <t>משרד החקלאות</t>
  </si>
  <si>
    <t xml:space="preserve">תוספת שכר </t>
  </si>
  <si>
    <t>רוה"מ, בט"פ</t>
  </si>
  <si>
    <t>הנהלת בתי משפט, מס הכנסה, מכס ומע"מ, רשות אוכלוסין והגירה,תיירות</t>
  </si>
  <si>
    <t>אחוז ממשולב (מוסמך 20%)</t>
  </si>
  <si>
    <t xml:space="preserve">משרד המשפטים - אגף רישום </t>
  </si>
  <si>
    <t>אחוז ממשולב (לא מוסמך 15%)</t>
  </si>
  <si>
    <t>משרד הרווחה, חינוך</t>
  </si>
  <si>
    <t>ידני</t>
  </si>
  <si>
    <t>משפטים</t>
  </si>
  <si>
    <t>12.75%,16.5%,27%</t>
  </si>
  <si>
    <t>משרד הרווחה, בריאות</t>
  </si>
  <si>
    <t>ת.קרימינולוג קליני</t>
  </si>
  <si>
    <t>משרד הבריאות</t>
  </si>
  <si>
    <t>ת. קרימינולוג קליני</t>
  </si>
  <si>
    <t>תוס' מנמ"ש מטה 2022</t>
  </si>
  <si>
    <t>תוס מנמ"ש מטה 2022</t>
  </si>
  <si>
    <t>משרדים עם תוספת מוקטנת</t>
  </si>
  <si>
    <t>תוספת מנמ"ש 2022</t>
  </si>
  <si>
    <t>תוס מנמ"ש  2022</t>
  </si>
  <si>
    <t>מנמ"ש מטה 2022</t>
  </si>
  <si>
    <t>מעונות / פנימיה</t>
  </si>
  <si>
    <t>    For Each cell1 In Range("C22:C130") ' adjust as needed</t>
  </si>
  <si>
    <t>תוספת מנהל</t>
  </si>
  <si>
    <t>עד 18 חודשים</t>
  </si>
  <si>
    <t>19 - 36 חודשים</t>
  </si>
  <si>
    <t>37+ חודשים</t>
  </si>
  <si>
    <t>קבוצת חודש</t>
  </si>
  <si>
    <t>חודש לחישוב רטרו תלוש הגמלה</t>
  </si>
  <si>
    <t>חודש חישוב חדש</t>
  </si>
  <si>
    <t>1.1.1997</t>
  </si>
  <si>
    <t>1.2.1997</t>
  </si>
  <si>
    <t>1.1.1998</t>
  </si>
  <si>
    <t>1.2.1998</t>
  </si>
  <si>
    <t>1.1.1999</t>
  </si>
  <si>
    <t>1.2.1999</t>
  </si>
  <si>
    <t>1.1.2000</t>
  </si>
  <si>
    <t>1.2.2000</t>
  </si>
  <si>
    <t>1.1.2001</t>
  </si>
  <si>
    <t>1.2.2001</t>
  </si>
  <si>
    <t>1.1.2002</t>
  </si>
  <si>
    <t>1.3.1997</t>
  </si>
  <si>
    <t>1.4.1997</t>
  </si>
  <si>
    <t>1.5.1997</t>
  </si>
  <si>
    <t>1.6.1997</t>
  </si>
  <si>
    <t>1.7.1997</t>
  </si>
  <si>
    <t>1.8.1997</t>
  </si>
  <si>
    <t>1.9.1997</t>
  </si>
  <si>
    <t>1.10.1997</t>
  </si>
  <si>
    <t>1.11.1997</t>
  </si>
  <si>
    <t>1.12.1997</t>
  </si>
  <si>
    <t>1.3.1998</t>
  </si>
  <si>
    <t>1.4.1998</t>
  </si>
  <si>
    <t>1.5.1998</t>
  </si>
  <si>
    <t>1.6.1998</t>
  </si>
  <si>
    <t>1.7.1998</t>
  </si>
  <si>
    <t>1.8.1998</t>
  </si>
  <si>
    <t>1.9.1998</t>
  </si>
  <si>
    <t>1.10.1998</t>
  </si>
  <si>
    <t>1.11.1998</t>
  </si>
  <si>
    <t>1.12.1998</t>
  </si>
  <si>
    <t>1.3.1999</t>
  </si>
  <si>
    <t>1.4.1999</t>
  </si>
  <si>
    <t>1.5.1999</t>
  </si>
  <si>
    <t>1.6.1999</t>
  </si>
  <si>
    <t>1.7.1999</t>
  </si>
  <si>
    <t>1.8.1999</t>
  </si>
  <si>
    <t>1.9.1999</t>
  </si>
  <si>
    <t>1.10.1999</t>
  </si>
  <si>
    <t>1.11.1999</t>
  </si>
  <si>
    <t>1.12.1999</t>
  </si>
  <si>
    <t>1.3.2000</t>
  </si>
  <si>
    <t>1.4.2000</t>
  </si>
  <si>
    <t>1.5.2000</t>
  </si>
  <si>
    <t>1.6.2000</t>
  </si>
  <si>
    <t>1.7.2000</t>
  </si>
  <si>
    <t>1.8.2000</t>
  </si>
  <si>
    <t>1.9.2000</t>
  </si>
  <si>
    <t>1.10.2000</t>
  </si>
  <si>
    <t>1.11.2000</t>
  </si>
  <si>
    <t>1.12.2000</t>
  </si>
  <si>
    <t>1.3.2001</t>
  </si>
  <si>
    <t>1.4.2001</t>
  </si>
  <si>
    <t>1.5.2001</t>
  </si>
  <si>
    <t>1.6.2001</t>
  </si>
  <si>
    <t>1.7.2001</t>
  </si>
  <si>
    <t>1.8.2001</t>
  </si>
  <si>
    <t>1.9.2001</t>
  </si>
  <si>
    <t>1.10.2001</t>
  </si>
  <si>
    <t>1.11.2001</t>
  </si>
  <si>
    <t>1.12.2001</t>
  </si>
  <si>
    <t>1.2.2002</t>
  </si>
  <si>
    <t>1.3.2002</t>
  </si>
  <si>
    <t>1.4.2002</t>
  </si>
  <si>
    <t>1.5.2002</t>
  </si>
  <si>
    <t>1.6.2002</t>
  </si>
  <si>
    <t>1.7.2002</t>
  </si>
  <si>
    <t>1.8.2002</t>
  </si>
  <si>
    <t>1.9.2002</t>
  </si>
  <si>
    <t>1.10.2002</t>
  </si>
  <si>
    <t>1.11.2002</t>
  </si>
  <si>
    <t>1.12.2002</t>
  </si>
  <si>
    <t>1.1.2003</t>
  </si>
  <si>
    <t>1.2.2003</t>
  </si>
  <si>
    <t>1.3.2003</t>
  </si>
  <si>
    <t>1.4.2003</t>
  </si>
  <si>
    <t>1.5.2003</t>
  </si>
  <si>
    <t>1.6.2003</t>
  </si>
  <si>
    <t>1.7.2003</t>
  </si>
  <si>
    <t>1.8.2003</t>
  </si>
  <si>
    <t>1.9.2003</t>
  </si>
  <si>
    <t>1.10.2003</t>
  </si>
  <si>
    <t>1.11.2003</t>
  </si>
  <si>
    <t>1.12.2003</t>
  </si>
  <si>
    <t>1.1.2004</t>
  </si>
  <si>
    <t>1.2.2004</t>
  </si>
  <si>
    <t>1.3.2004</t>
  </si>
  <si>
    <t>1.4.2004</t>
  </si>
  <si>
    <t>1.5.2004</t>
  </si>
  <si>
    <t>1.6.2004</t>
  </si>
  <si>
    <t>1.7.2004</t>
  </si>
  <si>
    <t>1.8.2004</t>
  </si>
  <si>
    <t>1.9.2004</t>
  </si>
  <si>
    <t>1.10.2004</t>
  </si>
  <si>
    <t>1.11.2004</t>
  </si>
  <si>
    <t>1.12.2004</t>
  </si>
  <si>
    <t>1.1.1996</t>
  </si>
  <si>
    <t>1.1.1995</t>
  </si>
  <si>
    <t>1.1.2005</t>
  </si>
  <si>
    <t>1.2.2005</t>
  </si>
  <si>
    <t>1.3.2005</t>
  </si>
  <si>
    <t>1.4.2005</t>
  </si>
  <si>
    <t>1.5.2005</t>
  </si>
  <si>
    <t>1.6.2005</t>
  </si>
  <si>
    <t>1.7.2005</t>
  </si>
  <si>
    <t>1.8.2005</t>
  </si>
  <si>
    <t>1.9.2005</t>
  </si>
  <si>
    <t>1.10.2005</t>
  </si>
  <si>
    <t>1.11.2005</t>
  </si>
  <si>
    <t>1.12.2005</t>
  </si>
  <si>
    <t>1.1.1994</t>
  </si>
  <si>
    <t>1.1.1993</t>
  </si>
  <si>
    <t>1.1.2006</t>
  </si>
  <si>
    <t>1.2.2006</t>
  </si>
  <si>
    <t>1.3.2006</t>
  </si>
  <si>
    <t>1.4.2006</t>
  </si>
  <si>
    <t>1.5.2006</t>
  </si>
  <si>
    <t>1.6.2006</t>
  </si>
  <si>
    <t>1.7.2006</t>
  </si>
  <si>
    <t>1.8.2006</t>
  </si>
  <si>
    <t>1.9.2006</t>
  </si>
  <si>
    <t>1.10.2006</t>
  </si>
  <si>
    <t>1.11.2006</t>
  </si>
  <si>
    <t>1.12.2006</t>
  </si>
  <si>
    <t>1.1.1992</t>
  </si>
  <si>
    <t>1.1.1991</t>
  </si>
  <si>
    <t>1.1.2007</t>
  </si>
  <si>
    <t>1.2.2007</t>
  </si>
  <si>
    <t>1.3.2007</t>
  </si>
  <si>
    <t>1.4.2007</t>
  </si>
  <si>
    <t>1.5.2007</t>
  </si>
  <si>
    <t>1.6.2007</t>
  </si>
  <si>
    <t>1.7.2007</t>
  </si>
  <si>
    <t>1.8.2007</t>
  </si>
  <si>
    <t>1.9.2007</t>
  </si>
  <si>
    <t>1.10.2007</t>
  </si>
  <si>
    <t>1.11.2007</t>
  </si>
  <si>
    <t>1.12.2007</t>
  </si>
  <si>
    <t>1.1.1990</t>
  </si>
  <si>
    <t>1.1.1989</t>
  </si>
  <si>
    <t>1.1.2008</t>
  </si>
  <si>
    <t>1.2.2008</t>
  </si>
  <si>
    <t>1.3.2008</t>
  </si>
  <si>
    <t>1.4.2008</t>
  </si>
  <si>
    <t>1.5.2008</t>
  </si>
  <si>
    <t>1.6.2008</t>
  </si>
  <si>
    <t>1.7.2008</t>
  </si>
  <si>
    <t>1.8.2008</t>
  </si>
  <si>
    <t>1.9.2008</t>
  </si>
  <si>
    <t>1.10.2008</t>
  </si>
  <si>
    <t>1.11.2008</t>
  </si>
  <si>
    <t>1.12.2008</t>
  </si>
  <si>
    <t>1.1.1988</t>
  </si>
  <si>
    <t>1.1.1987</t>
  </si>
  <si>
    <t>1.1.2009</t>
  </si>
  <si>
    <t>1.2.2009</t>
  </si>
  <si>
    <t>1.3.2009</t>
  </si>
  <si>
    <t>1.4.2009</t>
  </si>
  <si>
    <t>1.5.2009</t>
  </si>
  <si>
    <t>1.6.2009</t>
  </si>
  <si>
    <t>1.7.2009</t>
  </si>
  <si>
    <t>1.8.2009</t>
  </si>
  <si>
    <t>1.9.2009</t>
  </si>
  <si>
    <t>1.10.2009</t>
  </si>
  <si>
    <t>1.11.2009</t>
  </si>
  <si>
    <t>1.12.2009</t>
  </si>
  <si>
    <t>1.1.1986</t>
  </si>
  <si>
    <t>1.1.1985</t>
  </si>
  <si>
    <t>1.1.2010</t>
  </si>
  <si>
    <t>1.2.2010</t>
  </si>
  <si>
    <t>1.3.2010</t>
  </si>
  <si>
    <t>1.4.2010</t>
  </si>
  <si>
    <t>1.5.2010</t>
  </si>
  <si>
    <t>1.6.2010</t>
  </si>
  <si>
    <t>1.7.2010</t>
  </si>
  <si>
    <t>1.8.2010</t>
  </si>
  <si>
    <t>1.9.2010</t>
  </si>
  <si>
    <t>1.10.2010</t>
  </si>
  <si>
    <t>1.11.2010</t>
  </si>
  <si>
    <t>1.12.2010</t>
  </si>
  <si>
    <t>1.1.2011</t>
  </si>
  <si>
    <t>1.2.2011</t>
  </si>
  <si>
    <t>1.3.2011</t>
  </si>
  <si>
    <t>1.4.2011</t>
  </si>
  <si>
    <t>1.5.2011</t>
  </si>
  <si>
    <t>1.6.2011</t>
  </si>
  <si>
    <t>1.7.2011</t>
  </si>
  <si>
    <t>1.8.2011</t>
  </si>
  <si>
    <t>1.9.2011</t>
  </si>
  <si>
    <t>1.10.2011</t>
  </si>
  <si>
    <t>1.11.2011</t>
  </si>
  <si>
    <t>1.12.2011</t>
  </si>
  <si>
    <t>1.1.2012</t>
  </si>
  <si>
    <t>1.2.2012</t>
  </si>
  <si>
    <t>1.3.2012</t>
  </si>
  <si>
    <t>1.4.2012</t>
  </si>
  <si>
    <t>1.5.2012</t>
  </si>
  <si>
    <t>1.6.2012</t>
  </si>
  <si>
    <t>1.7.2012</t>
  </si>
  <si>
    <t>1.8.2012</t>
  </si>
  <si>
    <t>1.9.2012</t>
  </si>
  <si>
    <t>1.10.2012</t>
  </si>
  <si>
    <t>1.11.2012</t>
  </si>
  <si>
    <t>1.12.2012</t>
  </si>
  <si>
    <t>1.1.2013</t>
  </si>
  <si>
    <t>1.2.2013</t>
  </si>
  <si>
    <t>1.3.2013</t>
  </si>
  <si>
    <t>1.4.2013</t>
  </si>
  <si>
    <t>1.5.2013</t>
  </si>
  <si>
    <t>1.6.2013</t>
  </si>
  <si>
    <t>1.7.2013</t>
  </si>
  <si>
    <t>1.8.2013</t>
  </si>
  <si>
    <t>1.9.2013</t>
  </si>
  <si>
    <t>1.10.2013</t>
  </si>
  <si>
    <t>1.11.2013</t>
  </si>
  <si>
    <t>1.12.2013</t>
  </si>
  <si>
    <t>1.1.2014</t>
  </si>
  <si>
    <t>1.2.2014</t>
  </si>
  <si>
    <t>1.3.2014</t>
  </si>
  <si>
    <t>1.4.2014</t>
  </si>
  <si>
    <t>1.5.2014</t>
  </si>
  <si>
    <t>1.6.2014</t>
  </si>
  <si>
    <t>1.7.2014</t>
  </si>
  <si>
    <t>1.8.2014</t>
  </si>
  <si>
    <t>1.9.2014</t>
  </si>
  <si>
    <t>1.10.2014</t>
  </si>
  <si>
    <t>1.11.2014</t>
  </si>
  <si>
    <t>1.12.2014</t>
  </si>
  <si>
    <t>1.1.2015</t>
  </si>
  <si>
    <t>1.2.2015</t>
  </si>
  <si>
    <t>1.3.2015</t>
  </si>
  <si>
    <t>1.4.2015</t>
  </si>
  <si>
    <t>1.5.2015</t>
  </si>
  <si>
    <t>1.6.2015</t>
  </si>
  <si>
    <t>1.7.2015</t>
  </si>
  <si>
    <t>1.8.2015</t>
  </si>
  <si>
    <t>1.9.2015</t>
  </si>
  <si>
    <t>1.10.2015</t>
  </si>
  <si>
    <t>1.11.2015</t>
  </si>
  <si>
    <t>1.12.2015</t>
  </si>
  <si>
    <t>1.1.2016</t>
  </si>
  <si>
    <t>1.2.2016</t>
  </si>
  <si>
    <t>1.3.2016</t>
  </si>
  <si>
    <t>1.4.2016</t>
  </si>
  <si>
    <t>1.5.2016</t>
  </si>
  <si>
    <t>1.6.2016</t>
  </si>
  <si>
    <t>1.7.2016</t>
  </si>
  <si>
    <t>1.8.2016</t>
  </si>
  <si>
    <t>1.9.2016</t>
  </si>
  <si>
    <t>1.10.2016</t>
  </si>
  <si>
    <t>1.11.2016</t>
  </si>
  <si>
    <t>1.12.2016</t>
  </si>
  <si>
    <t>1.1.2017</t>
  </si>
  <si>
    <t>1.2.2017</t>
  </si>
  <si>
    <t>1.3.2017</t>
  </si>
  <si>
    <t>1.4.2017</t>
  </si>
  <si>
    <t>1.5.2017</t>
  </si>
  <si>
    <t>1.6.2017</t>
  </si>
  <si>
    <t>1.7.2017</t>
  </si>
  <si>
    <t>1.8.2017</t>
  </si>
  <si>
    <t>1.9.2017</t>
  </si>
  <si>
    <t>1.10.2017</t>
  </si>
  <si>
    <t>1.11.2017</t>
  </si>
  <si>
    <t>1.12.2017</t>
  </si>
  <si>
    <t>1.1.2018</t>
  </si>
  <si>
    <t>1.2.2018</t>
  </si>
  <si>
    <t>1.3.2018</t>
  </si>
  <si>
    <t>1.4.2018</t>
  </si>
  <si>
    <t>1.5.2018</t>
  </si>
  <si>
    <t>1.6.2018</t>
  </si>
  <si>
    <t>1.7.2018</t>
  </si>
  <si>
    <t>1.8.2018</t>
  </si>
  <si>
    <t>1.9.2018</t>
  </si>
  <si>
    <t>1.10.2018</t>
  </si>
  <si>
    <t>1.11.2018</t>
  </si>
  <si>
    <t>1.12.2018</t>
  </si>
  <si>
    <t>1.2.2019</t>
  </si>
  <si>
    <t>1.3.2019</t>
  </si>
  <si>
    <t>1.4.2019</t>
  </si>
  <si>
    <t>1.5.2019</t>
  </si>
  <si>
    <t>1.6.2019</t>
  </si>
  <si>
    <t>1.7.2019</t>
  </si>
  <si>
    <t>1.8.2019</t>
  </si>
  <si>
    <t>1.9.2019</t>
  </si>
  <si>
    <t>1.10.2019</t>
  </si>
  <si>
    <t>1.11.2019</t>
  </si>
  <si>
    <t>1.12.2019</t>
  </si>
  <si>
    <t>1.1.2020</t>
  </si>
  <si>
    <t>1.2.2020</t>
  </si>
  <si>
    <t>1.3.2020</t>
  </si>
  <si>
    <t>1.4.2020</t>
  </si>
  <si>
    <t>1.5.2020</t>
  </si>
  <si>
    <t>1.6.2020</t>
  </si>
  <si>
    <t>1.7.2020</t>
  </si>
  <si>
    <t>1.8.2020</t>
  </si>
  <si>
    <t>1.9.2020</t>
  </si>
  <si>
    <t>1.10.2020</t>
  </si>
  <si>
    <t>1.11.2020</t>
  </si>
  <si>
    <t>1.12.2020</t>
  </si>
  <si>
    <t>1.1.2021</t>
  </si>
  <si>
    <t>1.2.2021</t>
  </si>
  <si>
    <t>1.3.2021</t>
  </si>
  <si>
    <t>1.4.2021</t>
  </si>
  <si>
    <t>1.5.2021</t>
  </si>
  <si>
    <t>1.6.2021</t>
  </si>
  <si>
    <t>1.8.2021</t>
  </si>
  <si>
    <t>1.9.2021</t>
  </si>
  <si>
    <t>1.10.2021</t>
  </si>
  <si>
    <t>1.11.2021</t>
  </si>
  <si>
    <t>1.12.2021</t>
  </si>
  <si>
    <t>1.2.2022</t>
  </si>
  <si>
    <t>1.3.2022</t>
  </si>
  <si>
    <t>1.4.2022</t>
  </si>
  <si>
    <t>1.5.2022</t>
  </si>
  <si>
    <t>1.6.2022</t>
  </si>
  <si>
    <t>1.7.2022</t>
  </si>
  <si>
    <t>1.8.2022</t>
  </si>
  <si>
    <t>1.9.2022</t>
  </si>
  <si>
    <t>1.10.2022</t>
  </si>
  <si>
    <t>1.11.2022</t>
  </si>
  <si>
    <t>1.12.2022</t>
  </si>
  <si>
    <t>1.2.2023</t>
  </si>
  <si>
    <t>1.3.2023</t>
  </si>
  <si>
    <t>1.4.2023</t>
  </si>
  <si>
    <t>1.5.2023</t>
  </si>
  <si>
    <t>1.6.2023</t>
  </si>
  <si>
    <t>1.7.2023</t>
  </si>
  <si>
    <t>1.8.2023</t>
  </si>
  <si>
    <t>1.9.2023</t>
  </si>
  <si>
    <t>1.10.2023</t>
  </si>
  <si>
    <t>1.11.2023</t>
  </si>
  <si>
    <t>1.12.2023</t>
  </si>
  <si>
    <t>1.1.2024</t>
  </si>
  <si>
    <t>1.2.2024</t>
  </si>
  <si>
    <t>1.3.2024</t>
  </si>
  <si>
    <t>1.4.2024</t>
  </si>
  <si>
    <t>1.5.2024</t>
  </si>
  <si>
    <t>1.6.2024</t>
  </si>
  <si>
    <t>1.7.2024</t>
  </si>
  <si>
    <t>1.8.2024</t>
  </si>
  <si>
    <t>1.9.2024</t>
  </si>
  <si>
    <t>1.10.2024</t>
  </si>
  <si>
    <t>1.11.2024</t>
  </si>
  <si>
    <t>1.12.2024</t>
  </si>
  <si>
    <t>1.1.2025</t>
  </si>
  <si>
    <t>1.2.2025</t>
  </si>
  <si>
    <t>1.3.2025</t>
  </si>
  <si>
    <t>1.4.2025</t>
  </si>
  <si>
    <t>1.5.2025</t>
  </si>
  <si>
    <t>1.6.2025</t>
  </si>
  <si>
    <t>1.7.2025</t>
  </si>
  <si>
    <t>1.8.2025</t>
  </si>
  <si>
    <t>1.9.2025</t>
  </si>
  <si>
    <t>1.10.2025</t>
  </si>
  <si>
    <t>1.11.2025</t>
  </si>
  <si>
    <t>1.12.2025</t>
  </si>
  <si>
    <t>1.1.2026</t>
  </si>
  <si>
    <t>1.2.2026</t>
  </si>
  <si>
    <t>1.3.2026</t>
  </si>
  <si>
    <t>1.4.2026</t>
  </si>
  <si>
    <t>1.5.2026</t>
  </si>
  <si>
    <t>1.6.2026</t>
  </si>
  <si>
    <t>1.7.2026</t>
  </si>
  <si>
    <t>1.8.2026</t>
  </si>
  <si>
    <t>1.9.2026</t>
  </si>
  <si>
    <t>1.10.2026</t>
  </si>
  <si>
    <t>1.11.2026</t>
  </si>
  <si>
    <t>1.12.2026</t>
  </si>
  <si>
    <t>ותק</t>
  </si>
  <si>
    <t xml:space="preserve">חודש לחישוב רטרו </t>
  </si>
  <si>
    <t>Sub StartNewCheckBoxesSeries()</t>
  </si>
  <si>
    <t xml:space="preserve">    Dim ws As Worksheet</t>
  </si>
  <si>
    <t xml:space="preserve">    Dim cb As CheckBox</t>
  </si>
  <si>
    <t xml:space="preserve">    Dim i As Long</t>
  </si>
  <si>
    <t xml:space="preserve">    Dim StartRow As Long</t>
  </si>
  <si>
    <t xml:space="preserve">    Dim NumOfBoxes As Long</t>
  </si>
  <si>
    <t xml:space="preserve">    Dim LeftPos As Double, TopPos As Double, Width As Double, Height As Double</t>
  </si>
  <si>
    <t xml:space="preserve">    </t>
  </si>
  <si>
    <t xml:space="preserve">    Set ws = ActiveSheet</t>
  </si>
  <si>
    <t xml:space="preserve">    StartRow = 22          ' שורה ראשונה</t>
  </si>
  <si>
    <t xml:space="preserve">    NumOfBoxes = 100       ' כמה Checkboxes ליצור - שנה לפי הצורך</t>
  </si>
  <si>
    <t xml:space="preserve">    Width = 120            ' רוחב ה-Checkbox</t>
  </si>
  <si>
    <t xml:space="preserve">    Height = 18            ' גובה</t>
  </si>
  <si>
    <t xml:space="preserve">    Application.ScreenUpdating = False</t>
  </si>
  <si>
    <t xml:space="preserve">    ' ===== שלב 1: מחיקת כל ה-Checkboxes הקיימים =====</t>
  </si>
  <si>
    <t xml:space="preserve">    For Each cb In ws.CheckBoxes</t>
  </si>
  <si>
    <t xml:space="preserve">        cb.Delete</t>
  </si>
  <si>
    <t xml:space="preserve">    Next cb</t>
  </si>
  <si>
    <t xml:space="preserve">    ' ===== שלב 2: יצירת Checkboxes חדשים =====</t>
  </si>
  <si>
    <t xml:space="preserve">    For i = 0 To NumOfBoxes - 1</t>
  </si>
  <si>
    <t xml:space="preserve">        TopPos = ws.Rows(StartRow + i).Top + 1   ' מיקום Y לפי השורה</t>
  </si>
  <si>
    <t xml:space="preserve">        </t>
  </si>
  <si>
    <t xml:space="preserve">        Set cb = ws.CheckBoxes.Add(LeftPos, TopPos, Width, Height)</t>
  </si>
  <si>
    <t xml:space="preserve">        With cb</t>
  </si>
  <si>
    <t xml:space="preserve">            .Name = "chk_" &amp; (StartRow + i)          ' שם ברור</t>
  </si>
  <si>
    <t xml:space="preserve">            .Text = "אפשרות " &amp; (i + 1)             ' טקסט (אפשר לשנות)</t>
  </si>
  <si>
    <t xml:space="preserve">            .LinkedCell = "D" &amp; (StartRow + i)       ' קישור לתא</t>
  </si>
  <si>
    <t xml:space="preserve">            .Value = xlOff                           ' איפוס</t>
  </si>
  <si>
    <t xml:space="preserve">        End With</t>
  </si>
  <si>
    <t xml:space="preserve">    Next i</t>
  </si>
  <si>
    <t xml:space="preserve">    ' ===== שלב 3: איפוס התאים =====</t>
  </si>
  <si>
    <t xml:space="preserve">    ws.Range("D" &amp; StartRow &amp; ":D" &amp; (StartRow + NumOfBoxes - 1)).Value = False</t>
  </si>
  <si>
    <t xml:space="preserve">    Application.ScreenUpdating = True</t>
  </si>
  <si>
    <t>וותק (מחושב)</t>
  </si>
  <si>
    <t xml:space="preserve">    MsgBox "לחצנים אופסו... ניתן להתחיל"</t>
  </si>
  <si>
    <t>שם סמל</t>
  </si>
  <si>
    <t>זכאות</t>
  </si>
  <si>
    <t>משרדים זכאים</t>
  </si>
  <si>
    <t>סה"כ מרכיבי שכר שוטף</t>
  </si>
  <si>
    <t>004</t>
  </si>
  <si>
    <t>רפורמה חדשה שקלי</t>
  </si>
  <si>
    <t>רפורמה חדשה אחוז</t>
  </si>
  <si>
    <t>תוספת מנמ"ש 2022 (1063) ????</t>
  </si>
  <si>
    <t>תעריף 1</t>
  </si>
  <si>
    <t>תעריף 2</t>
  </si>
  <si>
    <t>תעריף 3</t>
  </si>
  <si>
    <t>סמל מלם</t>
  </si>
  <si>
    <t>קוד מלם</t>
  </si>
  <si>
    <t>ללא</t>
  </si>
  <si>
    <t xml:space="preserve">    LeftPos = 50           ' מיקום X (עמודה C בערך)</t>
  </si>
  <si>
    <t>8070/8072</t>
  </si>
  <si>
    <t>שקלית סטודנט תואר שני</t>
  </si>
  <si>
    <t>טעינה ופריקה</t>
  </si>
  <si>
    <t>תוספת בר"ן 2022</t>
  </si>
  <si>
    <t>תוס בר"ן 2022</t>
  </si>
  <si>
    <t>בר"ן 2022</t>
  </si>
  <si>
    <t>תוספת מנמ"ש (636)</t>
  </si>
  <si>
    <t>טכנאים והנדסאים</t>
  </si>
  <si>
    <t xml:space="preserve">תוספת מנמ"ש 2022 </t>
  </si>
  <si>
    <t>כוננות מזכירים</t>
  </si>
  <si>
    <t>טלויזיה חינוכית</t>
  </si>
  <si>
    <t>תוספת מיוחדת 6%</t>
  </si>
  <si>
    <t>דרגה מנהלי</t>
  </si>
  <si>
    <t>קוד דרגה מנהלי</t>
  </si>
  <si>
    <t>תוספת פו"מ 4319</t>
  </si>
  <si>
    <t>תוספת פומ</t>
  </si>
  <si>
    <t>תוספת שרות 4427</t>
  </si>
  <si>
    <t>ס. ניק כלים</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</si>
</sst>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4" formatCode="_(&quot;$&quot;* #,##0.00_);_(&quot;$&quot;* \(#,##0.00\);_(&quot;$&quot;* &quot;-&quot;??_);_(@_)"/>
    <numFmt numFmtId="43" formatCode="_(* #,##0.00_);_(* \(#,##0.00\);_(* &quot;-&quot;??_);_(@_)"/>
    <numFmt numFmtId="164" formatCode="_ &quot;₪&quot;\ * #,##0.00_ ;_ &quot;₪&quot;\ * \-#,##0.00_ ;_ &quot;₪&quot;\ * &quot;-&quot;??_ ;_ @_ "/>
    <numFmt numFmtId="165" formatCode="_ * #,##0.00_ ;_ * \-#,##0.00_ ;_ * &quot;-&quot;??_ ;_ @_ "/>
    <numFmt numFmtId="166" formatCode="_ &quot;₪&quot;\ * #,##0_ ;_ &quot;₪&quot;\ * \-#,##0_ ;_ &quot;₪&quot;\ * &quot;-&quot;??_ ;_ @_ "/>
    <numFmt numFmtId="167" formatCode="0.000"/>
    <numFmt numFmtId="168" formatCode="0.0%"/>
    <numFmt numFmtId="169" formatCode="0.000%"/>
    <numFmt numFmtId="170" formatCode="0.0000"/>
    <numFmt numFmtId="171" formatCode="0.00\%"/>
    <numFmt numFmtId="172" formatCode="General\%"/>
    <numFmt numFmtId="173" formatCode="#,##0.00_ ;\-#,##0.00\ "/>
    <numFmt numFmtId="174" formatCode="[$₪-40D]\ #,##0.00"/>
    <numFmt numFmtId="175" formatCode="[$₪-40D]\ #,##0"/>
    <numFmt numFmtId="176" formatCode="_ * #,##0.0_ ;_ * \-#,##0.0_ ;_ * &quot;-&quot;??_ ;_ @_ "/>
    <numFmt numFmtId="177" formatCode="_ [$₪-40D]\ * #,##0.00_ ;_ [$₪-40D]\ * \-#,##0.00_ ;_ [$₪-40D]\ * &quot;-&quot;??_ ;_ @_ "/>
    <numFmt numFmtId="178" formatCode="_ * #,##0.0000_ ;_ * \-#,##0.0000_ ;_ * &quot;-&quot;??_ ;_ @_ "/>
    <numFmt numFmtId="179" formatCode="#,##0.0"/>
    <numFmt numFmtId="180" formatCode="0.000000"/>
    <numFmt numFmtId="181" formatCode="_ * #,##0_ ;_ * \-#,##0_ ;_ * &quot;-&quot;??_ ;_ @_ "/>
    <numFmt numFmtId="182" formatCode="0.0000%"/>
    <numFmt numFmtId="183" formatCode="#,##0.000"/>
    <numFmt numFmtId="184" formatCode="0.0"/>
    <numFmt numFmtId="185" formatCode="0.00000"/>
    <numFmt numFmtId="186" formatCode="##############"/>
    <numFmt numFmtId="187" formatCode="_ * #,##0.000_ ;_ * \-#,##0.000_ ;_ * &quot;-&quot;??_ ;_ @_ "/>
    <numFmt numFmtId="188" formatCode="_(* #,##0.0000_);_(* \(#,##0.0000\);_(* &quot;-&quot;??_);_(@_)"/>
    <numFmt numFmtId="189" formatCode="_(* #,##0_);_(* \(#,##0\);_(* &quot;-&quot;??_);_(@_)"/>
  </numFmts>
  <fonts count="59">
    <font>
      <sz val="11"/>
      <color theme="1"/>
      <name val="Calibri"/>
      <family val="2"/>
      <charset val="177"/>
      <scheme val="minor"/>
    </font>
    <font>
      <sz val="11"/>
      <color theme="1"/>
      <name val="Calibri"/>
      <family val="2"/>
      <scheme val="minor"/>
    </font>
    <font>
      <sz val="11"/>
      <color theme="1"/>
      <name val="Calibri"/>
      <family val="2"/>
      <charset val="177"/>
      <scheme val="minor"/>
    </font>
    <font>
      <b/>
      <sz val="11"/>
      <color theme="1"/>
      <name val="Calibri"/>
      <family val="2"/>
      <scheme val="minor"/>
    </font>
    <font>
      <sz val="12"/>
      <name val="Arial"/>
      <family val="2"/>
      <charset val="177"/>
    </font>
    <font>
      <b/>
      <sz val="14"/>
      <name val="David"/>
      <family val="2"/>
    </font>
    <font>
      <b/>
      <u/>
      <sz val="14"/>
      <name val="David"/>
      <family val="2"/>
    </font>
    <font>
      <b/>
      <sz val="12"/>
      <name val="David Backslanted"/>
      <charset val="177"/>
    </font>
    <font>
      <b/>
      <sz val="12"/>
      <name val="Arial"/>
      <family val="2"/>
    </font>
    <font>
      <sz val="8"/>
      <name val="Arial"/>
      <family val="2"/>
    </font>
    <font>
      <sz val="12"/>
      <name val="Antique Olv (WT)"/>
      <family val="2"/>
      <charset val="177"/>
    </font>
    <font>
      <b/>
      <sz val="8"/>
      <color indexed="81"/>
      <name val="Tahoma"/>
      <family val="2"/>
    </font>
    <font>
      <u/>
      <sz val="11"/>
      <color theme="1"/>
      <name val="Calibri"/>
      <family val="2"/>
      <charset val="177"/>
      <scheme val="minor"/>
    </font>
    <font>
      <b/>
      <sz val="12"/>
      <name val="Arial"/>
      <family val="2"/>
      <charset val="177"/>
    </font>
    <font>
      <sz val="11"/>
      <color theme="1"/>
      <name val="Calibri"/>
      <family val="2"/>
      <scheme val="minor"/>
    </font>
    <font>
      <sz val="13"/>
      <color theme="1"/>
      <name val="FrankRuehl"/>
      <family val="2"/>
    </font>
    <font>
      <sz val="14"/>
      <color theme="1"/>
      <name val="FrankRuehl"/>
      <family val="2"/>
      <charset val="177"/>
    </font>
    <font>
      <sz val="18"/>
      <color theme="3"/>
      <name val="Calibri Light"/>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57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b/>
      <sz val="10"/>
      <color theme="1"/>
      <name val="Calibri"/>
      <family val="2"/>
      <scheme val="minor"/>
    </font>
    <font>
      <sz val="10"/>
      <color rgb="FF000000"/>
      <name val="Calibri"/>
      <family val="2"/>
      <scheme val="minor"/>
    </font>
    <font>
      <sz val="10"/>
      <color theme="1"/>
      <name val="Calibri"/>
      <family val="2"/>
      <scheme val="minor"/>
    </font>
    <font>
      <sz val="10"/>
      <color theme="1"/>
      <name val="Calibri"/>
      <family val="2"/>
      <charset val="177"/>
      <scheme val="minor"/>
    </font>
    <font>
      <sz val="8"/>
      <name val="Calibri"/>
      <family val="2"/>
      <charset val="177"/>
      <scheme val="minor"/>
    </font>
    <font>
      <sz val="11"/>
      <color indexed="8"/>
      <name val="Arial"/>
      <family val="2"/>
    </font>
    <font>
      <b/>
      <sz val="11"/>
      <color indexed="8"/>
      <name val="Arial"/>
      <family val="2"/>
    </font>
    <font>
      <sz val="12"/>
      <color indexed="8"/>
      <name val="Arial"/>
      <family val="2"/>
    </font>
    <font>
      <b/>
      <sz val="12"/>
      <color indexed="8"/>
      <name val="Arial"/>
      <family val="2"/>
    </font>
    <font>
      <u val="singleAccounting"/>
      <sz val="11"/>
      <color theme="1"/>
      <name val="Calibri"/>
      <family val="2"/>
      <charset val="177"/>
      <scheme val="minor"/>
    </font>
    <font>
      <sz val="10"/>
      <name val="Arial"/>
      <family val="2"/>
    </font>
    <font>
      <b/>
      <sz val="9"/>
      <color theme="1"/>
      <name val="Calibri"/>
      <family val="2"/>
      <scheme val="minor"/>
    </font>
    <font>
      <sz val="11"/>
      <color rgb="FF000000"/>
      <name val="Calibri"/>
      <family val="2"/>
    </font>
    <font>
      <sz val="10"/>
      <color rgb="FF000000"/>
      <name val="Calibri"/>
      <family val="2"/>
    </font>
    <font>
      <sz val="13"/>
      <color rgb="FF000000"/>
      <name val="FrankRuehl"/>
      <family val="2"/>
    </font>
    <font>
      <b/>
      <sz val="11"/>
      <color rgb="FF000000"/>
      <name val="Arial"/>
      <family val="1"/>
    </font>
    <font>
      <b/>
      <sz val="8"/>
      <color rgb="FF363636"/>
      <name val="Tahoma"/>
      <family val="2"/>
    </font>
    <font>
      <sz val="8"/>
      <color rgb="FF363636"/>
      <name val="Tahoma"/>
      <family val="2"/>
    </font>
    <font>
      <sz val="11"/>
      <color rgb="FF00B050"/>
      <name val="Calibri"/>
      <family val="2"/>
      <charset val="177"/>
      <scheme val="minor"/>
    </font>
    <font>
      <sz val="12"/>
      <color theme="1"/>
      <name val="Aptos"/>
      <family val="2"/>
    </font>
    <font>
      <b/>
      <sz val="13.5"/>
      <color theme="1"/>
      <name val="Calibri"/>
      <family val="2"/>
      <charset val="177"/>
      <scheme val="minor"/>
    </font>
    <font>
      <sz val="10"/>
      <color theme="1"/>
      <name val="Arial Unicode MS"/>
    </font>
    <font>
      <sz val="11"/>
      <color theme="1"/>
      <name val="Calibri"/>
      <family val="2"/>
    </font>
    <font>
      <sz val="11"/>
      <color theme="1"/>
      <name val="Calibri"/>
      <family val="2"/>
    </font>
    <font>
      <sz val="11"/>
      <color theme="1"/>
      <name val="Calibri"/>
    </font>
    <font>
      <sz val="8"/>
      <name val="Tahoma"/>
      <family val="2"/>
      <charset val="177"/>
    </font>
  </fonts>
  <fills count="59">
    <fill>
      <patternFill patternType="none"/>
    </fill>
    <fill>
      <patternFill patternType="gray125"/>
    </fill>
    <fill>
      <patternFill patternType="solid">
        <fgColor rgb="FFFFFF00"/>
        <bgColor indexed="64"/>
      </patternFill>
    </fill>
    <fill>
      <patternFill patternType="solid">
        <fgColor indexed="48"/>
        <bgColor indexed="64"/>
      </patternFill>
    </fill>
    <fill>
      <patternFill patternType="solid">
        <fgColor indexed="49"/>
        <bgColor indexed="64"/>
      </patternFill>
    </fill>
    <fill>
      <patternFill patternType="solid">
        <fgColor indexed="40"/>
        <bgColor indexed="64"/>
      </patternFill>
    </fill>
    <fill>
      <patternFill patternType="solid">
        <fgColor indexed="1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rgb="FFE4DCFF"/>
      </patternFill>
    </fill>
    <fill>
      <patternFill patternType="solid">
        <fgColor rgb="FFCC99CC"/>
      </patternFill>
    </fill>
    <fill>
      <patternFill patternType="solid">
        <fgColor rgb="FFFF0000"/>
        <bgColor indexed="64"/>
      </patternFill>
    </fill>
    <fill>
      <patternFill patternType="solid">
        <fgColor rgb="FF92D050"/>
        <bgColor indexed="64"/>
      </patternFill>
    </fill>
    <fill>
      <patternFill patternType="solid">
        <fgColor rgb="FF00FFCC"/>
        <bgColor indexed="64"/>
      </patternFill>
    </fill>
    <fill>
      <patternFill patternType="solid">
        <fgColor theme="0"/>
        <bgColor indexed="64"/>
      </patternFill>
    </fill>
    <fill>
      <patternFill patternType="solid">
        <fgColor rgb="FFFFFFFF"/>
        <bgColor indexed="64"/>
      </patternFill>
    </fill>
    <fill>
      <patternFill patternType="solid">
        <fgColor rgb="FFD6D6D6"/>
      </patternFill>
    </fill>
    <fill>
      <patternFill patternType="solid">
        <fgColor rgb="FFC6E6A2"/>
        <bgColor indexed="64"/>
      </patternFill>
    </fill>
    <fill>
      <patternFill patternType="solid">
        <fgColor theme="4" tint="0.79998168889431442"/>
        <bgColor indexed="64"/>
      </patternFill>
    </fill>
    <fill>
      <patternFill patternType="solid">
        <fgColor rgb="FFF5F5F5"/>
        <bgColor indexed="64"/>
      </patternFill>
    </fill>
    <fill>
      <patternFill patternType="solid">
        <fgColor rgb="FF00B050"/>
        <bgColor indexed="64"/>
      </patternFill>
    </fill>
    <fill>
      <patternFill patternType="solid">
        <fgColor theme="8"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9" tint="0.39997558519241921"/>
        <bgColor indexed="64"/>
      </patternFill>
    </fill>
  </fills>
  <borders count="66">
    <border>
      <left/>
      <right/>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auto="1"/>
      </right>
      <top/>
      <bottom/>
      <diagonal/>
    </border>
    <border>
      <left/>
      <right style="medium">
        <color auto="1"/>
      </right>
      <top style="thick">
        <color auto="1"/>
      </top>
      <bottom style="thick">
        <color auto="1"/>
      </bottom>
      <diagonal/>
    </border>
    <border>
      <left style="medium">
        <color auto="1"/>
      </left>
      <right/>
      <top style="thick">
        <color auto="1"/>
      </top>
      <bottom style="thick">
        <color auto="1"/>
      </bottom>
      <diagonal/>
    </border>
    <border>
      <left/>
      <right style="medium">
        <color auto="1"/>
      </right>
      <top/>
      <bottom style="thick">
        <color auto="1"/>
      </bottom>
      <diagonal/>
    </border>
    <border>
      <left style="medium">
        <color indexed="64"/>
      </left>
      <right/>
      <top/>
      <bottom style="thick">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right/>
      <top style="thick">
        <color auto="1"/>
      </top>
      <bottom/>
      <diagonal/>
    </border>
    <border>
      <left style="medium">
        <color indexed="64"/>
      </left>
      <right style="medium">
        <color indexed="64"/>
      </right>
      <top style="medium">
        <color indexed="64"/>
      </top>
      <bottom/>
      <diagonal/>
    </border>
    <border>
      <left style="thick">
        <color auto="1"/>
      </left>
      <right style="thick">
        <color auto="1"/>
      </right>
      <top style="thick">
        <color auto="1"/>
      </top>
      <bottom/>
      <diagonal/>
    </border>
    <border>
      <left style="thick">
        <color auto="1"/>
      </left>
      <right/>
      <top style="thick">
        <color auto="1"/>
      </top>
      <bottom/>
      <diagonal/>
    </border>
    <border>
      <left style="thin">
        <color auto="1"/>
      </left>
      <right style="thin">
        <color auto="1"/>
      </right>
      <top/>
      <bottom style="hair">
        <color auto="1"/>
      </bottom>
      <diagonal/>
    </border>
    <border>
      <left style="thin">
        <color rgb="FFA6A6A6"/>
      </left>
      <right style="thin">
        <color rgb="FFA6A6A6"/>
      </right>
      <top style="thin">
        <color rgb="FFA6A6A6"/>
      </top>
      <bottom style="thin">
        <color rgb="FFA6A6A6"/>
      </bottom>
      <diagonal/>
    </border>
    <border>
      <left/>
      <right style="medium">
        <color indexed="64"/>
      </right>
      <top/>
      <bottom style="medium">
        <color indexed="64"/>
      </bottom>
      <diagonal/>
    </border>
    <border>
      <left style="thin">
        <color rgb="FFDCDCDC"/>
      </left>
      <right style="thin">
        <color rgb="FFDCDCDC"/>
      </right>
      <top style="thin">
        <color rgb="FFDCDCDC"/>
      </top>
      <bottom style="thin">
        <color rgb="FFDCDCDC"/>
      </bottom>
      <diagonal/>
    </border>
    <border>
      <left style="thin">
        <color auto="1"/>
      </left>
      <right style="thin">
        <color auto="1"/>
      </right>
      <top/>
      <bottom/>
      <diagonal/>
    </border>
  </borders>
  <cellStyleXfs count="72">
    <xf numFmtId="0" fontId="0" fillId="0" borderId="0"/>
    <xf numFmtId="164"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 fillId="13" borderId="52" applyNumberFormat="0" applyFont="0" applyAlignment="0" applyProtection="0"/>
    <xf numFmtId="0" fontId="17" fillId="0" borderId="0" applyNumberFormat="0" applyFill="0" applyBorder="0" applyAlignment="0" applyProtection="0"/>
    <xf numFmtId="0" fontId="18" fillId="0" borderId="45" applyNumberFormat="0" applyFill="0" applyAlignment="0" applyProtection="0"/>
    <xf numFmtId="0" fontId="19" fillId="0" borderId="46" applyNumberFormat="0" applyFill="0" applyAlignment="0" applyProtection="0"/>
    <xf numFmtId="0" fontId="20" fillId="0" borderId="47" applyNumberFormat="0" applyFill="0" applyAlignment="0" applyProtection="0"/>
    <xf numFmtId="0" fontId="20" fillId="0" borderId="0" applyNumberFormat="0" applyFill="0" applyBorder="0" applyAlignment="0" applyProtection="0"/>
    <xf numFmtId="0" fontId="21" fillId="7" borderId="0" applyNumberFormat="0" applyBorder="0" applyAlignment="0" applyProtection="0"/>
    <xf numFmtId="0" fontId="22" fillId="8" borderId="0" applyNumberFormat="0" applyBorder="0" applyAlignment="0" applyProtection="0"/>
    <xf numFmtId="0" fontId="23" fillId="9" borderId="0" applyNumberFormat="0" applyBorder="0" applyAlignment="0" applyProtection="0"/>
    <xf numFmtId="0" fontId="24" fillId="10" borderId="48" applyNumberFormat="0" applyAlignment="0" applyProtection="0"/>
    <xf numFmtId="0" fontId="25" fillId="11" borderId="49" applyNumberFormat="0" applyAlignment="0" applyProtection="0"/>
    <xf numFmtId="0" fontId="26" fillId="11" borderId="48" applyNumberFormat="0" applyAlignment="0" applyProtection="0"/>
    <xf numFmtId="0" fontId="27" fillId="0" borderId="50" applyNumberFormat="0" applyFill="0" applyAlignment="0" applyProtection="0"/>
    <xf numFmtId="0" fontId="28" fillId="12" borderId="51" applyNumberFormat="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31" fillId="0" borderId="53" applyNumberFormat="0" applyFill="0" applyAlignment="0" applyProtection="0"/>
    <xf numFmtId="0" fontId="3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3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32" fillId="22"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32" fillId="26"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29" borderId="0" applyNumberFormat="0" applyBorder="0" applyAlignment="0" applyProtection="0"/>
    <xf numFmtId="0" fontId="32" fillId="30"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3" borderId="0" applyNumberFormat="0" applyBorder="0" applyAlignment="0" applyProtection="0"/>
    <xf numFmtId="0" fontId="32" fillId="34"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38" fillId="40" borderId="39">
      <alignment horizontal="center" vertical="center"/>
    </xf>
    <xf numFmtId="0" fontId="38" fillId="39" borderId="39">
      <alignment horizontal="center" vertical="center"/>
    </xf>
    <xf numFmtId="0" fontId="38" fillId="0" borderId="39">
      <alignment horizontal="center" vertical="center"/>
    </xf>
    <xf numFmtId="0" fontId="41" fillId="0" borderId="34">
      <alignment horizontal="center" vertical="center" wrapText="1"/>
    </xf>
    <xf numFmtId="0" fontId="38" fillId="0" borderId="58">
      <alignment horizontal="center" vertical="center"/>
    </xf>
    <xf numFmtId="0" fontId="41" fillId="0" borderId="34">
      <alignment horizontal="center" vertical="center"/>
    </xf>
    <xf numFmtId="0" fontId="40" fillId="0" borderId="34">
      <alignment horizontal="center" vertical="center" wrapText="1"/>
    </xf>
    <xf numFmtId="0" fontId="38" fillId="0" borderId="0"/>
    <xf numFmtId="0" fontId="39" fillId="0" borderId="0"/>
    <xf numFmtId="0" fontId="40" fillId="0" borderId="9">
      <alignment horizontal="center" vertical="center" wrapText="1"/>
    </xf>
    <xf numFmtId="0" fontId="43" fillId="0" borderId="0"/>
    <xf numFmtId="0" fontId="55" fillId="0" borderId="0"/>
    <xf numFmtId="9" fontId="55" fillId="0" borderId="0" applyFont="0" applyFill="0" applyBorder="0" applyAlignment="0" applyProtection="0"/>
    <xf numFmtId="9" fontId="56" fillId="0" borderId="0" applyFont="0" applyFill="0" applyBorder="0" applyAlignment="0" applyProtection="0"/>
    <xf numFmtId="0" fontId="56" fillId="0" borderId="0"/>
    <xf numFmtId="0" fontId="57" fillId="0" borderId="0"/>
    <xf numFmtId="0" fontId="55" fillId="0" borderId="0"/>
    <xf numFmtId="44" fontId="2" fillId="0" borderId="0" applyFont="0" applyFill="0" applyBorder="0" applyAlignment="0" applyProtection="0"/>
    <xf numFmtId="0" fontId="2" fillId="0" borderId="0"/>
    <xf numFmtId="164"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 fillId="13" borderId="52" applyNumberFormat="0" applyFont="0" applyAlignment="0" applyProtection="0"/>
    <xf numFmtId="0" fontId="1" fillId="0" borderId="0"/>
    <xf numFmtId="9" fontId="55" fillId="0" borderId="0" applyFont="0" applyFill="0" applyBorder="0" applyAlignment="0" applyProtection="0"/>
    <xf numFmtId="0" fontId="55" fillId="0" borderId="0"/>
    <xf numFmtId="0" fontId="55" fillId="0" borderId="0"/>
  </cellStyleXfs>
  <cellXfs count="605">
    <xf numFmtId="0" fontId="0" fillId="0" borderId="0" xfId="0"/>
    <xf numFmtId="0" fontId="0" fillId="0" borderId="0" xfId="0" applyAlignment="1">
      <alignment horizontal="right"/>
    </xf>
    <xf numFmtId="164" fontId="0" fillId="0" borderId="0" xfId="1" applyFont="1"/>
    <xf numFmtId="0" fontId="0" fillId="0" borderId="0" xfId="0" applyAlignment="1">
      <alignment wrapText="1"/>
    </xf>
    <xf numFmtId="0" fontId="0" fillId="0" borderId="0" xfId="0" applyAlignment="1">
      <alignment horizontal="right" wrapText="1"/>
    </xf>
    <xf numFmtId="9" fontId="0" fillId="0" borderId="0" xfId="0" applyNumberFormat="1"/>
    <xf numFmtId="10" fontId="0" fillId="0" borderId="0" xfId="0" applyNumberFormat="1"/>
    <xf numFmtId="167" fontId="0" fillId="0" borderId="0" xfId="0" applyNumberFormat="1"/>
    <xf numFmtId="2" fontId="0" fillId="0" borderId="0" xfId="0" applyNumberFormat="1"/>
    <xf numFmtId="0" fontId="0" fillId="0" borderId="2" xfId="0" applyBorder="1"/>
    <xf numFmtId="0" fontId="0" fillId="0" borderId="3" xfId="0" applyBorder="1"/>
    <xf numFmtId="166" fontId="0" fillId="0" borderId="0" xfId="1" applyNumberFormat="1" applyFont="1" applyBorder="1"/>
    <xf numFmtId="168" fontId="0" fillId="0" borderId="0" xfId="2" applyNumberFormat="1" applyFont="1"/>
    <xf numFmtId="169" fontId="0" fillId="0" borderId="0" xfId="0" applyNumberFormat="1"/>
    <xf numFmtId="170" fontId="0" fillId="0" borderId="0" xfId="0" applyNumberFormat="1"/>
    <xf numFmtId="1" fontId="0" fillId="0" borderId="0" xfId="0" applyNumberFormat="1"/>
    <xf numFmtId="164" fontId="0" fillId="0" borderId="0" xfId="1" applyFont="1" applyAlignment="1">
      <alignment horizontal="right"/>
    </xf>
    <xf numFmtId="9" fontId="0" fillId="0" borderId="0" xfId="0" applyNumberFormat="1" applyAlignment="1">
      <alignment horizontal="right"/>
    </xf>
    <xf numFmtId="0" fontId="3" fillId="0" borderId="0" xfId="0" applyFont="1"/>
    <xf numFmtId="0" fontId="0" fillId="2" borderId="0" xfId="0" applyFill="1"/>
    <xf numFmtId="0" fontId="4" fillId="0" borderId="9" xfId="0" applyFont="1" applyBorder="1" applyAlignment="1">
      <alignment horizontal="center"/>
    </xf>
    <xf numFmtId="168" fontId="4" fillId="0" borderId="10" xfId="0" applyNumberFormat="1" applyFont="1" applyBorder="1" applyAlignment="1">
      <alignment horizontal="center"/>
    </xf>
    <xf numFmtId="168" fontId="4" fillId="0" borderId="11" xfId="0" applyNumberFormat="1" applyFont="1" applyBorder="1" applyAlignment="1">
      <alignment horizontal="center"/>
    </xf>
    <xf numFmtId="168" fontId="4" fillId="0" borderId="12" xfId="0" applyNumberFormat="1" applyFont="1" applyBorder="1" applyAlignment="1">
      <alignment horizontal="center"/>
    </xf>
    <xf numFmtId="168" fontId="4" fillId="0" borderId="13" xfId="0" applyNumberFormat="1" applyFont="1" applyBorder="1" applyAlignment="1">
      <alignment horizontal="center"/>
    </xf>
    <xf numFmtId="168" fontId="4" fillId="0" borderId="14" xfId="0" applyNumberFormat="1" applyFont="1" applyBorder="1" applyAlignment="1">
      <alignment horizontal="center"/>
    </xf>
    <xf numFmtId="168" fontId="4" fillId="0" borderId="15" xfId="0" applyNumberFormat="1" applyFont="1" applyBorder="1" applyAlignment="1">
      <alignment horizontal="center"/>
    </xf>
    <xf numFmtId="168" fontId="4" fillId="0" borderId="16" xfId="0" applyNumberFormat="1" applyFont="1" applyBorder="1" applyAlignment="1">
      <alignment horizontal="center"/>
    </xf>
    <xf numFmtId="168" fontId="4" fillId="0" borderId="17" xfId="0" applyNumberFormat="1" applyFont="1" applyBorder="1" applyAlignment="1">
      <alignment horizontal="center"/>
    </xf>
    <xf numFmtId="168" fontId="4" fillId="0" borderId="18" xfId="0" applyNumberFormat="1" applyFont="1" applyBorder="1" applyAlignment="1">
      <alignment horizontal="center"/>
    </xf>
    <xf numFmtId="0" fontId="4" fillId="0" borderId="14" xfId="0" applyFont="1" applyBorder="1" applyAlignment="1">
      <alignment horizontal="center"/>
    </xf>
    <xf numFmtId="0" fontId="0" fillId="0" borderId="14" xfId="0" applyBorder="1" applyAlignment="1">
      <alignment horizontal="center" readingOrder="2"/>
    </xf>
    <xf numFmtId="0" fontId="5" fillId="0" borderId="0" xfId="0" applyFont="1" applyAlignment="1">
      <alignment horizontal="right" vertical="top" readingOrder="2"/>
    </xf>
    <xf numFmtId="0" fontId="7" fillId="0" borderId="0" xfId="0" applyFont="1" applyAlignment="1">
      <alignment horizontal="center" readingOrder="2"/>
    </xf>
    <xf numFmtId="0" fontId="0" fillId="0" borderId="0" xfId="0" applyAlignment="1">
      <alignment horizontal="center"/>
    </xf>
    <xf numFmtId="9" fontId="4" fillId="0" borderId="14" xfId="0" applyNumberFormat="1" applyFont="1" applyBorder="1" applyAlignment="1">
      <alignment horizontal="center"/>
    </xf>
    <xf numFmtId="9" fontId="4" fillId="0" borderId="0" xfId="0" applyNumberFormat="1" applyFont="1" applyAlignment="1">
      <alignment horizontal="center"/>
    </xf>
    <xf numFmtId="9" fontId="8" fillId="0" borderId="14" xfId="0" applyNumberFormat="1" applyFont="1" applyBorder="1" applyAlignment="1">
      <alignment horizontal="center"/>
    </xf>
    <xf numFmtId="9" fontId="8" fillId="0" borderId="0" xfId="0" applyNumberFormat="1" applyFont="1" applyAlignment="1">
      <alignment horizontal="center"/>
    </xf>
    <xf numFmtId="0" fontId="8" fillId="0" borderId="19" xfId="0" applyFont="1" applyBorder="1" applyAlignment="1">
      <alignment horizontal="center"/>
    </xf>
    <xf numFmtId="0" fontId="8" fillId="0" borderId="20" xfId="0" applyFont="1" applyBorder="1" applyAlignment="1">
      <alignment horizontal="center"/>
    </xf>
    <xf numFmtId="0" fontId="8" fillId="0" borderId="9" xfId="0" applyFont="1" applyBorder="1" applyAlignment="1">
      <alignment horizontal="center"/>
    </xf>
    <xf numFmtId="0" fontId="8" fillId="0" borderId="21" xfId="0" applyFont="1" applyBorder="1" applyAlignment="1">
      <alignment horizontal="center"/>
    </xf>
    <xf numFmtId="9" fontId="4" fillId="0" borderId="22" xfId="0" applyNumberFormat="1" applyFont="1" applyBorder="1" applyAlignment="1">
      <alignment horizontal="center"/>
    </xf>
    <xf numFmtId="9" fontId="4" fillId="0" borderId="23" xfId="0" applyNumberFormat="1" applyFont="1" applyBorder="1" applyAlignment="1">
      <alignment horizontal="center"/>
    </xf>
    <xf numFmtId="9" fontId="4" fillId="0" borderId="24" xfId="0" applyNumberFormat="1" applyFont="1" applyBorder="1" applyAlignment="1">
      <alignment horizontal="center"/>
    </xf>
    <xf numFmtId="0" fontId="8" fillId="0" borderId="13" xfId="0" applyFont="1" applyBorder="1" applyAlignment="1">
      <alignment horizontal="center"/>
    </xf>
    <xf numFmtId="9" fontId="4" fillId="0" borderId="25" xfId="0" applyNumberFormat="1" applyFont="1" applyBorder="1" applyAlignment="1">
      <alignment horizontal="center"/>
    </xf>
    <xf numFmtId="9" fontId="4" fillId="0" borderId="15" xfId="0" applyNumberFormat="1" applyFont="1" applyBorder="1" applyAlignment="1">
      <alignment horizontal="center"/>
    </xf>
    <xf numFmtId="0" fontId="9" fillId="0" borderId="0" xfId="0" applyFont="1" applyAlignment="1">
      <alignment horizontal="right"/>
    </xf>
    <xf numFmtId="0" fontId="8" fillId="0" borderId="16" xfId="0" applyFont="1" applyBorder="1" applyAlignment="1">
      <alignment horizontal="center"/>
    </xf>
    <xf numFmtId="9" fontId="4" fillId="0" borderId="26" xfId="0" applyNumberFormat="1" applyFont="1" applyBorder="1" applyAlignment="1">
      <alignment horizontal="center"/>
    </xf>
    <xf numFmtId="9" fontId="4" fillId="0" borderId="17" xfId="0" applyNumberFormat="1" applyFont="1" applyBorder="1" applyAlignment="1">
      <alignment horizontal="center"/>
    </xf>
    <xf numFmtId="9" fontId="4" fillId="0" borderId="18" xfId="0" applyNumberFormat="1" applyFont="1" applyBorder="1" applyAlignment="1">
      <alignment horizontal="center"/>
    </xf>
    <xf numFmtId="0" fontId="4" fillId="0" borderId="0" xfId="0" applyFont="1" applyAlignment="1">
      <alignment horizontal="center"/>
    </xf>
    <xf numFmtId="0" fontId="4" fillId="0" borderId="20" xfId="0" applyFont="1" applyBorder="1" applyAlignment="1">
      <alignment horizontal="center"/>
    </xf>
    <xf numFmtId="0" fontId="4" fillId="0" borderId="27" xfId="0" applyFont="1" applyBorder="1" applyAlignment="1">
      <alignment horizontal="center"/>
    </xf>
    <xf numFmtId="9" fontId="4" fillId="0" borderId="10" xfId="0" applyNumberFormat="1" applyFont="1" applyBorder="1" applyAlignment="1">
      <alignment horizontal="center"/>
    </xf>
    <xf numFmtId="9" fontId="4" fillId="0" borderId="11" xfId="0" applyNumberFormat="1" applyFont="1" applyBorder="1" applyAlignment="1">
      <alignment horizontal="center"/>
    </xf>
    <xf numFmtId="9" fontId="4" fillId="0" borderId="12" xfId="0" applyNumberFormat="1" applyFont="1" applyBorder="1" applyAlignment="1">
      <alignment horizontal="center"/>
    </xf>
    <xf numFmtId="9" fontId="4" fillId="0" borderId="13" xfId="0" applyNumberFormat="1" applyFont="1" applyBorder="1" applyAlignment="1">
      <alignment horizontal="center"/>
    </xf>
    <xf numFmtId="0" fontId="10" fillId="0" borderId="9" xfId="0" applyFont="1" applyBorder="1" applyAlignment="1">
      <alignment horizontal="center"/>
    </xf>
    <xf numFmtId="9" fontId="10" fillId="0" borderId="16" xfId="0" applyNumberFormat="1" applyFont="1" applyBorder="1" applyAlignment="1">
      <alignment horizontal="center"/>
    </xf>
    <xf numFmtId="9" fontId="10" fillId="0" borderId="17" xfId="0" applyNumberFormat="1" applyFont="1" applyBorder="1" applyAlignment="1">
      <alignment horizontal="center"/>
    </xf>
    <xf numFmtId="9" fontId="10" fillId="0" borderId="18" xfId="0" applyNumberFormat="1" applyFont="1" applyBorder="1" applyAlignment="1">
      <alignment horizontal="center"/>
    </xf>
    <xf numFmtId="0" fontId="4" fillId="0" borderId="0" xfId="0" applyFont="1" applyAlignment="1">
      <alignment horizontal="right"/>
    </xf>
    <xf numFmtId="0" fontId="4" fillId="0" borderId="0" xfId="0" applyFont="1"/>
    <xf numFmtId="0" fontId="0" fillId="0" borderId="7" xfId="0" applyBorder="1"/>
    <xf numFmtId="0" fontId="4" fillId="0" borderId="28" xfId="0" applyFont="1" applyBorder="1" applyAlignment="1">
      <alignment horizontal="center"/>
    </xf>
    <xf numFmtId="0" fontId="4" fillId="0" borderId="29" xfId="0" applyFont="1" applyBorder="1" applyAlignment="1">
      <alignment horizontal="center"/>
    </xf>
    <xf numFmtId="0" fontId="8" fillId="0" borderId="31" xfId="0" applyFont="1" applyBorder="1" applyAlignment="1">
      <alignment horizontal="center"/>
    </xf>
    <xf numFmtId="0" fontId="8" fillId="0" borderId="22" xfId="0" applyFont="1" applyBorder="1" applyAlignment="1">
      <alignment horizontal="center"/>
    </xf>
    <xf numFmtId="0" fontId="8" fillId="0" borderId="25" xfId="0" applyFont="1" applyBorder="1" applyAlignment="1">
      <alignment horizontal="center"/>
    </xf>
    <xf numFmtId="0" fontId="8" fillId="0" borderId="26" xfId="0" applyFont="1" applyBorder="1" applyAlignment="1">
      <alignment horizontal="center"/>
    </xf>
    <xf numFmtId="0" fontId="10" fillId="0" borderId="30" xfId="0" applyFont="1" applyBorder="1" applyAlignment="1">
      <alignment horizontal="center"/>
    </xf>
    <xf numFmtId="0" fontId="4" fillId="0" borderId="32" xfId="0" applyFont="1" applyBorder="1" applyAlignment="1">
      <alignment horizontal="center"/>
    </xf>
    <xf numFmtId="0" fontId="4" fillId="0" borderId="33" xfId="0" applyFont="1" applyBorder="1" applyAlignment="1">
      <alignment horizontal="center"/>
    </xf>
    <xf numFmtId="10" fontId="0" fillId="0" borderId="7" xfId="2" applyNumberFormat="1" applyFont="1" applyBorder="1"/>
    <xf numFmtId="10" fontId="0" fillId="0" borderId="0" xfId="2" applyNumberFormat="1" applyFont="1" applyBorder="1"/>
    <xf numFmtId="164" fontId="0" fillId="0" borderId="0" xfId="0" applyNumberFormat="1"/>
    <xf numFmtId="10" fontId="4" fillId="0" borderId="10" xfId="0" applyNumberFormat="1" applyFont="1" applyBorder="1" applyAlignment="1">
      <alignment horizontal="center"/>
    </xf>
    <xf numFmtId="10" fontId="4" fillId="0" borderId="16" xfId="0" applyNumberFormat="1" applyFont="1" applyBorder="1" applyAlignment="1">
      <alignment horizontal="center"/>
    </xf>
    <xf numFmtId="10" fontId="4" fillId="0" borderId="18" xfId="0" applyNumberFormat="1" applyFont="1" applyBorder="1" applyAlignment="1">
      <alignment horizontal="center"/>
    </xf>
    <xf numFmtId="10" fontId="4" fillId="0" borderId="17" xfId="0" applyNumberFormat="1" applyFont="1" applyBorder="1" applyAlignment="1">
      <alignment horizontal="center"/>
    </xf>
    <xf numFmtId="10" fontId="0" fillId="0" borderId="0" xfId="2" applyNumberFormat="1" applyFont="1"/>
    <xf numFmtId="0" fontId="12" fillId="0" borderId="0" xfId="0" applyFont="1" applyAlignment="1">
      <alignment horizontal="right"/>
    </xf>
    <xf numFmtId="2" fontId="0" fillId="0" borderId="3" xfId="0" applyNumberFormat="1" applyBorder="1"/>
    <xf numFmtId="0" fontId="0" fillId="0" borderId="34" xfId="0" applyBorder="1" applyAlignment="1">
      <alignment wrapText="1"/>
    </xf>
    <xf numFmtId="0" fontId="8" fillId="3" borderId="14" xfId="0" applyFont="1" applyFill="1" applyBorder="1" applyAlignment="1">
      <alignment horizontal="center"/>
    </xf>
    <xf numFmtId="0" fontId="8" fillId="4" borderId="14" xfId="0" applyFont="1" applyFill="1" applyBorder="1" applyAlignment="1">
      <alignment horizontal="center"/>
    </xf>
    <xf numFmtId="0" fontId="0" fillId="5" borderId="14" xfId="0" applyFill="1" applyBorder="1" applyAlignment="1">
      <alignment horizontal="center"/>
    </xf>
    <xf numFmtId="171" fontId="0" fillId="0" borderId="14" xfId="0" applyNumberFormat="1" applyBorder="1" applyAlignment="1">
      <alignment horizontal="center"/>
    </xf>
    <xf numFmtId="171" fontId="0" fillId="6" borderId="14" xfId="0" applyNumberFormat="1" applyFill="1" applyBorder="1" applyAlignment="1">
      <alignment horizontal="center"/>
    </xf>
    <xf numFmtId="0" fontId="8" fillId="3" borderId="14" xfId="0" applyFont="1" applyFill="1" applyBorder="1" applyAlignment="1">
      <alignment horizontal="right"/>
    </xf>
    <xf numFmtId="0" fontId="0" fillId="5" borderId="14" xfId="0" applyFill="1" applyBorder="1" applyAlignment="1">
      <alignment horizontal="right"/>
    </xf>
    <xf numFmtId="0" fontId="0" fillId="5" borderId="38" xfId="0" applyFill="1" applyBorder="1" applyAlignment="1">
      <alignment horizontal="right"/>
    </xf>
    <xf numFmtId="171" fontId="0" fillId="0" borderId="23" xfId="0" applyNumberFormat="1" applyBorder="1" applyAlignment="1">
      <alignment horizontal="center"/>
    </xf>
    <xf numFmtId="0" fontId="0" fillId="6" borderId="14" xfId="0" applyFill="1" applyBorder="1" applyAlignment="1">
      <alignment horizontal="center"/>
    </xf>
    <xf numFmtId="0" fontId="0" fillId="6" borderId="14" xfId="0" applyFill="1" applyBorder="1"/>
    <xf numFmtId="0" fontId="0" fillId="5" borderId="0" xfId="0" applyFill="1" applyAlignment="1">
      <alignment horizontal="right"/>
    </xf>
    <xf numFmtId="172" fontId="0" fillId="0" borderId="14" xfId="0" applyNumberFormat="1" applyBorder="1" applyAlignment="1">
      <alignment horizontal="center"/>
    </xf>
    <xf numFmtId="172" fontId="0" fillId="6" borderId="14" xfId="0" applyNumberFormat="1" applyFill="1" applyBorder="1" applyAlignment="1">
      <alignment horizontal="center"/>
    </xf>
    <xf numFmtId="171" fontId="0" fillId="0" borderId="14" xfId="0" applyNumberFormat="1" applyBorder="1"/>
    <xf numFmtId="171" fontId="0" fillId="6" borderId="14" xfId="0" applyNumberFormat="1" applyFill="1" applyBorder="1"/>
    <xf numFmtId="0" fontId="13" fillId="3" borderId="14" xfId="0" applyFont="1" applyFill="1" applyBorder="1" applyAlignment="1">
      <alignment horizontal="right"/>
    </xf>
    <xf numFmtId="10" fontId="0" fillId="0" borderId="14" xfId="2" applyNumberFormat="1" applyFont="1" applyBorder="1"/>
    <xf numFmtId="9" fontId="0" fillId="0" borderId="0" xfId="2" applyFont="1"/>
    <xf numFmtId="171" fontId="0" fillId="6" borderId="0" xfId="0" applyNumberFormat="1" applyFill="1" applyAlignment="1">
      <alignment horizontal="center"/>
    </xf>
    <xf numFmtId="0" fontId="12" fillId="0" borderId="0" xfId="0" applyFont="1"/>
    <xf numFmtId="0" fontId="0" fillId="0" borderId="37" xfId="0" applyBorder="1"/>
    <xf numFmtId="0" fontId="0" fillId="0" borderId="34" xfId="0" applyBorder="1"/>
    <xf numFmtId="0" fontId="0" fillId="0" borderId="36" xfId="0" applyBorder="1"/>
    <xf numFmtId="0" fontId="0" fillId="0" borderId="35" xfId="0" applyBorder="1"/>
    <xf numFmtId="0" fontId="15" fillId="0" borderId="9" xfId="0" applyFont="1" applyBorder="1" applyAlignment="1">
      <alignment vertical="center" wrapText="1" readingOrder="2"/>
    </xf>
    <xf numFmtId="0" fontId="15" fillId="0" borderId="39" xfId="0" applyFont="1" applyBorder="1" applyAlignment="1">
      <alignment vertical="center" wrapText="1" readingOrder="2"/>
    </xf>
    <xf numFmtId="0" fontId="15" fillId="0" borderId="30" xfId="0" applyFont="1" applyBorder="1" applyAlignment="1">
      <alignment vertical="center" wrapText="1" readingOrder="2"/>
    </xf>
    <xf numFmtId="10" fontId="15" fillId="0" borderId="30" xfId="0" applyNumberFormat="1" applyFont="1" applyBorder="1" applyAlignment="1">
      <alignment vertical="center" wrapText="1" readingOrder="2"/>
    </xf>
    <xf numFmtId="169" fontId="0" fillId="0" borderId="0" xfId="0" applyNumberFormat="1" applyAlignment="1">
      <alignment horizontal="right"/>
    </xf>
    <xf numFmtId="165" fontId="0" fillId="0" borderId="0" xfId="3" applyFont="1" applyBorder="1"/>
    <xf numFmtId="174" fontId="0" fillId="0" borderId="0" xfId="0" applyNumberFormat="1"/>
    <xf numFmtId="14" fontId="0" fillId="0" borderId="0" xfId="0" applyNumberFormat="1"/>
    <xf numFmtId="10" fontId="12" fillId="0" borderId="0" xfId="0" applyNumberFormat="1" applyFont="1" applyAlignment="1">
      <alignment horizontal="right"/>
    </xf>
    <xf numFmtId="174" fontId="0" fillId="0" borderId="3" xfId="0" applyNumberFormat="1" applyBorder="1"/>
    <xf numFmtId="174" fontId="0" fillId="0" borderId="2" xfId="0" applyNumberFormat="1" applyBorder="1"/>
    <xf numFmtId="174" fontId="0" fillId="0" borderId="7" xfId="0" applyNumberFormat="1" applyBorder="1"/>
    <xf numFmtId="9" fontId="0" fillId="0" borderId="2" xfId="0" applyNumberFormat="1" applyBorder="1"/>
    <xf numFmtId="0" fontId="3" fillId="0" borderId="2" xfId="0" applyFont="1" applyBorder="1"/>
    <xf numFmtId="2" fontId="3" fillId="0" borderId="0" xfId="0" applyNumberFormat="1" applyFont="1"/>
    <xf numFmtId="1" fontId="3" fillId="0" borderId="0" xfId="0" applyNumberFormat="1" applyFont="1"/>
    <xf numFmtId="0" fontId="3" fillId="0" borderId="0" xfId="0" applyFont="1" applyAlignment="1">
      <alignment horizontal="right"/>
    </xf>
    <xf numFmtId="170" fontId="3" fillId="0" borderId="0" xfId="0" applyNumberFormat="1" applyFont="1"/>
    <xf numFmtId="164" fontId="3" fillId="0" borderId="0" xfId="1" applyFont="1"/>
    <xf numFmtId="0" fontId="3" fillId="0" borderId="7" xfId="0" applyFont="1" applyBorder="1"/>
    <xf numFmtId="10" fontId="3" fillId="0" borderId="3" xfId="2" applyNumberFormat="1" applyFont="1" applyBorder="1"/>
    <xf numFmtId="10" fontId="3" fillId="0" borderId="0" xfId="0" applyNumberFormat="1" applyFont="1"/>
    <xf numFmtId="169" fontId="3" fillId="0" borderId="0" xfId="0" applyNumberFormat="1" applyFont="1"/>
    <xf numFmtId="164" fontId="3" fillId="0" borderId="0" xfId="0" applyNumberFormat="1" applyFont="1"/>
    <xf numFmtId="164" fontId="3" fillId="0" borderId="7" xfId="1" applyFont="1" applyBorder="1"/>
    <xf numFmtId="0" fontId="3" fillId="0" borderId="35" xfId="0" applyFont="1" applyBorder="1" applyAlignment="1">
      <alignment wrapText="1"/>
    </xf>
    <xf numFmtId="0" fontId="3" fillId="0" borderId="37" xfId="0" applyFont="1" applyBorder="1" applyAlignment="1">
      <alignment wrapText="1"/>
    </xf>
    <xf numFmtId="0" fontId="3" fillId="0" borderId="36" xfId="0" applyFont="1" applyBorder="1" applyAlignment="1">
      <alignment wrapText="1"/>
    </xf>
    <xf numFmtId="0" fontId="3" fillId="0" borderId="34" xfId="0" applyFont="1" applyBorder="1" applyAlignment="1">
      <alignment wrapText="1"/>
    </xf>
    <xf numFmtId="0" fontId="3" fillId="0" borderId="0" xfId="0" applyFont="1" applyAlignment="1">
      <alignment wrapText="1"/>
    </xf>
    <xf numFmtId="164" fontId="0" fillId="0" borderId="34" xfId="1" applyFont="1" applyBorder="1"/>
    <xf numFmtId="0" fontId="16" fillId="0" borderId="9" xfId="0" applyFont="1" applyBorder="1" applyAlignment="1">
      <alignment horizontal="justify" vertical="center" wrapText="1" readingOrder="2"/>
    </xf>
    <xf numFmtId="0" fontId="16" fillId="0" borderId="39" xfId="0" applyFont="1" applyBorder="1" applyAlignment="1">
      <alignment horizontal="justify" vertical="center" wrapText="1" readingOrder="2"/>
    </xf>
    <xf numFmtId="0" fontId="16" fillId="0" borderId="30" xfId="0" applyFont="1" applyBorder="1" applyAlignment="1">
      <alignment horizontal="justify" vertical="center" wrapText="1" readingOrder="2"/>
    </xf>
    <xf numFmtId="10" fontId="0" fillId="0" borderId="9" xfId="0" applyNumberFormat="1" applyBorder="1"/>
    <xf numFmtId="164" fontId="0" fillId="0" borderId="9" xfId="1" applyFont="1" applyBorder="1" applyAlignment="1"/>
    <xf numFmtId="164" fontId="0" fillId="0" borderId="9" xfId="1" applyFont="1" applyFill="1" applyBorder="1" applyAlignment="1"/>
    <xf numFmtId="173" fontId="15" fillId="0" borderId="30" xfId="0" applyNumberFormat="1" applyFont="1" applyBorder="1" applyAlignment="1">
      <alignment horizontal="center" vertical="center" wrapText="1" readingOrder="2"/>
    </xf>
    <xf numFmtId="0" fontId="0" fillId="0" borderId="34" xfId="0" applyBorder="1" applyAlignment="1">
      <alignment horizontal="right" wrapText="1"/>
    </xf>
    <xf numFmtId="0" fontId="0" fillId="0" borderId="34" xfId="0" applyBorder="1" applyAlignment="1">
      <alignment horizontal="right"/>
    </xf>
    <xf numFmtId="164" fontId="15" fillId="0" borderId="39" xfId="1" applyFont="1" applyBorder="1" applyAlignment="1">
      <alignment vertical="center" wrapText="1"/>
    </xf>
    <xf numFmtId="165" fontId="0" fillId="0" borderId="2" xfId="3" applyFont="1" applyBorder="1"/>
    <xf numFmtId="175" fontId="14" fillId="0" borderId="4" xfId="0" applyNumberFormat="1" applyFont="1" applyBorder="1" applyAlignment="1">
      <alignment wrapText="1"/>
    </xf>
    <xf numFmtId="175" fontId="14" fillId="0" borderId="5" xfId="0" applyNumberFormat="1" applyFont="1" applyBorder="1" applyAlignment="1">
      <alignment wrapText="1"/>
    </xf>
    <xf numFmtId="174" fontId="14" fillId="0" borderId="5" xfId="0" applyNumberFormat="1" applyFont="1" applyBorder="1" applyAlignment="1">
      <alignment horizontal="right" wrapText="1"/>
    </xf>
    <xf numFmtId="174" fontId="14" fillId="0" borderId="6" xfId="0" applyNumberFormat="1" applyFont="1" applyBorder="1" applyAlignment="1">
      <alignment horizontal="right" wrapText="1"/>
    </xf>
    <xf numFmtId="176" fontId="0" fillId="0" borderId="0" xfId="3" applyNumberFormat="1" applyFont="1" applyBorder="1"/>
    <xf numFmtId="9" fontId="0" fillId="0" borderId="3" xfId="0" applyNumberFormat="1" applyBorder="1"/>
    <xf numFmtId="178" fontId="0" fillId="0" borderId="0" xfId="3" applyNumberFormat="1" applyFont="1" applyBorder="1"/>
    <xf numFmtId="0" fontId="0" fillId="0" borderId="4" xfId="0" applyBorder="1" applyAlignment="1">
      <alignment wrapText="1"/>
    </xf>
    <xf numFmtId="0" fontId="0" fillId="0" borderId="5" xfId="0" applyBorder="1" applyAlignment="1">
      <alignment wrapText="1"/>
    </xf>
    <xf numFmtId="174" fontId="0" fillId="0" borderId="5" xfId="0" applyNumberFormat="1" applyBorder="1" applyAlignment="1">
      <alignment horizontal="right" wrapText="1"/>
    </xf>
    <xf numFmtId="10" fontId="0" fillId="0" borderId="5" xfId="0" applyNumberFormat="1" applyBorder="1" applyAlignment="1">
      <alignment wrapText="1"/>
    </xf>
    <xf numFmtId="10" fontId="0" fillId="0" borderId="5" xfId="0" applyNumberFormat="1" applyBorder="1" applyAlignment="1">
      <alignment horizontal="right" wrapText="1"/>
    </xf>
    <xf numFmtId="0" fontId="0" fillId="0" borderId="6" xfId="0" applyBorder="1" applyAlignment="1">
      <alignment wrapText="1"/>
    </xf>
    <xf numFmtId="10" fontId="0" fillId="0" borderId="2" xfId="2" applyNumberFormat="1" applyFont="1" applyBorder="1"/>
    <xf numFmtId="0" fontId="0" fillId="0" borderId="29" xfId="0" applyBorder="1"/>
    <xf numFmtId="0" fontId="0" fillId="0" borderId="40" xfId="0" applyBorder="1"/>
    <xf numFmtId="10" fontId="0" fillId="0" borderId="29" xfId="2" applyNumberFormat="1" applyFont="1" applyBorder="1"/>
    <xf numFmtId="10" fontId="0" fillId="0" borderId="40" xfId="2" applyNumberFormat="1" applyFont="1" applyBorder="1"/>
    <xf numFmtId="174" fontId="0" fillId="0" borderId="29" xfId="0" applyNumberFormat="1" applyBorder="1"/>
    <xf numFmtId="174" fontId="0" fillId="0" borderId="40" xfId="0" applyNumberFormat="1" applyBorder="1"/>
    <xf numFmtId="0" fontId="0" fillId="0" borderId="41" xfId="0" applyBorder="1"/>
    <xf numFmtId="0" fontId="0" fillId="0" borderId="42" xfId="0" applyBorder="1"/>
    <xf numFmtId="174" fontId="14" fillId="0" borderId="4" xfId="0" applyNumberFormat="1" applyFont="1" applyBorder="1" applyAlignment="1">
      <alignment wrapText="1"/>
    </xf>
    <xf numFmtId="174" fontId="14" fillId="0" borderId="43" xfId="0" applyNumberFormat="1" applyFont="1" applyBorder="1" applyAlignment="1">
      <alignment wrapText="1"/>
    </xf>
    <xf numFmtId="174" fontId="14" fillId="0" borderId="44" xfId="0" applyNumberFormat="1" applyFont="1" applyBorder="1" applyAlignment="1">
      <alignment wrapText="1"/>
    </xf>
    <xf numFmtId="174" fontId="14" fillId="0" borderId="8" xfId="0" applyNumberFormat="1" applyFont="1" applyBorder="1" applyAlignment="1">
      <alignment horizontal="right" wrapText="1"/>
    </xf>
    <xf numFmtId="0" fontId="14" fillId="0" borderId="8" xfId="0" applyFont="1" applyBorder="1" applyAlignment="1">
      <alignment wrapText="1"/>
    </xf>
    <xf numFmtId="177" fontId="0" fillId="0" borderId="0" xfId="1" applyNumberFormat="1" applyFont="1" applyAlignment="1">
      <alignment horizontal="right"/>
    </xf>
    <xf numFmtId="177" fontId="0" fillId="0" borderId="0" xfId="0" applyNumberFormat="1" applyAlignment="1">
      <alignment horizontal="right"/>
    </xf>
    <xf numFmtId="177" fontId="0" fillId="0" borderId="0" xfId="1" applyNumberFormat="1" applyFont="1"/>
    <xf numFmtId="0" fontId="0" fillId="2" borderId="54" xfId="0" applyFill="1" applyBorder="1"/>
    <xf numFmtId="0" fontId="0" fillId="0" borderId="55" xfId="0" applyBorder="1"/>
    <xf numFmtId="0" fontId="0" fillId="0" borderId="56" xfId="0" applyBorder="1"/>
    <xf numFmtId="0" fontId="3" fillId="2" borderId="0" xfId="0" applyFont="1" applyFill="1" applyAlignment="1">
      <alignment wrapText="1"/>
    </xf>
    <xf numFmtId="0" fontId="3" fillId="0" borderId="3" xfId="0" applyFont="1" applyBorder="1"/>
    <xf numFmtId="0" fontId="3" fillId="0" borderId="1" xfId="0" applyFont="1" applyBorder="1"/>
    <xf numFmtId="177" fontId="3" fillId="0" borderId="0" xfId="0" applyNumberFormat="1" applyFont="1"/>
    <xf numFmtId="177" fontId="0" fillId="0" borderId="0" xfId="0" applyNumberFormat="1"/>
    <xf numFmtId="0" fontId="33" fillId="38" borderId="14" xfId="0" applyFont="1" applyFill="1" applyBorder="1" applyAlignment="1">
      <alignment vertical="center" wrapText="1"/>
    </xf>
    <xf numFmtId="0" fontId="33" fillId="38" borderId="14" xfId="0" applyFont="1" applyFill="1" applyBorder="1" applyAlignment="1">
      <alignment horizontal="right" vertical="center" wrapText="1"/>
    </xf>
    <xf numFmtId="0" fontId="34" fillId="0" borderId="14" xfId="0" applyFont="1" applyBorder="1" applyAlignment="1">
      <alignment vertical="center" wrapText="1"/>
    </xf>
    <xf numFmtId="0" fontId="35" fillId="0" borderId="14" xfId="0" applyFont="1" applyBorder="1" applyAlignment="1">
      <alignment horizontal="right" vertical="center" wrapText="1"/>
    </xf>
    <xf numFmtId="0" fontId="35" fillId="0" borderId="14" xfId="0" applyFont="1" applyBorder="1" applyAlignment="1">
      <alignment vertical="center"/>
    </xf>
    <xf numFmtId="0" fontId="35" fillId="0" borderId="14" xfId="0" applyFont="1" applyBorder="1" applyAlignment="1">
      <alignment vertical="center" wrapText="1"/>
    </xf>
    <xf numFmtId="0" fontId="35" fillId="0" borderId="14" xfId="0" applyFont="1" applyBorder="1" applyAlignment="1">
      <alignment horizontal="right" wrapText="1"/>
    </xf>
    <xf numFmtId="0" fontId="36" fillId="0" borderId="14" xfId="0" applyFont="1" applyBorder="1" applyAlignment="1">
      <alignment horizontal="center" vertical="center" wrapText="1"/>
    </xf>
    <xf numFmtId="0" fontId="36" fillId="0" borderId="14" xfId="0" applyFont="1" applyBorder="1" applyAlignment="1">
      <alignment vertical="center" wrapText="1"/>
    </xf>
    <xf numFmtId="0" fontId="34" fillId="0" borderId="14" xfId="0" applyFont="1" applyBorder="1" applyAlignment="1">
      <alignment vertical="center" wrapText="1" readingOrder="1"/>
    </xf>
    <xf numFmtId="0" fontId="34" fillId="0" borderId="14" xfId="0" applyFont="1" applyBorder="1" applyAlignment="1">
      <alignment vertical="center" wrapText="1" readingOrder="2"/>
    </xf>
    <xf numFmtId="0" fontId="34" fillId="0" borderId="14" xfId="0" applyFont="1" applyBorder="1" applyAlignment="1">
      <alignment horizontal="right" vertical="center" wrapText="1" readingOrder="2"/>
    </xf>
    <xf numFmtId="0" fontId="34" fillId="0" borderId="14" xfId="0" applyFont="1" applyBorder="1" applyAlignment="1">
      <alignment horizontal="center" vertical="center" wrapText="1"/>
    </xf>
    <xf numFmtId="0" fontId="34" fillId="0" borderId="14" xfId="0" applyFont="1" applyBorder="1" applyAlignment="1">
      <alignment horizontal="right" vertical="center" wrapText="1"/>
    </xf>
    <xf numFmtId="0" fontId="35" fillId="0" borderId="0" xfId="0" applyFont="1" applyAlignment="1">
      <alignment vertical="center"/>
    </xf>
    <xf numFmtId="0" fontId="35" fillId="0" borderId="0" xfId="0" applyFont="1" applyAlignment="1">
      <alignment horizontal="right" wrapText="1"/>
    </xf>
    <xf numFmtId="177" fontId="0" fillId="0" borderId="0" xfId="2" applyNumberFormat="1" applyFont="1"/>
    <xf numFmtId="0" fontId="41" fillId="0" borderId="34" xfId="50">
      <alignment horizontal="center" vertical="center"/>
    </xf>
    <xf numFmtId="0" fontId="38" fillId="0" borderId="0" xfId="52"/>
    <xf numFmtId="179" fontId="40" fillId="0" borderId="9" xfId="54" applyNumberFormat="1">
      <alignment horizontal="center" vertical="center" wrapText="1"/>
    </xf>
    <xf numFmtId="0" fontId="40" fillId="0" borderId="9" xfId="54">
      <alignment horizontal="center" vertical="center" wrapText="1"/>
    </xf>
    <xf numFmtId="180" fontId="0" fillId="0" borderId="0" xfId="0" applyNumberFormat="1"/>
    <xf numFmtId="0" fontId="3" fillId="2" borderId="0" xfId="0" applyFont="1" applyFill="1" applyAlignment="1">
      <alignment horizontal="right" wrapText="1"/>
    </xf>
    <xf numFmtId="10" fontId="3" fillId="0" borderId="57" xfId="2" applyNumberFormat="1" applyFont="1" applyBorder="1"/>
    <xf numFmtId="10" fontId="3" fillId="0" borderId="0" xfId="2" applyNumberFormat="1" applyFont="1" applyBorder="1"/>
    <xf numFmtId="177" fontId="3" fillId="0" borderId="57" xfId="0" applyNumberFormat="1" applyFont="1" applyBorder="1"/>
    <xf numFmtId="10" fontId="3" fillId="0" borderId="1" xfId="2" applyNumberFormat="1" applyFont="1" applyBorder="1"/>
    <xf numFmtId="181" fontId="3" fillId="0" borderId="0" xfId="3" applyNumberFormat="1" applyFont="1"/>
    <xf numFmtId="182" fontId="0" fillId="0" borderId="0" xfId="0" applyNumberFormat="1"/>
    <xf numFmtId="0" fontId="0" fillId="0" borderId="55" xfId="0" applyBorder="1" applyAlignment="1">
      <alignment horizontal="right"/>
    </xf>
    <xf numFmtId="177" fontId="3" fillId="0" borderId="0" xfId="1" applyNumberFormat="1" applyFont="1"/>
    <xf numFmtId="182" fontId="0" fillId="0" borderId="0" xfId="2" applyNumberFormat="1" applyFont="1"/>
    <xf numFmtId="10" fontId="3" fillId="0" borderId="59" xfId="0" applyNumberFormat="1" applyFont="1" applyBorder="1"/>
    <xf numFmtId="177" fontId="3" fillId="0" borderId="59" xfId="0" applyNumberFormat="1" applyFont="1" applyBorder="1"/>
    <xf numFmtId="10" fontId="3" fillId="0" borderId="7" xfId="0" applyNumberFormat="1" applyFont="1" applyBorder="1"/>
    <xf numFmtId="177" fontId="3" fillId="0" borderId="7" xfId="0" applyNumberFormat="1" applyFont="1" applyBorder="1"/>
    <xf numFmtId="0" fontId="43" fillId="0" borderId="0" xfId="55"/>
    <xf numFmtId="0" fontId="0" fillId="41" borderId="0" xfId="0" applyFill="1"/>
    <xf numFmtId="177" fontId="0" fillId="41" borderId="0" xfId="0" applyNumberFormat="1" applyFill="1"/>
    <xf numFmtId="177" fontId="42" fillId="0" borderId="0" xfId="0" applyNumberFormat="1" applyFont="1"/>
    <xf numFmtId="0" fontId="0" fillId="0" borderId="60" xfId="0" applyBorder="1"/>
    <xf numFmtId="0" fontId="0" fillId="0" borderId="57" xfId="0" applyBorder="1"/>
    <xf numFmtId="177" fontId="0" fillId="0" borderId="1" xfId="0" applyNumberFormat="1" applyBorder="1"/>
    <xf numFmtId="0" fontId="0" fillId="0" borderId="4" xfId="0" applyBorder="1"/>
    <xf numFmtId="0" fontId="0" fillId="0" borderId="5" xfId="0" applyBorder="1"/>
    <xf numFmtId="177" fontId="0" fillId="0" borderId="6" xfId="0" applyNumberFormat="1" applyBorder="1"/>
    <xf numFmtId="177" fontId="0" fillId="0" borderId="3" xfId="0" applyNumberFormat="1" applyBorder="1"/>
    <xf numFmtId="178" fontId="0" fillId="0" borderId="0" xfId="3" applyNumberFormat="1" applyFont="1"/>
    <xf numFmtId="181" fontId="0" fillId="0" borderId="0" xfId="3" applyNumberFormat="1" applyFont="1"/>
    <xf numFmtId="164" fontId="3" fillId="0" borderId="2" xfId="1" applyFont="1" applyBorder="1"/>
    <xf numFmtId="10" fontId="3" fillId="0" borderId="0" xfId="2" applyNumberFormat="1" applyFont="1"/>
    <xf numFmtId="182" fontId="3" fillId="0" borderId="0" xfId="2" applyNumberFormat="1" applyFont="1"/>
    <xf numFmtId="169" fontId="3" fillId="0" borderId="0" xfId="2" applyNumberFormat="1" applyFont="1"/>
    <xf numFmtId="17" fontId="0" fillId="0" borderId="55" xfId="0" applyNumberFormat="1" applyBorder="1"/>
    <xf numFmtId="183" fontId="0" fillId="0" borderId="55" xfId="0" applyNumberFormat="1" applyBorder="1"/>
    <xf numFmtId="184" fontId="0" fillId="0" borderId="0" xfId="0" applyNumberFormat="1"/>
    <xf numFmtId="169" fontId="0" fillId="0" borderId="0" xfId="2" applyNumberFormat="1" applyFont="1"/>
    <xf numFmtId="0" fontId="8" fillId="4" borderId="14" xfId="0" applyFont="1" applyFill="1" applyBorder="1" applyAlignment="1">
      <alignment horizontal="right"/>
    </xf>
    <xf numFmtId="0" fontId="8" fillId="4" borderId="14" xfId="0" applyFont="1" applyFill="1" applyBorder="1"/>
    <xf numFmtId="164" fontId="0" fillId="0" borderId="0" xfId="1" applyFont="1" applyAlignment="1">
      <alignment wrapText="1"/>
    </xf>
    <xf numFmtId="9" fontId="0" fillId="0" borderId="0" xfId="0" applyNumberFormat="1" applyAlignment="1">
      <alignment wrapText="1"/>
    </xf>
    <xf numFmtId="164" fontId="0" fillId="0" borderId="0" xfId="1" applyFont="1" applyBorder="1" applyAlignment="1">
      <alignment wrapText="1"/>
    </xf>
    <xf numFmtId="9" fontId="0" fillId="0" borderId="3" xfId="0" applyNumberFormat="1" applyBorder="1" applyAlignment="1">
      <alignment wrapText="1"/>
    </xf>
    <xf numFmtId="0" fontId="0" fillId="0" borderId="2" xfId="0" applyBorder="1" applyAlignment="1">
      <alignment wrapText="1"/>
    </xf>
    <xf numFmtId="0" fontId="0" fillId="0" borderId="3" xfId="0" applyBorder="1" applyAlignment="1">
      <alignment wrapText="1"/>
    </xf>
    <xf numFmtId="169" fontId="0" fillId="0" borderId="3" xfId="2" applyNumberFormat="1" applyFont="1" applyBorder="1"/>
    <xf numFmtId="170" fontId="0" fillId="0" borderId="2" xfId="0" applyNumberFormat="1" applyBorder="1"/>
    <xf numFmtId="164" fontId="0" fillId="0" borderId="2" xfId="1" applyFont="1" applyBorder="1"/>
    <xf numFmtId="164" fontId="0" fillId="0" borderId="0" xfId="1" applyFont="1" applyBorder="1"/>
    <xf numFmtId="9" fontId="0" fillId="0" borderId="0" xfId="2" applyFont="1" applyAlignment="1">
      <alignment wrapText="1"/>
    </xf>
    <xf numFmtId="10" fontId="0" fillId="0" borderId="0" xfId="2" applyNumberFormat="1" applyFont="1" applyAlignment="1">
      <alignment wrapText="1"/>
    </xf>
    <xf numFmtId="10" fontId="0" fillId="0" borderId="0" xfId="0" applyNumberFormat="1" applyAlignment="1">
      <alignment wrapText="1"/>
    </xf>
    <xf numFmtId="164" fontId="0" fillId="0" borderId="0" xfId="1" applyFont="1" applyFill="1" applyBorder="1"/>
    <xf numFmtId="164" fontId="0" fillId="0" borderId="2" xfId="0" applyNumberFormat="1" applyBorder="1" applyAlignment="1">
      <alignment wrapText="1"/>
    </xf>
    <xf numFmtId="164" fontId="0" fillId="0" borderId="0" xfId="0" applyNumberFormat="1" applyAlignment="1">
      <alignment wrapText="1"/>
    </xf>
    <xf numFmtId="164" fontId="0" fillId="0" borderId="3" xfId="0" applyNumberFormat="1" applyBorder="1" applyAlignment="1">
      <alignment wrapText="1"/>
    </xf>
    <xf numFmtId="10" fontId="0" fillId="0" borderId="3" xfId="2" applyNumberFormat="1" applyFont="1" applyBorder="1"/>
    <xf numFmtId="10" fontId="0" fillId="0" borderId="2" xfId="0" applyNumberFormat="1" applyBorder="1"/>
    <xf numFmtId="10" fontId="0" fillId="0" borderId="3" xfId="0" applyNumberFormat="1" applyBorder="1"/>
    <xf numFmtId="10" fontId="0" fillId="0" borderId="7" xfId="0" applyNumberFormat="1" applyBorder="1"/>
    <xf numFmtId="9" fontId="0" fillId="0" borderId="2" xfId="0" applyNumberFormat="1" applyBorder="1" applyAlignment="1">
      <alignment wrapText="1"/>
    </xf>
    <xf numFmtId="170" fontId="12" fillId="0" borderId="0" xfId="0" applyNumberFormat="1" applyFont="1"/>
    <xf numFmtId="0" fontId="3" fillId="0" borderId="60" xfId="0" applyFont="1" applyBorder="1"/>
    <xf numFmtId="0" fontId="3" fillId="0" borderId="4" xfId="0" applyFont="1" applyBorder="1"/>
    <xf numFmtId="0" fontId="3" fillId="0" borderId="6" xfId="0" applyFont="1" applyBorder="1"/>
    <xf numFmtId="0" fontId="0" fillId="2" borderId="60" xfId="0" applyFill="1" applyBorder="1"/>
    <xf numFmtId="0" fontId="0" fillId="2" borderId="57" xfId="0" applyFill="1" applyBorder="1"/>
    <xf numFmtId="177" fontId="0" fillId="2" borderId="1" xfId="0" applyNumberFormat="1" applyFill="1" applyBorder="1"/>
    <xf numFmtId="0" fontId="0" fillId="2" borderId="2" xfId="0" applyFill="1" applyBorder="1"/>
    <xf numFmtId="0" fontId="0" fillId="2" borderId="3" xfId="0" applyFill="1" applyBorder="1"/>
    <xf numFmtId="0" fontId="12" fillId="2" borderId="0" xfId="0" applyFont="1" applyFill="1"/>
    <xf numFmtId="185" fontId="0" fillId="2" borderId="0" xfId="0" applyNumberFormat="1" applyFill="1"/>
    <xf numFmtId="185" fontId="0" fillId="2" borderId="3" xfId="0" applyNumberFormat="1" applyFill="1" applyBorder="1"/>
    <xf numFmtId="177" fontId="0" fillId="2" borderId="3" xfId="0" applyNumberFormat="1" applyFill="1" applyBorder="1"/>
    <xf numFmtId="0" fontId="0" fillId="2" borderId="4" xfId="0" applyFill="1" applyBorder="1"/>
    <xf numFmtId="0" fontId="0" fillId="2" borderId="5" xfId="0" applyFill="1" applyBorder="1"/>
    <xf numFmtId="177" fontId="0" fillId="2" borderId="6" xfId="0" applyNumberFormat="1" applyFill="1" applyBorder="1"/>
    <xf numFmtId="0" fontId="0" fillId="0" borderId="8" xfId="0" applyBorder="1"/>
    <xf numFmtId="184" fontId="0" fillId="0" borderId="8" xfId="0" applyNumberFormat="1" applyBorder="1"/>
    <xf numFmtId="0" fontId="44" fillId="2" borderId="34" xfId="0" applyFont="1" applyFill="1" applyBorder="1" applyAlignment="1">
      <alignment horizontal="center" wrapText="1"/>
    </xf>
    <xf numFmtId="183" fontId="44" fillId="2" borderId="34" xfId="0" applyNumberFormat="1" applyFont="1" applyFill="1" applyBorder="1" applyAlignment="1">
      <alignment horizontal="center" wrapText="1"/>
    </xf>
    <xf numFmtId="184" fontId="44" fillId="2" borderId="34" xfId="0" applyNumberFormat="1" applyFont="1" applyFill="1" applyBorder="1" applyAlignment="1">
      <alignment horizontal="center" wrapText="1"/>
    </xf>
    <xf numFmtId="184" fontId="0" fillId="0" borderId="7" xfId="0" applyNumberFormat="1" applyBorder="1"/>
    <xf numFmtId="184" fontId="44" fillId="42" borderId="34" xfId="0" applyNumberFormat="1" applyFont="1" applyFill="1" applyBorder="1" applyAlignment="1">
      <alignment horizontal="center" wrapText="1"/>
    </xf>
    <xf numFmtId="0" fontId="0" fillId="0" borderId="59" xfId="0" applyBorder="1" applyAlignment="1">
      <alignment wrapText="1"/>
    </xf>
    <xf numFmtId="169" fontId="0" fillId="0" borderId="7" xfId="2" applyNumberFormat="1" applyFont="1" applyBorder="1"/>
    <xf numFmtId="0" fontId="45" fillId="0" borderId="34" xfId="0" applyFont="1" applyBorder="1" applyAlignment="1">
      <alignment horizontal="right" vertical="center" readingOrder="2"/>
    </xf>
    <xf numFmtId="0" fontId="46" fillId="0" borderId="34" xfId="0" applyFont="1" applyBorder="1" applyAlignment="1">
      <alignment horizontal="right" vertical="center" wrapText="1" readingOrder="2"/>
    </xf>
    <xf numFmtId="0" fontId="46" fillId="2" borderId="34" xfId="0" applyFont="1" applyFill="1" applyBorder="1" applyAlignment="1">
      <alignment horizontal="right" vertical="center" wrapText="1" readingOrder="1"/>
    </xf>
    <xf numFmtId="0" fontId="0" fillId="0" borderId="61" xfId="0" applyBorder="1"/>
    <xf numFmtId="0" fontId="0" fillId="2" borderId="34" xfId="0" applyFill="1" applyBorder="1"/>
    <xf numFmtId="10" fontId="0" fillId="0" borderId="0" xfId="2" applyNumberFormat="1" applyFont="1" applyBorder="1" applyAlignment="1">
      <alignment wrapText="1"/>
    </xf>
    <xf numFmtId="0" fontId="45" fillId="0" borderId="34" xfId="0" applyFont="1" applyBorder="1" applyAlignment="1">
      <alignment vertical="center" readingOrder="2"/>
    </xf>
    <xf numFmtId="0" fontId="46" fillId="0" borderId="34" xfId="0" applyFont="1" applyBorder="1" applyAlignment="1">
      <alignment vertical="center" wrapText="1" readingOrder="1"/>
    </xf>
    <xf numFmtId="0" fontId="45" fillId="0" borderId="62" xfId="0" applyFont="1" applyBorder="1" applyAlignment="1">
      <alignment horizontal="right" vertical="center" wrapText="1"/>
    </xf>
    <xf numFmtId="0" fontId="45" fillId="0" borderId="34" xfId="0" applyFont="1" applyBorder="1" applyAlignment="1">
      <alignment vertical="top" readingOrder="2"/>
    </xf>
    <xf numFmtId="0" fontId="45" fillId="0" borderId="34" xfId="0" applyFont="1" applyBorder="1" applyAlignment="1">
      <alignment horizontal="right" vertical="top" readingOrder="2"/>
    </xf>
    <xf numFmtId="0" fontId="0" fillId="0" borderId="34" xfId="0" applyBorder="1" applyAlignment="1">
      <alignment vertical="top"/>
    </xf>
    <xf numFmtId="0" fontId="0" fillId="0" borderId="0" xfId="0" applyAlignment="1">
      <alignment vertical="top"/>
    </xf>
    <xf numFmtId="0" fontId="45" fillId="2" borderId="34" xfId="0" applyFont="1" applyFill="1" applyBorder="1" applyAlignment="1">
      <alignment vertical="center" readingOrder="2"/>
    </xf>
    <xf numFmtId="0" fontId="45" fillId="2" borderId="34" xfId="0" applyFont="1" applyFill="1" applyBorder="1" applyAlignment="1">
      <alignment vertical="top" readingOrder="2"/>
    </xf>
    <xf numFmtId="0" fontId="0" fillId="0" borderId="34" xfId="0" applyBorder="1" applyAlignment="1">
      <alignment horizontal="right" vertical="top" wrapText="1" readingOrder="2"/>
    </xf>
    <xf numFmtId="0" fontId="0" fillId="0" borderId="34" xfId="0" applyBorder="1" applyAlignment="1">
      <alignment horizontal="right" vertical="top" wrapText="1"/>
    </xf>
    <xf numFmtId="0" fontId="0" fillId="0" borderId="0" xfId="0" applyAlignment="1">
      <alignment horizontal="right" vertical="top" wrapText="1"/>
    </xf>
    <xf numFmtId="164" fontId="3" fillId="0" borderId="0" xfId="1" applyFont="1" applyBorder="1"/>
    <xf numFmtId="0" fontId="0" fillId="0" borderId="0" xfId="0" applyAlignment="1">
      <alignment horizontal="right" vertical="top"/>
    </xf>
    <xf numFmtId="43" fontId="0" fillId="0" borderId="0" xfId="0" applyNumberFormat="1"/>
    <xf numFmtId="164" fontId="42" fillId="0" borderId="0" xfId="1" applyFont="1"/>
    <xf numFmtId="164" fontId="0" fillId="43" borderId="0" xfId="1" applyFont="1" applyFill="1"/>
    <xf numFmtId="0" fontId="0" fillId="43" borderId="35" xfId="0" applyFill="1" applyBorder="1"/>
    <xf numFmtId="0" fontId="0" fillId="43" borderId="36" xfId="0" applyFill="1" applyBorder="1"/>
    <xf numFmtId="0" fontId="0" fillId="43" borderId="37" xfId="0" applyFill="1" applyBorder="1"/>
    <xf numFmtId="164" fontId="42" fillId="43" borderId="0" xfId="1" applyFont="1" applyFill="1"/>
    <xf numFmtId="0" fontId="0" fillId="43" borderId="0" xfId="0" applyFill="1"/>
    <xf numFmtId="0" fontId="12" fillId="43" borderId="0" xfId="0" applyFont="1" applyFill="1"/>
    <xf numFmtId="0" fontId="0" fillId="0" borderId="55" xfId="0" applyBorder="1" applyAlignment="1">
      <alignment wrapText="1"/>
    </xf>
    <xf numFmtId="0" fontId="45" fillId="0" borderId="7" xfId="0" applyFont="1" applyBorder="1" applyAlignment="1">
      <alignment horizontal="right" vertical="center" readingOrder="2"/>
    </xf>
    <xf numFmtId="10" fontId="0" fillId="0" borderId="60" xfId="0" applyNumberFormat="1" applyBorder="1"/>
    <xf numFmtId="0" fontId="0" fillId="0" borderId="1" xfId="0" applyBorder="1"/>
    <xf numFmtId="181" fontId="0" fillId="0" borderId="2" xfId="3" applyNumberFormat="1" applyFont="1" applyBorder="1"/>
    <xf numFmtId="169" fontId="0" fillId="0" borderId="0" xfId="2" applyNumberFormat="1" applyFont="1" applyBorder="1"/>
    <xf numFmtId="181" fontId="0" fillId="0" borderId="4" xfId="3" applyNumberFormat="1" applyFont="1" applyBorder="1"/>
    <xf numFmtId="169" fontId="0" fillId="0" borderId="5" xfId="2" applyNumberFormat="1" applyFont="1" applyBorder="1"/>
    <xf numFmtId="2" fontId="12" fillId="0" borderId="0" xfId="0" applyNumberFormat="1" applyFont="1"/>
    <xf numFmtId="164" fontId="3" fillId="0" borderId="0" xfId="2" applyNumberFormat="1" applyFont="1"/>
    <xf numFmtId="0" fontId="0" fillId="0" borderId="5" xfId="0" applyBorder="1" applyAlignment="1">
      <alignment horizontal="right"/>
    </xf>
    <xf numFmtId="0" fontId="46" fillId="2" borderId="34" xfId="0" applyFont="1" applyFill="1" applyBorder="1" applyAlignment="1">
      <alignment vertical="center" wrapText="1" readingOrder="1"/>
    </xf>
    <xf numFmtId="0" fontId="0" fillId="43" borderId="0" xfId="3" applyNumberFormat="1" applyFont="1" applyFill="1"/>
    <xf numFmtId="164" fontId="47" fillId="0" borderId="9" xfId="1" applyFont="1" applyBorder="1" applyAlignment="1">
      <alignment vertical="top" wrapText="1"/>
    </xf>
    <xf numFmtId="0" fontId="47" fillId="0" borderId="9" xfId="0" applyFont="1" applyBorder="1" applyAlignment="1">
      <alignment horizontal="right" vertical="top" wrapText="1" readingOrder="2"/>
    </xf>
    <xf numFmtId="0" fontId="47" fillId="45" borderId="39" xfId="0" applyFont="1" applyFill="1" applyBorder="1" applyAlignment="1">
      <alignment horizontal="right" vertical="top" wrapText="1" readingOrder="2"/>
    </xf>
    <xf numFmtId="0" fontId="47" fillId="0" borderId="9" xfId="0" applyFont="1" applyBorder="1" applyAlignment="1">
      <alignment vertical="top" wrapText="1" readingOrder="2"/>
    </xf>
    <xf numFmtId="0" fontId="47" fillId="45" borderId="58" xfId="0" applyFont="1" applyFill="1" applyBorder="1" applyAlignment="1">
      <alignment horizontal="right" vertical="top" wrapText="1"/>
    </xf>
    <xf numFmtId="0" fontId="47" fillId="45" borderId="58" xfId="0" applyFont="1" applyFill="1" applyBorder="1" applyAlignment="1">
      <alignment vertical="top" wrapText="1"/>
    </xf>
    <xf numFmtId="164" fontId="47" fillId="0" borderId="39" xfId="1" applyFont="1" applyBorder="1" applyAlignment="1">
      <alignment vertical="top" wrapText="1"/>
    </xf>
    <xf numFmtId="0" fontId="47" fillId="0" borderId="0" xfId="0" applyFont="1" applyAlignment="1">
      <alignment vertical="top" wrapText="1" readingOrder="2"/>
    </xf>
    <xf numFmtId="0" fontId="47" fillId="0" borderId="33" xfId="0" applyFont="1" applyBorder="1" applyAlignment="1">
      <alignment vertical="top" wrapText="1"/>
    </xf>
    <xf numFmtId="164" fontId="47" fillId="0" borderId="63" xfId="1" applyFont="1" applyBorder="1" applyAlignment="1">
      <alignment vertical="top" wrapText="1"/>
    </xf>
    <xf numFmtId="164" fontId="47" fillId="0" borderId="20" xfId="1" applyFont="1" applyBorder="1" applyAlignment="1">
      <alignment vertical="top" wrapText="1"/>
    </xf>
    <xf numFmtId="170" fontId="0" fillId="0" borderId="34" xfId="0" applyNumberFormat="1" applyBorder="1"/>
    <xf numFmtId="0" fontId="48" fillId="46" borderId="0" xfId="0" applyFont="1" applyFill="1" applyAlignment="1">
      <alignment horizontal="right" vertical="center" wrapText="1"/>
    </xf>
    <xf numFmtId="0" fontId="48" fillId="46" borderId="0" xfId="0" applyFont="1" applyFill="1" applyAlignment="1">
      <alignment horizontal="right" vertical="center"/>
    </xf>
    <xf numFmtId="0" fontId="48" fillId="46" borderId="0" xfId="0" applyFont="1" applyFill="1" applyAlignment="1">
      <alignment horizontal="center" vertical="center"/>
    </xf>
    <xf numFmtId="0" fontId="0" fillId="0" borderId="0" xfId="0" applyAlignment="1">
      <alignment horizontal="right" vertical="center"/>
    </xf>
    <xf numFmtId="0" fontId="0" fillId="0" borderId="0" xfId="0" applyAlignment="1">
      <alignment horizontal="right" vertical="center" wrapText="1"/>
    </xf>
    <xf numFmtId="0" fontId="0" fillId="0" borderId="0" xfId="0" applyAlignment="1">
      <alignment horizontal="center" vertical="center"/>
    </xf>
    <xf numFmtId="0" fontId="49" fillId="2" borderId="64" xfId="0" applyFont="1" applyFill="1" applyBorder="1" applyAlignment="1">
      <alignment horizontal="right" vertical="center"/>
    </xf>
    <xf numFmtId="0" fontId="49" fillId="47" borderId="64" xfId="0" applyFont="1" applyFill="1" applyBorder="1" applyAlignment="1">
      <alignment horizontal="right" vertical="center"/>
    </xf>
    <xf numFmtId="0" fontId="49" fillId="48" borderId="64" xfId="0" applyFont="1" applyFill="1" applyBorder="1" applyAlignment="1">
      <alignment horizontal="right" vertical="center"/>
    </xf>
    <xf numFmtId="186" fontId="50" fillId="2" borderId="64" xfId="0" applyNumberFormat="1" applyFont="1" applyFill="1" applyBorder="1" applyAlignment="1">
      <alignment horizontal="right" vertical="center"/>
    </xf>
    <xf numFmtId="186" fontId="50" fillId="47" borderId="64" xfId="0" applyNumberFormat="1" applyFont="1" applyFill="1" applyBorder="1" applyAlignment="1">
      <alignment horizontal="right" vertical="center"/>
    </xf>
    <xf numFmtId="186" fontId="50" fillId="48" borderId="64" xfId="0" applyNumberFormat="1" applyFont="1" applyFill="1" applyBorder="1" applyAlignment="1">
      <alignment horizontal="right" vertical="center"/>
    </xf>
    <xf numFmtId="0" fontId="0" fillId="47" borderId="0" xfId="0" applyFill="1"/>
    <xf numFmtId="0" fontId="0" fillId="48" borderId="0" xfId="0" applyFill="1"/>
    <xf numFmtId="0" fontId="49" fillId="49" borderId="64" xfId="0" applyFont="1" applyFill="1" applyBorder="1" applyAlignment="1">
      <alignment horizontal="right" vertical="center" readingOrder="2"/>
    </xf>
    <xf numFmtId="186" fontId="50" fillId="45" borderId="64" xfId="0" applyNumberFormat="1" applyFont="1" applyFill="1" applyBorder="1" applyAlignment="1">
      <alignment horizontal="right" vertical="center" readingOrder="2"/>
    </xf>
    <xf numFmtId="0" fontId="50" fillId="45" borderId="64" xfId="0" applyFont="1" applyFill="1" applyBorder="1" applyAlignment="1">
      <alignment horizontal="right" vertical="center" readingOrder="2"/>
    </xf>
    <xf numFmtId="186" fontId="50" fillId="2" borderId="64" xfId="0" applyNumberFormat="1" applyFont="1" applyFill="1" applyBorder="1" applyAlignment="1">
      <alignment horizontal="right" vertical="center" readingOrder="2"/>
    </xf>
    <xf numFmtId="0" fontId="50" fillId="2" borderId="64" xfId="0" applyFont="1" applyFill="1" applyBorder="1" applyAlignment="1">
      <alignment horizontal="right" vertical="center" readingOrder="2"/>
    </xf>
    <xf numFmtId="0" fontId="0" fillId="0" borderId="0" xfId="0" applyAlignment="1">
      <alignment horizontal="right" readingOrder="2"/>
    </xf>
    <xf numFmtId="0" fontId="0" fillId="0" borderId="65" xfId="0" applyBorder="1"/>
    <xf numFmtId="187" fontId="0" fillId="0" borderId="0" xfId="3" applyNumberFormat="1" applyFont="1"/>
    <xf numFmtId="186" fontId="50" fillId="47" borderId="64" xfId="0" applyNumberFormat="1" applyFont="1" applyFill="1" applyBorder="1" applyAlignment="1">
      <alignment horizontal="right" vertical="center" wrapText="1"/>
    </xf>
    <xf numFmtId="0" fontId="0" fillId="0" borderId="0" xfId="0" applyAlignment="1">
      <alignment horizontal="right" vertical="top" readingOrder="2"/>
    </xf>
    <xf numFmtId="9" fontId="12" fillId="0" borderId="0" xfId="0" applyNumberFormat="1" applyFont="1"/>
    <xf numFmtId="0" fontId="0" fillId="2" borderId="35" xfId="0" applyFill="1" applyBorder="1"/>
    <xf numFmtId="10" fontId="0" fillId="2" borderId="37" xfId="2" applyNumberFormat="1" applyFont="1" applyFill="1" applyBorder="1"/>
    <xf numFmtId="186" fontId="50" fillId="47" borderId="0" xfId="0" applyNumberFormat="1" applyFont="1" applyFill="1" applyAlignment="1">
      <alignment horizontal="right" vertical="center" wrapText="1"/>
    </xf>
    <xf numFmtId="177" fontId="0" fillId="44" borderId="3" xfId="0" applyNumberFormat="1" applyFill="1" applyBorder="1"/>
    <xf numFmtId="0" fontId="52" fillId="0" borderId="0" xfId="0" applyFont="1" applyAlignment="1">
      <alignment vertical="center"/>
    </xf>
    <xf numFmtId="0" fontId="53" fillId="0" borderId="0" xfId="0" applyFont="1" applyAlignment="1">
      <alignment horizontal="right" vertical="center"/>
    </xf>
    <xf numFmtId="0" fontId="0" fillId="0" borderId="0" xfId="0" applyAlignment="1">
      <alignment horizontal="right" vertical="center" indent="1"/>
    </xf>
    <xf numFmtId="0" fontId="54" fillId="0" borderId="0" xfId="0" applyFont="1" applyAlignment="1">
      <alignment horizontal="right" vertical="center"/>
    </xf>
    <xf numFmtId="0" fontId="31" fillId="0" borderId="0" xfId="0" applyFont="1" applyAlignment="1">
      <alignment horizontal="right" vertical="center" indent="1"/>
    </xf>
    <xf numFmtId="0" fontId="31" fillId="0" borderId="0" xfId="0" applyFont="1" applyAlignment="1">
      <alignment horizontal="right" vertical="center" indent="2" readingOrder="2"/>
    </xf>
    <xf numFmtId="0" fontId="0" fillId="0" borderId="0" xfId="0" applyAlignment="1">
      <alignment horizontal="right" vertical="center" indent="1" readingOrder="2"/>
    </xf>
    <xf numFmtId="0" fontId="0" fillId="0" borderId="0" xfId="0">
      <extLst>
        <ext xmlns:xfpb="http://schemas.microsoft.com/office/spreadsheetml/2022/featurepropertybag" uri="{C7286773-470A-42A8-94C5-96B5CB345126}">
          <xfpb:xfComplement i="0"/>
        </ext>
      </extLst>
    </xf>
    <xf numFmtId="0" fontId="47" fillId="45" borderId="33" xfId="0" applyFont="1" applyFill="1" applyBorder="1" applyAlignment="1">
      <alignment horizontal="right" vertical="top" wrapText="1" readingOrder="2"/>
    </xf>
    <xf numFmtId="168" fontId="0" fillId="0" borderId="0" xfId="2" applyNumberFormat="1" applyFont="1" applyAlignment="1">
      <alignment wrapText="1"/>
    </xf>
    <xf numFmtId="0" fontId="0" fillId="2" borderId="0" xfId="0" applyFill="1" applyAlignment="1">
      <alignment horizontal="right"/>
    </xf>
    <xf numFmtId="0" fontId="0" fillId="0" borderId="0" xfId="0" applyAlignment="1">
      <alignment readingOrder="2"/>
    </xf>
    <xf numFmtId="0" fontId="0" fillId="0" borderId="0" xfId="0" applyAlignment="1">
      <alignment readingOrder="1"/>
    </xf>
    <xf numFmtId="177" fontId="0" fillId="50" borderId="0" xfId="0" applyNumberFormat="1" applyFill="1"/>
    <xf numFmtId="180" fontId="0" fillId="2" borderId="0" xfId="0" applyNumberFormat="1" applyFill="1"/>
    <xf numFmtId="0" fontId="0" fillId="50" borderId="0" xfId="0" applyFill="1"/>
    <xf numFmtId="177" fontId="0" fillId="0" borderId="0" xfId="2" applyNumberFormat="1" applyFont="1" applyAlignment="1">
      <alignment wrapText="1"/>
    </xf>
    <xf numFmtId="9" fontId="3" fillId="0" borderId="0" xfId="2" applyFont="1"/>
    <xf numFmtId="9" fontId="0" fillId="0" borderId="0" xfId="2" applyFont="1" applyBorder="1"/>
    <xf numFmtId="177" fontId="3" fillId="0" borderId="0" xfId="2" applyNumberFormat="1" applyFont="1"/>
    <xf numFmtId="0" fontId="46" fillId="0" borderId="34" xfId="0" applyFont="1" applyBorder="1" applyAlignment="1">
      <alignment horizontal="right" vertical="center" wrapText="1" readingOrder="1"/>
    </xf>
    <xf numFmtId="0" fontId="12" fillId="0" borderId="0" xfId="0" applyFont="1" applyAlignment="1">
      <alignment wrapText="1"/>
    </xf>
    <xf numFmtId="0" fontId="12" fillId="0" borderId="0" xfId="0" applyFont="1" applyAlignment="1">
      <alignment horizontal="right" wrapText="1"/>
    </xf>
    <xf numFmtId="10" fontId="0" fillId="0" borderId="57" xfId="0" applyNumberFormat="1" applyBorder="1" applyAlignment="1">
      <alignment horizontal="right"/>
    </xf>
    <xf numFmtId="1" fontId="0" fillId="0" borderId="2" xfId="3" applyNumberFormat="1" applyFont="1" applyBorder="1"/>
    <xf numFmtId="1" fontId="0" fillId="0" borderId="0" xfId="3" applyNumberFormat="1" applyFont="1" applyBorder="1" applyAlignment="1">
      <alignment horizontal="right"/>
    </xf>
    <xf numFmtId="169" fontId="0" fillId="0" borderId="0" xfId="2" applyNumberFormat="1" applyFont="1" applyBorder="1" applyAlignment="1">
      <alignment horizontal="right"/>
    </xf>
    <xf numFmtId="177" fontId="0" fillId="0" borderId="3" xfId="3" applyNumberFormat="1" applyFont="1" applyBorder="1" applyAlignment="1">
      <alignment horizontal="right"/>
    </xf>
    <xf numFmtId="1" fontId="0" fillId="0" borderId="4" xfId="3" applyNumberFormat="1" applyFont="1" applyBorder="1"/>
    <xf numFmtId="1" fontId="0" fillId="0" borderId="5" xfId="3" applyNumberFormat="1" applyFont="1" applyBorder="1" applyAlignment="1">
      <alignment horizontal="right"/>
    </xf>
    <xf numFmtId="169" fontId="0" fillId="0" borderId="5" xfId="2" applyNumberFormat="1" applyFont="1" applyBorder="1" applyAlignment="1">
      <alignment horizontal="right"/>
    </xf>
    <xf numFmtId="177" fontId="0" fillId="0" borderId="6" xfId="3" applyNumberFormat="1" applyFont="1" applyBorder="1" applyAlignment="1">
      <alignment horizontal="right"/>
    </xf>
    <xf numFmtId="0" fontId="12" fillId="0" borderId="60" xfId="0" applyFont="1" applyBorder="1" applyAlignment="1">
      <alignment wrapText="1"/>
    </xf>
    <xf numFmtId="0" fontId="12" fillId="0" borderId="57" xfId="0" applyFont="1" applyBorder="1" applyAlignment="1">
      <alignment wrapText="1"/>
    </xf>
    <xf numFmtId="0" fontId="12" fillId="0" borderId="1" xfId="0" applyFont="1" applyBorder="1" applyAlignment="1">
      <alignment wrapText="1"/>
    </xf>
    <xf numFmtId="0" fontId="0" fillId="0" borderId="0" xfId="0" applyAlignment="1">
      <alignment horizontal="right" readingOrder="1"/>
    </xf>
    <xf numFmtId="2" fontId="0" fillId="0" borderId="0" xfId="2" applyNumberFormat="1" applyFont="1" applyAlignment="1">
      <alignment wrapText="1"/>
    </xf>
    <xf numFmtId="2" fontId="0" fillId="0" borderId="0" xfId="2" applyNumberFormat="1" applyFont="1"/>
    <xf numFmtId="0" fontId="3" fillId="2" borderId="0" xfId="0" applyFont="1" applyFill="1" applyAlignment="1">
      <alignment vertical="top" wrapText="1"/>
    </xf>
    <xf numFmtId="0" fontId="0" fillId="51" borderId="0" xfId="0" applyFill="1"/>
    <xf numFmtId="0" fontId="0" fillId="51" borderId="0" xfId="0" applyFill="1" applyAlignment="1">
      <alignment horizontal="right" readingOrder="2"/>
    </xf>
    <xf numFmtId="0" fontId="0" fillId="51" borderId="0" xfId="0" applyFill="1" applyAlignment="1">
      <alignment horizontal="right"/>
    </xf>
    <xf numFmtId="0" fontId="0" fillId="51" borderId="60" xfId="0" applyFill="1" applyBorder="1"/>
    <xf numFmtId="0" fontId="0" fillId="51" borderId="2" xfId="0" applyFill="1" applyBorder="1"/>
    <xf numFmtId="0" fontId="0" fillId="51" borderId="4" xfId="0" applyFill="1" applyBorder="1"/>
    <xf numFmtId="0" fontId="0" fillId="51" borderId="3" xfId="0" applyFill="1" applyBorder="1"/>
    <xf numFmtId="164" fontId="0" fillId="51" borderId="0" xfId="1" applyFont="1" applyFill="1" applyBorder="1"/>
    <xf numFmtId="164" fontId="0" fillId="51" borderId="2" xfId="1" applyFont="1" applyFill="1" applyBorder="1"/>
    <xf numFmtId="164" fontId="0" fillId="51" borderId="3" xfId="1" applyFont="1" applyFill="1" applyBorder="1"/>
    <xf numFmtId="0" fontId="3" fillId="51" borderId="36" xfId="0" applyFont="1" applyFill="1" applyBorder="1" applyAlignment="1">
      <alignment wrapText="1"/>
    </xf>
    <xf numFmtId="0" fontId="3" fillId="51" borderId="35" xfId="0" applyFont="1" applyFill="1" applyBorder="1" applyAlignment="1">
      <alignment wrapText="1"/>
    </xf>
    <xf numFmtId="0" fontId="3" fillId="51" borderId="37" xfId="0" applyFont="1" applyFill="1" applyBorder="1" applyAlignment="1">
      <alignment wrapText="1"/>
    </xf>
    <xf numFmtId="0" fontId="0" fillId="52" borderId="0" xfId="0" applyFill="1"/>
    <xf numFmtId="0" fontId="3" fillId="52" borderId="0" xfId="0" applyFont="1" applyFill="1" applyAlignment="1">
      <alignment vertical="top" wrapText="1"/>
    </xf>
    <xf numFmtId="0" fontId="3" fillId="51" borderId="0" xfId="0" applyFont="1" applyFill="1"/>
    <xf numFmtId="0" fontId="3" fillId="52" borderId="0" xfId="0" applyFont="1" applyFill="1"/>
    <xf numFmtId="0" fontId="3" fillId="0" borderId="0" xfId="0" applyFont="1" applyAlignment="1">
      <alignment vertical="top"/>
    </xf>
    <xf numFmtId="0" fontId="3" fillId="0" borderId="0" xfId="0" applyFont="1" applyAlignment="1">
      <alignment vertical="top" wrapText="1"/>
    </xf>
    <xf numFmtId="0" fontId="3" fillId="51" borderId="0" xfId="0" applyFont="1" applyFill="1" applyAlignment="1">
      <alignment vertical="top" wrapText="1"/>
    </xf>
    <xf numFmtId="0" fontId="3" fillId="52" borderId="0" xfId="0" applyFont="1" applyFill="1" applyAlignment="1">
      <alignment vertical="top"/>
    </xf>
    <xf numFmtId="0" fontId="0" fillId="52" borderId="0" xfId="0" applyFill="1" applyAlignment="1">
      <alignment horizontal="right"/>
    </xf>
    <xf numFmtId="164" fontId="0" fillId="52" borderId="0" xfId="1" applyFont="1" applyFill="1"/>
    <xf numFmtId="164" fontId="0" fillId="52" borderId="0" xfId="1" applyFont="1" applyFill="1" applyBorder="1"/>
    <xf numFmtId="0" fontId="3" fillId="52" borderId="36" xfId="0" applyFont="1" applyFill="1" applyBorder="1" applyAlignment="1">
      <alignment wrapText="1"/>
    </xf>
    <xf numFmtId="9" fontId="0" fillId="52" borderId="0" xfId="2" applyFont="1" applyFill="1"/>
    <xf numFmtId="9" fontId="0" fillId="52" borderId="0" xfId="0" applyNumberFormat="1" applyFill="1"/>
    <xf numFmtId="0" fontId="0" fillId="52" borderId="2" xfId="0" applyFill="1" applyBorder="1"/>
    <xf numFmtId="164" fontId="0" fillId="52" borderId="2" xfId="1" applyFont="1" applyFill="1" applyBorder="1"/>
    <xf numFmtId="0" fontId="3" fillId="52" borderId="35" xfId="0" applyFont="1" applyFill="1" applyBorder="1" applyAlignment="1">
      <alignment wrapText="1"/>
    </xf>
    <xf numFmtId="177" fontId="0" fillId="52" borderId="0" xfId="2" applyNumberFormat="1" applyFont="1" applyFill="1"/>
    <xf numFmtId="177" fontId="0" fillId="52" borderId="0" xfId="0" applyNumberFormat="1" applyFill="1"/>
    <xf numFmtId="10" fontId="0" fillId="52" borderId="0" xfId="2" applyNumberFormat="1" applyFont="1" applyFill="1" applyBorder="1"/>
    <xf numFmtId="0" fontId="0" fillId="52" borderId="3" xfId="0" applyFill="1" applyBorder="1"/>
    <xf numFmtId="9" fontId="0" fillId="52" borderId="2" xfId="0" applyNumberFormat="1" applyFill="1" applyBorder="1"/>
    <xf numFmtId="9" fontId="0" fillId="52" borderId="3" xfId="0" applyNumberFormat="1" applyFill="1" applyBorder="1"/>
    <xf numFmtId="0" fontId="0" fillId="52" borderId="4" xfId="0" applyFill="1" applyBorder="1" applyAlignment="1">
      <alignment horizontal="right" readingOrder="2"/>
    </xf>
    <xf numFmtId="0" fontId="0" fillId="52" borderId="6" xfId="0" applyFill="1" applyBorder="1"/>
    <xf numFmtId="0" fontId="3" fillId="52" borderId="37" xfId="0" applyFont="1" applyFill="1" applyBorder="1" applyAlignment="1">
      <alignment wrapText="1"/>
    </xf>
    <xf numFmtId="164" fontId="0" fillId="52" borderId="0" xfId="1" applyFont="1" applyFill="1" applyBorder="1" applyAlignment="1">
      <alignment wrapText="1"/>
    </xf>
    <xf numFmtId="168" fontId="0" fillId="52" borderId="0" xfId="2" applyNumberFormat="1" applyFont="1" applyFill="1" applyBorder="1" applyAlignment="1">
      <alignment wrapText="1"/>
    </xf>
    <xf numFmtId="164" fontId="0" fillId="52" borderId="2" xfId="1" applyFont="1" applyFill="1" applyBorder="1" applyAlignment="1">
      <alignment wrapText="1"/>
    </xf>
    <xf numFmtId="9" fontId="0" fillId="52" borderId="0" xfId="0" applyNumberFormat="1" applyFill="1" applyAlignment="1">
      <alignment wrapText="1"/>
    </xf>
    <xf numFmtId="164" fontId="0" fillId="43" borderId="2" xfId="1" applyFont="1" applyFill="1" applyBorder="1"/>
    <xf numFmtId="165" fontId="0" fillId="43" borderId="0" xfId="3" applyFont="1" applyFill="1" applyBorder="1"/>
    <xf numFmtId="0" fontId="0" fillId="43" borderId="3" xfId="0" applyFill="1" applyBorder="1"/>
    <xf numFmtId="0" fontId="0" fillId="43" borderId="2" xfId="0" applyFill="1" applyBorder="1"/>
    <xf numFmtId="164" fontId="0" fillId="43" borderId="0" xfId="1" applyFont="1" applyFill="1" applyBorder="1"/>
    <xf numFmtId="9" fontId="0" fillId="43" borderId="3" xfId="2" applyFont="1" applyFill="1" applyBorder="1"/>
    <xf numFmtId="0" fontId="3" fillId="43" borderId="35" xfId="0" applyFont="1" applyFill="1" applyBorder="1" applyAlignment="1">
      <alignment wrapText="1"/>
    </xf>
    <xf numFmtId="0" fontId="3" fillId="43" borderId="36" xfId="0" applyFont="1" applyFill="1" applyBorder="1" applyAlignment="1">
      <alignment wrapText="1"/>
    </xf>
    <xf numFmtId="0" fontId="3" fillId="43" borderId="37" xfId="0" applyFont="1" applyFill="1" applyBorder="1" applyAlignment="1">
      <alignment wrapText="1"/>
    </xf>
    <xf numFmtId="164" fontId="0" fillId="43" borderId="2" xfId="1" applyFont="1" applyFill="1" applyBorder="1" applyAlignment="1">
      <alignment wrapText="1"/>
    </xf>
    <xf numFmtId="164" fontId="0" fillId="43" borderId="0" xfId="1" applyFont="1" applyFill="1" applyBorder="1" applyAlignment="1">
      <alignment wrapText="1"/>
    </xf>
    <xf numFmtId="9" fontId="0" fillId="43" borderId="3" xfId="0" applyNumberFormat="1" applyFill="1" applyBorder="1" applyAlignment="1">
      <alignment wrapText="1"/>
    </xf>
    <xf numFmtId="0" fontId="0" fillId="53" borderId="0" xfId="0" applyFill="1"/>
    <xf numFmtId="164" fontId="0" fillId="53" borderId="0" xfId="1" applyFont="1" applyFill="1"/>
    <xf numFmtId="164" fontId="0" fillId="53" borderId="0" xfId="1" applyFont="1" applyFill="1" applyBorder="1"/>
    <xf numFmtId="0" fontId="3" fillId="53" borderId="36" xfId="0" applyFont="1" applyFill="1" applyBorder="1" applyAlignment="1">
      <alignment wrapText="1"/>
    </xf>
    <xf numFmtId="164" fontId="0" fillId="53" borderId="0" xfId="1" applyFont="1" applyFill="1" applyBorder="1" applyAlignment="1">
      <alignment wrapText="1"/>
    </xf>
    <xf numFmtId="0" fontId="3" fillId="53" borderId="0" xfId="0" applyFont="1" applyFill="1"/>
    <xf numFmtId="0" fontId="3" fillId="53" borderId="0" xfId="0" applyFont="1" applyFill="1" applyAlignment="1">
      <alignment vertical="top"/>
    </xf>
    <xf numFmtId="0" fontId="3" fillId="53" borderId="0" xfId="0" applyFont="1" applyFill="1" applyAlignment="1">
      <alignment vertical="top" wrapText="1"/>
    </xf>
    <xf numFmtId="10" fontId="0" fillId="0" borderId="1" xfId="2" applyNumberFormat="1" applyFont="1" applyBorder="1"/>
    <xf numFmtId="0" fontId="0" fillId="54" borderId="0" xfId="0" applyFill="1"/>
    <xf numFmtId="164" fontId="0" fillId="54" borderId="0" xfId="1" applyFont="1" applyFill="1"/>
    <xf numFmtId="164" fontId="0" fillId="54" borderId="0" xfId="1" applyFont="1" applyFill="1" applyBorder="1"/>
    <xf numFmtId="0" fontId="3" fillId="54" borderId="36" xfId="0" applyFont="1" applyFill="1" applyBorder="1" applyAlignment="1">
      <alignment wrapText="1"/>
    </xf>
    <xf numFmtId="164" fontId="0" fillId="54" borderId="0" xfId="1" applyFont="1" applyFill="1" applyAlignment="1">
      <alignment wrapText="1"/>
    </xf>
    <xf numFmtId="168" fontId="0" fillId="54" borderId="0" xfId="2" applyNumberFormat="1" applyFont="1" applyFill="1"/>
    <xf numFmtId="168" fontId="0" fillId="54" borderId="0" xfId="2" applyNumberFormat="1" applyFont="1" applyFill="1" applyBorder="1"/>
    <xf numFmtId="177" fontId="0" fillId="54" borderId="0" xfId="2" applyNumberFormat="1" applyFont="1" applyFill="1"/>
    <xf numFmtId="177" fontId="0" fillId="54" borderId="0" xfId="2" applyNumberFormat="1" applyFont="1" applyFill="1" applyBorder="1"/>
    <xf numFmtId="164" fontId="0" fillId="54" borderId="0" xfId="1" applyFont="1" applyFill="1" applyBorder="1" applyAlignment="1">
      <alignment wrapText="1"/>
    </xf>
    <xf numFmtId="9" fontId="0" fillId="54" borderId="0" xfId="2" applyFont="1" applyFill="1"/>
    <xf numFmtId="9" fontId="0" fillId="54" borderId="0" xfId="0" applyNumberFormat="1" applyFill="1"/>
    <xf numFmtId="9" fontId="0" fillId="54" borderId="0" xfId="0" applyNumberFormat="1" applyFill="1" applyAlignment="1">
      <alignment wrapText="1"/>
    </xf>
    <xf numFmtId="10" fontId="0" fillId="53" borderId="0" xfId="2" applyNumberFormat="1" applyFont="1" applyFill="1"/>
    <xf numFmtId="0" fontId="0" fillId="53" borderId="0" xfId="0" applyFill="1" applyAlignment="1">
      <alignment wrapText="1"/>
    </xf>
    <xf numFmtId="177" fontId="0" fillId="53" borderId="0" xfId="2" applyNumberFormat="1" applyFont="1" applyFill="1"/>
    <xf numFmtId="177" fontId="0" fillId="53" borderId="0" xfId="0" applyNumberFormat="1" applyFill="1"/>
    <xf numFmtId="177" fontId="0" fillId="53" borderId="0" xfId="0" applyNumberFormat="1" applyFill="1" applyAlignment="1">
      <alignment wrapText="1"/>
    </xf>
    <xf numFmtId="9" fontId="0" fillId="53" borderId="0" xfId="0" applyNumberFormat="1" applyFill="1" applyAlignment="1">
      <alignment wrapText="1"/>
    </xf>
    <xf numFmtId="9" fontId="0" fillId="53" borderId="0" xfId="0" applyNumberFormat="1" applyFill="1"/>
    <xf numFmtId="181" fontId="0" fillId="53" borderId="0" xfId="3" applyNumberFormat="1" applyFont="1" applyFill="1" applyBorder="1"/>
    <xf numFmtId="10" fontId="0" fillId="54" borderId="0" xfId="2" applyNumberFormat="1" applyFont="1" applyFill="1"/>
    <xf numFmtId="177" fontId="0" fillId="54" borderId="0" xfId="0" applyNumberFormat="1" applyFill="1"/>
    <xf numFmtId="0" fontId="0" fillId="54" borderId="0" xfId="0" applyFill="1" applyAlignment="1">
      <alignment horizontal="right" readingOrder="2"/>
    </xf>
    <xf numFmtId="0" fontId="0" fillId="54" borderId="0" xfId="0" applyFill="1" applyAlignment="1">
      <alignment horizontal="right"/>
    </xf>
    <xf numFmtId="164" fontId="0" fillId="53" borderId="0" xfId="1" applyFont="1" applyFill="1" applyAlignment="1">
      <alignment wrapText="1"/>
    </xf>
    <xf numFmtId="168" fontId="0" fillId="53" borderId="0" xfId="2" applyNumberFormat="1" applyFont="1" applyFill="1" applyAlignment="1">
      <alignment wrapText="1"/>
    </xf>
    <xf numFmtId="9" fontId="0" fillId="53" borderId="0" xfId="2" applyFont="1" applyFill="1"/>
    <xf numFmtId="0" fontId="0" fillId="53" borderId="60" xfId="0" applyFill="1" applyBorder="1"/>
    <xf numFmtId="0" fontId="0" fillId="53" borderId="2" xfId="0" applyFill="1" applyBorder="1"/>
    <xf numFmtId="0" fontId="0" fillId="53" borderId="4" xfId="0" applyFill="1" applyBorder="1"/>
    <xf numFmtId="10" fontId="0" fillId="53" borderId="0" xfId="2" applyNumberFormat="1" applyFont="1" applyFill="1" applyAlignment="1">
      <alignment wrapText="1"/>
    </xf>
    <xf numFmtId="168" fontId="0" fillId="53" borderId="0" xfId="2" applyNumberFormat="1" applyFont="1" applyFill="1"/>
    <xf numFmtId="0" fontId="0" fillId="55" borderId="60" xfId="0" applyFill="1" applyBorder="1"/>
    <xf numFmtId="0" fontId="0" fillId="55" borderId="0" xfId="0" applyFill="1"/>
    <xf numFmtId="0" fontId="0" fillId="55" borderId="2" xfId="0" applyFill="1" applyBorder="1"/>
    <xf numFmtId="0" fontId="0" fillId="55" borderId="4" xfId="0" applyFill="1" applyBorder="1"/>
    <xf numFmtId="0" fontId="0" fillId="56" borderId="0" xfId="0" applyFill="1"/>
    <xf numFmtId="0" fontId="0" fillId="53" borderId="0" xfId="0" applyFill="1" applyAlignment="1">
      <alignment horizontal="right"/>
    </xf>
    <xf numFmtId="181" fontId="0" fillId="54" borderId="0" xfId="3" applyNumberFormat="1" applyFont="1" applyFill="1" applyAlignment="1">
      <alignment wrapText="1"/>
    </xf>
    <xf numFmtId="165" fontId="0" fillId="53" borderId="0" xfId="3" applyFont="1" applyFill="1" applyAlignment="1">
      <alignment wrapText="1"/>
    </xf>
    <xf numFmtId="165" fontId="0" fillId="53" borderId="0" xfId="3" applyFont="1" applyFill="1"/>
    <xf numFmtId="188" fontId="0" fillId="0" borderId="0" xfId="0" applyNumberFormat="1"/>
    <xf numFmtId="189" fontId="0" fillId="0" borderId="0" xfId="0" applyNumberFormat="1"/>
    <xf numFmtId="164" fontId="42" fillId="0" borderId="0" xfId="0" applyNumberFormat="1" applyFont="1"/>
    <xf numFmtId="170" fontId="0" fillId="0" borderId="0" xfId="0" applyNumberFormat="1" applyAlignment="1">
      <alignment horizontal="right"/>
    </xf>
    <xf numFmtId="10" fontId="0" fillId="52" borderId="0" xfId="2" applyNumberFormat="1" applyFont="1" applyFill="1"/>
    <xf numFmtId="9" fontId="0" fillId="52" borderId="0" xfId="2" applyFont="1" applyFill="1" applyBorder="1"/>
    <xf numFmtId="181" fontId="0" fillId="52" borderId="0" xfId="3" applyNumberFormat="1" applyFont="1" applyFill="1" applyBorder="1" applyAlignment="1">
      <alignment wrapText="1"/>
    </xf>
    <xf numFmtId="168" fontId="0" fillId="0" borderId="0" xfId="0" applyNumberFormat="1" applyAlignment="1">
      <alignment wrapText="1"/>
    </xf>
    <xf numFmtId="0" fontId="0" fillId="52" borderId="0" xfId="0" applyFill="1" applyAlignment="1">
      <alignment horizontal="right" readingOrder="2"/>
    </xf>
    <xf numFmtId="164" fontId="0" fillId="52" borderId="0" xfId="1" applyFont="1" applyFill="1" applyAlignment="1">
      <alignment wrapText="1"/>
    </xf>
    <xf numFmtId="0" fontId="0" fillId="0" borderId="0" xfId="0" applyAlignment="1">
      <alignment horizontal="right" wrapText="1" readingOrder="2"/>
    </xf>
    <xf numFmtId="0" fontId="0" fillId="43" borderId="60" xfId="0" applyFill="1" applyBorder="1"/>
    <xf numFmtId="0" fontId="0" fillId="43" borderId="1" xfId="0" applyFill="1" applyBorder="1"/>
    <xf numFmtId="0" fontId="0" fillId="43" borderId="4" xfId="0" applyFill="1" applyBorder="1"/>
    <xf numFmtId="177" fontId="0" fillId="43" borderId="6" xfId="0" applyNumberFormat="1" applyFill="1" applyBorder="1"/>
    <xf numFmtId="10" fontId="12" fillId="0" borderId="60" xfId="0" applyNumberFormat="1" applyFont="1" applyBorder="1"/>
    <xf numFmtId="0" fontId="12" fillId="0" borderId="57" xfId="0" applyFont="1" applyBorder="1" applyAlignment="1">
      <alignment horizontal="right"/>
    </xf>
    <xf numFmtId="0" fontId="12" fillId="0" borderId="57" xfId="0" applyFont="1" applyBorder="1"/>
    <xf numFmtId="0" fontId="0" fillId="54" borderId="2" xfId="0" applyFill="1" applyBorder="1"/>
    <xf numFmtId="0" fontId="0" fillId="54" borderId="3" xfId="0" applyFill="1" applyBorder="1"/>
    <xf numFmtId="0" fontId="0" fillId="54" borderId="4" xfId="0" applyFill="1" applyBorder="1"/>
    <xf numFmtId="0" fontId="0" fillId="54" borderId="5" xfId="0" applyFill="1" applyBorder="1" applyAlignment="1">
      <alignment horizontal="right"/>
    </xf>
    <xf numFmtId="167" fontId="0" fillId="54" borderId="6" xfId="0" applyNumberFormat="1" applyFill="1" applyBorder="1"/>
    <xf numFmtId="0" fontId="0" fillId="52" borderId="60" xfId="0" applyFill="1" applyBorder="1"/>
    <xf numFmtId="178" fontId="0" fillId="52" borderId="1" xfId="3" applyNumberFormat="1" applyFont="1" applyFill="1" applyBorder="1"/>
    <xf numFmtId="0" fontId="0" fillId="52" borderId="4" xfId="0" applyFill="1" applyBorder="1"/>
    <xf numFmtId="0" fontId="0" fillId="52" borderId="5" xfId="0" applyFill="1" applyBorder="1" applyAlignment="1">
      <alignment horizontal="right"/>
    </xf>
    <xf numFmtId="0" fontId="0" fillId="52" borderId="57" xfId="0" applyFill="1" applyBorder="1" applyAlignment="1">
      <alignment horizontal="right"/>
    </xf>
    <xf numFmtId="0" fontId="0" fillId="57" borderId="0" xfId="0" applyFill="1"/>
    <xf numFmtId="0" fontId="0" fillId="57" borderId="0" xfId="0" applyFill="1" applyAlignment="1">
      <alignment horizontal="right"/>
    </xf>
    <xf numFmtId="167" fontId="0" fillId="57" borderId="0" xfId="0" applyNumberFormat="1" applyFill="1"/>
    <xf numFmtId="0" fontId="51" fillId="0" borderId="0" xfId="0" applyFont="1"/>
    <xf numFmtId="0" fontId="47" fillId="45" borderId="9" xfId="0" applyFont="1" applyFill="1" applyBorder="1" applyAlignment="1">
      <alignment horizontal="right" vertical="top" wrapText="1" readingOrder="2"/>
    </xf>
    <xf numFmtId="167" fontId="0" fillId="2" borderId="37" xfId="0" applyNumberFormat="1" applyFill="1" applyBorder="1"/>
    <xf numFmtId="0" fontId="0" fillId="53" borderId="1" xfId="0" applyFill="1" applyBorder="1"/>
    <xf numFmtId="0" fontId="0" fillId="53" borderId="6" xfId="0" applyFill="1" applyBorder="1"/>
    <xf numFmtId="0" fontId="0" fillId="53" borderId="3" xfId="0" applyFill="1" applyBorder="1"/>
    <xf numFmtId="0" fontId="0" fillId="51" borderId="1" xfId="0" applyFill="1" applyBorder="1"/>
    <xf numFmtId="0" fontId="0" fillId="51" borderId="6" xfId="0" applyFill="1" applyBorder="1"/>
    <xf numFmtId="0" fontId="12" fillId="58" borderId="0" xfId="0" applyFont="1" applyFill="1"/>
    <xf numFmtId="167" fontId="12" fillId="58" borderId="0" xfId="0" applyNumberFormat="1" applyFont="1" applyFill="1"/>
    <xf numFmtId="167" fontId="0" fillId="58" borderId="0" xfId="0" applyNumberFormat="1" applyFill="1"/>
    <xf numFmtId="10" fontId="0" fillId="58" borderId="0" xfId="0" applyNumberFormat="1" applyFill="1"/>
    <xf numFmtId="0" fontId="0" fillId="58" borderId="0" xfId="0" applyFill="1"/>
    <xf numFmtId="164" fontId="0" fillId="51" borderId="0" xfId="1" applyFont="1" applyFill="1"/>
    <xf numFmtId="177" fontId="0" fillId="44" borderId="0" xfId="0" applyNumberFormat="1" applyFill="1"/>
    <xf numFmtId="177" fontId="0" fillId="0" borderId="5" xfId="0" applyNumberFormat="1" applyBorder="1"/>
    <xf numFmtId="49" fontId="0" fillId="0" borderId="0" xfId="0" applyNumberFormat="1" applyAlignment="1">
      <alignment horizontal="right"/>
    </xf>
    <xf numFmtId="0" fontId="0" fillId="53" borderId="1" xfId="0" applyFill="1" applyBorder="1" applyAlignment="1">
      <alignment horizontal="right" readingOrder="2"/>
    </xf>
    <xf numFmtId="0" fontId="0" fillId="53" borderId="3" xfId="0" applyFill="1" applyBorder="1" applyAlignment="1">
      <alignment horizontal="right" readingOrder="2"/>
    </xf>
    <xf numFmtId="0" fontId="0" fillId="53" borderId="6" xfId="0" applyFill="1" applyBorder="1" applyAlignment="1">
      <alignment horizontal="right" readingOrder="2"/>
    </xf>
    <xf numFmtId="0" fontId="0" fillId="2" borderId="0" xfId="0" applyFill="1" applyAlignment="1">
      <alignment horizontal="right" readingOrder="2"/>
    </xf>
    <xf numFmtId="0" fontId="46" fillId="0" borderId="34" xfId="0" applyFont="1" applyBorder="1" applyAlignment="1">
      <alignment vertical="center" wrapText="1" readingOrder="2"/>
    </xf>
    <xf numFmtId="0" fontId="0" fillId="55" borderId="1" xfId="0" applyFill="1" applyBorder="1"/>
    <xf numFmtId="0" fontId="0" fillId="55" borderId="3" xfId="0" applyFill="1" applyBorder="1"/>
    <xf numFmtId="0" fontId="0" fillId="55" borderId="6" xfId="0" applyFill="1" applyBorder="1"/>
    <xf numFmtId="1" fontId="0" fillId="57" borderId="0" xfId="0" applyNumberFormat="1" applyFill="1"/>
    <xf numFmtId="0" fontId="0" fillId="2" borderId="1" xfId="0" applyFill="1" applyBorder="1"/>
    <xf numFmtId="10" fontId="0" fillId="2" borderId="6" xfId="0" applyNumberFormat="1" applyFill="1" applyBorder="1"/>
    <xf numFmtId="0" fontId="12" fillId="57" borderId="1" xfId="0" applyFont="1" applyFill="1" applyBorder="1"/>
    <xf numFmtId="177" fontId="0" fillId="57" borderId="3" xfId="0" applyNumberFormat="1" applyFill="1" applyBorder="1"/>
    <xf numFmtId="177" fontId="0" fillId="0" borderId="7" xfId="0" applyNumberFormat="1" applyBorder="1"/>
    <xf numFmtId="177" fontId="0" fillId="0" borderId="0" xfId="0" applyNumberFormat="1" applyAlignment="1">
      <alignment wrapText="1"/>
    </xf>
    <xf numFmtId="177" fontId="0" fillId="0" borderId="59" xfId="0" applyNumberFormat="1" applyBorder="1"/>
    <xf numFmtId="177" fontId="0" fillId="0" borderId="57" xfId="0" applyNumberFormat="1" applyBorder="1" applyAlignment="1">
      <alignment wrapText="1"/>
    </xf>
    <xf numFmtId="0" fontId="5" fillId="0" borderId="0" xfId="0" applyFont="1" applyAlignment="1">
      <alignment horizontal="right" wrapText="1" readingOrder="2"/>
    </xf>
    <xf numFmtId="0" fontId="39" fillId="0" borderId="0" xfId="53" applyAlignment="1">
      <alignment horizontal="right" readingOrder="2"/>
    </xf>
    <xf numFmtId="0" fontId="16" fillId="0" borderId="27" xfId="0" applyFont="1" applyBorder="1" applyAlignment="1">
      <alignment horizontal="center" vertical="center" wrapText="1" readingOrder="2"/>
    </xf>
    <xf numFmtId="0" fontId="16" fillId="0" borderId="20" xfId="0" applyFont="1" applyBorder="1" applyAlignment="1">
      <alignment horizontal="center" vertical="center" wrapText="1" readingOrder="2"/>
    </xf>
    <xf numFmtId="0" fontId="15" fillId="0" borderId="27" xfId="0" applyFont="1" applyBorder="1" applyAlignment="1">
      <alignment horizontal="center" vertical="center" wrapText="1" readingOrder="2"/>
    </xf>
    <xf numFmtId="0" fontId="15" fillId="0" borderId="20" xfId="0" applyFont="1" applyBorder="1" applyAlignment="1">
      <alignment horizontal="center" vertical="center" wrapText="1" readingOrder="2"/>
    </xf>
    <xf numFmtId="2" fontId="3" fillId="0" borderId="0" xfId="2" applyNumberFormat="1" applyFont="1"/>
    <xf numFmtId="0" fontId="4" fillId="0" borderId="0" xfId="0" applyFont="1" applyBorder="1" applyAlignment="1">
      <alignment horizontal="center"/>
    </xf>
    <xf numFmtId="0" fontId="0" fillId="0" borderId="0" xfId="0" applyBorder="1"/>
    <xf numFmtId="177" fontId="0" fillId="0" borderId="0" xfId="0" applyNumberFormat="1" applyBorder="1"/>
    <xf numFmtId="0" fontId="55" fillId="0" borderId="0" xfId="61"/>
    <xf numFmtId="0" fontId="55" fillId="0" borderId="0" xfId="61"/>
    <xf numFmtId="0" fontId="55" fillId="0" borderId="0" xfId="61"/>
  </cellXfs>
  <cellStyles count="72">
    <cellStyle name="20% - הדגשה1 2" xfId="22" xr:uid="{3B822298-DD88-4317-8B47-960BAB0D78B9}"/>
    <cellStyle name="20% - הדגשה2 2" xfId="26" xr:uid="{31BFBB52-1DF8-4AD2-90F4-CCC61260F75E}"/>
    <cellStyle name="20% - הדגשה3 2" xfId="30" xr:uid="{1A57A01E-94D0-4962-9BFF-FC4CE17EC5C2}"/>
    <cellStyle name="20% - הדגשה4 2" xfId="34" xr:uid="{25122C2C-707B-4A6C-A0F9-24D78EF20AD5}"/>
    <cellStyle name="20% - הדגשה5 2" xfId="38" xr:uid="{06176B6A-0586-4FEB-A215-1B5083CE2A89}"/>
    <cellStyle name="20% - הדגשה6 2" xfId="42" xr:uid="{7FD93A70-2C3C-4EFD-9C49-DB5AF6383E49}"/>
    <cellStyle name="40% - הדגשה1 2" xfId="23" xr:uid="{860D0F07-E89B-4376-92C9-BFAEE8845CD3}"/>
    <cellStyle name="40% - הדגשה2 2" xfId="27" xr:uid="{FE1FD680-7888-407C-ABBA-2C288A6F5C69}"/>
    <cellStyle name="40% - הדגשה3 2" xfId="31" xr:uid="{A6A62170-977A-4416-A7ED-A456647143FA}"/>
    <cellStyle name="40% - הדגשה4 2" xfId="35" xr:uid="{D692DA97-0B30-4D69-88DE-A23572DC3310}"/>
    <cellStyle name="40% - הדגשה5 2" xfId="39" xr:uid="{913CD9AB-B860-49C3-AD08-1B0FA0B57D55}"/>
    <cellStyle name="40% - הדגשה6 2" xfId="43" xr:uid="{C7D7CA9A-10C2-4130-9EE6-D3033836F69E}"/>
    <cellStyle name="60% - הדגשה1 2" xfId="24" xr:uid="{9A45F6CA-EE15-430B-B8D2-273FF10A4723}"/>
    <cellStyle name="60% - הדגשה2 2" xfId="28" xr:uid="{44E93547-C751-4D96-B41D-8B12838B9F05}"/>
    <cellStyle name="60% - הדגשה3 2" xfId="32" xr:uid="{86A1E452-790B-4460-89AC-60522ADB5FF8}"/>
    <cellStyle name="60% - הדגשה4 2" xfId="36" xr:uid="{A20BAD85-1B6E-44A2-A295-9483815BDC5B}"/>
    <cellStyle name="60% - הדגשה5 2" xfId="40" xr:uid="{90B42CC7-0031-4DE2-98A6-C9CC61949237}"/>
    <cellStyle name="60% - הדגשה6 2" xfId="44" xr:uid="{C6AD39E0-57D1-4356-9299-13337C44A357}"/>
    <cellStyle name="BottomRowStyle" xfId="47" xr:uid="{5A8CCDFC-9729-436B-B735-1292E6078C0E}"/>
    <cellStyle name="colorStyleHigh" xfId="45" xr:uid="{107ADD27-E94E-4B38-B17B-299061B16A25}"/>
    <cellStyle name="colorStyleMedium" xfId="46" xr:uid="{3A603BB8-165E-41D1-BE47-46F758C8F9F6}"/>
    <cellStyle name="Comma" xfId="3" builtinId="3"/>
    <cellStyle name="Comma 2" xfId="66" xr:uid="{A7ED3A11-1736-41D5-B967-7363CA1626AE}"/>
    <cellStyle name="Currency" xfId="1" builtinId="4"/>
    <cellStyle name="Currency 2" xfId="62" xr:uid="{D6752F0A-33BD-46B1-AC95-07ACE6669652}"/>
    <cellStyle name="Currency 3" xfId="64" xr:uid="{B515E110-B9F1-4F2E-9BF1-B97465F4D4F9}"/>
    <cellStyle name="HederStyle" xfId="48" xr:uid="{9E79E8D6-BE4E-4FD2-853B-157F3963EF87}"/>
    <cellStyle name="HederStyle_" xfId="53" xr:uid="{8C7A62BF-F686-4AF3-AD36-38F9D3264E0F}"/>
    <cellStyle name="HederStyleData" xfId="51" xr:uid="{87EE5876-6828-4956-AFF1-46CDFE3576D5}"/>
    <cellStyle name="HederStyleNoWrap" xfId="50" xr:uid="{6215E186-B813-4096-90BF-8F9B29787734}"/>
    <cellStyle name="Normal" xfId="0" builtinId="0"/>
    <cellStyle name="Normal 2" xfId="52" xr:uid="{815B90CE-7190-45DD-8FBA-F558D36C4999}"/>
    <cellStyle name="Normal 2 2" xfId="61" xr:uid="{B9C63964-1051-433E-8700-F9B472BC9526}"/>
    <cellStyle name="Normal 3" xfId="55" xr:uid="{158C962C-1D2D-4FDE-AA1A-38A8EB9FED49}"/>
    <cellStyle name="Normal 4" xfId="56" xr:uid="{FB88C52F-0F19-498C-A057-3AD1DD18D448}"/>
    <cellStyle name="Normal 5" xfId="59" xr:uid="{3B42F648-F8A2-4AD1-80E0-00E5785D0240}"/>
    <cellStyle name="Normal 5 2" xfId="70" xr:uid="{79D8594D-A3A2-4327-8620-2B5A65F7E5FF}"/>
    <cellStyle name="Normal 6" xfId="60" xr:uid="{3477B897-065E-43D1-88F9-304420ACDB6D}"/>
    <cellStyle name="Normal 6 2" xfId="71" xr:uid="{BB0DC98E-1802-4E67-844C-896EFD1B9DF7}"/>
    <cellStyle name="Normal 7" xfId="63" xr:uid="{F3C350A9-ED54-463C-9AD2-4DA040EFB8B6}"/>
    <cellStyle name="Normal 8" xfId="68" xr:uid="{5DD9B96F-E236-430F-BB77-19EE0554945B}"/>
    <cellStyle name="Percent" xfId="2" builtinId="5"/>
    <cellStyle name="Percent 2" xfId="57" xr:uid="{6E709225-C84D-4C05-A433-73DBA8531215}"/>
    <cellStyle name="Percent 3" xfId="58" xr:uid="{12F81045-B14A-4589-8311-2C3D7E5CCEB3}"/>
    <cellStyle name="Percent 3 2" xfId="69" xr:uid="{C64E35A2-C0A1-427D-916C-0F4C2F7963E9}"/>
    <cellStyle name="Percent 4" xfId="65" xr:uid="{13BA59E9-E9A0-4534-9840-793F44EEA8D2}"/>
    <cellStyle name="regularStyle" xfId="54" xr:uid="{B2E68408-E8DA-47E2-A780-A8955CD36247}"/>
    <cellStyle name="topRowStyle" xfId="49" xr:uid="{10CF6190-1440-407E-B312-03275C91EE67}"/>
    <cellStyle name="הדגשה1 2" xfId="21" xr:uid="{2FD07043-916C-46EA-B8AE-387460730ECA}"/>
    <cellStyle name="הדגשה2 2" xfId="25" xr:uid="{38C86EFE-16F2-4EE3-A6D3-27368FD75331}"/>
    <cellStyle name="הדגשה3 2" xfId="29" xr:uid="{915CC187-2107-48F1-B446-88F543C5E0D1}"/>
    <cellStyle name="הדגשה4 2" xfId="33" xr:uid="{AC8E1C71-A3B4-43AB-93D9-A21020863155}"/>
    <cellStyle name="הדגשה5 2" xfId="37" xr:uid="{A0E23F81-7902-4CB6-AC9D-1C041F96B099}"/>
    <cellStyle name="הדגשה6 2" xfId="41" xr:uid="{0A1C0619-1475-4CBA-B1D3-A7D929C00686}"/>
    <cellStyle name="הערה" xfId="4" builtinId="10" customBuiltin="1"/>
    <cellStyle name="הערה 2" xfId="67" xr:uid="{2B5AE02C-EAC1-4C58-B1A5-EECCF3EA9236}"/>
    <cellStyle name="חישוב 2" xfId="15" xr:uid="{013736A7-1C3D-4A07-9F0B-4AF31DC241CC}"/>
    <cellStyle name="טוב 2" xfId="10" xr:uid="{2402EA5A-4233-4CCB-BD75-8F70C42461AE}"/>
    <cellStyle name="טקסט אזהרה 2" xfId="18" xr:uid="{C2BFA17C-FF45-4D0D-BD5F-EDF9EDCBC20D}"/>
    <cellStyle name="טקסט הסברי 2" xfId="19" xr:uid="{5F687736-99EA-418B-9478-DCA8E3CF2306}"/>
    <cellStyle name="כותרת 1 2" xfId="6" xr:uid="{1B68BB0A-5412-4694-A67E-AFA236ABD5FC}"/>
    <cellStyle name="כותרת 2 2" xfId="7" xr:uid="{8FCB93B9-09B6-4A6C-85CC-F9FF4FB06530}"/>
    <cellStyle name="כותרת 3 2" xfId="8" xr:uid="{8AB8B63D-2C86-4D45-9CB5-085A5D6E895D}"/>
    <cellStyle name="כותרת 4 2" xfId="9" xr:uid="{0DCF02F6-12EA-46F2-B819-068AB54D8CCC}"/>
    <cellStyle name="כותרת 5" xfId="5" xr:uid="{BC1F4ACA-67EA-4262-B86C-AB13977892C3}"/>
    <cellStyle name="ניטראלי 2" xfId="12" xr:uid="{E591AE05-8CC8-4D6B-9433-BACC8A2BC2B1}"/>
    <cellStyle name="סה&quot;כ 2" xfId="20" xr:uid="{739B491D-571F-40B3-B601-04DFB00E0D45}"/>
    <cellStyle name="פלט 2" xfId="14" xr:uid="{D5BFD5A9-959F-4BFB-9AAF-0D8D583BF51E}"/>
    <cellStyle name="קלט 2" xfId="13" xr:uid="{9491722D-736F-48F3-96C1-21A218ACBFF4}"/>
    <cellStyle name="רע 2" xfId="11" xr:uid="{B02D890F-73C7-4872-B9A3-FBB9AF0BAA6A}"/>
    <cellStyle name="תא מסומן 2" xfId="17" xr:uid="{AD97ED37-191A-41C0-93BC-9FC4488B9829}"/>
    <cellStyle name="תא מקושר 2" xfId="16" xr:uid="{63DB958C-4668-40A7-8C11-7855DF139563}"/>
  </cellStyles>
  <dxfs count="4">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colors>
    <mruColors>
      <color rgb="FF00FFCC"/>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22/11/relationships/FeaturePropertyBag" Target="featurePropertyBag/featurePropertyBag.xml"/></Relationships>
</file>

<file path=xl/ctrlProps/ctrlProp1.xml><?xml version="1.0" encoding="utf-8"?>
<formControlPr xmlns="http://schemas.microsoft.com/office/spreadsheetml/2009/9/main" objectType="Drop" dropStyle="combo" dx="16" fmlaLink="$B$9" fmlaRange="DERUG!$B$3:$C$64" noThreeD="1" sel="1" val="0"/>
</file>

<file path=xl/ctrlProps/ctrlProp2.xml><?xml version="1.0" encoding="utf-8"?>
<formControlPr xmlns="http://schemas.microsoft.com/office/spreadsheetml/2009/9/main" objectType="Drop" dropStyle="combo" dx="16" fmlaLink="$B$10" fmlaRange="DARGA!$B$2:$C$111" noThreeD="1" sel="11" val="10"/>
</file>

<file path=xl/ctrlProps/ctrlProp3.xml><?xml version="1.0" encoding="utf-8"?>
<formControlPr xmlns="http://schemas.microsoft.com/office/spreadsheetml/2009/9/main" objectType="Drop" dropStyle="combo" dx="16" fmlaLink="$B$4" fmlaRange="MISRAD!$B$5:$C$81" noThreeD="1" sel="9" val="7"/>
</file>

<file path=xl/ctrlProps/ctrlProp4.xml><?xml version="1.0" encoding="utf-8"?>
<formControlPr xmlns="http://schemas.microsoft.com/office/spreadsheetml/2009/9/main" objectType="Drop" dropStyle="combo" dx="16" fmlaLink="$B$6" fmlaRange="'tosafot '!$B$7:$C$234" noThreeD="1" sel="1" val="0"/>
</file>

<file path=xl/ctrlProps/ctrlProp5.xml><?xml version="1.0" encoding="utf-8"?>
<formControlPr xmlns="http://schemas.microsoft.com/office/spreadsheetml/2009/9/main" objectType="Drop" dropStyle="combo" dx="16" fmlaLink="$B$7" fmlaRange="'tosafot '!$B$7:$C$234" noThreeD="1" sel="228" val="220"/>
</file>

<file path=xl/ctrlProps/ctrlProp6.xml><?xml version="1.0" encoding="utf-8"?>
<formControlPr xmlns="http://schemas.microsoft.com/office/spreadsheetml/2009/9/main" objectType="Drop" dropLines="9" dropStyle="combo" dx="16" fmlaLink="H19" fmlaRange="'tos reforma 4147'!$A$8:$B$16" noThreeD="1" sel="2" val="0"/>
</file>

<file path=xl/ctrlProps/ctrlProp7.xml><?xml version="1.0" encoding="utf-8"?>
<formControlPr xmlns="http://schemas.microsoft.com/office/spreadsheetml/2009/9/main" objectType="Drop" dropStyle="combo" dx="16" fmlaLink="$H$81" fmlaRange="parameter!$L$20:$M$22" noThreeD="1" sel="2" val="0"/>
</file>

<file path=xl/ctrlProps/ctrlProp8.xml><?xml version="1.0" encoding="utf-8"?>
<formControlPr xmlns="http://schemas.microsoft.com/office/spreadsheetml/2009/9/main" objectType="Drop" dropStyle="combo" dx="16" fmlaLink="H90" fmlaRange="'5268 LIVUI ORHIM'!$K$3:$L$5" noThreeD="1" sel="3" val="0"/>
</file>

<file path=xl/ctrlProps/ctrlProp9.xml><?xml version="1.0" encoding="utf-8"?>
<formControlPr xmlns="http://schemas.microsoft.com/office/spreadsheetml/2009/9/main" objectType="Drop" dropStyle="combo" dx="16" fmlaLink="$B$5" fmlaRange="'חודש פרישה'!$B$1:$C$693" noThreeD="1" sel="1"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H52" fmlaRange="'5539 MEMUNE'!$K$3:$L$5" noThreeD="1" sel="2" val="0"/>
</file>

<file path=xl/ctrlProps/ctrlProp12.xml><?xml version="1.0" encoding="utf-8"?>
<formControlPr xmlns="http://schemas.microsoft.com/office/spreadsheetml/2009/9/main" objectType="CheckBox" fmlaLink="G5" lockText="1" noThreeD="1"/>
</file>

<file path=xl/ctrlProps/ctrlProp13.xml><?xml version="1.0" encoding="utf-8"?>
<formControlPr xmlns="http://schemas.microsoft.com/office/spreadsheetml/2009/9/main" objectType="CheckBox" fmlaLink="G6" lockText="1" noThreeD="1"/>
</file>

<file path=xl/ctrlProps/ctrlProp14.xml><?xml version="1.0" encoding="utf-8"?>
<formControlPr xmlns="http://schemas.microsoft.com/office/spreadsheetml/2009/9/main" objectType="CheckBox" fmlaLink="G7" lockText="1" noThreeD="1"/>
</file>

<file path=xl/ctrlProps/ctrlProp15.xml><?xml version="1.0" encoding="utf-8"?>
<formControlPr xmlns="http://schemas.microsoft.com/office/spreadsheetml/2009/9/main" objectType="CheckBox" fmlaLink="G8" lockText="1" noThreeD="1"/>
</file>

<file path=xl/ctrlProps/ctrlProp16.xml><?xml version="1.0" encoding="utf-8"?>
<formControlPr xmlns="http://schemas.microsoft.com/office/spreadsheetml/2009/9/main" objectType="CheckBox" fmlaLink="G9" lockText="1" noThreeD="1"/>
</file>

<file path=xl/ctrlProps/ctrlProp17.xml><?xml version="1.0" encoding="utf-8"?>
<formControlPr xmlns="http://schemas.microsoft.com/office/spreadsheetml/2009/9/main" objectType="CheckBox" fmlaLink="G10" lockText="1" noThreeD="1"/>
</file>

<file path=xl/ctrlProps/ctrlProp18.xml><?xml version="1.0" encoding="utf-8"?>
<formControlPr xmlns="http://schemas.microsoft.com/office/spreadsheetml/2009/9/main" objectType="CheckBox" fmlaLink="G11" lockText="1" noThreeD="1"/>
</file>

<file path=xl/ctrlProps/ctrlProp19.xml><?xml version="1.0" encoding="utf-8"?>
<formControlPr xmlns="http://schemas.microsoft.com/office/spreadsheetml/2009/9/main" objectType="CheckBox" fmlaLink="G12" lockText="1" noThreeD="1"/>
</file>

<file path=xl/ctrlProps/ctrlProp20.xml><?xml version="1.0" encoding="utf-8"?>
<formControlPr xmlns="http://schemas.microsoft.com/office/spreadsheetml/2009/9/main" objectType="CheckBox" fmlaLink="G13" lockText="1" noThreeD="1"/>
</file>

<file path=xl/ctrlProps/ctrlProp21.xml><?xml version="1.0" encoding="utf-8"?>
<formControlPr xmlns="http://schemas.microsoft.com/office/spreadsheetml/2009/9/main" objectType="CheckBox" fmlaLink="G14" lockText="1" noThreeD="1"/>
</file>

<file path=xl/ctrlProps/ctrlProp22.xml><?xml version="1.0" encoding="utf-8"?>
<formControlPr xmlns="http://schemas.microsoft.com/office/spreadsheetml/2009/9/main" objectType="CheckBox" fmlaLink="G15" lockText="1" noThreeD="1"/>
</file>

<file path=xl/ctrlProps/ctrlProp23.xml><?xml version="1.0" encoding="utf-8"?>
<formControlPr xmlns="http://schemas.microsoft.com/office/spreadsheetml/2009/9/main" objectType="CheckBox" fmlaLink="G16" lockText="1" noThreeD="1"/>
</file>

<file path=xl/ctrlProps/ctrlProp24.xml><?xml version="1.0" encoding="utf-8"?>
<formControlPr xmlns="http://schemas.microsoft.com/office/spreadsheetml/2009/9/main" objectType="CheckBox" fmlaLink="G17" lockText="1" noThreeD="1"/>
</file>

<file path=xl/ctrlProps/ctrlProp25.xml><?xml version="1.0" encoding="utf-8"?>
<formControlPr xmlns="http://schemas.microsoft.com/office/spreadsheetml/2009/9/main" objectType="CheckBox" fmlaLink="G18" lockText="1" noThreeD="1"/>
</file>

<file path=xl/ctrlProps/ctrlProp26.xml><?xml version="1.0" encoding="utf-8"?>
<formControlPr xmlns="http://schemas.microsoft.com/office/spreadsheetml/2009/9/main" objectType="CheckBox" fmlaLink="G19" lockText="1" noThreeD="1"/>
</file>

<file path=xl/ctrlProps/ctrlProp27.xml><?xml version="1.0" encoding="utf-8"?>
<formControlPr xmlns="http://schemas.microsoft.com/office/spreadsheetml/2009/9/main" objectType="CheckBox" fmlaLink="G20" lockText="1" noThreeD="1"/>
</file>

<file path=xl/ctrlProps/ctrlProp28.xml><?xml version="1.0" encoding="utf-8"?>
<formControlPr xmlns="http://schemas.microsoft.com/office/spreadsheetml/2009/9/main" objectType="CheckBox" fmlaLink="G21" lockText="1" noThreeD="1"/>
</file>

<file path=xl/ctrlProps/ctrlProp29.xml><?xml version="1.0" encoding="utf-8"?>
<formControlPr xmlns="http://schemas.microsoft.com/office/spreadsheetml/2009/9/main" objectType="CheckBox" fmlaLink="G22" lockText="1" noThreeD="1"/>
</file>

<file path=xl/ctrlProps/ctrlProp30.xml><?xml version="1.0" encoding="utf-8"?>
<formControlPr xmlns="http://schemas.microsoft.com/office/spreadsheetml/2009/9/main" objectType="CheckBox" fmlaLink="G23" lockText="1" noThreeD="1"/>
</file>

<file path=xl/ctrlProps/ctrlProp31.xml><?xml version="1.0" encoding="utf-8"?>
<formControlPr xmlns="http://schemas.microsoft.com/office/spreadsheetml/2009/9/main" objectType="CheckBox" fmlaLink="G24" lockText="1" noThreeD="1"/>
</file>

<file path=xl/ctrlProps/ctrlProp32.xml><?xml version="1.0" encoding="utf-8"?>
<formControlPr xmlns="http://schemas.microsoft.com/office/spreadsheetml/2009/9/main" objectType="CheckBox" fmlaLink="G25" lockText="1" noThreeD="1"/>
</file>

<file path=xl/ctrlProps/ctrlProp33.xml><?xml version="1.0" encoding="utf-8"?>
<formControlPr xmlns="http://schemas.microsoft.com/office/spreadsheetml/2009/9/main" objectType="CheckBox" fmlaLink="G26" lockText="1" noThreeD="1"/>
</file>

<file path=xl/ctrlProps/ctrlProp34.xml><?xml version="1.0" encoding="utf-8"?>
<formControlPr xmlns="http://schemas.microsoft.com/office/spreadsheetml/2009/9/main" objectType="CheckBox" fmlaLink="G27" lockText="1" noThreeD="1"/>
</file>

<file path=xl/ctrlProps/ctrlProp35.xml><?xml version="1.0" encoding="utf-8"?>
<formControlPr xmlns="http://schemas.microsoft.com/office/spreadsheetml/2009/9/main" objectType="CheckBox" fmlaLink="G28" lockText="1" noThreeD="1"/>
</file>

<file path=xl/ctrlProps/ctrlProp36.xml><?xml version="1.0" encoding="utf-8"?>
<formControlPr xmlns="http://schemas.microsoft.com/office/spreadsheetml/2009/9/main" objectType="CheckBox" fmlaLink="G29" lockText="1" noThreeD="1"/>
</file>

<file path=xl/ctrlProps/ctrlProp37.xml><?xml version="1.0" encoding="utf-8"?>
<formControlPr xmlns="http://schemas.microsoft.com/office/spreadsheetml/2009/9/main" objectType="CheckBox" fmlaLink="G30" lockText="1" noThreeD="1"/>
</file>

<file path=xl/ctrlProps/ctrlProp38.xml><?xml version="1.0" encoding="utf-8"?>
<formControlPr xmlns="http://schemas.microsoft.com/office/spreadsheetml/2009/9/main" objectType="CheckBox" checked="Checked" fmlaLink="G31" lockText="1" noThreeD="1"/>
</file>

<file path=xl/ctrlProps/ctrlProp39.xml><?xml version="1.0" encoding="utf-8"?>
<formControlPr xmlns="http://schemas.microsoft.com/office/spreadsheetml/2009/9/main" objectType="CheckBox" fmlaLink="G32" lockText="1" noThreeD="1"/>
</file>

<file path=xl/ctrlProps/ctrlProp40.xml><?xml version="1.0" encoding="utf-8"?>
<formControlPr xmlns="http://schemas.microsoft.com/office/spreadsheetml/2009/9/main" objectType="CheckBox" fmlaLink="G33" lockText="1" noThreeD="1"/>
</file>

<file path=xl/ctrlProps/ctrlProp41.xml><?xml version="1.0" encoding="utf-8"?>
<formControlPr xmlns="http://schemas.microsoft.com/office/spreadsheetml/2009/9/main" objectType="CheckBox" fmlaLink="G34" lockText="1" noThreeD="1"/>
</file>

<file path=xl/ctrlProps/ctrlProp42.xml><?xml version="1.0" encoding="utf-8"?>
<formControlPr xmlns="http://schemas.microsoft.com/office/spreadsheetml/2009/9/main" objectType="CheckBox" fmlaLink="G35" lockText="1" noThreeD="1"/>
</file>

<file path=xl/ctrlProps/ctrlProp43.xml><?xml version="1.0" encoding="utf-8"?>
<formControlPr xmlns="http://schemas.microsoft.com/office/spreadsheetml/2009/9/main" objectType="CheckBox" fmlaLink="G36" lockText="1" noThreeD="1"/>
</file>

<file path=xl/ctrlProps/ctrlProp44.xml><?xml version="1.0" encoding="utf-8"?>
<formControlPr xmlns="http://schemas.microsoft.com/office/spreadsheetml/2009/9/main" objectType="CheckBox" fmlaLink="G37" lockText="1" noThreeD="1"/>
</file>

<file path=xl/ctrlProps/ctrlProp45.xml><?xml version="1.0" encoding="utf-8"?>
<formControlPr xmlns="http://schemas.microsoft.com/office/spreadsheetml/2009/9/main" objectType="CheckBox" checked="Checked" fmlaLink="G38" lockText="1" noThreeD="1"/>
</file>

<file path=xl/ctrlProps/ctrlProp46.xml><?xml version="1.0" encoding="utf-8"?>
<formControlPr xmlns="http://schemas.microsoft.com/office/spreadsheetml/2009/9/main" objectType="CheckBox" fmlaLink="G39" lockText="1" noThreeD="1"/>
</file>

<file path=xl/ctrlProps/ctrlProp47.xml><?xml version="1.0" encoding="utf-8"?>
<formControlPr xmlns="http://schemas.microsoft.com/office/spreadsheetml/2009/9/main" objectType="CheckBox" checked="Checked" fmlaLink="G40" lockText="1" noThreeD="1"/>
</file>

<file path=xl/ctrlProps/ctrlProp48.xml><?xml version="1.0" encoding="utf-8"?>
<formControlPr xmlns="http://schemas.microsoft.com/office/spreadsheetml/2009/9/main" objectType="CheckBox" checked="Checked" fmlaLink="G41" lockText="1" noThreeD="1"/>
</file>

<file path=xl/ctrlProps/ctrlProp49.xml><?xml version="1.0" encoding="utf-8"?>
<formControlPr xmlns="http://schemas.microsoft.com/office/spreadsheetml/2009/9/main" objectType="CheckBox" fmlaLink="G42" lockText="1" noThreeD="1"/>
</file>

<file path=xl/ctrlProps/ctrlProp50.xml><?xml version="1.0" encoding="utf-8"?>
<formControlPr xmlns="http://schemas.microsoft.com/office/spreadsheetml/2009/9/main" objectType="CheckBox" fmlaLink="G43" lockText="1" noThreeD="1"/>
</file>

<file path=xl/ctrlProps/ctrlProp51.xml><?xml version="1.0" encoding="utf-8"?>
<formControlPr xmlns="http://schemas.microsoft.com/office/spreadsheetml/2009/9/main" objectType="CheckBox" fmlaLink="G44" lockText="1" noThreeD="1"/>
</file>

<file path=xl/ctrlProps/ctrlProp52.xml><?xml version="1.0" encoding="utf-8"?>
<formControlPr xmlns="http://schemas.microsoft.com/office/spreadsheetml/2009/9/main" objectType="CheckBox" fmlaLink="G45" lockText="1" noThreeD="1"/>
</file>

<file path=xl/ctrlProps/ctrlProp53.xml><?xml version="1.0" encoding="utf-8"?>
<formControlPr xmlns="http://schemas.microsoft.com/office/spreadsheetml/2009/9/main" objectType="CheckBox" fmlaLink="G46" lockText="1" noThreeD="1"/>
</file>

<file path=xl/ctrlProps/ctrlProp54.xml><?xml version="1.0" encoding="utf-8"?>
<formControlPr xmlns="http://schemas.microsoft.com/office/spreadsheetml/2009/9/main" objectType="CheckBox" fmlaLink="G47" lockText="1" noThreeD="1"/>
</file>

<file path=xl/ctrlProps/ctrlProp55.xml><?xml version="1.0" encoding="utf-8"?>
<formControlPr xmlns="http://schemas.microsoft.com/office/spreadsheetml/2009/9/main" objectType="CheckBox" fmlaLink="G48" lockText="1" noThreeD="1"/>
</file>

<file path=xl/ctrlProps/ctrlProp56.xml><?xml version="1.0" encoding="utf-8"?>
<formControlPr xmlns="http://schemas.microsoft.com/office/spreadsheetml/2009/9/main" objectType="CheckBox" fmlaLink="G49" lockText="1" noThreeD="1"/>
</file>

<file path=xl/ctrlProps/ctrlProp57.xml><?xml version="1.0" encoding="utf-8"?>
<formControlPr xmlns="http://schemas.microsoft.com/office/spreadsheetml/2009/9/main" objectType="CheckBox" fmlaLink="G50" lockText="1" noThreeD="1"/>
</file>

<file path=xl/ctrlProps/ctrlProp58.xml><?xml version="1.0" encoding="utf-8"?>
<formControlPr xmlns="http://schemas.microsoft.com/office/spreadsheetml/2009/9/main" objectType="CheckBox" fmlaLink="G51" lockText="1" noThreeD="1"/>
</file>

<file path=xl/ctrlProps/ctrlProp59.xml><?xml version="1.0" encoding="utf-8"?>
<formControlPr xmlns="http://schemas.microsoft.com/office/spreadsheetml/2009/9/main" objectType="CheckBox" fmlaLink="G52" lockText="1" noThreeD="1"/>
</file>

<file path=xl/ctrlProps/ctrlProp60.xml><?xml version="1.0" encoding="utf-8"?>
<formControlPr xmlns="http://schemas.microsoft.com/office/spreadsheetml/2009/9/main" objectType="CheckBox" fmlaLink="G53" lockText="1" noThreeD="1"/>
</file>

<file path=xl/ctrlProps/ctrlProp61.xml><?xml version="1.0" encoding="utf-8"?>
<formControlPr xmlns="http://schemas.microsoft.com/office/spreadsheetml/2009/9/main" objectType="CheckBox" fmlaLink="G54" lockText="1" noThreeD="1"/>
</file>

<file path=xl/ctrlProps/ctrlProp62.xml><?xml version="1.0" encoding="utf-8"?>
<formControlPr xmlns="http://schemas.microsoft.com/office/spreadsheetml/2009/9/main" objectType="CheckBox" fmlaLink="G55" lockText="1" noThreeD="1"/>
</file>

<file path=xl/ctrlProps/ctrlProp63.xml><?xml version="1.0" encoding="utf-8"?>
<formControlPr xmlns="http://schemas.microsoft.com/office/spreadsheetml/2009/9/main" objectType="CheckBox" fmlaLink="G56" lockText="1" noThreeD="1"/>
</file>

<file path=xl/ctrlProps/ctrlProp64.xml><?xml version="1.0" encoding="utf-8"?>
<formControlPr xmlns="http://schemas.microsoft.com/office/spreadsheetml/2009/9/main" objectType="CheckBox" fmlaLink="G57" lockText="1" noThreeD="1"/>
</file>

<file path=xl/ctrlProps/ctrlProp65.xml><?xml version="1.0" encoding="utf-8"?>
<formControlPr xmlns="http://schemas.microsoft.com/office/spreadsheetml/2009/9/main" objectType="CheckBox" fmlaLink="G58" lockText="1" noThreeD="1"/>
</file>

<file path=xl/ctrlProps/ctrlProp66.xml><?xml version="1.0" encoding="utf-8"?>
<formControlPr xmlns="http://schemas.microsoft.com/office/spreadsheetml/2009/9/main" objectType="CheckBox" fmlaLink="G59" lockText="1" noThreeD="1"/>
</file>

<file path=xl/ctrlProps/ctrlProp67.xml><?xml version="1.0" encoding="utf-8"?>
<formControlPr xmlns="http://schemas.microsoft.com/office/spreadsheetml/2009/9/main" objectType="CheckBox" fmlaLink="G60" lockText="1" noThreeD="1"/>
</file>

<file path=xl/ctrlProps/ctrlProp68.xml><?xml version="1.0" encoding="utf-8"?>
<formControlPr xmlns="http://schemas.microsoft.com/office/spreadsheetml/2009/9/main" objectType="CheckBox" fmlaLink="G61" lockText="1" noThreeD="1"/>
</file>

<file path=xl/ctrlProps/ctrlProp69.xml><?xml version="1.0" encoding="utf-8"?>
<formControlPr xmlns="http://schemas.microsoft.com/office/spreadsheetml/2009/9/main" objectType="CheckBox" fmlaLink="G62" lockText="1" noThreeD="1"/>
</file>

<file path=xl/ctrlProps/ctrlProp70.xml><?xml version="1.0" encoding="utf-8"?>
<formControlPr xmlns="http://schemas.microsoft.com/office/spreadsheetml/2009/9/main" objectType="CheckBox" fmlaLink="G63" lockText="1" noThreeD="1"/>
</file>

<file path=xl/ctrlProps/ctrlProp71.xml><?xml version="1.0" encoding="utf-8"?>
<formControlPr xmlns="http://schemas.microsoft.com/office/spreadsheetml/2009/9/main" objectType="CheckBox" fmlaLink="G64" lockText="1" noThreeD="1"/>
</file>

<file path=xl/ctrlProps/ctrlProp72.xml><?xml version="1.0" encoding="utf-8"?>
<formControlPr xmlns="http://schemas.microsoft.com/office/spreadsheetml/2009/9/main" objectType="CheckBox" fmlaLink="G65" lockText="1" noThreeD="1"/>
</file>

<file path=xl/ctrlProps/ctrlProp73.xml><?xml version="1.0" encoding="utf-8"?>
<formControlPr xmlns="http://schemas.microsoft.com/office/spreadsheetml/2009/9/main" objectType="CheckBox" fmlaLink="G66" lockText="1" noThreeD="1"/>
</file>

<file path=xl/ctrlProps/ctrlProp74.xml><?xml version="1.0" encoding="utf-8"?>
<formControlPr xmlns="http://schemas.microsoft.com/office/spreadsheetml/2009/9/main" objectType="CheckBox" fmlaLink="G67" lockText="1" noThreeD="1"/>
</file>

<file path=xl/ctrlProps/ctrlProp75.xml><?xml version="1.0" encoding="utf-8"?>
<formControlPr xmlns="http://schemas.microsoft.com/office/spreadsheetml/2009/9/main" objectType="CheckBox" fmlaLink="G68" lockText="1" noThreeD="1"/>
</file>

<file path=xl/ctrlProps/ctrlProp76.xml><?xml version="1.0" encoding="utf-8"?>
<formControlPr xmlns="http://schemas.microsoft.com/office/spreadsheetml/2009/9/main" objectType="CheckBox" fmlaLink="G69" lockText="1" noThreeD="1"/>
</file>

<file path=xl/ctrlProps/ctrlProp77.xml><?xml version="1.0" encoding="utf-8"?>
<formControlPr xmlns="http://schemas.microsoft.com/office/spreadsheetml/2009/9/main" objectType="CheckBox" fmlaLink="G70" lockText="1" noThreeD="1"/>
</file>

<file path=xl/ctrlProps/ctrlProp78.xml><?xml version="1.0" encoding="utf-8"?>
<formControlPr xmlns="http://schemas.microsoft.com/office/spreadsheetml/2009/9/main" objectType="CheckBox" fmlaLink="G71" lockText="1" noThreeD="1"/>
</file>

<file path=xl/ctrlProps/ctrlProp79.xml><?xml version="1.0" encoding="utf-8"?>
<formControlPr xmlns="http://schemas.microsoft.com/office/spreadsheetml/2009/9/main" objectType="CheckBox" fmlaLink="G72" lockText="1" noThreeD="1"/>
</file>

<file path=xl/ctrlProps/ctrlProp80.xml><?xml version="1.0" encoding="utf-8"?>
<formControlPr xmlns="http://schemas.microsoft.com/office/spreadsheetml/2009/9/main" objectType="CheckBox" fmlaLink="G73" lockText="1" noThreeD="1"/>
</file>

<file path=xl/ctrlProps/ctrlProp81.xml><?xml version="1.0" encoding="utf-8"?>
<formControlPr xmlns="http://schemas.microsoft.com/office/spreadsheetml/2009/9/main" objectType="CheckBox" fmlaLink="G74" lockText="1" noThreeD="1"/>
</file>

<file path=xl/ctrlProps/ctrlProp82.xml><?xml version="1.0" encoding="utf-8"?>
<formControlPr xmlns="http://schemas.microsoft.com/office/spreadsheetml/2009/9/main" objectType="CheckBox" fmlaLink="G75" lockText="1" noThreeD="1"/>
</file>

<file path=xl/ctrlProps/ctrlProp83.xml><?xml version="1.0" encoding="utf-8"?>
<formControlPr xmlns="http://schemas.microsoft.com/office/spreadsheetml/2009/9/main" objectType="CheckBox" fmlaLink="G76" lockText="1" noThreeD="1"/>
</file>

<file path=xl/ctrlProps/ctrlProp84.xml><?xml version="1.0" encoding="utf-8"?>
<formControlPr xmlns="http://schemas.microsoft.com/office/spreadsheetml/2009/9/main" objectType="CheckBox" fmlaLink="G77" lockText="1" noThreeD="1"/>
</file>

<file path=xl/ctrlProps/ctrlProp85.xml><?xml version="1.0" encoding="utf-8"?>
<formControlPr xmlns="http://schemas.microsoft.com/office/spreadsheetml/2009/9/main" objectType="CheckBox" fmlaLink="G78" lockText="1" noThreeD="1"/>
</file>

<file path=xl/ctrlProps/ctrlProp86.xml><?xml version="1.0" encoding="utf-8"?>
<formControlPr xmlns="http://schemas.microsoft.com/office/spreadsheetml/2009/9/main" objectType="CheckBox" fmlaLink="G79" lockText="1" noThreeD="1"/>
</file>

<file path=xl/ctrlProps/ctrlProp87.xml><?xml version="1.0" encoding="utf-8"?>
<formControlPr xmlns="http://schemas.microsoft.com/office/spreadsheetml/2009/9/main" objectType="CheckBox" fmlaLink="G80" lockText="1" noThreeD="1"/>
</file>

<file path=xl/ctrlProps/ctrlProp88.xml><?xml version="1.0" encoding="utf-8"?>
<formControlPr xmlns="http://schemas.microsoft.com/office/spreadsheetml/2009/9/main" objectType="CheckBox" fmlaLink="G81" lockText="1" noThreeD="1"/>
</file>

<file path=xl/ctrlProps/ctrlProp89.xml><?xml version="1.0" encoding="utf-8"?>
<formControlPr xmlns="http://schemas.microsoft.com/office/spreadsheetml/2009/9/main" objectType="CheckBox" fmlaLink="G82" lockText="1" noThreeD="1"/>
</file>

<file path=xl/ctrlProps/ctrlProp90.xml><?xml version="1.0" encoding="utf-8"?>
<formControlPr xmlns="http://schemas.microsoft.com/office/spreadsheetml/2009/9/main" objectType="CheckBox" fmlaLink="G83" lockText="1" noThreeD="1"/>
</file>

<file path=xl/ctrlProps/ctrlProp91.xml><?xml version="1.0" encoding="utf-8"?>
<formControlPr xmlns="http://schemas.microsoft.com/office/spreadsheetml/2009/9/main" objectType="CheckBox" fmlaLink="G84" lockText="1" noThreeD="1"/>
</file>

<file path=xl/ctrlProps/ctrlProp92.xml><?xml version="1.0" encoding="utf-8"?>
<formControlPr xmlns="http://schemas.microsoft.com/office/spreadsheetml/2009/9/main" objectType="CheckBox" fmlaLink="G85" lockText="1" noThreeD="1"/>
</file>

<file path=xl/ctrlProps/ctrlProp93.xml><?xml version="1.0" encoding="utf-8"?>
<formControlPr xmlns="http://schemas.microsoft.com/office/spreadsheetml/2009/9/main" objectType="CheckBox" fmlaLink="G86" lockText="1" noThreeD="1"/>
</file>

<file path=xl/ctrlProps/ctrlProp94.xml><?xml version="1.0" encoding="utf-8"?>
<formControlPr xmlns="http://schemas.microsoft.com/office/spreadsheetml/2009/9/main" objectType="CheckBox" fmlaLink="G87" lockText="1" noThreeD="1"/>
</file>

<file path=xl/ctrlProps/ctrlProp95.xml><?xml version="1.0" encoding="utf-8"?>
<formControlPr xmlns="http://schemas.microsoft.com/office/spreadsheetml/2009/9/main" objectType="CheckBox" fmlaLink="G88" lockText="1" noThreeD="1"/>
</file>

<file path=xl/ctrlProps/ctrlProp96.xml><?xml version="1.0" encoding="utf-8"?>
<formControlPr xmlns="http://schemas.microsoft.com/office/spreadsheetml/2009/9/main" objectType="CheckBox" fmlaLink="G89" lockText="1" noThreeD="1"/>
</file>

<file path=xl/ctrlProps/ctrlProp97.xml><?xml version="1.0" encoding="utf-8"?>
<formControlPr xmlns="http://schemas.microsoft.com/office/spreadsheetml/2009/9/main" objectType="CheckBox" fmlaLink="G90" lockText="1" noThreeD="1"/>
</file>

<file path=xl/ctrlProps/ctrlProp98.xml><?xml version="1.0" encoding="utf-8"?>
<formControlPr xmlns="http://schemas.microsoft.com/office/spreadsheetml/2009/9/main" objectType="CheckBox" fmlaLink="G91" lockText="1" noThreeD="1"/>
</file>

<file path=xl/ctrlProps/ctrlProp99.xml><?xml version="1.0" encoding="utf-8"?>
<formControlPr xmlns="http://schemas.microsoft.com/office/spreadsheetml/2009/9/main" objectType="CheckBox" fmlaLink="G92" lockText="1" noThreeD="1"/>
</file>

<file path=xl/ctrlProps/ctrlProp100.xml><?xml version="1.0" encoding="utf-8"?>
<formControlPr xmlns="http://schemas.microsoft.com/office/spreadsheetml/2009/9/main" objectType="CheckBox" fmlaLink="G93" lockText="1" noThreeD="1"/>
</file>

<file path=xl/ctrlProps/ctrlProp101.xml><?xml version="1.0" encoding="utf-8"?>
<formControlPr xmlns="http://schemas.microsoft.com/office/spreadsheetml/2009/9/main" objectType="CheckBox" fmlaLink="G94" lockText="1" noThreeD="1"/>
</file>

<file path=xl/ctrlProps/ctrlProp102.xml><?xml version="1.0" encoding="utf-8"?>
<formControlPr xmlns="http://schemas.microsoft.com/office/spreadsheetml/2009/9/main" objectType="CheckBox" fmlaLink="G95" lockText="1" noThreeD="1"/>
</file>

<file path=xl/ctrlProps/ctrlProp103.xml><?xml version="1.0" encoding="utf-8"?>
<formControlPr xmlns="http://schemas.microsoft.com/office/spreadsheetml/2009/9/main" objectType="CheckBox" fmlaLink="G96" lockText="1" noThreeD="1"/>
</file>

<file path=xl/ctrlProps/ctrlProp104.xml><?xml version="1.0" encoding="utf-8"?>
<formControlPr xmlns="http://schemas.microsoft.com/office/spreadsheetml/2009/9/main" objectType="CheckBox" fmlaLink="G97" lockText="1" noThreeD="1"/>
</file>

<file path=xl/ctrlProps/ctrlProp105.xml><?xml version="1.0" encoding="utf-8"?>
<formControlPr xmlns="http://schemas.microsoft.com/office/spreadsheetml/2009/9/main" objectType="CheckBox" fmlaLink="G98" lockText="1" noThreeD="1"/>
</file>

<file path=xl/ctrlProps/ctrlProp106.xml><?xml version="1.0" encoding="utf-8"?>
<formControlPr xmlns="http://schemas.microsoft.com/office/spreadsheetml/2009/9/main" objectType="CheckBox" fmlaLink="G99" lockText="1" noThreeD="1"/>
</file>

<file path=xl/ctrlProps/ctrlProp107.xml><?xml version="1.0" encoding="utf-8"?>
<formControlPr xmlns="http://schemas.microsoft.com/office/spreadsheetml/2009/9/main" objectType="CheckBox" fmlaLink="G100" lockText="1" noThreeD="1"/>
</file>

<file path=xl/ctrlProps/ctrlProp108.xml><?xml version="1.0" encoding="utf-8"?>
<formControlPr xmlns="http://schemas.microsoft.com/office/spreadsheetml/2009/9/main" objectType="CheckBox" fmlaLink="G101" lockText="1" noThreeD="1"/>
</file>

<file path=xl/ctrlProps/ctrlProp109.xml><?xml version="1.0" encoding="utf-8"?>
<formControlPr xmlns="http://schemas.microsoft.com/office/spreadsheetml/2009/9/main" objectType="CheckBox" fmlaLink="G102" lockText="1" noThreeD="1"/>
</file>

<file path=xl/ctrlProps/ctrlProp110.xml><?xml version="1.0" encoding="utf-8"?>
<formControlPr xmlns="http://schemas.microsoft.com/office/spreadsheetml/2009/9/main" objectType="CheckBox" fmlaLink="G103" lockText="1" noThreeD="1"/>
</file>

<file path=xl/ctrlProps/ctrlProp111.xml><?xml version="1.0" encoding="utf-8"?>
<formControlPr xmlns="http://schemas.microsoft.com/office/spreadsheetml/2009/9/main" objectType="CheckBox" fmlaLink="G104"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891540</xdr:colOff>
          <xdr:row>8</xdr:row>
          <xdr:rowOff>182880</xdr:rowOff>
        </xdr:to>
        <xdr:sp macro="" textlink="">
          <xdr:nvSpPr>
            <xdr:cNvPr id="34817" name="Drop Down 1"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891540</xdr:colOff>
          <xdr:row>10</xdr:row>
          <xdr:rowOff>0</xdr:rowOff>
        </xdr:to>
        <xdr:sp macro="" textlink="">
          <xdr:nvSpPr>
            <xdr:cNvPr id="34819" name="Drop Down 3"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3</xdr:row>
          <xdr:rowOff>182880</xdr:rowOff>
        </xdr:to>
        <xdr:sp macro="" textlink="">
          <xdr:nvSpPr>
            <xdr:cNvPr id="34820" name="Drop Down 4" hidden="1">
              <a:extLst>
                <a:ext uri="{63B3BB69-23CF-44E3-9099-C40C66FF867C}">
                  <a14:compatExt spid="_x0000_s34820"/>
                </a:ext>
                <a:ext uri="{FF2B5EF4-FFF2-40B4-BE49-F238E27FC236}">
                  <a16:creationId xmlns:a16="http://schemas.microsoft.com/office/drawing/2014/main" id="{00000000-0008-0000-0100-00000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891540</xdr:colOff>
          <xdr:row>5</xdr:row>
          <xdr:rowOff>182880</xdr:rowOff>
        </xdr:to>
        <xdr:sp macro="" textlink="">
          <xdr:nvSpPr>
            <xdr:cNvPr id="34823" name="Drop Down 7" hidden="1">
              <a:extLst>
                <a:ext uri="{63B3BB69-23CF-44E3-9099-C40C66FF867C}">
                  <a14:compatExt spid="_x0000_s34823"/>
                </a:ext>
                <a:ext uri="{FF2B5EF4-FFF2-40B4-BE49-F238E27FC236}">
                  <a16:creationId xmlns:a16="http://schemas.microsoft.com/office/drawing/2014/main" id="{00000000-0008-0000-0100-00000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1</xdr:col>
          <xdr:colOff>891540</xdr:colOff>
          <xdr:row>7</xdr:row>
          <xdr:rowOff>0</xdr:rowOff>
        </xdr:to>
        <xdr:sp macro="" textlink="">
          <xdr:nvSpPr>
            <xdr:cNvPr id="34824" name="Drop Down 8" hidden="1">
              <a:extLst>
                <a:ext uri="{63B3BB69-23CF-44E3-9099-C40C66FF867C}">
                  <a14:compatExt spid="_x0000_s34824"/>
                </a:ext>
                <a:ext uri="{FF2B5EF4-FFF2-40B4-BE49-F238E27FC236}">
                  <a16:creationId xmlns:a16="http://schemas.microsoft.com/office/drawing/2014/main" id="{00000000-0008-0000-0100-000008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17</xdr:row>
          <xdr:rowOff>175260</xdr:rowOff>
        </xdr:from>
        <xdr:to>
          <xdr:col>7</xdr:col>
          <xdr:colOff>563880</xdr:colOff>
          <xdr:row>19</xdr:row>
          <xdr:rowOff>0</xdr:rowOff>
        </xdr:to>
        <xdr:sp macro="" textlink="">
          <xdr:nvSpPr>
            <xdr:cNvPr id="34855" name="Drop Down 39" hidden="1">
              <a:extLst>
                <a:ext uri="{63B3BB69-23CF-44E3-9099-C40C66FF867C}">
                  <a14:compatExt spid="_x0000_s34855"/>
                </a:ext>
                <a:ext uri="{FF2B5EF4-FFF2-40B4-BE49-F238E27FC236}">
                  <a16:creationId xmlns:a16="http://schemas.microsoft.com/office/drawing/2014/main" id="{00000000-0008-0000-0100-00002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982980</xdr:colOff>
          <xdr:row>79</xdr:row>
          <xdr:rowOff>175260</xdr:rowOff>
        </xdr:from>
        <xdr:to>
          <xdr:col>7</xdr:col>
          <xdr:colOff>678180</xdr:colOff>
          <xdr:row>81</xdr:row>
          <xdr:rowOff>15240</xdr:rowOff>
        </xdr:to>
        <xdr:sp macro="" textlink="">
          <xdr:nvSpPr>
            <xdr:cNvPr id="34862" name="Drop Down 46" hidden="1">
              <a:extLst>
                <a:ext uri="{63B3BB69-23CF-44E3-9099-C40C66FF867C}">
                  <a14:compatExt spid="_x0000_s34862"/>
                </a:ext>
                <a:ext uri="{FF2B5EF4-FFF2-40B4-BE49-F238E27FC236}">
                  <a16:creationId xmlns:a16="http://schemas.microsoft.com/office/drawing/2014/main" id="{00000000-0008-0000-0100-00002E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88</xdr:row>
          <xdr:rowOff>182880</xdr:rowOff>
        </xdr:from>
        <xdr:to>
          <xdr:col>7</xdr:col>
          <xdr:colOff>716280</xdr:colOff>
          <xdr:row>90</xdr:row>
          <xdr:rowOff>7620</xdr:rowOff>
        </xdr:to>
        <xdr:sp macro="" textlink="">
          <xdr:nvSpPr>
            <xdr:cNvPr id="34863" name="Drop Down 47" hidden="1">
              <a:extLst>
                <a:ext uri="{63B3BB69-23CF-44E3-9099-C40C66FF867C}">
                  <a14:compatExt spid="_x0000_s34863"/>
                </a:ext>
                <a:ext uri="{FF2B5EF4-FFF2-40B4-BE49-F238E27FC236}">
                  <a16:creationId xmlns:a16="http://schemas.microsoft.com/office/drawing/2014/main" id="{00000000-0008-0000-0100-00002F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891540</xdr:colOff>
          <xdr:row>4</xdr:row>
          <xdr:rowOff>182880</xdr:rowOff>
        </xdr:to>
        <xdr:sp macro="" textlink="">
          <xdr:nvSpPr>
            <xdr:cNvPr id="34865" name="Drop Down 49" hidden="1">
              <a:extLst>
                <a:ext uri="{63B3BB69-23CF-44E3-9099-C40C66FF867C}">
                  <a14:compatExt spid="_x0000_s34865"/>
                </a:ext>
                <a:ext uri="{FF2B5EF4-FFF2-40B4-BE49-F238E27FC236}">
                  <a16:creationId xmlns:a16="http://schemas.microsoft.com/office/drawing/2014/main" id="{00000000-0008-0000-0100-00003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0</xdr:row>
          <xdr:rowOff>182880</xdr:rowOff>
        </xdr:from>
        <xdr:to>
          <xdr:col>7</xdr:col>
          <xdr:colOff>335280</xdr:colOff>
          <xdr:row>2</xdr:row>
          <xdr:rowOff>0</xdr:rowOff>
        </xdr:to>
        <xdr:sp macro="" textlink="">
          <xdr:nvSpPr>
            <xdr:cNvPr id="34866" name="Button 50" hidden="1">
              <a:extLst>
                <a:ext uri="{63B3BB69-23CF-44E3-9099-C40C66FF867C}">
                  <a14:compatExt spid="_x0000_s34866"/>
                </a:ext>
                <a:ext uri="{FF2B5EF4-FFF2-40B4-BE49-F238E27FC236}">
                  <a16:creationId xmlns:a16="http://schemas.microsoft.com/office/drawing/2014/main" id="{00000000-0008-0000-0100-000032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en-US" sz="1100" b="0" i="0" u="none" strike="noStrike" baseline="0">
                  <a:solidFill>
                    <a:srgbClr val="000000"/>
                  </a:solidFill>
                  <a:latin typeface="Calibri"/>
                  <a:cs typeface="Calibri"/>
                </a:rPr>
                <a:t>אפס והתחל מחדש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144780</xdr:rowOff>
        </xdr:from>
        <xdr:to>
          <xdr:col>7</xdr:col>
          <xdr:colOff>716280</xdr:colOff>
          <xdr:row>51</xdr:row>
          <xdr:rowOff>167640</xdr:rowOff>
        </xdr:to>
        <xdr:sp macro="" textlink="">
          <xdr:nvSpPr>
            <xdr:cNvPr id="146110" name="Drop Down 7870" hidden="1">
              <a:extLst>
                <a:ext uri="{63B3BB69-23CF-44E3-9099-C40C66FF867C}">
                  <a14:compatExt spid="_x0000_s146110"/>
                </a:ext>
                <a:ext uri="{FF2B5EF4-FFF2-40B4-BE49-F238E27FC236}">
                  <a16:creationId xmlns:a16="http://schemas.microsoft.com/office/drawing/2014/main" id="{00000000-0008-0000-0100-0000BE3A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xdr:row>
          <xdr:rowOff>198120</xdr:rowOff>
        </xdr:from>
        <xdr:to>
          <xdr:col>6</xdr:col>
          <xdr:colOff>457200</xdr:colOff>
          <xdr:row>5</xdr:row>
          <xdr:rowOff>15240</xdr:rowOff>
        </xdr:to>
        <xdr:sp macro="" textlink="">
          <xdr:nvSpPr>
            <xdr:cNvPr id="356135" name="chk_5" hidden="1">
              <a:extLst>
                <a:ext uri="{63B3BB69-23CF-44E3-9099-C40C66FF867C}">
                  <a14:compatExt spid="_x0000_s356135"/>
                </a:ext>
                <a:ext uri="{FF2B5EF4-FFF2-40B4-BE49-F238E27FC236}">
                  <a16:creationId xmlns:a16="http://schemas.microsoft.com/office/drawing/2014/main" id="{7E32879D-67CF-FAB2-AC29-A2E51A38DE6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xdr:row>
          <xdr:rowOff>182880</xdr:rowOff>
        </xdr:from>
        <xdr:to>
          <xdr:col>6</xdr:col>
          <xdr:colOff>457200</xdr:colOff>
          <xdr:row>6</xdr:row>
          <xdr:rowOff>7620</xdr:rowOff>
        </xdr:to>
        <xdr:sp macro="" textlink="">
          <xdr:nvSpPr>
            <xdr:cNvPr id="356136" name="chk_6" hidden="1">
              <a:extLst>
                <a:ext uri="{63B3BB69-23CF-44E3-9099-C40C66FF867C}">
                  <a14:compatExt spid="_x0000_s356136"/>
                </a:ext>
                <a:ext uri="{FF2B5EF4-FFF2-40B4-BE49-F238E27FC236}">
                  <a16:creationId xmlns:a16="http://schemas.microsoft.com/office/drawing/2014/main" id="{07B96DEE-A40B-10CD-F3EE-E8D45339AC5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xdr:row>
          <xdr:rowOff>182880</xdr:rowOff>
        </xdr:from>
        <xdr:to>
          <xdr:col>6</xdr:col>
          <xdr:colOff>457200</xdr:colOff>
          <xdr:row>7</xdr:row>
          <xdr:rowOff>22860</xdr:rowOff>
        </xdr:to>
        <xdr:sp macro="" textlink="">
          <xdr:nvSpPr>
            <xdr:cNvPr id="356137" name="chk_7" hidden="1">
              <a:extLst>
                <a:ext uri="{63B3BB69-23CF-44E3-9099-C40C66FF867C}">
                  <a14:compatExt spid="_x0000_s356137"/>
                </a:ext>
                <a:ext uri="{FF2B5EF4-FFF2-40B4-BE49-F238E27FC236}">
                  <a16:creationId xmlns:a16="http://schemas.microsoft.com/office/drawing/2014/main" id="{75E310DC-92D6-5B1A-1887-4463970FA82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xdr:row>
          <xdr:rowOff>167640</xdr:rowOff>
        </xdr:from>
        <xdr:to>
          <xdr:col>6</xdr:col>
          <xdr:colOff>457200</xdr:colOff>
          <xdr:row>8</xdr:row>
          <xdr:rowOff>7620</xdr:rowOff>
        </xdr:to>
        <xdr:sp macro="" textlink="">
          <xdr:nvSpPr>
            <xdr:cNvPr id="356138" name="chk_8" hidden="1">
              <a:extLst>
                <a:ext uri="{63B3BB69-23CF-44E3-9099-C40C66FF867C}">
                  <a14:compatExt spid="_x0000_s356138"/>
                </a:ext>
                <a:ext uri="{FF2B5EF4-FFF2-40B4-BE49-F238E27FC236}">
                  <a16:creationId xmlns:a16="http://schemas.microsoft.com/office/drawing/2014/main" id="{846A8C1D-C57E-987E-2B9A-2953C024990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xdr:row>
          <xdr:rowOff>190500</xdr:rowOff>
        </xdr:from>
        <xdr:to>
          <xdr:col>6</xdr:col>
          <xdr:colOff>457200</xdr:colOff>
          <xdr:row>9</xdr:row>
          <xdr:rowOff>15240</xdr:rowOff>
        </xdr:to>
        <xdr:sp macro="" textlink="">
          <xdr:nvSpPr>
            <xdr:cNvPr id="356139" name="chk_9" hidden="1">
              <a:extLst>
                <a:ext uri="{63B3BB69-23CF-44E3-9099-C40C66FF867C}">
                  <a14:compatExt spid="_x0000_s356139"/>
                </a:ext>
                <a:ext uri="{FF2B5EF4-FFF2-40B4-BE49-F238E27FC236}">
                  <a16:creationId xmlns:a16="http://schemas.microsoft.com/office/drawing/2014/main" id="{CFDEF4A5-3268-F600-421A-3858C081088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xdr:row>
          <xdr:rowOff>175260</xdr:rowOff>
        </xdr:from>
        <xdr:to>
          <xdr:col>6</xdr:col>
          <xdr:colOff>457200</xdr:colOff>
          <xdr:row>10</xdr:row>
          <xdr:rowOff>22860</xdr:rowOff>
        </xdr:to>
        <xdr:sp macro="" textlink="">
          <xdr:nvSpPr>
            <xdr:cNvPr id="356140" name="chk_10" hidden="1">
              <a:extLst>
                <a:ext uri="{63B3BB69-23CF-44E3-9099-C40C66FF867C}">
                  <a14:compatExt spid="_x0000_s356140"/>
                </a:ext>
                <a:ext uri="{FF2B5EF4-FFF2-40B4-BE49-F238E27FC236}">
                  <a16:creationId xmlns:a16="http://schemas.microsoft.com/office/drawing/2014/main" id="{45A053CF-85F8-D07A-C2C6-97B59ED7CDF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160020</xdr:rowOff>
        </xdr:from>
        <xdr:to>
          <xdr:col>6</xdr:col>
          <xdr:colOff>457200</xdr:colOff>
          <xdr:row>11</xdr:row>
          <xdr:rowOff>22860</xdr:rowOff>
        </xdr:to>
        <xdr:sp macro="" textlink="">
          <xdr:nvSpPr>
            <xdr:cNvPr id="356141" name="chk_11" hidden="1">
              <a:extLst>
                <a:ext uri="{63B3BB69-23CF-44E3-9099-C40C66FF867C}">
                  <a14:compatExt spid="_x0000_s356141"/>
                </a:ext>
                <a:ext uri="{FF2B5EF4-FFF2-40B4-BE49-F238E27FC236}">
                  <a16:creationId xmlns:a16="http://schemas.microsoft.com/office/drawing/2014/main" id="{44562575-9D8B-3E55-5FB3-4C8BF8AAD8D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167640</xdr:rowOff>
        </xdr:from>
        <xdr:to>
          <xdr:col>6</xdr:col>
          <xdr:colOff>457200</xdr:colOff>
          <xdr:row>12</xdr:row>
          <xdr:rowOff>15240</xdr:rowOff>
        </xdr:to>
        <xdr:sp macro="" textlink="">
          <xdr:nvSpPr>
            <xdr:cNvPr id="356142" name="chk_12" hidden="1">
              <a:extLst>
                <a:ext uri="{63B3BB69-23CF-44E3-9099-C40C66FF867C}">
                  <a14:compatExt spid="_x0000_s356142"/>
                </a:ext>
                <a:ext uri="{FF2B5EF4-FFF2-40B4-BE49-F238E27FC236}">
                  <a16:creationId xmlns:a16="http://schemas.microsoft.com/office/drawing/2014/main" id="{DC8DF62D-7E84-AAF1-B372-35FADA831D2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175260</xdr:rowOff>
        </xdr:from>
        <xdr:to>
          <xdr:col>6</xdr:col>
          <xdr:colOff>457200</xdr:colOff>
          <xdr:row>13</xdr:row>
          <xdr:rowOff>22860</xdr:rowOff>
        </xdr:to>
        <xdr:sp macro="" textlink="">
          <xdr:nvSpPr>
            <xdr:cNvPr id="356143" name="chk_13" hidden="1">
              <a:extLst>
                <a:ext uri="{63B3BB69-23CF-44E3-9099-C40C66FF867C}">
                  <a14:compatExt spid="_x0000_s356143"/>
                </a:ext>
                <a:ext uri="{FF2B5EF4-FFF2-40B4-BE49-F238E27FC236}">
                  <a16:creationId xmlns:a16="http://schemas.microsoft.com/office/drawing/2014/main" id="{EFE62C0A-737C-81E8-792F-0EDB2D31908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12</xdr:row>
          <xdr:rowOff>160020</xdr:rowOff>
        </xdr:from>
        <xdr:to>
          <xdr:col>6</xdr:col>
          <xdr:colOff>457200</xdr:colOff>
          <xdr:row>14</xdr:row>
          <xdr:rowOff>15240</xdr:rowOff>
        </xdr:to>
        <xdr:sp macro="" textlink="">
          <xdr:nvSpPr>
            <xdr:cNvPr id="356144" name="chk_14" hidden="1">
              <a:extLst>
                <a:ext uri="{63B3BB69-23CF-44E3-9099-C40C66FF867C}">
                  <a14:compatExt spid="_x0000_s356144"/>
                </a:ext>
                <a:ext uri="{FF2B5EF4-FFF2-40B4-BE49-F238E27FC236}">
                  <a16:creationId xmlns:a16="http://schemas.microsoft.com/office/drawing/2014/main" id="{17CB17F4-38F2-E792-997B-88CA78E6154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13</xdr:row>
          <xdr:rowOff>175260</xdr:rowOff>
        </xdr:from>
        <xdr:to>
          <xdr:col>6</xdr:col>
          <xdr:colOff>457200</xdr:colOff>
          <xdr:row>15</xdr:row>
          <xdr:rowOff>15240</xdr:rowOff>
        </xdr:to>
        <xdr:sp macro="" textlink="">
          <xdr:nvSpPr>
            <xdr:cNvPr id="356145" name="chk_15" hidden="1">
              <a:extLst>
                <a:ext uri="{63B3BB69-23CF-44E3-9099-C40C66FF867C}">
                  <a14:compatExt spid="_x0000_s356145"/>
                </a:ext>
                <a:ext uri="{FF2B5EF4-FFF2-40B4-BE49-F238E27FC236}">
                  <a16:creationId xmlns:a16="http://schemas.microsoft.com/office/drawing/2014/main" id="{F0B054A6-2261-2901-DBEF-C2D214125AA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14</xdr:row>
          <xdr:rowOff>175260</xdr:rowOff>
        </xdr:from>
        <xdr:to>
          <xdr:col>6</xdr:col>
          <xdr:colOff>457200</xdr:colOff>
          <xdr:row>16</xdr:row>
          <xdr:rowOff>15240</xdr:rowOff>
        </xdr:to>
        <xdr:sp macro="" textlink="">
          <xdr:nvSpPr>
            <xdr:cNvPr id="356146" name="chk_16" hidden="1">
              <a:extLst>
                <a:ext uri="{63B3BB69-23CF-44E3-9099-C40C66FF867C}">
                  <a14:compatExt spid="_x0000_s356146"/>
                </a:ext>
                <a:ext uri="{FF2B5EF4-FFF2-40B4-BE49-F238E27FC236}">
                  <a16:creationId xmlns:a16="http://schemas.microsoft.com/office/drawing/2014/main" id="{2557904C-EAFC-54D3-065B-5DA6148FE30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15</xdr:row>
          <xdr:rowOff>167640</xdr:rowOff>
        </xdr:from>
        <xdr:to>
          <xdr:col>6</xdr:col>
          <xdr:colOff>457200</xdr:colOff>
          <xdr:row>17</xdr:row>
          <xdr:rowOff>22860</xdr:rowOff>
        </xdr:to>
        <xdr:sp macro="" textlink="">
          <xdr:nvSpPr>
            <xdr:cNvPr id="356147" name="chk_17" hidden="1">
              <a:extLst>
                <a:ext uri="{63B3BB69-23CF-44E3-9099-C40C66FF867C}">
                  <a14:compatExt spid="_x0000_s356147"/>
                </a:ext>
                <a:ext uri="{FF2B5EF4-FFF2-40B4-BE49-F238E27FC236}">
                  <a16:creationId xmlns:a16="http://schemas.microsoft.com/office/drawing/2014/main" id="{1B82C82B-25C4-923A-6AB0-597FE419AF1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16</xdr:row>
          <xdr:rowOff>160020</xdr:rowOff>
        </xdr:from>
        <xdr:to>
          <xdr:col>6</xdr:col>
          <xdr:colOff>457200</xdr:colOff>
          <xdr:row>18</xdr:row>
          <xdr:rowOff>22860</xdr:rowOff>
        </xdr:to>
        <xdr:sp macro="" textlink="">
          <xdr:nvSpPr>
            <xdr:cNvPr id="356148" name="chk_18" hidden="1">
              <a:extLst>
                <a:ext uri="{63B3BB69-23CF-44E3-9099-C40C66FF867C}">
                  <a14:compatExt spid="_x0000_s356148"/>
                </a:ext>
                <a:ext uri="{FF2B5EF4-FFF2-40B4-BE49-F238E27FC236}">
                  <a16:creationId xmlns:a16="http://schemas.microsoft.com/office/drawing/2014/main" id="{133B35FC-7D8E-2EA8-AB34-08D19268DCF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17</xdr:row>
          <xdr:rowOff>160020</xdr:rowOff>
        </xdr:from>
        <xdr:to>
          <xdr:col>6</xdr:col>
          <xdr:colOff>457200</xdr:colOff>
          <xdr:row>19</xdr:row>
          <xdr:rowOff>22860</xdr:rowOff>
        </xdr:to>
        <xdr:sp macro="" textlink="">
          <xdr:nvSpPr>
            <xdr:cNvPr id="356149" name="chk_19" hidden="1">
              <a:extLst>
                <a:ext uri="{63B3BB69-23CF-44E3-9099-C40C66FF867C}">
                  <a14:compatExt spid="_x0000_s356149"/>
                </a:ext>
                <a:ext uri="{FF2B5EF4-FFF2-40B4-BE49-F238E27FC236}">
                  <a16:creationId xmlns:a16="http://schemas.microsoft.com/office/drawing/2014/main" id="{641A3F98-7385-7711-165D-9400A26B220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18</xdr:row>
          <xdr:rowOff>160020</xdr:rowOff>
        </xdr:from>
        <xdr:to>
          <xdr:col>6</xdr:col>
          <xdr:colOff>457200</xdr:colOff>
          <xdr:row>20</xdr:row>
          <xdr:rowOff>22860</xdr:rowOff>
        </xdr:to>
        <xdr:sp macro="" textlink="">
          <xdr:nvSpPr>
            <xdr:cNvPr id="356150" name="chk_20" hidden="1">
              <a:extLst>
                <a:ext uri="{63B3BB69-23CF-44E3-9099-C40C66FF867C}">
                  <a14:compatExt spid="_x0000_s356150"/>
                </a:ext>
                <a:ext uri="{FF2B5EF4-FFF2-40B4-BE49-F238E27FC236}">
                  <a16:creationId xmlns:a16="http://schemas.microsoft.com/office/drawing/2014/main" id="{46F31F9C-21CB-C282-5C4E-E79B20C7551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19</xdr:row>
          <xdr:rowOff>160020</xdr:rowOff>
        </xdr:from>
        <xdr:to>
          <xdr:col>6</xdr:col>
          <xdr:colOff>457200</xdr:colOff>
          <xdr:row>21</xdr:row>
          <xdr:rowOff>22860</xdr:rowOff>
        </xdr:to>
        <xdr:sp macro="" textlink="">
          <xdr:nvSpPr>
            <xdr:cNvPr id="356151" name="chk_21" hidden="1">
              <a:extLst>
                <a:ext uri="{63B3BB69-23CF-44E3-9099-C40C66FF867C}">
                  <a14:compatExt spid="_x0000_s356151"/>
                </a:ext>
                <a:ext uri="{FF2B5EF4-FFF2-40B4-BE49-F238E27FC236}">
                  <a16:creationId xmlns:a16="http://schemas.microsoft.com/office/drawing/2014/main" id="{082B2C81-DFB6-A2F7-D91D-CF66EFEA9F8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20</xdr:row>
          <xdr:rowOff>160020</xdr:rowOff>
        </xdr:from>
        <xdr:to>
          <xdr:col>6</xdr:col>
          <xdr:colOff>457200</xdr:colOff>
          <xdr:row>22</xdr:row>
          <xdr:rowOff>22860</xdr:rowOff>
        </xdr:to>
        <xdr:sp macro="" textlink="">
          <xdr:nvSpPr>
            <xdr:cNvPr id="356152" name="chk_22" hidden="1">
              <a:extLst>
                <a:ext uri="{63B3BB69-23CF-44E3-9099-C40C66FF867C}">
                  <a14:compatExt spid="_x0000_s356152"/>
                </a:ext>
                <a:ext uri="{FF2B5EF4-FFF2-40B4-BE49-F238E27FC236}">
                  <a16:creationId xmlns:a16="http://schemas.microsoft.com/office/drawing/2014/main" id="{8958A619-F108-00D8-D79A-1042931EDE9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21</xdr:row>
          <xdr:rowOff>160020</xdr:rowOff>
        </xdr:from>
        <xdr:to>
          <xdr:col>6</xdr:col>
          <xdr:colOff>457200</xdr:colOff>
          <xdr:row>23</xdr:row>
          <xdr:rowOff>22860</xdr:rowOff>
        </xdr:to>
        <xdr:sp macro="" textlink="">
          <xdr:nvSpPr>
            <xdr:cNvPr id="356153" name="chk_23" hidden="1">
              <a:extLst>
                <a:ext uri="{63B3BB69-23CF-44E3-9099-C40C66FF867C}">
                  <a14:compatExt spid="_x0000_s356153"/>
                </a:ext>
                <a:ext uri="{FF2B5EF4-FFF2-40B4-BE49-F238E27FC236}">
                  <a16:creationId xmlns:a16="http://schemas.microsoft.com/office/drawing/2014/main" id="{64B87C62-DBE1-A851-DEE6-19922439EC8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22</xdr:row>
          <xdr:rowOff>160020</xdr:rowOff>
        </xdr:from>
        <xdr:to>
          <xdr:col>6</xdr:col>
          <xdr:colOff>457200</xdr:colOff>
          <xdr:row>24</xdr:row>
          <xdr:rowOff>22860</xdr:rowOff>
        </xdr:to>
        <xdr:sp macro="" textlink="">
          <xdr:nvSpPr>
            <xdr:cNvPr id="356154" name="chk_24" hidden="1">
              <a:extLst>
                <a:ext uri="{63B3BB69-23CF-44E3-9099-C40C66FF867C}">
                  <a14:compatExt spid="_x0000_s356154"/>
                </a:ext>
                <a:ext uri="{FF2B5EF4-FFF2-40B4-BE49-F238E27FC236}">
                  <a16:creationId xmlns:a16="http://schemas.microsoft.com/office/drawing/2014/main" id="{E51ECBB3-BFA0-5034-AB92-7DBEC72B059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23</xdr:row>
          <xdr:rowOff>160020</xdr:rowOff>
        </xdr:from>
        <xdr:to>
          <xdr:col>6</xdr:col>
          <xdr:colOff>457200</xdr:colOff>
          <xdr:row>25</xdr:row>
          <xdr:rowOff>22860</xdr:rowOff>
        </xdr:to>
        <xdr:sp macro="" textlink="">
          <xdr:nvSpPr>
            <xdr:cNvPr id="356155" name="chk_25" hidden="1">
              <a:extLst>
                <a:ext uri="{63B3BB69-23CF-44E3-9099-C40C66FF867C}">
                  <a14:compatExt spid="_x0000_s356155"/>
                </a:ext>
                <a:ext uri="{FF2B5EF4-FFF2-40B4-BE49-F238E27FC236}">
                  <a16:creationId xmlns:a16="http://schemas.microsoft.com/office/drawing/2014/main" id="{1E9B59B1-CE2A-6FC5-926B-6B5FCFC8892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24</xdr:row>
          <xdr:rowOff>160020</xdr:rowOff>
        </xdr:from>
        <xdr:to>
          <xdr:col>6</xdr:col>
          <xdr:colOff>457200</xdr:colOff>
          <xdr:row>26</xdr:row>
          <xdr:rowOff>15240</xdr:rowOff>
        </xdr:to>
        <xdr:sp macro="" textlink="">
          <xdr:nvSpPr>
            <xdr:cNvPr id="356156" name="chk_26" hidden="1">
              <a:extLst>
                <a:ext uri="{63B3BB69-23CF-44E3-9099-C40C66FF867C}">
                  <a14:compatExt spid="_x0000_s356156"/>
                </a:ext>
                <a:ext uri="{FF2B5EF4-FFF2-40B4-BE49-F238E27FC236}">
                  <a16:creationId xmlns:a16="http://schemas.microsoft.com/office/drawing/2014/main" id="{E3FD5905-50B3-9441-D4FB-D9B668E1429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25</xdr:row>
          <xdr:rowOff>175260</xdr:rowOff>
        </xdr:from>
        <xdr:to>
          <xdr:col>6</xdr:col>
          <xdr:colOff>457200</xdr:colOff>
          <xdr:row>27</xdr:row>
          <xdr:rowOff>15240</xdr:rowOff>
        </xdr:to>
        <xdr:sp macro="" textlink="">
          <xdr:nvSpPr>
            <xdr:cNvPr id="356157" name="chk_27" hidden="1">
              <a:extLst>
                <a:ext uri="{63B3BB69-23CF-44E3-9099-C40C66FF867C}">
                  <a14:compatExt spid="_x0000_s356157"/>
                </a:ext>
                <a:ext uri="{FF2B5EF4-FFF2-40B4-BE49-F238E27FC236}">
                  <a16:creationId xmlns:a16="http://schemas.microsoft.com/office/drawing/2014/main" id="{EF2DD9E7-76D7-5ABA-1AAA-6EDDC610E00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26</xdr:row>
          <xdr:rowOff>182880</xdr:rowOff>
        </xdr:from>
        <xdr:to>
          <xdr:col>6</xdr:col>
          <xdr:colOff>457200</xdr:colOff>
          <xdr:row>28</xdr:row>
          <xdr:rowOff>15240</xdr:rowOff>
        </xdr:to>
        <xdr:sp macro="" textlink="">
          <xdr:nvSpPr>
            <xdr:cNvPr id="356158" name="chk_28" hidden="1">
              <a:extLst>
                <a:ext uri="{63B3BB69-23CF-44E3-9099-C40C66FF867C}">
                  <a14:compatExt spid="_x0000_s356158"/>
                </a:ext>
                <a:ext uri="{FF2B5EF4-FFF2-40B4-BE49-F238E27FC236}">
                  <a16:creationId xmlns:a16="http://schemas.microsoft.com/office/drawing/2014/main" id="{EC89188F-17C3-DC90-83C1-BD493504AC6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27</xdr:row>
          <xdr:rowOff>190500</xdr:rowOff>
        </xdr:from>
        <xdr:to>
          <xdr:col>6</xdr:col>
          <xdr:colOff>457200</xdr:colOff>
          <xdr:row>29</xdr:row>
          <xdr:rowOff>7620</xdr:rowOff>
        </xdr:to>
        <xdr:sp macro="" textlink="">
          <xdr:nvSpPr>
            <xdr:cNvPr id="356159" name="chk_29" hidden="1">
              <a:extLst>
                <a:ext uri="{63B3BB69-23CF-44E3-9099-C40C66FF867C}">
                  <a14:compatExt spid="_x0000_s356159"/>
                </a:ext>
                <a:ext uri="{FF2B5EF4-FFF2-40B4-BE49-F238E27FC236}">
                  <a16:creationId xmlns:a16="http://schemas.microsoft.com/office/drawing/2014/main" id="{C31A90DF-4B24-4940-3429-EBD950C93BC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28</xdr:row>
          <xdr:rowOff>205740</xdr:rowOff>
        </xdr:from>
        <xdr:to>
          <xdr:col>6</xdr:col>
          <xdr:colOff>457200</xdr:colOff>
          <xdr:row>30</xdr:row>
          <xdr:rowOff>7620</xdr:rowOff>
        </xdr:to>
        <xdr:sp macro="" textlink="">
          <xdr:nvSpPr>
            <xdr:cNvPr id="356160" name="chk_30" hidden="1">
              <a:extLst>
                <a:ext uri="{63B3BB69-23CF-44E3-9099-C40C66FF867C}">
                  <a14:compatExt spid="_x0000_s356160"/>
                </a:ext>
                <a:ext uri="{FF2B5EF4-FFF2-40B4-BE49-F238E27FC236}">
                  <a16:creationId xmlns:a16="http://schemas.microsoft.com/office/drawing/2014/main" id="{94B23818-05AC-174B-8640-66D0ABC3F58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29</xdr:row>
          <xdr:rowOff>190500</xdr:rowOff>
        </xdr:from>
        <xdr:to>
          <xdr:col>6</xdr:col>
          <xdr:colOff>457200</xdr:colOff>
          <xdr:row>31</xdr:row>
          <xdr:rowOff>15240</xdr:rowOff>
        </xdr:to>
        <xdr:sp macro="" textlink="">
          <xdr:nvSpPr>
            <xdr:cNvPr id="356161" name="chk_31" hidden="1">
              <a:extLst>
                <a:ext uri="{63B3BB69-23CF-44E3-9099-C40C66FF867C}">
                  <a14:compatExt spid="_x0000_s356161"/>
                </a:ext>
                <a:ext uri="{FF2B5EF4-FFF2-40B4-BE49-F238E27FC236}">
                  <a16:creationId xmlns:a16="http://schemas.microsoft.com/office/drawing/2014/main" id="{8A61987D-033E-0300-4C4E-91732DEAC21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30</xdr:row>
          <xdr:rowOff>167640</xdr:rowOff>
        </xdr:from>
        <xdr:to>
          <xdr:col>6</xdr:col>
          <xdr:colOff>457200</xdr:colOff>
          <xdr:row>32</xdr:row>
          <xdr:rowOff>15240</xdr:rowOff>
        </xdr:to>
        <xdr:sp macro="" textlink="">
          <xdr:nvSpPr>
            <xdr:cNvPr id="356162" name="chk_32" hidden="1">
              <a:extLst>
                <a:ext uri="{63B3BB69-23CF-44E3-9099-C40C66FF867C}">
                  <a14:compatExt spid="_x0000_s356162"/>
                </a:ext>
                <a:ext uri="{FF2B5EF4-FFF2-40B4-BE49-F238E27FC236}">
                  <a16:creationId xmlns:a16="http://schemas.microsoft.com/office/drawing/2014/main" id="{F5EAC591-D739-76F6-953D-3B7DBF486D3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31</xdr:row>
          <xdr:rowOff>167640</xdr:rowOff>
        </xdr:from>
        <xdr:to>
          <xdr:col>6</xdr:col>
          <xdr:colOff>457200</xdr:colOff>
          <xdr:row>33</xdr:row>
          <xdr:rowOff>15240</xdr:rowOff>
        </xdr:to>
        <xdr:sp macro="" textlink="">
          <xdr:nvSpPr>
            <xdr:cNvPr id="356163" name="chk_33" hidden="1">
              <a:extLst>
                <a:ext uri="{63B3BB69-23CF-44E3-9099-C40C66FF867C}">
                  <a14:compatExt spid="_x0000_s356163"/>
                </a:ext>
                <a:ext uri="{FF2B5EF4-FFF2-40B4-BE49-F238E27FC236}">
                  <a16:creationId xmlns:a16="http://schemas.microsoft.com/office/drawing/2014/main" id="{1D577F36-F1C3-A293-5DD6-58B4C7CBA3A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32</xdr:row>
          <xdr:rowOff>167640</xdr:rowOff>
        </xdr:from>
        <xdr:to>
          <xdr:col>6</xdr:col>
          <xdr:colOff>457200</xdr:colOff>
          <xdr:row>34</xdr:row>
          <xdr:rowOff>22860</xdr:rowOff>
        </xdr:to>
        <xdr:sp macro="" textlink="">
          <xdr:nvSpPr>
            <xdr:cNvPr id="356164" name="chk_34" hidden="1">
              <a:extLst>
                <a:ext uri="{63B3BB69-23CF-44E3-9099-C40C66FF867C}">
                  <a14:compatExt spid="_x0000_s356164"/>
                </a:ext>
                <a:ext uri="{FF2B5EF4-FFF2-40B4-BE49-F238E27FC236}">
                  <a16:creationId xmlns:a16="http://schemas.microsoft.com/office/drawing/2014/main" id="{E1A16E89-761B-D140-2DEC-B6BD0CCE271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33</xdr:row>
          <xdr:rowOff>160020</xdr:rowOff>
        </xdr:from>
        <xdr:to>
          <xdr:col>6</xdr:col>
          <xdr:colOff>457200</xdr:colOff>
          <xdr:row>35</xdr:row>
          <xdr:rowOff>22860</xdr:rowOff>
        </xdr:to>
        <xdr:sp macro="" textlink="">
          <xdr:nvSpPr>
            <xdr:cNvPr id="356165" name="chk_35" hidden="1">
              <a:extLst>
                <a:ext uri="{63B3BB69-23CF-44E3-9099-C40C66FF867C}">
                  <a14:compatExt spid="_x0000_s356165"/>
                </a:ext>
                <a:ext uri="{FF2B5EF4-FFF2-40B4-BE49-F238E27FC236}">
                  <a16:creationId xmlns:a16="http://schemas.microsoft.com/office/drawing/2014/main" id="{C9890423-0568-F20A-8D73-D7A33471578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34</xdr:row>
          <xdr:rowOff>160020</xdr:rowOff>
        </xdr:from>
        <xdr:to>
          <xdr:col>6</xdr:col>
          <xdr:colOff>457200</xdr:colOff>
          <xdr:row>36</xdr:row>
          <xdr:rowOff>22860</xdr:rowOff>
        </xdr:to>
        <xdr:sp macro="" textlink="">
          <xdr:nvSpPr>
            <xdr:cNvPr id="356166" name="chk_36" hidden="1">
              <a:extLst>
                <a:ext uri="{63B3BB69-23CF-44E3-9099-C40C66FF867C}">
                  <a14:compatExt spid="_x0000_s356166"/>
                </a:ext>
                <a:ext uri="{FF2B5EF4-FFF2-40B4-BE49-F238E27FC236}">
                  <a16:creationId xmlns:a16="http://schemas.microsoft.com/office/drawing/2014/main" id="{484A2D90-48BB-2370-7887-3138555664E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35</xdr:row>
          <xdr:rowOff>160020</xdr:rowOff>
        </xdr:from>
        <xdr:to>
          <xdr:col>6</xdr:col>
          <xdr:colOff>457200</xdr:colOff>
          <xdr:row>37</xdr:row>
          <xdr:rowOff>15240</xdr:rowOff>
        </xdr:to>
        <xdr:sp macro="" textlink="">
          <xdr:nvSpPr>
            <xdr:cNvPr id="356167" name="chk_37" hidden="1">
              <a:extLst>
                <a:ext uri="{63B3BB69-23CF-44E3-9099-C40C66FF867C}">
                  <a14:compatExt spid="_x0000_s356167"/>
                </a:ext>
                <a:ext uri="{FF2B5EF4-FFF2-40B4-BE49-F238E27FC236}">
                  <a16:creationId xmlns:a16="http://schemas.microsoft.com/office/drawing/2014/main" id="{2BA881E4-B1EB-18B0-53AA-4D2129ACBB2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36</xdr:row>
          <xdr:rowOff>167640</xdr:rowOff>
        </xdr:from>
        <xdr:to>
          <xdr:col>6</xdr:col>
          <xdr:colOff>457200</xdr:colOff>
          <xdr:row>38</xdr:row>
          <xdr:rowOff>15240</xdr:rowOff>
        </xdr:to>
        <xdr:sp macro="" textlink="">
          <xdr:nvSpPr>
            <xdr:cNvPr id="356168" name="chk_38" hidden="1">
              <a:extLst>
                <a:ext uri="{63B3BB69-23CF-44E3-9099-C40C66FF867C}">
                  <a14:compatExt spid="_x0000_s356168"/>
                </a:ext>
                <a:ext uri="{FF2B5EF4-FFF2-40B4-BE49-F238E27FC236}">
                  <a16:creationId xmlns:a16="http://schemas.microsoft.com/office/drawing/2014/main" id="{E25EC70D-1A44-5D4A-1F08-51C6D5711C5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37</xdr:row>
          <xdr:rowOff>167640</xdr:rowOff>
        </xdr:from>
        <xdr:to>
          <xdr:col>6</xdr:col>
          <xdr:colOff>457200</xdr:colOff>
          <xdr:row>39</xdr:row>
          <xdr:rowOff>22860</xdr:rowOff>
        </xdr:to>
        <xdr:sp macro="" textlink="">
          <xdr:nvSpPr>
            <xdr:cNvPr id="356169" name="chk_39" hidden="1">
              <a:extLst>
                <a:ext uri="{63B3BB69-23CF-44E3-9099-C40C66FF867C}">
                  <a14:compatExt spid="_x0000_s356169"/>
                </a:ext>
                <a:ext uri="{FF2B5EF4-FFF2-40B4-BE49-F238E27FC236}">
                  <a16:creationId xmlns:a16="http://schemas.microsoft.com/office/drawing/2014/main" id="{76BD52F5-ECE7-4848-EDD6-A1474F69AEC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38</xdr:row>
          <xdr:rowOff>160020</xdr:rowOff>
        </xdr:from>
        <xdr:to>
          <xdr:col>6</xdr:col>
          <xdr:colOff>457200</xdr:colOff>
          <xdr:row>40</xdr:row>
          <xdr:rowOff>22860</xdr:rowOff>
        </xdr:to>
        <xdr:sp macro="" textlink="">
          <xdr:nvSpPr>
            <xdr:cNvPr id="356170" name="chk_40" hidden="1">
              <a:extLst>
                <a:ext uri="{63B3BB69-23CF-44E3-9099-C40C66FF867C}">
                  <a14:compatExt spid="_x0000_s356170"/>
                </a:ext>
                <a:ext uri="{FF2B5EF4-FFF2-40B4-BE49-F238E27FC236}">
                  <a16:creationId xmlns:a16="http://schemas.microsoft.com/office/drawing/2014/main" id="{FBF3F3A5-B3B1-8E89-BDCE-636D6ADDC90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39</xdr:row>
          <xdr:rowOff>160020</xdr:rowOff>
        </xdr:from>
        <xdr:to>
          <xdr:col>6</xdr:col>
          <xdr:colOff>457200</xdr:colOff>
          <xdr:row>41</xdr:row>
          <xdr:rowOff>22860</xdr:rowOff>
        </xdr:to>
        <xdr:sp macro="" textlink="">
          <xdr:nvSpPr>
            <xdr:cNvPr id="356171" name="chk_41" hidden="1">
              <a:extLst>
                <a:ext uri="{63B3BB69-23CF-44E3-9099-C40C66FF867C}">
                  <a14:compatExt spid="_x0000_s356171"/>
                </a:ext>
                <a:ext uri="{FF2B5EF4-FFF2-40B4-BE49-F238E27FC236}">
                  <a16:creationId xmlns:a16="http://schemas.microsoft.com/office/drawing/2014/main" id="{7EE4DD16-459E-87D9-F84B-FC977161F4B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40</xdr:row>
          <xdr:rowOff>160020</xdr:rowOff>
        </xdr:from>
        <xdr:to>
          <xdr:col>6</xdr:col>
          <xdr:colOff>457200</xdr:colOff>
          <xdr:row>42</xdr:row>
          <xdr:rowOff>22860</xdr:rowOff>
        </xdr:to>
        <xdr:sp macro="" textlink="">
          <xdr:nvSpPr>
            <xdr:cNvPr id="356172" name="chk_42" hidden="1">
              <a:extLst>
                <a:ext uri="{63B3BB69-23CF-44E3-9099-C40C66FF867C}">
                  <a14:compatExt spid="_x0000_s356172"/>
                </a:ext>
                <a:ext uri="{FF2B5EF4-FFF2-40B4-BE49-F238E27FC236}">
                  <a16:creationId xmlns:a16="http://schemas.microsoft.com/office/drawing/2014/main" id="{10C00D97-9D18-EBFB-5174-07F5A28C7F3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41</xdr:row>
          <xdr:rowOff>160020</xdr:rowOff>
        </xdr:from>
        <xdr:to>
          <xdr:col>6</xdr:col>
          <xdr:colOff>457200</xdr:colOff>
          <xdr:row>43</xdr:row>
          <xdr:rowOff>22860</xdr:rowOff>
        </xdr:to>
        <xdr:sp macro="" textlink="">
          <xdr:nvSpPr>
            <xdr:cNvPr id="356173" name="chk_43" hidden="1">
              <a:extLst>
                <a:ext uri="{63B3BB69-23CF-44E3-9099-C40C66FF867C}">
                  <a14:compatExt spid="_x0000_s356173"/>
                </a:ext>
                <a:ext uri="{FF2B5EF4-FFF2-40B4-BE49-F238E27FC236}">
                  <a16:creationId xmlns:a16="http://schemas.microsoft.com/office/drawing/2014/main" id="{ACE9415E-24B2-0C9B-765D-DAD1942BB25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42</xdr:row>
          <xdr:rowOff>160020</xdr:rowOff>
        </xdr:from>
        <xdr:to>
          <xdr:col>6</xdr:col>
          <xdr:colOff>457200</xdr:colOff>
          <xdr:row>44</xdr:row>
          <xdr:rowOff>22860</xdr:rowOff>
        </xdr:to>
        <xdr:sp macro="" textlink="">
          <xdr:nvSpPr>
            <xdr:cNvPr id="356174" name="chk_44" hidden="1">
              <a:extLst>
                <a:ext uri="{63B3BB69-23CF-44E3-9099-C40C66FF867C}">
                  <a14:compatExt spid="_x0000_s356174"/>
                </a:ext>
                <a:ext uri="{FF2B5EF4-FFF2-40B4-BE49-F238E27FC236}">
                  <a16:creationId xmlns:a16="http://schemas.microsoft.com/office/drawing/2014/main" id="{8FC385A4-DCCC-6078-200A-3C92B60440B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43</xdr:row>
          <xdr:rowOff>160020</xdr:rowOff>
        </xdr:from>
        <xdr:to>
          <xdr:col>6</xdr:col>
          <xdr:colOff>457200</xdr:colOff>
          <xdr:row>45</xdr:row>
          <xdr:rowOff>22860</xdr:rowOff>
        </xdr:to>
        <xdr:sp macro="" textlink="">
          <xdr:nvSpPr>
            <xdr:cNvPr id="356175" name="chk_45" hidden="1">
              <a:extLst>
                <a:ext uri="{63B3BB69-23CF-44E3-9099-C40C66FF867C}">
                  <a14:compatExt spid="_x0000_s356175"/>
                </a:ext>
                <a:ext uri="{FF2B5EF4-FFF2-40B4-BE49-F238E27FC236}">
                  <a16:creationId xmlns:a16="http://schemas.microsoft.com/office/drawing/2014/main" id="{308207C5-42B8-EBB0-F156-6219361DAF8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44</xdr:row>
          <xdr:rowOff>160020</xdr:rowOff>
        </xdr:from>
        <xdr:to>
          <xdr:col>6</xdr:col>
          <xdr:colOff>457200</xdr:colOff>
          <xdr:row>46</xdr:row>
          <xdr:rowOff>22860</xdr:rowOff>
        </xdr:to>
        <xdr:sp macro="" textlink="">
          <xdr:nvSpPr>
            <xdr:cNvPr id="356176" name="chk_46" hidden="1">
              <a:extLst>
                <a:ext uri="{63B3BB69-23CF-44E3-9099-C40C66FF867C}">
                  <a14:compatExt spid="_x0000_s356176"/>
                </a:ext>
                <a:ext uri="{FF2B5EF4-FFF2-40B4-BE49-F238E27FC236}">
                  <a16:creationId xmlns:a16="http://schemas.microsoft.com/office/drawing/2014/main" id="{692D7BB0-8C21-F175-97D9-AEE59DB22A9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45</xdr:row>
          <xdr:rowOff>160020</xdr:rowOff>
        </xdr:from>
        <xdr:to>
          <xdr:col>6</xdr:col>
          <xdr:colOff>457200</xdr:colOff>
          <xdr:row>47</xdr:row>
          <xdr:rowOff>22860</xdr:rowOff>
        </xdr:to>
        <xdr:sp macro="" textlink="">
          <xdr:nvSpPr>
            <xdr:cNvPr id="356177" name="chk_47" hidden="1">
              <a:extLst>
                <a:ext uri="{63B3BB69-23CF-44E3-9099-C40C66FF867C}">
                  <a14:compatExt spid="_x0000_s356177"/>
                </a:ext>
                <a:ext uri="{FF2B5EF4-FFF2-40B4-BE49-F238E27FC236}">
                  <a16:creationId xmlns:a16="http://schemas.microsoft.com/office/drawing/2014/main" id="{F6C937B0-2EFF-3FB9-C10D-E6D660C1C08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46</xdr:row>
          <xdr:rowOff>160020</xdr:rowOff>
        </xdr:from>
        <xdr:to>
          <xdr:col>6</xdr:col>
          <xdr:colOff>457200</xdr:colOff>
          <xdr:row>48</xdr:row>
          <xdr:rowOff>22860</xdr:rowOff>
        </xdr:to>
        <xdr:sp macro="" textlink="">
          <xdr:nvSpPr>
            <xdr:cNvPr id="356178" name="chk_48" hidden="1">
              <a:extLst>
                <a:ext uri="{63B3BB69-23CF-44E3-9099-C40C66FF867C}">
                  <a14:compatExt spid="_x0000_s356178"/>
                </a:ext>
                <a:ext uri="{FF2B5EF4-FFF2-40B4-BE49-F238E27FC236}">
                  <a16:creationId xmlns:a16="http://schemas.microsoft.com/office/drawing/2014/main" id="{954E4634-4A22-0A49-0556-D310FACD12B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47</xdr:row>
          <xdr:rowOff>160020</xdr:rowOff>
        </xdr:from>
        <xdr:to>
          <xdr:col>6</xdr:col>
          <xdr:colOff>457200</xdr:colOff>
          <xdr:row>49</xdr:row>
          <xdr:rowOff>22860</xdr:rowOff>
        </xdr:to>
        <xdr:sp macro="" textlink="">
          <xdr:nvSpPr>
            <xdr:cNvPr id="356179" name="chk_49" hidden="1">
              <a:extLst>
                <a:ext uri="{63B3BB69-23CF-44E3-9099-C40C66FF867C}">
                  <a14:compatExt spid="_x0000_s356179"/>
                </a:ext>
                <a:ext uri="{FF2B5EF4-FFF2-40B4-BE49-F238E27FC236}">
                  <a16:creationId xmlns:a16="http://schemas.microsoft.com/office/drawing/2014/main" id="{650C1239-AE5E-7C2E-9F7D-F193C8A275D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48</xdr:row>
          <xdr:rowOff>160020</xdr:rowOff>
        </xdr:from>
        <xdr:to>
          <xdr:col>6</xdr:col>
          <xdr:colOff>457200</xdr:colOff>
          <xdr:row>50</xdr:row>
          <xdr:rowOff>22860</xdr:rowOff>
        </xdr:to>
        <xdr:sp macro="" textlink="">
          <xdr:nvSpPr>
            <xdr:cNvPr id="356180" name="chk_50" hidden="1">
              <a:extLst>
                <a:ext uri="{63B3BB69-23CF-44E3-9099-C40C66FF867C}">
                  <a14:compatExt spid="_x0000_s356180"/>
                </a:ext>
                <a:ext uri="{FF2B5EF4-FFF2-40B4-BE49-F238E27FC236}">
                  <a16:creationId xmlns:a16="http://schemas.microsoft.com/office/drawing/2014/main" id="{A5ECB953-AEA8-5177-65FF-39FDF5DC82C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49</xdr:row>
          <xdr:rowOff>160020</xdr:rowOff>
        </xdr:from>
        <xdr:to>
          <xdr:col>6</xdr:col>
          <xdr:colOff>457200</xdr:colOff>
          <xdr:row>51</xdr:row>
          <xdr:rowOff>22860</xdr:rowOff>
        </xdr:to>
        <xdr:sp macro="" textlink="">
          <xdr:nvSpPr>
            <xdr:cNvPr id="356181" name="chk_51" hidden="1">
              <a:extLst>
                <a:ext uri="{63B3BB69-23CF-44E3-9099-C40C66FF867C}">
                  <a14:compatExt spid="_x0000_s356181"/>
                </a:ext>
                <a:ext uri="{FF2B5EF4-FFF2-40B4-BE49-F238E27FC236}">
                  <a16:creationId xmlns:a16="http://schemas.microsoft.com/office/drawing/2014/main" id="{08E4BFE9-5148-2E1A-2F98-82DCE410F7B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50</xdr:row>
          <xdr:rowOff>160020</xdr:rowOff>
        </xdr:from>
        <xdr:to>
          <xdr:col>6</xdr:col>
          <xdr:colOff>457200</xdr:colOff>
          <xdr:row>52</xdr:row>
          <xdr:rowOff>22860</xdr:rowOff>
        </xdr:to>
        <xdr:sp macro="" textlink="">
          <xdr:nvSpPr>
            <xdr:cNvPr id="356182" name="chk_52" hidden="1">
              <a:extLst>
                <a:ext uri="{63B3BB69-23CF-44E3-9099-C40C66FF867C}">
                  <a14:compatExt spid="_x0000_s356182"/>
                </a:ext>
                <a:ext uri="{FF2B5EF4-FFF2-40B4-BE49-F238E27FC236}">
                  <a16:creationId xmlns:a16="http://schemas.microsoft.com/office/drawing/2014/main" id="{19724F61-9123-5514-3B2D-630148E9EB8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51</xdr:row>
          <xdr:rowOff>160020</xdr:rowOff>
        </xdr:from>
        <xdr:to>
          <xdr:col>6</xdr:col>
          <xdr:colOff>457200</xdr:colOff>
          <xdr:row>53</xdr:row>
          <xdr:rowOff>22860</xdr:rowOff>
        </xdr:to>
        <xdr:sp macro="" textlink="">
          <xdr:nvSpPr>
            <xdr:cNvPr id="356183" name="chk_53" hidden="1">
              <a:extLst>
                <a:ext uri="{63B3BB69-23CF-44E3-9099-C40C66FF867C}">
                  <a14:compatExt spid="_x0000_s356183"/>
                </a:ext>
                <a:ext uri="{FF2B5EF4-FFF2-40B4-BE49-F238E27FC236}">
                  <a16:creationId xmlns:a16="http://schemas.microsoft.com/office/drawing/2014/main" id="{86AEA322-DCDC-A6F1-BD39-2ED321A2C8E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52</xdr:row>
          <xdr:rowOff>160020</xdr:rowOff>
        </xdr:from>
        <xdr:to>
          <xdr:col>6</xdr:col>
          <xdr:colOff>457200</xdr:colOff>
          <xdr:row>54</xdr:row>
          <xdr:rowOff>22860</xdr:rowOff>
        </xdr:to>
        <xdr:sp macro="" textlink="">
          <xdr:nvSpPr>
            <xdr:cNvPr id="356184" name="chk_54" hidden="1">
              <a:extLst>
                <a:ext uri="{63B3BB69-23CF-44E3-9099-C40C66FF867C}">
                  <a14:compatExt spid="_x0000_s356184"/>
                </a:ext>
                <a:ext uri="{FF2B5EF4-FFF2-40B4-BE49-F238E27FC236}">
                  <a16:creationId xmlns:a16="http://schemas.microsoft.com/office/drawing/2014/main" id="{086A4BCF-F45A-B2C7-F9C8-FEE3A76833B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53</xdr:row>
          <xdr:rowOff>160020</xdr:rowOff>
        </xdr:from>
        <xdr:to>
          <xdr:col>6</xdr:col>
          <xdr:colOff>457200</xdr:colOff>
          <xdr:row>55</xdr:row>
          <xdr:rowOff>22860</xdr:rowOff>
        </xdr:to>
        <xdr:sp macro="" textlink="">
          <xdr:nvSpPr>
            <xdr:cNvPr id="356185" name="chk_55" hidden="1">
              <a:extLst>
                <a:ext uri="{63B3BB69-23CF-44E3-9099-C40C66FF867C}">
                  <a14:compatExt spid="_x0000_s356185"/>
                </a:ext>
                <a:ext uri="{FF2B5EF4-FFF2-40B4-BE49-F238E27FC236}">
                  <a16:creationId xmlns:a16="http://schemas.microsoft.com/office/drawing/2014/main" id="{F5E3DF22-EB33-CB98-421D-EA99DD986D8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54</xdr:row>
          <xdr:rowOff>160020</xdr:rowOff>
        </xdr:from>
        <xdr:to>
          <xdr:col>6</xdr:col>
          <xdr:colOff>457200</xdr:colOff>
          <xdr:row>56</xdr:row>
          <xdr:rowOff>22860</xdr:rowOff>
        </xdr:to>
        <xdr:sp macro="" textlink="">
          <xdr:nvSpPr>
            <xdr:cNvPr id="356186" name="chk_56" hidden="1">
              <a:extLst>
                <a:ext uri="{63B3BB69-23CF-44E3-9099-C40C66FF867C}">
                  <a14:compatExt spid="_x0000_s356186"/>
                </a:ext>
                <a:ext uri="{FF2B5EF4-FFF2-40B4-BE49-F238E27FC236}">
                  <a16:creationId xmlns:a16="http://schemas.microsoft.com/office/drawing/2014/main" id="{3886DAA7-BE9D-8FA7-0C6F-B1EA4D45790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55</xdr:row>
          <xdr:rowOff>160020</xdr:rowOff>
        </xdr:from>
        <xdr:to>
          <xdr:col>6</xdr:col>
          <xdr:colOff>457200</xdr:colOff>
          <xdr:row>57</xdr:row>
          <xdr:rowOff>22860</xdr:rowOff>
        </xdr:to>
        <xdr:sp macro="" textlink="">
          <xdr:nvSpPr>
            <xdr:cNvPr id="356187" name="chk_57" hidden="1">
              <a:extLst>
                <a:ext uri="{63B3BB69-23CF-44E3-9099-C40C66FF867C}">
                  <a14:compatExt spid="_x0000_s356187"/>
                </a:ext>
                <a:ext uri="{FF2B5EF4-FFF2-40B4-BE49-F238E27FC236}">
                  <a16:creationId xmlns:a16="http://schemas.microsoft.com/office/drawing/2014/main" id="{ED3F692A-F699-916F-6AA1-A997EA36B7D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56</xdr:row>
          <xdr:rowOff>160020</xdr:rowOff>
        </xdr:from>
        <xdr:to>
          <xdr:col>6</xdr:col>
          <xdr:colOff>457200</xdr:colOff>
          <xdr:row>58</xdr:row>
          <xdr:rowOff>22860</xdr:rowOff>
        </xdr:to>
        <xdr:sp macro="" textlink="">
          <xdr:nvSpPr>
            <xdr:cNvPr id="356188" name="chk_58" hidden="1">
              <a:extLst>
                <a:ext uri="{63B3BB69-23CF-44E3-9099-C40C66FF867C}">
                  <a14:compatExt spid="_x0000_s356188"/>
                </a:ext>
                <a:ext uri="{FF2B5EF4-FFF2-40B4-BE49-F238E27FC236}">
                  <a16:creationId xmlns:a16="http://schemas.microsoft.com/office/drawing/2014/main" id="{6F5E25DF-1CBC-A189-90C6-5867B5097D8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57</xdr:row>
          <xdr:rowOff>160020</xdr:rowOff>
        </xdr:from>
        <xdr:to>
          <xdr:col>6</xdr:col>
          <xdr:colOff>457200</xdr:colOff>
          <xdr:row>59</xdr:row>
          <xdr:rowOff>22860</xdr:rowOff>
        </xdr:to>
        <xdr:sp macro="" textlink="">
          <xdr:nvSpPr>
            <xdr:cNvPr id="356189" name="chk_59" hidden="1">
              <a:extLst>
                <a:ext uri="{63B3BB69-23CF-44E3-9099-C40C66FF867C}">
                  <a14:compatExt spid="_x0000_s356189"/>
                </a:ext>
                <a:ext uri="{FF2B5EF4-FFF2-40B4-BE49-F238E27FC236}">
                  <a16:creationId xmlns:a16="http://schemas.microsoft.com/office/drawing/2014/main" id="{C53B9B65-D3CF-AC81-1CE0-E6533BE918B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58</xdr:row>
          <xdr:rowOff>160020</xdr:rowOff>
        </xdr:from>
        <xdr:to>
          <xdr:col>6</xdr:col>
          <xdr:colOff>457200</xdr:colOff>
          <xdr:row>60</xdr:row>
          <xdr:rowOff>22860</xdr:rowOff>
        </xdr:to>
        <xdr:sp macro="" textlink="">
          <xdr:nvSpPr>
            <xdr:cNvPr id="356190" name="chk_60" hidden="1">
              <a:extLst>
                <a:ext uri="{63B3BB69-23CF-44E3-9099-C40C66FF867C}">
                  <a14:compatExt spid="_x0000_s356190"/>
                </a:ext>
                <a:ext uri="{FF2B5EF4-FFF2-40B4-BE49-F238E27FC236}">
                  <a16:creationId xmlns:a16="http://schemas.microsoft.com/office/drawing/2014/main" id="{5CA98EE2-8DDC-9733-6D46-21CC6A6D204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59</xdr:row>
          <xdr:rowOff>160020</xdr:rowOff>
        </xdr:from>
        <xdr:to>
          <xdr:col>6</xdr:col>
          <xdr:colOff>457200</xdr:colOff>
          <xdr:row>61</xdr:row>
          <xdr:rowOff>22860</xdr:rowOff>
        </xdr:to>
        <xdr:sp macro="" textlink="">
          <xdr:nvSpPr>
            <xdr:cNvPr id="356191" name="chk_61" hidden="1">
              <a:extLst>
                <a:ext uri="{63B3BB69-23CF-44E3-9099-C40C66FF867C}">
                  <a14:compatExt spid="_x0000_s356191"/>
                </a:ext>
                <a:ext uri="{FF2B5EF4-FFF2-40B4-BE49-F238E27FC236}">
                  <a16:creationId xmlns:a16="http://schemas.microsoft.com/office/drawing/2014/main" id="{7871212F-447D-6969-19EB-9B0C1C94CFB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60</xdr:row>
          <xdr:rowOff>160020</xdr:rowOff>
        </xdr:from>
        <xdr:to>
          <xdr:col>6</xdr:col>
          <xdr:colOff>457200</xdr:colOff>
          <xdr:row>62</xdr:row>
          <xdr:rowOff>22860</xdr:rowOff>
        </xdr:to>
        <xdr:sp macro="" textlink="">
          <xdr:nvSpPr>
            <xdr:cNvPr id="356192" name="chk_62" hidden="1">
              <a:extLst>
                <a:ext uri="{63B3BB69-23CF-44E3-9099-C40C66FF867C}">
                  <a14:compatExt spid="_x0000_s356192"/>
                </a:ext>
                <a:ext uri="{FF2B5EF4-FFF2-40B4-BE49-F238E27FC236}">
                  <a16:creationId xmlns:a16="http://schemas.microsoft.com/office/drawing/2014/main" id="{00AE45D2-65CC-D583-CE2F-9C378621D73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61</xdr:row>
          <xdr:rowOff>160020</xdr:rowOff>
        </xdr:from>
        <xdr:to>
          <xdr:col>6</xdr:col>
          <xdr:colOff>457200</xdr:colOff>
          <xdr:row>63</xdr:row>
          <xdr:rowOff>22860</xdr:rowOff>
        </xdr:to>
        <xdr:sp macro="" textlink="">
          <xdr:nvSpPr>
            <xdr:cNvPr id="356193" name="chk_63" hidden="1">
              <a:extLst>
                <a:ext uri="{63B3BB69-23CF-44E3-9099-C40C66FF867C}">
                  <a14:compatExt spid="_x0000_s356193"/>
                </a:ext>
                <a:ext uri="{FF2B5EF4-FFF2-40B4-BE49-F238E27FC236}">
                  <a16:creationId xmlns:a16="http://schemas.microsoft.com/office/drawing/2014/main" id="{D7ABE7BA-9812-446C-E874-B641092325A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62</xdr:row>
          <xdr:rowOff>160020</xdr:rowOff>
        </xdr:from>
        <xdr:to>
          <xdr:col>6</xdr:col>
          <xdr:colOff>457200</xdr:colOff>
          <xdr:row>64</xdr:row>
          <xdr:rowOff>22860</xdr:rowOff>
        </xdr:to>
        <xdr:sp macro="" textlink="">
          <xdr:nvSpPr>
            <xdr:cNvPr id="356194" name="chk_64" hidden="1">
              <a:extLst>
                <a:ext uri="{63B3BB69-23CF-44E3-9099-C40C66FF867C}">
                  <a14:compatExt spid="_x0000_s356194"/>
                </a:ext>
                <a:ext uri="{FF2B5EF4-FFF2-40B4-BE49-F238E27FC236}">
                  <a16:creationId xmlns:a16="http://schemas.microsoft.com/office/drawing/2014/main" id="{607943E2-D220-813C-F058-E6730216DEA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63</xdr:row>
          <xdr:rowOff>160020</xdr:rowOff>
        </xdr:from>
        <xdr:to>
          <xdr:col>6</xdr:col>
          <xdr:colOff>457200</xdr:colOff>
          <xdr:row>65</xdr:row>
          <xdr:rowOff>15240</xdr:rowOff>
        </xdr:to>
        <xdr:sp macro="" textlink="">
          <xdr:nvSpPr>
            <xdr:cNvPr id="356195" name="chk_65" hidden="1">
              <a:extLst>
                <a:ext uri="{63B3BB69-23CF-44E3-9099-C40C66FF867C}">
                  <a14:compatExt spid="_x0000_s356195"/>
                </a:ext>
                <a:ext uri="{FF2B5EF4-FFF2-40B4-BE49-F238E27FC236}">
                  <a16:creationId xmlns:a16="http://schemas.microsoft.com/office/drawing/2014/main" id="{A2DBA64F-A0F4-FF08-7B03-CFE68007EEA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64</xdr:row>
          <xdr:rowOff>167640</xdr:rowOff>
        </xdr:from>
        <xdr:to>
          <xdr:col>6</xdr:col>
          <xdr:colOff>457200</xdr:colOff>
          <xdr:row>66</xdr:row>
          <xdr:rowOff>15240</xdr:rowOff>
        </xdr:to>
        <xdr:sp macro="" textlink="">
          <xdr:nvSpPr>
            <xdr:cNvPr id="356196" name="chk_66" hidden="1">
              <a:extLst>
                <a:ext uri="{63B3BB69-23CF-44E3-9099-C40C66FF867C}">
                  <a14:compatExt spid="_x0000_s356196"/>
                </a:ext>
                <a:ext uri="{FF2B5EF4-FFF2-40B4-BE49-F238E27FC236}">
                  <a16:creationId xmlns:a16="http://schemas.microsoft.com/office/drawing/2014/main" id="{F297AFA4-3E1C-BAEA-4FBC-9F75CE0315F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65</xdr:row>
          <xdr:rowOff>167640</xdr:rowOff>
        </xdr:from>
        <xdr:to>
          <xdr:col>6</xdr:col>
          <xdr:colOff>457200</xdr:colOff>
          <xdr:row>67</xdr:row>
          <xdr:rowOff>15240</xdr:rowOff>
        </xdr:to>
        <xdr:sp macro="" textlink="">
          <xdr:nvSpPr>
            <xdr:cNvPr id="356197" name="chk_67" hidden="1">
              <a:extLst>
                <a:ext uri="{63B3BB69-23CF-44E3-9099-C40C66FF867C}">
                  <a14:compatExt spid="_x0000_s356197"/>
                </a:ext>
                <a:ext uri="{FF2B5EF4-FFF2-40B4-BE49-F238E27FC236}">
                  <a16:creationId xmlns:a16="http://schemas.microsoft.com/office/drawing/2014/main" id="{8FF151F9-CC01-9086-30D7-808984E0BE5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66</xdr:row>
          <xdr:rowOff>167640</xdr:rowOff>
        </xdr:from>
        <xdr:to>
          <xdr:col>6</xdr:col>
          <xdr:colOff>457200</xdr:colOff>
          <xdr:row>68</xdr:row>
          <xdr:rowOff>15240</xdr:rowOff>
        </xdr:to>
        <xdr:sp macro="" textlink="">
          <xdr:nvSpPr>
            <xdr:cNvPr id="356198" name="chk_68" hidden="1">
              <a:extLst>
                <a:ext uri="{63B3BB69-23CF-44E3-9099-C40C66FF867C}">
                  <a14:compatExt spid="_x0000_s356198"/>
                </a:ext>
                <a:ext uri="{FF2B5EF4-FFF2-40B4-BE49-F238E27FC236}">
                  <a16:creationId xmlns:a16="http://schemas.microsoft.com/office/drawing/2014/main" id="{C264B5C2-98BE-CBA9-AEFC-CC633CC2317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67</xdr:row>
          <xdr:rowOff>167640</xdr:rowOff>
        </xdr:from>
        <xdr:to>
          <xdr:col>6</xdr:col>
          <xdr:colOff>457200</xdr:colOff>
          <xdr:row>69</xdr:row>
          <xdr:rowOff>22860</xdr:rowOff>
        </xdr:to>
        <xdr:sp macro="" textlink="">
          <xdr:nvSpPr>
            <xdr:cNvPr id="356199" name="chk_69" hidden="1">
              <a:extLst>
                <a:ext uri="{63B3BB69-23CF-44E3-9099-C40C66FF867C}">
                  <a14:compatExt spid="_x0000_s356199"/>
                </a:ext>
                <a:ext uri="{FF2B5EF4-FFF2-40B4-BE49-F238E27FC236}">
                  <a16:creationId xmlns:a16="http://schemas.microsoft.com/office/drawing/2014/main" id="{03BB55D1-C438-557D-C57E-CD18D14C3B5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68</xdr:row>
          <xdr:rowOff>160020</xdr:rowOff>
        </xdr:from>
        <xdr:to>
          <xdr:col>6</xdr:col>
          <xdr:colOff>457200</xdr:colOff>
          <xdr:row>70</xdr:row>
          <xdr:rowOff>22860</xdr:rowOff>
        </xdr:to>
        <xdr:sp macro="" textlink="">
          <xdr:nvSpPr>
            <xdr:cNvPr id="356200" name="chk_70" hidden="1">
              <a:extLst>
                <a:ext uri="{63B3BB69-23CF-44E3-9099-C40C66FF867C}">
                  <a14:compatExt spid="_x0000_s356200"/>
                </a:ext>
                <a:ext uri="{FF2B5EF4-FFF2-40B4-BE49-F238E27FC236}">
                  <a16:creationId xmlns:a16="http://schemas.microsoft.com/office/drawing/2014/main" id="{3D2842D9-F2C1-8795-3A5C-D11C25C1F27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69</xdr:row>
          <xdr:rowOff>160020</xdr:rowOff>
        </xdr:from>
        <xdr:to>
          <xdr:col>6</xdr:col>
          <xdr:colOff>457200</xdr:colOff>
          <xdr:row>71</xdr:row>
          <xdr:rowOff>15240</xdr:rowOff>
        </xdr:to>
        <xdr:sp macro="" textlink="">
          <xdr:nvSpPr>
            <xdr:cNvPr id="356201" name="chk_71" hidden="1">
              <a:extLst>
                <a:ext uri="{63B3BB69-23CF-44E3-9099-C40C66FF867C}">
                  <a14:compatExt spid="_x0000_s356201"/>
                </a:ext>
                <a:ext uri="{FF2B5EF4-FFF2-40B4-BE49-F238E27FC236}">
                  <a16:creationId xmlns:a16="http://schemas.microsoft.com/office/drawing/2014/main" id="{CFE124F7-58BD-B3DE-5F1C-9D810F55AAA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70</xdr:row>
          <xdr:rowOff>167640</xdr:rowOff>
        </xdr:from>
        <xdr:to>
          <xdr:col>6</xdr:col>
          <xdr:colOff>457200</xdr:colOff>
          <xdr:row>72</xdr:row>
          <xdr:rowOff>15240</xdr:rowOff>
        </xdr:to>
        <xdr:sp macro="" textlink="">
          <xdr:nvSpPr>
            <xdr:cNvPr id="356202" name="chk_72" hidden="1">
              <a:extLst>
                <a:ext uri="{63B3BB69-23CF-44E3-9099-C40C66FF867C}">
                  <a14:compatExt spid="_x0000_s356202"/>
                </a:ext>
                <a:ext uri="{FF2B5EF4-FFF2-40B4-BE49-F238E27FC236}">
                  <a16:creationId xmlns:a16="http://schemas.microsoft.com/office/drawing/2014/main" id="{F37D47D3-5221-330F-41E8-C37145338E6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71</xdr:row>
          <xdr:rowOff>167640</xdr:rowOff>
        </xdr:from>
        <xdr:to>
          <xdr:col>6</xdr:col>
          <xdr:colOff>457200</xdr:colOff>
          <xdr:row>73</xdr:row>
          <xdr:rowOff>22860</xdr:rowOff>
        </xdr:to>
        <xdr:sp macro="" textlink="">
          <xdr:nvSpPr>
            <xdr:cNvPr id="356203" name="chk_73" hidden="1">
              <a:extLst>
                <a:ext uri="{63B3BB69-23CF-44E3-9099-C40C66FF867C}">
                  <a14:compatExt spid="_x0000_s356203"/>
                </a:ext>
                <a:ext uri="{FF2B5EF4-FFF2-40B4-BE49-F238E27FC236}">
                  <a16:creationId xmlns:a16="http://schemas.microsoft.com/office/drawing/2014/main" id="{CEB626E2-D62A-2A64-E69B-2E6555F9A50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72</xdr:row>
          <xdr:rowOff>160020</xdr:rowOff>
        </xdr:from>
        <xdr:to>
          <xdr:col>6</xdr:col>
          <xdr:colOff>457200</xdr:colOff>
          <xdr:row>74</xdr:row>
          <xdr:rowOff>22860</xdr:rowOff>
        </xdr:to>
        <xdr:sp macro="" textlink="">
          <xdr:nvSpPr>
            <xdr:cNvPr id="356204" name="chk_74" hidden="1">
              <a:extLst>
                <a:ext uri="{63B3BB69-23CF-44E3-9099-C40C66FF867C}">
                  <a14:compatExt spid="_x0000_s356204"/>
                </a:ext>
                <a:ext uri="{FF2B5EF4-FFF2-40B4-BE49-F238E27FC236}">
                  <a16:creationId xmlns:a16="http://schemas.microsoft.com/office/drawing/2014/main" id="{F9193E40-138A-ADE7-97E0-3B3AA35CD69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73</xdr:row>
          <xdr:rowOff>160020</xdr:rowOff>
        </xdr:from>
        <xdr:to>
          <xdr:col>6</xdr:col>
          <xdr:colOff>457200</xdr:colOff>
          <xdr:row>75</xdr:row>
          <xdr:rowOff>22860</xdr:rowOff>
        </xdr:to>
        <xdr:sp macro="" textlink="">
          <xdr:nvSpPr>
            <xdr:cNvPr id="356205" name="chk_75" hidden="1">
              <a:extLst>
                <a:ext uri="{63B3BB69-23CF-44E3-9099-C40C66FF867C}">
                  <a14:compatExt spid="_x0000_s356205"/>
                </a:ext>
                <a:ext uri="{FF2B5EF4-FFF2-40B4-BE49-F238E27FC236}">
                  <a16:creationId xmlns:a16="http://schemas.microsoft.com/office/drawing/2014/main" id="{09AF9710-21C1-8EA2-1C11-40FD0EDBA17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74</xdr:row>
          <xdr:rowOff>160020</xdr:rowOff>
        </xdr:from>
        <xdr:to>
          <xdr:col>6</xdr:col>
          <xdr:colOff>457200</xdr:colOff>
          <xdr:row>76</xdr:row>
          <xdr:rowOff>22860</xdr:rowOff>
        </xdr:to>
        <xdr:sp macro="" textlink="">
          <xdr:nvSpPr>
            <xdr:cNvPr id="356206" name="chk_76" hidden="1">
              <a:extLst>
                <a:ext uri="{63B3BB69-23CF-44E3-9099-C40C66FF867C}">
                  <a14:compatExt spid="_x0000_s356206"/>
                </a:ext>
                <a:ext uri="{FF2B5EF4-FFF2-40B4-BE49-F238E27FC236}">
                  <a16:creationId xmlns:a16="http://schemas.microsoft.com/office/drawing/2014/main" id="{74DEF879-5640-0FCB-86EC-0FD81728F3C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75</xdr:row>
          <xdr:rowOff>160020</xdr:rowOff>
        </xdr:from>
        <xdr:to>
          <xdr:col>6</xdr:col>
          <xdr:colOff>457200</xdr:colOff>
          <xdr:row>77</xdr:row>
          <xdr:rowOff>22860</xdr:rowOff>
        </xdr:to>
        <xdr:sp macro="" textlink="">
          <xdr:nvSpPr>
            <xdr:cNvPr id="356207" name="chk_77" hidden="1">
              <a:extLst>
                <a:ext uri="{63B3BB69-23CF-44E3-9099-C40C66FF867C}">
                  <a14:compatExt spid="_x0000_s356207"/>
                </a:ext>
                <a:ext uri="{FF2B5EF4-FFF2-40B4-BE49-F238E27FC236}">
                  <a16:creationId xmlns:a16="http://schemas.microsoft.com/office/drawing/2014/main" id="{507A95FC-C03F-0814-08A0-1D295D0805B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76</xdr:row>
          <xdr:rowOff>160020</xdr:rowOff>
        </xdr:from>
        <xdr:to>
          <xdr:col>6</xdr:col>
          <xdr:colOff>457200</xdr:colOff>
          <xdr:row>78</xdr:row>
          <xdr:rowOff>22860</xdr:rowOff>
        </xdr:to>
        <xdr:sp macro="" textlink="">
          <xdr:nvSpPr>
            <xdr:cNvPr id="356208" name="chk_78" hidden="1">
              <a:extLst>
                <a:ext uri="{63B3BB69-23CF-44E3-9099-C40C66FF867C}">
                  <a14:compatExt spid="_x0000_s356208"/>
                </a:ext>
                <a:ext uri="{FF2B5EF4-FFF2-40B4-BE49-F238E27FC236}">
                  <a16:creationId xmlns:a16="http://schemas.microsoft.com/office/drawing/2014/main" id="{6BC69C1E-6F86-8541-6BD1-60D1D3BA155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77</xdr:row>
          <xdr:rowOff>160020</xdr:rowOff>
        </xdr:from>
        <xdr:to>
          <xdr:col>6</xdr:col>
          <xdr:colOff>457200</xdr:colOff>
          <xdr:row>79</xdr:row>
          <xdr:rowOff>22860</xdr:rowOff>
        </xdr:to>
        <xdr:sp macro="" textlink="">
          <xdr:nvSpPr>
            <xdr:cNvPr id="356209" name="chk_79" hidden="1">
              <a:extLst>
                <a:ext uri="{63B3BB69-23CF-44E3-9099-C40C66FF867C}">
                  <a14:compatExt spid="_x0000_s356209"/>
                </a:ext>
                <a:ext uri="{FF2B5EF4-FFF2-40B4-BE49-F238E27FC236}">
                  <a16:creationId xmlns:a16="http://schemas.microsoft.com/office/drawing/2014/main" id="{B7D63D03-1A22-8277-CD17-739FF94FB6D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78</xdr:row>
          <xdr:rowOff>160020</xdr:rowOff>
        </xdr:from>
        <xdr:to>
          <xdr:col>6</xdr:col>
          <xdr:colOff>457200</xdr:colOff>
          <xdr:row>80</xdr:row>
          <xdr:rowOff>22860</xdr:rowOff>
        </xdr:to>
        <xdr:sp macro="" textlink="">
          <xdr:nvSpPr>
            <xdr:cNvPr id="356210" name="chk_80" hidden="1">
              <a:extLst>
                <a:ext uri="{63B3BB69-23CF-44E3-9099-C40C66FF867C}">
                  <a14:compatExt spid="_x0000_s356210"/>
                </a:ext>
                <a:ext uri="{FF2B5EF4-FFF2-40B4-BE49-F238E27FC236}">
                  <a16:creationId xmlns:a16="http://schemas.microsoft.com/office/drawing/2014/main" id="{1C9BB994-0028-8B48-549F-0ACE4FA24D8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79</xdr:row>
          <xdr:rowOff>160020</xdr:rowOff>
        </xdr:from>
        <xdr:to>
          <xdr:col>6</xdr:col>
          <xdr:colOff>457200</xdr:colOff>
          <xdr:row>81</xdr:row>
          <xdr:rowOff>22860</xdr:rowOff>
        </xdr:to>
        <xdr:sp macro="" textlink="">
          <xdr:nvSpPr>
            <xdr:cNvPr id="356211" name="chk_81" hidden="1">
              <a:extLst>
                <a:ext uri="{63B3BB69-23CF-44E3-9099-C40C66FF867C}">
                  <a14:compatExt spid="_x0000_s356211"/>
                </a:ext>
                <a:ext uri="{FF2B5EF4-FFF2-40B4-BE49-F238E27FC236}">
                  <a16:creationId xmlns:a16="http://schemas.microsoft.com/office/drawing/2014/main" id="{5EBC2EDC-4891-8A38-F54B-DB5CD4601CA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80</xdr:row>
          <xdr:rowOff>160020</xdr:rowOff>
        </xdr:from>
        <xdr:to>
          <xdr:col>6</xdr:col>
          <xdr:colOff>457200</xdr:colOff>
          <xdr:row>82</xdr:row>
          <xdr:rowOff>22860</xdr:rowOff>
        </xdr:to>
        <xdr:sp macro="" textlink="">
          <xdr:nvSpPr>
            <xdr:cNvPr id="356212" name="chk_82" hidden="1">
              <a:extLst>
                <a:ext uri="{63B3BB69-23CF-44E3-9099-C40C66FF867C}">
                  <a14:compatExt spid="_x0000_s356212"/>
                </a:ext>
                <a:ext uri="{FF2B5EF4-FFF2-40B4-BE49-F238E27FC236}">
                  <a16:creationId xmlns:a16="http://schemas.microsoft.com/office/drawing/2014/main" id="{625D6421-CC17-75C5-179E-B495B3BFA22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81</xdr:row>
          <xdr:rowOff>160020</xdr:rowOff>
        </xdr:from>
        <xdr:to>
          <xdr:col>6</xdr:col>
          <xdr:colOff>457200</xdr:colOff>
          <xdr:row>83</xdr:row>
          <xdr:rowOff>22860</xdr:rowOff>
        </xdr:to>
        <xdr:sp macro="" textlink="">
          <xdr:nvSpPr>
            <xdr:cNvPr id="356213" name="chk_83" hidden="1">
              <a:extLst>
                <a:ext uri="{63B3BB69-23CF-44E3-9099-C40C66FF867C}">
                  <a14:compatExt spid="_x0000_s356213"/>
                </a:ext>
                <a:ext uri="{FF2B5EF4-FFF2-40B4-BE49-F238E27FC236}">
                  <a16:creationId xmlns:a16="http://schemas.microsoft.com/office/drawing/2014/main" id="{FB07E1B4-5709-F433-276E-9DC3FE092A5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82</xdr:row>
          <xdr:rowOff>160020</xdr:rowOff>
        </xdr:from>
        <xdr:to>
          <xdr:col>6</xdr:col>
          <xdr:colOff>457200</xdr:colOff>
          <xdr:row>84</xdr:row>
          <xdr:rowOff>22860</xdr:rowOff>
        </xdr:to>
        <xdr:sp macro="" textlink="">
          <xdr:nvSpPr>
            <xdr:cNvPr id="356214" name="chk_84" hidden="1">
              <a:extLst>
                <a:ext uri="{63B3BB69-23CF-44E3-9099-C40C66FF867C}">
                  <a14:compatExt spid="_x0000_s356214"/>
                </a:ext>
                <a:ext uri="{FF2B5EF4-FFF2-40B4-BE49-F238E27FC236}">
                  <a16:creationId xmlns:a16="http://schemas.microsoft.com/office/drawing/2014/main" id="{B547B61E-4F9D-1CC8-4524-6DB99382B30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83</xdr:row>
          <xdr:rowOff>160020</xdr:rowOff>
        </xdr:from>
        <xdr:to>
          <xdr:col>6</xdr:col>
          <xdr:colOff>457200</xdr:colOff>
          <xdr:row>85</xdr:row>
          <xdr:rowOff>22860</xdr:rowOff>
        </xdr:to>
        <xdr:sp macro="" textlink="">
          <xdr:nvSpPr>
            <xdr:cNvPr id="356215" name="chk_85" hidden="1">
              <a:extLst>
                <a:ext uri="{63B3BB69-23CF-44E3-9099-C40C66FF867C}">
                  <a14:compatExt spid="_x0000_s356215"/>
                </a:ext>
                <a:ext uri="{FF2B5EF4-FFF2-40B4-BE49-F238E27FC236}">
                  <a16:creationId xmlns:a16="http://schemas.microsoft.com/office/drawing/2014/main" id="{9198A116-7D5C-DFDD-1359-43B242D851B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84</xdr:row>
          <xdr:rowOff>160020</xdr:rowOff>
        </xdr:from>
        <xdr:to>
          <xdr:col>6</xdr:col>
          <xdr:colOff>457200</xdr:colOff>
          <xdr:row>86</xdr:row>
          <xdr:rowOff>15240</xdr:rowOff>
        </xdr:to>
        <xdr:sp macro="" textlink="">
          <xdr:nvSpPr>
            <xdr:cNvPr id="356216" name="chk_86" hidden="1">
              <a:extLst>
                <a:ext uri="{63B3BB69-23CF-44E3-9099-C40C66FF867C}">
                  <a14:compatExt spid="_x0000_s356216"/>
                </a:ext>
                <a:ext uri="{FF2B5EF4-FFF2-40B4-BE49-F238E27FC236}">
                  <a16:creationId xmlns:a16="http://schemas.microsoft.com/office/drawing/2014/main" id="{008EC106-01AB-762A-820B-BB25FA24C3D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85</xdr:row>
          <xdr:rowOff>167640</xdr:rowOff>
        </xdr:from>
        <xdr:to>
          <xdr:col>6</xdr:col>
          <xdr:colOff>457200</xdr:colOff>
          <xdr:row>87</xdr:row>
          <xdr:rowOff>15240</xdr:rowOff>
        </xdr:to>
        <xdr:sp macro="" textlink="">
          <xdr:nvSpPr>
            <xdr:cNvPr id="356217" name="chk_87" hidden="1">
              <a:extLst>
                <a:ext uri="{63B3BB69-23CF-44E3-9099-C40C66FF867C}">
                  <a14:compatExt spid="_x0000_s356217"/>
                </a:ext>
                <a:ext uri="{FF2B5EF4-FFF2-40B4-BE49-F238E27FC236}">
                  <a16:creationId xmlns:a16="http://schemas.microsoft.com/office/drawing/2014/main" id="{2FD0D76E-43CB-0ACE-B62D-695AACE897E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86</xdr:row>
          <xdr:rowOff>167640</xdr:rowOff>
        </xdr:from>
        <xdr:to>
          <xdr:col>6</xdr:col>
          <xdr:colOff>457200</xdr:colOff>
          <xdr:row>88</xdr:row>
          <xdr:rowOff>22860</xdr:rowOff>
        </xdr:to>
        <xdr:sp macro="" textlink="">
          <xdr:nvSpPr>
            <xdr:cNvPr id="356218" name="chk_88" hidden="1">
              <a:extLst>
                <a:ext uri="{63B3BB69-23CF-44E3-9099-C40C66FF867C}">
                  <a14:compatExt spid="_x0000_s356218"/>
                </a:ext>
                <a:ext uri="{FF2B5EF4-FFF2-40B4-BE49-F238E27FC236}">
                  <a16:creationId xmlns:a16="http://schemas.microsoft.com/office/drawing/2014/main" id="{AB25DBC0-4C82-43A0-D284-E9955F9D40F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87</xdr:row>
          <xdr:rowOff>160020</xdr:rowOff>
        </xdr:from>
        <xdr:to>
          <xdr:col>6</xdr:col>
          <xdr:colOff>457200</xdr:colOff>
          <xdr:row>89</xdr:row>
          <xdr:rowOff>15240</xdr:rowOff>
        </xdr:to>
        <xdr:sp macro="" textlink="">
          <xdr:nvSpPr>
            <xdr:cNvPr id="356219" name="chk_89" hidden="1">
              <a:extLst>
                <a:ext uri="{63B3BB69-23CF-44E3-9099-C40C66FF867C}">
                  <a14:compatExt spid="_x0000_s356219"/>
                </a:ext>
                <a:ext uri="{FF2B5EF4-FFF2-40B4-BE49-F238E27FC236}">
                  <a16:creationId xmlns:a16="http://schemas.microsoft.com/office/drawing/2014/main" id="{87B22612-A047-4C4D-29D0-5128DB515F2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88</xdr:row>
          <xdr:rowOff>167640</xdr:rowOff>
        </xdr:from>
        <xdr:to>
          <xdr:col>6</xdr:col>
          <xdr:colOff>457200</xdr:colOff>
          <xdr:row>90</xdr:row>
          <xdr:rowOff>15240</xdr:rowOff>
        </xdr:to>
        <xdr:sp macro="" textlink="">
          <xdr:nvSpPr>
            <xdr:cNvPr id="356220" name="chk_90" hidden="1">
              <a:extLst>
                <a:ext uri="{63B3BB69-23CF-44E3-9099-C40C66FF867C}">
                  <a14:compatExt spid="_x0000_s356220"/>
                </a:ext>
                <a:ext uri="{FF2B5EF4-FFF2-40B4-BE49-F238E27FC236}">
                  <a16:creationId xmlns:a16="http://schemas.microsoft.com/office/drawing/2014/main" id="{AE3F17F0-32DF-2D15-1BCC-67266EA8894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89</xdr:row>
          <xdr:rowOff>167640</xdr:rowOff>
        </xdr:from>
        <xdr:to>
          <xdr:col>6</xdr:col>
          <xdr:colOff>457200</xdr:colOff>
          <xdr:row>91</xdr:row>
          <xdr:rowOff>22860</xdr:rowOff>
        </xdr:to>
        <xdr:sp macro="" textlink="">
          <xdr:nvSpPr>
            <xdr:cNvPr id="356221" name="chk_91" hidden="1">
              <a:extLst>
                <a:ext uri="{63B3BB69-23CF-44E3-9099-C40C66FF867C}">
                  <a14:compatExt spid="_x0000_s356221"/>
                </a:ext>
                <a:ext uri="{FF2B5EF4-FFF2-40B4-BE49-F238E27FC236}">
                  <a16:creationId xmlns:a16="http://schemas.microsoft.com/office/drawing/2014/main" id="{4B86E0B6-7FD2-AD9D-0CF0-13951AE0DB4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90</xdr:row>
          <xdr:rowOff>160020</xdr:rowOff>
        </xdr:from>
        <xdr:to>
          <xdr:col>6</xdr:col>
          <xdr:colOff>457200</xdr:colOff>
          <xdr:row>92</xdr:row>
          <xdr:rowOff>15240</xdr:rowOff>
        </xdr:to>
        <xdr:sp macro="" textlink="">
          <xdr:nvSpPr>
            <xdr:cNvPr id="356222" name="chk_92" hidden="1">
              <a:extLst>
                <a:ext uri="{63B3BB69-23CF-44E3-9099-C40C66FF867C}">
                  <a14:compatExt spid="_x0000_s356222"/>
                </a:ext>
                <a:ext uri="{FF2B5EF4-FFF2-40B4-BE49-F238E27FC236}">
                  <a16:creationId xmlns:a16="http://schemas.microsoft.com/office/drawing/2014/main" id="{012EAD9D-6CF8-72A8-A8BA-F03ADCA8B87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91</xdr:row>
          <xdr:rowOff>167640</xdr:rowOff>
        </xdr:from>
        <xdr:to>
          <xdr:col>6</xdr:col>
          <xdr:colOff>457200</xdr:colOff>
          <xdr:row>93</xdr:row>
          <xdr:rowOff>15240</xdr:rowOff>
        </xdr:to>
        <xdr:sp macro="" textlink="">
          <xdr:nvSpPr>
            <xdr:cNvPr id="356223" name="chk_93" hidden="1">
              <a:extLst>
                <a:ext uri="{63B3BB69-23CF-44E3-9099-C40C66FF867C}">
                  <a14:compatExt spid="_x0000_s356223"/>
                </a:ext>
                <a:ext uri="{FF2B5EF4-FFF2-40B4-BE49-F238E27FC236}">
                  <a16:creationId xmlns:a16="http://schemas.microsoft.com/office/drawing/2014/main" id="{A2EF8002-18B3-DBEE-8097-E557444F7EE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92</xdr:row>
          <xdr:rowOff>167640</xdr:rowOff>
        </xdr:from>
        <xdr:to>
          <xdr:col>6</xdr:col>
          <xdr:colOff>457200</xdr:colOff>
          <xdr:row>94</xdr:row>
          <xdr:rowOff>22860</xdr:rowOff>
        </xdr:to>
        <xdr:sp macro="" textlink="">
          <xdr:nvSpPr>
            <xdr:cNvPr id="356224" name="chk_94" hidden="1">
              <a:extLst>
                <a:ext uri="{63B3BB69-23CF-44E3-9099-C40C66FF867C}">
                  <a14:compatExt spid="_x0000_s356224"/>
                </a:ext>
                <a:ext uri="{FF2B5EF4-FFF2-40B4-BE49-F238E27FC236}">
                  <a16:creationId xmlns:a16="http://schemas.microsoft.com/office/drawing/2014/main" id="{40C9ECC2-8C79-0E44-6916-0D918525120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93</xdr:row>
          <xdr:rowOff>160020</xdr:rowOff>
        </xdr:from>
        <xdr:to>
          <xdr:col>6</xdr:col>
          <xdr:colOff>457200</xdr:colOff>
          <xdr:row>95</xdr:row>
          <xdr:rowOff>22860</xdr:rowOff>
        </xdr:to>
        <xdr:sp macro="" textlink="">
          <xdr:nvSpPr>
            <xdr:cNvPr id="356225" name="chk_95" hidden="1">
              <a:extLst>
                <a:ext uri="{63B3BB69-23CF-44E3-9099-C40C66FF867C}">
                  <a14:compatExt spid="_x0000_s356225"/>
                </a:ext>
                <a:ext uri="{FF2B5EF4-FFF2-40B4-BE49-F238E27FC236}">
                  <a16:creationId xmlns:a16="http://schemas.microsoft.com/office/drawing/2014/main" id="{7D70B625-4DDB-4308-85BD-5F33E855C51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94</xdr:row>
          <xdr:rowOff>160020</xdr:rowOff>
        </xdr:from>
        <xdr:to>
          <xdr:col>6</xdr:col>
          <xdr:colOff>457200</xdr:colOff>
          <xdr:row>96</xdr:row>
          <xdr:rowOff>22860</xdr:rowOff>
        </xdr:to>
        <xdr:sp macro="" textlink="">
          <xdr:nvSpPr>
            <xdr:cNvPr id="356226" name="chk_96" hidden="1">
              <a:extLst>
                <a:ext uri="{63B3BB69-23CF-44E3-9099-C40C66FF867C}">
                  <a14:compatExt spid="_x0000_s356226"/>
                </a:ext>
                <a:ext uri="{FF2B5EF4-FFF2-40B4-BE49-F238E27FC236}">
                  <a16:creationId xmlns:a16="http://schemas.microsoft.com/office/drawing/2014/main" id="{F1ABD8D7-F12D-796C-37FB-4C70A88D53F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95</xdr:row>
          <xdr:rowOff>160020</xdr:rowOff>
        </xdr:from>
        <xdr:to>
          <xdr:col>6</xdr:col>
          <xdr:colOff>457200</xdr:colOff>
          <xdr:row>97</xdr:row>
          <xdr:rowOff>15240</xdr:rowOff>
        </xdr:to>
        <xdr:sp macro="" textlink="">
          <xdr:nvSpPr>
            <xdr:cNvPr id="356227" name="chk_97" hidden="1">
              <a:extLst>
                <a:ext uri="{63B3BB69-23CF-44E3-9099-C40C66FF867C}">
                  <a14:compatExt spid="_x0000_s356227"/>
                </a:ext>
                <a:ext uri="{FF2B5EF4-FFF2-40B4-BE49-F238E27FC236}">
                  <a16:creationId xmlns:a16="http://schemas.microsoft.com/office/drawing/2014/main" id="{813C43FF-6898-0AFF-4224-B776110356C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96</xdr:row>
          <xdr:rowOff>167640</xdr:rowOff>
        </xdr:from>
        <xdr:to>
          <xdr:col>6</xdr:col>
          <xdr:colOff>457200</xdr:colOff>
          <xdr:row>98</xdr:row>
          <xdr:rowOff>15240</xdr:rowOff>
        </xdr:to>
        <xdr:sp macro="" textlink="">
          <xdr:nvSpPr>
            <xdr:cNvPr id="356228" name="chk_98" hidden="1">
              <a:extLst>
                <a:ext uri="{63B3BB69-23CF-44E3-9099-C40C66FF867C}">
                  <a14:compatExt spid="_x0000_s356228"/>
                </a:ext>
                <a:ext uri="{FF2B5EF4-FFF2-40B4-BE49-F238E27FC236}">
                  <a16:creationId xmlns:a16="http://schemas.microsoft.com/office/drawing/2014/main" id="{99000493-5AE5-28F6-E3F8-A6A992CF896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97</xdr:row>
          <xdr:rowOff>167640</xdr:rowOff>
        </xdr:from>
        <xdr:to>
          <xdr:col>6</xdr:col>
          <xdr:colOff>457200</xdr:colOff>
          <xdr:row>99</xdr:row>
          <xdr:rowOff>22860</xdr:rowOff>
        </xdr:to>
        <xdr:sp macro="" textlink="">
          <xdr:nvSpPr>
            <xdr:cNvPr id="356229" name="chk_99" hidden="1">
              <a:extLst>
                <a:ext uri="{63B3BB69-23CF-44E3-9099-C40C66FF867C}">
                  <a14:compatExt spid="_x0000_s356229"/>
                </a:ext>
                <a:ext uri="{FF2B5EF4-FFF2-40B4-BE49-F238E27FC236}">
                  <a16:creationId xmlns:a16="http://schemas.microsoft.com/office/drawing/2014/main" id="{95B3F311-6E17-4AF5-85CA-DB51145BA88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98</xdr:row>
          <xdr:rowOff>160020</xdr:rowOff>
        </xdr:from>
        <xdr:to>
          <xdr:col>6</xdr:col>
          <xdr:colOff>457200</xdr:colOff>
          <xdr:row>100</xdr:row>
          <xdr:rowOff>22860</xdr:rowOff>
        </xdr:to>
        <xdr:sp macro="" textlink="">
          <xdr:nvSpPr>
            <xdr:cNvPr id="356230" name="chk_100" hidden="1">
              <a:extLst>
                <a:ext uri="{63B3BB69-23CF-44E3-9099-C40C66FF867C}">
                  <a14:compatExt spid="_x0000_s356230"/>
                </a:ext>
                <a:ext uri="{FF2B5EF4-FFF2-40B4-BE49-F238E27FC236}">
                  <a16:creationId xmlns:a16="http://schemas.microsoft.com/office/drawing/2014/main" id="{81806BBD-34AB-6097-2AC9-990E159F75C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99</xdr:row>
          <xdr:rowOff>160020</xdr:rowOff>
        </xdr:from>
        <xdr:to>
          <xdr:col>6</xdr:col>
          <xdr:colOff>457200</xdr:colOff>
          <xdr:row>101</xdr:row>
          <xdr:rowOff>22860</xdr:rowOff>
        </xdr:to>
        <xdr:sp macro="" textlink="">
          <xdr:nvSpPr>
            <xdr:cNvPr id="356231" name="chk_101" hidden="1">
              <a:extLst>
                <a:ext uri="{63B3BB69-23CF-44E3-9099-C40C66FF867C}">
                  <a14:compatExt spid="_x0000_s356231"/>
                </a:ext>
                <a:ext uri="{FF2B5EF4-FFF2-40B4-BE49-F238E27FC236}">
                  <a16:creationId xmlns:a16="http://schemas.microsoft.com/office/drawing/2014/main" id="{6357FF7A-FF9D-F3B6-0B46-05AF2BD11C3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100</xdr:row>
          <xdr:rowOff>160020</xdr:rowOff>
        </xdr:from>
        <xdr:to>
          <xdr:col>6</xdr:col>
          <xdr:colOff>457200</xdr:colOff>
          <xdr:row>102</xdr:row>
          <xdr:rowOff>22860</xdr:rowOff>
        </xdr:to>
        <xdr:sp macro="" textlink="">
          <xdr:nvSpPr>
            <xdr:cNvPr id="356232" name="chk_102" hidden="1">
              <a:extLst>
                <a:ext uri="{63B3BB69-23CF-44E3-9099-C40C66FF867C}">
                  <a14:compatExt spid="_x0000_s356232"/>
                </a:ext>
                <a:ext uri="{FF2B5EF4-FFF2-40B4-BE49-F238E27FC236}">
                  <a16:creationId xmlns:a16="http://schemas.microsoft.com/office/drawing/2014/main" id="{FE0A54AB-4E88-676E-1CB5-735085722AB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101</xdr:row>
          <xdr:rowOff>160020</xdr:rowOff>
        </xdr:from>
        <xdr:to>
          <xdr:col>6</xdr:col>
          <xdr:colOff>457200</xdr:colOff>
          <xdr:row>103</xdr:row>
          <xdr:rowOff>22860</xdr:rowOff>
        </xdr:to>
        <xdr:sp macro="" textlink="">
          <xdr:nvSpPr>
            <xdr:cNvPr id="356233" name="chk_103" hidden="1">
              <a:extLst>
                <a:ext uri="{63B3BB69-23CF-44E3-9099-C40C66FF867C}">
                  <a14:compatExt spid="_x0000_s356233"/>
                </a:ext>
                <a:ext uri="{FF2B5EF4-FFF2-40B4-BE49-F238E27FC236}">
                  <a16:creationId xmlns:a16="http://schemas.microsoft.com/office/drawing/2014/main" id="{2979114F-F32E-8A3C-1F83-F4861A23CF9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102</xdr:row>
          <xdr:rowOff>160020</xdr:rowOff>
        </xdr:from>
        <xdr:to>
          <xdr:col>6</xdr:col>
          <xdr:colOff>457200</xdr:colOff>
          <xdr:row>104</xdr:row>
          <xdr:rowOff>22860</xdr:rowOff>
        </xdr:to>
        <xdr:sp macro="" textlink="">
          <xdr:nvSpPr>
            <xdr:cNvPr id="356234" name="chk_104" hidden="1">
              <a:extLst>
                <a:ext uri="{63B3BB69-23CF-44E3-9099-C40C66FF867C}">
                  <a14:compatExt spid="_x0000_s356234"/>
                </a:ext>
                <a:ext uri="{FF2B5EF4-FFF2-40B4-BE49-F238E27FC236}">
                  <a16:creationId xmlns:a16="http://schemas.microsoft.com/office/drawing/2014/main" id="{BE856D37-2031-F3E5-E53A-CC021649DFA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581025</xdr:colOff>
      <xdr:row>47</xdr:row>
      <xdr:rowOff>104775</xdr:rowOff>
    </xdr:from>
    <xdr:to>
      <xdr:col>9</xdr:col>
      <xdr:colOff>152400</xdr:colOff>
      <xdr:row>47</xdr:row>
      <xdr:rowOff>104775</xdr:rowOff>
    </xdr:to>
    <xdr:sp macro="" textlink="">
      <xdr:nvSpPr>
        <xdr:cNvPr id="2" name="Line 1">
          <a:extLst>
            <a:ext uri="{FF2B5EF4-FFF2-40B4-BE49-F238E27FC236}">
              <a16:creationId xmlns:a16="http://schemas.microsoft.com/office/drawing/2014/main" id="{07B47AE8-EE05-457B-BC1B-9468EAAB86B8}"/>
            </a:ext>
          </a:extLst>
        </xdr:cNvPr>
        <xdr:cNvSpPr>
          <a:spLocks noChangeShapeType="1"/>
        </xdr:cNvSpPr>
      </xdr:nvSpPr>
      <xdr:spPr bwMode="auto">
        <a:xfrm>
          <a:off x="9988387440" y="77628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581025</xdr:colOff>
      <xdr:row>38</xdr:row>
      <xdr:rowOff>104775</xdr:rowOff>
    </xdr:from>
    <xdr:to>
      <xdr:col>0</xdr:col>
      <xdr:colOff>152400</xdr:colOff>
      <xdr:row>38</xdr:row>
      <xdr:rowOff>104775</xdr:rowOff>
    </xdr:to>
    <xdr:sp macro="" textlink="">
      <xdr:nvSpPr>
        <xdr:cNvPr id="2" name="Line 1">
          <a:extLst>
            <a:ext uri="{FF2B5EF4-FFF2-40B4-BE49-F238E27FC236}">
              <a16:creationId xmlns:a16="http://schemas.microsoft.com/office/drawing/2014/main" id="{00000000-0008-0000-1E00-000002000000}"/>
            </a:ext>
          </a:extLst>
        </xdr:cNvPr>
        <xdr:cNvSpPr>
          <a:spLocks noChangeShapeType="1"/>
        </xdr:cNvSpPr>
      </xdr:nvSpPr>
      <xdr:spPr bwMode="auto">
        <a:xfrm>
          <a:off x="11238938025" y="655320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07" Type="http://schemas.openxmlformats.org/officeDocument/2006/relationships/ctrlProp" Target="../ctrlProps/ctrlProp104.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110" Type="http://schemas.openxmlformats.org/officeDocument/2006/relationships/ctrlProp" Target="../ctrlProps/ctrlProp107.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8" Type="http://schemas.openxmlformats.org/officeDocument/2006/relationships/hyperlink" Target="../../../../../../../../../../../../../../../../../../../../../../../../../../../../../../../../../../../../../../../../../../../../../../../../../../../../../../../../../../../../../../../../../../../../../../../../../../../../../../../../../../../../../../../../../../../../../../../../../../../../../../../../../../../../../../../../../../../../../../../../../../../../../../../../../../../../../../../../../../../../../../../../../../../../../../../../../../../../../../../../../../../../../../../../../../../../../../../../../../../../../../../../../../../../../../../../../../../../../../../../../../../../../../../../../../../../../../../../../../../../../../../../../../../../../../../../../../../../../../../../../../../../../../../../../../../../../../../../../../../../../../../../../../../../../../../../../../../../../../../../../../../../../../../../../../../../../../../../../../../../../../../../../../../../../../../../../../../../../../../../../../../../../../../../../../../../../../../../../../../../../../../../../../../../../../../../../../../../marce/Dropbox/&#1502;&#1496;&#1488;&#1493;&#1512;/&#1502;&#1504;&#1492;&#1500;&#1514;%20&#1492;&#1490;&#1502;&#1500;&#1488;&#1493;&#1514;/&#1492;&#1505;&#1489;&#1492;/&#1497;&#1500;&#1511;&#1493;&#1496;%20&#1508;&#1512;&#1505;&#1493;&#1502;&#1497;&#1501;%2096.pdf" TargetMode="External"/><Relationship Id="rId2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7;&#1500;&#1511;&#1493;&#1496;%20&#1508;&#1512;&#1505;&#1493;&#1502;&#1497;&#1501;%2096.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8"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0"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7;&#1500;&#1511;&#1493;&#1496;%20&#1508;&#1512;&#1505;&#1493;&#1502;&#1497;&#1501;%2096.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7;&#1500;&#1511;&#1493;&#1496;%20&#1508;&#1512;&#1505;&#1493;&#1502;&#1497;&#1501;%2096.pdf" TargetMode="External"/><Relationship Id="rId27" Type="http://schemas.openxmlformats.org/officeDocument/2006/relationships/hyperlink" Target="../../../../../../../../../../../../../../../../../../../../../../../../../../../../../../../../../../../../../../../../../../../../../../../../../../../../../../../../../../../../../../../../../../../../../../../../../../../../../../../../../../../../../../../../../../../../../../../../../../../../../../../../../../../../../../../../../../../../../../../../../../../../../../../../../../../../../../../../../../../../../../../../../../../../../../../../../../../../../../../../../../../../../../../../../../../../../../../../../../../../../../../../../../../../../../../../../../../../../../../../../../../../../../../../../../../../../../../../../../../../../../../../../../../../../../../../../../../../../../../../../../../../../../../../../../../../../../../../../../../../../../../../../../../../../../../../../../../../../../../../../../../../../../../../../../../../../../../../../../../../../../../../../../../../../../../../../../../../../../../../../../../../../../../../../../../../../../../../../../../../../../../../../../../../../../../../../../../../marce/Dropbox/&#1502;&#1496;&#1488;&#1493;&#1512;/&#1502;&#1504;&#1492;&#1500;&#1514;%20&#1492;&#1490;&#1502;&#1500;&#1488;&#1493;&#1514;/&#1492;&#1505;&#1489;&#1492;/&#1497;&#1500;&#1511;&#1493;&#1496;%20&#1508;&#1512;&#1505;&#1493;&#1502;&#1497;&#1501;%2096.pdf"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s>
</file>

<file path=xl/worksheets/_rels/sheet33.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6"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7;&#1500;&#1511;&#1493;&#1496;%20&#1508;&#1512;&#1505;&#1493;&#1502;&#1497;&#1501;%2096.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3" Type="http://schemas.openxmlformats.org/officeDocument/2006/relationships/hyperlink" Target="../../../../../../../../../../../../../../../../../../../../../../../../../../../../../../../../../../../../../../../../../../../../../../../../../../../../../../../../../../../../../../../../../../../../../../../../../../../../../../../../../../../../../../../../../../../../../../../../../../../../../../../../../../../../../../../../../../../../../../../../../../../../../../../../../../../../../../../../../../../../../../../../../../../../../../../../../../../../../../../../../../../../../../../../../../../../../../../../../../../../../../../../../../../../../../../../../../../../../../../../../../../../../../../../../../../../../../../../../../../../../../../../../../../../../../../../../../../../../../../../../../../../../../../../../../../../../../../../../../../../../../../../../../../../../../../../../../../../../../../../../../../../../../../../../../../../../../../../../../../../../../../../../../../../../../../../../../../../../../../../../../../../../../../../../../../../../../../../../../../../../../../../../../../../../../../../../../../../marce/Dropbox/&#1502;&#1496;&#1488;&#1493;&#1512;/&#1502;&#1504;&#1492;&#1500;&#1514;%20&#1492;&#1490;&#1502;&#1500;&#1488;&#1493;&#1514;/&#1492;&#1505;&#1489;&#1492;/&#1497;&#1500;&#1511;&#1493;&#1496;%20&#1508;&#1512;&#1505;&#1493;&#1502;&#1497;&#1501;%2096.pdf" TargetMode="External"/><Relationship Id="rId28" Type="http://schemas.openxmlformats.org/officeDocument/2006/relationships/hyperlink" Target="../../../../../../../../../../../../../../../../../../../../../../../../../../../../../../../../../../../../../../../../../../../../../../../../../../../../../../../../../../../../../../../../../../../../../../../../../../../../../../../../../../../../../../../../../../../../../../../../../../../../../../../../../../../../../../../../../../../../../../../../../../../../../../../../../../../../../../../../../../../../../../../../../../../../../../../../../../../../../../../../../../../../../../../../../../../../../../../../../../../../../../../../../../../../../../../../../../../../../../../../../../../../../../../../../../../../../../../../../../../../../../../../../../../../../../../../../../../../../../../../../../../../../../../../../../../../../../../../../../../../../../../../../../../../../../../../../../../../../../../../../../../../../../../../../../../../../../../../../../../../../../../../../../../../../../../../../../../../../../../../../../../../../../../../../../../../../../../../../../../../../../../../../../../../../../../../../../../../marce/Dropbox/&#1502;&#1496;&#1488;&#1493;&#1512;/&#1502;&#1504;&#1492;&#1500;&#1514;%20&#1492;&#1490;&#1502;&#1500;&#1488;&#1493;&#1514;/&#1492;&#1505;&#1489;&#1492;/&#1497;&#1500;&#1511;&#1493;&#1496;%20&#1508;&#1512;&#1505;&#1493;&#1502;&#1497;&#1501;%2096.pdf" TargetMode="External"/><Relationship Id="rId10" Type="http://schemas.openxmlformats.org/officeDocument/2006/relationships/hyperlink" Target="../../../../../../../../../../../../../../../../../../../../../../../../../../../../../../../../../../../../../../../../../../../../../../../../../../../../../../../../../../../../../../../../../../../../../../../../../../../../../../../../../../../../../../../../../../../../../../../../../../../../../../../../../../../../../../../../../../../../../../../../../../../../../../../../../../../../../../../../../../../../../../../../../../../../../../../../../../../../../../../../../../../../../../../../../../../../../../../../../../../../../../../../../../../../../../../../../../../../../../../../../../../../../../../../../../../../../../../../../../../../../../../../../../../../../../../../../../../../../../../../../../../../../../../../../../../../../../../../../../../../../../../../../../../../../../../../../../../../../../../../../../../../../../../../../../../../../../../../../../../../../../../../../../../../../../../../../../../../../../../../../../../../../../../../../../../../../../../../../../../../../../../../../../../../../../../../../../../../marce/Dropbox/&#1502;&#1496;&#1488;&#1493;&#1512;/&#1502;&#1504;&#1492;&#1500;&#1514;%20&#1492;&#1490;&#1502;&#1500;&#1488;&#1493;&#1514;/&#1492;&#1505;&#1489;&#1492;/&#1497;&#1500;&#1511;&#1493;&#1496;%20&#1508;&#1512;&#1505;&#1493;&#1502;&#1497;&#1501;%2096.pdf" TargetMode="External"/><Relationship Id="rId19" Type="http://schemas.openxmlformats.org/officeDocument/2006/relationships/hyperlink" Target="../../../../../../../../../../../../../../../../../../../../../../../../../../../../../../../../../../../../../../../../../../../../../../../../../../../../../../../../../../../../../../../../../../../../../../../../../../../../../../../../../../../../../../../../../../../../../../../../../../../../../../../../../../../../../../../../../../../../../../../../../../../../../../../../../../../../../../../../../../../../../../../../../../../../../../../../../../../../../../../../../../../../../../../../../../../../../../../../../../../../../../../../../../../../../../../../../../../../../../../../../../../../../../../../../../../../../../../../../../../../../../../../../../../../../../../../../../../../../../../../../../../../../../../../../../../../../../../../../../../../../../../../../../../../../../../../../../../../../../../../../../../../../../../../../../../../../../../../../../../../../../../../../../../../../../../../../../../../../../../../../../../../../../../../../../../../../../../../../../../../../../../../../../../../../../../../../../../../marce/Dropbox/&#1502;&#1496;&#1488;&#1493;&#1512;/&#1502;&#1504;&#1492;&#1500;&#1514;%20&#1492;&#1490;&#1502;&#1500;&#1488;&#1493;&#1514;/&#1492;&#1505;&#1489;&#1492;/&#1497;&#1500;&#1511;&#1493;&#1496;%20&#1508;&#1512;&#1505;&#1493;&#1502;&#1497;&#1501;%2096.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0"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8.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E06B5-4E3D-4ABF-85F9-40242D3E1488}">
  <sheetPr codeName="גיליון1"/>
  <dimension ref="A1:M151"/>
  <sheetViews>
    <sheetView rightToLeft="1" topLeftCell="A23" workbookViewId="0">
      <selection activeCell="B25" sqref="B25"/>
    </sheetView>
  </sheetViews>
  <sheetFormatPr defaultRowHeight="14.4"/>
  <cols>
    <col min="2" max="2" width="17.21875" bestFit="1" customWidth="1"/>
    <col min="3" max="3" width="10.77734375" bestFit="1" customWidth="1"/>
    <col min="4" max="4" width="10.77734375" customWidth="1"/>
    <col min="7" max="7" width="28.44140625" bestFit="1" customWidth="1"/>
    <col min="8" max="8" width="49.109375" bestFit="1" customWidth="1"/>
    <col min="11" max="11" width="15.109375" bestFit="1" customWidth="1"/>
    <col min="12" max="12" width="10.6640625" bestFit="1" customWidth="1"/>
    <col min="13" max="13" width="17" bestFit="1" customWidth="1"/>
  </cols>
  <sheetData>
    <row r="1" spans="1:13">
      <c r="A1" s="108" t="s">
        <v>5134</v>
      </c>
      <c r="B1" s="85" t="s">
        <v>5135</v>
      </c>
      <c r="C1" s="108" t="s">
        <v>5777</v>
      </c>
      <c r="D1" s="108" t="s">
        <v>5158</v>
      </c>
      <c r="F1" s="108" t="s">
        <v>5156</v>
      </c>
      <c r="G1" s="108" t="s">
        <v>5157</v>
      </c>
      <c r="H1" s="108"/>
      <c r="I1" s="108"/>
      <c r="K1" s="108"/>
      <c r="L1" s="108"/>
      <c r="M1" s="108"/>
    </row>
    <row r="2" spans="1:13">
      <c r="A2">
        <v>1</v>
      </c>
      <c r="B2" s="1" t="s">
        <v>5136</v>
      </c>
      <c r="C2">
        <v>1</v>
      </c>
      <c r="F2" s="389" t="b">
        <v>1</v>
      </c>
      <c r="G2" s="389" t="b">
        <v>1</v>
      </c>
      <c r="H2" t="s">
        <v>5075</v>
      </c>
    </row>
    <row r="3" spans="1:13">
      <c r="A3">
        <v>2</v>
      </c>
      <c r="B3" s="1" t="s">
        <v>1771</v>
      </c>
      <c r="C3">
        <v>2</v>
      </c>
      <c r="F3" s="389" t="b">
        <v>1</v>
      </c>
      <c r="G3" s="389" t="b">
        <v>1</v>
      </c>
      <c r="H3" t="s">
        <v>5075</v>
      </c>
    </row>
    <row r="4" spans="1:13">
      <c r="A4">
        <v>3</v>
      </c>
      <c r="B4" s="1" t="s">
        <v>5136</v>
      </c>
      <c r="C4">
        <v>10002</v>
      </c>
      <c r="D4" s="574" t="s">
        <v>5769</v>
      </c>
      <c r="F4" s="389" t="b">
        <v>1</v>
      </c>
      <c r="G4" s="389" t="b">
        <v>1</v>
      </c>
      <c r="H4" t="s">
        <v>5075</v>
      </c>
    </row>
    <row r="5" spans="1:13">
      <c r="A5">
        <v>4</v>
      </c>
      <c r="B5" t="s">
        <v>29</v>
      </c>
      <c r="C5">
        <v>31</v>
      </c>
      <c r="G5" s="389" t="b">
        <v>1</v>
      </c>
    </row>
    <row r="6" spans="1:13">
      <c r="A6">
        <v>5</v>
      </c>
      <c r="B6" t="s">
        <v>3851</v>
      </c>
      <c r="C6">
        <v>516</v>
      </c>
      <c r="D6">
        <v>4038</v>
      </c>
      <c r="G6" s="389" t="b">
        <v>0</v>
      </c>
      <c r="H6" t="s">
        <v>5229</v>
      </c>
    </row>
    <row r="7" spans="1:13">
      <c r="A7">
        <v>6</v>
      </c>
      <c r="B7" s="1" t="s">
        <v>1404</v>
      </c>
      <c r="C7">
        <v>600</v>
      </c>
      <c r="D7">
        <v>1370</v>
      </c>
      <c r="F7" s="389" t="b">
        <v>1</v>
      </c>
      <c r="G7" s="389" t="b">
        <v>1</v>
      </c>
      <c r="H7" t="s">
        <v>1197</v>
      </c>
    </row>
    <row r="8" spans="1:13">
      <c r="A8">
        <v>7</v>
      </c>
      <c r="B8" s="1" t="s">
        <v>1287</v>
      </c>
      <c r="C8">
        <v>626</v>
      </c>
      <c r="D8">
        <v>1024</v>
      </c>
      <c r="F8" s="389" t="b">
        <v>1</v>
      </c>
      <c r="G8" s="389" t="b">
        <v>1</v>
      </c>
      <c r="H8" t="s">
        <v>1197</v>
      </c>
    </row>
    <row r="9" spans="1:13">
      <c r="A9">
        <v>8</v>
      </c>
      <c r="B9" s="1" t="s">
        <v>807</v>
      </c>
      <c r="C9">
        <v>628</v>
      </c>
      <c r="D9">
        <v>1361</v>
      </c>
      <c r="F9" s="389" t="b">
        <v>1</v>
      </c>
      <c r="G9" s="389" t="b">
        <v>1</v>
      </c>
      <c r="H9" t="s">
        <v>1406</v>
      </c>
    </row>
    <row r="10" spans="1:13">
      <c r="A10">
        <v>9</v>
      </c>
      <c r="B10" s="1" t="s">
        <v>1474</v>
      </c>
      <c r="C10">
        <v>630</v>
      </c>
      <c r="D10">
        <v>1043</v>
      </c>
      <c r="F10" s="389" t="b">
        <v>1</v>
      </c>
      <c r="G10" s="389" t="b">
        <v>1</v>
      </c>
      <c r="H10" t="s">
        <v>5075</v>
      </c>
    </row>
    <row r="11" spans="1:13">
      <c r="A11">
        <v>10</v>
      </c>
      <c r="B11" s="1" t="s">
        <v>1405</v>
      </c>
      <c r="C11">
        <v>636</v>
      </c>
      <c r="D11">
        <v>8077</v>
      </c>
      <c r="F11" s="389" t="b">
        <v>1</v>
      </c>
      <c r="G11" s="389" t="b">
        <v>1</v>
      </c>
      <c r="H11" t="s">
        <v>5075</v>
      </c>
    </row>
    <row r="12" spans="1:13">
      <c r="A12">
        <v>11</v>
      </c>
      <c r="B12" s="1" t="s">
        <v>5791</v>
      </c>
      <c r="C12">
        <v>642</v>
      </c>
      <c r="D12">
        <v>0</v>
      </c>
      <c r="F12" s="389" t="b">
        <v>0</v>
      </c>
      <c r="G12" s="389" t="b">
        <v>0</v>
      </c>
    </row>
    <row r="13" spans="1:13">
      <c r="A13">
        <v>12</v>
      </c>
      <c r="B13" s="1" t="s">
        <v>1372</v>
      </c>
      <c r="C13" s="1" t="s">
        <v>5302</v>
      </c>
      <c r="D13" t="s">
        <v>5780</v>
      </c>
      <c r="H13" t="s">
        <v>5159</v>
      </c>
    </row>
    <row r="14" spans="1:13">
      <c r="A14">
        <v>13</v>
      </c>
      <c r="B14" s="1" t="s">
        <v>1877</v>
      </c>
      <c r="C14">
        <v>657</v>
      </c>
      <c r="D14">
        <v>4040</v>
      </c>
      <c r="F14" s="389" t="b">
        <v>1</v>
      </c>
      <c r="H14" t="s">
        <v>5160</v>
      </c>
    </row>
    <row r="15" spans="1:13">
      <c r="A15">
        <v>14</v>
      </c>
      <c r="B15" s="1" t="s">
        <v>68</v>
      </c>
      <c r="C15">
        <v>658</v>
      </c>
      <c r="D15">
        <v>0</v>
      </c>
      <c r="F15" s="389" t="b">
        <v>0</v>
      </c>
    </row>
    <row r="16" spans="1:13">
      <c r="A16">
        <v>15</v>
      </c>
      <c r="B16" s="1" t="s">
        <v>5342</v>
      </c>
      <c r="C16">
        <v>659</v>
      </c>
      <c r="D16">
        <v>1053</v>
      </c>
      <c r="F16" s="389" t="b">
        <v>0</v>
      </c>
    </row>
    <row r="17" spans="1:12">
      <c r="A17">
        <v>16</v>
      </c>
      <c r="B17" s="1" t="s">
        <v>1292</v>
      </c>
      <c r="C17">
        <v>663</v>
      </c>
      <c r="D17">
        <v>1044</v>
      </c>
      <c r="H17" t="s">
        <v>5162</v>
      </c>
    </row>
    <row r="18" spans="1:12">
      <c r="A18">
        <v>17</v>
      </c>
      <c r="B18" s="1" t="s">
        <v>1372</v>
      </c>
      <c r="C18">
        <v>667</v>
      </c>
      <c r="D18">
        <v>667</v>
      </c>
      <c r="F18" s="389" t="b">
        <v>1</v>
      </c>
      <c r="G18" s="389" t="b">
        <v>1</v>
      </c>
      <c r="H18" t="s">
        <v>5075</v>
      </c>
    </row>
    <row r="19" spans="1:12">
      <c r="A19">
        <v>18</v>
      </c>
      <c r="B19" s="1" t="s">
        <v>5137</v>
      </c>
      <c r="C19">
        <v>669</v>
      </c>
      <c r="D19">
        <v>1054</v>
      </c>
      <c r="F19" s="389" t="b">
        <v>1</v>
      </c>
      <c r="G19" s="389" t="b">
        <v>1</v>
      </c>
      <c r="H19" t="s">
        <v>1197</v>
      </c>
    </row>
    <row r="20" spans="1:12">
      <c r="A20">
        <v>19</v>
      </c>
      <c r="B20" s="1" t="s">
        <v>1294</v>
      </c>
      <c r="C20">
        <v>678</v>
      </c>
      <c r="D20">
        <v>0</v>
      </c>
      <c r="F20" s="389" t="b">
        <v>0</v>
      </c>
      <c r="G20" s="389" t="b">
        <v>0</v>
      </c>
    </row>
    <row r="21" spans="1:12">
      <c r="A21">
        <v>20</v>
      </c>
      <c r="B21" s="1" t="s">
        <v>1295</v>
      </c>
      <c r="C21">
        <v>681</v>
      </c>
      <c r="D21">
        <v>5012</v>
      </c>
      <c r="F21" s="389" t="b">
        <v>1</v>
      </c>
      <c r="G21" s="389" t="b">
        <v>1</v>
      </c>
      <c r="H21" t="s">
        <v>5163</v>
      </c>
    </row>
    <row r="22" spans="1:12">
      <c r="A22">
        <v>21</v>
      </c>
      <c r="B22" s="1" t="s">
        <v>1422</v>
      </c>
      <c r="C22">
        <v>697</v>
      </c>
      <c r="D22">
        <v>1149</v>
      </c>
      <c r="F22" s="389" t="b">
        <v>1</v>
      </c>
      <c r="G22" s="389" t="b">
        <v>1</v>
      </c>
      <c r="H22" t="s">
        <v>1421</v>
      </c>
    </row>
    <row r="23" spans="1:12">
      <c r="A23">
        <v>22</v>
      </c>
      <c r="B23" s="1" t="s">
        <v>1373</v>
      </c>
      <c r="C23">
        <v>705</v>
      </c>
      <c r="D23">
        <v>1016</v>
      </c>
      <c r="F23" s="389" t="b">
        <v>1</v>
      </c>
      <c r="G23" s="389" t="b">
        <v>1</v>
      </c>
      <c r="H23" t="s">
        <v>96</v>
      </c>
    </row>
    <row r="24" spans="1:12">
      <c r="A24">
        <v>23</v>
      </c>
      <c r="B24" s="1" t="s">
        <v>1302</v>
      </c>
      <c r="C24">
        <v>728</v>
      </c>
      <c r="D24">
        <v>1025</v>
      </c>
      <c r="F24" s="389" t="b">
        <v>1</v>
      </c>
      <c r="G24" s="389" t="b">
        <v>1</v>
      </c>
      <c r="H24" t="s">
        <v>1197</v>
      </c>
    </row>
    <row r="25" spans="1:12">
      <c r="A25">
        <v>24</v>
      </c>
      <c r="B25" s="1" t="s">
        <v>5797</v>
      </c>
      <c r="C25">
        <v>733</v>
      </c>
      <c r="F25" s="389" t="b">
        <v>0</v>
      </c>
      <c r="G25" s="389" t="b">
        <v>0</v>
      </c>
    </row>
    <row r="26" spans="1:12">
      <c r="A26">
        <v>25</v>
      </c>
      <c r="B26" s="1" t="s">
        <v>1916</v>
      </c>
      <c r="C26">
        <v>735</v>
      </c>
      <c r="D26">
        <v>1305</v>
      </c>
      <c r="F26" s="389" t="b">
        <v>1</v>
      </c>
      <c r="G26" s="389" t="b">
        <v>1</v>
      </c>
      <c r="H26" t="s">
        <v>96</v>
      </c>
    </row>
    <row r="27" spans="1:12">
      <c r="A27">
        <v>26</v>
      </c>
      <c r="B27" s="1" t="s">
        <v>5353</v>
      </c>
      <c r="C27">
        <v>736</v>
      </c>
      <c r="D27">
        <v>1049</v>
      </c>
      <c r="F27" s="389" t="b">
        <v>0</v>
      </c>
      <c r="G27" s="389" t="b">
        <v>0</v>
      </c>
    </row>
    <row r="28" spans="1:12">
      <c r="A28">
        <v>27</v>
      </c>
      <c r="B28" s="1" t="s">
        <v>1364</v>
      </c>
      <c r="C28">
        <v>737</v>
      </c>
      <c r="D28">
        <v>1355</v>
      </c>
      <c r="F28" s="389" t="b">
        <v>1</v>
      </c>
      <c r="G28" s="389" t="b">
        <v>1</v>
      </c>
      <c r="H28" t="s">
        <v>96</v>
      </c>
      <c r="L28" s="372"/>
    </row>
    <row r="29" spans="1:12">
      <c r="A29">
        <v>28</v>
      </c>
      <c r="B29" s="1" t="s">
        <v>5138</v>
      </c>
      <c r="C29">
        <v>738</v>
      </c>
      <c r="D29">
        <v>1304</v>
      </c>
      <c r="F29" s="389" t="b">
        <v>1</v>
      </c>
      <c r="G29" s="389" t="b">
        <v>1</v>
      </c>
      <c r="H29" t="s">
        <v>96</v>
      </c>
    </row>
    <row r="30" spans="1:12">
      <c r="A30">
        <v>29</v>
      </c>
      <c r="B30" s="1" t="s">
        <v>1307</v>
      </c>
      <c r="C30">
        <v>739</v>
      </c>
      <c r="D30">
        <v>1068</v>
      </c>
      <c r="F30" s="389" t="b">
        <v>1</v>
      </c>
      <c r="G30" s="389" t="b">
        <v>1</v>
      </c>
      <c r="H30" t="s">
        <v>5165</v>
      </c>
    </row>
    <row r="31" spans="1:12">
      <c r="A31">
        <v>30</v>
      </c>
      <c r="B31" s="1" t="s">
        <v>1371</v>
      </c>
      <c r="C31">
        <v>741</v>
      </c>
      <c r="D31">
        <v>1012</v>
      </c>
      <c r="F31" s="389" t="b">
        <v>1</v>
      </c>
      <c r="G31" s="389" t="b">
        <v>1</v>
      </c>
      <c r="H31" t="s">
        <v>96</v>
      </c>
    </row>
    <row r="32" spans="1:12">
      <c r="A32">
        <v>31</v>
      </c>
      <c r="B32" s="1" t="s">
        <v>855</v>
      </c>
      <c r="C32">
        <v>756</v>
      </c>
      <c r="D32">
        <v>1093</v>
      </c>
      <c r="F32" s="389" t="b">
        <v>1</v>
      </c>
      <c r="G32" s="389" t="b">
        <v>1</v>
      </c>
      <c r="H32" t="s">
        <v>5239</v>
      </c>
    </row>
    <row r="33" spans="1:12">
      <c r="A33">
        <v>32</v>
      </c>
      <c r="B33" s="1" t="s">
        <v>1405</v>
      </c>
      <c r="C33">
        <v>764</v>
      </c>
      <c r="D33">
        <v>1023</v>
      </c>
      <c r="F33" s="389" t="b">
        <v>1</v>
      </c>
      <c r="G33" s="389" t="b">
        <v>1</v>
      </c>
      <c r="H33" t="s">
        <v>5075</v>
      </c>
    </row>
    <row r="34" spans="1:12">
      <c r="A34">
        <v>33</v>
      </c>
      <c r="B34" s="1" t="s">
        <v>1315</v>
      </c>
      <c r="C34">
        <v>768</v>
      </c>
      <c r="D34">
        <v>5032</v>
      </c>
      <c r="F34" s="389" t="b">
        <v>1</v>
      </c>
      <c r="H34" t="s">
        <v>5166</v>
      </c>
    </row>
    <row r="35" spans="1:12">
      <c r="A35">
        <v>34</v>
      </c>
      <c r="B35" t="s">
        <v>1198</v>
      </c>
      <c r="C35">
        <v>778</v>
      </c>
      <c r="D35">
        <v>8114</v>
      </c>
      <c r="F35" s="389" t="b">
        <v>1</v>
      </c>
      <c r="G35" s="389" t="b">
        <v>1</v>
      </c>
      <c r="H35" t="s">
        <v>1197</v>
      </c>
    </row>
    <row r="36" spans="1:12">
      <c r="A36">
        <v>35</v>
      </c>
      <c r="B36" s="1" t="s">
        <v>866</v>
      </c>
      <c r="C36">
        <v>798</v>
      </c>
      <c r="D36">
        <v>4025</v>
      </c>
      <c r="F36" s="389" t="b">
        <v>1</v>
      </c>
      <c r="G36" s="389" t="b">
        <v>1</v>
      </c>
      <c r="H36" t="s">
        <v>1197</v>
      </c>
    </row>
    <row r="37" spans="1:12">
      <c r="A37">
        <v>36</v>
      </c>
      <c r="B37" s="1" t="s">
        <v>868</v>
      </c>
      <c r="C37">
        <v>805</v>
      </c>
      <c r="D37">
        <v>1040</v>
      </c>
      <c r="F37" s="389" t="b">
        <v>1</v>
      </c>
      <c r="G37" s="389" t="b">
        <v>1</v>
      </c>
      <c r="H37" t="s">
        <v>5171</v>
      </c>
    </row>
    <row r="38" spans="1:12">
      <c r="A38">
        <v>37</v>
      </c>
      <c r="B38" s="1" t="s">
        <v>1319</v>
      </c>
      <c r="C38">
        <v>808</v>
      </c>
      <c r="D38">
        <v>1041</v>
      </c>
      <c r="F38" s="389" t="b">
        <v>0</v>
      </c>
      <c r="G38" s="389" t="b">
        <v>0</v>
      </c>
    </row>
    <row r="39" spans="1:12">
      <c r="A39">
        <v>38</v>
      </c>
      <c r="B39" s="1" t="s">
        <v>1320</v>
      </c>
      <c r="C39">
        <v>809</v>
      </c>
      <c r="D39">
        <v>1193</v>
      </c>
      <c r="F39" s="389" t="b">
        <v>1</v>
      </c>
      <c r="G39" s="389" t="b">
        <v>1</v>
      </c>
    </row>
    <row r="40" spans="1:12">
      <c r="A40">
        <v>39</v>
      </c>
      <c r="B40" s="1" t="s">
        <v>5139</v>
      </c>
      <c r="C40">
        <v>853</v>
      </c>
      <c r="D40">
        <v>8085</v>
      </c>
      <c r="F40" s="389" t="b">
        <v>1</v>
      </c>
      <c r="G40" s="389" t="b">
        <v>1</v>
      </c>
      <c r="H40" t="s">
        <v>5172</v>
      </c>
    </row>
    <row r="41" spans="1:12">
      <c r="A41">
        <v>40</v>
      </c>
      <c r="B41" s="1" t="s">
        <v>855</v>
      </c>
      <c r="C41">
        <v>858</v>
      </c>
      <c r="D41">
        <v>1250</v>
      </c>
      <c r="F41" s="389" t="b">
        <v>1</v>
      </c>
      <c r="G41" s="389" t="b">
        <v>1</v>
      </c>
      <c r="H41" t="s">
        <v>5174</v>
      </c>
    </row>
    <row r="42" spans="1:12">
      <c r="A42">
        <v>41</v>
      </c>
      <c r="B42" s="1" t="s">
        <v>1531</v>
      </c>
      <c r="C42">
        <v>875</v>
      </c>
      <c r="D42">
        <v>1061</v>
      </c>
      <c r="F42" s="389" t="b">
        <v>1</v>
      </c>
      <c r="G42" s="389" t="b">
        <v>1</v>
      </c>
      <c r="H42" t="s">
        <v>5237</v>
      </c>
    </row>
    <row r="43" spans="1:12">
      <c r="A43">
        <v>42</v>
      </c>
      <c r="B43" s="1" t="s">
        <v>1536</v>
      </c>
      <c r="C43">
        <v>883</v>
      </c>
      <c r="D43">
        <v>1042</v>
      </c>
      <c r="F43" s="389" t="b">
        <v>1</v>
      </c>
    </row>
    <row r="44" spans="1:12">
      <c r="A44">
        <v>43</v>
      </c>
      <c r="B44" s="1" t="s">
        <v>1538</v>
      </c>
      <c r="C44">
        <v>889</v>
      </c>
      <c r="D44">
        <v>8151</v>
      </c>
      <c r="F44" t="s">
        <v>1666</v>
      </c>
    </row>
    <row r="45" spans="1:12">
      <c r="A45">
        <v>44</v>
      </c>
      <c r="B45" t="s">
        <v>22</v>
      </c>
      <c r="C45">
        <v>897</v>
      </c>
      <c r="D45">
        <v>8078</v>
      </c>
      <c r="F45" t="s">
        <v>5175</v>
      </c>
      <c r="G45" s="389" t="b">
        <v>1</v>
      </c>
      <c r="H45" t="s">
        <v>5075</v>
      </c>
      <c r="L45" s="372"/>
    </row>
    <row r="46" spans="1:12">
      <c r="A46">
        <v>45</v>
      </c>
      <c r="B46" s="1" t="s">
        <v>1544</v>
      </c>
      <c r="C46">
        <v>907</v>
      </c>
      <c r="D46">
        <v>1045</v>
      </c>
      <c r="F46" s="389" t="b">
        <v>1</v>
      </c>
      <c r="G46" s="389" t="b">
        <v>1</v>
      </c>
      <c r="H46" t="s">
        <v>5238</v>
      </c>
    </row>
    <row r="47" spans="1:12">
      <c r="A47">
        <v>46</v>
      </c>
      <c r="B47" s="1" t="s">
        <v>1332</v>
      </c>
      <c r="C47">
        <v>918</v>
      </c>
      <c r="D47">
        <v>1046</v>
      </c>
      <c r="F47" s="389" t="b">
        <v>1</v>
      </c>
      <c r="G47" s="389" t="b">
        <v>1</v>
      </c>
      <c r="H47" t="s">
        <v>5195</v>
      </c>
      <c r="L47" s="1"/>
    </row>
    <row r="48" spans="1:12">
      <c r="A48">
        <v>47</v>
      </c>
      <c r="B48" s="1" t="s">
        <v>896</v>
      </c>
      <c r="C48">
        <v>920</v>
      </c>
      <c r="D48">
        <v>1073</v>
      </c>
      <c r="F48" s="389" t="b">
        <v>0</v>
      </c>
      <c r="G48" s="389" t="b">
        <v>0</v>
      </c>
      <c r="L48" s="1"/>
    </row>
    <row r="49" spans="1:8">
      <c r="A49">
        <v>48</v>
      </c>
      <c r="B49" t="s">
        <v>34</v>
      </c>
      <c r="C49">
        <v>927</v>
      </c>
      <c r="D49">
        <v>1074</v>
      </c>
      <c r="F49" t="s">
        <v>5199</v>
      </c>
      <c r="G49" s="389" t="b">
        <v>1</v>
      </c>
      <c r="H49" t="s">
        <v>96</v>
      </c>
    </row>
    <row r="50" spans="1:8">
      <c r="A50">
        <v>49</v>
      </c>
      <c r="B50" t="s">
        <v>5244</v>
      </c>
      <c r="C50">
        <v>955</v>
      </c>
      <c r="D50">
        <v>1282</v>
      </c>
      <c r="G50" s="389" t="b">
        <v>1</v>
      </c>
      <c r="H50" t="s">
        <v>5243</v>
      </c>
    </row>
    <row r="51" spans="1:8">
      <c r="A51">
        <v>50</v>
      </c>
      <c r="B51" s="602" t="s">
        <v>2013</v>
      </c>
      <c r="C51">
        <v>956</v>
      </c>
      <c r="G51" s="389" t="b">
        <v>0</v>
      </c>
    </row>
    <row r="52" spans="1:8">
      <c r="A52">
        <v>51</v>
      </c>
      <c r="B52" s="603" t="s">
        <v>1557</v>
      </c>
      <c r="C52">
        <v>957</v>
      </c>
      <c r="G52" s="389" t="b">
        <v>0</v>
      </c>
    </row>
    <row r="53" spans="1:8">
      <c r="A53">
        <v>52</v>
      </c>
      <c r="B53" s="1" t="s">
        <v>2013</v>
      </c>
      <c r="C53">
        <v>959</v>
      </c>
      <c r="D53">
        <v>1385</v>
      </c>
      <c r="F53" s="389" t="b">
        <v>1</v>
      </c>
      <c r="H53" t="s">
        <v>1421</v>
      </c>
    </row>
    <row r="54" spans="1:8">
      <c r="A54">
        <v>53</v>
      </c>
      <c r="B54" s="1" t="s">
        <v>1016</v>
      </c>
      <c r="C54">
        <v>987</v>
      </c>
      <c r="D54">
        <v>8179</v>
      </c>
      <c r="F54" t="s">
        <v>5198</v>
      </c>
    </row>
    <row r="55" spans="1:8">
      <c r="A55">
        <v>54</v>
      </c>
      <c r="B55" s="1" t="s">
        <v>2410</v>
      </c>
      <c r="C55">
        <v>1027</v>
      </c>
      <c r="D55">
        <v>3002</v>
      </c>
      <c r="F55" t="s">
        <v>5197</v>
      </c>
    </row>
    <row r="56" spans="1:8">
      <c r="A56">
        <v>55</v>
      </c>
      <c r="B56" t="s">
        <v>38</v>
      </c>
      <c r="C56">
        <v>1053</v>
      </c>
      <c r="F56" t="s">
        <v>5199</v>
      </c>
      <c r="G56" s="389" t="b">
        <v>1</v>
      </c>
      <c r="H56" t="s">
        <v>5075</v>
      </c>
    </row>
    <row r="57" spans="1:8">
      <c r="A57">
        <v>56</v>
      </c>
      <c r="B57" t="s">
        <v>41</v>
      </c>
      <c r="C57">
        <v>1056</v>
      </c>
      <c r="F57" t="s">
        <v>5199</v>
      </c>
      <c r="G57" s="389" t="b">
        <v>1</v>
      </c>
      <c r="H57" t="s">
        <v>5075</v>
      </c>
    </row>
    <row r="58" spans="1:8">
      <c r="A58">
        <v>57</v>
      </c>
      <c r="B58" s="1" t="s">
        <v>23</v>
      </c>
      <c r="C58">
        <v>1063</v>
      </c>
      <c r="D58">
        <v>1614</v>
      </c>
      <c r="G58" s="389" t="b">
        <v>0</v>
      </c>
    </row>
    <row r="59" spans="1:8">
      <c r="A59">
        <v>58</v>
      </c>
      <c r="B59" t="s">
        <v>14</v>
      </c>
      <c r="C59">
        <v>1072</v>
      </c>
      <c r="F59" t="s">
        <v>5199</v>
      </c>
      <c r="G59" s="389" t="b">
        <v>1</v>
      </c>
      <c r="H59" t="s">
        <v>1197</v>
      </c>
    </row>
    <row r="60" spans="1:8">
      <c r="A60">
        <v>59</v>
      </c>
      <c r="B60" t="s">
        <v>5783</v>
      </c>
      <c r="C60">
        <v>1082</v>
      </c>
      <c r="D60">
        <v>1615</v>
      </c>
      <c r="G60" s="389" t="b">
        <v>0</v>
      </c>
    </row>
    <row r="61" spans="1:8">
      <c r="A61">
        <v>60</v>
      </c>
      <c r="B61" s="1" t="s">
        <v>2085</v>
      </c>
      <c r="C61">
        <v>1088</v>
      </c>
      <c r="D61">
        <v>3006</v>
      </c>
      <c r="F61" t="s">
        <v>5197</v>
      </c>
    </row>
    <row r="62" spans="1:8">
      <c r="A62">
        <v>61</v>
      </c>
      <c r="B62" s="1" t="s">
        <v>5346</v>
      </c>
      <c r="C62">
        <v>1096</v>
      </c>
      <c r="D62">
        <v>1616</v>
      </c>
    </row>
    <row r="63" spans="1:8">
      <c r="A63">
        <v>62</v>
      </c>
      <c r="B63" t="s">
        <v>5782</v>
      </c>
      <c r="C63">
        <v>1233</v>
      </c>
      <c r="D63">
        <v>1441</v>
      </c>
      <c r="F63" t="s">
        <v>5197</v>
      </c>
    </row>
    <row r="64" spans="1:8">
      <c r="A64">
        <v>63</v>
      </c>
      <c r="B64" s="1" t="s">
        <v>2220</v>
      </c>
      <c r="C64">
        <v>1260</v>
      </c>
      <c r="D64">
        <v>1177</v>
      </c>
      <c r="F64" t="s">
        <v>5197</v>
      </c>
    </row>
    <row r="65" spans="1:8">
      <c r="A65">
        <v>64</v>
      </c>
      <c r="B65" s="1" t="s">
        <v>2220</v>
      </c>
      <c r="C65">
        <v>1266</v>
      </c>
      <c r="D65">
        <v>1026</v>
      </c>
      <c r="F65" s="389" t="b">
        <v>1</v>
      </c>
      <c r="G65" s="389" t="b">
        <v>1</v>
      </c>
    </row>
    <row r="66" spans="1:8">
      <c r="A66">
        <v>65</v>
      </c>
      <c r="B66" t="s">
        <v>4385</v>
      </c>
      <c r="C66">
        <v>1297</v>
      </c>
      <c r="D66">
        <v>1580</v>
      </c>
      <c r="F66" s="389" t="b">
        <v>0</v>
      </c>
      <c r="G66" s="389" t="b">
        <v>0</v>
      </c>
    </row>
    <row r="67" spans="1:8">
      <c r="A67">
        <v>66</v>
      </c>
      <c r="B67" s="1" t="s">
        <v>5140</v>
      </c>
      <c r="C67">
        <v>1358</v>
      </c>
      <c r="D67">
        <v>1105</v>
      </c>
      <c r="F67" t="s">
        <v>5197</v>
      </c>
    </row>
    <row r="68" spans="1:8">
      <c r="A68">
        <v>67</v>
      </c>
      <c r="B68" s="1" t="s">
        <v>126</v>
      </c>
      <c r="C68">
        <v>1375</v>
      </c>
      <c r="D68">
        <v>1573</v>
      </c>
      <c r="F68" s="389" t="b">
        <v>1</v>
      </c>
      <c r="G68" s="389" t="b">
        <v>1</v>
      </c>
      <c r="H68" t="s">
        <v>594</v>
      </c>
    </row>
    <row r="69" spans="1:8">
      <c r="A69">
        <v>68</v>
      </c>
      <c r="B69" s="1" t="s">
        <v>1588</v>
      </c>
      <c r="C69">
        <v>1389</v>
      </c>
      <c r="D69">
        <v>1107</v>
      </c>
      <c r="F69" t="s">
        <v>5240</v>
      </c>
    </row>
    <row r="70" spans="1:8">
      <c r="A70">
        <v>69</v>
      </c>
      <c r="B70" s="1" t="s">
        <v>2318</v>
      </c>
      <c r="C70">
        <v>1437</v>
      </c>
      <c r="G70" t="s">
        <v>5242</v>
      </c>
      <c r="H70" t="s">
        <v>5243</v>
      </c>
    </row>
    <row r="71" spans="1:8">
      <c r="A71">
        <v>70</v>
      </c>
      <c r="B71" s="1" t="s">
        <v>5241</v>
      </c>
      <c r="C71">
        <v>1605</v>
      </c>
      <c r="F71" t="s">
        <v>5199</v>
      </c>
      <c r="H71" t="s">
        <v>5243</v>
      </c>
    </row>
    <row r="72" spans="1:8">
      <c r="A72">
        <v>71</v>
      </c>
      <c r="B72" s="1" t="s">
        <v>2380</v>
      </c>
      <c r="C72">
        <v>1615</v>
      </c>
      <c r="D72">
        <v>4089</v>
      </c>
      <c r="F72" t="s">
        <v>5199</v>
      </c>
      <c r="H72" t="s">
        <v>5243</v>
      </c>
    </row>
    <row r="73" spans="1:8">
      <c r="A73">
        <v>72</v>
      </c>
      <c r="B73" s="1" t="s">
        <v>5245</v>
      </c>
      <c r="C73">
        <v>1616</v>
      </c>
      <c r="D73">
        <v>1559</v>
      </c>
      <c r="F73" t="s">
        <v>5199</v>
      </c>
      <c r="G73" s="389" t="b">
        <v>1</v>
      </c>
      <c r="H73" t="s">
        <v>5243</v>
      </c>
    </row>
    <row r="74" spans="1:8">
      <c r="A74">
        <v>73</v>
      </c>
      <c r="B74" s="1" t="s">
        <v>931</v>
      </c>
      <c r="C74">
        <v>1619</v>
      </c>
      <c r="D74">
        <v>4088</v>
      </c>
      <c r="F74" t="s">
        <v>5246</v>
      </c>
      <c r="H74" t="s">
        <v>1415</v>
      </c>
    </row>
    <row r="75" spans="1:8">
      <c r="A75">
        <v>74</v>
      </c>
      <c r="B75" s="1" t="s">
        <v>5141</v>
      </c>
      <c r="C75">
        <v>1631</v>
      </c>
      <c r="D75">
        <v>4056</v>
      </c>
      <c r="F75" s="389" t="b">
        <v>1</v>
      </c>
      <c r="G75" s="389" t="b">
        <v>1</v>
      </c>
      <c r="H75" t="s">
        <v>594</v>
      </c>
    </row>
    <row r="76" spans="1:8">
      <c r="A76">
        <v>75</v>
      </c>
      <c r="B76" s="1" t="s">
        <v>985</v>
      </c>
      <c r="C76">
        <v>1657</v>
      </c>
      <c r="D76">
        <v>8164</v>
      </c>
      <c r="F76" s="389" t="b">
        <v>1</v>
      </c>
      <c r="G76" s="389" t="b">
        <v>1</v>
      </c>
      <c r="H76" t="s">
        <v>5075</v>
      </c>
    </row>
    <row r="77" spans="1:8">
      <c r="A77">
        <v>76</v>
      </c>
      <c r="B77" s="1" t="s">
        <v>1375</v>
      </c>
      <c r="C77">
        <v>1699</v>
      </c>
      <c r="D77">
        <v>1014</v>
      </c>
      <c r="F77" t="s">
        <v>5204</v>
      </c>
      <c r="H77" t="s">
        <v>5247</v>
      </c>
    </row>
    <row r="78" spans="1:8">
      <c r="A78">
        <v>77</v>
      </c>
      <c r="B78" s="1" t="s">
        <v>5142</v>
      </c>
      <c r="C78">
        <v>1711</v>
      </c>
      <c r="D78">
        <v>3101</v>
      </c>
      <c r="F78" t="s">
        <v>5197</v>
      </c>
    </row>
    <row r="79" spans="1:8">
      <c r="A79">
        <v>78</v>
      </c>
      <c r="B79" s="1" t="s">
        <v>5248</v>
      </c>
      <c r="C79">
        <v>1901</v>
      </c>
      <c r="F79" t="s">
        <v>5197</v>
      </c>
    </row>
    <row r="80" spans="1:8">
      <c r="A80">
        <v>79</v>
      </c>
      <c r="B80" s="1" t="s">
        <v>2446</v>
      </c>
      <c r="C80">
        <v>1903</v>
      </c>
      <c r="F80" t="s">
        <v>5197</v>
      </c>
    </row>
    <row r="81" spans="1:8">
      <c r="A81">
        <v>80</v>
      </c>
      <c r="B81" s="1" t="s">
        <v>2452</v>
      </c>
      <c r="C81">
        <v>1927</v>
      </c>
      <c r="F81" t="s">
        <v>5197</v>
      </c>
    </row>
    <row r="82" spans="1:8">
      <c r="A82">
        <v>81</v>
      </c>
      <c r="B82" s="1" t="s">
        <v>5143</v>
      </c>
      <c r="C82">
        <v>1934</v>
      </c>
      <c r="D82">
        <v>1183</v>
      </c>
      <c r="F82" t="s">
        <v>5197</v>
      </c>
    </row>
    <row r="83" spans="1:8">
      <c r="A83">
        <v>82</v>
      </c>
      <c r="B83" s="1" t="s">
        <v>5144</v>
      </c>
      <c r="C83">
        <v>1936</v>
      </c>
      <c r="G83" s="389" t="b">
        <v>1</v>
      </c>
      <c r="H83" t="s">
        <v>5243</v>
      </c>
    </row>
    <row r="84" spans="1:8">
      <c r="A84">
        <v>83</v>
      </c>
      <c r="B84" t="s">
        <v>5249</v>
      </c>
      <c r="C84">
        <v>1951</v>
      </c>
      <c r="D84">
        <v>8074</v>
      </c>
      <c r="F84" t="s">
        <v>5250</v>
      </c>
      <c r="H84" t="s">
        <v>1421</v>
      </c>
    </row>
    <row r="85" spans="1:8">
      <c r="A85">
        <v>84</v>
      </c>
      <c r="B85" s="1" t="s">
        <v>22</v>
      </c>
      <c r="C85">
        <v>1957</v>
      </c>
      <c r="D85">
        <v>8073</v>
      </c>
      <c r="F85" s="389" t="b">
        <v>1</v>
      </c>
      <c r="G85" s="389" t="b">
        <v>1</v>
      </c>
      <c r="H85" t="s">
        <v>96</v>
      </c>
    </row>
    <row r="86" spans="1:8">
      <c r="A86">
        <v>85</v>
      </c>
      <c r="B86" s="1" t="s">
        <v>950</v>
      </c>
      <c r="C86">
        <v>1961</v>
      </c>
      <c r="D86">
        <v>1029</v>
      </c>
      <c r="F86" t="s">
        <v>5252</v>
      </c>
      <c r="H86" t="s">
        <v>5253</v>
      </c>
    </row>
    <row r="87" spans="1:8">
      <c r="A87">
        <v>86</v>
      </c>
      <c r="B87" s="1" t="s">
        <v>5251</v>
      </c>
      <c r="C87">
        <v>1965</v>
      </c>
      <c r="F87" s="389" t="s">
        <v>5199</v>
      </c>
      <c r="G87" s="389" t="b">
        <v>1</v>
      </c>
      <c r="H87" t="s">
        <v>96</v>
      </c>
    </row>
    <row r="88" spans="1:8">
      <c r="A88">
        <v>87</v>
      </c>
      <c r="B88" s="1" t="s">
        <v>950</v>
      </c>
      <c r="C88">
        <v>1967</v>
      </c>
      <c r="F88" s="389" t="s">
        <v>5199</v>
      </c>
      <c r="G88" s="389" t="b">
        <v>1</v>
      </c>
      <c r="H88" t="s">
        <v>96</v>
      </c>
    </row>
    <row r="89" spans="1:8">
      <c r="A89">
        <v>88</v>
      </c>
      <c r="B89" t="s">
        <v>30</v>
      </c>
      <c r="C89">
        <v>2028</v>
      </c>
      <c r="F89" s="389" t="s">
        <v>5199</v>
      </c>
      <c r="G89" s="389" t="b">
        <v>1</v>
      </c>
      <c r="H89" t="s">
        <v>96</v>
      </c>
    </row>
    <row r="90" spans="1:8">
      <c r="A90">
        <v>89</v>
      </c>
      <c r="B90" t="s">
        <v>31</v>
      </c>
      <c r="C90">
        <v>2029</v>
      </c>
      <c r="F90" s="389" t="s">
        <v>5199</v>
      </c>
      <c r="G90" s="389" t="b">
        <v>1</v>
      </c>
      <c r="H90" t="s">
        <v>5075</v>
      </c>
    </row>
    <row r="91" spans="1:8">
      <c r="A91">
        <v>90</v>
      </c>
      <c r="B91" t="s">
        <v>23</v>
      </c>
      <c r="C91">
        <v>2086</v>
      </c>
      <c r="F91" s="389" t="s">
        <v>5205</v>
      </c>
      <c r="G91" t="s">
        <v>5254</v>
      </c>
    </row>
    <row r="92" spans="1:8">
      <c r="A92">
        <v>91</v>
      </c>
      <c r="B92" s="1" t="s">
        <v>5145</v>
      </c>
      <c r="C92">
        <v>4114</v>
      </c>
      <c r="D92">
        <v>4061</v>
      </c>
      <c r="F92" s="389" t="s">
        <v>5205</v>
      </c>
      <c r="G92" t="s">
        <v>5255</v>
      </c>
    </row>
    <row r="93" spans="1:8">
      <c r="A93">
        <v>92</v>
      </c>
      <c r="B93" s="1" t="s">
        <v>1016</v>
      </c>
      <c r="C93">
        <v>4120</v>
      </c>
      <c r="D93">
        <v>1276</v>
      </c>
      <c r="F93" s="389" t="b">
        <v>0</v>
      </c>
    </row>
    <row r="94" spans="1:8">
      <c r="A94">
        <v>93</v>
      </c>
      <c r="B94" s="1" t="s">
        <v>5146</v>
      </c>
      <c r="C94">
        <v>4140</v>
      </c>
      <c r="D94">
        <v>1228</v>
      </c>
      <c r="F94" s="389" t="b">
        <v>1</v>
      </c>
      <c r="G94" s="389" t="b">
        <v>1</v>
      </c>
      <c r="H94" t="s">
        <v>96</v>
      </c>
    </row>
    <row r="95" spans="1:8">
      <c r="A95">
        <v>94</v>
      </c>
      <c r="B95" s="1" t="s">
        <v>1643</v>
      </c>
      <c r="C95">
        <v>4147</v>
      </c>
      <c r="D95">
        <v>1028</v>
      </c>
      <c r="F95" s="389" t="b">
        <v>1</v>
      </c>
    </row>
    <row r="96" spans="1:8">
      <c r="A96">
        <v>95</v>
      </c>
      <c r="B96" s="1" t="s">
        <v>1644</v>
      </c>
      <c r="C96">
        <v>4169</v>
      </c>
      <c r="D96">
        <v>1251</v>
      </c>
      <c r="F96" s="389" t="s">
        <v>5256</v>
      </c>
    </row>
    <row r="97" spans="1:8">
      <c r="A97">
        <v>96</v>
      </c>
      <c r="B97" s="1" t="s">
        <v>1294</v>
      </c>
      <c r="C97">
        <v>4173</v>
      </c>
      <c r="D97">
        <v>1163</v>
      </c>
      <c r="F97" s="389" t="b">
        <v>1</v>
      </c>
      <c r="G97" t="s">
        <v>5257</v>
      </c>
      <c r="H97" t="s">
        <v>5207</v>
      </c>
    </row>
    <row r="98" spans="1:8">
      <c r="A98">
        <v>97</v>
      </c>
      <c r="B98" s="389" t="s">
        <v>961</v>
      </c>
      <c r="C98">
        <v>4180</v>
      </c>
      <c r="D98">
        <v>1134</v>
      </c>
      <c r="F98" s="389" t="b">
        <v>1</v>
      </c>
      <c r="G98" s="389" t="b">
        <v>1</v>
      </c>
      <c r="H98" t="s">
        <v>96</v>
      </c>
    </row>
    <row r="99" spans="1:8">
      <c r="A99">
        <v>98</v>
      </c>
      <c r="B99" s="1" t="s">
        <v>2568</v>
      </c>
      <c r="C99">
        <v>4220</v>
      </c>
      <c r="D99">
        <v>1774</v>
      </c>
      <c r="F99" s="389" t="b">
        <v>1</v>
      </c>
      <c r="G99" s="389" t="b">
        <v>1</v>
      </c>
      <c r="H99" t="s">
        <v>96</v>
      </c>
    </row>
    <row r="100" spans="1:8">
      <c r="A100">
        <v>99</v>
      </c>
      <c r="B100" s="1" t="s">
        <v>2570</v>
      </c>
      <c r="C100">
        <v>4221</v>
      </c>
      <c r="D100">
        <v>8092</v>
      </c>
      <c r="F100" s="389" t="b">
        <v>0</v>
      </c>
      <c r="G100" s="389" t="b">
        <v>1</v>
      </c>
      <c r="H100" t="s">
        <v>5208</v>
      </c>
    </row>
    <row r="101" spans="1:8">
      <c r="A101">
        <v>100</v>
      </c>
      <c r="B101" s="1" t="s">
        <v>5274</v>
      </c>
      <c r="C101">
        <v>4244</v>
      </c>
      <c r="F101" s="389" t="b">
        <v>0</v>
      </c>
      <c r="G101" s="389" t="b">
        <v>0</v>
      </c>
    </row>
    <row r="102" spans="1:8">
      <c r="A102">
        <v>101</v>
      </c>
      <c r="B102" s="1" t="s">
        <v>968</v>
      </c>
      <c r="C102">
        <v>4318</v>
      </c>
      <c r="D102">
        <v>4065</v>
      </c>
      <c r="F102" s="389" t="b">
        <v>0</v>
      </c>
      <c r="G102" s="389" t="b">
        <v>1</v>
      </c>
      <c r="H102" t="s">
        <v>5208</v>
      </c>
    </row>
    <row r="103" spans="1:8">
      <c r="A103">
        <v>102</v>
      </c>
      <c r="B103" s="1" t="s">
        <v>970</v>
      </c>
      <c r="C103">
        <v>4319</v>
      </c>
      <c r="D103">
        <v>4064</v>
      </c>
      <c r="F103" s="389" t="b">
        <v>0</v>
      </c>
      <c r="G103" s="389" t="b">
        <v>1</v>
      </c>
      <c r="H103" t="s">
        <v>5208</v>
      </c>
    </row>
    <row r="104" spans="1:8">
      <c r="A104">
        <v>103</v>
      </c>
      <c r="B104" s="1" t="s">
        <v>5269</v>
      </c>
      <c r="C104">
        <v>4427</v>
      </c>
      <c r="D104">
        <v>4067</v>
      </c>
      <c r="F104" s="389" t="b">
        <v>0</v>
      </c>
      <c r="G104" s="389" t="b">
        <v>1</v>
      </c>
      <c r="H104" t="s">
        <v>5208</v>
      </c>
    </row>
    <row r="105" spans="1:8">
      <c r="A105">
        <v>104</v>
      </c>
      <c r="B105" s="1" t="s">
        <v>988</v>
      </c>
      <c r="C105">
        <v>4428</v>
      </c>
      <c r="D105">
        <v>1599</v>
      </c>
      <c r="F105" s="389" t="b">
        <v>1</v>
      </c>
      <c r="H105" t="s">
        <v>5208</v>
      </c>
    </row>
    <row r="106" spans="1:8">
      <c r="A106">
        <v>105</v>
      </c>
      <c r="B106" s="1" t="s">
        <v>5147</v>
      </c>
      <c r="C106">
        <v>4374</v>
      </c>
      <c r="D106">
        <v>4066</v>
      </c>
      <c r="F106" s="389" t="b">
        <v>1</v>
      </c>
      <c r="H106" t="s">
        <v>5210</v>
      </c>
    </row>
    <row r="107" spans="1:8">
      <c r="A107">
        <v>106</v>
      </c>
      <c r="B107" s="1" t="s">
        <v>1669</v>
      </c>
      <c r="C107">
        <v>4406</v>
      </c>
      <c r="D107">
        <v>1144</v>
      </c>
      <c r="F107" t="s">
        <v>5197</v>
      </c>
    </row>
    <row r="108" spans="1:8">
      <c r="A108">
        <v>107</v>
      </c>
      <c r="B108" s="1" t="s">
        <v>5148</v>
      </c>
      <c r="C108">
        <v>4436</v>
      </c>
      <c r="D108">
        <v>1225</v>
      </c>
      <c r="F108" s="389" t="b">
        <v>1</v>
      </c>
      <c r="H108" t="s">
        <v>5075</v>
      </c>
    </row>
    <row r="109" spans="1:8">
      <c r="A109">
        <v>108</v>
      </c>
      <c r="B109" s="1" t="s">
        <v>1676</v>
      </c>
      <c r="C109">
        <v>4453</v>
      </c>
      <c r="D109">
        <v>1017</v>
      </c>
      <c r="F109" t="s">
        <v>5197</v>
      </c>
    </row>
    <row r="110" spans="1:8">
      <c r="A110">
        <v>109</v>
      </c>
      <c r="B110" s="1" t="s">
        <v>2636</v>
      </c>
      <c r="C110">
        <v>4457</v>
      </c>
      <c r="D110">
        <v>5030</v>
      </c>
      <c r="F110" s="389" t="b">
        <v>1</v>
      </c>
      <c r="G110" s="389" t="b">
        <v>1</v>
      </c>
      <c r="H110" t="s">
        <v>5075</v>
      </c>
    </row>
    <row r="111" spans="1:8">
      <c r="A111">
        <v>110</v>
      </c>
      <c r="B111" s="1" t="s">
        <v>1370</v>
      </c>
      <c r="C111">
        <v>4544</v>
      </c>
      <c r="D111">
        <v>1007</v>
      </c>
      <c r="F111" s="389" t="b">
        <v>1</v>
      </c>
      <c r="G111" s="389" t="b">
        <v>1</v>
      </c>
      <c r="H111" t="s">
        <v>5075</v>
      </c>
    </row>
    <row r="112" spans="1:8">
      <c r="A112">
        <v>111</v>
      </c>
      <c r="B112" s="1" t="s">
        <v>998</v>
      </c>
      <c r="C112">
        <v>4550</v>
      </c>
      <c r="D112">
        <v>1034</v>
      </c>
      <c r="F112" s="389" t="b">
        <v>1</v>
      </c>
      <c r="G112" s="389" t="b">
        <v>1</v>
      </c>
      <c r="H112" t="s">
        <v>5075</v>
      </c>
    </row>
    <row r="113" spans="1:8">
      <c r="A113">
        <v>112</v>
      </c>
      <c r="B113" s="1" t="s">
        <v>998</v>
      </c>
      <c r="C113">
        <v>4550</v>
      </c>
      <c r="D113">
        <v>1034</v>
      </c>
      <c r="F113" s="389" t="b">
        <v>1</v>
      </c>
      <c r="G113" s="389" t="b">
        <v>1</v>
      </c>
      <c r="H113" t="s">
        <v>5075</v>
      </c>
    </row>
    <row r="114" spans="1:8">
      <c r="A114">
        <v>113</v>
      </c>
      <c r="B114" s="1" t="s">
        <v>1008</v>
      </c>
      <c r="C114">
        <v>4624</v>
      </c>
      <c r="D114">
        <v>1004</v>
      </c>
      <c r="F114" t="s">
        <v>5211</v>
      </c>
    </row>
    <row r="115" spans="1:8">
      <c r="A115">
        <v>114</v>
      </c>
      <c r="B115" s="1" t="s">
        <v>1693</v>
      </c>
      <c r="C115">
        <v>4640</v>
      </c>
      <c r="D115">
        <v>4030</v>
      </c>
      <c r="F115" t="s">
        <v>5211</v>
      </c>
    </row>
    <row r="116" spans="1:8">
      <c r="A116">
        <v>115</v>
      </c>
      <c r="B116" s="1">
        <v>4642</v>
      </c>
      <c r="C116">
        <v>4642</v>
      </c>
      <c r="D116">
        <v>1535</v>
      </c>
      <c r="F116" s="19" t="s">
        <v>5258</v>
      </c>
    </row>
    <row r="117" spans="1:8">
      <c r="A117">
        <v>116</v>
      </c>
      <c r="B117" s="392" t="s">
        <v>1016</v>
      </c>
      <c r="C117" s="19">
        <v>4643</v>
      </c>
      <c r="D117" s="19">
        <v>1236</v>
      </c>
      <c r="F117" s="389" t="b">
        <v>1</v>
      </c>
    </row>
    <row r="118" spans="1:8">
      <c r="A118">
        <v>117</v>
      </c>
      <c r="B118" t="s">
        <v>954</v>
      </c>
      <c r="C118">
        <v>4651</v>
      </c>
      <c r="D118">
        <v>1364</v>
      </c>
      <c r="F118" s="389" t="b">
        <v>0</v>
      </c>
    </row>
    <row r="119" spans="1:8">
      <c r="A119">
        <v>118</v>
      </c>
      <c r="B119" t="s">
        <v>1661</v>
      </c>
      <c r="C119">
        <v>4658</v>
      </c>
      <c r="D119">
        <v>1567</v>
      </c>
      <c r="F119" s="389" t="b">
        <v>1</v>
      </c>
    </row>
    <row r="120" spans="1:8">
      <c r="A120">
        <v>119</v>
      </c>
      <c r="B120" s="1" t="s">
        <v>954</v>
      </c>
      <c r="C120">
        <v>4687</v>
      </c>
      <c r="D120">
        <v>1158</v>
      </c>
      <c r="F120" s="389" t="b">
        <v>1</v>
      </c>
    </row>
    <row r="121" spans="1:8">
      <c r="A121">
        <v>120</v>
      </c>
      <c r="B121" s="1" t="s">
        <v>1699</v>
      </c>
      <c r="C121">
        <v>4932</v>
      </c>
      <c r="D121">
        <v>1018</v>
      </c>
      <c r="F121" s="389" t="b">
        <v>1</v>
      </c>
      <c r="G121" s="389" t="b">
        <v>1</v>
      </c>
      <c r="H121" t="s">
        <v>5075</v>
      </c>
    </row>
    <row r="122" spans="1:8">
      <c r="A122">
        <v>121</v>
      </c>
      <c r="B122" s="1" t="s">
        <v>1028</v>
      </c>
      <c r="C122">
        <v>4934</v>
      </c>
      <c r="D122">
        <v>1008</v>
      </c>
      <c r="F122" s="389" t="b">
        <v>1</v>
      </c>
      <c r="G122" s="389" t="b">
        <v>1</v>
      </c>
      <c r="H122" t="s">
        <v>5075</v>
      </c>
    </row>
    <row r="123" spans="1:8">
      <c r="A123">
        <v>122</v>
      </c>
      <c r="B123" s="1" t="s">
        <v>1030</v>
      </c>
      <c r="C123">
        <v>4935</v>
      </c>
      <c r="D123">
        <v>1159</v>
      </c>
      <c r="F123" s="389" t="b">
        <v>0</v>
      </c>
      <c r="G123" s="389" t="b">
        <v>0</v>
      </c>
    </row>
    <row r="124" spans="1:8">
      <c r="A124">
        <v>123</v>
      </c>
      <c r="B124" s="1" t="s">
        <v>41</v>
      </c>
      <c r="C124">
        <v>4983</v>
      </c>
      <c r="D124">
        <v>1005</v>
      </c>
      <c r="F124" s="389" t="b">
        <v>1</v>
      </c>
      <c r="G124" s="389" t="b">
        <v>1</v>
      </c>
      <c r="H124" t="s">
        <v>5075</v>
      </c>
    </row>
    <row r="125" spans="1:8">
      <c r="A125">
        <v>124</v>
      </c>
      <c r="B125" s="1" t="s">
        <v>1037</v>
      </c>
      <c r="C125">
        <v>4994</v>
      </c>
      <c r="D125">
        <v>1009</v>
      </c>
      <c r="F125" s="389" t="b">
        <v>1</v>
      </c>
      <c r="G125" s="389" t="b">
        <v>1</v>
      </c>
      <c r="H125" t="s">
        <v>5075</v>
      </c>
    </row>
    <row r="126" spans="1:8">
      <c r="A126">
        <v>125</v>
      </c>
      <c r="B126" s="1" t="s">
        <v>40</v>
      </c>
      <c r="C126">
        <v>5216</v>
      </c>
      <c r="D126">
        <v>1368</v>
      </c>
      <c r="G126" s="389" t="b">
        <v>1</v>
      </c>
      <c r="H126" t="s">
        <v>5243</v>
      </c>
    </row>
    <row r="127" spans="1:8">
      <c r="A127">
        <v>126</v>
      </c>
      <c r="B127" s="1" t="s">
        <v>1717</v>
      </c>
      <c r="C127">
        <v>5244</v>
      </c>
      <c r="D127">
        <v>1285</v>
      </c>
      <c r="F127" s="389" t="b">
        <v>1</v>
      </c>
    </row>
    <row r="128" spans="1:8">
      <c r="A128">
        <v>127</v>
      </c>
      <c r="B128" s="1" t="s">
        <v>1718</v>
      </c>
      <c r="C128">
        <v>5251</v>
      </c>
      <c r="D128">
        <v>1031</v>
      </c>
      <c r="F128" s="389" t="b">
        <v>1</v>
      </c>
      <c r="G128" s="389" t="b">
        <v>1</v>
      </c>
      <c r="H128" t="s">
        <v>96</v>
      </c>
    </row>
    <row r="129" spans="1:8">
      <c r="A129">
        <v>128</v>
      </c>
      <c r="B129" s="1" t="s">
        <v>1374</v>
      </c>
      <c r="C129">
        <v>5253</v>
      </c>
      <c r="D129">
        <v>1030</v>
      </c>
      <c r="F129" s="389" t="b">
        <v>1</v>
      </c>
      <c r="G129" s="389" t="b">
        <v>1</v>
      </c>
      <c r="H129" t="s">
        <v>96</v>
      </c>
    </row>
    <row r="130" spans="1:8">
      <c r="A130">
        <v>129</v>
      </c>
      <c r="B130" s="1" t="s">
        <v>1374</v>
      </c>
      <c r="C130">
        <v>5254</v>
      </c>
      <c r="D130">
        <v>8081</v>
      </c>
      <c r="F130" s="389" t="b">
        <v>0</v>
      </c>
      <c r="G130" s="389" t="b">
        <v>0</v>
      </c>
      <c r="H130" t="s">
        <v>5228</v>
      </c>
    </row>
    <row r="131" spans="1:8">
      <c r="A131">
        <v>130</v>
      </c>
      <c r="B131" s="1" t="s">
        <v>1269</v>
      </c>
      <c r="C131">
        <v>5260</v>
      </c>
      <c r="D131">
        <v>1013</v>
      </c>
      <c r="F131" s="389" t="b">
        <v>1</v>
      </c>
      <c r="H131" s="393" t="s">
        <v>5219</v>
      </c>
    </row>
    <row r="132" spans="1:8">
      <c r="A132">
        <v>131</v>
      </c>
      <c r="B132" s="1" t="s">
        <v>5149</v>
      </c>
      <c r="C132">
        <v>5268</v>
      </c>
      <c r="D132">
        <v>1303</v>
      </c>
      <c r="F132" s="389" t="b">
        <v>1</v>
      </c>
      <c r="G132" s="389" t="b">
        <v>1</v>
      </c>
    </row>
    <row r="133" spans="1:8">
      <c r="A133">
        <v>132</v>
      </c>
      <c r="B133" s="1" t="s">
        <v>32</v>
      </c>
      <c r="C133">
        <v>5270</v>
      </c>
      <c r="D133">
        <v>1162</v>
      </c>
      <c r="F133" t="s">
        <v>5197</v>
      </c>
    </row>
    <row r="134" spans="1:8">
      <c r="A134">
        <v>133</v>
      </c>
      <c r="B134" s="1" t="s">
        <v>5150</v>
      </c>
      <c r="C134">
        <v>5271</v>
      </c>
      <c r="D134">
        <v>8131</v>
      </c>
      <c r="F134" t="s">
        <v>5217</v>
      </c>
    </row>
    <row r="135" spans="1:8">
      <c r="A135">
        <v>134</v>
      </c>
      <c r="B135" s="1" t="s">
        <v>985</v>
      </c>
      <c r="C135">
        <v>5283</v>
      </c>
      <c r="D135">
        <v>1020</v>
      </c>
      <c r="G135" s="389" t="b">
        <v>1</v>
      </c>
      <c r="H135" t="s">
        <v>5243</v>
      </c>
    </row>
    <row r="136" spans="1:8">
      <c r="A136">
        <v>135</v>
      </c>
      <c r="B136" s="1" t="s">
        <v>5277</v>
      </c>
      <c r="C136">
        <v>5287</v>
      </c>
      <c r="D136">
        <v>1129</v>
      </c>
      <c r="F136" t="s">
        <v>5201</v>
      </c>
      <c r="H136" t="s">
        <v>5218</v>
      </c>
    </row>
    <row r="137" spans="1:8">
      <c r="A137">
        <v>136</v>
      </c>
      <c r="B137" s="1" t="s">
        <v>2857</v>
      </c>
      <c r="C137">
        <v>5315</v>
      </c>
      <c r="D137">
        <v>1366</v>
      </c>
    </row>
    <row r="138" spans="1:8">
      <c r="A138">
        <v>137</v>
      </c>
      <c r="B138" s="1" t="s">
        <v>73</v>
      </c>
      <c r="C138">
        <v>5340</v>
      </c>
      <c r="D138">
        <v>1015</v>
      </c>
      <c r="F138" t="s">
        <v>5201</v>
      </c>
      <c r="H138" t="s">
        <v>604</v>
      </c>
    </row>
    <row r="139" spans="1:8">
      <c r="A139">
        <v>138</v>
      </c>
      <c r="B139" s="1" t="s">
        <v>2884</v>
      </c>
      <c r="C139">
        <v>5374</v>
      </c>
      <c r="D139">
        <v>5037</v>
      </c>
      <c r="F139" s="389" t="b">
        <v>1</v>
      </c>
      <c r="G139" s="389" t="b">
        <v>1</v>
      </c>
    </row>
    <row r="140" spans="1:8">
      <c r="A140">
        <v>139</v>
      </c>
      <c r="B140" s="1" t="s">
        <v>1401</v>
      </c>
      <c r="C140">
        <v>5401</v>
      </c>
      <c r="D140">
        <v>1011</v>
      </c>
      <c r="F140" s="389" t="b">
        <v>1</v>
      </c>
      <c r="G140" s="389" t="b">
        <v>1</v>
      </c>
    </row>
    <row r="141" spans="1:8">
      <c r="A141">
        <v>140</v>
      </c>
      <c r="B141" s="1" t="s">
        <v>5151</v>
      </c>
      <c r="C141">
        <v>5402</v>
      </c>
      <c r="D141">
        <v>1010</v>
      </c>
      <c r="E141" t="s">
        <v>5300</v>
      </c>
      <c r="F141" s="389" t="b">
        <v>0</v>
      </c>
      <c r="G141" s="389" t="b">
        <v>0</v>
      </c>
      <c r="H141" t="s">
        <v>5301</v>
      </c>
    </row>
    <row r="142" spans="1:8">
      <c r="A142">
        <v>141</v>
      </c>
      <c r="B142" s="1" t="s">
        <v>5781</v>
      </c>
      <c r="C142">
        <v>5439</v>
      </c>
      <c r="D142">
        <v>1242</v>
      </c>
      <c r="F142" s="389" t="b">
        <v>1</v>
      </c>
      <c r="G142" s="389" t="b">
        <v>1</v>
      </c>
    </row>
    <row r="143" spans="1:8">
      <c r="A143">
        <v>142</v>
      </c>
      <c r="B143" s="1" t="s">
        <v>5061</v>
      </c>
      <c r="C143">
        <v>5524</v>
      </c>
      <c r="D143">
        <v>8068</v>
      </c>
      <c r="F143" t="s">
        <v>5197</v>
      </c>
    </row>
    <row r="144" spans="1:8">
      <c r="A144">
        <v>143</v>
      </c>
      <c r="B144" s="1" t="s">
        <v>5152</v>
      </c>
      <c r="C144">
        <v>5527</v>
      </c>
      <c r="D144">
        <v>8135</v>
      </c>
      <c r="F144" s="389" t="b">
        <v>1</v>
      </c>
      <c r="G144" s="389" t="b">
        <v>1</v>
      </c>
    </row>
    <row r="145" spans="1:8">
      <c r="A145">
        <v>144</v>
      </c>
      <c r="B145" s="1" t="s">
        <v>1369</v>
      </c>
      <c r="C145">
        <v>5533</v>
      </c>
      <c r="F145" s="389" t="b">
        <v>1</v>
      </c>
    </row>
    <row r="146" spans="1:8">
      <c r="A146">
        <v>145</v>
      </c>
      <c r="B146" s="1" t="s">
        <v>5153</v>
      </c>
      <c r="C146">
        <v>5536</v>
      </c>
      <c r="D146">
        <v>8189</v>
      </c>
      <c r="F146" s="389" t="b">
        <v>0</v>
      </c>
    </row>
    <row r="147" spans="1:8">
      <c r="A147">
        <v>146</v>
      </c>
      <c r="B147" s="1" t="s">
        <v>3232</v>
      </c>
      <c r="C147">
        <v>5539</v>
      </c>
      <c r="D147">
        <v>0</v>
      </c>
      <c r="F147" t="s">
        <v>5217</v>
      </c>
    </row>
    <row r="148" spans="1:8">
      <c r="A148">
        <v>147</v>
      </c>
      <c r="B148" s="1" t="s">
        <v>5154</v>
      </c>
      <c r="C148">
        <v>5547</v>
      </c>
      <c r="F148" s="389" t="b">
        <v>1</v>
      </c>
      <c r="H148" t="s">
        <v>5227</v>
      </c>
    </row>
    <row r="149" spans="1:8">
      <c r="A149">
        <v>148</v>
      </c>
      <c r="B149" s="1" t="s">
        <v>5155</v>
      </c>
      <c r="C149">
        <v>5548</v>
      </c>
    </row>
    <row r="150" spans="1:8">
      <c r="A150">
        <v>149</v>
      </c>
      <c r="C150">
        <v>99998</v>
      </c>
      <c r="D150" t="s">
        <v>5778</v>
      </c>
    </row>
    <row r="151" spans="1:8">
      <c r="C151">
        <v>99999</v>
      </c>
      <c r="D151" t="s">
        <v>5778</v>
      </c>
    </row>
  </sheetData>
  <sortState xmlns:xlrd2="http://schemas.microsoft.com/office/spreadsheetml/2017/richdata2" ref="K2:M92">
    <sortCondition ref="L2:L92"/>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C2CED-D458-4DA4-9F36-116B3052A8D2}">
  <sheetPr codeName="גיליון2"/>
  <dimension ref="A1:U152"/>
  <sheetViews>
    <sheetView rightToLeft="1" tabSelected="1" topLeftCell="D1" workbookViewId="0">
      <selection activeCell="U13" sqref="U13"/>
    </sheetView>
  </sheetViews>
  <sheetFormatPr defaultRowHeight="14.4"/>
  <cols>
    <col min="1" max="1" width="23.5546875" customWidth="1"/>
    <col min="2" max="2" width="19.21875" customWidth="1"/>
    <col min="3" max="3" width="2.77734375" customWidth="1"/>
    <col min="4" max="4" width="23.33203125" bestFit="1" customWidth="1"/>
    <col min="5" max="5" width="8.6640625" bestFit="1" customWidth="1"/>
    <col min="6" max="6" width="7.44140625" bestFit="1" customWidth="1"/>
    <col min="7" max="7" width="14.88671875" customWidth="1"/>
    <col min="8" max="8" width="12.77734375" customWidth="1"/>
    <col min="9" max="9" width="9.33203125" bestFit="1" customWidth="1"/>
    <col min="10" max="10" width="20.88671875" customWidth="1"/>
    <col min="11" max="11" width="2.77734375" customWidth="1"/>
    <col min="12" max="12" width="4.6640625" bestFit="1" customWidth="1"/>
    <col min="13" max="13" width="7.6640625" style="1" bestFit="1" customWidth="1"/>
    <col min="14" max="14" width="7.6640625" style="1" customWidth="1"/>
    <col min="15" max="15" width="21.33203125" customWidth="1"/>
    <col min="16" max="16" width="12" bestFit="1" customWidth="1"/>
    <col min="17" max="17" width="14.88671875" customWidth="1"/>
    <col min="18" max="18" width="3.77734375" customWidth="1"/>
    <col min="19" max="19" width="9.33203125" bestFit="1" customWidth="1"/>
  </cols>
  <sheetData>
    <row r="1" spans="1:21" ht="15" thickBot="1">
      <c r="A1" t="s">
        <v>0</v>
      </c>
      <c r="B1" t="s">
        <v>1</v>
      </c>
      <c r="C1" s="6"/>
      <c r="D1" s="569"/>
      <c r="E1" s="569"/>
      <c r="F1" s="569"/>
      <c r="G1" s="569"/>
      <c r="H1" s="570"/>
      <c r="I1" s="570"/>
      <c r="J1" s="569"/>
      <c r="K1" s="6"/>
      <c r="L1" s="6"/>
    </row>
    <row r="2" spans="1:21" ht="15" thickTop="1">
      <c r="A2" t="s">
        <v>3</v>
      </c>
      <c r="B2">
        <v>11111111</v>
      </c>
      <c r="C2" s="6"/>
      <c r="D2" s="569"/>
      <c r="E2" s="569"/>
      <c r="F2" s="569"/>
      <c r="G2" s="569"/>
      <c r="H2" s="570"/>
      <c r="I2" s="570"/>
      <c r="J2" s="569"/>
      <c r="K2" s="6"/>
      <c r="L2" s="542" t="s">
        <v>5</v>
      </c>
      <c r="M2" s="543" t="s">
        <v>5776</v>
      </c>
      <c r="N2" s="543" t="s">
        <v>1441</v>
      </c>
      <c r="O2" s="234"/>
      <c r="P2" s="234"/>
      <c r="Q2" s="331"/>
    </row>
    <row r="3" spans="1:21">
      <c r="D3" s="570"/>
      <c r="E3" s="570"/>
      <c r="F3" s="570"/>
      <c r="G3" s="570"/>
      <c r="H3" s="570"/>
      <c r="I3" s="570"/>
      <c r="J3" s="570"/>
      <c r="L3" s="332">
        <v>1</v>
      </c>
      <c r="M3" s="1">
        <f>IF(L3=" "," ",HLOOKUP(L3,SACHAR!$AA$3:$EE$11,7,0))</f>
        <v>10002</v>
      </c>
      <c r="N3" s="1" t="str">
        <f>IF(L3=" "," ",VLOOKUP(M3,'simlei sachar'!$C$2:$D$151,2,0))</f>
        <v>004</v>
      </c>
      <c r="O3" t="str">
        <f>IF(L3=" "," ",HLOOKUP(L3,SACHAR!$AA$3:$EE$11,8,0))</f>
        <v>שכר משולב</v>
      </c>
      <c r="P3" s="333" t="str">
        <f>IF(L3=" "," ",HLOOKUP(L3,SACHAR!$AA$3:$EE$11,4,0))</f>
        <v xml:space="preserve"> </v>
      </c>
      <c r="Q3" s="239">
        <f>IF(L3=" "," ",HLOOKUP(L3,SACHAR!$AA$3:$EE$11,9,0))</f>
        <v>2940.3864564429573</v>
      </c>
      <c r="R3" s="192"/>
      <c r="S3" s="604">
        <v>10002</v>
      </c>
      <c r="T3" s="604" t="s">
        <v>68</v>
      </c>
      <c r="U3" s="604">
        <v>2940.39</v>
      </c>
    </row>
    <row r="4" spans="1:21" ht="16.8" customHeight="1">
      <c r="A4" t="s">
        <v>7</v>
      </c>
      <c r="B4">
        <v>9</v>
      </c>
      <c r="D4" s="566" t="s">
        <v>5765</v>
      </c>
      <c r="E4" s="566" t="s">
        <v>5776</v>
      </c>
      <c r="F4" s="566" t="s">
        <v>1441</v>
      </c>
      <c r="G4" s="567" t="s">
        <v>5766</v>
      </c>
      <c r="H4" s="566"/>
      <c r="I4" s="566" t="s">
        <v>5767</v>
      </c>
      <c r="J4" s="568"/>
      <c r="L4" s="332">
        <f t="shared" ref="L4:L18" si="0">IF(L3=" "," ",IF(M3=99999," ",+L3+1))</f>
        <v>2</v>
      </c>
      <c r="M4" s="1">
        <f>IF(L4=" "," ",HLOOKUP(L4,SACHAR!$AA$3:$EE$11,7,0))</f>
        <v>600</v>
      </c>
      <c r="N4" s="1">
        <f>IF(L4=" "," ",VLOOKUP(M4,'simlei sachar'!$C$2:$D$151,2,0))</f>
        <v>1370</v>
      </c>
      <c r="O4" t="str">
        <f>IF(L4=" "," ",HLOOKUP(L4,SACHAR!$AA$3:$EE$11,8,0))</f>
        <v>תוספת בית חולים</v>
      </c>
      <c r="P4" s="333" t="str">
        <f>IF(L4=" "," ",HLOOKUP(L4,SACHAR!$AA$3:$EE$11,4,0))</f>
        <v xml:space="preserve"> </v>
      </c>
      <c r="Q4" s="239">
        <f>IF(L4=" "," ",HLOOKUP(L4,SACHAR!$AA$3:$EE$11,9,0))</f>
        <v>75.260000000000005</v>
      </c>
      <c r="R4" s="192"/>
      <c r="S4" s="604">
        <v>600</v>
      </c>
      <c r="T4" s="604" t="s">
        <v>1404</v>
      </c>
      <c r="U4" s="604">
        <v>75.260000000000005</v>
      </c>
    </row>
    <row r="5" spans="1:21" ht="15.6" customHeight="1">
      <c r="A5" t="s">
        <v>9</v>
      </c>
      <c r="B5">
        <v>1</v>
      </c>
      <c r="D5" s="555" t="s">
        <v>21</v>
      </c>
      <c r="E5" s="556" t="s">
        <v>5302</v>
      </c>
      <c r="F5" s="583" t="str">
        <f>VLOOKUP(E5,'simlei sachar'!$C$2:$D$151,2,0)</f>
        <v>8070/8072</v>
      </c>
      <c r="G5" s="557" t="b">
        <v>0</v>
      </c>
      <c r="H5" s="557"/>
      <c r="I5" s="557"/>
      <c r="J5" s="557"/>
      <c r="L5" s="332">
        <f t="shared" si="0"/>
        <v>3</v>
      </c>
      <c r="M5" s="1">
        <f>IF(L5=" "," ",HLOOKUP(L5,SACHAR!$AA$3:$EE$11,7,0))</f>
        <v>733</v>
      </c>
      <c r="N5" s="1">
        <f>IF(L5=" "," ",VLOOKUP(M5,'simlei sachar'!$C$2:$D$151,2,0))</f>
        <v>0</v>
      </c>
      <c r="O5" t="str">
        <f>IF(L5=" "," ",HLOOKUP(L5,SACHAR!$AA$3:$EE$11,8,0))</f>
        <v>ס. ניק כלים</v>
      </c>
      <c r="P5" s="333" t="str">
        <f>IF(L5=" "," ",HLOOKUP(L5,SACHAR!$AA$3:$EE$11,4,0))</f>
        <v xml:space="preserve"> </v>
      </c>
      <c r="Q5" s="381">
        <f>IF(L5=" "," ",HLOOKUP(L5,SACHAR!$AA$3:$EE$11,9,0))</f>
        <v>10.26</v>
      </c>
      <c r="R5" s="192"/>
      <c r="S5" s="604">
        <v>733</v>
      </c>
      <c r="T5" s="604" t="s">
        <v>5797</v>
      </c>
      <c r="U5" s="604">
        <v>10.26</v>
      </c>
    </row>
    <row r="6" spans="1:21" ht="16.2" customHeight="1">
      <c r="A6" t="s">
        <v>5358</v>
      </c>
      <c r="B6">
        <v>1</v>
      </c>
      <c r="D6" s="555" t="s">
        <v>22</v>
      </c>
      <c r="E6" s="555">
        <v>897</v>
      </c>
      <c r="F6" s="583">
        <f>VLOOKUP(E6,'simlei sachar'!$C$2:$D$151,2,0)</f>
        <v>8078</v>
      </c>
      <c r="G6" s="557" t="b">
        <v>0</v>
      </c>
      <c r="H6" s="557"/>
      <c r="I6" s="557"/>
      <c r="J6" s="557"/>
      <c r="L6" s="332">
        <f t="shared" si="0"/>
        <v>4</v>
      </c>
      <c r="M6" s="1">
        <f>IF(L6=" "," ",HLOOKUP(L6,SACHAR!$AA$3:$EE$11,7,0))</f>
        <v>764</v>
      </c>
      <c r="N6" s="1">
        <f>IF(L6=" "," ",VLOOKUP(M6,'simlei sachar'!$C$2:$D$151,2,0))</f>
        <v>1023</v>
      </c>
      <c r="O6" t="str">
        <f>IF(L6=" "," ",HLOOKUP(L6,SACHAR!$AA$3:$EE$11,8,0))</f>
        <v>מנמ"ש</v>
      </c>
      <c r="P6" s="333" t="str">
        <f>IF(L6=" "," ",HLOOKUP(L6,SACHAR!$AA$3:$EE$11,4,0))</f>
        <v xml:space="preserve"> </v>
      </c>
      <c r="Q6" s="239">
        <f>IF(L6=" "," ",HLOOKUP(L6,SACHAR!$AA$3:$EE$11,9,0))</f>
        <v>353.75</v>
      </c>
      <c r="R6" s="192"/>
      <c r="S6" s="604">
        <v>764</v>
      </c>
      <c r="T6" s="604" t="s">
        <v>1405</v>
      </c>
      <c r="U6" s="604">
        <v>353.75</v>
      </c>
    </row>
    <row r="7" spans="1:21">
      <c r="A7" t="s">
        <v>5359</v>
      </c>
      <c r="B7">
        <v>228</v>
      </c>
      <c r="D7" s="421" t="s">
        <v>29</v>
      </c>
      <c r="E7" s="421">
        <v>31</v>
      </c>
      <c r="F7" s="421">
        <f>VLOOKUP(E7,'simlei sachar'!$C$2:$D$151,2,0)</f>
        <v>0</v>
      </c>
      <c r="G7" s="421" t="b">
        <v>0</v>
      </c>
      <c r="H7" s="421" t="s">
        <v>3261</v>
      </c>
      <c r="I7" s="421" t="s">
        <v>5200</v>
      </c>
      <c r="J7" s="421"/>
      <c r="L7" s="332">
        <f t="shared" si="0"/>
        <v>5</v>
      </c>
      <c r="M7" s="1">
        <f>IF(L7=" "," ",HLOOKUP(L7,SACHAR!$AA$3:$EE$11,7,0))</f>
        <v>798</v>
      </c>
      <c r="N7" s="1">
        <f>IF(L7=" "," ",VLOOKUP(M7,'simlei sachar'!$C$2:$D$151,2,0))</f>
        <v>4025</v>
      </c>
      <c r="O7" t="str">
        <f>IF(L7=" "," ",HLOOKUP(L7,SACHAR!$AA$3:$EE$11,8,0))</f>
        <v>דריכות בית חולים</v>
      </c>
      <c r="P7" s="333">
        <f>IF(L7=" "," ",HLOOKUP(L7,SACHAR!$AA$3:$EE$11,4,0))</f>
        <v>0.3</v>
      </c>
      <c r="Q7" s="239">
        <f>IF(L7=" "," ",HLOOKUP(L7,SACHAR!$AA$3:$EE$11,9,0))</f>
        <v>917.40057441020269</v>
      </c>
      <c r="R7" s="192"/>
      <c r="S7" s="604">
        <v>798</v>
      </c>
      <c r="T7" s="604" t="s">
        <v>866</v>
      </c>
      <c r="U7" s="604">
        <v>917.4</v>
      </c>
    </row>
    <row r="8" spans="1:21" ht="16.2" customHeight="1">
      <c r="A8" t="s">
        <v>15</v>
      </c>
      <c r="B8">
        <f>+B7-B6</f>
        <v>227</v>
      </c>
      <c r="D8" s="421" t="s">
        <v>25</v>
      </c>
      <c r="E8" s="421">
        <v>705</v>
      </c>
      <c r="F8" s="421">
        <f>VLOOKUP(E8,'simlei sachar'!$C$2:$D$151,2,0)</f>
        <v>1016</v>
      </c>
      <c r="G8" s="421" t="b">
        <v>0</v>
      </c>
      <c r="H8" s="421"/>
      <c r="I8" s="421" t="s">
        <v>5311</v>
      </c>
      <c r="J8" s="421"/>
      <c r="L8" s="332">
        <f t="shared" si="0"/>
        <v>6</v>
      </c>
      <c r="M8" s="1">
        <f>IF(L8=" "," ",HLOOKUP(L8,SACHAR!$AA$3:$EE$11,7,0))</f>
        <v>4544</v>
      </c>
      <c r="N8" s="1">
        <f>IF(L8=" "," ",VLOOKUP(M8,'simlei sachar'!$C$2:$D$151,2,0))</f>
        <v>1007</v>
      </c>
      <c r="O8" t="str">
        <f>IF(L8=" "," ",HLOOKUP(L8,SACHAR!$AA$3:$EE$11,8,0))</f>
        <v>הסכם 2001 / תוספת 3.6</v>
      </c>
      <c r="P8" s="333">
        <f>IF(L8=" "," ",HLOOKUP(L8,SACHAR!$AA$3:$EE$11,4,0))</f>
        <v>3.5999999999999997E-2</v>
      </c>
      <c r="Q8" s="239">
        <f>IF(L8=" "," ",HLOOKUP(L8,SACHAR!$AA$3:$EE$11,9,0))</f>
        <v>158.55884960799162</v>
      </c>
      <c r="R8" s="192"/>
      <c r="S8" s="604">
        <v>4544</v>
      </c>
      <c r="T8" s="604" t="s">
        <v>1370</v>
      </c>
      <c r="U8" s="604">
        <v>158.56</v>
      </c>
    </row>
    <row r="9" spans="1:21" ht="15.6" customHeight="1">
      <c r="A9" t="s">
        <v>16</v>
      </c>
      <c r="B9">
        <v>1</v>
      </c>
      <c r="D9" s="421" t="s">
        <v>5086</v>
      </c>
      <c r="E9" s="421">
        <v>735</v>
      </c>
      <c r="F9" s="421">
        <f>VLOOKUP(E9,'simlei sachar'!$C$2:$D$151,2,0)</f>
        <v>1305</v>
      </c>
      <c r="G9" s="421" t="b">
        <v>0</v>
      </c>
      <c r="H9" s="421"/>
      <c r="I9" s="421" t="s">
        <v>594</v>
      </c>
      <c r="J9" s="421"/>
      <c r="L9" s="332">
        <f t="shared" si="0"/>
        <v>7</v>
      </c>
      <c r="M9" s="1">
        <f>IF(L9=" "," ",HLOOKUP(L9,SACHAR!$AA$3:$EE$11,7,0))</f>
        <v>4624</v>
      </c>
      <c r="N9" s="1">
        <f>IF(L9=" "," ",VLOOKUP(M9,'simlei sachar'!$C$2:$D$151,2,0))</f>
        <v>1004</v>
      </c>
      <c r="O9" t="str">
        <f>IF(L9=" "," ",HLOOKUP(L9,SACHAR!$AA$3:$EE$11,8,0))</f>
        <v>הסכם 1999</v>
      </c>
      <c r="P9" s="333">
        <f>IF(L9=" "," ",HLOOKUP(L9,SACHAR!$AA$3:$EE$11,4,0))</f>
        <v>0.04</v>
      </c>
      <c r="Q9" s="239">
        <f>IF(L9=" "," ",HLOOKUP(L9,SACHAR!$AA$3:$EE$11,9,0))</f>
        <v>117.61545825771829</v>
      </c>
      <c r="R9" s="192"/>
      <c r="S9" s="604">
        <v>4624</v>
      </c>
      <c r="T9" s="604" t="s">
        <v>1690</v>
      </c>
      <c r="U9" s="604">
        <v>117.62</v>
      </c>
    </row>
    <row r="10" spans="1:21">
      <c r="A10" t="s">
        <v>17</v>
      </c>
      <c r="B10">
        <v>11</v>
      </c>
      <c r="D10" s="421" t="s">
        <v>1364</v>
      </c>
      <c r="E10" s="421">
        <v>737</v>
      </c>
      <c r="F10" s="421">
        <f>VLOOKUP(E10,'simlei sachar'!$C$2:$D$151,2,0)</f>
        <v>1355</v>
      </c>
      <c r="G10" s="421" t="b">
        <v>0</v>
      </c>
      <c r="H10" s="421"/>
      <c r="I10" s="421" t="s">
        <v>5194</v>
      </c>
      <c r="J10" s="421"/>
      <c r="L10" s="332">
        <f t="shared" si="0"/>
        <v>8</v>
      </c>
      <c r="M10" s="1">
        <f>IF(L10=" "," ",HLOOKUP(L10,SACHAR!$AA$3:$EE$11,7,0))</f>
        <v>99998</v>
      </c>
      <c r="N10" s="1" t="str">
        <f>IF(L10=" "," ",VLOOKUP(M10,'simlei sachar'!$C$2:$D$151,2,0))</f>
        <v>ללא</v>
      </c>
      <c r="O10" t="str">
        <f>IF(L10=" "," ",HLOOKUP(L10,SACHAR!$AA$3:$EE$11,8,0))</f>
        <v>עיגול לחישוב מינימום</v>
      </c>
      <c r="P10" s="333" t="str">
        <f>IF(L10=" "," ",HLOOKUP(L10,SACHAR!$AA$3:$EE$11,4,0))</f>
        <v xml:space="preserve"> </v>
      </c>
      <c r="Q10" s="239">
        <f>IF(L10=" "," ",HLOOKUP(L10,SACHAR!$AA$3:$EE$11,9,0))</f>
        <v>1E-3</v>
      </c>
      <c r="R10" s="192"/>
    </row>
    <row r="11" spans="1:21">
      <c r="C11" s="8"/>
      <c r="D11" s="421" t="s">
        <v>1376</v>
      </c>
      <c r="E11" s="421">
        <v>738</v>
      </c>
      <c r="F11" s="421">
        <f>VLOOKUP(E11,'simlei sachar'!$C$2:$D$151,2,0)</f>
        <v>1304</v>
      </c>
      <c r="G11" s="421" t="b">
        <v>0</v>
      </c>
      <c r="H11" s="421"/>
      <c r="I11" s="421" t="s">
        <v>5194</v>
      </c>
      <c r="J11" s="421"/>
      <c r="K11" s="8"/>
      <c r="L11" s="332">
        <f t="shared" si="0"/>
        <v>9</v>
      </c>
      <c r="M11" s="1">
        <f>IF(L11=" "," ",HLOOKUP(L11,SACHAR!$AA$3:$EE$11,7,0))</f>
        <v>1699</v>
      </c>
      <c r="N11" s="1">
        <f>IF(L11=" "," ",VLOOKUP(M11,'simlei sachar'!$C$2:$D$151,2,0))</f>
        <v>1014</v>
      </c>
      <c r="O11" t="str">
        <f>IF(L11=" "," ",HLOOKUP(L11,SACHAR!$AA$3:$EE$11,8,0))</f>
        <v>תוספת חוק מינימום</v>
      </c>
      <c r="P11" s="333" t="str">
        <f>IF(L11=" "," ",HLOOKUP(L11,SACHAR!$AA$3:$EE$11,4,0))</f>
        <v xml:space="preserve"> </v>
      </c>
      <c r="Q11" s="239">
        <f>IF(L11=" "," ",HLOOKUP(L11,SACHAR!$AA$3:$EE$11,9,0))</f>
        <v>8.6194255897967196</v>
      </c>
      <c r="R11" s="192"/>
      <c r="S11" s="604">
        <v>1699</v>
      </c>
      <c r="T11" s="604" t="s">
        <v>1375</v>
      </c>
      <c r="U11" s="604">
        <v>8.8000000000000007</v>
      </c>
    </row>
    <row r="12" spans="1:21" ht="15.6" customHeight="1">
      <c r="A12" t="s">
        <v>1216</v>
      </c>
      <c r="B12" s="8">
        <v>0</v>
      </c>
      <c r="C12" s="7"/>
      <c r="D12" s="421" t="s">
        <v>27</v>
      </c>
      <c r="E12" s="421">
        <v>741</v>
      </c>
      <c r="F12" s="421">
        <f>VLOOKUP(E12,'simlei sachar'!$C$2:$D$151,2,0)</f>
        <v>1012</v>
      </c>
      <c r="G12" s="421" t="b">
        <v>0</v>
      </c>
      <c r="H12" s="421"/>
      <c r="I12" s="421" t="s">
        <v>5194</v>
      </c>
      <c r="J12" s="421"/>
      <c r="K12" s="7"/>
      <c r="L12" s="332">
        <f t="shared" si="0"/>
        <v>10</v>
      </c>
      <c r="M12" s="1">
        <f>IF(L12=" "," ",HLOOKUP(L12,SACHAR!$AA$3:$EE$11,7,0))</f>
        <v>99999</v>
      </c>
      <c r="N12" s="1" t="str">
        <f>IF(L12=" "," ",VLOOKUP(M12,'simlei sachar'!$C$2:$D$151,2,0))</f>
        <v>ללא</v>
      </c>
      <c r="O12" t="str">
        <f>IF(L12=" "," ",HLOOKUP(L12,SACHAR!$AA$3:$EE$11,8,0))</f>
        <v>סה"כ מרכיבי שכר שוטף</v>
      </c>
      <c r="P12" s="333" t="str">
        <f>IF(L12=" "," ",HLOOKUP(L12,SACHAR!$AA$3:$EE$11,4,0))</f>
        <v xml:space="preserve"> </v>
      </c>
      <c r="Q12" s="239">
        <f>IF(L12=" "," ",HLOOKUP(L12,SACHAR!$AA$3:$EE$11,9,0))</f>
        <v>4581.851764308667</v>
      </c>
      <c r="R12" s="192"/>
      <c r="U12">
        <f>SUM(U3:U11)</f>
        <v>4582.0400000000009</v>
      </c>
    </row>
    <row r="13" spans="1:21">
      <c r="A13" t="s">
        <v>1211</v>
      </c>
      <c r="B13" s="7">
        <v>22.75</v>
      </c>
      <c r="C13" s="7"/>
      <c r="D13" s="421" t="s">
        <v>1319</v>
      </c>
      <c r="E13" s="421">
        <v>808</v>
      </c>
      <c r="F13" s="421">
        <f>VLOOKUP(E13,'simlei sachar'!$C$2:$D$151,2,0)</f>
        <v>1041</v>
      </c>
      <c r="G13" s="421" t="b">
        <v>0</v>
      </c>
      <c r="H13" s="421"/>
      <c r="I13" s="421" t="s">
        <v>5326</v>
      </c>
      <c r="J13" s="421"/>
      <c r="K13" s="7"/>
      <c r="L13" s="332" t="str">
        <f t="shared" si="0"/>
        <v xml:space="preserve"> </v>
      </c>
      <c r="M13" s="1" t="str">
        <f>IF(L13=" "," ",HLOOKUP(L13,SACHAR!$AA$3:$EE$11,7,0))</f>
        <v xml:space="preserve"> </v>
      </c>
      <c r="N13" s="1" t="str">
        <f>IF(L13=" "," ",VLOOKUP(M13,'simlei sachar'!$C$2:$D$151,2,0))</f>
        <v xml:space="preserve"> </v>
      </c>
      <c r="O13" t="str">
        <f>IF(L13=" "," ",HLOOKUP(L13,SACHAR!$AA$3:$EE$11,8,0))</f>
        <v xml:space="preserve"> </v>
      </c>
      <c r="P13" s="333" t="str">
        <f>IF(L13=" "," ",HLOOKUP(L13,SACHAR!$AA$3:$EE$11,4,0))</f>
        <v xml:space="preserve"> </v>
      </c>
      <c r="Q13" s="239" t="str">
        <f>IF(L13=" "," ",HLOOKUP(L13,SACHAR!$AA$3:$EE$11,9,0))</f>
        <v xml:space="preserve"> </v>
      </c>
      <c r="R13" s="192"/>
    </row>
    <row r="14" spans="1:21" ht="15" thickBot="1">
      <c r="A14" t="s">
        <v>1212</v>
      </c>
      <c r="B14" s="336">
        <v>0</v>
      </c>
      <c r="C14" s="7"/>
      <c r="D14" s="421" t="s">
        <v>1588</v>
      </c>
      <c r="E14" s="421">
        <v>1389</v>
      </c>
      <c r="F14" s="421">
        <f>VLOOKUP(E14,'simlei sachar'!$C$2:$D$151,2,0)</f>
        <v>1107</v>
      </c>
      <c r="G14" s="421" t="b">
        <v>0</v>
      </c>
      <c r="H14" s="421"/>
      <c r="I14" s="421" t="s">
        <v>594</v>
      </c>
      <c r="J14" s="421"/>
      <c r="K14" s="7"/>
      <c r="L14" s="332" t="str">
        <f t="shared" si="0"/>
        <v xml:space="preserve"> </v>
      </c>
      <c r="M14" s="1" t="str">
        <f>IF(L14=" "," ",HLOOKUP(L14,SACHAR!$AA$3:$EE$11,7,0))</f>
        <v xml:space="preserve"> </v>
      </c>
      <c r="N14" s="1" t="str">
        <f>IF(L14=" "," ",VLOOKUP(M14,'simlei sachar'!$C$2:$D$151,2,0))</f>
        <v xml:space="preserve"> </v>
      </c>
      <c r="O14" t="str">
        <f>IF(L14=" "," ",HLOOKUP(L14,SACHAR!$AA$3:$EE$11,8,0))</f>
        <v xml:space="preserve"> </v>
      </c>
      <c r="P14" s="333" t="str">
        <f>IF(L14=" "," ",HLOOKUP(L14,SACHAR!$AA$3:$EE$11,4,0))</f>
        <v xml:space="preserve"> </v>
      </c>
      <c r="Q14" s="239" t="str">
        <f>IF(L14=" "," ",HLOOKUP(L14,SACHAR!$AA$3:$EE$11,9,0))</f>
        <v xml:space="preserve"> </v>
      </c>
      <c r="R14" s="192"/>
    </row>
    <row r="15" spans="1:21" ht="15.6" thickTop="1" thickBot="1">
      <c r="A15" s="378" t="s">
        <v>5763</v>
      </c>
      <c r="B15" s="560">
        <f>+B12+B13+B14*50%</f>
        <v>22.75</v>
      </c>
      <c r="C15" s="7"/>
      <c r="D15" s="421" t="s">
        <v>985</v>
      </c>
      <c r="E15" s="421">
        <v>1657</v>
      </c>
      <c r="F15" s="421">
        <f>VLOOKUP(E15,'simlei sachar'!$C$2:$D$151,2,0)</f>
        <v>8164</v>
      </c>
      <c r="G15" s="421" t="b">
        <v>0</v>
      </c>
      <c r="H15" s="421"/>
      <c r="I15" s="421" t="s">
        <v>594</v>
      </c>
      <c r="J15" s="421"/>
      <c r="K15" s="7"/>
      <c r="L15" s="332" t="str">
        <f t="shared" si="0"/>
        <v xml:space="preserve"> </v>
      </c>
      <c r="M15" s="1" t="str">
        <f>IF(L15=" "," ",HLOOKUP(L15,SACHAR!$AA$3:$EE$11,7,0))</f>
        <v xml:space="preserve"> </v>
      </c>
      <c r="N15" s="1" t="str">
        <f>IF(L15=" "," ",VLOOKUP(M15,'simlei sachar'!$C$2:$D$151,2,0))</f>
        <v xml:space="preserve"> </v>
      </c>
      <c r="O15" t="str">
        <f>IF(L15=" "," ",HLOOKUP(L15,SACHAR!$AA$3:$EE$11,8,0))</f>
        <v xml:space="preserve"> </v>
      </c>
      <c r="P15" s="333" t="str">
        <f>IF(L15=" "," ",HLOOKUP(L15,SACHAR!$AA$3:$EE$11,4,0))</f>
        <v xml:space="preserve"> </v>
      </c>
      <c r="Q15" s="239" t="str">
        <f>IF(L15=" "," ",HLOOKUP(L15,SACHAR!$AA$3:$EE$11,9,0))</f>
        <v xml:space="preserve"> </v>
      </c>
      <c r="R15" s="192"/>
    </row>
    <row r="16" spans="1:21" ht="15" thickTop="1">
      <c r="C16" s="7"/>
      <c r="D16" s="421" t="s">
        <v>5316</v>
      </c>
      <c r="E16" s="421">
        <v>927</v>
      </c>
      <c r="F16" s="421">
        <f>VLOOKUP(E16,'simlei sachar'!$C$2:$D$151,2,0)</f>
        <v>1074</v>
      </c>
      <c r="G16" s="421" t="b">
        <v>0</v>
      </c>
      <c r="H16" s="421"/>
      <c r="I16" s="421"/>
      <c r="J16" s="421"/>
      <c r="K16" s="7"/>
      <c r="L16" s="332" t="str">
        <f t="shared" si="0"/>
        <v xml:space="preserve"> </v>
      </c>
      <c r="M16" s="1" t="str">
        <f>IF(L16=" "," ",HLOOKUP(L16,SACHAR!$AA$3:$EE$11,7,0))</f>
        <v xml:space="preserve"> </v>
      </c>
      <c r="N16" s="1" t="str">
        <f>IF(L16=" "," ",VLOOKUP(M16,'simlei sachar'!$C$2:$D$151,2,0))</f>
        <v xml:space="preserve"> </v>
      </c>
      <c r="O16" t="str">
        <f>IF(L16=" "," ",HLOOKUP(L16,SACHAR!$AA$3:$EE$11,8,0))</f>
        <v xml:space="preserve"> </v>
      </c>
      <c r="P16" s="333" t="str">
        <f>IF(L16=" "," ",HLOOKUP(L16,SACHAR!$AA$3:$EE$11,4,0))</f>
        <v xml:space="preserve"> </v>
      </c>
      <c r="Q16" s="239" t="str">
        <f>IF(L16=" "," ",HLOOKUP(L16,SACHAR!$AA$3:$EE$11,9,0))</f>
        <v xml:space="preserve"> </v>
      </c>
      <c r="R16" s="192"/>
    </row>
    <row r="17" spans="1:18">
      <c r="A17" s="230" t="s">
        <v>13</v>
      </c>
      <c r="B17" s="231">
        <v>0</v>
      </c>
      <c r="C17" s="7"/>
      <c r="D17" s="421" t="s">
        <v>36</v>
      </c>
      <c r="E17" s="421">
        <v>1961</v>
      </c>
      <c r="F17" s="421">
        <f>VLOOKUP(E17,'simlei sachar'!$C$2:$D$151,2,0)</f>
        <v>1029</v>
      </c>
      <c r="G17" s="421" t="b">
        <v>0</v>
      </c>
      <c r="H17" s="421"/>
      <c r="I17" s="421" t="s">
        <v>96</v>
      </c>
      <c r="J17" s="421"/>
      <c r="K17" s="7"/>
      <c r="L17" s="332" t="str">
        <f t="shared" si="0"/>
        <v xml:space="preserve"> </v>
      </c>
      <c r="M17" s="1" t="str">
        <f>IF(L17=" "," ",HLOOKUP(L17,SACHAR!$AA$3:$EE$11,7,0))</f>
        <v xml:space="preserve"> </v>
      </c>
      <c r="N17" s="1" t="str">
        <f>IF(L17=" "," ",VLOOKUP(M17,'simlei sachar'!$C$2:$D$151,2,0))</f>
        <v xml:space="preserve"> </v>
      </c>
      <c r="O17" t="str">
        <f>IF(L17=" "," ",HLOOKUP(L17,SACHAR!$AA$3:$EE$11,8,0))</f>
        <v xml:space="preserve"> </v>
      </c>
      <c r="P17" s="333" t="str">
        <f>IF(L17=" "," ",HLOOKUP(L17,SACHAR!$AA$3:$EE$11,4,0))</f>
        <v xml:space="preserve"> </v>
      </c>
      <c r="Q17" s="239" t="str">
        <f>IF(L17=" "," ",HLOOKUP(L17,SACHAR!$AA$3:$EE$11,9,0))</f>
        <v xml:space="preserve"> </v>
      </c>
      <c r="R17" s="192"/>
    </row>
    <row r="18" spans="1:18">
      <c r="A18" s="2"/>
      <c r="B18" s="2"/>
      <c r="C18" s="7"/>
      <c r="D18" s="421" t="s">
        <v>36</v>
      </c>
      <c r="E18" s="421">
        <v>1967</v>
      </c>
      <c r="F18" s="421">
        <f>VLOOKUP(E18,'simlei sachar'!$C$2:$D$151,2,0)</f>
        <v>0</v>
      </c>
      <c r="G18" s="421" t="b">
        <v>0</v>
      </c>
      <c r="H18" s="421"/>
      <c r="I18" s="421" t="s">
        <v>96</v>
      </c>
      <c r="J18" s="421"/>
      <c r="K18" s="7"/>
      <c r="L18" s="332" t="str">
        <f t="shared" si="0"/>
        <v xml:space="preserve"> </v>
      </c>
      <c r="M18" s="1" t="str">
        <f>IF(L18=" "," ",HLOOKUP(L18,SACHAR!$AA$3:$EE$11,7,0))</f>
        <v xml:space="preserve"> </v>
      </c>
      <c r="N18" s="1" t="str">
        <f>IF(L18=" "," ",VLOOKUP(M18,'simlei sachar'!$C$2:$D$151,2,0))</f>
        <v xml:space="preserve"> </v>
      </c>
      <c r="O18" t="str">
        <f>IF(L18=" "," ",HLOOKUP(L18,SACHAR!$AA$3:$EE$11,8,0))</f>
        <v xml:space="preserve"> </v>
      </c>
      <c r="P18" s="333" t="str">
        <f>IF(L18=" "," ",HLOOKUP(L18,SACHAR!$AA$3:$EE$11,4,0))</f>
        <v xml:space="preserve"> </v>
      </c>
      <c r="Q18" s="239" t="str">
        <f>IF(L18=" "," ",HLOOKUP(L18,SACHAR!$AA$3:$EE$11,9,0))</f>
        <v xml:space="preserve"> </v>
      </c>
      <c r="R18" s="192"/>
    </row>
    <row r="19" spans="1:18">
      <c r="A19" t="s">
        <v>2</v>
      </c>
      <c r="B19" s="6">
        <v>1</v>
      </c>
      <c r="C19" s="7"/>
      <c r="D19" s="421" t="s">
        <v>35</v>
      </c>
      <c r="E19" s="421">
        <v>4147</v>
      </c>
      <c r="F19" s="421">
        <f>VLOOKUP(E19,'simlei sachar'!$C$2:$D$151,2,0)</f>
        <v>1028</v>
      </c>
      <c r="G19" s="421" t="b">
        <v>0</v>
      </c>
      <c r="H19" s="421">
        <v>2</v>
      </c>
      <c r="I19" s="421" t="s">
        <v>96</v>
      </c>
      <c r="J19" s="571">
        <f>+'tos reforma 4147'!F2</f>
        <v>576</v>
      </c>
      <c r="K19" s="7"/>
      <c r="L19" s="332" t="str">
        <f t="shared" ref="L19:L26" si="1">IF(L18=" "," ",IF(M18=99999," ",+L18+1))</f>
        <v xml:space="preserve"> </v>
      </c>
      <c r="M19" s="1" t="str">
        <f>IF(L19=" "," ",HLOOKUP(L19,SACHAR!$AA$3:$EE$11,7,0))</f>
        <v xml:space="preserve"> </v>
      </c>
      <c r="N19" s="1" t="str">
        <f>IF(L19=" "," ",VLOOKUP(M19,'simlei sachar'!$C$2:$D$151,2,0))</f>
        <v xml:space="preserve"> </v>
      </c>
      <c r="O19" t="str">
        <f>IF(L19=" "," ",HLOOKUP(L19,SACHAR!$AA$3:$EE$11,8,0))</f>
        <v xml:space="preserve"> </v>
      </c>
      <c r="P19" s="333" t="str">
        <f>IF(L19=" "," ",HLOOKUP(L19,SACHAR!$AA$3:$EE$11,4,0))</f>
        <v xml:space="preserve"> </v>
      </c>
      <c r="Q19" s="239" t="str">
        <f>IF(L19=" "," ",HLOOKUP(L19,SACHAR!$AA$3:$EE$11,9,0))</f>
        <v xml:space="preserve"> </v>
      </c>
      <c r="R19" s="192"/>
    </row>
    <row r="20" spans="1:18">
      <c r="A20" t="s">
        <v>4</v>
      </c>
      <c r="B20" s="6">
        <v>0.53669999999999995</v>
      </c>
      <c r="C20" s="7"/>
      <c r="D20" s="421" t="s">
        <v>5068</v>
      </c>
      <c r="E20" s="422">
        <v>4220</v>
      </c>
      <c r="F20" s="421">
        <f>VLOOKUP(E20,'simlei sachar'!$C$2:$D$151,2,0)</f>
        <v>1774</v>
      </c>
      <c r="G20" s="421" t="b">
        <v>0</v>
      </c>
      <c r="H20" s="421"/>
      <c r="I20" s="421" t="s">
        <v>594</v>
      </c>
      <c r="J20" s="421"/>
      <c r="K20" s="7"/>
      <c r="L20" s="332" t="str">
        <f t="shared" si="1"/>
        <v xml:space="preserve"> </v>
      </c>
      <c r="M20" s="1" t="str">
        <f>IF(L20=" "," ",HLOOKUP(L20,SACHAR!$AA$3:$EE$11,7,0))</f>
        <v xml:space="preserve"> </v>
      </c>
      <c r="N20" s="1" t="str">
        <f>IF(L20=" "," ",VLOOKUP(M20,'simlei sachar'!$C$2:$D$151,2,0))</f>
        <v xml:space="preserve"> </v>
      </c>
      <c r="O20" t="str">
        <f>IF(L20=" "," ",HLOOKUP(L20,SACHAR!$AA$3:$EE$11,8,0))</f>
        <v xml:space="preserve"> </v>
      </c>
      <c r="P20" s="333" t="str">
        <f>IF(L20=" "," ",HLOOKUP(L20,SACHAR!$AA$3:$EE$11,4,0))</f>
        <v xml:space="preserve"> </v>
      </c>
      <c r="Q20" s="239" t="str">
        <f>IF(L20=" "," ",HLOOKUP(L20,SACHAR!$AA$3:$EE$11,9,0))</f>
        <v xml:space="preserve"> </v>
      </c>
      <c r="R20" s="192"/>
    </row>
    <row r="21" spans="1:18">
      <c r="C21" s="7"/>
      <c r="D21" s="421" t="s">
        <v>5069</v>
      </c>
      <c r="E21" s="421">
        <v>4221</v>
      </c>
      <c r="F21" s="421">
        <f>VLOOKUP(E21,'simlei sachar'!$C$2:$D$151,2,0)</f>
        <v>8092</v>
      </c>
      <c r="G21" s="421" t="b">
        <v>0</v>
      </c>
      <c r="H21" s="421"/>
      <c r="I21" s="421" t="s">
        <v>594</v>
      </c>
      <c r="J21" s="421"/>
      <c r="K21" s="7"/>
      <c r="L21" s="332" t="str">
        <f t="shared" ref="L21:L25" si="2">IF(L20=" "," ",IF(M20=99999," ",+L20+1))</f>
        <v xml:space="preserve"> </v>
      </c>
      <c r="M21" s="1" t="str">
        <f>IF(L21=" "," ",HLOOKUP(L21,SACHAR!$AA$3:$EE$11,7,0))</f>
        <v xml:space="preserve"> </v>
      </c>
      <c r="N21" s="1" t="str">
        <f>IF(L21=" "," ",VLOOKUP(M21,'simlei sachar'!$C$2:$D$151,2,0))</f>
        <v xml:space="preserve"> </v>
      </c>
      <c r="O21" t="str">
        <f>IF(L21=" "," ",HLOOKUP(L21,SACHAR!$AA$3:$EE$11,8,0))</f>
        <v xml:space="preserve"> </v>
      </c>
      <c r="P21" s="333" t="str">
        <f>IF(L21=" "," ",HLOOKUP(L21,SACHAR!$AA$3:$EE$11,4,0))</f>
        <v xml:space="preserve"> </v>
      </c>
      <c r="Q21" s="239" t="str">
        <f>IF(L21=" "," ",HLOOKUP(L21,SACHAR!$AA$3:$EE$11,9,0))</f>
        <v xml:space="preserve"> </v>
      </c>
      <c r="R21" s="192"/>
    </row>
    <row r="22" spans="1:18">
      <c r="D22" s="421" t="s">
        <v>30</v>
      </c>
      <c r="E22" s="421">
        <v>2028</v>
      </c>
      <c r="F22" s="421">
        <f>VLOOKUP(E22,'simlei sachar'!$C$2:$D$151,2,0)</f>
        <v>0</v>
      </c>
      <c r="G22" s="421" t="b">
        <v>0</v>
      </c>
      <c r="H22" s="421"/>
      <c r="I22" s="421"/>
      <c r="J22" s="421"/>
      <c r="K22" s="7"/>
      <c r="L22" s="332" t="str">
        <f t="shared" si="2"/>
        <v xml:space="preserve"> </v>
      </c>
      <c r="M22" s="1" t="str">
        <f>IF(L22=" "," ",HLOOKUP(L22,SACHAR!$AA$3:$EE$11,7,0))</f>
        <v xml:space="preserve"> </v>
      </c>
      <c r="N22" s="1" t="str">
        <f>IF(L22=" "," ",VLOOKUP(M22,'simlei sachar'!$C$2:$D$151,2,0))</f>
        <v xml:space="preserve"> </v>
      </c>
      <c r="O22" t="str">
        <f>IF(L22=" "," ",HLOOKUP(L22,SACHAR!$AA$3:$EE$11,8,0))</f>
        <v xml:space="preserve"> </v>
      </c>
      <c r="P22" s="333" t="str">
        <f>IF(L22=" "," ",HLOOKUP(L22,SACHAR!$AA$3:$EE$11,4,0))</f>
        <v xml:space="preserve"> </v>
      </c>
      <c r="Q22" s="239" t="str">
        <f>IF(L22=" "," ",HLOOKUP(L22,SACHAR!$AA$3:$EE$11,9,0))</f>
        <v xml:space="preserve"> </v>
      </c>
      <c r="R22" s="192"/>
    </row>
    <row r="23" spans="1:18">
      <c r="D23" s="421" t="s">
        <v>31</v>
      </c>
      <c r="E23" s="421">
        <v>2029</v>
      </c>
      <c r="F23" s="421">
        <f>VLOOKUP(E23,'simlei sachar'!$C$2:$D$151,2,0)</f>
        <v>0</v>
      </c>
      <c r="G23" s="421" t="b">
        <v>0</v>
      </c>
      <c r="H23" s="421"/>
      <c r="I23" s="421"/>
      <c r="J23" s="421"/>
      <c r="K23" s="7"/>
      <c r="L23" s="332" t="str">
        <f t="shared" si="2"/>
        <v xml:space="preserve"> </v>
      </c>
      <c r="M23" s="1" t="str">
        <f>IF(L23=" "," ",HLOOKUP(L23,SACHAR!$AA$3:$EE$11,7,0))</f>
        <v xml:space="preserve"> </v>
      </c>
      <c r="N23" s="1" t="str">
        <f>IF(L23=" "," ",VLOOKUP(M23,'simlei sachar'!$C$2:$D$151,2,0))</f>
        <v xml:space="preserve"> </v>
      </c>
      <c r="O23" t="str">
        <f>IF(L23=" "," ",HLOOKUP(L23,SACHAR!$AA$3:$EE$11,8,0))</f>
        <v xml:space="preserve"> </v>
      </c>
      <c r="P23" s="333" t="str">
        <f>IF(L23=" "," ",HLOOKUP(L23,SACHAR!$AA$3:$EE$11,4,0))</f>
        <v xml:space="preserve"> </v>
      </c>
      <c r="Q23" s="239" t="str">
        <f>IF(L23=" "," ",HLOOKUP(L23,SACHAR!$AA$3:$EE$11,9,0))</f>
        <v xml:space="preserve"> </v>
      </c>
      <c r="R23" s="192"/>
    </row>
    <row r="24" spans="1:18">
      <c r="D24" s="421" t="s">
        <v>5213</v>
      </c>
      <c r="E24" s="421">
        <v>4932</v>
      </c>
      <c r="F24" s="421">
        <f>VLOOKUP(E24,'simlei sachar'!$C$2:$D$151,2,0)</f>
        <v>1018</v>
      </c>
      <c r="G24" s="421" t="b">
        <v>0</v>
      </c>
      <c r="H24" s="421"/>
      <c r="I24" s="421" t="s">
        <v>5194</v>
      </c>
      <c r="J24" s="421"/>
      <c r="K24" s="7"/>
      <c r="L24" s="332" t="str">
        <f t="shared" si="2"/>
        <v xml:space="preserve"> </v>
      </c>
      <c r="M24" s="1" t="str">
        <f>IF(L24=" "," ",HLOOKUP(L24,SACHAR!$AA$3:$EE$11,7,0))</f>
        <v xml:space="preserve"> </v>
      </c>
      <c r="N24" s="1" t="str">
        <f>IF(L24=" "," ",VLOOKUP(M24,'simlei sachar'!$C$2:$D$151,2,0))</f>
        <v xml:space="preserve"> </v>
      </c>
      <c r="O24" t="str">
        <f>IF(L24=" "," ",HLOOKUP(L24,SACHAR!$AA$3:$EE$11,8,0))</f>
        <v xml:space="preserve"> </v>
      </c>
      <c r="P24" s="333" t="str">
        <f>IF(L24=" "," ",HLOOKUP(L24,SACHAR!$AA$3:$EE$11,4,0))</f>
        <v xml:space="preserve"> </v>
      </c>
      <c r="Q24" s="239" t="str">
        <f>IF(L24=" "," ",HLOOKUP(L24,SACHAR!$AA$3:$EE$11,9,0))</f>
        <v xml:space="preserve"> </v>
      </c>
      <c r="R24" s="192"/>
    </row>
    <row r="25" spans="1:18">
      <c r="D25" s="421" t="s">
        <v>1718</v>
      </c>
      <c r="E25" s="421">
        <v>5251</v>
      </c>
      <c r="F25" s="421">
        <f>VLOOKUP(E25,'simlei sachar'!$C$2:$D$151,2,0)</f>
        <v>1031</v>
      </c>
      <c r="G25" s="421" t="b">
        <v>0</v>
      </c>
      <c r="H25" s="421"/>
      <c r="I25" s="421" t="s">
        <v>594</v>
      </c>
      <c r="J25" s="421"/>
      <c r="K25" s="7"/>
      <c r="L25" s="332" t="str">
        <f t="shared" si="2"/>
        <v xml:space="preserve"> </v>
      </c>
      <c r="M25" s="1" t="str">
        <f>IF(L25=" "," ",HLOOKUP(L25,SACHAR!$AA$3:$EE$11,7,0))</f>
        <v xml:space="preserve"> </v>
      </c>
      <c r="N25" s="1" t="str">
        <f>IF(L25=" "," ",VLOOKUP(M25,'simlei sachar'!$C$2:$D$151,2,0))</f>
        <v xml:space="preserve"> </v>
      </c>
      <c r="O25" t="str">
        <f>IF(L25=" "," ",HLOOKUP(L25,SACHAR!$AA$3:$EE$11,8,0))</f>
        <v xml:space="preserve"> </v>
      </c>
      <c r="P25" s="333" t="str">
        <f>IF(L25=" "," ",HLOOKUP(L25,SACHAR!$AA$3:$EE$11,4,0))</f>
        <v xml:space="preserve"> </v>
      </c>
      <c r="Q25" s="239" t="str">
        <f>IF(L25=" "," ",HLOOKUP(L25,SACHAR!$AA$3:$EE$11,9,0))</f>
        <v xml:space="preserve"> </v>
      </c>
      <c r="R25" s="192"/>
    </row>
    <row r="26" spans="1:18" ht="15" thickBot="1">
      <c r="D26" s="421" t="s">
        <v>28</v>
      </c>
      <c r="E26" s="423">
        <v>5253</v>
      </c>
      <c r="F26" s="421">
        <f>VLOOKUP(E26,'simlei sachar'!$C$2:$D$151,2,0)</f>
        <v>1030</v>
      </c>
      <c r="G26" s="421" t="b">
        <v>0</v>
      </c>
      <c r="H26" s="421"/>
      <c r="I26" s="421" t="s">
        <v>5194</v>
      </c>
      <c r="J26" s="421"/>
      <c r="K26" s="7"/>
      <c r="L26" s="334" t="str">
        <f t="shared" si="1"/>
        <v xml:space="preserve"> </v>
      </c>
      <c r="M26" s="338" t="str">
        <f>IF(L26=" "," ",HLOOKUP(L26,SACHAR!$AA$3:$EE$11,7,0))</f>
        <v xml:space="preserve"> </v>
      </c>
      <c r="N26" s="338" t="str">
        <f>IF(L26=" "," ",VLOOKUP(M26,'simlei sachar'!$C$2:$D$151,2,0))</f>
        <v xml:space="preserve"> </v>
      </c>
      <c r="O26" s="237" t="str">
        <f>IF(L26=" "," ",HLOOKUP(L26,SACHAR!$AA$3:$EE$11,8,0))</f>
        <v xml:space="preserve"> </v>
      </c>
      <c r="P26" s="335" t="str">
        <f>IF(L26=" "," ",HLOOKUP(L26,SACHAR!$AA$3:$EE$11,4,0))</f>
        <v xml:space="preserve"> </v>
      </c>
      <c r="Q26" s="238" t="str">
        <f>IF(L26=" "," ",HLOOKUP(L26,SACHAR!$AA$3:$EE$11,9,0))</f>
        <v xml:space="preserve"> </v>
      </c>
      <c r="R26" s="192"/>
    </row>
    <row r="27" spans="1:18" ht="15.6" thickTop="1" thickBot="1">
      <c r="D27" s="421" t="s">
        <v>78</v>
      </c>
      <c r="E27" s="421">
        <v>5254</v>
      </c>
      <c r="F27" s="421">
        <f>VLOOKUP(E27,'simlei sachar'!$C$2:$D$151,2,0)</f>
        <v>8081</v>
      </c>
      <c r="G27" s="421" t="b">
        <v>0</v>
      </c>
      <c r="H27" s="421"/>
      <c r="I27" s="421" t="s">
        <v>594</v>
      </c>
      <c r="J27" s="421"/>
      <c r="K27" s="7"/>
      <c r="R27" s="192"/>
    </row>
    <row r="28" spans="1:18" ht="15.6" thickTop="1" thickBot="1">
      <c r="D28" s="424" t="s">
        <v>1190</v>
      </c>
      <c r="E28" s="564">
        <v>5270</v>
      </c>
      <c r="F28" s="421">
        <f>VLOOKUP(E28,'simlei sachar'!$C$2:$D$151,2,0)</f>
        <v>1162</v>
      </c>
      <c r="G28" s="421" t="b">
        <v>0</v>
      </c>
      <c r="H28" s="421"/>
      <c r="I28" s="421" t="s">
        <v>5311</v>
      </c>
      <c r="J28" s="421"/>
      <c r="K28" s="7"/>
      <c r="M28"/>
      <c r="N28"/>
      <c r="R28" s="192"/>
    </row>
    <row r="29" spans="1:18" ht="16.8" thickTop="1">
      <c r="D29" s="425" t="s">
        <v>1191</v>
      </c>
      <c r="E29" s="427">
        <v>5270</v>
      </c>
      <c r="F29" s="421">
        <f>VLOOKUP(E29,'simlei sachar'!$C$2:$D$151,2,0)</f>
        <v>1162</v>
      </c>
      <c r="G29" s="421" t="b">
        <v>0</v>
      </c>
      <c r="H29" s="421"/>
      <c r="I29" s="421" t="s">
        <v>5311</v>
      </c>
      <c r="J29" s="421"/>
      <c r="K29" s="7"/>
      <c r="M29"/>
      <c r="N29"/>
      <c r="O29" s="233" t="s">
        <v>33</v>
      </c>
      <c r="P29" s="234"/>
      <c r="Q29" s="235">
        <f>+SACHAR!EE11</f>
        <v>4581.851764308667</v>
      </c>
      <c r="R29" s="232"/>
    </row>
    <row r="30" spans="1:18" ht="16.8" thickBot="1">
      <c r="D30" s="426" t="s">
        <v>1192</v>
      </c>
      <c r="E30" s="565">
        <v>5270</v>
      </c>
      <c r="F30" s="421">
        <f>VLOOKUP(E30,'simlei sachar'!$C$2:$D$151,2,0)</f>
        <v>1162</v>
      </c>
      <c r="G30" s="421" t="b">
        <v>0</v>
      </c>
      <c r="H30" s="421"/>
      <c r="I30" s="421" t="s">
        <v>5311</v>
      </c>
      <c r="J30" s="421"/>
      <c r="K30" s="7"/>
      <c r="M30"/>
      <c r="N30"/>
      <c r="O30" s="9"/>
      <c r="Q30" s="10"/>
      <c r="R30" s="232"/>
    </row>
    <row r="31" spans="1:18" ht="15" thickTop="1">
      <c r="D31" s="434" t="s">
        <v>803</v>
      </c>
      <c r="E31" s="434">
        <v>600</v>
      </c>
      <c r="F31" s="434">
        <f>VLOOKUP(E31,'simlei sachar'!$C$2:$D$151,2,0)</f>
        <v>1370</v>
      </c>
      <c r="G31" s="434" t="b">
        <v>1</v>
      </c>
      <c r="H31" s="434"/>
      <c r="I31" s="434" t="s">
        <v>5341</v>
      </c>
      <c r="J31" s="434"/>
      <c r="K31" s="7"/>
      <c r="M31"/>
      <c r="N31"/>
      <c r="O31" s="9"/>
      <c r="P31" s="6">
        <v>3.8199999999999998E-2</v>
      </c>
      <c r="Q31" s="239">
        <f>+Q29*P31</f>
        <v>175.02673739659107</v>
      </c>
      <c r="R31" s="192"/>
    </row>
    <row r="32" spans="1:18" ht="15" thickBot="1">
      <c r="D32" s="434" t="s">
        <v>1204</v>
      </c>
      <c r="E32" s="434">
        <v>626</v>
      </c>
      <c r="F32" s="434">
        <f>VLOOKUP(E32,'simlei sachar'!$C$2:$D$151,2,0)</f>
        <v>1024</v>
      </c>
      <c r="G32" s="434" t="b">
        <v>0</v>
      </c>
      <c r="H32" s="434"/>
      <c r="I32" s="434" t="s">
        <v>5341</v>
      </c>
      <c r="J32" s="434"/>
      <c r="K32" s="7"/>
      <c r="M32"/>
      <c r="N32"/>
      <c r="O32" s="9"/>
      <c r="P32" s="6"/>
      <c r="Q32" s="239"/>
      <c r="R32" s="192"/>
    </row>
    <row r="33" spans="4:18" ht="15" thickTop="1">
      <c r="D33" s="434" t="s">
        <v>1407</v>
      </c>
      <c r="E33" s="434">
        <v>636</v>
      </c>
      <c r="F33" s="434">
        <f>VLOOKUP(E33,'simlei sachar'!$C$2:$D$151,2,0)</f>
        <v>8077</v>
      </c>
      <c r="G33" s="434" t="b">
        <v>0</v>
      </c>
      <c r="H33" s="434"/>
      <c r="I33" s="434" t="s">
        <v>1421</v>
      </c>
      <c r="J33" s="434"/>
      <c r="K33" s="7"/>
      <c r="M33"/>
      <c r="N33"/>
      <c r="O33" s="233" t="s">
        <v>37</v>
      </c>
      <c r="P33" s="234"/>
      <c r="Q33" s="235">
        <f>+Q29+Q31</f>
        <v>4756.8785017052578</v>
      </c>
      <c r="R33" s="192"/>
    </row>
    <row r="34" spans="4:18">
      <c r="D34" s="434" t="s">
        <v>5342</v>
      </c>
      <c r="E34" s="434">
        <v>659</v>
      </c>
      <c r="F34" s="434">
        <f>VLOOKUP(E34,'simlei sachar'!$C$2:$D$151,2,0)</f>
        <v>1053</v>
      </c>
      <c r="G34" s="434" t="b">
        <v>0</v>
      </c>
      <c r="H34" s="434"/>
      <c r="I34" s="434" t="s">
        <v>5343</v>
      </c>
      <c r="J34" s="434"/>
      <c r="K34" s="7"/>
      <c r="M34"/>
      <c r="N34"/>
      <c r="O34" s="9" t="s">
        <v>2</v>
      </c>
      <c r="P34" s="6">
        <f>+B19</f>
        <v>1</v>
      </c>
      <c r="Q34" s="10"/>
      <c r="R34" s="192"/>
    </row>
    <row r="35" spans="4:18">
      <c r="D35" s="434" t="s">
        <v>1199</v>
      </c>
      <c r="E35" s="434">
        <v>669</v>
      </c>
      <c r="F35" s="434">
        <f>VLOOKUP(E35,'simlei sachar'!$C$2:$D$151,2,0)</f>
        <v>1054</v>
      </c>
      <c r="G35" s="434" t="b">
        <v>0</v>
      </c>
      <c r="H35" s="434"/>
      <c r="I35" s="434" t="s">
        <v>1421</v>
      </c>
      <c r="J35" s="434"/>
      <c r="K35" s="7"/>
      <c r="M35"/>
      <c r="N35"/>
      <c r="O35" s="9"/>
      <c r="P35" s="6"/>
      <c r="Q35" s="10"/>
      <c r="R35" s="192"/>
    </row>
    <row r="36" spans="4:18">
      <c r="D36" s="434" t="s">
        <v>1420</v>
      </c>
      <c r="E36" s="434">
        <v>697</v>
      </c>
      <c r="F36" s="434">
        <f>VLOOKUP(E36,'simlei sachar'!$C$2:$D$151,2,0)</f>
        <v>1149</v>
      </c>
      <c r="G36" s="434" t="b">
        <v>0</v>
      </c>
      <c r="H36" s="434"/>
      <c r="I36" s="434" t="s">
        <v>5318</v>
      </c>
      <c r="J36" s="434"/>
      <c r="K36" s="7"/>
      <c r="M36"/>
      <c r="N36"/>
      <c r="O36" s="9" t="s">
        <v>4</v>
      </c>
      <c r="P36" s="6">
        <f>+B20</f>
        <v>0.53669999999999995</v>
      </c>
      <c r="Q36" s="10"/>
      <c r="R36" s="192"/>
    </row>
    <row r="37" spans="4:18" ht="15" thickBot="1">
      <c r="D37" s="434" t="s">
        <v>1198</v>
      </c>
      <c r="E37" s="434">
        <v>728</v>
      </c>
      <c r="F37" s="434">
        <f>VLOOKUP(E37,'simlei sachar'!$C$2:$D$151,2,0)</f>
        <v>1025</v>
      </c>
      <c r="G37" s="434" t="b">
        <v>0</v>
      </c>
      <c r="H37" s="434"/>
      <c r="I37" s="434" t="s">
        <v>1421</v>
      </c>
      <c r="J37" s="434"/>
      <c r="K37" s="7"/>
      <c r="M37"/>
      <c r="N37"/>
      <c r="O37" s="236" t="s">
        <v>39</v>
      </c>
      <c r="P37" s="237"/>
      <c r="Q37" s="238">
        <f>+Q33*P34*P36</f>
        <v>2553.0166918652117</v>
      </c>
    </row>
    <row r="38" spans="4:18" ht="15" thickTop="1">
      <c r="D38" s="434" t="s">
        <v>5797</v>
      </c>
      <c r="E38" s="434">
        <v>733</v>
      </c>
      <c r="F38" s="434">
        <f>VLOOKUP(E38,'simlei sachar'!$C$2:$D$151,2,0)</f>
        <v>0</v>
      </c>
      <c r="G38" s="434" t="b">
        <v>1</v>
      </c>
      <c r="H38" s="434"/>
      <c r="I38" s="434"/>
      <c r="J38" s="434"/>
      <c r="K38" s="7"/>
      <c r="M38"/>
      <c r="N38"/>
      <c r="O38" s="600"/>
      <c r="P38" s="600"/>
      <c r="Q38" s="601"/>
    </row>
    <row r="39" spans="4:18">
      <c r="D39" s="434" t="s">
        <v>5353</v>
      </c>
      <c r="E39" s="434">
        <v>736</v>
      </c>
      <c r="F39" s="434">
        <f>VLOOKUP(E39,'simlei sachar'!$C$2:$D$151,2,0)</f>
        <v>1049</v>
      </c>
      <c r="G39" s="434" t="b">
        <v>0</v>
      </c>
      <c r="H39" s="434"/>
      <c r="I39" s="434" t="s">
        <v>5341</v>
      </c>
      <c r="J39" s="434"/>
      <c r="K39" s="7"/>
      <c r="M39"/>
      <c r="N39"/>
      <c r="R39" s="192"/>
    </row>
    <row r="40" spans="4:18">
      <c r="D40" s="434" t="s">
        <v>1407</v>
      </c>
      <c r="E40" s="434">
        <v>764</v>
      </c>
      <c r="F40" s="434">
        <f>VLOOKUP(E40,'simlei sachar'!$C$2:$D$151,2,0)</f>
        <v>1023</v>
      </c>
      <c r="G40" s="434" t="b">
        <v>1</v>
      </c>
      <c r="H40" s="434"/>
      <c r="I40" s="434" t="s">
        <v>5341</v>
      </c>
      <c r="J40" s="434"/>
      <c r="K40" s="7"/>
      <c r="M40"/>
      <c r="N40"/>
      <c r="R40" s="192"/>
    </row>
    <row r="41" spans="4:18">
      <c r="D41" s="434" t="s">
        <v>11</v>
      </c>
      <c r="E41" s="442">
        <v>798</v>
      </c>
      <c r="F41" s="434">
        <f>VLOOKUP(E41,'simlei sachar'!$C$2:$D$151,2,0)</f>
        <v>4025</v>
      </c>
      <c r="G41" s="434" t="b">
        <v>1</v>
      </c>
      <c r="H41" s="434"/>
      <c r="I41" s="434" t="s">
        <v>1421</v>
      </c>
      <c r="J41" s="434"/>
      <c r="K41" s="7"/>
      <c r="M41"/>
      <c r="N41"/>
    </row>
    <row r="42" spans="4:18">
      <c r="D42" s="434" t="s">
        <v>2013</v>
      </c>
      <c r="E42" s="442">
        <v>956</v>
      </c>
      <c r="F42" s="434">
        <f>VLOOKUP(E42,'simlei sachar'!$C$2:$D$151,2,0)</f>
        <v>0</v>
      </c>
      <c r="G42" s="434" t="b">
        <v>0</v>
      </c>
      <c r="H42" s="434"/>
      <c r="I42" s="434" t="s">
        <v>5343</v>
      </c>
      <c r="J42" s="434"/>
      <c r="K42" s="7"/>
      <c r="M42"/>
      <c r="N42"/>
    </row>
    <row r="43" spans="4:18">
      <c r="D43" s="434" t="s">
        <v>1557</v>
      </c>
      <c r="E43" s="442">
        <v>957</v>
      </c>
      <c r="F43" s="434">
        <f>VLOOKUP(E43,'simlei sachar'!$C$2:$D$151,2,0)</f>
        <v>0</v>
      </c>
      <c r="G43" s="434" t="b">
        <v>0</v>
      </c>
      <c r="H43" s="434"/>
      <c r="I43" s="434"/>
      <c r="J43" s="434"/>
      <c r="K43" s="7"/>
      <c r="M43"/>
      <c r="N43"/>
    </row>
    <row r="44" spans="4:18">
      <c r="D44" s="434" t="s">
        <v>2013</v>
      </c>
      <c r="E44" s="434">
        <v>959</v>
      </c>
      <c r="F44" s="434">
        <f>VLOOKUP(E44,'simlei sachar'!$C$2:$D$151,2,0)</f>
        <v>1385</v>
      </c>
      <c r="G44" s="434" t="b">
        <v>0</v>
      </c>
      <c r="H44" s="434"/>
      <c r="I44" s="434" t="s">
        <v>5343</v>
      </c>
      <c r="J44" s="434"/>
      <c r="K44" s="7"/>
      <c r="M44"/>
      <c r="N44"/>
    </row>
    <row r="45" spans="4:18">
      <c r="D45" s="434" t="s">
        <v>5782</v>
      </c>
      <c r="E45" s="434">
        <v>1233</v>
      </c>
      <c r="F45" s="434"/>
      <c r="G45" s="434" t="b">
        <v>0</v>
      </c>
      <c r="H45" s="434"/>
      <c r="I45" s="434" t="s">
        <v>5343</v>
      </c>
      <c r="J45" s="434"/>
      <c r="K45" s="7"/>
      <c r="M45"/>
      <c r="N45"/>
    </row>
    <row r="46" spans="4:18">
      <c r="D46" s="434" t="s">
        <v>5349</v>
      </c>
      <c r="E46" s="434">
        <v>1063</v>
      </c>
      <c r="F46" s="434">
        <f>VLOOKUP(E46,'simlei sachar'!$C$2:$D$151,2,0)</f>
        <v>1614</v>
      </c>
      <c r="G46" s="434" t="b">
        <v>0</v>
      </c>
      <c r="H46" s="434"/>
      <c r="I46" s="434" t="s">
        <v>5343</v>
      </c>
      <c r="J46" s="434"/>
      <c r="K46" s="7"/>
      <c r="M46"/>
      <c r="N46"/>
    </row>
    <row r="47" spans="4:18">
      <c r="D47" s="434" t="s">
        <v>5784</v>
      </c>
      <c r="E47" s="434">
        <v>1082</v>
      </c>
      <c r="F47" s="434">
        <f>VLOOKUP(E47,'simlei sachar'!$C$2:$D$151,2,0)</f>
        <v>1615</v>
      </c>
      <c r="G47" s="434" t="b">
        <v>0</v>
      </c>
      <c r="H47" s="434"/>
      <c r="I47" s="434" t="s">
        <v>5343</v>
      </c>
      <c r="J47" s="434"/>
      <c r="K47" s="7"/>
      <c r="M47"/>
      <c r="N47"/>
    </row>
    <row r="48" spans="4:18">
      <c r="D48" s="434" t="s">
        <v>5346</v>
      </c>
      <c r="E48" s="434">
        <v>1096</v>
      </c>
      <c r="F48" s="434">
        <f>VLOOKUP(E48,'simlei sachar'!$C$2:$D$151,2,0)</f>
        <v>1616</v>
      </c>
      <c r="G48" s="434" t="b">
        <v>0</v>
      </c>
      <c r="H48" s="434"/>
      <c r="I48" s="434" t="s">
        <v>5337</v>
      </c>
      <c r="J48" s="434"/>
      <c r="K48" s="7"/>
      <c r="M48"/>
      <c r="N48"/>
    </row>
    <row r="49" spans="4:18">
      <c r="D49" s="434" t="s">
        <v>1016</v>
      </c>
      <c r="E49" s="434">
        <v>4120</v>
      </c>
      <c r="F49" s="434">
        <f>VLOOKUP(E49,'simlei sachar'!$C$2:$D$151,2,0)</f>
        <v>1276</v>
      </c>
      <c r="G49" s="434" t="b">
        <v>0</v>
      </c>
      <c r="H49" s="434" t="s">
        <v>5338</v>
      </c>
      <c r="I49" s="434" t="s">
        <v>1421</v>
      </c>
      <c r="J49" s="395">
        <v>100</v>
      </c>
      <c r="M49"/>
      <c r="N49"/>
    </row>
    <row r="50" spans="4:18">
      <c r="D50" s="434" t="s">
        <v>40</v>
      </c>
      <c r="E50" s="442">
        <v>5216</v>
      </c>
      <c r="F50" s="434">
        <f>VLOOKUP(E50,'simlei sachar'!$C$2:$D$151,2,0)</f>
        <v>1368</v>
      </c>
      <c r="G50" s="434" t="b">
        <v>0</v>
      </c>
      <c r="H50" s="434"/>
      <c r="I50" s="434" t="s">
        <v>5343</v>
      </c>
      <c r="J50" s="434"/>
      <c r="K50" s="7"/>
      <c r="M50"/>
      <c r="N50"/>
      <c r="R50" s="192"/>
    </row>
    <row r="51" spans="4:18">
      <c r="D51" s="434" t="s">
        <v>14</v>
      </c>
      <c r="E51" s="535">
        <v>5340</v>
      </c>
      <c r="F51" s="434">
        <f>VLOOKUP(E51,'simlei sachar'!$C$2:$D$151,2,0)</f>
        <v>1015</v>
      </c>
      <c r="G51" s="434" t="b">
        <v>0</v>
      </c>
      <c r="H51" s="434"/>
      <c r="I51" s="434" t="s">
        <v>5343</v>
      </c>
      <c r="J51" s="434"/>
      <c r="K51" s="7"/>
      <c r="M51"/>
      <c r="N51"/>
      <c r="R51" s="192"/>
    </row>
    <row r="52" spans="4:18">
      <c r="D52" s="434" t="s">
        <v>3232</v>
      </c>
      <c r="E52" s="535">
        <v>5539</v>
      </c>
      <c r="F52" s="434">
        <f>VLOOKUP(E52,'simlei sachar'!$C$2:$D$151,2,0)</f>
        <v>0</v>
      </c>
      <c r="G52" s="434" t="b">
        <v>0</v>
      </c>
      <c r="H52" s="434">
        <v>2</v>
      </c>
      <c r="I52" s="434" t="s">
        <v>5343</v>
      </c>
      <c r="J52" s="452">
        <f>+'5539 MEMUNE'!P4</f>
        <v>0</v>
      </c>
      <c r="K52" s="7"/>
      <c r="M52"/>
      <c r="N52"/>
      <c r="R52" s="192"/>
    </row>
    <row r="53" spans="4:18">
      <c r="D53" s="476" t="s">
        <v>807</v>
      </c>
      <c r="E53" s="476">
        <v>628</v>
      </c>
      <c r="F53" s="476">
        <f>VLOOKUP(E53,'simlei sachar'!$C$2:$D$151,2,0)</f>
        <v>1361</v>
      </c>
      <c r="G53" s="476" t="b">
        <v>0</v>
      </c>
      <c r="H53" s="476"/>
      <c r="I53" s="476" t="s">
        <v>5320</v>
      </c>
      <c r="J53" s="476"/>
      <c r="M53"/>
      <c r="N53"/>
    </row>
    <row r="54" spans="4:18">
      <c r="D54" s="476" t="s">
        <v>1408</v>
      </c>
      <c r="E54" s="476">
        <v>630</v>
      </c>
      <c r="F54" s="476">
        <f>VLOOKUP(E54,'simlei sachar'!$C$2:$D$151,2,0)</f>
        <v>1043</v>
      </c>
      <c r="G54" s="476" t="b">
        <v>0</v>
      </c>
      <c r="H54" s="476"/>
      <c r="I54" s="476" t="s">
        <v>5075</v>
      </c>
      <c r="J54" s="476"/>
      <c r="M54"/>
      <c r="N54"/>
    </row>
    <row r="55" spans="4:18">
      <c r="D55" s="476" t="s">
        <v>5791</v>
      </c>
      <c r="E55" s="476">
        <v>642</v>
      </c>
      <c r="F55" s="476">
        <f>VLOOKUP(E55,'simlei sachar'!$C$2:$D$151,2,0)</f>
        <v>0</v>
      </c>
      <c r="G55" s="476" t="b">
        <v>0</v>
      </c>
      <c r="H55" s="476"/>
      <c r="I55" s="476"/>
      <c r="J55" s="476"/>
      <c r="M55"/>
      <c r="N55"/>
    </row>
    <row r="56" spans="4:18">
      <c r="D56" s="476" t="s">
        <v>5161</v>
      </c>
      <c r="E56" s="476">
        <v>657</v>
      </c>
      <c r="F56" s="476">
        <f>VLOOKUP(E56,'simlei sachar'!$C$2:$D$151,2,0)</f>
        <v>4040</v>
      </c>
      <c r="G56" s="476" t="b">
        <v>0</v>
      </c>
      <c r="H56" s="476"/>
      <c r="I56" s="476" t="s">
        <v>1415</v>
      </c>
      <c r="J56" s="476"/>
      <c r="M56"/>
      <c r="N56"/>
      <c r="Q56" s="192"/>
      <c r="R56" s="192"/>
    </row>
    <row r="57" spans="4:18">
      <c r="D57" s="476" t="s">
        <v>68</v>
      </c>
      <c r="E57" s="476">
        <v>658</v>
      </c>
      <c r="F57" s="476">
        <f>VLOOKUP(E57,'simlei sachar'!$C$2:$D$151,2,0)</f>
        <v>0</v>
      </c>
      <c r="G57" s="476" t="b">
        <v>0</v>
      </c>
      <c r="H57" s="476"/>
      <c r="I57" s="476" t="s">
        <v>5790</v>
      </c>
      <c r="J57" s="395">
        <v>380.45</v>
      </c>
      <c r="M57"/>
      <c r="N57"/>
      <c r="Q57" s="192"/>
      <c r="R57" s="192"/>
    </row>
    <row r="58" spans="4:18">
      <c r="D58" s="476" t="s">
        <v>1294</v>
      </c>
      <c r="E58" s="476">
        <v>678</v>
      </c>
      <c r="F58" s="476">
        <f>VLOOKUP(E58,'simlei sachar'!$C$2:$D$151,2,0)</f>
        <v>0</v>
      </c>
      <c r="G58" s="476" t="b">
        <v>0</v>
      </c>
      <c r="H58" s="476"/>
      <c r="I58" s="476"/>
      <c r="J58" s="395">
        <v>71.47</v>
      </c>
      <c r="M58"/>
      <c r="N58"/>
      <c r="Q58" s="192"/>
      <c r="R58" s="192"/>
    </row>
    <row r="59" spans="4:18">
      <c r="D59" s="476" t="s">
        <v>5164</v>
      </c>
      <c r="E59" s="476">
        <v>681</v>
      </c>
      <c r="F59" s="476">
        <f>VLOOKUP(E59,'simlei sachar'!$C$2:$D$151,2,0)</f>
        <v>5012</v>
      </c>
      <c r="G59" s="476" t="b">
        <v>0</v>
      </c>
      <c r="H59" s="476"/>
      <c r="I59" s="476" t="s">
        <v>5163</v>
      </c>
      <c r="J59" s="476"/>
      <c r="M59"/>
      <c r="N59"/>
    </row>
    <row r="60" spans="4:18">
      <c r="D60" s="476" t="s">
        <v>1332</v>
      </c>
      <c r="E60" s="476">
        <v>739</v>
      </c>
      <c r="F60" s="476">
        <f>VLOOKUP(E60,'simlei sachar'!$C$2:$D$151,2,0)</f>
        <v>1068</v>
      </c>
      <c r="G60" s="476" t="b">
        <v>0</v>
      </c>
      <c r="H60" s="476"/>
      <c r="I60" s="476" t="s">
        <v>5165</v>
      </c>
      <c r="J60" s="476"/>
      <c r="M60"/>
      <c r="N60"/>
    </row>
    <row r="61" spans="4:18">
      <c r="D61" s="476" t="s">
        <v>855</v>
      </c>
      <c r="E61" s="476">
        <v>756</v>
      </c>
      <c r="F61" s="476">
        <f>VLOOKUP(E61,'simlei sachar'!$C$2:$D$151,2,0)</f>
        <v>1093</v>
      </c>
      <c r="G61" s="476" t="b">
        <v>0</v>
      </c>
      <c r="H61" s="476"/>
      <c r="I61" s="476" t="s">
        <v>5322</v>
      </c>
      <c r="J61" s="476"/>
      <c r="M61"/>
      <c r="N61"/>
    </row>
    <row r="62" spans="4:18">
      <c r="D62" s="476" t="s">
        <v>3398</v>
      </c>
      <c r="E62" s="476">
        <v>768</v>
      </c>
      <c r="F62" s="476">
        <f>VLOOKUP(E62,'simlei sachar'!$C$2:$D$151,2,0)</f>
        <v>5032</v>
      </c>
      <c r="G62" s="476" t="b">
        <v>0</v>
      </c>
      <c r="H62" s="476"/>
      <c r="I62" s="476" t="s">
        <v>5325</v>
      </c>
      <c r="J62" s="476"/>
      <c r="M62"/>
      <c r="N62"/>
    </row>
    <row r="63" spans="4:18">
      <c r="D63" s="476" t="s">
        <v>868</v>
      </c>
      <c r="E63" s="476">
        <v>805</v>
      </c>
      <c r="F63" s="476">
        <f>VLOOKUP(E63,'simlei sachar'!$C$2:$D$151,2,0)</f>
        <v>1040</v>
      </c>
      <c r="G63" s="476" t="b">
        <v>0</v>
      </c>
      <c r="H63" s="476"/>
      <c r="I63" s="476" t="s">
        <v>5333</v>
      </c>
      <c r="J63" s="476"/>
      <c r="M63"/>
      <c r="N63"/>
    </row>
    <row r="64" spans="4:18">
      <c r="D64" s="476" t="s">
        <v>5167</v>
      </c>
      <c r="E64" s="476">
        <v>809</v>
      </c>
      <c r="F64" s="476">
        <f>VLOOKUP(E64,'simlei sachar'!$C$2:$D$151,2,0)</f>
        <v>1193</v>
      </c>
      <c r="G64" s="476" t="b">
        <v>0</v>
      </c>
      <c r="H64" s="476"/>
      <c r="I64" s="476" t="s">
        <v>5168</v>
      </c>
      <c r="J64" s="476"/>
      <c r="M64"/>
      <c r="N64"/>
    </row>
    <row r="65" spans="4:14" ht="15" thickBot="1">
      <c r="D65" s="476" t="s">
        <v>5173</v>
      </c>
      <c r="E65" s="476">
        <v>853</v>
      </c>
      <c r="F65" s="476">
        <f>VLOOKUP(E65,'simlei sachar'!$C$2:$D$151,2,0)</f>
        <v>8085</v>
      </c>
      <c r="G65" s="476" t="b">
        <v>0</v>
      </c>
      <c r="H65" s="476"/>
      <c r="I65" s="476" t="s">
        <v>5075</v>
      </c>
      <c r="J65" s="476"/>
      <c r="M65"/>
      <c r="N65"/>
    </row>
    <row r="66" spans="4:14" ht="15" thickTop="1">
      <c r="D66" s="513" t="s">
        <v>5334</v>
      </c>
      <c r="E66" s="561">
        <v>858</v>
      </c>
      <c r="F66" s="476">
        <f>VLOOKUP(E66,'simlei sachar'!$C$2:$D$151,2,0)</f>
        <v>1250</v>
      </c>
      <c r="G66" s="476" t="b">
        <v>0</v>
      </c>
      <c r="H66" s="476"/>
      <c r="I66" s="476" t="s">
        <v>5335</v>
      </c>
      <c r="J66" s="476"/>
      <c r="M66"/>
      <c r="N66"/>
    </row>
    <row r="67" spans="4:14" ht="15" thickBot="1">
      <c r="D67" s="515" t="s">
        <v>5336</v>
      </c>
      <c r="E67" s="562">
        <v>858</v>
      </c>
      <c r="F67" s="476">
        <f>VLOOKUP(E67,'simlei sachar'!$C$2:$D$151,2,0)</f>
        <v>1250</v>
      </c>
      <c r="G67" s="476" t="b">
        <v>0</v>
      </c>
      <c r="H67" s="476"/>
      <c r="I67" s="476"/>
      <c r="J67" s="476"/>
      <c r="M67"/>
      <c r="N67"/>
    </row>
    <row r="68" spans="4:14" ht="15" thickTop="1">
      <c r="D68" s="513" t="s">
        <v>5232</v>
      </c>
      <c r="E68" s="561">
        <v>875</v>
      </c>
      <c r="F68" s="476">
        <f>VLOOKUP(E68,'simlei sachar'!$C$2:$D$151,2,0)</f>
        <v>1061</v>
      </c>
      <c r="G68" s="476" t="b">
        <v>0</v>
      </c>
      <c r="H68" s="476"/>
      <c r="I68" s="476" t="s">
        <v>5319</v>
      </c>
      <c r="J68" s="476"/>
      <c r="M68"/>
      <c r="N68"/>
    </row>
    <row r="69" spans="4:14">
      <c r="D69" s="514" t="s">
        <v>5233</v>
      </c>
      <c r="E69" s="563">
        <v>875</v>
      </c>
      <c r="F69" s="476">
        <f>VLOOKUP(E69,'simlei sachar'!$C$2:$D$151,2,0)</f>
        <v>1061</v>
      </c>
      <c r="G69" s="476" t="b">
        <v>0</v>
      </c>
      <c r="H69" s="476"/>
      <c r="I69" s="476"/>
      <c r="J69" s="476"/>
      <c r="M69"/>
      <c r="N69"/>
    </row>
    <row r="70" spans="4:14">
      <c r="D70" s="514" t="s">
        <v>5234</v>
      </c>
      <c r="E70" s="563">
        <v>875</v>
      </c>
      <c r="F70" s="476">
        <f>VLOOKUP(E70,'simlei sachar'!$C$2:$D$151,2,0)</f>
        <v>1061</v>
      </c>
      <c r="G70" s="476" t="b">
        <v>0</v>
      </c>
      <c r="H70" s="476"/>
      <c r="I70" s="476"/>
      <c r="J70" s="476"/>
      <c r="M70"/>
      <c r="N70"/>
    </row>
    <row r="71" spans="4:14" ht="15" thickBot="1">
      <c r="D71" s="515" t="s">
        <v>5235</v>
      </c>
      <c r="E71" s="562">
        <v>875</v>
      </c>
      <c r="F71" s="476">
        <f>VLOOKUP(E71,'simlei sachar'!$C$2:$D$151,2,0)</f>
        <v>1061</v>
      </c>
      <c r="G71" s="476" t="b">
        <v>0</v>
      </c>
      <c r="H71" s="476"/>
      <c r="I71" s="476"/>
      <c r="J71" s="476"/>
      <c r="M71"/>
      <c r="N71"/>
    </row>
    <row r="72" spans="4:14" ht="15" thickTop="1">
      <c r="D72" s="476" t="s">
        <v>5170</v>
      </c>
      <c r="E72" s="476">
        <v>883</v>
      </c>
      <c r="F72" s="476">
        <f>VLOOKUP(E72,'simlei sachar'!$C$2:$D$151,2,0)</f>
        <v>1042</v>
      </c>
      <c r="G72" s="476" t="b">
        <v>0</v>
      </c>
      <c r="H72" s="476"/>
      <c r="I72" s="476" t="s">
        <v>5169</v>
      </c>
      <c r="J72" s="476"/>
      <c r="M72"/>
      <c r="N72"/>
    </row>
    <row r="73" spans="4:14">
      <c r="D73" s="476" t="s">
        <v>5176</v>
      </c>
      <c r="E73" s="476">
        <v>907</v>
      </c>
      <c r="F73" s="476">
        <f>VLOOKUP(E73,'simlei sachar'!$C$2:$D$151,2,0)</f>
        <v>1045</v>
      </c>
      <c r="G73" s="476" t="b">
        <v>0</v>
      </c>
      <c r="H73" s="476"/>
      <c r="I73" s="476" t="s">
        <v>5075</v>
      </c>
      <c r="J73" s="476"/>
      <c r="M73"/>
      <c r="N73"/>
    </row>
    <row r="74" spans="4:14">
      <c r="D74" s="476" t="s">
        <v>1332</v>
      </c>
      <c r="E74" s="476">
        <v>918</v>
      </c>
      <c r="F74" s="476">
        <f>VLOOKUP(E74,'simlei sachar'!$C$2:$D$151,2,0)</f>
        <v>1046</v>
      </c>
      <c r="G74" s="476" t="b">
        <v>0</v>
      </c>
      <c r="H74" s="476"/>
      <c r="I74" s="476" t="s">
        <v>5195</v>
      </c>
      <c r="J74" s="476"/>
      <c r="M74"/>
      <c r="N74"/>
    </row>
    <row r="75" spans="4:14">
      <c r="D75" s="476" t="s">
        <v>896</v>
      </c>
      <c r="E75" s="476">
        <v>920</v>
      </c>
      <c r="F75" s="476">
        <f>VLOOKUP(E75,'simlei sachar'!$C$2:$D$151,2,0)</f>
        <v>1073</v>
      </c>
      <c r="G75" s="476" t="b">
        <v>0</v>
      </c>
      <c r="H75" s="476"/>
      <c r="I75" s="476" t="s">
        <v>5327</v>
      </c>
      <c r="J75" s="476"/>
      <c r="M75"/>
      <c r="N75"/>
    </row>
    <row r="76" spans="4:14">
      <c r="D76" t="s">
        <v>4385</v>
      </c>
      <c r="E76">
        <v>1297</v>
      </c>
      <c r="F76" s="476">
        <f>VLOOKUP(E76,'simlei sachar'!$C$2:$D$151,2,0)</f>
        <v>1580</v>
      </c>
      <c r="G76" s="476" t="b">
        <v>0</v>
      </c>
      <c r="H76" s="476"/>
      <c r="I76" s="476" t="s">
        <v>5216</v>
      </c>
      <c r="J76" s="476"/>
      <c r="M76"/>
      <c r="N76"/>
    </row>
    <row r="77" spans="4:14">
      <c r="D77" s="476" t="s">
        <v>5140</v>
      </c>
      <c r="E77" s="476">
        <v>1358</v>
      </c>
      <c r="F77" s="476">
        <f>VLOOKUP(E77,'simlei sachar'!$C$2:$D$151,2,0)</f>
        <v>1105</v>
      </c>
      <c r="G77" s="476" t="b">
        <v>0</v>
      </c>
      <c r="H77" s="476"/>
      <c r="I77" s="476" t="s">
        <v>5224</v>
      </c>
      <c r="J77" s="476"/>
      <c r="M77"/>
      <c r="N77"/>
    </row>
    <row r="78" spans="4:14">
      <c r="D78" s="476" t="s">
        <v>5206</v>
      </c>
      <c r="E78" s="476">
        <v>4169</v>
      </c>
      <c r="F78" s="476">
        <f>VLOOKUP(E78,'simlei sachar'!$C$2:$D$151,2,0)</f>
        <v>1251</v>
      </c>
      <c r="G78" s="476" t="b">
        <v>0</v>
      </c>
      <c r="H78" s="476"/>
      <c r="I78" s="476" t="s">
        <v>5075</v>
      </c>
      <c r="J78" s="476"/>
      <c r="M78"/>
      <c r="N78"/>
    </row>
    <row r="79" spans="4:14">
      <c r="D79" s="476" t="s">
        <v>1294</v>
      </c>
      <c r="E79" s="476">
        <v>4173</v>
      </c>
      <c r="F79" s="476">
        <f>VLOOKUP(E79,'simlei sachar'!$C$2:$D$151,2,0)</f>
        <v>1163</v>
      </c>
      <c r="G79" s="476" t="b">
        <v>0</v>
      </c>
      <c r="H79" s="476" t="s">
        <v>5338</v>
      </c>
      <c r="I79" s="476" t="s">
        <v>5329</v>
      </c>
      <c r="J79" s="395">
        <v>2970.32</v>
      </c>
      <c r="M79"/>
      <c r="N79"/>
    </row>
    <row r="80" spans="4:14">
      <c r="D80" t="s">
        <v>961</v>
      </c>
      <c r="E80">
        <v>4180</v>
      </c>
      <c r="F80" s="476">
        <f>VLOOKUP(E80,'simlei sachar'!$C$2:$D$151,2,0)</f>
        <v>1134</v>
      </c>
      <c r="G80" s="476" t="b">
        <v>0</v>
      </c>
      <c r="H80" s="397">
        <v>4.5</v>
      </c>
      <c r="I80" s="476" t="s">
        <v>5310</v>
      </c>
      <c r="J80" s="476"/>
      <c r="M80"/>
      <c r="N80"/>
    </row>
    <row r="81" spans="4:14">
      <c r="D81" s="523" t="s">
        <v>1669</v>
      </c>
      <c r="E81" s="476">
        <v>4406</v>
      </c>
      <c r="F81" s="476">
        <f>VLOOKUP(E81,'simlei sachar'!$C$2:$D$151,2,0)</f>
        <v>1144</v>
      </c>
      <c r="G81" s="476" t="b">
        <v>0</v>
      </c>
      <c r="H81" s="476">
        <v>2</v>
      </c>
      <c r="I81" s="476" t="s">
        <v>5339</v>
      </c>
      <c r="J81" s="476"/>
      <c r="M81"/>
      <c r="N81"/>
    </row>
    <row r="82" spans="4:14">
      <c r="D82" s="476" t="s">
        <v>989</v>
      </c>
      <c r="E82" s="476">
        <v>4453</v>
      </c>
      <c r="F82" s="476">
        <f>VLOOKUP(E82,'simlei sachar'!$C$2:$D$151,2,0)</f>
        <v>1017</v>
      </c>
      <c r="G82" s="476" t="b">
        <v>0</v>
      </c>
      <c r="H82" s="476"/>
      <c r="I82" s="476" t="s">
        <v>5075</v>
      </c>
      <c r="J82" s="476"/>
      <c r="M82"/>
      <c r="N82"/>
    </row>
    <row r="83" spans="4:14">
      <c r="D83" s="476" t="s">
        <v>1016</v>
      </c>
      <c r="E83" s="476">
        <v>4643</v>
      </c>
      <c r="F83" s="476">
        <f>VLOOKUP(E83,'simlei sachar'!$C$2:$D$151,2,0)</f>
        <v>1236</v>
      </c>
      <c r="G83" s="476" t="b">
        <v>0</v>
      </c>
      <c r="H83" s="476" t="s">
        <v>5338</v>
      </c>
      <c r="I83" s="476" t="s">
        <v>5329</v>
      </c>
      <c r="J83" s="395">
        <v>109.21</v>
      </c>
      <c r="M83"/>
      <c r="N83"/>
    </row>
    <row r="84" spans="4:14">
      <c r="D84" s="476" t="s">
        <v>5331</v>
      </c>
      <c r="E84" s="476">
        <v>4651</v>
      </c>
      <c r="F84" s="476">
        <f>VLOOKUP(E84,'simlei sachar'!$C$2:$D$151,2,0)</f>
        <v>1364</v>
      </c>
      <c r="G84" s="476" t="b">
        <v>0</v>
      </c>
      <c r="H84" s="476"/>
      <c r="I84" s="476" t="s">
        <v>5330</v>
      </c>
      <c r="J84" s="476"/>
      <c r="M84"/>
      <c r="N84"/>
    </row>
    <row r="85" spans="4:14">
      <c r="D85" s="476" t="s">
        <v>5212</v>
      </c>
      <c r="E85" s="476">
        <v>4687</v>
      </c>
      <c r="F85" s="476">
        <f>VLOOKUP(E85,'simlei sachar'!$C$2:$D$151,2,0)</f>
        <v>1158</v>
      </c>
      <c r="G85" s="476" t="b">
        <v>0</v>
      </c>
      <c r="H85" s="476"/>
      <c r="I85" s="476" t="s">
        <v>5332</v>
      </c>
      <c r="J85" s="476"/>
      <c r="M85"/>
      <c r="N85"/>
    </row>
    <row r="86" spans="4:14" ht="15" thickBot="1">
      <c r="D86" s="476" t="s">
        <v>1030</v>
      </c>
      <c r="E86" s="476">
        <v>4935</v>
      </c>
      <c r="F86" s="476">
        <f>VLOOKUP(E86,'simlei sachar'!$C$2:$D$151,2,0)</f>
        <v>1159</v>
      </c>
      <c r="G86" s="476" t="b">
        <v>0</v>
      </c>
      <c r="H86" s="476" t="s">
        <v>5338</v>
      </c>
      <c r="I86" s="476" t="s">
        <v>5329</v>
      </c>
      <c r="J86" s="395">
        <v>796.27</v>
      </c>
      <c r="M86"/>
      <c r="N86"/>
    </row>
    <row r="87" spans="4:14" ht="15" thickTop="1">
      <c r="D87" s="513" t="s">
        <v>5089</v>
      </c>
      <c r="E87" s="575">
        <v>4983</v>
      </c>
      <c r="F87" s="476">
        <f>VLOOKUP(E87,'simlei sachar'!$C$2:$D$151,2,0)</f>
        <v>1005</v>
      </c>
      <c r="G87" s="476" t="b">
        <v>0</v>
      </c>
      <c r="H87" s="476"/>
      <c r="I87" s="476" t="s">
        <v>5075</v>
      </c>
      <c r="J87" s="476"/>
      <c r="M87"/>
      <c r="N87"/>
    </row>
    <row r="88" spans="4:14">
      <c r="D88" s="514" t="s">
        <v>5090</v>
      </c>
      <c r="E88" s="576">
        <v>4983</v>
      </c>
      <c r="F88" s="476">
        <f>VLOOKUP(E88,'simlei sachar'!$C$2:$D$151,2,0)</f>
        <v>1005</v>
      </c>
      <c r="G88" s="476" t="b">
        <v>0</v>
      </c>
      <c r="H88" s="476"/>
      <c r="I88" s="476"/>
      <c r="J88" s="476"/>
    </row>
    <row r="89" spans="4:14" ht="15" thickBot="1">
      <c r="D89" s="515" t="s">
        <v>5091</v>
      </c>
      <c r="E89" s="577">
        <v>4983</v>
      </c>
      <c r="F89" s="476">
        <f>VLOOKUP(E89,'simlei sachar'!$C$2:$D$151,2,0)</f>
        <v>1005</v>
      </c>
      <c r="G89" s="476" t="b">
        <v>0</v>
      </c>
      <c r="H89" s="476"/>
      <c r="I89" s="476"/>
      <c r="J89" s="476"/>
    </row>
    <row r="90" spans="4:14" ht="15" thickTop="1">
      <c r="D90" s="476" t="s">
        <v>5215</v>
      </c>
      <c r="E90" s="476">
        <v>5268</v>
      </c>
      <c r="F90" s="476">
        <f>VLOOKUP(E90,'simlei sachar'!$C$2:$D$151,2,0)</f>
        <v>1303</v>
      </c>
      <c r="G90" s="476" t="b">
        <v>0</v>
      </c>
      <c r="H90" s="476">
        <v>3</v>
      </c>
      <c r="I90" s="476" t="s">
        <v>5216</v>
      </c>
      <c r="J90" s="476">
        <f>+'5268 LIVUI ORHIM'!P4</f>
        <v>0</v>
      </c>
    </row>
    <row r="91" spans="4:14">
      <c r="D91" t="s">
        <v>5153</v>
      </c>
      <c r="E91">
        <v>5536</v>
      </c>
      <c r="F91">
        <f>VLOOKUP(E91,'simlei sachar'!$C$2:$D$151,2,0)</f>
        <v>8189</v>
      </c>
      <c r="G91" t="b">
        <v>0</v>
      </c>
      <c r="I91" t="s">
        <v>5220</v>
      </c>
    </row>
    <row r="92" spans="4:14" ht="15" thickBot="1">
      <c r="D92" t="s">
        <v>5155</v>
      </c>
      <c r="E92">
        <v>5548</v>
      </c>
      <c r="F92">
        <f>VLOOKUP(E92,'simlei sachar'!$C$2:$D$151,2,0)</f>
        <v>0</v>
      </c>
      <c r="G92" t="b">
        <v>0</v>
      </c>
      <c r="I92" t="s">
        <v>5224</v>
      </c>
      <c r="M92"/>
      <c r="N92"/>
    </row>
    <row r="93" spans="4:14" ht="15" thickTop="1">
      <c r="D93" s="518" t="s">
        <v>5268</v>
      </c>
      <c r="E93" s="580">
        <v>4318</v>
      </c>
      <c r="F93" s="519">
        <f>VLOOKUP(E93,'simlei sachar'!$C$2:$D$151,2,0)</f>
        <v>4065</v>
      </c>
      <c r="G93" s="519" t="b">
        <v>0</v>
      </c>
      <c r="H93" s="519"/>
      <c r="I93" s="519" t="s">
        <v>5224</v>
      </c>
      <c r="J93" s="395">
        <v>1594.3</v>
      </c>
      <c r="M93"/>
      <c r="N93"/>
    </row>
    <row r="94" spans="4:14">
      <c r="D94" s="520" t="s">
        <v>5261</v>
      </c>
      <c r="E94" s="581">
        <v>4319</v>
      </c>
      <c r="F94" s="519">
        <f>VLOOKUP(E94,'simlei sachar'!$C$2:$D$151,2,0)</f>
        <v>4064</v>
      </c>
      <c r="G94" s="519" t="b">
        <v>0</v>
      </c>
      <c r="H94" s="519"/>
      <c r="I94" s="519" t="s">
        <v>5224</v>
      </c>
      <c r="J94" s="519"/>
      <c r="M94"/>
      <c r="N94"/>
    </row>
    <row r="95" spans="4:14">
      <c r="D95" s="520" t="s">
        <v>5271</v>
      </c>
      <c r="E95" s="581">
        <v>4427</v>
      </c>
      <c r="F95" s="519">
        <f>VLOOKUP(E95,'simlei sachar'!$C$2:$D$151,2,0)</f>
        <v>4067</v>
      </c>
      <c r="G95" s="519" t="b">
        <v>0</v>
      </c>
      <c r="H95" s="519"/>
      <c r="I95" s="519" t="s">
        <v>5224</v>
      </c>
      <c r="J95" s="519"/>
      <c r="M95"/>
      <c r="N95"/>
    </row>
    <row r="96" spans="4:14">
      <c r="D96" s="520" t="s">
        <v>5270</v>
      </c>
      <c r="E96" s="581">
        <v>4428</v>
      </c>
      <c r="F96" s="519">
        <f>VLOOKUP(E96,'simlei sachar'!$C$2:$D$151,2,0)</f>
        <v>1599</v>
      </c>
      <c r="G96" s="519" t="b">
        <v>0</v>
      </c>
      <c r="H96" s="519"/>
      <c r="I96" s="519" t="s">
        <v>5224</v>
      </c>
      <c r="J96" s="519"/>
      <c r="M96"/>
      <c r="N96"/>
    </row>
    <row r="97" spans="4:14" ht="15" thickBot="1">
      <c r="D97" s="521" t="s">
        <v>2601</v>
      </c>
      <c r="E97" s="582">
        <v>4374</v>
      </c>
      <c r="F97" s="519">
        <f>VLOOKUP(E97,'simlei sachar'!$C$2:$D$151,2,0)</f>
        <v>4066</v>
      </c>
      <c r="G97" s="519" t="b">
        <v>0</v>
      </c>
      <c r="H97" s="519"/>
      <c r="I97" s="519" t="s">
        <v>5224</v>
      </c>
      <c r="J97" s="519"/>
      <c r="M97"/>
      <c r="N97"/>
    </row>
    <row r="98" spans="4:14" ht="15" thickTop="1">
      <c r="D98" s="522" t="s">
        <v>5275</v>
      </c>
      <c r="E98" s="522">
        <v>955</v>
      </c>
      <c r="F98" s="522">
        <f>VLOOKUP(E98,'simlei sachar'!$C$2:$D$151,2,0)</f>
        <v>1282</v>
      </c>
      <c r="G98" s="522" t="b">
        <v>0</v>
      </c>
      <c r="M98"/>
      <c r="N98"/>
    </row>
    <row r="99" spans="4:14">
      <c r="D99" s="522" t="s">
        <v>2380</v>
      </c>
      <c r="E99" s="522">
        <v>1615</v>
      </c>
      <c r="F99" s="522">
        <f>VLOOKUP(E99,'simlei sachar'!$C$2:$D$151,2,0)</f>
        <v>4089</v>
      </c>
      <c r="G99" s="522" t="b">
        <v>0</v>
      </c>
      <c r="M99"/>
      <c r="N99"/>
    </row>
    <row r="100" spans="4:14">
      <c r="D100" s="522" t="s">
        <v>931</v>
      </c>
      <c r="E100" s="522">
        <v>1619</v>
      </c>
      <c r="F100" s="522">
        <f>VLOOKUP(E100,'simlei sachar'!$C$2:$D$151,2,0)</f>
        <v>4088</v>
      </c>
      <c r="G100" s="522" t="b">
        <v>0</v>
      </c>
    </row>
    <row r="101" spans="4:14">
      <c r="D101" s="522" t="s">
        <v>1629</v>
      </c>
      <c r="E101" s="522">
        <v>1951</v>
      </c>
      <c r="F101" s="522">
        <f>VLOOKUP(E101,'simlei sachar'!$C$2:$D$151,2,0)</f>
        <v>8074</v>
      </c>
      <c r="G101" s="522" t="b">
        <v>0</v>
      </c>
      <c r="M101" s="530"/>
      <c r="N101" s="530"/>
    </row>
    <row r="102" spans="4:14">
      <c r="D102" s="522" t="s">
        <v>5274</v>
      </c>
      <c r="E102" s="522">
        <v>4244</v>
      </c>
      <c r="F102" s="522">
        <f>VLOOKUP(E102,'simlei sachar'!$C$2:$D$151,2,0)</f>
        <v>0</v>
      </c>
      <c r="G102" s="522" t="b">
        <v>0</v>
      </c>
    </row>
    <row r="103" spans="4:14">
      <c r="D103" s="522" t="s">
        <v>1661</v>
      </c>
      <c r="E103" s="522">
        <v>4658</v>
      </c>
      <c r="F103" s="522">
        <f>VLOOKUP(E103,'simlei sachar'!$C$2:$D$151,2,0)</f>
        <v>1567</v>
      </c>
      <c r="G103" s="522" t="b">
        <v>0</v>
      </c>
    </row>
    <row r="104" spans="4:14">
      <c r="D104" s="522" t="s">
        <v>1717</v>
      </c>
      <c r="E104" s="522">
        <v>5244</v>
      </c>
      <c r="F104" s="522">
        <f>VLOOKUP(E104,'simlei sachar'!$C$2:$D$151,2,0)</f>
        <v>1285</v>
      </c>
      <c r="G104" s="522" t="b">
        <v>0</v>
      </c>
    </row>
    <row r="105" spans="4:14">
      <c r="D105" s="522" t="s">
        <v>1724</v>
      </c>
      <c r="E105" s="522">
        <v>5287</v>
      </c>
      <c r="F105" s="522">
        <f>VLOOKUP(E105,'simlei sachar'!$C$2:$D$151,2,0)</f>
        <v>1129</v>
      </c>
      <c r="G105" s="522" t="b">
        <v>0</v>
      </c>
    </row>
    <row r="106" spans="4:14">
      <c r="D106" t="s">
        <v>38</v>
      </c>
      <c r="E106">
        <v>1053</v>
      </c>
      <c r="F106">
        <f>VLOOKUP(E106,'simlei sachar'!$C$2:$D$151,2,0)</f>
        <v>0</v>
      </c>
      <c r="G106" t="b">
        <v>0</v>
      </c>
    </row>
    <row r="107" spans="4:14">
      <c r="D107" t="s">
        <v>23</v>
      </c>
      <c r="E107">
        <v>2086</v>
      </c>
      <c r="F107">
        <f>VLOOKUP(E107,'simlei sachar'!$C$2:$D$151,2,0)</f>
        <v>0</v>
      </c>
      <c r="G107" t="b">
        <v>0</v>
      </c>
      <c r="M107"/>
      <c r="N107"/>
    </row>
    <row r="108" spans="4:14">
      <c r="G108" t="b">
        <v>0</v>
      </c>
      <c r="M108"/>
      <c r="N108"/>
    </row>
    <row r="109" spans="4:14">
      <c r="G109" t="b">
        <v>0</v>
      </c>
      <c r="M109"/>
      <c r="N109"/>
    </row>
    <row r="110" spans="4:14">
      <c r="G110" t="b">
        <v>0</v>
      </c>
    </row>
    <row r="111" spans="4:14">
      <c r="G111" t="b">
        <v>0</v>
      </c>
    </row>
    <row r="112" spans="4:14">
      <c r="G112" t="b">
        <v>0</v>
      </c>
    </row>
    <row r="113" spans="2:14">
      <c r="G113" t="b">
        <v>0</v>
      </c>
    </row>
    <row r="126" spans="2:14">
      <c r="B126" s="558"/>
    </row>
    <row r="127" spans="2:14">
      <c r="B127" s="558"/>
      <c r="M127"/>
      <c r="N127"/>
    </row>
    <row r="129" spans="3:11">
      <c r="C129" s="7"/>
      <c r="D129" s="7"/>
      <c r="E129" s="7"/>
      <c r="F129" s="7"/>
      <c r="G129" s="7"/>
      <c r="J129" s="7"/>
      <c r="K129" s="7"/>
    </row>
    <row r="130" spans="3:11">
      <c r="C130" s="7"/>
      <c r="D130" s="7"/>
      <c r="E130" s="7"/>
      <c r="F130" s="7"/>
      <c r="G130" s="7"/>
      <c r="J130" s="7"/>
      <c r="K130" s="7"/>
    </row>
    <row r="131" spans="3:11">
      <c r="C131" s="7"/>
      <c r="D131" s="7"/>
      <c r="E131" s="7"/>
      <c r="F131" s="7"/>
      <c r="G131" s="7"/>
      <c r="J131" s="7"/>
      <c r="K131" s="7"/>
    </row>
    <row r="132" spans="3:11">
      <c r="C132" s="7"/>
      <c r="D132" s="7"/>
      <c r="E132" s="7"/>
      <c r="F132" s="7"/>
      <c r="G132" s="7"/>
      <c r="J132" s="7"/>
      <c r="K132" s="7"/>
    </row>
    <row r="133" spans="3:11">
      <c r="C133" s="7"/>
      <c r="D133" s="7"/>
      <c r="E133" s="7"/>
      <c r="F133" s="7"/>
      <c r="G133" s="7"/>
      <c r="J133" s="7"/>
      <c r="K133" s="7"/>
    </row>
    <row r="134" spans="3:11">
      <c r="C134" s="7"/>
      <c r="D134" s="7"/>
      <c r="E134" s="7"/>
      <c r="F134" s="7"/>
      <c r="G134" s="7"/>
      <c r="J134" s="7"/>
      <c r="K134" s="7"/>
    </row>
    <row r="135" spans="3:11">
      <c r="C135" s="7"/>
      <c r="D135" s="7"/>
      <c r="E135" s="7"/>
      <c r="F135" s="7"/>
      <c r="G135" s="7"/>
      <c r="J135" s="7"/>
      <c r="K135" s="7"/>
    </row>
    <row r="136" spans="3:11">
      <c r="C136" s="7"/>
      <c r="D136" s="7"/>
      <c r="E136" s="7"/>
      <c r="F136" s="7"/>
      <c r="G136" s="7"/>
      <c r="J136" s="7"/>
      <c r="K136" s="7"/>
    </row>
    <row r="137" spans="3:11">
      <c r="C137" s="7"/>
      <c r="D137" s="7"/>
      <c r="E137" s="7"/>
      <c r="F137" s="7"/>
      <c r="G137" s="7"/>
      <c r="J137" s="7"/>
      <c r="K137" s="7"/>
    </row>
    <row r="138" spans="3:11">
      <c r="C138" s="7"/>
      <c r="D138" s="7"/>
      <c r="E138" s="7"/>
      <c r="F138" s="7"/>
      <c r="G138" s="7"/>
      <c r="J138" s="7"/>
      <c r="K138" s="7"/>
    </row>
    <row r="139" spans="3:11">
      <c r="C139" s="7"/>
      <c r="D139" s="7"/>
      <c r="E139" s="7"/>
      <c r="F139" s="7"/>
      <c r="G139" s="7"/>
      <c r="J139" s="7"/>
      <c r="K139" s="7"/>
    </row>
    <row r="140" spans="3:11">
      <c r="C140" s="7"/>
      <c r="D140" s="7"/>
      <c r="E140" s="7"/>
      <c r="F140" s="7"/>
      <c r="G140" s="7"/>
      <c r="J140" s="7"/>
      <c r="K140" s="7"/>
    </row>
    <row r="141" spans="3:11">
      <c r="C141" s="7"/>
      <c r="D141" s="7"/>
      <c r="E141" s="7"/>
      <c r="F141" s="7"/>
      <c r="G141" s="7"/>
      <c r="J141" s="7"/>
      <c r="K141" s="7"/>
    </row>
    <row r="142" spans="3:11">
      <c r="C142" s="7"/>
      <c r="D142" s="7"/>
      <c r="E142" s="7"/>
      <c r="F142" s="7"/>
      <c r="G142" s="7"/>
      <c r="J142" s="7"/>
      <c r="K142" s="7"/>
    </row>
    <row r="143" spans="3:11">
      <c r="C143" s="7"/>
      <c r="D143" s="7"/>
      <c r="E143" s="7"/>
      <c r="F143" s="7"/>
      <c r="G143" s="7"/>
      <c r="J143" s="7"/>
      <c r="K143" s="7"/>
    </row>
    <row r="144" spans="3:11">
      <c r="C144" s="7"/>
      <c r="D144" s="7"/>
      <c r="E144" s="7"/>
      <c r="F144" s="7"/>
      <c r="G144" s="7"/>
      <c r="J144" s="7"/>
      <c r="K144" s="7"/>
    </row>
    <row r="145" spans="3:11">
      <c r="C145" s="7"/>
      <c r="D145" s="7"/>
      <c r="E145" s="7"/>
      <c r="F145" s="7"/>
      <c r="G145" s="7"/>
      <c r="J145" s="7"/>
      <c r="K145" s="7"/>
    </row>
    <row r="146" spans="3:11">
      <c r="C146" s="7"/>
      <c r="D146" s="7"/>
      <c r="E146" s="7"/>
      <c r="F146" s="7"/>
      <c r="G146" s="7"/>
      <c r="J146" s="7"/>
      <c r="K146" s="7"/>
    </row>
    <row r="147" spans="3:11">
      <c r="C147" s="7"/>
      <c r="D147" s="7"/>
      <c r="E147" s="7"/>
      <c r="F147" s="7"/>
      <c r="G147" s="7"/>
      <c r="J147" s="7"/>
      <c r="K147" s="7"/>
    </row>
    <row r="148" spans="3:11">
      <c r="C148" s="7"/>
      <c r="D148" s="7"/>
      <c r="E148" s="7"/>
      <c r="F148" s="7"/>
      <c r="G148" s="7"/>
      <c r="J148" s="7"/>
      <c r="K148" s="7"/>
    </row>
    <row r="149" spans="3:11">
      <c r="C149" s="7"/>
      <c r="D149" s="7"/>
      <c r="E149" s="7"/>
      <c r="F149" s="7"/>
      <c r="G149" s="7"/>
      <c r="J149" s="7"/>
      <c r="K149" s="7"/>
    </row>
    <row r="150" spans="3:11">
      <c r="C150" s="7"/>
      <c r="D150" s="7"/>
      <c r="E150" s="7"/>
      <c r="F150" s="7"/>
      <c r="G150" s="7"/>
      <c r="J150" s="7"/>
      <c r="K150" s="7"/>
    </row>
    <row r="151" spans="3:11">
      <c r="C151" s="7"/>
      <c r="D151" s="7"/>
      <c r="E151" s="7"/>
      <c r="F151" s="7"/>
      <c r="G151" s="7"/>
      <c r="J151" s="7"/>
      <c r="K151" s="7"/>
    </row>
    <row r="152" spans="3:11">
      <c r="C152" s="7"/>
      <c r="D152" s="7"/>
      <c r="E152" s="7"/>
      <c r="F152" s="7"/>
      <c r="G152" s="7"/>
      <c r="J152" s="7"/>
      <c r="K152" s="7"/>
    </row>
  </sheetData>
  <phoneticPr fontId="37" type="noConversion"/>
  <conditionalFormatting sqref="Q3:R18 Q19:Q26 R19:R28 S3 S9">
    <cfRule type="notContainsBlanks" dxfId="3" priority="1">
      <formula>LEN(TRIM(Q3))&gt;0</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Drop Down 1">
              <controlPr defaultSize="0" autoLine="0" autoPict="0">
                <anchor moveWithCells="1">
                  <from>
                    <xdr:col>1</xdr:col>
                    <xdr:colOff>0</xdr:colOff>
                    <xdr:row>8</xdr:row>
                    <xdr:rowOff>0</xdr:rowOff>
                  </from>
                  <to>
                    <xdr:col>1</xdr:col>
                    <xdr:colOff>891540</xdr:colOff>
                    <xdr:row>8</xdr:row>
                    <xdr:rowOff>182880</xdr:rowOff>
                  </to>
                </anchor>
              </controlPr>
            </control>
          </mc:Choice>
        </mc:AlternateContent>
        <mc:AlternateContent xmlns:mc="http://schemas.openxmlformats.org/markup-compatibility/2006">
          <mc:Choice Requires="x14">
            <control shapeId="34819" r:id="rId5" name="Drop Down 3">
              <controlPr defaultSize="0" autoLine="0" autoPict="0">
                <anchor moveWithCells="1">
                  <from>
                    <xdr:col>1</xdr:col>
                    <xdr:colOff>0</xdr:colOff>
                    <xdr:row>9</xdr:row>
                    <xdr:rowOff>0</xdr:rowOff>
                  </from>
                  <to>
                    <xdr:col>1</xdr:col>
                    <xdr:colOff>891540</xdr:colOff>
                    <xdr:row>10</xdr:row>
                    <xdr:rowOff>0</xdr:rowOff>
                  </to>
                </anchor>
              </controlPr>
            </control>
          </mc:Choice>
        </mc:AlternateContent>
        <mc:AlternateContent xmlns:mc="http://schemas.openxmlformats.org/markup-compatibility/2006">
          <mc:Choice Requires="x14">
            <control shapeId="34820" r:id="rId6" name="Drop Down 4">
              <controlPr defaultSize="0" autoLine="0" autoPict="0">
                <anchor moveWithCells="1">
                  <from>
                    <xdr:col>1</xdr:col>
                    <xdr:colOff>0</xdr:colOff>
                    <xdr:row>3</xdr:row>
                    <xdr:rowOff>0</xdr:rowOff>
                  </from>
                  <to>
                    <xdr:col>2</xdr:col>
                    <xdr:colOff>0</xdr:colOff>
                    <xdr:row>3</xdr:row>
                    <xdr:rowOff>182880</xdr:rowOff>
                  </to>
                </anchor>
              </controlPr>
            </control>
          </mc:Choice>
        </mc:AlternateContent>
        <mc:AlternateContent xmlns:mc="http://schemas.openxmlformats.org/markup-compatibility/2006">
          <mc:Choice Requires="x14">
            <control shapeId="34823" r:id="rId7" name="Drop Down 7">
              <controlPr defaultSize="0" autoLine="0" autoPict="0">
                <anchor moveWithCells="1">
                  <from>
                    <xdr:col>1</xdr:col>
                    <xdr:colOff>0</xdr:colOff>
                    <xdr:row>5</xdr:row>
                    <xdr:rowOff>0</xdr:rowOff>
                  </from>
                  <to>
                    <xdr:col>1</xdr:col>
                    <xdr:colOff>891540</xdr:colOff>
                    <xdr:row>5</xdr:row>
                    <xdr:rowOff>182880</xdr:rowOff>
                  </to>
                </anchor>
              </controlPr>
            </control>
          </mc:Choice>
        </mc:AlternateContent>
        <mc:AlternateContent xmlns:mc="http://schemas.openxmlformats.org/markup-compatibility/2006">
          <mc:Choice Requires="x14">
            <control shapeId="34824" r:id="rId8" name="Drop Down 8">
              <controlPr defaultSize="0" autoLine="0" autoPict="0">
                <anchor moveWithCells="1">
                  <from>
                    <xdr:col>1</xdr:col>
                    <xdr:colOff>0</xdr:colOff>
                    <xdr:row>6</xdr:row>
                    <xdr:rowOff>0</xdr:rowOff>
                  </from>
                  <to>
                    <xdr:col>1</xdr:col>
                    <xdr:colOff>891540</xdr:colOff>
                    <xdr:row>7</xdr:row>
                    <xdr:rowOff>0</xdr:rowOff>
                  </to>
                </anchor>
              </controlPr>
            </control>
          </mc:Choice>
        </mc:AlternateContent>
        <mc:AlternateContent xmlns:mc="http://schemas.openxmlformats.org/markup-compatibility/2006">
          <mc:Choice Requires="x14">
            <control shapeId="34855" r:id="rId9" name="Drop Down 39">
              <controlPr defaultSize="0" autoLine="0" autoPict="0">
                <anchor moveWithCells="1">
                  <from>
                    <xdr:col>6</xdr:col>
                    <xdr:colOff>693420</xdr:colOff>
                    <xdr:row>17</xdr:row>
                    <xdr:rowOff>175260</xdr:rowOff>
                  </from>
                  <to>
                    <xdr:col>7</xdr:col>
                    <xdr:colOff>563880</xdr:colOff>
                    <xdr:row>19</xdr:row>
                    <xdr:rowOff>0</xdr:rowOff>
                  </to>
                </anchor>
              </controlPr>
            </control>
          </mc:Choice>
        </mc:AlternateContent>
        <mc:AlternateContent xmlns:mc="http://schemas.openxmlformats.org/markup-compatibility/2006">
          <mc:Choice Requires="x14">
            <control shapeId="34862" r:id="rId10" name="Drop Down 46">
              <controlPr defaultSize="0" autoLine="0" autoPict="0">
                <anchor moveWithCells="1">
                  <from>
                    <xdr:col>6</xdr:col>
                    <xdr:colOff>982980</xdr:colOff>
                    <xdr:row>79</xdr:row>
                    <xdr:rowOff>175260</xdr:rowOff>
                  </from>
                  <to>
                    <xdr:col>7</xdr:col>
                    <xdr:colOff>678180</xdr:colOff>
                    <xdr:row>81</xdr:row>
                    <xdr:rowOff>15240</xdr:rowOff>
                  </to>
                </anchor>
              </controlPr>
            </control>
          </mc:Choice>
        </mc:AlternateContent>
        <mc:AlternateContent xmlns:mc="http://schemas.openxmlformats.org/markup-compatibility/2006">
          <mc:Choice Requires="x14">
            <control shapeId="34863" r:id="rId11" name="Drop Down 47">
              <controlPr defaultSize="0" autoLine="0" autoPict="0">
                <anchor moveWithCells="1">
                  <from>
                    <xdr:col>7</xdr:col>
                    <xdr:colOff>0</xdr:colOff>
                    <xdr:row>88</xdr:row>
                    <xdr:rowOff>182880</xdr:rowOff>
                  </from>
                  <to>
                    <xdr:col>7</xdr:col>
                    <xdr:colOff>716280</xdr:colOff>
                    <xdr:row>90</xdr:row>
                    <xdr:rowOff>7620</xdr:rowOff>
                  </to>
                </anchor>
              </controlPr>
            </control>
          </mc:Choice>
        </mc:AlternateContent>
        <mc:AlternateContent xmlns:mc="http://schemas.openxmlformats.org/markup-compatibility/2006">
          <mc:Choice Requires="x14">
            <control shapeId="34865" r:id="rId12" name="Drop Down 49">
              <controlPr defaultSize="0" autoLine="0" autoPict="0">
                <anchor moveWithCells="1">
                  <from>
                    <xdr:col>1</xdr:col>
                    <xdr:colOff>0</xdr:colOff>
                    <xdr:row>4</xdr:row>
                    <xdr:rowOff>0</xdr:rowOff>
                  </from>
                  <to>
                    <xdr:col>1</xdr:col>
                    <xdr:colOff>891540</xdr:colOff>
                    <xdr:row>4</xdr:row>
                    <xdr:rowOff>182880</xdr:rowOff>
                  </to>
                </anchor>
              </controlPr>
            </control>
          </mc:Choice>
        </mc:AlternateContent>
        <mc:AlternateContent xmlns:mc="http://schemas.openxmlformats.org/markup-compatibility/2006">
          <mc:Choice Requires="x14">
            <control shapeId="34866" r:id="rId13" name="Button 50">
              <controlPr defaultSize="0" print="0" autoFill="0" autoPict="0" macro="[0]!גיליון2.StartNewCheckBoxesSeries">
                <anchor moveWithCells="1">
                  <from>
                    <xdr:col>5</xdr:col>
                    <xdr:colOff>350520</xdr:colOff>
                    <xdr:row>0</xdr:row>
                    <xdr:rowOff>182880</xdr:rowOff>
                  </from>
                  <to>
                    <xdr:col>7</xdr:col>
                    <xdr:colOff>335280</xdr:colOff>
                    <xdr:row>2</xdr:row>
                    <xdr:rowOff>0</xdr:rowOff>
                  </to>
                </anchor>
              </controlPr>
            </control>
          </mc:Choice>
        </mc:AlternateContent>
        <mc:AlternateContent xmlns:mc="http://schemas.openxmlformats.org/markup-compatibility/2006">
          <mc:Choice Requires="x14">
            <control shapeId="146110" r:id="rId14" name="Drop Down 7870">
              <controlPr defaultSize="0" autoLine="0" autoPict="0">
                <anchor moveWithCells="1">
                  <from>
                    <xdr:col>7</xdr:col>
                    <xdr:colOff>0</xdr:colOff>
                    <xdr:row>50</xdr:row>
                    <xdr:rowOff>144780</xdr:rowOff>
                  </from>
                  <to>
                    <xdr:col>7</xdr:col>
                    <xdr:colOff>716280</xdr:colOff>
                    <xdr:row>51</xdr:row>
                    <xdr:rowOff>167640</xdr:rowOff>
                  </to>
                </anchor>
              </controlPr>
            </control>
          </mc:Choice>
        </mc:AlternateContent>
        <mc:AlternateContent xmlns:mc="http://schemas.openxmlformats.org/markup-compatibility/2006">
          <mc:Choice Requires="x14">
            <control shapeId="356135" r:id="rId15" name="chk_5">
              <controlPr defaultSize="0" autoFill="0" autoLine="0" autoPict="0">
                <anchor moveWithCells="1">
                  <from>
                    <xdr:col>6</xdr:col>
                    <xdr:colOff>137160</xdr:colOff>
                    <xdr:row>3</xdr:row>
                    <xdr:rowOff>198120</xdr:rowOff>
                  </from>
                  <to>
                    <xdr:col>6</xdr:col>
                    <xdr:colOff>457200</xdr:colOff>
                    <xdr:row>5</xdr:row>
                    <xdr:rowOff>15240</xdr:rowOff>
                  </to>
                </anchor>
              </controlPr>
            </control>
          </mc:Choice>
        </mc:AlternateContent>
        <mc:AlternateContent xmlns:mc="http://schemas.openxmlformats.org/markup-compatibility/2006">
          <mc:Choice Requires="x14">
            <control shapeId="356136" r:id="rId16" name="chk_6">
              <controlPr defaultSize="0" autoFill="0" autoLine="0" autoPict="0">
                <anchor moveWithCells="1">
                  <from>
                    <xdr:col>6</xdr:col>
                    <xdr:colOff>137160</xdr:colOff>
                    <xdr:row>4</xdr:row>
                    <xdr:rowOff>182880</xdr:rowOff>
                  </from>
                  <to>
                    <xdr:col>6</xdr:col>
                    <xdr:colOff>457200</xdr:colOff>
                    <xdr:row>6</xdr:row>
                    <xdr:rowOff>7620</xdr:rowOff>
                  </to>
                </anchor>
              </controlPr>
            </control>
          </mc:Choice>
        </mc:AlternateContent>
        <mc:AlternateContent xmlns:mc="http://schemas.openxmlformats.org/markup-compatibility/2006">
          <mc:Choice Requires="x14">
            <control shapeId="356137" r:id="rId17" name="chk_7">
              <controlPr defaultSize="0" autoFill="0" autoLine="0" autoPict="0">
                <anchor moveWithCells="1">
                  <from>
                    <xdr:col>6</xdr:col>
                    <xdr:colOff>137160</xdr:colOff>
                    <xdr:row>5</xdr:row>
                    <xdr:rowOff>182880</xdr:rowOff>
                  </from>
                  <to>
                    <xdr:col>6</xdr:col>
                    <xdr:colOff>457200</xdr:colOff>
                    <xdr:row>7</xdr:row>
                    <xdr:rowOff>22860</xdr:rowOff>
                  </to>
                </anchor>
              </controlPr>
            </control>
          </mc:Choice>
        </mc:AlternateContent>
        <mc:AlternateContent xmlns:mc="http://schemas.openxmlformats.org/markup-compatibility/2006">
          <mc:Choice Requires="x14">
            <control shapeId="356138" r:id="rId18" name="chk_8">
              <controlPr defaultSize="0" autoFill="0" autoLine="0" autoPict="0">
                <anchor moveWithCells="1">
                  <from>
                    <xdr:col>6</xdr:col>
                    <xdr:colOff>137160</xdr:colOff>
                    <xdr:row>6</xdr:row>
                    <xdr:rowOff>167640</xdr:rowOff>
                  </from>
                  <to>
                    <xdr:col>6</xdr:col>
                    <xdr:colOff>457200</xdr:colOff>
                    <xdr:row>8</xdr:row>
                    <xdr:rowOff>7620</xdr:rowOff>
                  </to>
                </anchor>
              </controlPr>
            </control>
          </mc:Choice>
        </mc:AlternateContent>
        <mc:AlternateContent xmlns:mc="http://schemas.openxmlformats.org/markup-compatibility/2006">
          <mc:Choice Requires="x14">
            <control shapeId="356139" r:id="rId19" name="chk_9">
              <controlPr defaultSize="0" autoFill="0" autoLine="0" autoPict="0">
                <anchor moveWithCells="1">
                  <from>
                    <xdr:col>6</xdr:col>
                    <xdr:colOff>137160</xdr:colOff>
                    <xdr:row>7</xdr:row>
                    <xdr:rowOff>190500</xdr:rowOff>
                  </from>
                  <to>
                    <xdr:col>6</xdr:col>
                    <xdr:colOff>457200</xdr:colOff>
                    <xdr:row>9</xdr:row>
                    <xdr:rowOff>15240</xdr:rowOff>
                  </to>
                </anchor>
              </controlPr>
            </control>
          </mc:Choice>
        </mc:AlternateContent>
        <mc:AlternateContent xmlns:mc="http://schemas.openxmlformats.org/markup-compatibility/2006">
          <mc:Choice Requires="x14">
            <control shapeId="356140" r:id="rId20" name="chk_10">
              <controlPr defaultSize="0" autoFill="0" autoLine="0" autoPict="0">
                <anchor moveWithCells="1">
                  <from>
                    <xdr:col>6</xdr:col>
                    <xdr:colOff>137160</xdr:colOff>
                    <xdr:row>8</xdr:row>
                    <xdr:rowOff>175260</xdr:rowOff>
                  </from>
                  <to>
                    <xdr:col>6</xdr:col>
                    <xdr:colOff>457200</xdr:colOff>
                    <xdr:row>10</xdr:row>
                    <xdr:rowOff>22860</xdr:rowOff>
                  </to>
                </anchor>
              </controlPr>
            </control>
          </mc:Choice>
        </mc:AlternateContent>
        <mc:AlternateContent xmlns:mc="http://schemas.openxmlformats.org/markup-compatibility/2006">
          <mc:Choice Requires="x14">
            <control shapeId="356141" r:id="rId21" name="chk_11">
              <controlPr defaultSize="0" autoFill="0" autoLine="0" autoPict="0">
                <anchor moveWithCells="1">
                  <from>
                    <xdr:col>6</xdr:col>
                    <xdr:colOff>137160</xdr:colOff>
                    <xdr:row>9</xdr:row>
                    <xdr:rowOff>160020</xdr:rowOff>
                  </from>
                  <to>
                    <xdr:col>6</xdr:col>
                    <xdr:colOff>457200</xdr:colOff>
                    <xdr:row>11</xdr:row>
                    <xdr:rowOff>22860</xdr:rowOff>
                  </to>
                </anchor>
              </controlPr>
            </control>
          </mc:Choice>
        </mc:AlternateContent>
        <mc:AlternateContent xmlns:mc="http://schemas.openxmlformats.org/markup-compatibility/2006">
          <mc:Choice Requires="x14">
            <control shapeId="356142" r:id="rId22" name="chk_12">
              <controlPr defaultSize="0" autoFill="0" autoLine="0" autoPict="0">
                <anchor moveWithCells="1">
                  <from>
                    <xdr:col>6</xdr:col>
                    <xdr:colOff>137160</xdr:colOff>
                    <xdr:row>10</xdr:row>
                    <xdr:rowOff>167640</xdr:rowOff>
                  </from>
                  <to>
                    <xdr:col>6</xdr:col>
                    <xdr:colOff>457200</xdr:colOff>
                    <xdr:row>12</xdr:row>
                    <xdr:rowOff>15240</xdr:rowOff>
                  </to>
                </anchor>
              </controlPr>
            </control>
          </mc:Choice>
        </mc:AlternateContent>
        <mc:AlternateContent xmlns:mc="http://schemas.openxmlformats.org/markup-compatibility/2006">
          <mc:Choice Requires="x14">
            <control shapeId="356143" r:id="rId23" name="chk_13">
              <controlPr defaultSize="0" autoFill="0" autoLine="0" autoPict="0">
                <anchor moveWithCells="1">
                  <from>
                    <xdr:col>6</xdr:col>
                    <xdr:colOff>137160</xdr:colOff>
                    <xdr:row>11</xdr:row>
                    <xdr:rowOff>175260</xdr:rowOff>
                  </from>
                  <to>
                    <xdr:col>6</xdr:col>
                    <xdr:colOff>457200</xdr:colOff>
                    <xdr:row>13</xdr:row>
                    <xdr:rowOff>22860</xdr:rowOff>
                  </to>
                </anchor>
              </controlPr>
            </control>
          </mc:Choice>
        </mc:AlternateContent>
        <mc:AlternateContent xmlns:mc="http://schemas.openxmlformats.org/markup-compatibility/2006">
          <mc:Choice Requires="x14">
            <control shapeId="356144" r:id="rId24" name="chk_14">
              <controlPr defaultSize="0" autoFill="0" autoLine="0" autoPict="0">
                <anchor moveWithCells="1">
                  <from>
                    <xdr:col>6</xdr:col>
                    <xdr:colOff>137160</xdr:colOff>
                    <xdr:row>12</xdr:row>
                    <xdr:rowOff>160020</xdr:rowOff>
                  </from>
                  <to>
                    <xdr:col>6</xdr:col>
                    <xdr:colOff>457200</xdr:colOff>
                    <xdr:row>14</xdr:row>
                    <xdr:rowOff>15240</xdr:rowOff>
                  </to>
                </anchor>
              </controlPr>
            </control>
          </mc:Choice>
        </mc:AlternateContent>
        <mc:AlternateContent xmlns:mc="http://schemas.openxmlformats.org/markup-compatibility/2006">
          <mc:Choice Requires="x14">
            <control shapeId="356145" r:id="rId25" name="chk_15">
              <controlPr defaultSize="0" autoFill="0" autoLine="0" autoPict="0">
                <anchor moveWithCells="1">
                  <from>
                    <xdr:col>6</xdr:col>
                    <xdr:colOff>137160</xdr:colOff>
                    <xdr:row>13</xdr:row>
                    <xdr:rowOff>175260</xdr:rowOff>
                  </from>
                  <to>
                    <xdr:col>6</xdr:col>
                    <xdr:colOff>457200</xdr:colOff>
                    <xdr:row>15</xdr:row>
                    <xdr:rowOff>15240</xdr:rowOff>
                  </to>
                </anchor>
              </controlPr>
            </control>
          </mc:Choice>
        </mc:AlternateContent>
        <mc:AlternateContent xmlns:mc="http://schemas.openxmlformats.org/markup-compatibility/2006">
          <mc:Choice Requires="x14">
            <control shapeId="356146" r:id="rId26" name="chk_16">
              <controlPr defaultSize="0" autoFill="0" autoLine="0" autoPict="0">
                <anchor moveWithCells="1">
                  <from>
                    <xdr:col>6</xdr:col>
                    <xdr:colOff>137160</xdr:colOff>
                    <xdr:row>14</xdr:row>
                    <xdr:rowOff>175260</xdr:rowOff>
                  </from>
                  <to>
                    <xdr:col>6</xdr:col>
                    <xdr:colOff>457200</xdr:colOff>
                    <xdr:row>16</xdr:row>
                    <xdr:rowOff>15240</xdr:rowOff>
                  </to>
                </anchor>
              </controlPr>
            </control>
          </mc:Choice>
        </mc:AlternateContent>
        <mc:AlternateContent xmlns:mc="http://schemas.openxmlformats.org/markup-compatibility/2006">
          <mc:Choice Requires="x14">
            <control shapeId="356147" r:id="rId27" name="chk_17">
              <controlPr defaultSize="0" autoFill="0" autoLine="0" autoPict="0">
                <anchor moveWithCells="1">
                  <from>
                    <xdr:col>6</xdr:col>
                    <xdr:colOff>137160</xdr:colOff>
                    <xdr:row>15</xdr:row>
                    <xdr:rowOff>167640</xdr:rowOff>
                  </from>
                  <to>
                    <xdr:col>6</xdr:col>
                    <xdr:colOff>457200</xdr:colOff>
                    <xdr:row>17</xdr:row>
                    <xdr:rowOff>22860</xdr:rowOff>
                  </to>
                </anchor>
              </controlPr>
            </control>
          </mc:Choice>
        </mc:AlternateContent>
        <mc:AlternateContent xmlns:mc="http://schemas.openxmlformats.org/markup-compatibility/2006">
          <mc:Choice Requires="x14">
            <control shapeId="356148" r:id="rId28" name="chk_18">
              <controlPr defaultSize="0" autoFill="0" autoLine="0" autoPict="0">
                <anchor moveWithCells="1">
                  <from>
                    <xdr:col>6</xdr:col>
                    <xdr:colOff>137160</xdr:colOff>
                    <xdr:row>16</xdr:row>
                    <xdr:rowOff>160020</xdr:rowOff>
                  </from>
                  <to>
                    <xdr:col>6</xdr:col>
                    <xdr:colOff>457200</xdr:colOff>
                    <xdr:row>18</xdr:row>
                    <xdr:rowOff>22860</xdr:rowOff>
                  </to>
                </anchor>
              </controlPr>
            </control>
          </mc:Choice>
        </mc:AlternateContent>
        <mc:AlternateContent xmlns:mc="http://schemas.openxmlformats.org/markup-compatibility/2006">
          <mc:Choice Requires="x14">
            <control shapeId="356149" r:id="rId29" name="chk_19">
              <controlPr defaultSize="0" autoFill="0" autoLine="0" autoPict="0">
                <anchor moveWithCells="1">
                  <from>
                    <xdr:col>6</xdr:col>
                    <xdr:colOff>137160</xdr:colOff>
                    <xdr:row>17</xdr:row>
                    <xdr:rowOff>160020</xdr:rowOff>
                  </from>
                  <to>
                    <xdr:col>6</xdr:col>
                    <xdr:colOff>457200</xdr:colOff>
                    <xdr:row>19</xdr:row>
                    <xdr:rowOff>22860</xdr:rowOff>
                  </to>
                </anchor>
              </controlPr>
            </control>
          </mc:Choice>
        </mc:AlternateContent>
        <mc:AlternateContent xmlns:mc="http://schemas.openxmlformats.org/markup-compatibility/2006">
          <mc:Choice Requires="x14">
            <control shapeId="356150" r:id="rId30" name="chk_20">
              <controlPr defaultSize="0" autoFill="0" autoLine="0" autoPict="0">
                <anchor moveWithCells="1">
                  <from>
                    <xdr:col>6</xdr:col>
                    <xdr:colOff>137160</xdr:colOff>
                    <xdr:row>18</xdr:row>
                    <xdr:rowOff>160020</xdr:rowOff>
                  </from>
                  <to>
                    <xdr:col>6</xdr:col>
                    <xdr:colOff>457200</xdr:colOff>
                    <xdr:row>20</xdr:row>
                    <xdr:rowOff>22860</xdr:rowOff>
                  </to>
                </anchor>
              </controlPr>
            </control>
          </mc:Choice>
        </mc:AlternateContent>
        <mc:AlternateContent xmlns:mc="http://schemas.openxmlformats.org/markup-compatibility/2006">
          <mc:Choice Requires="x14">
            <control shapeId="356151" r:id="rId31" name="chk_21">
              <controlPr defaultSize="0" autoFill="0" autoLine="0" autoPict="0">
                <anchor moveWithCells="1">
                  <from>
                    <xdr:col>6</xdr:col>
                    <xdr:colOff>137160</xdr:colOff>
                    <xdr:row>19</xdr:row>
                    <xdr:rowOff>160020</xdr:rowOff>
                  </from>
                  <to>
                    <xdr:col>6</xdr:col>
                    <xdr:colOff>457200</xdr:colOff>
                    <xdr:row>21</xdr:row>
                    <xdr:rowOff>22860</xdr:rowOff>
                  </to>
                </anchor>
              </controlPr>
            </control>
          </mc:Choice>
        </mc:AlternateContent>
        <mc:AlternateContent xmlns:mc="http://schemas.openxmlformats.org/markup-compatibility/2006">
          <mc:Choice Requires="x14">
            <control shapeId="356152" r:id="rId32" name="chk_22">
              <controlPr defaultSize="0" autoFill="0" autoLine="0" autoPict="0">
                <anchor moveWithCells="1">
                  <from>
                    <xdr:col>6</xdr:col>
                    <xdr:colOff>137160</xdr:colOff>
                    <xdr:row>20</xdr:row>
                    <xdr:rowOff>160020</xdr:rowOff>
                  </from>
                  <to>
                    <xdr:col>6</xdr:col>
                    <xdr:colOff>457200</xdr:colOff>
                    <xdr:row>22</xdr:row>
                    <xdr:rowOff>22860</xdr:rowOff>
                  </to>
                </anchor>
              </controlPr>
            </control>
          </mc:Choice>
        </mc:AlternateContent>
        <mc:AlternateContent xmlns:mc="http://schemas.openxmlformats.org/markup-compatibility/2006">
          <mc:Choice Requires="x14">
            <control shapeId="356153" r:id="rId33" name="chk_23">
              <controlPr defaultSize="0" autoFill="0" autoLine="0" autoPict="0">
                <anchor moveWithCells="1">
                  <from>
                    <xdr:col>6</xdr:col>
                    <xdr:colOff>137160</xdr:colOff>
                    <xdr:row>21</xdr:row>
                    <xdr:rowOff>160020</xdr:rowOff>
                  </from>
                  <to>
                    <xdr:col>6</xdr:col>
                    <xdr:colOff>457200</xdr:colOff>
                    <xdr:row>23</xdr:row>
                    <xdr:rowOff>22860</xdr:rowOff>
                  </to>
                </anchor>
              </controlPr>
            </control>
          </mc:Choice>
        </mc:AlternateContent>
        <mc:AlternateContent xmlns:mc="http://schemas.openxmlformats.org/markup-compatibility/2006">
          <mc:Choice Requires="x14">
            <control shapeId="356154" r:id="rId34" name="chk_24">
              <controlPr defaultSize="0" autoFill="0" autoLine="0" autoPict="0">
                <anchor moveWithCells="1">
                  <from>
                    <xdr:col>6</xdr:col>
                    <xdr:colOff>137160</xdr:colOff>
                    <xdr:row>22</xdr:row>
                    <xdr:rowOff>160020</xdr:rowOff>
                  </from>
                  <to>
                    <xdr:col>6</xdr:col>
                    <xdr:colOff>457200</xdr:colOff>
                    <xdr:row>24</xdr:row>
                    <xdr:rowOff>22860</xdr:rowOff>
                  </to>
                </anchor>
              </controlPr>
            </control>
          </mc:Choice>
        </mc:AlternateContent>
        <mc:AlternateContent xmlns:mc="http://schemas.openxmlformats.org/markup-compatibility/2006">
          <mc:Choice Requires="x14">
            <control shapeId="356155" r:id="rId35" name="chk_25">
              <controlPr defaultSize="0" autoFill="0" autoLine="0" autoPict="0">
                <anchor moveWithCells="1">
                  <from>
                    <xdr:col>6</xdr:col>
                    <xdr:colOff>137160</xdr:colOff>
                    <xdr:row>23</xdr:row>
                    <xdr:rowOff>160020</xdr:rowOff>
                  </from>
                  <to>
                    <xdr:col>6</xdr:col>
                    <xdr:colOff>457200</xdr:colOff>
                    <xdr:row>25</xdr:row>
                    <xdr:rowOff>22860</xdr:rowOff>
                  </to>
                </anchor>
              </controlPr>
            </control>
          </mc:Choice>
        </mc:AlternateContent>
        <mc:AlternateContent xmlns:mc="http://schemas.openxmlformats.org/markup-compatibility/2006">
          <mc:Choice Requires="x14">
            <control shapeId="356156" r:id="rId36" name="chk_26">
              <controlPr defaultSize="0" autoFill="0" autoLine="0" autoPict="0">
                <anchor moveWithCells="1">
                  <from>
                    <xdr:col>6</xdr:col>
                    <xdr:colOff>137160</xdr:colOff>
                    <xdr:row>24</xdr:row>
                    <xdr:rowOff>160020</xdr:rowOff>
                  </from>
                  <to>
                    <xdr:col>6</xdr:col>
                    <xdr:colOff>457200</xdr:colOff>
                    <xdr:row>26</xdr:row>
                    <xdr:rowOff>15240</xdr:rowOff>
                  </to>
                </anchor>
              </controlPr>
            </control>
          </mc:Choice>
        </mc:AlternateContent>
        <mc:AlternateContent xmlns:mc="http://schemas.openxmlformats.org/markup-compatibility/2006">
          <mc:Choice Requires="x14">
            <control shapeId="356157" r:id="rId37" name="chk_27">
              <controlPr defaultSize="0" autoFill="0" autoLine="0" autoPict="0">
                <anchor moveWithCells="1">
                  <from>
                    <xdr:col>6</xdr:col>
                    <xdr:colOff>137160</xdr:colOff>
                    <xdr:row>25</xdr:row>
                    <xdr:rowOff>175260</xdr:rowOff>
                  </from>
                  <to>
                    <xdr:col>6</xdr:col>
                    <xdr:colOff>457200</xdr:colOff>
                    <xdr:row>27</xdr:row>
                    <xdr:rowOff>15240</xdr:rowOff>
                  </to>
                </anchor>
              </controlPr>
            </control>
          </mc:Choice>
        </mc:AlternateContent>
        <mc:AlternateContent xmlns:mc="http://schemas.openxmlformats.org/markup-compatibility/2006">
          <mc:Choice Requires="x14">
            <control shapeId="356158" r:id="rId38" name="chk_28">
              <controlPr defaultSize="0" autoFill="0" autoLine="0" autoPict="0">
                <anchor moveWithCells="1">
                  <from>
                    <xdr:col>6</xdr:col>
                    <xdr:colOff>137160</xdr:colOff>
                    <xdr:row>26</xdr:row>
                    <xdr:rowOff>182880</xdr:rowOff>
                  </from>
                  <to>
                    <xdr:col>6</xdr:col>
                    <xdr:colOff>457200</xdr:colOff>
                    <xdr:row>28</xdr:row>
                    <xdr:rowOff>15240</xdr:rowOff>
                  </to>
                </anchor>
              </controlPr>
            </control>
          </mc:Choice>
        </mc:AlternateContent>
        <mc:AlternateContent xmlns:mc="http://schemas.openxmlformats.org/markup-compatibility/2006">
          <mc:Choice Requires="x14">
            <control shapeId="356159" r:id="rId39" name="chk_29">
              <controlPr defaultSize="0" autoFill="0" autoLine="0" autoPict="0">
                <anchor moveWithCells="1">
                  <from>
                    <xdr:col>6</xdr:col>
                    <xdr:colOff>137160</xdr:colOff>
                    <xdr:row>27</xdr:row>
                    <xdr:rowOff>190500</xdr:rowOff>
                  </from>
                  <to>
                    <xdr:col>6</xdr:col>
                    <xdr:colOff>457200</xdr:colOff>
                    <xdr:row>29</xdr:row>
                    <xdr:rowOff>7620</xdr:rowOff>
                  </to>
                </anchor>
              </controlPr>
            </control>
          </mc:Choice>
        </mc:AlternateContent>
        <mc:AlternateContent xmlns:mc="http://schemas.openxmlformats.org/markup-compatibility/2006">
          <mc:Choice Requires="x14">
            <control shapeId="356160" r:id="rId40" name="chk_30">
              <controlPr defaultSize="0" autoFill="0" autoLine="0" autoPict="0">
                <anchor moveWithCells="1">
                  <from>
                    <xdr:col>6</xdr:col>
                    <xdr:colOff>137160</xdr:colOff>
                    <xdr:row>28</xdr:row>
                    <xdr:rowOff>205740</xdr:rowOff>
                  </from>
                  <to>
                    <xdr:col>6</xdr:col>
                    <xdr:colOff>457200</xdr:colOff>
                    <xdr:row>30</xdr:row>
                    <xdr:rowOff>7620</xdr:rowOff>
                  </to>
                </anchor>
              </controlPr>
            </control>
          </mc:Choice>
        </mc:AlternateContent>
        <mc:AlternateContent xmlns:mc="http://schemas.openxmlformats.org/markup-compatibility/2006">
          <mc:Choice Requires="x14">
            <control shapeId="356161" r:id="rId41" name="chk_31">
              <controlPr defaultSize="0" autoFill="0" autoLine="0" autoPict="0">
                <anchor moveWithCells="1">
                  <from>
                    <xdr:col>6</xdr:col>
                    <xdr:colOff>137160</xdr:colOff>
                    <xdr:row>29</xdr:row>
                    <xdr:rowOff>190500</xdr:rowOff>
                  </from>
                  <to>
                    <xdr:col>6</xdr:col>
                    <xdr:colOff>457200</xdr:colOff>
                    <xdr:row>31</xdr:row>
                    <xdr:rowOff>15240</xdr:rowOff>
                  </to>
                </anchor>
              </controlPr>
            </control>
          </mc:Choice>
        </mc:AlternateContent>
        <mc:AlternateContent xmlns:mc="http://schemas.openxmlformats.org/markup-compatibility/2006">
          <mc:Choice Requires="x14">
            <control shapeId="356162" r:id="rId42" name="chk_32">
              <controlPr defaultSize="0" autoFill="0" autoLine="0" autoPict="0">
                <anchor moveWithCells="1">
                  <from>
                    <xdr:col>6</xdr:col>
                    <xdr:colOff>137160</xdr:colOff>
                    <xdr:row>30</xdr:row>
                    <xdr:rowOff>167640</xdr:rowOff>
                  </from>
                  <to>
                    <xdr:col>6</xdr:col>
                    <xdr:colOff>457200</xdr:colOff>
                    <xdr:row>32</xdr:row>
                    <xdr:rowOff>15240</xdr:rowOff>
                  </to>
                </anchor>
              </controlPr>
            </control>
          </mc:Choice>
        </mc:AlternateContent>
        <mc:AlternateContent xmlns:mc="http://schemas.openxmlformats.org/markup-compatibility/2006">
          <mc:Choice Requires="x14">
            <control shapeId="356163" r:id="rId43" name="chk_33">
              <controlPr defaultSize="0" autoFill="0" autoLine="0" autoPict="0">
                <anchor moveWithCells="1">
                  <from>
                    <xdr:col>6</xdr:col>
                    <xdr:colOff>137160</xdr:colOff>
                    <xdr:row>31</xdr:row>
                    <xdr:rowOff>167640</xdr:rowOff>
                  </from>
                  <to>
                    <xdr:col>6</xdr:col>
                    <xdr:colOff>457200</xdr:colOff>
                    <xdr:row>33</xdr:row>
                    <xdr:rowOff>15240</xdr:rowOff>
                  </to>
                </anchor>
              </controlPr>
            </control>
          </mc:Choice>
        </mc:AlternateContent>
        <mc:AlternateContent xmlns:mc="http://schemas.openxmlformats.org/markup-compatibility/2006">
          <mc:Choice Requires="x14">
            <control shapeId="356164" r:id="rId44" name="chk_34">
              <controlPr defaultSize="0" autoFill="0" autoLine="0" autoPict="0">
                <anchor moveWithCells="1">
                  <from>
                    <xdr:col>6</xdr:col>
                    <xdr:colOff>137160</xdr:colOff>
                    <xdr:row>32</xdr:row>
                    <xdr:rowOff>167640</xdr:rowOff>
                  </from>
                  <to>
                    <xdr:col>6</xdr:col>
                    <xdr:colOff>457200</xdr:colOff>
                    <xdr:row>34</xdr:row>
                    <xdr:rowOff>22860</xdr:rowOff>
                  </to>
                </anchor>
              </controlPr>
            </control>
          </mc:Choice>
        </mc:AlternateContent>
        <mc:AlternateContent xmlns:mc="http://schemas.openxmlformats.org/markup-compatibility/2006">
          <mc:Choice Requires="x14">
            <control shapeId="356165" r:id="rId45" name="chk_35">
              <controlPr defaultSize="0" autoFill="0" autoLine="0" autoPict="0">
                <anchor moveWithCells="1">
                  <from>
                    <xdr:col>6</xdr:col>
                    <xdr:colOff>137160</xdr:colOff>
                    <xdr:row>33</xdr:row>
                    <xdr:rowOff>160020</xdr:rowOff>
                  </from>
                  <to>
                    <xdr:col>6</xdr:col>
                    <xdr:colOff>457200</xdr:colOff>
                    <xdr:row>35</xdr:row>
                    <xdr:rowOff>22860</xdr:rowOff>
                  </to>
                </anchor>
              </controlPr>
            </control>
          </mc:Choice>
        </mc:AlternateContent>
        <mc:AlternateContent xmlns:mc="http://schemas.openxmlformats.org/markup-compatibility/2006">
          <mc:Choice Requires="x14">
            <control shapeId="356166" r:id="rId46" name="chk_36">
              <controlPr defaultSize="0" autoFill="0" autoLine="0" autoPict="0">
                <anchor moveWithCells="1">
                  <from>
                    <xdr:col>6</xdr:col>
                    <xdr:colOff>137160</xdr:colOff>
                    <xdr:row>34</xdr:row>
                    <xdr:rowOff>160020</xdr:rowOff>
                  </from>
                  <to>
                    <xdr:col>6</xdr:col>
                    <xdr:colOff>457200</xdr:colOff>
                    <xdr:row>36</xdr:row>
                    <xdr:rowOff>22860</xdr:rowOff>
                  </to>
                </anchor>
              </controlPr>
            </control>
          </mc:Choice>
        </mc:AlternateContent>
        <mc:AlternateContent xmlns:mc="http://schemas.openxmlformats.org/markup-compatibility/2006">
          <mc:Choice Requires="x14">
            <control shapeId="356167" r:id="rId47" name="chk_37">
              <controlPr defaultSize="0" autoFill="0" autoLine="0" autoPict="0">
                <anchor moveWithCells="1">
                  <from>
                    <xdr:col>6</xdr:col>
                    <xdr:colOff>137160</xdr:colOff>
                    <xdr:row>35</xdr:row>
                    <xdr:rowOff>160020</xdr:rowOff>
                  </from>
                  <to>
                    <xdr:col>6</xdr:col>
                    <xdr:colOff>457200</xdr:colOff>
                    <xdr:row>37</xdr:row>
                    <xdr:rowOff>15240</xdr:rowOff>
                  </to>
                </anchor>
              </controlPr>
            </control>
          </mc:Choice>
        </mc:AlternateContent>
        <mc:AlternateContent xmlns:mc="http://schemas.openxmlformats.org/markup-compatibility/2006">
          <mc:Choice Requires="x14">
            <control shapeId="356168" r:id="rId48" name="chk_38">
              <controlPr defaultSize="0" autoFill="0" autoLine="0" autoPict="0">
                <anchor moveWithCells="1">
                  <from>
                    <xdr:col>6</xdr:col>
                    <xdr:colOff>137160</xdr:colOff>
                    <xdr:row>36</xdr:row>
                    <xdr:rowOff>167640</xdr:rowOff>
                  </from>
                  <to>
                    <xdr:col>6</xdr:col>
                    <xdr:colOff>457200</xdr:colOff>
                    <xdr:row>38</xdr:row>
                    <xdr:rowOff>15240</xdr:rowOff>
                  </to>
                </anchor>
              </controlPr>
            </control>
          </mc:Choice>
        </mc:AlternateContent>
        <mc:AlternateContent xmlns:mc="http://schemas.openxmlformats.org/markup-compatibility/2006">
          <mc:Choice Requires="x14">
            <control shapeId="356169" r:id="rId49" name="chk_39">
              <controlPr defaultSize="0" autoFill="0" autoLine="0" autoPict="0">
                <anchor moveWithCells="1">
                  <from>
                    <xdr:col>6</xdr:col>
                    <xdr:colOff>137160</xdr:colOff>
                    <xdr:row>37</xdr:row>
                    <xdr:rowOff>167640</xdr:rowOff>
                  </from>
                  <to>
                    <xdr:col>6</xdr:col>
                    <xdr:colOff>457200</xdr:colOff>
                    <xdr:row>39</xdr:row>
                    <xdr:rowOff>22860</xdr:rowOff>
                  </to>
                </anchor>
              </controlPr>
            </control>
          </mc:Choice>
        </mc:AlternateContent>
        <mc:AlternateContent xmlns:mc="http://schemas.openxmlformats.org/markup-compatibility/2006">
          <mc:Choice Requires="x14">
            <control shapeId="356170" r:id="rId50" name="chk_40">
              <controlPr defaultSize="0" autoFill="0" autoLine="0" autoPict="0">
                <anchor moveWithCells="1">
                  <from>
                    <xdr:col>6</xdr:col>
                    <xdr:colOff>137160</xdr:colOff>
                    <xdr:row>38</xdr:row>
                    <xdr:rowOff>160020</xdr:rowOff>
                  </from>
                  <to>
                    <xdr:col>6</xdr:col>
                    <xdr:colOff>457200</xdr:colOff>
                    <xdr:row>40</xdr:row>
                    <xdr:rowOff>22860</xdr:rowOff>
                  </to>
                </anchor>
              </controlPr>
            </control>
          </mc:Choice>
        </mc:AlternateContent>
        <mc:AlternateContent xmlns:mc="http://schemas.openxmlformats.org/markup-compatibility/2006">
          <mc:Choice Requires="x14">
            <control shapeId="356171" r:id="rId51" name="chk_41">
              <controlPr defaultSize="0" autoFill="0" autoLine="0" autoPict="0">
                <anchor moveWithCells="1">
                  <from>
                    <xdr:col>6</xdr:col>
                    <xdr:colOff>137160</xdr:colOff>
                    <xdr:row>39</xdr:row>
                    <xdr:rowOff>160020</xdr:rowOff>
                  </from>
                  <to>
                    <xdr:col>6</xdr:col>
                    <xdr:colOff>457200</xdr:colOff>
                    <xdr:row>41</xdr:row>
                    <xdr:rowOff>22860</xdr:rowOff>
                  </to>
                </anchor>
              </controlPr>
            </control>
          </mc:Choice>
        </mc:AlternateContent>
        <mc:AlternateContent xmlns:mc="http://schemas.openxmlformats.org/markup-compatibility/2006">
          <mc:Choice Requires="x14">
            <control shapeId="356172" r:id="rId52" name="chk_42">
              <controlPr defaultSize="0" autoFill="0" autoLine="0" autoPict="0">
                <anchor moveWithCells="1">
                  <from>
                    <xdr:col>6</xdr:col>
                    <xdr:colOff>137160</xdr:colOff>
                    <xdr:row>40</xdr:row>
                    <xdr:rowOff>160020</xdr:rowOff>
                  </from>
                  <to>
                    <xdr:col>6</xdr:col>
                    <xdr:colOff>457200</xdr:colOff>
                    <xdr:row>42</xdr:row>
                    <xdr:rowOff>22860</xdr:rowOff>
                  </to>
                </anchor>
              </controlPr>
            </control>
          </mc:Choice>
        </mc:AlternateContent>
        <mc:AlternateContent xmlns:mc="http://schemas.openxmlformats.org/markup-compatibility/2006">
          <mc:Choice Requires="x14">
            <control shapeId="356173" r:id="rId53" name="chk_43">
              <controlPr defaultSize="0" autoFill="0" autoLine="0" autoPict="0">
                <anchor moveWithCells="1">
                  <from>
                    <xdr:col>6</xdr:col>
                    <xdr:colOff>137160</xdr:colOff>
                    <xdr:row>41</xdr:row>
                    <xdr:rowOff>160020</xdr:rowOff>
                  </from>
                  <to>
                    <xdr:col>6</xdr:col>
                    <xdr:colOff>457200</xdr:colOff>
                    <xdr:row>43</xdr:row>
                    <xdr:rowOff>22860</xdr:rowOff>
                  </to>
                </anchor>
              </controlPr>
            </control>
          </mc:Choice>
        </mc:AlternateContent>
        <mc:AlternateContent xmlns:mc="http://schemas.openxmlformats.org/markup-compatibility/2006">
          <mc:Choice Requires="x14">
            <control shapeId="356174" r:id="rId54" name="chk_44">
              <controlPr defaultSize="0" autoFill="0" autoLine="0" autoPict="0">
                <anchor moveWithCells="1">
                  <from>
                    <xdr:col>6</xdr:col>
                    <xdr:colOff>137160</xdr:colOff>
                    <xdr:row>42</xdr:row>
                    <xdr:rowOff>160020</xdr:rowOff>
                  </from>
                  <to>
                    <xdr:col>6</xdr:col>
                    <xdr:colOff>457200</xdr:colOff>
                    <xdr:row>44</xdr:row>
                    <xdr:rowOff>22860</xdr:rowOff>
                  </to>
                </anchor>
              </controlPr>
            </control>
          </mc:Choice>
        </mc:AlternateContent>
        <mc:AlternateContent xmlns:mc="http://schemas.openxmlformats.org/markup-compatibility/2006">
          <mc:Choice Requires="x14">
            <control shapeId="356175" r:id="rId55" name="chk_45">
              <controlPr defaultSize="0" autoFill="0" autoLine="0" autoPict="0">
                <anchor moveWithCells="1">
                  <from>
                    <xdr:col>6</xdr:col>
                    <xdr:colOff>137160</xdr:colOff>
                    <xdr:row>43</xdr:row>
                    <xdr:rowOff>160020</xdr:rowOff>
                  </from>
                  <to>
                    <xdr:col>6</xdr:col>
                    <xdr:colOff>457200</xdr:colOff>
                    <xdr:row>45</xdr:row>
                    <xdr:rowOff>22860</xdr:rowOff>
                  </to>
                </anchor>
              </controlPr>
            </control>
          </mc:Choice>
        </mc:AlternateContent>
        <mc:AlternateContent xmlns:mc="http://schemas.openxmlformats.org/markup-compatibility/2006">
          <mc:Choice Requires="x14">
            <control shapeId="356176" r:id="rId56" name="chk_46">
              <controlPr defaultSize="0" autoFill="0" autoLine="0" autoPict="0">
                <anchor moveWithCells="1">
                  <from>
                    <xdr:col>6</xdr:col>
                    <xdr:colOff>137160</xdr:colOff>
                    <xdr:row>44</xdr:row>
                    <xdr:rowOff>160020</xdr:rowOff>
                  </from>
                  <to>
                    <xdr:col>6</xdr:col>
                    <xdr:colOff>457200</xdr:colOff>
                    <xdr:row>46</xdr:row>
                    <xdr:rowOff>22860</xdr:rowOff>
                  </to>
                </anchor>
              </controlPr>
            </control>
          </mc:Choice>
        </mc:AlternateContent>
        <mc:AlternateContent xmlns:mc="http://schemas.openxmlformats.org/markup-compatibility/2006">
          <mc:Choice Requires="x14">
            <control shapeId="356177" r:id="rId57" name="chk_47">
              <controlPr defaultSize="0" autoFill="0" autoLine="0" autoPict="0">
                <anchor moveWithCells="1">
                  <from>
                    <xdr:col>6</xdr:col>
                    <xdr:colOff>137160</xdr:colOff>
                    <xdr:row>45</xdr:row>
                    <xdr:rowOff>160020</xdr:rowOff>
                  </from>
                  <to>
                    <xdr:col>6</xdr:col>
                    <xdr:colOff>457200</xdr:colOff>
                    <xdr:row>47</xdr:row>
                    <xdr:rowOff>22860</xdr:rowOff>
                  </to>
                </anchor>
              </controlPr>
            </control>
          </mc:Choice>
        </mc:AlternateContent>
        <mc:AlternateContent xmlns:mc="http://schemas.openxmlformats.org/markup-compatibility/2006">
          <mc:Choice Requires="x14">
            <control shapeId="356178" r:id="rId58" name="chk_48">
              <controlPr defaultSize="0" autoFill="0" autoLine="0" autoPict="0">
                <anchor moveWithCells="1">
                  <from>
                    <xdr:col>6</xdr:col>
                    <xdr:colOff>137160</xdr:colOff>
                    <xdr:row>46</xdr:row>
                    <xdr:rowOff>160020</xdr:rowOff>
                  </from>
                  <to>
                    <xdr:col>6</xdr:col>
                    <xdr:colOff>457200</xdr:colOff>
                    <xdr:row>48</xdr:row>
                    <xdr:rowOff>22860</xdr:rowOff>
                  </to>
                </anchor>
              </controlPr>
            </control>
          </mc:Choice>
        </mc:AlternateContent>
        <mc:AlternateContent xmlns:mc="http://schemas.openxmlformats.org/markup-compatibility/2006">
          <mc:Choice Requires="x14">
            <control shapeId="356179" r:id="rId59" name="chk_49">
              <controlPr defaultSize="0" autoFill="0" autoLine="0" autoPict="0">
                <anchor moveWithCells="1">
                  <from>
                    <xdr:col>6</xdr:col>
                    <xdr:colOff>137160</xdr:colOff>
                    <xdr:row>47</xdr:row>
                    <xdr:rowOff>160020</xdr:rowOff>
                  </from>
                  <to>
                    <xdr:col>6</xdr:col>
                    <xdr:colOff>457200</xdr:colOff>
                    <xdr:row>49</xdr:row>
                    <xdr:rowOff>22860</xdr:rowOff>
                  </to>
                </anchor>
              </controlPr>
            </control>
          </mc:Choice>
        </mc:AlternateContent>
        <mc:AlternateContent xmlns:mc="http://schemas.openxmlformats.org/markup-compatibility/2006">
          <mc:Choice Requires="x14">
            <control shapeId="356180" r:id="rId60" name="chk_50">
              <controlPr defaultSize="0" autoFill="0" autoLine="0" autoPict="0">
                <anchor moveWithCells="1">
                  <from>
                    <xdr:col>6</xdr:col>
                    <xdr:colOff>137160</xdr:colOff>
                    <xdr:row>48</xdr:row>
                    <xdr:rowOff>160020</xdr:rowOff>
                  </from>
                  <to>
                    <xdr:col>6</xdr:col>
                    <xdr:colOff>457200</xdr:colOff>
                    <xdr:row>50</xdr:row>
                    <xdr:rowOff>22860</xdr:rowOff>
                  </to>
                </anchor>
              </controlPr>
            </control>
          </mc:Choice>
        </mc:AlternateContent>
        <mc:AlternateContent xmlns:mc="http://schemas.openxmlformats.org/markup-compatibility/2006">
          <mc:Choice Requires="x14">
            <control shapeId="356181" r:id="rId61" name="chk_51">
              <controlPr defaultSize="0" autoFill="0" autoLine="0" autoPict="0">
                <anchor moveWithCells="1">
                  <from>
                    <xdr:col>6</xdr:col>
                    <xdr:colOff>137160</xdr:colOff>
                    <xdr:row>49</xdr:row>
                    <xdr:rowOff>160020</xdr:rowOff>
                  </from>
                  <to>
                    <xdr:col>6</xdr:col>
                    <xdr:colOff>457200</xdr:colOff>
                    <xdr:row>51</xdr:row>
                    <xdr:rowOff>22860</xdr:rowOff>
                  </to>
                </anchor>
              </controlPr>
            </control>
          </mc:Choice>
        </mc:AlternateContent>
        <mc:AlternateContent xmlns:mc="http://schemas.openxmlformats.org/markup-compatibility/2006">
          <mc:Choice Requires="x14">
            <control shapeId="356182" r:id="rId62" name="chk_52">
              <controlPr defaultSize="0" autoFill="0" autoLine="0" autoPict="0">
                <anchor moveWithCells="1">
                  <from>
                    <xdr:col>6</xdr:col>
                    <xdr:colOff>137160</xdr:colOff>
                    <xdr:row>50</xdr:row>
                    <xdr:rowOff>160020</xdr:rowOff>
                  </from>
                  <to>
                    <xdr:col>6</xdr:col>
                    <xdr:colOff>457200</xdr:colOff>
                    <xdr:row>52</xdr:row>
                    <xdr:rowOff>22860</xdr:rowOff>
                  </to>
                </anchor>
              </controlPr>
            </control>
          </mc:Choice>
        </mc:AlternateContent>
        <mc:AlternateContent xmlns:mc="http://schemas.openxmlformats.org/markup-compatibility/2006">
          <mc:Choice Requires="x14">
            <control shapeId="356183" r:id="rId63" name="chk_53">
              <controlPr defaultSize="0" autoFill="0" autoLine="0" autoPict="0">
                <anchor moveWithCells="1">
                  <from>
                    <xdr:col>6</xdr:col>
                    <xdr:colOff>137160</xdr:colOff>
                    <xdr:row>51</xdr:row>
                    <xdr:rowOff>160020</xdr:rowOff>
                  </from>
                  <to>
                    <xdr:col>6</xdr:col>
                    <xdr:colOff>457200</xdr:colOff>
                    <xdr:row>53</xdr:row>
                    <xdr:rowOff>22860</xdr:rowOff>
                  </to>
                </anchor>
              </controlPr>
            </control>
          </mc:Choice>
        </mc:AlternateContent>
        <mc:AlternateContent xmlns:mc="http://schemas.openxmlformats.org/markup-compatibility/2006">
          <mc:Choice Requires="x14">
            <control shapeId="356184" r:id="rId64" name="chk_54">
              <controlPr defaultSize="0" autoFill="0" autoLine="0" autoPict="0">
                <anchor moveWithCells="1">
                  <from>
                    <xdr:col>6</xdr:col>
                    <xdr:colOff>137160</xdr:colOff>
                    <xdr:row>52</xdr:row>
                    <xdr:rowOff>160020</xdr:rowOff>
                  </from>
                  <to>
                    <xdr:col>6</xdr:col>
                    <xdr:colOff>457200</xdr:colOff>
                    <xdr:row>54</xdr:row>
                    <xdr:rowOff>22860</xdr:rowOff>
                  </to>
                </anchor>
              </controlPr>
            </control>
          </mc:Choice>
        </mc:AlternateContent>
        <mc:AlternateContent xmlns:mc="http://schemas.openxmlformats.org/markup-compatibility/2006">
          <mc:Choice Requires="x14">
            <control shapeId="356185" r:id="rId65" name="chk_55">
              <controlPr defaultSize="0" autoFill="0" autoLine="0" autoPict="0">
                <anchor moveWithCells="1">
                  <from>
                    <xdr:col>6</xdr:col>
                    <xdr:colOff>137160</xdr:colOff>
                    <xdr:row>53</xdr:row>
                    <xdr:rowOff>160020</xdr:rowOff>
                  </from>
                  <to>
                    <xdr:col>6</xdr:col>
                    <xdr:colOff>457200</xdr:colOff>
                    <xdr:row>55</xdr:row>
                    <xdr:rowOff>22860</xdr:rowOff>
                  </to>
                </anchor>
              </controlPr>
            </control>
          </mc:Choice>
        </mc:AlternateContent>
        <mc:AlternateContent xmlns:mc="http://schemas.openxmlformats.org/markup-compatibility/2006">
          <mc:Choice Requires="x14">
            <control shapeId="356186" r:id="rId66" name="chk_56">
              <controlPr defaultSize="0" autoFill="0" autoLine="0" autoPict="0">
                <anchor moveWithCells="1">
                  <from>
                    <xdr:col>6</xdr:col>
                    <xdr:colOff>137160</xdr:colOff>
                    <xdr:row>54</xdr:row>
                    <xdr:rowOff>160020</xdr:rowOff>
                  </from>
                  <to>
                    <xdr:col>6</xdr:col>
                    <xdr:colOff>457200</xdr:colOff>
                    <xdr:row>56</xdr:row>
                    <xdr:rowOff>22860</xdr:rowOff>
                  </to>
                </anchor>
              </controlPr>
            </control>
          </mc:Choice>
        </mc:AlternateContent>
        <mc:AlternateContent xmlns:mc="http://schemas.openxmlformats.org/markup-compatibility/2006">
          <mc:Choice Requires="x14">
            <control shapeId="356187" r:id="rId67" name="chk_57">
              <controlPr defaultSize="0" autoFill="0" autoLine="0" autoPict="0">
                <anchor moveWithCells="1">
                  <from>
                    <xdr:col>6</xdr:col>
                    <xdr:colOff>137160</xdr:colOff>
                    <xdr:row>55</xdr:row>
                    <xdr:rowOff>160020</xdr:rowOff>
                  </from>
                  <to>
                    <xdr:col>6</xdr:col>
                    <xdr:colOff>457200</xdr:colOff>
                    <xdr:row>57</xdr:row>
                    <xdr:rowOff>22860</xdr:rowOff>
                  </to>
                </anchor>
              </controlPr>
            </control>
          </mc:Choice>
        </mc:AlternateContent>
        <mc:AlternateContent xmlns:mc="http://schemas.openxmlformats.org/markup-compatibility/2006">
          <mc:Choice Requires="x14">
            <control shapeId="356188" r:id="rId68" name="chk_58">
              <controlPr defaultSize="0" autoFill="0" autoLine="0" autoPict="0">
                <anchor moveWithCells="1">
                  <from>
                    <xdr:col>6</xdr:col>
                    <xdr:colOff>137160</xdr:colOff>
                    <xdr:row>56</xdr:row>
                    <xdr:rowOff>160020</xdr:rowOff>
                  </from>
                  <to>
                    <xdr:col>6</xdr:col>
                    <xdr:colOff>457200</xdr:colOff>
                    <xdr:row>58</xdr:row>
                    <xdr:rowOff>22860</xdr:rowOff>
                  </to>
                </anchor>
              </controlPr>
            </control>
          </mc:Choice>
        </mc:AlternateContent>
        <mc:AlternateContent xmlns:mc="http://schemas.openxmlformats.org/markup-compatibility/2006">
          <mc:Choice Requires="x14">
            <control shapeId="356189" r:id="rId69" name="chk_59">
              <controlPr defaultSize="0" autoFill="0" autoLine="0" autoPict="0">
                <anchor moveWithCells="1">
                  <from>
                    <xdr:col>6</xdr:col>
                    <xdr:colOff>137160</xdr:colOff>
                    <xdr:row>57</xdr:row>
                    <xdr:rowOff>160020</xdr:rowOff>
                  </from>
                  <to>
                    <xdr:col>6</xdr:col>
                    <xdr:colOff>457200</xdr:colOff>
                    <xdr:row>59</xdr:row>
                    <xdr:rowOff>22860</xdr:rowOff>
                  </to>
                </anchor>
              </controlPr>
            </control>
          </mc:Choice>
        </mc:AlternateContent>
        <mc:AlternateContent xmlns:mc="http://schemas.openxmlformats.org/markup-compatibility/2006">
          <mc:Choice Requires="x14">
            <control shapeId="356190" r:id="rId70" name="chk_60">
              <controlPr defaultSize="0" autoFill="0" autoLine="0" autoPict="0">
                <anchor moveWithCells="1">
                  <from>
                    <xdr:col>6</xdr:col>
                    <xdr:colOff>137160</xdr:colOff>
                    <xdr:row>58</xdr:row>
                    <xdr:rowOff>160020</xdr:rowOff>
                  </from>
                  <to>
                    <xdr:col>6</xdr:col>
                    <xdr:colOff>457200</xdr:colOff>
                    <xdr:row>60</xdr:row>
                    <xdr:rowOff>22860</xdr:rowOff>
                  </to>
                </anchor>
              </controlPr>
            </control>
          </mc:Choice>
        </mc:AlternateContent>
        <mc:AlternateContent xmlns:mc="http://schemas.openxmlformats.org/markup-compatibility/2006">
          <mc:Choice Requires="x14">
            <control shapeId="356191" r:id="rId71" name="chk_61">
              <controlPr defaultSize="0" autoFill="0" autoLine="0" autoPict="0">
                <anchor moveWithCells="1">
                  <from>
                    <xdr:col>6</xdr:col>
                    <xdr:colOff>137160</xdr:colOff>
                    <xdr:row>59</xdr:row>
                    <xdr:rowOff>160020</xdr:rowOff>
                  </from>
                  <to>
                    <xdr:col>6</xdr:col>
                    <xdr:colOff>457200</xdr:colOff>
                    <xdr:row>61</xdr:row>
                    <xdr:rowOff>22860</xdr:rowOff>
                  </to>
                </anchor>
              </controlPr>
            </control>
          </mc:Choice>
        </mc:AlternateContent>
        <mc:AlternateContent xmlns:mc="http://schemas.openxmlformats.org/markup-compatibility/2006">
          <mc:Choice Requires="x14">
            <control shapeId="356192" r:id="rId72" name="chk_62">
              <controlPr defaultSize="0" autoFill="0" autoLine="0" autoPict="0">
                <anchor moveWithCells="1">
                  <from>
                    <xdr:col>6</xdr:col>
                    <xdr:colOff>137160</xdr:colOff>
                    <xdr:row>60</xdr:row>
                    <xdr:rowOff>160020</xdr:rowOff>
                  </from>
                  <to>
                    <xdr:col>6</xdr:col>
                    <xdr:colOff>457200</xdr:colOff>
                    <xdr:row>62</xdr:row>
                    <xdr:rowOff>22860</xdr:rowOff>
                  </to>
                </anchor>
              </controlPr>
            </control>
          </mc:Choice>
        </mc:AlternateContent>
        <mc:AlternateContent xmlns:mc="http://schemas.openxmlformats.org/markup-compatibility/2006">
          <mc:Choice Requires="x14">
            <control shapeId="356193" r:id="rId73" name="chk_63">
              <controlPr defaultSize="0" autoFill="0" autoLine="0" autoPict="0">
                <anchor moveWithCells="1">
                  <from>
                    <xdr:col>6</xdr:col>
                    <xdr:colOff>137160</xdr:colOff>
                    <xdr:row>61</xdr:row>
                    <xdr:rowOff>160020</xdr:rowOff>
                  </from>
                  <to>
                    <xdr:col>6</xdr:col>
                    <xdr:colOff>457200</xdr:colOff>
                    <xdr:row>63</xdr:row>
                    <xdr:rowOff>22860</xdr:rowOff>
                  </to>
                </anchor>
              </controlPr>
            </control>
          </mc:Choice>
        </mc:AlternateContent>
        <mc:AlternateContent xmlns:mc="http://schemas.openxmlformats.org/markup-compatibility/2006">
          <mc:Choice Requires="x14">
            <control shapeId="356194" r:id="rId74" name="chk_64">
              <controlPr defaultSize="0" autoFill="0" autoLine="0" autoPict="0">
                <anchor moveWithCells="1">
                  <from>
                    <xdr:col>6</xdr:col>
                    <xdr:colOff>137160</xdr:colOff>
                    <xdr:row>62</xdr:row>
                    <xdr:rowOff>160020</xdr:rowOff>
                  </from>
                  <to>
                    <xdr:col>6</xdr:col>
                    <xdr:colOff>457200</xdr:colOff>
                    <xdr:row>64</xdr:row>
                    <xdr:rowOff>22860</xdr:rowOff>
                  </to>
                </anchor>
              </controlPr>
            </control>
          </mc:Choice>
        </mc:AlternateContent>
        <mc:AlternateContent xmlns:mc="http://schemas.openxmlformats.org/markup-compatibility/2006">
          <mc:Choice Requires="x14">
            <control shapeId="356195" r:id="rId75" name="chk_65">
              <controlPr defaultSize="0" autoFill="0" autoLine="0" autoPict="0">
                <anchor moveWithCells="1">
                  <from>
                    <xdr:col>6</xdr:col>
                    <xdr:colOff>137160</xdr:colOff>
                    <xdr:row>63</xdr:row>
                    <xdr:rowOff>160020</xdr:rowOff>
                  </from>
                  <to>
                    <xdr:col>6</xdr:col>
                    <xdr:colOff>457200</xdr:colOff>
                    <xdr:row>65</xdr:row>
                    <xdr:rowOff>15240</xdr:rowOff>
                  </to>
                </anchor>
              </controlPr>
            </control>
          </mc:Choice>
        </mc:AlternateContent>
        <mc:AlternateContent xmlns:mc="http://schemas.openxmlformats.org/markup-compatibility/2006">
          <mc:Choice Requires="x14">
            <control shapeId="356196" r:id="rId76" name="chk_66">
              <controlPr defaultSize="0" autoFill="0" autoLine="0" autoPict="0">
                <anchor moveWithCells="1">
                  <from>
                    <xdr:col>6</xdr:col>
                    <xdr:colOff>137160</xdr:colOff>
                    <xdr:row>64</xdr:row>
                    <xdr:rowOff>167640</xdr:rowOff>
                  </from>
                  <to>
                    <xdr:col>6</xdr:col>
                    <xdr:colOff>457200</xdr:colOff>
                    <xdr:row>66</xdr:row>
                    <xdr:rowOff>15240</xdr:rowOff>
                  </to>
                </anchor>
              </controlPr>
            </control>
          </mc:Choice>
        </mc:AlternateContent>
        <mc:AlternateContent xmlns:mc="http://schemas.openxmlformats.org/markup-compatibility/2006">
          <mc:Choice Requires="x14">
            <control shapeId="356197" r:id="rId77" name="chk_67">
              <controlPr defaultSize="0" autoFill="0" autoLine="0" autoPict="0">
                <anchor moveWithCells="1">
                  <from>
                    <xdr:col>6</xdr:col>
                    <xdr:colOff>137160</xdr:colOff>
                    <xdr:row>65</xdr:row>
                    <xdr:rowOff>167640</xdr:rowOff>
                  </from>
                  <to>
                    <xdr:col>6</xdr:col>
                    <xdr:colOff>457200</xdr:colOff>
                    <xdr:row>67</xdr:row>
                    <xdr:rowOff>15240</xdr:rowOff>
                  </to>
                </anchor>
              </controlPr>
            </control>
          </mc:Choice>
        </mc:AlternateContent>
        <mc:AlternateContent xmlns:mc="http://schemas.openxmlformats.org/markup-compatibility/2006">
          <mc:Choice Requires="x14">
            <control shapeId="356198" r:id="rId78" name="chk_68">
              <controlPr defaultSize="0" autoFill="0" autoLine="0" autoPict="0">
                <anchor moveWithCells="1">
                  <from>
                    <xdr:col>6</xdr:col>
                    <xdr:colOff>137160</xdr:colOff>
                    <xdr:row>66</xdr:row>
                    <xdr:rowOff>167640</xdr:rowOff>
                  </from>
                  <to>
                    <xdr:col>6</xdr:col>
                    <xdr:colOff>457200</xdr:colOff>
                    <xdr:row>68</xdr:row>
                    <xdr:rowOff>15240</xdr:rowOff>
                  </to>
                </anchor>
              </controlPr>
            </control>
          </mc:Choice>
        </mc:AlternateContent>
        <mc:AlternateContent xmlns:mc="http://schemas.openxmlformats.org/markup-compatibility/2006">
          <mc:Choice Requires="x14">
            <control shapeId="356199" r:id="rId79" name="chk_69">
              <controlPr defaultSize="0" autoFill="0" autoLine="0" autoPict="0">
                <anchor moveWithCells="1">
                  <from>
                    <xdr:col>6</xdr:col>
                    <xdr:colOff>137160</xdr:colOff>
                    <xdr:row>67</xdr:row>
                    <xdr:rowOff>167640</xdr:rowOff>
                  </from>
                  <to>
                    <xdr:col>6</xdr:col>
                    <xdr:colOff>457200</xdr:colOff>
                    <xdr:row>69</xdr:row>
                    <xdr:rowOff>22860</xdr:rowOff>
                  </to>
                </anchor>
              </controlPr>
            </control>
          </mc:Choice>
        </mc:AlternateContent>
        <mc:AlternateContent xmlns:mc="http://schemas.openxmlformats.org/markup-compatibility/2006">
          <mc:Choice Requires="x14">
            <control shapeId="356200" r:id="rId80" name="chk_70">
              <controlPr defaultSize="0" autoFill="0" autoLine="0" autoPict="0">
                <anchor moveWithCells="1">
                  <from>
                    <xdr:col>6</xdr:col>
                    <xdr:colOff>137160</xdr:colOff>
                    <xdr:row>68</xdr:row>
                    <xdr:rowOff>160020</xdr:rowOff>
                  </from>
                  <to>
                    <xdr:col>6</xdr:col>
                    <xdr:colOff>457200</xdr:colOff>
                    <xdr:row>70</xdr:row>
                    <xdr:rowOff>22860</xdr:rowOff>
                  </to>
                </anchor>
              </controlPr>
            </control>
          </mc:Choice>
        </mc:AlternateContent>
        <mc:AlternateContent xmlns:mc="http://schemas.openxmlformats.org/markup-compatibility/2006">
          <mc:Choice Requires="x14">
            <control shapeId="356201" r:id="rId81" name="chk_71">
              <controlPr defaultSize="0" autoFill="0" autoLine="0" autoPict="0">
                <anchor moveWithCells="1">
                  <from>
                    <xdr:col>6</xdr:col>
                    <xdr:colOff>137160</xdr:colOff>
                    <xdr:row>69</xdr:row>
                    <xdr:rowOff>160020</xdr:rowOff>
                  </from>
                  <to>
                    <xdr:col>6</xdr:col>
                    <xdr:colOff>457200</xdr:colOff>
                    <xdr:row>71</xdr:row>
                    <xdr:rowOff>15240</xdr:rowOff>
                  </to>
                </anchor>
              </controlPr>
            </control>
          </mc:Choice>
        </mc:AlternateContent>
        <mc:AlternateContent xmlns:mc="http://schemas.openxmlformats.org/markup-compatibility/2006">
          <mc:Choice Requires="x14">
            <control shapeId="356202" r:id="rId82" name="chk_72">
              <controlPr defaultSize="0" autoFill="0" autoLine="0" autoPict="0">
                <anchor moveWithCells="1">
                  <from>
                    <xdr:col>6</xdr:col>
                    <xdr:colOff>137160</xdr:colOff>
                    <xdr:row>70</xdr:row>
                    <xdr:rowOff>167640</xdr:rowOff>
                  </from>
                  <to>
                    <xdr:col>6</xdr:col>
                    <xdr:colOff>457200</xdr:colOff>
                    <xdr:row>72</xdr:row>
                    <xdr:rowOff>15240</xdr:rowOff>
                  </to>
                </anchor>
              </controlPr>
            </control>
          </mc:Choice>
        </mc:AlternateContent>
        <mc:AlternateContent xmlns:mc="http://schemas.openxmlformats.org/markup-compatibility/2006">
          <mc:Choice Requires="x14">
            <control shapeId="356203" r:id="rId83" name="chk_73">
              <controlPr defaultSize="0" autoFill="0" autoLine="0" autoPict="0">
                <anchor moveWithCells="1">
                  <from>
                    <xdr:col>6</xdr:col>
                    <xdr:colOff>137160</xdr:colOff>
                    <xdr:row>71</xdr:row>
                    <xdr:rowOff>167640</xdr:rowOff>
                  </from>
                  <to>
                    <xdr:col>6</xdr:col>
                    <xdr:colOff>457200</xdr:colOff>
                    <xdr:row>73</xdr:row>
                    <xdr:rowOff>22860</xdr:rowOff>
                  </to>
                </anchor>
              </controlPr>
            </control>
          </mc:Choice>
        </mc:AlternateContent>
        <mc:AlternateContent xmlns:mc="http://schemas.openxmlformats.org/markup-compatibility/2006">
          <mc:Choice Requires="x14">
            <control shapeId="356204" r:id="rId84" name="chk_74">
              <controlPr defaultSize="0" autoFill="0" autoLine="0" autoPict="0">
                <anchor moveWithCells="1">
                  <from>
                    <xdr:col>6</xdr:col>
                    <xdr:colOff>137160</xdr:colOff>
                    <xdr:row>72</xdr:row>
                    <xdr:rowOff>160020</xdr:rowOff>
                  </from>
                  <to>
                    <xdr:col>6</xdr:col>
                    <xdr:colOff>457200</xdr:colOff>
                    <xdr:row>74</xdr:row>
                    <xdr:rowOff>22860</xdr:rowOff>
                  </to>
                </anchor>
              </controlPr>
            </control>
          </mc:Choice>
        </mc:AlternateContent>
        <mc:AlternateContent xmlns:mc="http://schemas.openxmlformats.org/markup-compatibility/2006">
          <mc:Choice Requires="x14">
            <control shapeId="356205" r:id="rId85" name="chk_75">
              <controlPr defaultSize="0" autoFill="0" autoLine="0" autoPict="0">
                <anchor moveWithCells="1">
                  <from>
                    <xdr:col>6</xdr:col>
                    <xdr:colOff>137160</xdr:colOff>
                    <xdr:row>73</xdr:row>
                    <xdr:rowOff>160020</xdr:rowOff>
                  </from>
                  <to>
                    <xdr:col>6</xdr:col>
                    <xdr:colOff>457200</xdr:colOff>
                    <xdr:row>75</xdr:row>
                    <xdr:rowOff>22860</xdr:rowOff>
                  </to>
                </anchor>
              </controlPr>
            </control>
          </mc:Choice>
        </mc:AlternateContent>
        <mc:AlternateContent xmlns:mc="http://schemas.openxmlformats.org/markup-compatibility/2006">
          <mc:Choice Requires="x14">
            <control shapeId="356206" r:id="rId86" name="chk_76">
              <controlPr defaultSize="0" autoFill="0" autoLine="0" autoPict="0">
                <anchor moveWithCells="1">
                  <from>
                    <xdr:col>6</xdr:col>
                    <xdr:colOff>137160</xdr:colOff>
                    <xdr:row>74</xdr:row>
                    <xdr:rowOff>160020</xdr:rowOff>
                  </from>
                  <to>
                    <xdr:col>6</xdr:col>
                    <xdr:colOff>457200</xdr:colOff>
                    <xdr:row>76</xdr:row>
                    <xdr:rowOff>22860</xdr:rowOff>
                  </to>
                </anchor>
              </controlPr>
            </control>
          </mc:Choice>
        </mc:AlternateContent>
        <mc:AlternateContent xmlns:mc="http://schemas.openxmlformats.org/markup-compatibility/2006">
          <mc:Choice Requires="x14">
            <control shapeId="356207" r:id="rId87" name="chk_77">
              <controlPr defaultSize="0" autoFill="0" autoLine="0" autoPict="0">
                <anchor moveWithCells="1">
                  <from>
                    <xdr:col>6</xdr:col>
                    <xdr:colOff>137160</xdr:colOff>
                    <xdr:row>75</xdr:row>
                    <xdr:rowOff>160020</xdr:rowOff>
                  </from>
                  <to>
                    <xdr:col>6</xdr:col>
                    <xdr:colOff>457200</xdr:colOff>
                    <xdr:row>77</xdr:row>
                    <xdr:rowOff>22860</xdr:rowOff>
                  </to>
                </anchor>
              </controlPr>
            </control>
          </mc:Choice>
        </mc:AlternateContent>
        <mc:AlternateContent xmlns:mc="http://schemas.openxmlformats.org/markup-compatibility/2006">
          <mc:Choice Requires="x14">
            <control shapeId="356208" r:id="rId88" name="chk_78">
              <controlPr defaultSize="0" autoFill="0" autoLine="0" autoPict="0">
                <anchor moveWithCells="1">
                  <from>
                    <xdr:col>6</xdr:col>
                    <xdr:colOff>137160</xdr:colOff>
                    <xdr:row>76</xdr:row>
                    <xdr:rowOff>160020</xdr:rowOff>
                  </from>
                  <to>
                    <xdr:col>6</xdr:col>
                    <xdr:colOff>457200</xdr:colOff>
                    <xdr:row>78</xdr:row>
                    <xdr:rowOff>22860</xdr:rowOff>
                  </to>
                </anchor>
              </controlPr>
            </control>
          </mc:Choice>
        </mc:AlternateContent>
        <mc:AlternateContent xmlns:mc="http://schemas.openxmlformats.org/markup-compatibility/2006">
          <mc:Choice Requires="x14">
            <control shapeId="356209" r:id="rId89" name="chk_79">
              <controlPr defaultSize="0" autoFill="0" autoLine="0" autoPict="0">
                <anchor moveWithCells="1">
                  <from>
                    <xdr:col>6</xdr:col>
                    <xdr:colOff>137160</xdr:colOff>
                    <xdr:row>77</xdr:row>
                    <xdr:rowOff>160020</xdr:rowOff>
                  </from>
                  <to>
                    <xdr:col>6</xdr:col>
                    <xdr:colOff>457200</xdr:colOff>
                    <xdr:row>79</xdr:row>
                    <xdr:rowOff>22860</xdr:rowOff>
                  </to>
                </anchor>
              </controlPr>
            </control>
          </mc:Choice>
        </mc:AlternateContent>
        <mc:AlternateContent xmlns:mc="http://schemas.openxmlformats.org/markup-compatibility/2006">
          <mc:Choice Requires="x14">
            <control shapeId="356210" r:id="rId90" name="chk_80">
              <controlPr defaultSize="0" autoFill="0" autoLine="0" autoPict="0">
                <anchor moveWithCells="1">
                  <from>
                    <xdr:col>6</xdr:col>
                    <xdr:colOff>137160</xdr:colOff>
                    <xdr:row>78</xdr:row>
                    <xdr:rowOff>160020</xdr:rowOff>
                  </from>
                  <to>
                    <xdr:col>6</xdr:col>
                    <xdr:colOff>457200</xdr:colOff>
                    <xdr:row>80</xdr:row>
                    <xdr:rowOff>22860</xdr:rowOff>
                  </to>
                </anchor>
              </controlPr>
            </control>
          </mc:Choice>
        </mc:AlternateContent>
        <mc:AlternateContent xmlns:mc="http://schemas.openxmlformats.org/markup-compatibility/2006">
          <mc:Choice Requires="x14">
            <control shapeId="356211" r:id="rId91" name="chk_81">
              <controlPr defaultSize="0" autoFill="0" autoLine="0" autoPict="0">
                <anchor moveWithCells="1">
                  <from>
                    <xdr:col>6</xdr:col>
                    <xdr:colOff>137160</xdr:colOff>
                    <xdr:row>79</xdr:row>
                    <xdr:rowOff>160020</xdr:rowOff>
                  </from>
                  <to>
                    <xdr:col>6</xdr:col>
                    <xdr:colOff>457200</xdr:colOff>
                    <xdr:row>81</xdr:row>
                    <xdr:rowOff>22860</xdr:rowOff>
                  </to>
                </anchor>
              </controlPr>
            </control>
          </mc:Choice>
        </mc:AlternateContent>
        <mc:AlternateContent xmlns:mc="http://schemas.openxmlformats.org/markup-compatibility/2006">
          <mc:Choice Requires="x14">
            <control shapeId="356212" r:id="rId92" name="chk_82">
              <controlPr defaultSize="0" autoFill="0" autoLine="0" autoPict="0">
                <anchor moveWithCells="1">
                  <from>
                    <xdr:col>6</xdr:col>
                    <xdr:colOff>137160</xdr:colOff>
                    <xdr:row>80</xdr:row>
                    <xdr:rowOff>160020</xdr:rowOff>
                  </from>
                  <to>
                    <xdr:col>6</xdr:col>
                    <xdr:colOff>457200</xdr:colOff>
                    <xdr:row>82</xdr:row>
                    <xdr:rowOff>22860</xdr:rowOff>
                  </to>
                </anchor>
              </controlPr>
            </control>
          </mc:Choice>
        </mc:AlternateContent>
        <mc:AlternateContent xmlns:mc="http://schemas.openxmlformats.org/markup-compatibility/2006">
          <mc:Choice Requires="x14">
            <control shapeId="356213" r:id="rId93" name="chk_83">
              <controlPr defaultSize="0" autoFill="0" autoLine="0" autoPict="0">
                <anchor moveWithCells="1">
                  <from>
                    <xdr:col>6</xdr:col>
                    <xdr:colOff>137160</xdr:colOff>
                    <xdr:row>81</xdr:row>
                    <xdr:rowOff>160020</xdr:rowOff>
                  </from>
                  <to>
                    <xdr:col>6</xdr:col>
                    <xdr:colOff>457200</xdr:colOff>
                    <xdr:row>83</xdr:row>
                    <xdr:rowOff>22860</xdr:rowOff>
                  </to>
                </anchor>
              </controlPr>
            </control>
          </mc:Choice>
        </mc:AlternateContent>
        <mc:AlternateContent xmlns:mc="http://schemas.openxmlformats.org/markup-compatibility/2006">
          <mc:Choice Requires="x14">
            <control shapeId="356214" r:id="rId94" name="chk_84">
              <controlPr defaultSize="0" autoFill="0" autoLine="0" autoPict="0">
                <anchor moveWithCells="1">
                  <from>
                    <xdr:col>6</xdr:col>
                    <xdr:colOff>137160</xdr:colOff>
                    <xdr:row>82</xdr:row>
                    <xdr:rowOff>160020</xdr:rowOff>
                  </from>
                  <to>
                    <xdr:col>6</xdr:col>
                    <xdr:colOff>457200</xdr:colOff>
                    <xdr:row>84</xdr:row>
                    <xdr:rowOff>22860</xdr:rowOff>
                  </to>
                </anchor>
              </controlPr>
            </control>
          </mc:Choice>
        </mc:AlternateContent>
        <mc:AlternateContent xmlns:mc="http://schemas.openxmlformats.org/markup-compatibility/2006">
          <mc:Choice Requires="x14">
            <control shapeId="356215" r:id="rId95" name="chk_85">
              <controlPr defaultSize="0" autoFill="0" autoLine="0" autoPict="0">
                <anchor moveWithCells="1">
                  <from>
                    <xdr:col>6</xdr:col>
                    <xdr:colOff>137160</xdr:colOff>
                    <xdr:row>83</xdr:row>
                    <xdr:rowOff>160020</xdr:rowOff>
                  </from>
                  <to>
                    <xdr:col>6</xdr:col>
                    <xdr:colOff>457200</xdr:colOff>
                    <xdr:row>85</xdr:row>
                    <xdr:rowOff>22860</xdr:rowOff>
                  </to>
                </anchor>
              </controlPr>
            </control>
          </mc:Choice>
        </mc:AlternateContent>
        <mc:AlternateContent xmlns:mc="http://schemas.openxmlformats.org/markup-compatibility/2006">
          <mc:Choice Requires="x14">
            <control shapeId="356216" r:id="rId96" name="chk_86">
              <controlPr defaultSize="0" autoFill="0" autoLine="0" autoPict="0">
                <anchor moveWithCells="1">
                  <from>
                    <xdr:col>6</xdr:col>
                    <xdr:colOff>137160</xdr:colOff>
                    <xdr:row>84</xdr:row>
                    <xdr:rowOff>160020</xdr:rowOff>
                  </from>
                  <to>
                    <xdr:col>6</xdr:col>
                    <xdr:colOff>457200</xdr:colOff>
                    <xdr:row>86</xdr:row>
                    <xdr:rowOff>15240</xdr:rowOff>
                  </to>
                </anchor>
              </controlPr>
            </control>
          </mc:Choice>
        </mc:AlternateContent>
        <mc:AlternateContent xmlns:mc="http://schemas.openxmlformats.org/markup-compatibility/2006">
          <mc:Choice Requires="x14">
            <control shapeId="356217" r:id="rId97" name="chk_87">
              <controlPr defaultSize="0" autoFill="0" autoLine="0" autoPict="0">
                <anchor moveWithCells="1">
                  <from>
                    <xdr:col>6</xdr:col>
                    <xdr:colOff>137160</xdr:colOff>
                    <xdr:row>85</xdr:row>
                    <xdr:rowOff>167640</xdr:rowOff>
                  </from>
                  <to>
                    <xdr:col>6</xdr:col>
                    <xdr:colOff>457200</xdr:colOff>
                    <xdr:row>87</xdr:row>
                    <xdr:rowOff>15240</xdr:rowOff>
                  </to>
                </anchor>
              </controlPr>
            </control>
          </mc:Choice>
        </mc:AlternateContent>
        <mc:AlternateContent xmlns:mc="http://schemas.openxmlformats.org/markup-compatibility/2006">
          <mc:Choice Requires="x14">
            <control shapeId="356218" r:id="rId98" name="chk_88">
              <controlPr defaultSize="0" autoFill="0" autoLine="0" autoPict="0">
                <anchor moveWithCells="1">
                  <from>
                    <xdr:col>6</xdr:col>
                    <xdr:colOff>137160</xdr:colOff>
                    <xdr:row>86</xdr:row>
                    <xdr:rowOff>167640</xdr:rowOff>
                  </from>
                  <to>
                    <xdr:col>6</xdr:col>
                    <xdr:colOff>457200</xdr:colOff>
                    <xdr:row>88</xdr:row>
                    <xdr:rowOff>22860</xdr:rowOff>
                  </to>
                </anchor>
              </controlPr>
            </control>
          </mc:Choice>
        </mc:AlternateContent>
        <mc:AlternateContent xmlns:mc="http://schemas.openxmlformats.org/markup-compatibility/2006">
          <mc:Choice Requires="x14">
            <control shapeId="356219" r:id="rId99" name="chk_89">
              <controlPr defaultSize="0" autoFill="0" autoLine="0" autoPict="0">
                <anchor moveWithCells="1">
                  <from>
                    <xdr:col>6</xdr:col>
                    <xdr:colOff>137160</xdr:colOff>
                    <xdr:row>87</xdr:row>
                    <xdr:rowOff>160020</xdr:rowOff>
                  </from>
                  <to>
                    <xdr:col>6</xdr:col>
                    <xdr:colOff>457200</xdr:colOff>
                    <xdr:row>89</xdr:row>
                    <xdr:rowOff>15240</xdr:rowOff>
                  </to>
                </anchor>
              </controlPr>
            </control>
          </mc:Choice>
        </mc:AlternateContent>
        <mc:AlternateContent xmlns:mc="http://schemas.openxmlformats.org/markup-compatibility/2006">
          <mc:Choice Requires="x14">
            <control shapeId="356220" r:id="rId100" name="chk_90">
              <controlPr defaultSize="0" autoFill="0" autoLine="0" autoPict="0">
                <anchor moveWithCells="1">
                  <from>
                    <xdr:col>6</xdr:col>
                    <xdr:colOff>137160</xdr:colOff>
                    <xdr:row>88</xdr:row>
                    <xdr:rowOff>167640</xdr:rowOff>
                  </from>
                  <to>
                    <xdr:col>6</xdr:col>
                    <xdr:colOff>457200</xdr:colOff>
                    <xdr:row>90</xdr:row>
                    <xdr:rowOff>15240</xdr:rowOff>
                  </to>
                </anchor>
              </controlPr>
            </control>
          </mc:Choice>
        </mc:AlternateContent>
        <mc:AlternateContent xmlns:mc="http://schemas.openxmlformats.org/markup-compatibility/2006">
          <mc:Choice Requires="x14">
            <control shapeId="356221" r:id="rId101" name="chk_91">
              <controlPr defaultSize="0" autoFill="0" autoLine="0" autoPict="0">
                <anchor moveWithCells="1">
                  <from>
                    <xdr:col>6</xdr:col>
                    <xdr:colOff>137160</xdr:colOff>
                    <xdr:row>89</xdr:row>
                    <xdr:rowOff>167640</xdr:rowOff>
                  </from>
                  <to>
                    <xdr:col>6</xdr:col>
                    <xdr:colOff>457200</xdr:colOff>
                    <xdr:row>91</xdr:row>
                    <xdr:rowOff>22860</xdr:rowOff>
                  </to>
                </anchor>
              </controlPr>
            </control>
          </mc:Choice>
        </mc:AlternateContent>
        <mc:AlternateContent xmlns:mc="http://schemas.openxmlformats.org/markup-compatibility/2006">
          <mc:Choice Requires="x14">
            <control shapeId="356222" r:id="rId102" name="chk_92">
              <controlPr defaultSize="0" autoFill="0" autoLine="0" autoPict="0">
                <anchor moveWithCells="1">
                  <from>
                    <xdr:col>6</xdr:col>
                    <xdr:colOff>137160</xdr:colOff>
                    <xdr:row>90</xdr:row>
                    <xdr:rowOff>160020</xdr:rowOff>
                  </from>
                  <to>
                    <xdr:col>6</xdr:col>
                    <xdr:colOff>457200</xdr:colOff>
                    <xdr:row>92</xdr:row>
                    <xdr:rowOff>15240</xdr:rowOff>
                  </to>
                </anchor>
              </controlPr>
            </control>
          </mc:Choice>
        </mc:AlternateContent>
        <mc:AlternateContent xmlns:mc="http://schemas.openxmlformats.org/markup-compatibility/2006">
          <mc:Choice Requires="x14">
            <control shapeId="356223" r:id="rId103" name="chk_93">
              <controlPr defaultSize="0" autoFill="0" autoLine="0" autoPict="0">
                <anchor moveWithCells="1">
                  <from>
                    <xdr:col>6</xdr:col>
                    <xdr:colOff>137160</xdr:colOff>
                    <xdr:row>91</xdr:row>
                    <xdr:rowOff>167640</xdr:rowOff>
                  </from>
                  <to>
                    <xdr:col>6</xdr:col>
                    <xdr:colOff>457200</xdr:colOff>
                    <xdr:row>93</xdr:row>
                    <xdr:rowOff>15240</xdr:rowOff>
                  </to>
                </anchor>
              </controlPr>
            </control>
          </mc:Choice>
        </mc:AlternateContent>
        <mc:AlternateContent xmlns:mc="http://schemas.openxmlformats.org/markup-compatibility/2006">
          <mc:Choice Requires="x14">
            <control shapeId="356224" r:id="rId104" name="chk_94">
              <controlPr defaultSize="0" autoFill="0" autoLine="0" autoPict="0">
                <anchor moveWithCells="1">
                  <from>
                    <xdr:col>6</xdr:col>
                    <xdr:colOff>137160</xdr:colOff>
                    <xdr:row>92</xdr:row>
                    <xdr:rowOff>167640</xdr:rowOff>
                  </from>
                  <to>
                    <xdr:col>6</xdr:col>
                    <xdr:colOff>457200</xdr:colOff>
                    <xdr:row>94</xdr:row>
                    <xdr:rowOff>22860</xdr:rowOff>
                  </to>
                </anchor>
              </controlPr>
            </control>
          </mc:Choice>
        </mc:AlternateContent>
        <mc:AlternateContent xmlns:mc="http://schemas.openxmlformats.org/markup-compatibility/2006">
          <mc:Choice Requires="x14">
            <control shapeId="356225" r:id="rId105" name="chk_95">
              <controlPr defaultSize="0" autoFill="0" autoLine="0" autoPict="0">
                <anchor moveWithCells="1">
                  <from>
                    <xdr:col>6</xdr:col>
                    <xdr:colOff>137160</xdr:colOff>
                    <xdr:row>93</xdr:row>
                    <xdr:rowOff>160020</xdr:rowOff>
                  </from>
                  <to>
                    <xdr:col>6</xdr:col>
                    <xdr:colOff>457200</xdr:colOff>
                    <xdr:row>95</xdr:row>
                    <xdr:rowOff>22860</xdr:rowOff>
                  </to>
                </anchor>
              </controlPr>
            </control>
          </mc:Choice>
        </mc:AlternateContent>
        <mc:AlternateContent xmlns:mc="http://schemas.openxmlformats.org/markup-compatibility/2006">
          <mc:Choice Requires="x14">
            <control shapeId="356226" r:id="rId106" name="chk_96">
              <controlPr defaultSize="0" autoFill="0" autoLine="0" autoPict="0">
                <anchor moveWithCells="1">
                  <from>
                    <xdr:col>6</xdr:col>
                    <xdr:colOff>137160</xdr:colOff>
                    <xdr:row>94</xdr:row>
                    <xdr:rowOff>160020</xdr:rowOff>
                  </from>
                  <to>
                    <xdr:col>6</xdr:col>
                    <xdr:colOff>457200</xdr:colOff>
                    <xdr:row>96</xdr:row>
                    <xdr:rowOff>22860</xdr:rowOff>
                  </to>
                </anchor>
              </controlPr>
            </control>
          </mc:Choice>
        </mc:AlternateContent>
        <mc:AlternateContent xmlns:mc="http://schemas.openxmlformats.org/markup-compatibility/2006">
          <mc:Choice Requires="x14">
            <control shapeId="356227" r:id="rId107" name="chk_97">
              <controlPr defaultSize="0" autoFill="0" autoLine="0" autoPict="0">
                <anchor moveWithCells="1">
                  <from>
                    <xdr:col>6</xdr:col>
                    <xdr:colOff>137160</xdr:colOff>
                    <xdr:row>95</xdr:row>
                    <xdr:rowOff>160020</xdr:rowOff>
                  </from>
                  <to>
                    <xdr:col>6</xdr:col>
                    <xdr:colOff>457200</xdr:colOff>
                    <xdr:row>97</xdr:row>
                    <xdr:rowOff>15240</xdr:rowOff>
                  </to>
                </anchor>
              </controlPr>
            </control>
          </mc:Choice>
        </mc:AlternateContent>
        <mc:AlternateContent xmlns:mc="http://schemas.openxmlformats.org/markup-compatibility/2006">
          <mc:Choice Requires="x14">
            <control shapeId="356228" r:id="rId108" name="chk_98">
              <controlPr defaultSize="0" autoFill="0" autoLine="0" autoPict="0">
                <anchor moveWithCells="1">
                  <from>
                    <xdr:col>6</xdr:col>
                    <xdr:colOff>137160</xdr:colOff>
                    <xdr:row>96</xdr:row>
                    <xdr:rowOff>167640</xdr:rowOff>
                  </from>
                  <to>
                    <xdr:col>6</xdr:col>
                    <xdr:colOff>457200</xdr:colOff>
                    <xdr:row>98</xdr:row>
                    <xdr:rowOff>15240</xdr:rowOff>
                  </to>
                </anchor>
              </controlPr>
            </control>
          </mc:Choice>
        </mc:AlternateContent>
        <mc:AlternateContent xmlns:mc="http://schemas.openxmlformats.org/markup-compatibility/2006">
          <mc:Choice Requires="x14">
            <control shapeId="356229" r:id="rId109" name="chk_99">
              <controlPr defaultSize="0" autoFill="0" autoLine="0" autoPict="0">
                <anchor moveWithCells="1">
                  <from>
                    <xdr:col>6</xdr:col>
                    <xdr:colOff>137160</xdr:colOff>
                    <xdr:row>97</xdr:row>
                    <xdr:rowOff>167640</xdr:rowOff>
                  </from>
                  <to>
                    <xdr:col>6</xdr:col>
                    <xdr:colOff>457200</xdr:colOff>
                    <xdr:row>99</xdr:row>
                    <xdr:rowOff>22860</xdr:rowOff>
                  </to>
                </anchor>
              </controlPr>
            </control>
          </mc:Choice>
        </mc:AlternateContent>
        <mc:AlternateContent xmlns:mc="http://schemas.openxmlformats.org/markup-compatibility/2006">
          <mc:Choice Requires="x14">
            <control shapeId="356230" r:id="rId110" name="chk_100">
              <controlPr defaultSize="0" autoFill="0" autoLine="0" autoPict="0">
                <anchor moveWithCells="1">
                  <from>
                    <xdr:col>6</xdr:col>
                    <xdr:colOff>137160</xdr:colOff>
                    <xdr:row>98</xdr:row>
                    <xdr:rowOff>160020</xdr:rowOff>
                  </from>
                  <to>
                    <xdr:col>6</xdr:col>
                    <xdr:colOff>457200</xdr:colOff>
                    <xdr:row>100</xdr:row>
                    <xdr:rowOff>22860</xdr:rowOff>
                  </to>
                </anchor>
              </controlPr>
            </control>
          </mc:Choice>
        </mc:AlternateContent>
        <mc:AlternateContent xmlns:mc="http://schemas.openxmlformats.org/markup-compatibility/2006">
          <mc:Choice Requires="x14">
            <control shapeId="356231" r:id="rId111" name="chk_101">
              <controlPr defaultSize="0" autoFill="0" autoLine="0" autoPict="0">
                <anchor moveWithCells="1">
                  <from>
                    <xdr:col>6</xdr:col>
                    <xdr:colOff>137160</xdr:colOff>
                    <xdr:row>99</xdr:row>
                    <xdr:rowOff>160020</xdr:rowOff>
                  </from>
                  <to>
                    <xdr:col>6</xdr:col>
                    <xdr:colOff>457200</xdr:colOff>
                    <xdr:row>101</xdr:row>
                    <xdr:rowOff>22860</xdr:rowOff>
                  </to>
                </anchor>
              </controlPr>
            </control>
          </mc:Choice>
        </mc:AlternateContent>
        <mc:AlternateContent xmlns:mc="http://schemas.openxmlformats.org/markup-compatibility/2006">
          <mc:Choice Requires="x14">
            <control shapeId="356232" r:id="rId112" name="chk_102">
              <controlPr defaultSize="0" autoFill="0" autoLine="0" autoPict="0">
                <anchor moveWithCells="1">
                  <from>
                    <xdr:col>6</xdr:col>
                    <xdr:colOff>137160</xdr:colOff>
                    <xdr:row>100</xdr:row>
                    <xdr:rowOff>160020</xdr:rowOff>
                  </from>
                  <to>
                    <xdr:col>6</xdr:col>
                    <xdr:colOff>457200</xdr:colOff>
                    <xdr:row>102</xdr:row>
                    <xdr:rowOff>22860</xdr:rowOff>
                  </to>
                </anchor>
              </controlPr>
            </control>
          </mc:Choice>
        </mc:AlternateContent>
        <mc:AlternateContent xmlns:mc="http://schemas.openxmlformats.org/markup-compatibility/2006">
          <mc:Choice Requires="x14">
            <control shapeId="356233" r:id="rId113" name="chk_103">
              <controlPr defaultSize="0" autoFill="0" autoLine="0" autoPict="0">
                <anchor moveWithCells="1">
                  <from>
                    <xdr:col>6</xdr:col>
                    <xdr:colOff>137160</xdr:colOff>
                    <xdr:row>101</xdr:row>
                    <xdr:rowOff>160020</xdr:rowOff>
                  </from>
                  <to>
                    <xdr:col>6</xdr:col>
                    <xdr:colOff>457200</xdr:colOff>
                    <xdr:row>103</xdr:row>
                    <xdr:rowOff>22860</xdr:rowOff>
                  </to>
                </anchor>
              </controlPr>
            </control>
          </mc:Choice>
        </mc:AlternateContent>
        <mc:AlternateContent xmlns:mc="http://schemas.openxmlformats.org/markup-compatibility/2006">
          <mc:Choice Requires="x14">
            <control shapeId="356234" r:id="rId114" name="chk_104">
              <controlPr defaultSize="0" autoFill="0" autoLine="0" autoPict="0">
                <anchor moveWithCells="1">
                  <from>
                    <xdr:col>6</xdr:col>
                    <xdr:colOff>137160</xdr:colOff>
                    <xdr:row>102</xdr:row>
                    <xdr:rowOff>160020</xdr:rowOff>
                  </from>
                  <to>
                    <xdr:col>6</xdr:col>
                    <xdr:colOff>457200</xdr:colOff>
                    <xdr:row>104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F77E3-E0F6-42D4-BAB1-E40F6D7C4ED7}">
  <sheetPr codeName="גיליון48"/>
  <dimension ref="A1:M124"/>
  <sheetViews>
    <sheetView rightToLeft="1" workbookViewId="0">
      <selection activeCell="C13" sqref="C13"/>
    </sheetView>
  </sheetViews>
  <sheetFormatPr defaultRowHeight="14.4"/>
  <cols>
    <col min="1" max="1" width="13.44140625" bestFit="1" customWidth="1"/>
    <col min="2" max="2" width="12" style="1" customWidth="1"/>
    <col min="3" max="3" width="21.33203125" customWidth="1"/>
    <col min="4" max="4" width="16" bestFit="1" customWidth="1"/>
    <col min="5" max="5" width="3.77734375" customWidth="1"/>
    <col min="6" max="6" width="4.6640625" bestFit="1" customWidth="1"/>
    <col min="7" max="7" width="7.6640625" bestFit="1" customWidth="1"/>
    <col min="8" max="8" width="7.44140625" bestFit="1" customWidth="1"/>
    <col min="9" max="9" width="19.88671875" bestFit="1" customWidth="1"/>
    <col min="11" max="11" width="11.77734375" bestFit="1" customWidth="1"/>
    <col min="13" max="13" width="10.77734375" bestFit="1" customWidth="1"/>
  </cols>
  <sheetData>
    <row r="1" spans="1:13" ht="16.8" thickTop="1">
      <c r="A1" s="278" t="s">
        <v>0</v>
      </c>
      <c r="B1" s="279" t="str">
        <f>+'Netunei Gimlai'!B1</f>
        <v>ישראל ישראלי</v>
      </c>
      <c r="C1" s="278" t="s">
        <v>3</v>
      </c>
      <c r="D1" s="584">
        <f>+'Netunei Gimlai'!B2</f>
        <v>11111111</v>
      </c>
      <c r="F1" s="542" t="s">
        <v>5</v>
      </c>
      <c r="G1" s="543" t="s">
        <v>5776</v>
      </c>
      <c r="H1" s="543" t="s">
        <v>1441</v>
      </c>
      <c r="I1" s="544" t="s">
        <v>5135</v>
      </c>
      <c r="J1" s="234"/>
      <c r="K1" s="232" t="s">
        <v>33</v>
      </c>
      <c r="L1" s="234"/>
      <c r="M1" s="586" t="s">
        <v>1081</v>
      </c>
    </row>
    <row r="2" spans="1:13" ht="15" thickBot="1">
      <c r="A2" s="287" t="s">
        <v>2</v>
      </c>
      <c r="B2" s="585">
        <f>+'Netunei Gimlai'!B19</f>
        <v>1</v>
      </c>
      <c r="C2" s="287" t="s">
        <v>4</v>
      </c>
      <c r="D2" s="585">
        <f>+'Netunei Gimlai'!B20</f>
        <v>0.53669999999999995</v>
      </c>
      <c r="F2" s="332">
        <v>1</v>
      </c>
      <c r="G2" s="1">
        <f>IF(F2=" "," ",HLOOKUP(F2,SACHAR!$AA$3:$EE$11,7,0))</f>
        <v>10002</v>
      </c>
      <c r="H2" s="1" t="str">
        <f>IF(F2=" "," ",VLOOKUP(F2,'Netunei Gimlai'!$L$3:$N$19,3,0))</f>
        <v>004</v>
      </c>
      <c r="I2" t="str">
        <f>IF(F2=" "," ",HLOOKUP(F2,SACHAR!$AA$3:$EE$11,8,0))</f>
        <v>שכר משולב</v>
      </c>
      <c r="J2" s="333" t="str">
        <f>IF(F2=" "," ",HLOOKUP(F2,SACHAR!$AA$3:$EE$11,4,0))</f>
        <v xml:space="preserve"> </v>
      </c>
      <c r="K2" s="192">
        <f>IF(F2=" "," ",HLOOKUP(F2,SACHAR!$AA$3:$EE$11,9,0))</f>
        <v>2940.3864564429573</v>
      </c>
      <c r="M2" s="587">
        <f t="shared" ref="M2:M25" si="0">IF(K2=" "," ",+K2*$B$2*$D$2)</f>
        <v>1578.105411172935</v>
      </c>
    </row>
    <row r="3" spans="1:13" ht="15" thickTop="1">
      <c r="A3" s="545" t="s">
        <v>7</v>
      </c>
      <c r="B3" s="509" t="str">
        <f>VLOOKUP('Netunei Gimlai'!B4,MISRAD!A5:B81,2,0)</f>
        <v>הבריאות</v>
      </c>
      <c r="C3" s="545" t="s">
        <v>16</v>
      </c>
      <c r="D3" s="546" t="str">
        <f>VLOOKUP('Netunei Gimlai'!B9,DERUG!A3:B64,2,0)</f>
        <v>מינהלי - עובדי מדינה</v>
      </c>
      <c r="F3" s="332">
        <f t="shared" ref="F3:F25" si="1">IF(F2=" "," ",IF(G2=99999," ",+F2+1))</f>
        <v>2</v>
      </c>
      <c r="G3" s="1">
        <f>IF(F3=" "," ",HLOOKUP(F3,SACHAR!$AA$3:$EE$11,7,0))</f>
        <v>600</v>
      </c>
      <c r="H3" s="1">
        <f>IF(F3=" "," ",VLOOKUP(F3,'Netunei Gimlai'!$L$3:$N$19,3,0))</f>
        <v>1370</v>
      </c>
      <c r="I3" t="str">
        <f>IF(F3=" "," ",HLOOKUP(F3,SACHAR!$AA$3:$EE$11,8,0))</f>
        <v>תוספת בית חולים</v>
      </c>
      <c r="J3" s="333" t="str">
        <f>IF(F3=" "," ",HLOOKUP(F3,SACHAR!$AA$3:$EE$11,4,0))</f>
        <v xml:space="preserve"> </v>
      </c>
      <c r="K3" s="192">
        <f>IF(F3=" "," ",HLOOKUP(F3,SACHAR!$AA$3:$EE$11,9,0))</f>
        <v>75.260000000000005</v>
      </c>
      <c r="M3" s="587">
        <f t="shared" si="0"/>
        <v>40.392041999999996</v>
      </c>
    </row>
    <row r="4" spans="1:13" ht="15" thickBot="1">
      <c r="A4" s="547" t="s">
        <v>17</v>
      </c>
      <c r="B4" s="548">
        <f>VLOOKUP('Netunei Gimlai'!B10,DARGA!A2:B111,2,0)</f>
        <v>16</v>
      </c>
      <c r="C4" s="547" t="s">
        <v>5728</v>
      </c>
      <c r="D4" s="549">
        <f>+'Netunei Gimlai'!B15</f>
        <v>22.75</v>
      </c>
      <c r="F4" s="332">
        <f t="shared" si="1"/>
        <v>3</v>
      </c>
      <c r="G4" s="1">
        <f>IF(F4=" "," ",HLOOKUP(F4,SACHAR!$AA$3:$EE$11,7,0))</f>
        <v>733</v>
      </c>
      <c r="H4" s="1">
        <f>IF(F4=" "," ",VLOOKUP(F4,'Netunei Gimlai'!$L$3:$N$19,3,0))</f>
        <v>0</v>
      </c>
      <c r="I4" t="str">
        <f>IF(F4=" "," ",HLOOKUP(F4,SACHAR!$AA$3:$EE$11,8,0))</f>
        <v>ס. ניק כלים</v>
      </c>
      <c r="J4" s="333" t="str">
        <f>IF(F4=" "," ",HLOOKUP(F4,SACHAR!$AA$3:$EE$11,4,0))</f>
        <v xml:space="preserve"> </v>
      </c>
      <c r="K4" s="572">
        <f>IF(F4=" "," ",HLOOKUP(F4,SACHAR!$AA$3:$EE$11,9,0))</f>
        <v>10.26</v>
      </c>
      <c r="M4" s="587">
        <f t="shared" si="0"/>
        <v>5.5065419999999996</v>
      </c>
    </row>
    <row r="5" spans="1:13" ht="15" thickTop="1">
      <c r="A5" s="550" t="s">
        <v>9</v>
      </c>
      <c r="B5" s="554" t="str">
        <f>VLOOKUP('Netunei Gimlai'!B5,'חודש פרישה'!A1:B693,2,0)</f>
        <v>1.1.1997</v>
      </c>
      <c r="C5" s="550" t="s">
        <v>5729</v>
      </c>
      <c r="D5" s="551">
        <f>+SACHAR!C9</f>
        <v>1.2008000000000001</v>
      </c>
      <c r="F5" s="332">
        <f t="shared" si="1"/>
        <v>4</v>
      </c>
      <c r="G5" s="1">
        <f>IF(F5=" "," ",HLOOKUP(F5,SACHAR!$AA$3:$EE$11,7,0))</f>
        <v>764</v>
      </c>
      <c r="H5" s="1">
        <f>IF(F5=" "," ",VLOOKUP(F5,'Netunei Gimlai'!$L$3:$N$19,3,0))</f>
        <v>1023</v>
      </c>
      <c r="I5" t="str">
        <f>IF(F5=" "," ",HLOOKUP(F5,SACHAR!$AA$3:$EE$11,8,0))</f>
        <v>מנמ"ש</v>
      </c>
      <c r="J5" s="333" t="str">
        <f>IF(F5=" "," ",HLOOKUP(F5,SACHAR!$AA$3:$EE$11,4,0))</f>
        <v xml:space="preserve"> </v>
      </c>
      <c r="K5" s="192">
        <f>IF(F5=" "," ",HLOOKUP(F5,SACHAR!$AA$3:$EE$11,9,0))</f>
        <v>353.75</v>
      </c>
      <c r="M5" s="587">
        <f t="shared" si="0"/>
        <v>189.85762499999998</v>
      </c>
    </row>
    <row r="6" spans="1:13" ht="15" thickBot="1">
      <c r="A6" s="552" t="s">
        <v>5359</v>
      </c>
      <c r="B6" s="553">
        <f>+SACHAR!E9</f>
        <v>12.2026</v>
      </c>
      <c r="C6" s="552" t="s">
        <v>15</v>
      </c>
      <c r="D6" s="458">
        <f>+'Netunei Gimlai'!B8</f>
        <v>227</v>
      </c>
      <c r="F6" s="332">
        <f t="shared" si="1"/>
        <v>5</v>
      </c>
      <c r="G6" s="1">
        <f>IF(F6=" "," ",HLOOKUP(F6,SACHAR!$AA$3:$EE$11,7,0))</f>
        <v>798</v>
      </c>
      <c r="H6" s="1">
        <f>IF(F6=" "," ",VLOOKUP(F6,'Netunei Gimlai'!$L$3:$N$19,3,0))</f>
        <v>4025</v>
      </c>
      <c r="I6" t="str">
        <f>IF(F6=" "," ",HLOOKUP(F6,SACHAR!$AA$3:$EE$11,8,0))</f>
        <v>דריכות בית חולים</v>
      </c>
      <c r="J6" s="333">
        <f>IF(F6=" "," ",HLOOKUP(F6,SACHAR!$AA$3:$EE$11,4,0))</f>
        <v>0.3</v>
      </c>
      <c r="K6" s="192">
        <f>IF(F6=" "," ",HLOOKUP(F6,SACHAR!$AA$3:$EE$11,9,0))</f>
        <v>917.40057441020269</v>
      </c>
      <c r="M6" s="587">
        <f t="shared" si="0"/>
        <v>492.36888828595573</v>
      </c>
    </row>
    <row r="7" spans="1:13" ht="15" thickTop="1">
      <c r="F7" s="332">
        <f t="shared" si="1"/>
        <v>6</v>
      </c>
      <c r="G7" s="1">
        <f>IF(F7=" "," ",HLOOKUP(F7,SACHAR!$AA$3:$EE$11,7,0))</f>
        <v>4544</v>
      </c>
      <c r="H7" s="1">
        <f>IF(F7=" "," ",VLOOKUP(F7,'Netunei Gimlai'!$L$3:$N$19,3,0))</f>
        <v>1007</v>
      </c>
      <c r="I7" t="str">
        <f>IF(F7=" "," ",HLOOKUP(F7,SACHAR!$AA$3:$EE$11,8,0))</f>
        <v>הסכם 2001 / תוספת 3.6</v>
      </c>
      <c r="J7" s="333">
        <f>IF(F7=" "," ",HLOOKUP(F7,SACHAR!$AA$3:$EE$11,4,0))</f>
        <v>3.5999999999999997E-2</v>
      </c>
      <c r="K7" s="192">
        <f>IF(F7=" "," ",HLOOKUP(F7,SACHAR!$AA$3:$EE$11,9,0))</f>
        <v>158.55884960799162</v>
      </c>
      <c r="M7" s="587">
        <f t="shared" si="0"/>
        <v>85.098534584609098</v>
      </c>
    </row>
    <row r="8" spans="1:13">
      <c r="F8" s="332">
        <f t="shared" si="1"/>
        <v>7</v>
      </c>
      <c r="G8" s="1">
        <f>IF(F8=" "," ",HLOOKUP(F8,SACHAR!$AA$3:$EE$11,7,0))</f>
        <v>4624</v>
      </c>
      <c r="H8" s="1">
        <f>IF(F8=" "," ",VLOOKUP(F8,'Netunei Gimlai'!$L$3:$N$19,3,0))</f>
        <v>1004</v>
      </c>
      <c r="I8" t="str">
        <f>IF(F8=" "," ",HLOOKUP(F8,SACHAR!$AA$3:$EE$11,8,0))</f>
        <v>הסכם 1999</v>
      </c>
      <c r="J8" s="333">
        <f>IF(F8=" "," ",HLOOKUP(F8,SACHAR!$AA$3:$EE$11,4,0))</f>
        <v>0.04</v>
      </c>
      <c r="K8" s="192">
        <f>IF(F8=" "," ",HLOOKUP(F8,SACHAR!$AA$3:$EE$11,9,0))</f>
        <v>117.61545825771829</v>
      </c>
      <c r="M8" s="587">
        <f t="shared" si="0"/>
        <v>63.124216446917401</v>
      </c>
    </row>
    <row r="9" spans="1:13">
      <c r="E9" s="192"/>
      <c r="F9" s="332">
        <f t="shared" si="1"/>
        <v>8</v>
      </c>
      <c r="G9" s="1">
        <f>IF(F9=" "," ",HLOOKUP(F9,SACHAR!$AA$3:$EE$11,7,0))</f>
        <v>99998</v>
      </c>
      <c r="H9" s="1" t="str">
        <f>IF(F9=" "," ",VLOOKUP(F9,'Netunei Gimlai'!$L$3:$N$19,3,0))</f>
        <v>ללא</v>
      </c>
      <c r="I9" t="str">
        <f>IF(F9=" "," ",HLOOKUP(F9,SACHAR!$AA$3:$EE$11,8,0))</f>
        <v>עיגול לחישוב מינימום</v>
      </c>
      <c r="J9" s="333" t="str">
        <f>IF(F9=" "," ",HLOOKUP(F9,SACHAR!$AA$3:$EE$11,4,0))</f>
        <v xml:space="preserve"> </v>
      </c>
      <c r="K9" s="192">
        <f>IF(F9=" "," ",HLOOKUP(F9,SACHAR!$AA$3:$EE$11,9,0))</f>
        <v>1E-3</v>
      </c>
      <c r="M9" s="587">
        <f t="shared" si="0"/>
        <v>5.3669999999999998E-4</v>
      </c>
    </row>
    <row r="10" spans="1:13" ht="16.8" customHeight="1">
      <c r="E10" s="192"/>
      <c r="F10" s="332">
        <f t="shared" si="1"/>
        <v>9</v>
      </c>
      <c r="G10" s="1">
        <f>IF(F10=" "," ",HLOOKUP(F10,SACHAR!$AA$3:$EE$11,7,0))</f>
        <v>1699</v>
      </c>
      <c r="H10" s="1">
        <f>IF(F10=" "," ",VLOOKUP(F10,'Netunei Gimlai'!$L$3:$N$19,3,0))</f>
        <v>1014</v>
      </c>
      <c r="I10" t="str">
        <f>IF(F10=" "," ",HLOOKUP(F10,SACHAR!$AA$3:$EE$11,8,0))</f>
        <v>תוספת חוק מינימום</v>
      </c>
      <c r="J10" s="333" t="str">
        <f>IF(F10=" "," ",HLOOKUP(F10,SACHAR!$AA$3:$EE$11,4,0))</f>
        <v xml:space="preserve"> </v>
      </c>
      <c r="K10" s="192">
        <f>IF(F10=" "," ",HLOOKUP(F10,SACHAR!$AA$3:$EE$11,9,0))</f>
        <v>8.6194255897967196</v>
      </c>
      <c r="M10" s="587">
        <f t="shared" si="0"/>
        <v>4.6260457140438991</v>
      </c>
    </row>
    <row r="11" spans="1:13" ht="15.6" customHeight="1">
      <c r="E11" s="192"/>
      <c r="F11" s="332">
        <f t="shared" si="1"/>
        <v>10</v>
      </c>
      <c r="G11" s="1">
        <f>IF(F11=" "," ",HLOOKUP(F11,SACHAR!$AA$3:$EE$11,7,0))</f>
        <v>99999</v>
      </c>
      <c r="H11" s="1" t="str">
        <f>IF(F11=" "," ",VLOOKUP(F11,'Netunei Gimlai'!$L$3:$N$19,3,0))</f>
        <v>ללא</v>
      </c>
      <c r="I11" t="str">
        <f>IF(F11=" "," ",HLOOKUP(F11,SACHAR!$AA$3:$EE$11,8,0))</f>
        <v>סה"כ מרכיבי שכר שוטף</v>
      </c>
      <c r="J11" s="333" t="str">
        <f>IF(F11=" "," ",HLOOKUP(F11,SACHAR!$AA$3:$EE$11,4,0))</f>
        <v xml:space="preserve"> </v>
      </c>
      <c r="K11" s="192">
        <f>IF(F11=" "," ",HLOOKUP(F11,SACHAR!$AA$3:$EE$11,9,0))</f>
        <v>4581.851764308667</v>
      </c>
      <c r="M11" s="587">
        <f t="shared" si="0"/>
        <v>2459.0798419044613</v>
      </c>
    </row>
    <row r="12" spans="1:13" ht="16.2" customHeight="1">
      <c r="E12" s="192"/>
      <c r="F12" s="332" t="str">
        <f t="shared" si="1"/>
        <v xml:space="preserve"> </v>
      </c>
      <c r="G12" s="1" t="str">
        <f>IF(F12=" "," ",HLOOKUP(F12,SACHAR!$AA$3:$EE$11,7,0))</f>
        <v xml:space="preserve"> </v>
      </c>
      <c r="H12" s="1" t="str">
        <f>IF(F12=" "," ",VLOOKUP(F12,'Netunei Gimlai'!$L$3:$N$19,3,0))</f>
        <v xml:space="preserve"> </v>
      </c>
      <c r="I12" t="str">
        <f>IF(F12=" "," ",HLOOKUP(F12,SACHAR!$AA$3:$EE$11,8,0))</f>
        <v xml:space="preserve"> </v>
      </c>
      <c r="J12" s="333" t="str">
        <f>IF(F12=" "," ",HLOOKUP(F12,SACHAR!$AA$3:$EE$11,4,0))</f>
        <v xml:space="preserve"> </v>
      </c>
      <c r="K12" s="192" t="str">
        <f>IF(F12=" "," ",HLOOKUP(F12,SACHAR!$AA$3:$EE$11,9,0))</f>
        <v xml:space="preserve"> </v>
      </c>
      <c r="M12" s="587" t="str">
        <f t="shared" si="0"/>
        <v xml:space="preserve"> </v>
      </c>
    </row>
    <row r="13" spans="1:13">
      <c r="E13" s="192"/>
      <c r="F13" s="332" t="str">
        <f t="shared" si="1"/>
        <v xml:space="preserve"> </v>
      </c>
      <c r="G13" s="1" t="str">
        <f>IF(F13=" "," ",HLOOKUP(F13,SACHAR!$AA$3:$EE$11,7,0))</f>
        <v xml:space="preserve"> </v>
      </c>
      <c r="H13" s="1" t="str">
        <f>IF(F13=" "," ",VLOOKUP(F13,'Netunei Gimlai'!$L$3:$N$19,3,0))</f>
        <v xml:space="preserve"> </v>
      </c>
      <c r="I13" t="str">
        <f>IF(F13=" "," ",HLOOKUP(F13,SACHAR!$AA$3:$EE$11,8,0))</f>
        <v xml:space="preserve"> </v>
      </c>
      <c r="J13" s="333" t="str">
        <f>IF(F13=" "," ",HLOOKUP(F13,SACHAR!$AA$3:$EE$11,4,0))</f>
        <v xml:space="preserve"> </v>
      </c>
      <c r="K13" s="192" t="str">
        <f>IF(F13=" "," ",HLOOKUP(F13,SACHAR!$AA$3:$EE$11,9,0))</f>
        <v xml:space="preserve"> </v>
      </c>
      <c r="M13" s="587" t="str">
        <f t="shared" si="0"/>
        <v xml:space="preserve"> </v>
      </c>
    </row>
    <row r="14" spans="1:13" ht="16.2" customHeight="1">
      <c r="E14" s="192"/>
      <c r="F14" s="332" t="str">
        <f t="shared" si="1"/>
        <v xml:space="preserve"> </v>
      </c>
      <c r="G14" s="1" t="str">
        <f>IF(F14=" "," ",HLOOKUP(F14,SACHAR!$AA$3:$EE$11,7,0))</f>
        <v xml:space="preserve"> </v>
      </c>
      <c r="H14" s="1" t="str">
        <f>IF(F14=" "," ",VLOOKUP(F14,'Netunei Gimlai'!$L$3:$N$19,3,0))</f>
        <v xml:space="preserve"> </v>
      </c>
      <c r="I14" t="str">
        <f>IF(F14=" "," ",HLOOKUP(F14,SACHAR!$AA$3:$EE$11,8,0))</f>
        <v xml:space="preserve"> </v>
      </c>
      <c r="J14" s="333" t="str">
        <f>IF(F14=" "," ",HLOOKUP(F14,SACHAR!$AA$3:$EE$11,4,0))</f>
        <v xml:space="preserve"> </v>
      </c>
      <c r="K14" s="192" t="str">
        <f>IF(F14=" "," ",HLOOKUP(F14,SACHAR!$AA$3:$EE$11,9,0))</f>
        <v xml:space="preserve"> </v>
      </c>
      <c r="M14" s="587" t="str">
        <f t="shared" si="0"/>
        <v xml:space="preserve"> </v>
      </c>
    </row>
    <row r="15" spans="1:13" ht="15.6" customHeight="1">
      <c r="E15" s="192"/>
      <c r="F15" s="332" t="str">
        <f t="shared" si="1"/>
        <v xml:space="preserve"> </v>
      </c>
      <c r="G15" s="1" t="str">
        <f>IF(F15=" "," ",HLOOKUP(F15,SACHAR!$AA$3:$EE$11,7,0))</f>
        <v xml:space="preserve"> </v>
      </c>
      <c r="H15" s="1" t="str">
        <f>IF(F15=" "," ",VLOOKUP(F15,'Netunei Gimlai'!$L$3:$N$19,3,0))</f>
        <v xml:space="preserve"> </v>
      </c>
      <c r="I15" t="str">
        <f>IF(F15=" "," ",HLOOKUP(F15,SACHAR!$AA$3:$EE$11,8,0))</f>
        <v xml:space="preserve"> </v>
      </c>
      <c r="J15" s="333" t="str">
        <f>IF(F15=" "," ",HLOOKUP(F15,SACHAR!$AA$3:$EE$11,4,0))</f>
        <v xml:space="preserve"> </v>
      </c>
      <c r="K15" s="192" t="str">
        <f>IF(F15=" "," ",HLOOKUP(F15,SACHAR!$AA$3:$EE$11,9,0))</f>
        <v xml:space="preserve"> </v>
      </c>
      <c r="M15" s="587" t="str">
        <f t="shared" si="0"/>
        <v xml:space="preserve"> </v>
      </c>
    </row>
    <row r="16" spans="1:13">
      <c r="E16" s="192"/>
      <c r="F16" s="332" t="str">
        <f t="shared" si="1"/>
        <v xml:space="preserve"> </v>
      </c>
      <c r="G16" s="1" t="str">
        <f>IF(F16=" "," ",HLOOKUP(F16,SACHAR!$AA$3:$EE$11,7,0))</f>
        <v xml:space="preserve"> </v>
      </c>
      <c r="H16" s="1" t="str">
        <f>IF(F16=" "," ",VLOOKUP(F16,'Netunei Gimlai'!$L$3:$N$19,3,0))</f>
        <v xml:space="preserve"> </v>
      </c>
      <c r="I16" t="str">
        <f>IF(F16=" "," ",HLOOKUP(F16,SACHAR!$AA$3:$EE$11,8,0))</f>
        <v xml:space="preserve"> </v>
      </c>
      <c r="J16" s="333" t="str">
        <f>IF(F16=" "," ",HLOOKUP(F16,SACHAR!$AA$3:$EE$11,4,0))</f>
        <v xml:space="preserve"> </v>
      </c>
      <c r="K16" s="192" t="str">
        <f>IF(F16=" "," ",HLOOKUP(F16,SACHAR!$AA$3:$EE$11,9,0))</f>
        <v xml:space="preserve"> </v>
      </c>
      <c r="M16" s="587" t="str">
        <f t="shared" si="0"/>
        <v xml:space="preserve"> </v>
      </c>
    </row>
    <row r="17" spans="5:13">
      <c r="E17" s="192"/>
      <c r="F17" s="332" t="str">
        <f t="shared" si="1"/>
        <v xml:space="preserve"> </v>
      </c>
      <c r="G17" s="1" t="str">
        <f>IF(F17=" "," ",HLOOKUP(F17,SACHAR!$AA$3:$EE$11,7,0))</f>
        <v xml:space="preserve"> </v>
      </c>
      <c r="H17" s="1" t="str">
        <f>IF(F17=" "," ",VLOOKUP(F17,'Netunei Gimlai'!$L$3:$N$19,3,0))</f>
        <v xml:space="preserve"> </v>
      </c>
      <c r="I17" t="str">
        <f>IF(F17=" "," ",HLOOKUP(F17,SACHAR!$AA$3:$EE$11,8,0))</f>
        <v xml:space="preserve"> </v>
      </c>
      <c r="J17" s="333" t="str">
        <f>IF(F17=" "," ",HLOOKUP(F17,SACHAR!$AA$3:$EE$11,4,0))</f>
        <v xml:space="preserve"> </v>
      </c>
      <c r="K17" s="192" t="str">
        <f>IF(F17=" "," ",HLOOKUP(F17,SACHAR!$AA$3:$EE$11,9,0))</f>
        <v xml:space="preserve"> </v>
      </c>
      <c r="M17" s="587" t="str">
        <f t="shared" si="0"/>
        <v xml:space="preserve"> </v>
      </c>
    </row>
    <row r="18" spans="5:13" ht="15.6" customHeight="1">
      <c r="E18" s="192"/>
      <c r="F18" s="332" t="str">
        <f t="shared" si="1"/>
        <v xml:space="preserve"> </v>
      </c>
      <c r="G18" s="1" t="str">
        <f>IF(F18=" "," ",HLOOKUP(F18,SACHAR!$AA$3:$EE$11,7,0))</f>
        <v xml:space="preserve"> </v>
      </c>
      <c r="H18" s="1" t="str">
        <f>IF(F18=" "," ",VLOOKUP(F18,'Netunei Gimlai'!$L$3:$N$19,3,0))</f>
        <v xml:space="preserve"> </v>
      </c>
      <c r="I18" t="str">
        <f>IF(F18=" "," ",HLOOKUP(F18,SACHAR!$AA$3:$EE$11,8,0))</f>
        <v xml:space="preserve"> </v>
      </c>
      <c r="J18" s="333" t="str">
        <f>IF(F18=" "," ",HLOOKUP(F18,SACHAR!$AA$3:$EE$11,4,0))</f>
        <v xml:space="preserve"> </v>
      </c>
      <c r="K18" s="192" t="str">
        <f>IF(F18=" "," ",HLOOKUP(F18,SACHAR!$AA$3:$EE$11,9,0))</f>
        <v xml:space="preserve"> </v>
      </c>
      <c r="M18" s="587" t="str">
        <f t="shared" si="0"/>
        <v xml:space="preserve"> </v>
      </c>
    </row>
    <row r="19" spans="5:13">
      <c r="E19" s="192"/>
      <c r="F19" s="332" t="str">
        <f t="shared" si="1"/>
        <v xml:space="preserve"> </v>
      </c>
      <c r="G19" s="1" t="str">
        <f>IF(F19=" "," ",HLOOKUP(F19,SACHAR!$AA$3:$EE$11,7,0))</f>
        <v xml:space="preserve"> </v>
      </c>
      <c r="H19" s="1" t="str">
        <f>IF(F19=" "," ",VLOOKUP(F19,'Netunei Gimlai'!$L$3:$N$19,3,0))</f>
        <v xml:space="preserve"> </v>
      </c>
      <c r="I19" t="str">
        <f>IF(F19=" "," ",HLOOKUP(F19,SACHAR!$AA$3:$EE$11,8,0))</f>
        <v xml:space="preserve"> </v>
      </c>
      <c r="J19" s="333" t="str">
        <f>IF(F19=" "," ",HLOOKUP(F19,SACHAR!$AA$3:$EE$11,4,0))</f>
        <v xml:space="preserve"> </v>
      </c>
      <c r="K19" s="192" t="str">
        <f>IF(F19=" "," ",HLOOKUP(F19,SACHAR!$AA$3:$EE$11,9,0))</f>
        <v xml:space="preserve"> </v>
      </c>
      <c r="M19" s="239" t="str">
        <f t="shared" si="0"/>
        <v xml:space="preserve"> </v>
      </c>
    </row>
    <row r="20" spans="5:13">
      <c r="E20" s="192"/>
      <c r="F20" s="332" t="str">
        <f t="shared" si="1"/>
        <v xml:space="preserve"> </v>
      </c>
      <c r="G20" s="1" t="str">
        <f>IF(F20=" "," ",HLOOKUP(F20,SACHAR!$AA$3:$EE$11,7,0))</f>
        <v xml:space="preserve"> </v>
      </c>
      <c r="H20" s="1" t="str">
        <f>IF(F20=" "," ",VLOOKUP(F20,'Netunei Gimlai'!$L$3:$N$19,3,0))</f>
        <v xml:space="preserve"> </v>
      </c>
      <c r="I20" t="str">
        <f>IF(F20=" "," ",HLOOKUP(F20,SACHAR!$AA$3:$EE$11,8,0))</f>
        <v xml:space="preserve"> </v>
      </c>
      <c r="J20" s="333" t="str">
        <f>IF(F20=" "," ",HLOOKUP(F20,SACHAR!$AA$3:$EE$11,4,0))</f>
        <v xml:space="preserve"> </v>
      </c>
      <c r="K20" s="192" t="str">
        <f>IF(F20=" "," ",HLOOKUP(F20,SACHAR!$AA$3:$EE$11,9,0))</f>
        <v xml:space="preserve"> </v>
      </c>
      <c r="M20" s="239" t="str">
        <f t="shared" si="0"/>
        <v xml:space="preserve"> </v>
      </c>
    </row>
    <row r="21" spans="5:13">
      <c r="E21" s="192"/>
      <c r="F21" s="332" t="str">
        <f t="shared" si="1"/>
        <v xml:space="preserve"> </v>
      </c>
      <c r="G21" s="1" t="str">
        <f>IF(F21=" "," ",HLOOKUP(F21,SACHAR!$AA$3:$EE$11,7,0))</f>
        <v xml:space="preserve"> </v>
      </c>
      <c r="H21" s="1" t="str">
        <f>IF(F21=" "," ",VLOOKUP(F21,'Netunei Gimlai'!$L$3:$N$19,3,0))</f>
        <v xml:space="preserve"> </v>
      </c>
      <c r="I21" t="str">
        <f>IF(F21=" "," ",HLOOKUP(F21,SACHAR!$AA$3:$EE$11,8,0))</f>
        <v xml:space="preserve"> </v>
      </c>
      <c r="J21" s="333" t="str">
        <f>IF(F21=" "," ",HLOOKUP(F21,SACHAR!$AA$3:$EE$11,4,0))</f>
        <v xml:space="preserve"> </v>
      </c>
      <c r="K21" s="192" t="str">
        <f>IF(F21=" "," ",HLOOKUP(F21,SACHAR!$AA$3:$EE$11,9,0))</f>
        <v xml:space="preserve"> </v>
      </c>
      <c r="M21" s="239" t="str">
        <f t="shared" si="0"/>
        <v xml:space="preserve"> </v>
      </c>
    </row>
    <row r="22" spans="5:13">
      <c r="E22" s="192"/>
      <c r="F22" s="332" t="str">
        <f t="shared" si="1"/>
        <v xml:space="preserve"> </v>
      </c>
      <c r="G22" s="1" t="str">
        <f>IF(F22=" "," ",HLOOKUP(F22,SACHAR!$AA$3:$EE$11,7,0))</f>
        <v xml:space="preserve"> </v>
      </c>
      <c r="H22" s="1" t="str">
        <f>IF(F22=" "," ",VLOOKUP(F22,'Netunei Gimlai'!$L$3:$N$19,3,0))</f>
        <v xml:space="preserve"> </v>
      </c>
      <c r="I22" t="str">
        <f>IF(F22=" "," ",HLOOKUP(F22,SACHAR!$AA$3:$EE$11,8,0))</f>
        <v xml:space="preserve"> </v>
      </c>
      <c r="J22" s="333" t="str">
        <f>IF(F22=" "," ",HLOOKUP(F22,SACHAR!$AA$3:$EE$11,4,0))</f>
        <v xml:space="preserve"> </v>
      </c>
      <c r="K22" s="192" t="str">
        <f>IF(F22=" "," ",HLOOKUP(F22,SACHAR!$AA$3:$EE$11,9,0))</f>
        <v xml:space="preserve"> </v>
      </c>
      <c r="M22" s="239" t="str">
        <f t="shared" si="0"/>
        <v xml:space="preserve"> </v>
      </c>
    </row>
    <row r="23" spans="5:13">
      <c r="E23" s="192"/>
      <c r="F23" s="332" t="str">
        <f t="shared" si="1"/>
        <v xml:space="preserve"> </v>
      </c>
      <c r="G23" s="1" t="str">
        <f>IF(F23=" "," ",HLOOKUP(F23,SACHAR!$AA$3:$EE$11,7,0))</f>
        <v xml:space="preserve"> </v>
      </c>
      <c r="H23" s="1" t="str">
        <f>IF(F23=" "," ",VLOOKUP(F23,'Netunei Gimlai'!$L$3:$N$19,3,0))</f>
        <v xml:space="preserve"> </v>
      </c>
      <c r="I23" t="str">
        <f>IF(F23=" "," ",HLOOKUP(F23,SACHAR!$AA$3:$EE$11,8,0))</f>
        <v xml:space="preserve"> </v>
      </c>
      <c r="J23" s="333" t="str">
        <f>IF(F23=" "," ",HLOOKUP(F23,SACHAR!$AA$3:$EE$11,4,0))</f>
        <v xml:space="preserve"> </v>
      </c>
      <c r="K23" s="192" t="str">
        <f>IF(F23=" "," ",HLOOKUP(F23,SACHAR!$AA$3:$EE$11,9,0))</f>
        <v xml:space="preserve"> </v>
      </c>
      <c r="M23" s="239" t="str">
        <f t="shared" si="0"/>
        <v xml:space="preserve"> </v>
      </c>
    </row>
    <row r="24" spans="5:13">
      <c r="E24" s="192"/>
      <c r="F24" s="332" t="str">
        <f t="shared" si="1"/>
        <v xml:space="preserve"> </v>
      </c>
      <c r="G24" s="1" t="str">
        <f>IF(F24=" "," ",HLOOKUP(F24,SACHAR!$AA$3:$EE$11,7,0))</f>
        <v xml:space="preserve"> </v>
      </c>
      <c r="H24" s="1" t="str">
        <f>IF(F24=" "," ",VLOOKUP(F24,'Netunei Gimlai'!$L$3:$N$19,3,0))</f>
        <v xml:space="preserve"> </v>
      </c>
      <c r="I24" t="str">
        <f>IF(F24=" "," ",HLOOKUP(F24,SACHAR!$AA$3:$EE$11,8,0))</f>
        <v xml:space="preserve"> </v>
      </c>
      <c r="J24" s="333" t="str">
        <f>IF(F24=" "," ",HLOOKUP(F24,SACHAR!$AA$3:$EE$11,4,0))</f>
        <v xml:space="preserve"> </v>
      </c>
      <c r="K24" s="192" t="str">
        <f>IF(F24=" "," ",HLOOKUP(F24,SACHAR!$AA$3:$EE$11,9,0))</f>
        <v xml:space="preserve"> </v>
      </c>
      <c r="M24" s="239" t="str">
        <f t="shared" si="0"/>
        <v xml:space="preserve"> </v>
      </c>
    </row>
    <row r="25" spans="5:13" ht="15" thickBot="1">
      <c r="E25" s="192"/>
      <c r="F25" s="334" t="str">
        <f t="shared" si="1"/>
        <v xml:space="preserve"> </v>
      </c>
      <c r="G25" s="338" t="str">
        <f>IF(F25=" "," ",HLOOKUP(F25,SACHAR!$AA$3:$EE$11,7,0))</f>
        <v xml:space="preserve"> </v>
      </c>
      <c r="H25" s="338" t="str">
        <f>IF(F25=" "," ",VLOOKUP(F25,'Netunei Gimlai'!$L$3:$N$19,3,0))</f>
        <v xml:space="preserve"> </v>
      </c>
      <c r="I25" s="237" t="str">
        <f>IF(F25=" "," ",HLOOKUP(F25,SACHAR!$AA$3:$EE$11,8,0))</f>
        <v xml:space="preserve"> </v>
      </c>
      <c r="J25" s="335" t="str">
        <f>IF(F25=" "," ",HLOOKUP(F25,SACHAR!$AA$3:$EE$11,4,0))</f>
        <v xml:space="preserve"> </v>
      </c>
      <c r="K25" s="573" t="str">
        <f>IF(F25=" "," ",HLOOKUP(F25,SACHAR!$AA$3:$EE$11,9,0))</f>
        <v xml:space="preserve"> </v>
      </c>
      <c r="L25" s="237"/>
      <c r="M25" s="238" t="str">
        <f t="shared" si="0"/>
        <v xml:space="preserve"> </v>
      </c>
    </row>
    <row r="26" spans="5:13" ht="15" thickTop="1">
      <c r="E26" s="192"/>
      <c r="G26" s="1"/>
      <c r="H26" s="1"/>
    </row>
    <row r="27" spans="5:13" ht="15" thickBot="1">
      <c r="E27" s="192"/>
    </row>
    <row r="28" spans="5:13" ht="15" thickTop="1">
      <c r="E28" s="192"/>
      <c r="I28" s="233" t="s">
        <v>33</v>
      </c>
      <c r="J28" s="234"/>
      <c r="K28" s="235">
        <f>+SACHAR!EE11</f>
        <v>4581.851764308667</v>
      </c>
    </row>
    <row r="29" spans="5:13">
      <c r="E29" s="192"/>
      <c r="I29" s="9"/>
      <c r="K29" s="10"/>
    </row>
    <row r="30" spans="5:13">
      <c r="E30" s="192"/>
      <c r="I30" s="9"/>
      <c r="J30" s="6">
        <v>3.8199999999999998E-2</v>
      </c>
      <c r="K30" s="239">
        <f>+K28*J30</f>
        <v>175.02673739659107</v>
      </c>
    </row>
    <row r="31" spans="5:13" ht="15" thickBot="1">
      <c r="E31" s="192"/>
      <c r="I31" s="9"/>
      <c r="J31" s="6"/>
      <c r="K31" s="239"/>
    </row>
    <row r="32" spans="5:13" ht="15" thickTop="1">
      <c r="E32" s="192"/>
      <c r="I32" s="233" t="s">
        <v>37</v>
      </c>
      <c r="J32" s="234"/>
      <c r="K32" s="235">
        <f>+K28+K30</f>
        <v>4756.8785017052578</v>
      </c>
    </row>
    <row r="33" spans="2:11">
      <c r="E33" s="192"/>
      <c r="I33" s="9" t="s">
        <v>2</v>
      </c>
      <c r="J33" s="6">
        <f>+'Netunei Gimlai'!B19</f>
        <v>1</v>
      </c>
      <c r="K33" s="10"/>
    </row>
    <row r="34" spans="2:11">
      <c r="E34" s="192"/>
      <c r="I34" s="9"/>
      <c r="J34" s="6"/>
      <c r="K34" s="10"/>
    </row>
    <row r="35" spans="2:11" ht="16.2">
      <c r="E35" s="232"/>
      <c r="I35" s="9" t="s">
        <v>4</v>
      </c>
      <c r="J35" s="6">
        <f>+'Netunei Gimlai'!B20</f>
        <v>0.53669999999999995</v>
      </c>
      <c r="K35" s="10"/>
    </row>
    <row r="36" spans="2:11" ht="16.8" thickBot="1">
      <c r="E36" s="232"/>
      <c r="I36" s="236" t="s">
        <v>39</v>
      </c>
      <c r="J36" s="237"/>
      <c r="K36" s="238">
        <f>+K32*J33*J35</f>
        <v>2553.0166918652117</v>
      </c>
    </row>
    <row r="37" spans="2:11" ht="15" thickTop="1">
      <c r="E37" s="192"/>
    </row>
    <row r="38" spans="2:11">
      <c r="E38" s="192"/>
    </row>
    <row r="39" spans="2:11">
      <c r="E39" s="192"/>
    </row>
    <row r="40" spans="2:11">
      <c r="E40" s="192"/>
    </row>
    <row r="41" spans="2:11">
      <c r="E41" s="192"/>
    </row>
    <row r="42" spans="2:11">
      <c r="E42" s="192"/>
    </row>
    <row r="44" spans="2:11">
      <c r="B44"/>
      <c r="E44" s="192"/>
    </row>
    <row r="45" spans="2:11">
      <c r="B45"/>
      <c r="E45" s="192"/>
    </row>
    <row r="46" spans="2:11">
      <c r="B46"/>
    </row>
    <row r="47" spans="2:11">
      <c r="B47"/>
    </row>
    <row r="48" spans="2:11">
      <c r="B48"/>
    </row>
    <row r="49" spans="2:5">
      <c r="B49"/>
    </row>
    <row r="50" spans="2:5">
      <c r="B50"/>
    </row>
    <row r="51" spans="2:5">
      <c r="B51"/>
      <c r="E51" s="192"/>
    </row>
    <row r="52" spans="2:5">
      <c r="B52"/>
      <c r="E52" s="192"/>
    </row>
    <row r="53" spans="2:5">
      <c r="B53"/>
    </row>
    <row r="54" spans="2:5">
      <c r="B54"/>
    </row>
    <row r="55" spans="2:5">
      <c r="B55"/>
      <c r="E55" s="192"/>
    </row>
    <row r="56" spans="2:5">
      <c r="B56"/>
    </row>
    <row r="57" spans="2:5">
      <c r="B57"/>
    </row>
    <row r="58" spans="2:5">
      <c r="B58"/>
    </row>
    <row r="59" spans="2:5">
      <c r="B59"/>
    </row>
    <row r="60" spans="2:5">
      <c r="B60"/>
    </row>
    <row r="61" spans="2:5">
      <c r="B61"/>
    </row>
    <row r="62" spans="2:5">
      <c r="B62"/>
    </row>
    <row r="63" spans="2:5">
      <c r="B63"/>
    </row>
    <row r="64" spans="2:5">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89" spans="2:2">
      <c r="B89"/>
    </row>
    <row r="90" spans="2:2">
      <c r="B90"/>
    </row>
    <row r="91" spans="2:2">
      <c r="B91"/>
    </row>
    <row r="92" spans="2:2">
      <c r="B92"/>
    </row>
    <row r="93" spans="2:2">
      <c r="B93"/>
    </row>
    <row r="94" spans="2:2">
      <c r="B94"/>
    </row>
    <row r="95" spans="2:2">
      <c r="B95"/>
    </row>
    <row r="96" spans="2:2">
      <c r="B96"/>
    </row>
    <row r="98" spans="2:2">
      <c r="B98" s="530"/>
    </row>
    <row r="104" spans="2:2">
      <c r="B104"/>
    </row>
    <row r="105" spans="2:2">
      <c r="B105"/>
    </row>
    <row r="106" spans="2:2">
      <c r="B106"/>
    </row>
    <row r="124" spans="2:2">
      <c r="B124"/>
    </row>
  </sheetData>
  <conditionalFormatting sqref="E9:E34 K1:K25">
    <cfRule type="notContainsBlanks" dxfId="2" priority="1">
      <formula>LEN(TRIM(E1))&gt;0</formula>
    </cfRule>
  </conditionalFormatting>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גיליון3"/>
  <dimension ref="A1:EK226"/>
  <sheetViews>
    <sheetView rightToLeft="1" topLeftCell="AJ1" zoomScaleNormal="100" workbookViewId="0">
      <selection activeCell="AT12" sqref="AT12"/>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30" width="10.33203125" bestFit="1" customWidth="1"/>
    <col min="31" max="38" width="10.33203125" customWidth="1"/>
    <col min="39" max="39" width="11" bestFit="1" customWidth="1"/>
    <col min="40" max="46" width="10.33203125" customWidth="1"/>
    <col min="47" max="47" width="11" bestFit="1" customWidth="1"/>
    <col min="48" max="48" width="11" customWidth="1"/>
    <col min="49" max="51" width="10.33203125" customWidth="1"/>
    <col min="52" max="52" width="11" bestFit="1" customWidth="1"/>
    <col min="53" max="53" width="11" customWidth="1"/>
    <col min="54" max="55" width="10.33203125" customWidth="1"/>
    <col min="56" max="66" width="11" customWidth="1"/>
    <col min="67" max="67" width="12" customWidth="1"/>
    <col min="68" max="83" width="11" customWidth="1"/>
    <col min="84" max="85" width="12" customWidth="1"/>
    <col min="86" max="86" width="10.33203125" bestFit="1" customWidth="1"/>
    <col min="87" max="87" width="10.33203125" customWidth="1"/>
    <col min="88" max="90" width="12" customWidth="1"/>
    <col min="91" max="92" width="11" customWidth="1"/>
    <col min="93" max="94" width="12" customWidth="1"/>
    <col min="95" max="102" width="11" customWidth="1"/>
    <col min="103" max="104" width="12" customWidth="1"/>
    <col min="105" max="105" width="9.44140625" bestFit="1" customWidth="1"/>
    <col min="106" max="107" width="12" customWidth="1"/>
    <col min="108" max="110" width="11" customWidth="1"/>
    <col min="111" max="111" width="12" bestFit="1" customWidth="1"/>
    <col min="112" max="112" width="10.33203125" customWidth="1"/>
    <col min="113" max="113" width="12" customWidth="1"/>
    <col min="114" max="114" width="12" bestFit="1" customWidth="1"/>
    <col min="115" max="122" width="12" customWidth="1"/>
    <col min="123" max="123" width="11" customWidth="1"/>
    <col min="124" max="124" width="11.88671875" bestFit="1" customWidth="1"/>
    <col min="125" max="125" width="10.33203125" bestFit="1" customWidth="1"/>
    <col min="126" max="126" width="10.33203125" customWidth="1"/>
    <col min="127" max="127" width="11.21875" customWidth="1"/>
    <col min="128" max="128" width="11" customWidth="1"/>
    <col min="129" max="129" width="11.21875" customWidth="1"/>
    <col min="130" max="130" width="12" customWidth="1"/>
    <col min="131" max="133" width="11.21875" customWidth="1"/>
    <col min="134" max="134" width="12" bestFit="1" customWidth="1"/>
    <col min="135" max="136" width="13.109375" bestFit="1" customWidth="1"/>
    <col min="137" max="137" width="13.109375" customWidth="1"/>
    <col min="138" max="138" width="13.109375" bestFit="1" customWidth="1"/>
    <col min="139" max="139" width="12" bestFit="1" customWidth="1"/>
    <col min="140" max="140" width="14.6640625" bestFit="1" customWidth="1"/>
    <col min="141" max="145" width="13.109375" bestFit="1" customWidth="1"/>
    <col min="146" max="146" width="12" customWidth="1"/>
    <col min="147" max="147" width="11" bestFit="1" customWidth="1"/>
    <col min="148" max="148" width="12.109375" bestFit="1" customWidth="1"/>
    <col min="149" max="150" width="9.88671875" bestFit="1" customWidth="1"/>
    <col min="151" max="153" width="11" bestFit="1" customWidth="1"/>
    <col min="154" max="154" width="8.109375" bestFit="1" customWidth="1"/>
    <col min="155" max="155" width="4.88671875" bestFit="1" customWidth="1"/>
    <col min="156" max="156" width="6" bestFit="1" customWidth="1"/>
    <col min="157" max="157" width="12" bestFit="1" customWidth="1"/>
    <col min="158" max="158" width="9.88671875" bestFit="1" customWidth="1"/>
    <col min="159" max="159" width="8.6640625" bestFit="1" customWidth="1"/>
    <col min="160" max="160" width="9.88671875" bestFit="1" customWidth="1"/>
    <col min="161" max="162" width="11" bestFit="1" customWidth="1"/>
    <col min="163" max="163" width="7.109375" bestFit="1" customWidth="1"/>
    <col min="164" max="165" width="9.88671875" bestFit="1" customWidth="1"/>
    <col min="166" max="166" width="11" bestFit="1" customWidth="1"/>
    <col min="167" max="167" width="8.33203125" bestFit="1" customWidth="1"/>
    <col min="168" max="169" width="9.88671875" bestFit="1" customWidth="1"/>
    <col min="170" max="171" width="11" bestFit="1" customWidth="1"/>
    <col min="174" max="174" width="11.88671875" bestFit="1" customWidth="1"/>
    <col min="175" max="175" width="11" bestFit="1" customWidth="1"/>
    <col min="176" max="176" width="12.109375" bestFit="1" customWidth="1"/>
    <col min="177" max="178" width="9.88671875" bestFit="1" customWidth="1"/>
    <col min="179" max="181" width="11" bestFit="1" customWidth="1"/>
    <col min="182" max="182" width="8.109375" bestFit="1" customWidth="1"/>
    <col min="183" max="183" width="4.88671875" bestFit="1" customWidth="1"/>
    <col min="184" max="184" width="6" bestFit="1" customWidth="1"/>
    <col min="185" max="185" width="11" bestFit="1" customWidth="1"/>
    <col min="186" max="186" width="9.88671875" bestFit="1" customWidth="1"/>
    <col min="187" max="187" width="8.6640625" bestFit="1" customWidth="1"/>
    <col min="188" max="188" width="9.88671875" bestFit="1" customWidth="1"/>
    <col min="189" max="190" width="11" bestFit="1" customWidth="1"/>
    <col min="192" max="192" width="9.44140625" bestFit="1" customWidth="1"/>
    <col min="193" max="193" width="7.109375" bestFit="1" customWidth="1"/>
    <col min="194" max="194" width="8.6640625" bestFit="1" customWidth="1"/>
    <col min="195" max="195" width="6" bestFit="1" customWidth="1"/>
    <col min="196" max="196" width="7.109375" bestFit="1" customWidth="1"/>
    <col min="197" max="197" width="6.6640625" bestFit="1" customWidth="1"/>
    <col min="198" max="198" width="5" bestFit="1" customWidth="1"/>
    <col min="199" max="199" width="12.109375" bestFit="1" customWidth="1"/>
    <col min="200" max="200" width="7.6640625" bestFit="1" customWidth="1"/>
    <col min="201" max="201" width="13.109375" bestFit="1" customWidth="1"/>
    <col min="202" max="202" width="12" bestFit="1" customWidth="1"/>
    <col min="203" max="203" width="8.6640625" bestFit="1" customWidth="1"/>
    <col min="204" max="204" width="13.109375" bestFit="1" customWidth="1"/>
    <col min="205" max="205" width="14.33203125" bestFit="1" customWidth="1"/>
    <col min="206" max="207" width="9.88671875" bestFit="1" customWidth="1"/>
    <col min="208" max="210" width="11" bestFit="1" customWidth="1"/>
    <col min="211" max="211" width="8.109375" bestFit="1" customWidth="1"/>
    <col min="212" max="212" width="4.88671875" bestFit="1" customWidth="1"/>
    <col min="213" max="213" width="6" bestFit="1" customWidth="1"/>
    <col min="214" max="214" width="11" bestFit="1" customWidth="1"/>
    <col min="215" max="215" width="9.88671875" bestFit="1" customWidth="1"/>
    <col min="216" max="216" width="11.88671875" bestFit="1" customWidth="1"/>
    <col min="217" max="217" width="9.88671875" bestFit="1" customWidth="1"/>
    <col min="218" max="219" width="11" bestFit="1" customWidth="1"/>
    <col min="220" max="220" width="7.109375" bestFit="1" customWidth="1"/>
    <col min="221" max="222" width="9.88671875" bestFit="1" customWidth="1"/>
    <col min="223" max="223" width="11" bestFit="1" customWidth="1"/>
    <col min="224" max="224" width="8.33203125" bestFit="1" customWidth="1"/>
    <col min="225" max="226" width="9.88671875" bestFit="1" customWidth="1"/>
    <col min="227" max="227" width="11" bestFit="1" customWidth="1"/>
    <col min="228" max="228" width="12.109375" bestFit="1" customWidth="1"/>
    <col min="229" max="229" width="11" bestFit="1" customWidth="1"/>
  </cols>
  <sheetData>
    <row r="1" spans="1:141">
      <c r="A1" s="18" t="s">
        <v>0</v>
      </c>
      <c r="B1" s="18" t="str">
        <f>+'Netunei Gimlai'!B1</f>
        <v>ישראל ישראלי</v>
      </c>
      <c r="AU1" s="319"/>
      <c r="AV1" s="319"/>
    </row>
    <row r="2" spans="1:141">
      <c r="A2" s="18" t="s">
        <v>3</v>
      </c>
      <c r="B2" s="18">
        <f>+'Netunei Gimlai'!B2</f>
        <v>11111111</v>
      </c>
    </row>
    <row r="3" spans="1:141">
      <c r="Y3" t="s">
        <v>42</v>
      </c>
      <c r="AA3">
        <f>IF(AA5=1,1,0)</f>
        <v>1</v>
      </c>
      <c r="AB3">
        <f>IF(AB5=1,AA4+1,0)</f>
        <v>0</v>
      </c>
      <c r="AC3">
        <f t="shared" ref="AC3:AF3" si="0">IF(AC5=1,AB4+1,0)</f>
        <v>0</v>
      </c>
      <c r="AD3">
        <f t="shared" si="0"/>
        <v>0</v>
      </c>
      <c r="AE3">
        <f t="shared" si="0"/>
        <v>2</v>
      </c>
      <c r="AF3">
        <f t="shared" si="0"/>
        <v>0</v>
      </c>
      <c r="AG3">
        <f t="shared" ref="AG3:AI3" si="1">IF(AG5=1,AF4+1,0)</f>
        <v>0</v>
      </c>
      <c r="AH3">
        <f t="shared" si="1"/>
        <v>0</v>
      </c>
      <c r="AI3">
        <f t="shared" si="1"/>
        <v>0</v>
      </c>
      <c r="AJ3">
        <f t="shared" ref="AJ3" si="2">IF(AJ5=1,AI4+1,0)</f>
        <v>0</v>
      </c>
      <c r="AK3">
        <f t="shared" ref="AK3" si="3">IF(AK5=1,AJ4+1,0)</f>
        <v>0</v>
      </c>
      <c r="AL3">
        <f t="shared" ref="AL3" si="4">IF(AL5=1,AK4+1,0)</f>
        <v>0</v>
      </c>
      <c r="AM3">
        <f t="shared" ref="AM3" si="5">IF(AM5=1,AL4+1,0)</f>
        <v>0</v>
      </c>
      <c r="AN3">
        <f t="shared" ref="AN3" si="6">IF(AN5=1,AM4+1,0)</f>
        <v>0</v>
      </c>
      <c r="AO3">
        <f t="shared" ref="AO3" si="7">IF(AO5=1,AN4+1,0)</f>
        <v>0</v>
      </c>
      <c r="AP3">
        <f t="shared" ref="AP3" si="8">IF(AP5=1,AO4+1,0)</f>
        <v>0</v>
      </c>
      <c r="AQ3">
        <f t="shared" ref="AQ3" si="9">IF(AQ5=1,AP4+1,0)</f>
        <v>0</v>
      </c>
      <c r="AR3">
        <f t="shared" ref="AR3" si="10">IF(AR5=1,AQ4+1,0)</f>
        <v>0</v>
      </c>
      <c r="AS3">
        <f t="shared" ref="AS3" si="11">IF(AS5=1,AR4+1,0)</f>
        <v>0</v>
      </c>
      <c r="AT3">
        <f t="shared" ref="AT3" si="12">IF(AT5=1,AS4+1,0)</f>
        <v>3</v>
      </c>
      <c r="AU3">
        <f t="shared" ref="AU3" si="13">IF(AU5=1,AT4+1,0)</f>
        <v>0</v>
      </c>
      <c r="AV3">
        <f t="shared" ref="AV3" si="14">IF(AV5=1,AU4+1,0)</f>
        <v>0</v>
      </c>
      <c r="AW3">
        <f t="shared" ref="AW3" si="15">IF(AW5=1,AV4+1,0)</f>
        <v>0</v>
      </c>
      <c r="AX3">
        <f t="shared" ref="AX3" si="16">IF(AX5=1,AW4+1,0)</f>
        <v>0</v>
      </c>
      <c r="AY3">
        <f t="shared" ref="AY3" si="17">IF(AY5=1,AX4+1,0)</f>
        <v>0</v>
      </c>
      <c r="AZ3">
        <f t="shared" ref="AZ3" si="18">IF(AZ5=1,AY4+1,0)</f>
        <v>0</v>
      </c>
      <c r="BA3">
        <f t="shared" ref="BA3" si="19">IF(BA5=1,AZ4+1,0)</f>
        <v>0</v>
      </c>
      <c r="BB3">
        <f t="shared" ref="BB3" si="20">IF(BB5=1,BA4+1,0)</f>
        <v>4</v>
      </c>
      <c r="BC3">
        <f t="shared" ref="BC3" si="21">IF(BC5=1,BB4+1,0)</f>
        <v>0</v>
      </c>
      <c r="BD3">
        <f t="shared" ref="BD3" si="22">IF(BD5=1,BC4+1,0)</f>
        <v>5</v>
      </c>
      <c r="BE3">
        <f t="shared" ref="BE3" si="23">IF(BE5=1,BD4+1,0)</f>
        <v>0</v>
      </c>
      <c r="BF3">
        <f t="shared" ref="BF3" si="24">IF(BF5=1,BE4+1,0)</f>
        <v>0</v>
      </c>
      <c r="BG3">
        <f t="shared" ref="BG3" si="25">IF(BG5=1,BF4+1,0)</f>
        <v>0</v>
      </c>
      <c r="BH3">
        <f t="shared" ref="BH3" si="26">IF(BH5=1,BG4+1,0)</f>
        <v>0</v>
      </c>
      <c r="BI3">
        <f t="shared" ref="BI3" si="27">IF(BI5=1,BH4+1,0)</f>
        <v>0</v>
      </c>
      <c r="BJ3">
        <f t="shared" ref="BJ3" si="28">IF(BJ5=1,BI4+1,0)</f>
        <v>0</v>
      </c>
      <c r="BK3">
        <f t="shared" ref="BK3" si="29">IF(BK5=1,BJ4+1,0)</f>
        <v>0</v>
      </c>
      <c r="BL3">
        <f t="shared" ref="BL3" si="30">IF(BL5=1,BK4+1,0)</f>
        <v>0</v>
      </c>
      <c r="BM3">
        <f t="shared" ref="BM3" si="31">IF(BM5=1,BL4+1,0)</f>
        <v>0</v>
      </c>
      <c r="BN3">
        <f t="shared" ref="BN3" si="32">IF(BN5=1,BM4+1,0)</f>
        <v>0</v>
      </c>
      <c r="BO3">
        <f t="shared" ref="BO3" si="33">IF(BO5=1,BN4+1,0)</f>
        <v>0</v>
      </c>
      <c r="BP3">
        <f t="shared" ref="BP3" si="34">IF(BP5=1,BO4+1,0)</f>
        <v>0</v>
      </c>
      <c r="BQ3">
        <f t="shared" ref="BQ3" si="35">IF(BQ5=1,BP4+1,0)</f>
        <v>0</v>
      </c>
      <c r="BR3">
        <f t="shared" ref="BR3" si="36">IF(BR5=1,BQ4+1,0)</f>
        <v>0</v>
      </c>
      <c r="BS3">
        <f t="shared" ref="BS3" si="37">IF(BS5=1,BR4+1,0)</f>
        <v>0</v>
      </c>
      <c r="BT3">
        <f t="shared" ref="BT3" si="38">IF(BT5=1,BS4+1,0)</f>
        <v>0</v>
      </c>
      <c r="BU3">
        <f t="shared" ref="BU3" si="39">IF(BU5=1,BT4+1,0)</f>
        <v>0</v>
      </c>
      <c r="BV3">
        <f t="shared" ref="BV3" si="40">IF(BV5=1,BU4+1,0)</f>
        <v>0</v>
      </c>
      <c r="BW3">
        <f t="shared" ref="BW3" si="41">IF(BW5=1,BV4+1,0)</f>
        <v>0</v>
      </c>
      <c r="BX3">
        <f t="shared" ref="BX3" si="42">IF(BX5=1,BW4+1,0)</f>
        <v>0</v>
      </c>
      <c r="BY3">
        <f t="shared" ref="BY3" si="43">IF(BY5=1,BX4+1,0)</f>
        <v>0</v>
      </c>
      <c r="BZ3">
        <f t="shared" ref="BZ3" si="44">IF(BZ5=1,BY4+1,0)</f>
        <v>0</v>
      </c>
      <c r="CA3">
        <f t="shared" ref="CA3" si="45">IF(CA5=1,BZ4+1,0)</f>
        <v>0</v>
      </c>
      <c r="CB3">
        <f t="shared" ref="CB3" si="46">IF(CB5=1,CA4+1,0)</f>
        <v>0</v>
      </c>
      <c r="CC3">
        <f t="shared" ref="CC3" si="47">IF(CC5=1,CB4+1,0)</f>
        <v>0</v>
      </c>
      <c r="CD3">
        <f t="shared" ref="CD3" si="48">IF(CD5=1,CC4+1,0)</f>
        <v>0</v>
      </c>
      <c r="CE3">
        <f t="shared" ref="CE3" si="49">IF(CE5=1,CD4+1,0)</f>
        <v>0</v>
      </c>
      <c r="CF3">
        <f t="shared" ref="CF3" si="50">IF(CF5=1,CE4+1,0)</f>
        <v>0</v>
      </c>
      <c r="CG3">
        <f t="shared" ref="CG3" si="51">IF(CG5=1,CF4+1,0)</f>
        <v>0</v>
      </c>
      <c r="CH3">
        <f t="shared" ref="CH3" si="52">IF(CH5=1,CG4+1,0)</f>
        <v>0</v>
      </c>
      <c r="CI3">
        <f t="shared" ref="CI3" si="53">IF(CI5=1,CH4+1,0)</f>
        <v>0</v>
      </c>
      <c r="CJ3">
        <f t="shared" ref="CJ3" si="54">IF(CJ5=1,CI4+1,0)</f>
        <v>0</v>
      </c>
      <c r="CK3">
        <f t="shared" ref="CK3" si="55">IF(CK5=1,CJ4+1,0)</f>
        <v>0</v>
      </c>
      <c r="CL3">
        <f t="shared" ref="CL3" si="56">IF(CL5=1,CK4+1,0)</f>
        <v>0</v>
      </c>
      <c r="CM3">
        <f t="shared" ref="CM3" si="57">IF(CM5=1,CL4+1,0)</f>
        <v>0</v>
      </c>
      <c r="CN3">
        <f t="shared" ref="CN3" si="58">IF(CN5=1,CM4+1,0)</f>
        <v>0</v>
      </c>
      <c r="CO3">
        <f t="shared" ref="CO3" si="59">IF(CO5=1,CN4+1,0)</f>
        <v>0</v>
      </c>
      <c r="CP3">
        <f t="shared" ref="CP3" si="60">IF(CP5=1,CO4+1,0)</f>
        <v>0</v>
      </c>
      <c r="CQ3">
        <f t="shared" ref="CQ3" si="61">IF(CQ5=1,CP4+1,0)</f>
        <v>0</v>
      </c>
      <c r="CR3">
        <f t="shared" ref="CR3" si="62">IF(CR5=1,CQ4+1,0)</f>
        <v>0</v>
      </c>
      <c r="CS3">
        <f t="shared" ref="CS3" si="63">IF(CS5=1,CR4+1,0)</f>
        <v>0</v>
      </c>
      <c r="CT3">
        <f t="shared" ref="CT3" si="64">IF(CT5=1,CS4+1,0)</f>
        <v>0</v>
      </c>
      <c r="CU3">
        <f t="shared" ref="CU3" si="65">IF(CU5=1,CT4+1,0)</f>
        <v>0</v>
      </c>
      <c r="CV3">
        <f t="shared" ref="CV3" si="66">IF(CV5=1,CU4+1,0)</f>
        <v>0</v>
      </c>
      <c r="CW3">
        <f t="shared" ref="CW3" si="67">IF(CW5=1,CV4+1,0)</f>
        <v>0</v>
      </c>
      <c r="CX3">
        <f t="shared" ref="CX3" si="68">IF(CX5=1,CW4+1,0)</f>
        <v>0</v>
      </c>
      <c r="CY3">
        <f t="shared" ref="CY3" si="69">IF(CY5=1,CX4+1,0)</f>
        <v>6</v>
      </c>
      <c r="CZ3">
        <f t="shared" ref="CZ3" si="70">IF(CZ5=1,CY4+1,0)</f>
        <v>0</v>
      </c>
      <c r="DA3">
        <f t="shared" ref="DA3" si="71">IF(DA5=1,CZ4+1,0)</f>
        <v>7</v>
      </c>
      <c r="DB3">
        <f t="shared" ref="DB3" si="72">IF(DB5=1,DA4+1,0)</f>
        <v>0</v>
      </c>
      <c r="DC3">
        <f t="shared" ref="DC3" si="73">IF(DC5=1,DB4+1,0)</f>
        <v>0</v>
      </c>
      <c r="DD3">
        <f t="shared" ref="DD3" si="74">IF(DD5=1,DC4+1,0)</f>
        <v>0</v>
      </c>
      <c r="DE3">
        <f t="shared" ref="DE3" si="75">IF(DE5=1,DD4+1,0)</f>
        <v>0</v>
      </c>
      <c r="DF3">
        <f t="shared" ref="DF3" si="76">IF(DF5=1,DE4+1,0)</f>
        <v>0</v>
      </c>
      <c r="DG3">
        <f t="shared" ref="DG3" si="77">IF(DG5=1,DF4+1,0)</f>
        <v>0</v>
      </c>
      <c r="DH3">
        <f t="shared" ref="DH3" si="78">IF(DH5=1,DG4+1,0)</f>
        <v>0</v>
      </c>
      <c r="DI3">
        <f t="shared" ref="DI3" si="79">IF(DI5=1,DH4+1,0)</f>
        <v>0</v>
      </c>
      <c r="DJ3">
        <f t="shared" ref="DJ3" si="80">IF(DJ5=1,DI4+1,0)</f>
        <v>0</v>
      </c>
      <c r="DK3">
        <f t="shared" ref="DK3" si="81">IF(DK5=1,DJ4+1,0)</f>
        <v>0</v>
      </c>
      <c r="DL3">
        <f t="shared" ref="DL3" si="82">IF(DL5=1,DK4+1,0)</f>
        <v>0</v>
      </c>
      <c r="DM3">
        <f t="shared" ref="DM3" si="83">IF(DM5=1,DL4+1,0)</f>
        <v>0</v>
      </c>
      <c r="DN3">
        <f t="shared" ref="DN3" si="84">IF(DN5=1,DM4+1,0)</f>
        <v>0</v>
      </c>
      <c r="DO3">
        <f t="shared" ref="DO3" si="85">IF(DO5=1,DN4+1,0)</f>
        <v>0</v>
      </c>
      <c r="DP3">
        <f t="shared" ref="DP3" si="86">IF(DP5=1,DO4+1,0)</f>
        <v>0</v>
      </c>
      <c r="DQ3">
        <f t="shared" ref="DQ3" si="87">IF(DQ5=1,DP4+1,0)</f>
        <v>0</v>
      </c>
      <c r="DR3">
        <f t="shared" ref="DR3" si="88">IF(DR5=1,DQ4+1,0)</f>
        <v>0</v>
      </c>
      <c r="DS3">
        <f t="shared" ref="DS3" si="89">IF(DS5=1,DR4+1,0)</f>
        <v>0</v>
      </c>
      <c r="DT3">
        <f t="shared" ref="DT3" si="90">IF(DT5=1,DS4+1,0)</f>
        <v>0</v>
      </c>
      <c r="DU3">
        <f t="shared" ref="DU3" si="91">IF(DU5=1,DT4+1,0)</f>
        <v>0</v>
      </c>
      <c r="DV3">
        <f t="shared" ref="DV3" si="92">IF(DV5=1,DU4+1,0)</f>
        <v>0</v>
      </c>
      <c r="DW3">
        <f t="shared" ref="DW3" si="93">IF(DW5=1,DV4+1,0)</f>
        <v>0</v>
      </c>
      <c r="DX3">
        <f t="shared" ref="DX3" si="94">IF(DX5=1,DW4+1,0)</f>
        <v>0</v>
      </c>
      <c r="DY3">
        <f t="shared" ref="DY3" si="95">IF(DY5=1,DX4+1,0)</f>
        <v>0</v>
      </c>
      <c r="DZ3">
        <f t="shared" ref="DZ3" si="96">IF(DZ5=1,DY4+1,0)</f>
        <v>0</v>
      </c>
      <c r="EA3">
        <f t="shared" ref="EA3" si="97">IF(EA5=1,DZ4+1,0)</f>
        <v>8</v>
      </c>
      <c r="EB3">
        <f t="shared" ref="EB3" si="98">IF(EB5=1,EA4+1,0)</f>
        <v>9</v>
      </c>
      <c r="EC3">
        <f t="shared" ref="EC3" si="99">IF(EC5=1,EB4+1,0)</f>
        <v>0</v>
      </c>
      <c r="ED3">
        <f t="shared" ref="ED3" si="100">IF(ED5=1,EC4+1,0)</f>
        <v>0</v>
      </c>
      <c r="EE3">
        <f t="shared" ref="EE3" si="101">IF(EE5=1,ED4+1,0)</f>
        <v>10</v>
      </c>
      <c r="EF3">
        <f t="shared" ref="EF3" si="102">IF(EF5=1,EE4+1,0)</f>
        <v>11</v>
      </c>
      <c r="EG3">
        <f t="shared" ref="EG3" si="103">IF(EG5=1,EF4+1,0)</f>
        <v>12</v>
      </c>
      <c r="EH3">
        <f t="shared" ref="EH3" si="104">IF(EH5=1,EG4+1,0)</f>
        <v>0</v>
      </c>
      <c r="EI3">
        <f t="shared" ref="EI3" si="105">IF(EI5=1,EH4+1,0)</f>
        <v>0</v>
      </c>
    </row>
    <row r="4" spans="1:141">
      <c r="Y4" t="s">
        <v>43</v>
      </c>
      <c r="AA4">
        <f>IF(AA5=1,1,0)</f>
        <v>1</v>
      </c>
      <c r="AB4">
        <f>IF(AB5=1,AA4+1,AA4)</f>
        <v>1</v>
      </c>
      <c r="AC4">
        <f t="shared" ref="AC4:AF4" si="106">IF(AC5=1,AB4+1,AB4)</f>
        <v>1</v>
      </c>
      <c r="AD4">
        <f t="shared" si="106"/>
        <v>1</v>
      </c>
      <c r="AE4">
        <f t="shared" si="106"/>
        <v>2</v>
      </c>
      <c r="AF4">
        <f t="shared" si="106"/>
        <v>2</v>
      </c>
      <c r="AG4">
        <f t="shared" ref="AG4:AI4" si="107">IF(AG5=1,AF4+1,AF4)</f>
        <v>2</v>
      </c>
      <c r="AH4">
        <f t="shared" si="107"/>
        <v>2</v>
      </c>
      <c r="AI4">
        <f t="shared" si="107"/>
        <v>2</v>
      </c>
      <c r="AJ4">
        <f t="shared" ref="AJ4" si="108">IF(AJ5=1,AI4+1,AI4)</f>
        <v>2</v>
      </c>
      <c r="AK4">
        <f t="shared" ref="AK4" si="109">IF(AK5=1,AJ4+1,AJ4)</f>
        <v>2</v>
      </c>
      <c r="AL4">
        <f t="shared" ref="AL4" si="110">IF(AL5=1,AK4+1,AK4)</f>
        <v>2</v>
      </c>
      <c r="AM4">
        <f t="shared" ref="AM4" si="111">IF(AM5=1,AL4+1,AL4)</f>
        <v>2</v>
      </c>
      <c r="AN4">
        <f t="shared" ref="AN4" si="112">IF(AN5=1,AM4+1,AM4)</f>
        <v>2</v>
      </c>
      <c r="AO4">
        <f t="shared" ref="AO4" si="113">IF(AO5=1,AN4+1,AN4)</f>
        <v>2</v>
      </c>
      <c r="AP4">
        <f t="shared" ref="AP4" si="114">IF(AP5=1,AO4+1,AO4)</f>
        <v>2</v>
      </c>
      <c r="AQ4">
        <f t="shared" ref="AQ4" si="115">IF(AQ5=1,AP4+1,AP4)</f>
        <v>2</v>
      </c>
      <c r="AR4">
        <f t="shared" ref="AR4" si="116">IF(AR5=1,AQ4+1,AQ4)</f>
        <v>2</v>
      </c>
      <c r="AS4">
        <f t="shared" ref="AS4" si="117">IF(AS5=1,AR4+1,AR4)</f>
        <v>2</v>
      </c>
      <c r="AT4">
        <f t="shared" ref="AT4" si="118">IF(AT5=1,AS4+1,AS4)</f>
        <v>3</v>
      </c>
      <c r="AU4">
        <f t="shared" ref="AU4" si="119">IF(AU5=1,AT4+1,AT4)</f>
        <v>3</v>
      </c>
      <c r="AV4">
        <f t="shared" ref="AV4" si="120">IF(AV5=1,AU4+1,AU4)</f>
        <v>3</v>
      </c>
      <c r="AW4">
        <f t="shared" ref="AW4" si="121">IF(AW5=1,AV4+1,AV4)</f>
        <v>3</v>
      </c>
      <c r="AX4">
        <f t="shared" ref="AX4" si="122">IF(AX5=1,AW4+1,AW4)</f>
        <v>3</v>
      </c>
      <c r="AY4">
        <f t="shared" ref="AY4" si="123">IF(AY5=1,AX4+1,AX4)</f>
        <v>3</v>
      </c>
      <c r="AZ4">
        <f t="shared" ref="AZ4" si="124">IF(AZ5=1,AY4+1,AY4)</f>
        <v>3</v>
      </c>
      <c r="BA4">
        <f t="shared" ref="BA4" si="125">IF(BA5=1,AZ4+1,AZ4)</f>
        <v>3</v>
      </c>
      <c r="BB4">
        <f t="shared" ref="BB4" si="126">IF(BB5=1,BA4+1,BA4)</f>
        <v>4</v>
      </c>
      <c r="BC4">
        <f t="shared" ref="BC4" si="127">IF(BC5=1,BB4+1,BB4)</f>
        <v>4</v>
      </c>
      <c r="BD4">
        <f t="shared" ref="BD4" si="128">IF(BD5=1,BC4+1,BC4)</f>
        <v>5</v>
      </c>
      <c r="BE4">
        <f t="shared" ref="BE4" si="129">IF(BE5=1,BD4+1,BD4)</f>
        <v>5</v>
      </c>
      <c r="BF4">
        <f t="shared" ref="BF4" si="130">IF(BF5=1,BE4+1,BE4)</f>
        <v>5</v>
      </c>
      <c r="BG4">
        <f t="shared" ref="BG4" si="131">IF(BG5=1,BF4+1,BF4)</f>
        <v>5</v>
      </c>
      <c r="BH4">
        <f t="shared" ref="BH4" si="132">IF(BH5=1,BG4+1,BG4)</f>
        <v>5</v>
      </c>
      <c r="BI4">
        <f t="shared" ref="BI4" si="133">IF(BI5=1,BH4+1,BH4)</f>
        <v>5</v>
      </c>
      <c r="BJ4">
        <f t="shared" ref="BJ4" si="134">IF(BJ5=1,BI4+1,BI4)</f>
        <v>5</v>
      </c>
      <c r="BK4">
        <f t="shared" ref="BK4" si="135">IF(BK5=1,BJ4+1,BJ4)</f>
        <v>5</v>
      </c>
      <c r="BL4">
        <f t="shared" ref="BL4" si="136">IF(BL5=1,BK4+1,BK4)</f>
        <v>5</v>
      </c>
      <c r="BM4">
        <f t="shared" ref="BM4" si="137">IF(BM5=1,BL4+1,BL4)</f>
        <v>5</v>
      </c>
      <c r="BN4">
        <f t="shared" ref="BN4" si="138">IF(BN5=1,BM4+1,BM4)</f>
        <v>5</v>
      </c>
      <c r="BO4">
        <f t="shared" ref="BO4" si="139">IF(BO5=1,BN4+1,BN4)</f>
        <v>5</v>
      </c>
      <c r="BP4">
        <f t="shared" ref="BP4" si="140">IF(BP5=1,BO4+1,BO4)</f>
        <v>5</v>
      </c>
      <c r="BQ4">
        <f t="shared" ref="BQ4" si="141">IF(BQ5=1,BP4+1,BP4)</f>
        <v>5</v>
      </c>
      <c r="BR4">
        <f t="shared" ref="BR4" si="142">IF(BR5=1,BQ4+1,BQ4)</f>
        <v>5</v>
      </c>
      <c r="BS4">
        <f t="shared" ref="BS4" si="143">IF(BS5=1,BR4+1,BR4)</f>
        <v>5</v>
      </c>
      <c r="BT4">
        <f t="shared" ref="BT4" si="144">IF(BT5=1,BS4+1,BS4)</f>
        <v>5</v>
      </c>
      <c r="BU4">
        <f t="shared" ref="BU4" si="145">IF(BU5=1,BT4+1,BT4)</f>
        <v>5</v>
      </c>
      <c r="BV4">
        <f t="shared" ref="BV4" si="146">IF(BV5=1,BU4+1,BU4)</f>
        <v>5</v>
      </c>
      <c r="BW4">
        <f t="shared" ref="BW4" si="147">IF(BW5=1,BV4+1,BV4)</f>
        <v>5</v>
      </c>
      <c r="BX4">
        <f t="shared" ref="BX4" si="148">IF(BX5=1,BW4+1,BW4)</f>
        <v>5</v>
      </c>
      <c r="BY4">
        <f t="shared" ref="BY4" si="149">IF(BY5=1,BX4+1,BX4)</f>
        <v>5</v>
      </c>
      <c r="BZ4">
        <f t="shared" ref="BZ4" si="150">IF(BZ5=1,BY4+1,BY4)</f>
        <v>5</v>
      </c>
      <c r="CA4">
        <f t="shared" ref="CA4" si="151">IF(CA5=1,BZ4+1,BZ4)</f>
        <v>5</v>
      </c>
      <c r="CB4">
        <f t="shared" ref="CB4" si="152">IF(CB5=1,CA4+1,CA4)</f>
        <v>5</v>
      </c>
      <c r="CC4">
        <f t="shared" ref="CC4" si="153">IF(CC5=1,CB4+1,CB4)</f>
        <v>5</v>
      </c>
      <c r="CD4">
        <f t="shared" ref="CD4" si="154">IF(CD5=1,CC4+1,CC4)</f>
        <v>5</v>
      </c>
      <c r="CE4">
        <f t="shared" ref="CE4" si="155">IF(CE5=1,CD4+1,CD4)</f>
        <v>5</v>
      </c>
      <c r="CF4">
        <f t="shared" ref="CF4" si="156">IF(CF5=1,CE4+1,CE4)</f>
        <v>5</v>
      </c>
      <c r="CG4">
        <f t="shared" ref="CG4" si="157">IF(CG5=1,CF4+1,CF4)</f>
        <v>5</v>
      </c>
      <c r="CH4">
        <f t="shared" ref="CH4" si="158">IF(CH5=1,CG4+1,CG4)</f>
        <v>5</v>
      </c>
      <c r="CI4">
        <f t="shared" ref="CI4" si="159">IF(CI5=1,CH4+1,CH4)</f>
        <v>5</v>
      </c>
      <c r="CJ4">
        <f t="shared" ref="CJ4" si="160">IF(CJ5=1,CI4+1,CI4)</f>
        <v>5</v>
      </c>
      <c r="CK4">
        <f t="shared" ref="CK4" si="161">IF(CK5=1,CJ4+1,CJ4)</f>
        <v>5</v>
      </c>
      <c r="CL4">
        <f t="shared" ref="CL4" si="162">IF(CL5=1,CK4+1,CK4)</f>
        <v>5</v>
      </c>
      <c r="CM4">
        <f t="shared" ref="CM4" si="163">IF(CM5=1,CL4+1,CL4)</f>
        <v>5</v>
      </c>
      <c r="CN4">
        <f t="shared" ref="CN4" si="164">IF(CN5=1,CM4+1,CM4)</f>
        <v>5</v>
      </c>
      <c r="CO4">
        <f t="shared" ref="CO4" si="165">IF(CO5=1,CN4+1,CN4)</f>
        <v>5</v>
      </c>
      <c r="CP4">
        <f t="shared" ref="CP4" si="166">IF(CP5=1,CO4+1,CO4)</f>
        <v>5</v>
      </c>
      <c r="CQ4">
        <f t="shared" ref="CQ4" si="167">IF(CQ5=1,CP4+1,CP4)</f>
        <v>5</v>
      </c>
      <c r="CR4">
        <f t="shared" ref="CR4" si="168">IF(CR5=1,CQ4+1,CQ4)</f>
        <v>5</v>
      </c>
      <c r="CS4">
        <f t="shared" ref="CS4" si="169">IF(CS5=1,CR4+1,CR4)</f>
        <v>5</v>
      </c>
      <c r="CT4">
        <f t="shared" ref="CT4" si="170">IF(CT5=1,CS4+1,CS4)</f>
        <v>5</v>
      </c>
      <c r="CU4">
        <f t="shared" ref="CU4" si="171">IF(CU5=1,CT4+1,CT4)</f>
        <v>5</v>
      </c>
      <c r="CV4">
        <f t="shared" ref="CV4" si="172">IF(CV5=1,CU4+1,CU4)</f>
        <v>5</v>
      </c>
      <c r="CW4">
        <f t="shared" ref="CW4" si="173">IF(CW5=1,CV4+1,CV4)</f>
        <v>5</v>
      </c>
      <c r="CX4">
        <f t="shared" ref="CX4" si="174">IF(CX5=1,CW4+1,CW4)</f>
        <v>5</v>
      </c>
      <c r="CY4">
        <f t="shared" ref="CY4" si="175">IF(CY5=1,CX4+1,CX4)</f>
        <v>6</v>
      </c>
      <c r="CZ4">
        <f t="shared" ref="CZ4" si="176">IF(CZ5=1,CY4+1,CY4)</f>
        <v>6</v>
      </c>
      <c r="DA4">
        <f t="shared" ref="DA4" si="177">IF(DA5=1,CZ4+1,CZ4)</f>
        <v>7</v>
      </c>
      <c r="DB4">
        <f t="shared" ref="DB4" si="178">IF(DB5=1,DA4+1,DA4)</f>
        <v>7</v>
      </c>
      <c r="DC4">
        <f t="shared" ref="DC4" si="179">IF(DC5=1,DB4+1,DB4)</f>
        <v>7</v>
      </c>
      <c r="DD4">
        <f t="shared" ref="DD4" si="180">IF(DD5=1,DC4+1,DC4)</f>
        <v>7</v>
      </c>
      <c r="DE4">
        <f t="shared" ref="DE4" si="181">IF(DE5=1,DD4+1,DD4)</f>
        <v>7</v>
      </c>
      <c r="DF4">
        <f t="shared" ref="DF4" si="182">IF(DF5=1,DE4+1,DE4)</f>
        <v>7</v>
      </c>
      <c r="DG4">
        <f t="shared" ref="DG4" si="183">IF(DG5=1,DF4+1,DF4)</f>
        <v>7</v>
      </c>
      <c r="DH4">
        <f t="shared" ref="DH4" si="184">IF(DH5=1,DG4+1,DG4)</f>
        <v>7</v>
      </c>
      <c r="DI4">
        <f t="shared" ref="DI4" si="185">IF(DI5=1,DH4+1,DH4)</f>
        <v>7</v>
      </c>
      <c r="DJ4">
        <f t="shared" ref="DJ4" si="186">IF(DJ5=1,DI4+1,DI4)</f>
        <v>7</v>
      </c>
      <c r="DK4">
        <f t="shared" ref="DK4" si="187">IF(DK5=1,DJ4+1,DJ4)</f>
        <v>7</v>
      </c>
      <c r="DL4">
        <f t="shared" ref="DL4" si="188">IF(DL5=1,DK4+1,DK4)</f>
        <v>7</v>
      </c>
      <c r="DM4">
        <f t="shared" ref="DM4" si="189">IF(DM5=1,DL4+1,DL4)</f>
        <v>7</v>
      </c>
      <c r="DN4">
        <f t="shared" ref="DN4" si="190">IF(DN5=1,DM4+1,DM4)</f>
        <v>7</v>
      </c>
      <c r="DO4">
        <f t="shared" ref="DO4" si="191">IF(DO5=1,DN4+1,DN4)</f>
        <v>7</v>
      </c>
      <c r="DP4">
        <f t="shared" ref="DP4" si="192">IF(DP5=1,DO4+1,DO4)</f>
        <v>7</v>
      </c>
      <c r="DQ4">
        <f t="shared" ref="DQ4" si="193">IF(DQ5=1,DP4+1,DP4)</f>
        <v>7</v>
      </c>
      <c r="DR4">
        <f t="shared" ref="DR4" si="194">IF(DR5=1,DQ4+1,DQ4)</f>
        <v>7</v>
      </c>
      <c r="DS4">
        <f t="shared" ref="DS4" si="195">IF(DS5=1,DR4+1,DR4)</f>
        <v>7</v>
      </c>
      <c r="DT4">
        <f t="shared" ref="DT4" si="196">IF(DT5=1,DS4+1,DS4)</f>
        <v>7</v>
      </c>
      <c r="DU4">
        <f t="shared" ref="DU4" si="197">IF(DU5=1,DT4+1,DT4)</f>
        <v>7</v>
      </c>
      <c r="DV4">
        <f t="shared" ref="DV4" si="198">IF(DV5=1,DU4+1,DU4)</f>
        <v>7</v>
      </c>
      <c r="DW4">
        <f t="shared" ref="DW4" si="199">IF(DW5=1,DV4+1,DV4)</f>
        <v>7</v>
      </c>
      <c r="DX4">
        <f t="shared" ref="DX4" si="200">IF(DX5=1,DW4+1,DW4)</f>
        <v>7</v>
      </c>
      <c r="DY4">
        <f t="shared" ref="DY4" si="201">IF(DY5=1,DX4+1,DX4)</f>
        <v>7</v>
      </c>
      <c r="DZ4">
        <f t="shared" ref="DZ4" si="202">IF(DZ5=1,DY4+1,DY4)</f>
        <v>7</v>
      </c>
      <c r="EA4">
        <f t="shared" ref="EA4" si="203">IF(EA5=1,DZ4+1,DZ4)</f>
        <v>8</v>
      </c>
      <c r="EB4">
        <f t="shared" ref="EB4" si="204">IF(EB5=1,EA4+1,EA4)</f>
        <v>9</v>
      </c>
      <c r="EC4">
        <f t="shared" ref="EC4" si="205">IF(EC5=1,EB4+1,EB4)</f>
        <v>9</v>
      </c>
      <c r="ED4">
        <f t="shared" ref="ED4" si="206">IF(ED5=1,EC4+1,EC4)</f>
        <v>9</v>
      </c>
      <c r="EE4">
        <f t="shared" ref="EE4" si="207">IF(EE5=1,ED4+1,ED4)</f>
        <v>10</v>
      </c>
      <c r="EF4">
        <f t="shared" ref="EF4" si="208">IF(EF5=1,EE4+1,EE4)</f>
        <v>11</v>
      </c>
      <c r="EG4">
        <f t="shared" ref="EG4" si="209">IF(EG5=1,EF4+1,EF4)</f>
        <v>12</v>
      </c>
    </row>
    <row r="5" spans="1:141">
      <c r="Y5" t="s">
        <v>44</v>
      </c>
      <c r="AA5">
        <f>IF(AA11&gt;0,1,0)</f>
        <v>1</v>
      </c>
      <c r="AB5">
        <f>IF(AB11&gt;0,1,0)</f>
        <v>0</v>
      </c>
      <c r="AC5">
        <f t="shared" ref="AC5:AF5" si="210">IF(AC11&gt;0,1,0)</f>
        <v>0</v>
      </c>
      <c r="AD5">
        <f t="shared" si="210"/>
        <v>0</v>
      </c>
      <c r="AE5">
        <f t="shared" si="210"/>
        <v>1</v>
      </c>
      <c r="AF5">
        <f t="shared" si="210"/>
        <v>0</v>
      </c>
      <c r="AG5">
        <f t="shared" ref="AG5:AK5" si="211">IF(AG11&gt;0,1,0)</f>
        <v>0</v>
      </c>
      <c r="AH5">
        <f t="shared" si="211"/>
        <v>0</v>
      </c>
      <c r="AI5">
        <f t="shared" si="211"/>
        <v>0</v>
      </c>
      <c r="AJ5">
        <f t="shared" ref="AJ5:AL5" si="212">IF(AJ11&gt;0,1,0)</f>
        <v>0</v>
      </c>
      <c r="AK5">
        <f t="shared" si="212"/>
        <v>0</v>
      </c>
      <c r="AL5">
        <f t="shared" si="212"/>
        <v>0</v>
      </c>
      <c r="AM5">
        <f t="shared" ref="AL5:AM5" si="213">IF(AM11&gt;0,1,0)</f>
        <v>0</v>
      </c>
      <c r="AN5">
        <f t="shared" ref="AM5:AN5" si="214">IF(AN11&gt;0,1,0)</f>
        <v>0</v>
      </c>
      <c r="AO5">
        <f t="shared" ref="AO5:AP5" si="215">IF(AO11&gt;0,1,0)</f>
        <v>0</v>
      </c>
      <c r="AP5">
        <f t="shared" si="215"/>
        <v>0</v>
      </c>
      <c r="AQ5">
        <f t="shared" ref="AP5:AS5" si="216">IF(AQ11&gt;0,1,0)</f>
        <v>0</v>
      </c>
      <c r="AR5">
        <f t="shared" si="216"/>
        <v>0</v>
      </c>
      <c r="AS5">
        <f t="shared" si="216"/>
        <v>0</v>
      </c>
      <c r="AT5">
        <f t="shared" ref="AT5:AU5" si="217">IF(AT11&gt;0,1,0)</f>
        <v>1</v>
      </c>
      <c r="AU5">
        <f t="shared" si="217"/>
        <v>0</v>
      </c>
      <c r="AV5">
        <f t="shared" ref="AU5:AW5" si="218">IF(AV11&gt;0,1,0)</f>
        <v>0</v>
      </c>
      <c r="AW5">
        <f t="shared" si="218"/>
        <v>0</v>
      </c>
      <c r="AX5">
        <f t="shared" ref="AX5:AY5" si="219">IF(AX11&gt;0,1,0)</f>
        <v>0</v>
      </c>
      <c r="AY5">
        <f t="shared" si="219"/>
        <v>0</v>
      </c>
      <c r="AZ5">
        <f t="shared" ref="AZ5" si="220">IF(AZ11&gt;0,1,0)</f>
        <v>0</v>
      </c>
      <c r="BA5">
        <f t="shared" ref="BA5:BB5" si="221">IF(BA11&gt;0,1,0)</f>
        <v>0</v>
      </c>
      <c r="BB5">
        <f t="shared" si="221"/>
        <v>1</v>
      </c>
      <c r="BC5">
        <f t="shared" ref="BC5:BD5" si="222">IF(BC11&gt;0,1,0)</f>
        <v>0</v>
      </c>
      <c r="BD5">
        <f t="shared" si="222"/>
        <v>1</v>
      </c>
      <c r="BE5">
        <f t="shared" ref="BE5" si="223">IF(BE11&gt;0,1,0)</f>
        <v>0</v>
      </c>
      <c r="BF5">
        <f t="shared" ref="BF5:BG5" si="224">IF(BF11&gt;0,1,0)</f>
        <v>0</v>
      </c>
      <c r="BG5">
        <f t="shared" si="224"/>
        <v>0</v>
      </c>
      <c r="BH5">
        <f t="shared" ref="BH5" si="225">IF(BH11&gt;0,1,0)</f>
        <v>0</v>
      </c>
      <c r="BI5">
        <f t="shared" ref="BI5:BJ5" si="226">IF(BI11&gt;0,1,0)</f>
        <v>0</v>
      </c>
      <c r="BJ5">
        <f t="shared" si="226"/>
        <v>0</v>
      </c>
      <c r="BK5">
        <f t="shared" ref="BK5" si="227">IF(BK11&gt;0,1,0)</f>
        <v>0</v>
      </c>
      <c r="BL5">
        <f t="shared" ref="BL5" si="228">IF(BL11&gt;0,1,0)</f>
        <v>0</v>
      </c>
      <c r="BM5">
        <f t="shared" ref="BM5" si="229">IF(BM11&gt;0,1,0)</f>
        <v>0</v>
      </c>
      <c r="BN5">
        <f t="shared" ref="BN5" si="230">IF(BN11&gt;0,1,0)</f>
        <v>0</v>
      </c>
      <c r="BO5">
        <f t="shared" ref="BO5:BT5" si="231">IF(BO11&gt;0,1,0)</f>
        <v>0</v>
      </c>
      <c r="BP5">
        <f t="shared" si="231"/>
        <v>0</v>
      </c>
      <c r="BQ5">
        <f t="shared" ref="BQ5:BT5" si="232">IF(BQ11&gt;0,1,0)</f>
        <v>0</v>
      </c>
      <c r="BR5">
        <f t="shared" ref="BR5:BT5" si="233">IF(BR11&gt;0,1,0)</f>
        <v>0</v>
      </c>
      <c r="BS5">
        <f t="shared" si="233"/>
        <v>0</v>
      </c>
      <c r="BT5">
        <f t="shared" si="233"/>
        <v>0</v>
      </c>
      <c r="BU5">
        <f t="shared" ref="BU5:CF5" si="234">IF(BU11&gt;0,1,0)</f>
        <v>0</v>
      </c>
      <c r="BV5">
        <f t="shared" si="234"/>
        <v>0</v>
      </c>
      <c r="BW5">
        <f t="shared" si="234"/>
        <v>0</v>
      </c>
      <c r="BX5">
        <f t="shared" si="234"/>
        <v>0</v>
      </c>
      <c r="BY5">
        <f t="shared" si="234"/>
        <v>0</v>
      </c>
      <c r="BZ5">
        <f t="shared" si="234"/>
        <v>0</v>
      </c>
      <c r="CA5">
        <f t="shared" si="234"/>
        <v>0</v>
      </c>
      <c r="CB5">
        <f t="shared" si="234"/>
        <v>0</v>
      </c>
      <c r="CC5">
        <f t="shared" si="234"/>
        <v>0</v>
      </c>
      <c r="CD5">
        <f t="shared" si="234"/>
        <v>0</v>
      </c>
      <c r="CE5">
        <f t="shared" si="234"/>
        <v>0</v>
      </c>
      <c r="CF5">
        <f t="shared" si="234"/>
        <v>0</v>
      </c>
      <c r="CG5">
        <f t="shared" ref="CG5:CP5" si="235">IF(CG11&gt;0,1,0)</f>
        <v>0</v>
      </c>
      <c r="CH5">
        <f t="shared" si="235"/>
        <v>0</v>
      </c>
      <c r="CI5">
        <f t="shared" si="235"/>
        <v>0</v>
      </c>
      <c r="CJ5">
        <f t="shared" si="235"/>
        <v>0</v>
      </c>
      <c r="CK5">
        <f t="shared" si="235"/>
        <v>0</v>
      </c>
      <c r="CL5">
        <f t="shared" si="235"/>
        <v>0</v>
      </c>
      <c r="CM5">
        <f t="shared" si="235"/>
        <v>0</v>
      </c>
      <c r="CN5">
        <f t="shared" si="235"/>
        <v>0</v>
      </c>
      <c r="CO5">
        <f t="shared" si="235"/>
        <v>0</v>
      </c>
      <c r="CP5">
        <f t="shared" si="235"/>
        <v>0</v>
      </c>
      <c r="CQ5">
        <f t="shared" ref="CQ5:EF5" si="236">IF(CQ11&gt;0,1,0)</f>
        <v>0</v>
      </c>
      <c r="CR5">
        <f t="shared" si="236"/>
        <v>0</v>
      </c>
      <c r="CS5">
        <f t="shared" si="236"/>
        <v>0</v>
      </c>
      <c r="CT5">
        <f t="shared" si="236"/>
        <v>0</v>
      </c>
      <c r="CU5">
        <f t="shared" si="236"/>
        <v>0</v>
      </c>
      <c r="CV5">
        <f t="shared" si="236"/>
        <v>0</v>
      </c>
      <c r="CW5">
        <f t="shared" si="236"/>
        <v>0</v>
      </c>
      <c r="CX5">
        <f t="shared" si="236"/>
        <v>0</v>
      </c>
      <c r="CY5">
        <f t="shared" si="236"/>
        <v>1</v>
      </c>
      <c r="CZ5">
        <f t="shared" si="236"/>
        <v>0</v>
      </c>
      <c r="DA5">
        <f t="shared" ref="DA5:DB5" si="237">IF(DA11&gt;0,1,0)</f>
        <v>1</v>
      </c>
      <c r="DB5">
        <f t="shared" si="237"/>
        <v>0</v>
      </c>
      <c r="DC5">
        <f t="shared" si="236"/>
        <v>0</v>
      </c>
      <c r="DD5">
        <f t="shared" si="236"/>
        <v>0</v>
      </c>
      <c r="DE5">
        <f t="shared" si="236"/>
        <v>0</v>
      </c>
      <c r="DF5">
        <f t="shared" si="236"/>
        <v>0</v>
      </c>
      <c r="DG5">
        <f t="shared" si="236"/>
        <v>0</v>
      </c>
      <c r="DH5">
        <f t="shared" si="236"/>
        <v>0</v>
      </c>
      <c r="DI5">
        <f t="shared" si="236"/>
        <v>0</v>
      </c>
      <c r="DJ5">
        <f t="shared" si="236"/>
        <v>0</v>
      </c>
      <c r="DK5">
        <f t="shared" si="236"/>
        <v>0</v>
      </c>
      <c r="DL5">
        <f t="shared" si="236"/>
        <v>0</v>
      </c>
      <c r="DM5">
        <f t="shared" si="236"/>
        <v>0</v>
      </c>
      <c r="DN5">
        <f t="shared" si="236"/>
        <v>0</v>
      </c>
      <c r="DO5">
        <f t="shared" si="236"/>
        <v>0</v>
      </c>
      <c r="DP5">
        <f t="shared" si="236"/>
        <v>0</v>
      </c>
      <c r="DQ5">
        <f t="shared" si="236"/>
        <v>0</v>
      </c>
      <c r="DR5">
        <f t="shared" si="236"/>
        <v>0</v>
      </c>
      <c r="DS5">
        <f t="shared" si="236"/>
        <v>0</v>
      </c>
      <c r="DT5">
        <f t="shared" si="236"/>
        <v>0</v>
      </c>
      <c r="DU5">
        <f t="shared" si="236"/>
        <v>0</v>
      </c>
      <c r="DV5">
        <f t="shared" si="236"/>
        <v>0</v>
      </c>
      <c r="DW5">
        <f t="shared" si="236"/>
        <v>0</v>
      </c>
      <c r="DX5">
        <f t="shared" si="236"/>
        <v>0</v>
      </c>
      <c r="DY5">
        <f t="shared" si="236"/>
        <v>0</v>
      </c>
      <c r="DZ5">
        <f t="shared" ref="DZ5:EC5" si="238">IF(DZ11&gt;0,1,0)</f>
        <v>0</v>
      </c>
      <c r="EA5">
        <f t="shared" si="238"/>
        <v>1</v>
      </c>
      <c r="EB5">
        <f t="shared" si="238"/>
        <v>1</v>
      </c>
      <c r="EC5">
        <f t="shared" si="238"/>
        <v>0</v>
      </c>
      <c r="ED5">
        <f t="shared" si="236"/>
        <v>0</v>
      </c>
      <c r="EE5">
        <f t="shared" si="236"/>
        <v>1</v>
      </c>
      <c r="EF5">
        <f t="shared" si="236"/>
        <v>1</v>
      </c>
      <c r="EG5">
        <f t="shared" ref="EG5" si="239">IF(EG11&gt;0,1,0)</f>
        <v>1</v>
      </c>
    </row>
    <row r="6" spans="1:141">
      <c r="X6" s="79"/>
      <c r="Y6" t="s">
        <v>45</v>
      </c>
      <c r="AA6" s="84" t="str">
        <f t="shared" ref="AA6:AB6" si="240">IF(AA7=0," ",AA7)</f>
        <v xml:space="preserve"> </v>
      </c>
      <c r="AB6" s="84" t="str">
        <f t="shared" si="240"/>
        <v xml:space="preserve"> </v>
      </c>
      <c r="AC6" s="84" t="str">
        <f t="shared" ref="AC6" si="241">IF(AC7=0," ",AC7)</f>
        <v xml:space="preserve"> </v>
      </c>
      <c r="AD6" s="84" t="str">
        <f t="shared" ref="AD6:AY6" si="242">IF(AD7=0," ",AD7)</f>
        <v xml:space="preserve"> </v>
      </c>
      <c r="AE6" s="84" t="str">
        <f t="shared" si="242"/>
        <v xml:space="preserve"> </v>
      </c>
      <c r="AF6" s="84" t="str">
        <f t="shared" si="242"/>
        <v xml:space="preserve"> </v>
      </c>
      <c r="AG6" s="84" t="str">
        <f t="shared" si="242"/>
        <v xml:space="preserve"> </v>
      </c>
      <c r="AH6" s="84" t="str">
        <f t="shared" si="242"/>
        <v xml:space="preserve"> </v>
      </c>
      <c r="AI6" s="84" t="str">
        <f t="shared" si="242"/>
        <v xml:space="preserve"> </v>
      </c>
      <c r="AJ6" s="84" t="str">
        <f t="shared" si="242"/>
        <v xml:space="preserve"> </v>
      </c>
      <c r="AK6" s="84" t="str">
        <f t="shared" si="242"/>
        <v xml:space="preserve"> </v>
      </c>
      <c r="AL6" s="84" t="str">
        <f t="shared" si="242"/>
        <v xml:space="preserve"> </v>
      </c>
      <c r="AM6" s="84" t="str">
        <f t="shared" si="242"/>
        <v xml:space="preserve"> </v>
      </c>
      <c r="AN6" s="84" t="str">
        <f t="shared" si="242"/>
        <v xml:space="preserve"> </v>
      </c>
      <c r="AO6" s="84" t="str">
        <f t="shared" si="242"/>
        <v xml:space="preserve"> </v>
      </c>
      <c r="AP6" s="84"/>
      <c r="AQ6" s="84" t="str">
        <f t="shared" si="242"/>
        <v xml:space="preserve"> </v>
      </c>
      <c r="AR6" s="84" t="str">
        <f t="shared" si="242"/>
        <v xml:space="preserve"> </v>
      </c>
      <c r="AS6" s="84" t="str">
        <f t="shared" si="242"/>
        <v xml:space="preserve"> </v>
      </c>
      <c r="AT6" s="84" t="str">
        <f t="shared" si="242"/>
        <v xml:space="preserve"> </v>
      </c>
      <c r="AU6" s="84" t="str">
        <f t="shared" si="242"/>
        <v xml:space="preserve"> </v>
      </c>
      <c r="AV6" s="84"/>
      <c r="AW6" s="84" t="str">
        <f>IF(AW7=0," ",AW7)</f>
        <v xml:space="preserve"> </v>
      </c>
      <c r="AX6" s="84"/>
      <c r="AY6" s="84" t="str">
        <f t="shared" si="242"/>
        <v xml:space="preserve"> </v>
      </c>
      <c r="AZ6" s="84" t="str">
        <f>IF(AZ7=0," ",AZ7)</f>
        <v xml:space="preserve"> </v>
      </c>
      <c r="BA6" s="84" t="str">
        <f t="shared" ref="BA6:BB6" si="243">IF(BA7=0," ",BA7)</f>
        <v xml:space="preserve"> </v>
      </c>
      <c r="BB6" s="84" t="str">
        <f t="shared" si="243"/>
        <v xml:space="preserve"> </v>
      </c>
      <c r="BC6" s="84"/>
      <c r="BD6" s="84">
        <f>IF(BD7=0," ",BD7)</f>
        <v>0.3</v>
      </c>
      <c r="BE6" s="84" t="str">
        <f>IF(BE7=0," "," ")</f>
        <v xml:space="preserve"> </v>
      </c>
      <c r="BF6" s="84"/>
      <c r="BG6" s="84" t="str">
        <f>IF(BG7=0," "," ")</f>
        <v xml:space="preserve"> </v>
      </c>
      <c r="BH6" s="84" t="str">
        <f>IF(BH7=0," "," ")</f>
        <v xml:space="preserve"> </v>
      </c>
      <c r="BI6" s="84" t="str">
        <f t="shared" ref="BI6" si="244">IF(BI7=0," ",BI7)</f>
        <v xml:space="preserve"> </v>
      </c>
      <c r="BJ6" s="84" t="str">
        <f>IF(BJ7=0," ",BJ7)</f>
        <v xml:space="preserve"> </v>
      </c>
      <c r="BK6" s="84"/>
      <c r="BL6" s="84" t="str">
        <f>IF(BL7=0," "," ")</f>
        <v xml:space="preserve"> </v>
      </c>
      <c r="BM6" s="84"/>
      <c r="BN6" s="84"/>
      <c r="BO6" s="224" t="str">
        <f>IF(BO7=0," ",BO7)</f>
        <v xml:space="preserve"> </v>
      </c>
      <c r="BP6" s="84" t="str">
        <f>IF(BP7=0," "," ")</f>
        <v xml:space="preserve"> </v>
      </c>
      <c r="BQ6" s="84" t="str">
        <f>IF(BQ7=0," "," ")</f>
        <v xml:space="preserve"> </v>
      </c>
      <c r="BR6" s="84"/>
      <c r="BS6" s="84" t="str">
        <f>IF(BS7=0," "," ")</f>
        <v xml:space="preserve"> </v>
      </c>
      <c r="BT6" s="84" t="str">
        <f>IF(BT7=0," ",BT7)</f>
        <v xml:space="preserve"> </v>
      </c>
      <c r="BU6" s="84"/>
      <c r="BV6" s="84"/>
      <c r="BW6" s="84"/>
      <c r="BX6" s="84"/>
      <c r="BY6" s="84" t="str">
        <f>IF(BY7=0," "," ")</f>
        <v xml:space="preserve"> </v>
      </c>
      <c r="BZ6" s="84" t="str">
        <f>IF(BZ7=0," "," ")</f>
        <v xml:space="preserve"> </v>
      </c>
      <c r="CA6" s="84"/>
      <c r="CB6" s="84" t="str">
        <f>IF(CB7=0," ",CB7)</f>
        <v xml:space="preserve"> </v>
      </c>
      <c r="CC6" s="84" t="str">
        <f>IF(CC7=0," "," ")</f>
        <v xml:space="preserve"> </v>
      </c>
      <c r="CD6" s="84"/>
      <c r="CE6" s="84" t="str">
        <f>IF(CE7=0," "," ")</f>
        <v xml:space="preserve"> </v>
      </c>
      <c r="CF6" s="224" t="str">
        <f>IF(CF7=0," ",CF7)</f>
        <v xml:space="preserve"> </v>
      </c>
      <c r="CG6" s="224" t="str">
        <f>IF(CG7=0," ",CG7)</f>
        <v xml:space="preserve"> </v>
      </c>
      <c r="CH6" s="84" t="str">
        <f t="shared" ref="CH6" si="245">IF(CH7=0," ",CH7)</f>
        <v xml:space="preserve"> </v>
      </c>
      <c r="CI6" s="84" t="str">
        <f t="shared" ref="CI6" si="246">IF(CI7=0," ",CI7)</f>
        <v xml:space="preserve"> </v>
      </c>
      <c r="CJ6" s="224" t="str">
        <f t="shared" ref="CJ6" si="247">IF(CJ7=0," ",CJ7)</f>
        <v xml:space="preserve"> </v>
      </c>
      <c r="CK6" s="224"/>
      <c r="CL6" s="224" t="str">
        <f>IF(CL7=0," ",CL7)</f>
        <v xml:space="preserve"> </v>
      </c>
      <c r="CM6" s="84" t="str">
        <f t="shared" ref="CM6:CP6" si="248">IF(CM7=0," ",CM7)</f>
        <v xml:space="preserve"> </v>
      </c>
      <c r="CN6" s="84" t="str">
        <f t="shared" si="248"/>
        <v xml:space="preserve"> </v>
      </c>
      <c r="CO6" s="84" t="str">
        <f t="shared" si="248"/>
        <v xml:space="preserve"> </v>
      </c>
      <c r="CP6" s="84" t="str">
        <f t="shared" si="248"/>
        <v xml:space="preserve"> </v>
      </c>
      <c r="CQ6" s="84" t="str">
        <f>IF(CQ7=0," "," ")</f>
        <v xml:space="preserve"> </v>
      </c>
      <c r="CR6" s="84" t="str">
        <f>IF(CR7=0," "," ")</f>
        <v xml:space="preserve"> </v>
      </c>
      <c r="CS6" s="84" t="str">
        <f>IF(CS7=0," ",CS7)</f>
        <v xml:space="preserve"> </v>
      </c>
      <c r="CT6" s="84" t="str">
        <f>IF(CT7=0," ",CT7)</f>
        <v xml:space="preserve"> </v>
      </c>
      <c r="CU6" s="84" t="str">
        <f>IF(CU7=0," ",CU7)</f>
        <v xml:space="preserve"> </v>
      </c>
      <c r="CV6" s="84" t="str">
        <f>IF(CV7=0," ",CV7)</f>
        <v xml:space="preserve"> </v>
      </c>
      <c r="CW6" s="84" t="str">
        <f>IF(CW7=0," ",CW7)</f>
        <v xml:space="preserve"> </v>
      </c>
      <c r="CX6" s="84" t="str">
        <f>IF(CX7=0," "," ")</f>
        <v xml:space="preserve"> </v>
      </c>
      <c r="CY6" s="84">
        <f>IF(CY7=0," ",CY7)</f>
        <v>3.5999999999999997E-2</v>
      </c>
      <c r="CZ6" s="224" t="str">
        <f>IF(CZ7=0," ",CZ7)</f>
        <v xml:space="preserve"> </v>
      </c>
      <c r="DA6" s="84">
        <f>IF(DA7=0," ",DA7)</f>
        <v>0.04</v>
      </c>
      <c r="DB6" s="224" t="str">
        <f>IF(DB7=0," "," ")</f>
        <v xml:space="preserve"> </v>
      </c>
      <c r="DC6" s="224" t="str">
        <f>IF(DC7=0," ",DC7)</f>
        <v xml:space="preserve"> </v>
      </c>
      <c r="DD6" s="84" t="str">
        <f t="shared" ref="DD6" si="249">IF(DD7=0," ",DD7)</f>
        <v xml:space="preserve"> </v>
      </c>
      <c r="DE6" s="84" t="str">
        <f>IF(DE7=0," ",DE7)</f>
        <v xml:space="preserve"> </v>
      </c>
      <c r="DF6" s="84" t="str">
        <f>IF(DF7=0," ",DF7)</f>
        <v xml:space="preserve"> </v>
      </c>
      <c r="DG6" s="84" t="str">
        <f>IF(DG7=0," ",DG7)</f>
        <v xml:space="preserve"> </v>
      </c>
      <c r="DH6" s="84" t="str">
        <f t="shared" ref="DH6" si="250">IF(DH7=0," ",DH7)</f>
        <v xml:space="preserve"> </v>
      </c>
      <c r="DI6" s="224" t="str">
        <f>IF(DI7=0," ",DI7)</f>
        <v xml:space="preserve"> </v>
      </c>
      <c r="DJ6" s="84" t="str">
        <f>IF(DJ7=0," ",DJ7)</f>
        <v xml:space="preserve"> </v>
      </c>
      <c r="DK6" s="224" t="str">
        <f>IF(DK7=0," ",DK7)</f>
        <v xml:space="preserve"> </v>
      </c>
      <c r="DL6" s="84" t="str">
        <f>IF(DL7=0," "," ")</f>
        <v xml:space="preserve"> </v>
      </c>
      <c r="DM6" s="224"/>
      <c r="DN6" s="224" t="str">
        <f>IF(DN7=0," ",DN7)</f>
        <v xml:space="preserve"> </v>
      </c>
      <c r="DO6" s="224" t="str">
        <f>IF(DO7=0," ",DO7)</f>
        <v xml:space="preserve"> </v>
      </c>
      <c r="DP6" s="84" t="str">
        <f>IF(DP7=0," "," ")</f>
        <v xml:space="preserve"> </v>
      </c>
      <c r="DQ6" s="224" t="str">
        <f>IF(DQ7=0," ",DQ7)</f>
        <v xml:space="preserve"> </v>
      </c>
      <c r="DR6" s="84" t="str">
        <f>IF(DR7=0," ",DR7)</f>
        <v xml:space="preserve"> </v>
      </c>
      <c r="DS6" s="84" t="str">
        <f>IF(DS7=0," ",DS7)</f>
        <v xml:space="preserve"> </v>
      </c>
      <c r="DT6" s="224" t="str">
        <f t="shared" ref="DT6" si="251">IF(DT7=0," ",DT7)</f>
        <v xml:space="preserve"> </v>
      </c>
      <c r="DU6" s="84" t="str">
        <f t="shared" ref="DU6" si="252">IF(DU7=0," ",DU7)</f>
        <v xml:space="preserve"> </v>
      </c>
      <c r="DV6" s="84" t="str">
        <f>IF(DV7=0," ",DV7)</f>
        <v xml:space="preserve"> </v>
      </c>
      <c r="DW6" s="224" t="str">
        <f>IF(DW7=0," ",DW7)</f>
        <v xml:space="preserve"> </v>
      </c>
      <c r="DX6" s="84" t="str">
        <f>IF(DX7=0," ",DX7)</f>
        <v xml:space="preserve"> </v>
      </c>
      <c r="DY6" s="224"/>
      <c r="DZ6" s="84" t="str">
        <f t="shared" ref="DZ6" si="253">IF(DZ7=0," ",DZ7)</f>
        <v xml:space="preserve"> </v>
      </c>
      <c r="EA6" s="2" t="str">
        <f t="shared" ref="EA6:EG6" si="254">IF(EA7=0," ",EA7)</f>
        <v xml:space="preserve"> </v>
      </c>
      <c r="EB6" s="2" t="str">
        <f t="shared" si="254"/>
        <v xml:space="preserve"> </v>
      </c>
      <c r="EC6" s="2" t="str">
        <f t="shared" si="254"/>
        <v xml:space="preserve"> </v>
      </c>
      <c r="ED6" s="84"/>
      <c r="EE6" s="2" t="str">
        <f t="shared" si="254"/>
        <v xml:space="preserve"> </v>
      </c>
      <c r="EF6" s="2" t="str">
        <f t="shared" si="254"/>
        <v xml:space="preserve"> </v>
      </c>
      <c r="EG6" s="2" t="str">
        <f t="shared" si="254"/>
        <v xml:space="preserve"> </v>
      </c>
    </row>
    <row r="7" spans="1:141">
      <c r="Y7" t="s">
        <v>46</v>
      </c>
      <c r="AD7" s="243" t="str">
        <f>IF('tosafot '!Q2=9%,9%," ")</f>
        <v xml:space="preserve"> </v>
      </c>
      <c r="AE7" s="243"/>
      <c r="AF7" s="243"/>
      <c r="AG7" s="243"/>
      <c r="AH7" s="243"/>
      <c r="AI7" s="243"/>
      <c r="AJ7" s="243">
        <f>+'tosafot '!AU2</f>
        <v>0</v>
      </c>
      <c r="AK7" s="243"/>
      <c r="AL7" s="243"/>
      <c r="AM7" s="217">
        <f>IF(A11=0," ",'tosafot '!W2)</f>
        <v>0</v>
      </c>
      <c r="AN7" s="243"/>
      <c r="AO7" s="243"/>
      <c r="AP7" s="243"/>
      <c r="AQ7" s="217">
        <f>IF(A11=0," ",'tosafot '!Y2)</f>
        <v>0</v>
      </c>
      <c r="AS7" s="243"/>
      <c r="AT7" s="243"/>
      <c r="AU7" s="217">
        <f>IF(A11=0," ",'tosafot '!BW2)</f>
        <v>0</v>
      </c>
      <c r="AV7" s="217"/>
      <c r="AY7" s="217">
        <f>IF(A11=0," ",'tosafot '!BY2)</f>
        <v>0</v>
      </c>
      <c r="AZ7" s="217">
        <f>IF(A11=0," ",'tosafot '!CA2)</f>
        <v>0</v>
      </c>
      <c r="BA7" s="217">
        <f>+'tosafot '!AZ2</f>
        <v>0</v>
      </c>
      <c r="BB7" s="317"/>
      <c r="BC7" s="317"/>
      <c r="BD7" s="243">
        <f>IF(A11=0," ",'tosafot '!AD2)</f>
        <v>0.3</v>
      </c>
      <c r="BE7" s="243"/>
      <c r="BF7" s="243"/>
      <c r="BG7" s="243"/>
      <c r="BH7" s="243" t="str">
        <f>IF(A11=0," "," ")</f>
        <v xml:space="preserve"> </v>
      </c>
      <c r="BI7" s="243">
        <f>IF(A11=0," ",'tosafot '!BE2)</f>
        <v>0</v>
      </c>
      <c r="BJ7" s="243">
        <f>IF(A11=0," ",'tosafot '!BF2)</f>
        <v>0</v>
      </c>
      <c r="BK7" s="243"/>
      <c r="BL7" s="243"/>
      <c r="BM7" s="243"/>
      <c r="BN7" s="243"/>
      <c r="BP7" s="243"/>
      <c r="BQ7" s="243"/>
      <c r="BR7" s="243"/>
      <c r="BS7" s="243"/>
      <c r="BT7" s="243">
        <f>IF(A11=0," ",'tosafot '!CO2)</f>
        <v>0</v>
      </c>
      <c r="BU7" s="243"/>
      <c r="BV7" s="243"/>
      <c r="BW7" s="243"/>
      <c r="BX7" s="243"/>
      <c r="BY7" s="243"/>
      <c r="BZ7" s="243"/>
      <c r="CA7" s="243"/>
      <c r="CB7" s="399">
        <f>+'tosafot '!CQ2</f>
        <v>0</v>
      </c>
      <c r="CC7" s="401">
        <f>+'tosafot '!CR2</f>
        <v>0</v>
      </c>
      <c r="CD7" s="243"/>
      <c r="CE7" s="191">
        <f>+'tosafot '!CT2</f>
        <v>0</v>
      </c>
      <c r="CI7" s="245">
        <f>+'tosafot '!DZ2</f>
        <v>0</v>
      </c>
      <c r="CM7" s="134">
        <f>+'tosafot '!BM2</f>
        <v>0</v>
      </c>
      <c r="CN7" s="134"/>
      <c r="CO7" s="134">
        <f>+'tosafot '!BO2</f>
        <v>0</v>
      </c>
      <c r="CP7" s="134">
        <f>+'tosafot '!BP2</f>
        <v>0</v>
      </c>
      <c r="CQ7" s="191">
        <f>+'tosafot '!CY2</f>
        <v>0</v>
      </c>
      <c r="CR7" s="191">
        <f>+'tosafot '!CZ3</f>
        <v>0</v>
      </c>
      <c r="CS7" s="134">
        <f>+'tosafot '!DA2</f>
        <v>0</v>
      </c>
      <c r="CT7" s="6">
        <f>+'tosafot '!DD2</f>
        <v>0</v>
      </c>
      <c r="CU7" s="6">
        <f>+'tosafot '!BO2</f>
        <v>0</v>
      </c>
      <c r="CV7" s="134">
        <f>+'tosafot '!DB2</f>
        <v>0</v>
      </c>
      <c r="CW7" s="399">
        <f>+'tosafot '!DC2</f>
        <v>0</v>
      </c>
      <c r="CX7" s="243" t="str">
        <f>IF(A11=0," "," ")</f>
        <v xml:space="preserve"> </v>
      </c>
      <c r="CY7" s="134">
        <f>+'tosafot '!CN3</f>
        <v>3.5999999999999997E-2</v>
      </c>
      <c r="CZ7" s="243"/>
      <c r="DA7" s="134">
        <f>IF(A11=0," ",'tosafot '!M2)</f>
        <v>0.04</v>
      </c>
      <c r="DB7" s="6"/>
      <c r="DC7" s="6">
        <f>+'tosafot '!BQ2</f>
        <v>0</v>
      </c>
      <c r="DD7" s="243">
        <f>+'tosafot '!DE2</f>
        <v>0</v>
      </c>
      <c r="DE7" s="243">
        <f>+'tosafot '!BR2</f>
        <v>0</v>
      </c>
      <c r="DF7" s="243">
        <f>+'tosafot '!CJ2</f>
        <v>0</v>
      </c>
      <c r="DG7" s="134">
        <f>+'tosafot '!CP3</f>
        <v>0</v>
      </c>
      <c r="DI7" s="243"/>
      <c r="DJ7" s="134">
        <f>+'tos kibutzi'!M1</f>
        <v>0</v>
      </c>
      <c r="DK7" s="243">
        <f>+'tosafot '!AM2</f>
        <v>0</v>
      </c>
      <c r="DL7" s="134"/>
      <c r="DR7" s="134">
        <f>+'tosafot '!DI2</f>
        <v>0</v>
      </c>
      <c r="DS7" s="243"/>
      <c r="DT7" s="244">
        <f>+'heskem 2016'!B5</f>
        <v>0</v>
      </c>
      <c r="DW7" s="245">
        <f>+'tosafot '!EB3</f>
        <v>0</v>
      </c>
      <c r="DX7" s="243"/>
      <c r="DY7" s="245"/>
      <c r="DZ7" s="134"/>
      <c r="EA7" s="131"/>
      <c r="EB7" s="245"/>
      <c r="EC7" s="245"/>
      <c r="ED7" s="127">
        <f>+'tosafot '!CX2</f>
        <v>0</v>
      </c>
    </row>
    <row r="8" spans="1:141">
      <c r="Y8" t="s">
        <v>92</v>
      </c>
      <c r="AD8" s="243"/>
      <c r="AE8" s="243"/>
      <c r="AF8" s="243"/>
      <c r="AG8" s="243"/>
      <c r="AH8" s="243"/>
      <c r="AI8" s="243"/>
      <c r="AJ8" s="243"/>
      <c r="AK8" s="243"/>
      <c r="AL8" s="243"/>
      <c r="AM8" s="243"/>
      <c r="AN8" s="243"/>
      <c r="AO8" s="243"/>
      <c r="AP8" s="243"/>
      <c r="AQ8" s="243"/>
      <c r="AS8" s="243"/>
      <c r="AT8" s="243"/>
      <c r="AU8" s="243"/>
      <c r="AV8" s="243"/>
      <c r="AY8" s="243"/>
      <c r="AZ8" s="217"/>
      <c r="BA8" s="217"/>
      <c r="BB8" s="243"/>
      <c r="BC8" s="243"/>
      <c r="BD8" s="243"/>
      <c r="BE8" s="243"/>
      <c r="BF8" s="243"/>
      <c r="BG8" s="243"/>
      <c r="BH8" s="243"/>
      <c r="BI8" s="243"/>
      <c r="BJ8" s="243"/>
      <c r="BK8" s="243"/>
      <c r="BL8" s="243"/>
      <c r="BM8" s="243"/>
      <c r="BN8" s="243"/>
      <c r="BO8" s="131">
        <f>+'tosafot '!DQ2</f>
        <v>0</v>
      </c>
      <c r="BP8" s="243"/>
      <c r="BQ8" s="243"/>
      <c r="BR8" s="243"/>
      <c r="BS8" s="243"/>
      <c r="BT8" s="243"/>
      <c r="BU8" s="243"/>
      <c r="BV8" s="243"/>
      <c r="BW8" s="243"/>
      <c r="BX8" s="243"/>
      <c r="BY8" s="243"/>
      <c r="BZ8" s="191">
        <f>+'tosafot '!BL2</f>
        <v>0</v>
      </c>
      <c r="CA8" s="243"/>
      <c r="CB8" s="243"/>
      <c r="CC8" s="243"/>
      <c r="CD8" s="243"/>
      <c r="CE8" s="243"/>
      <c r="CF8" s="131">
        <f>+'tosafot '!CE2</f>
        <v>0</v>
      </c>
      <c r="CG8" s="131">
        <f>+'tosafot '!CF2</f>
        <v>0</v>
      </c>
      <c r="CH8" s="18">
        <f>+'tosafot '!DY2</f>
        <v>0</v>
      </c>
      <c r="CI8" s="245"/>
      <c r="CJ8" s="131">
        <f>+'tosafot '!DV2</f>
        <v>0</v>
      </c>
      <c r="CK8" s="131">
        <f>+'tosafot '!AL2</f>
        <v>0</v>
      </c>
      <c r="CL8" s="131">
        <f>+'tosafot '!CG2</f>
        <v>0</v>
      </c>
      <c r="CM8" s="243"/>
      <c r="CN8" s="401">
        <f>+'tosafot '!BN2</f>
        <v>0</v>
      </c>
      <c r="CO8" s="131"/>
      <c r="CP8" s="131"/>
      <c r="CQ8" s="243"/>
      <c r="CR8" s="243"/>
      <c r="CS8" s="243"/>
      <c r="CT8" s="191"/>
      <c r="CU8" s="191"/>
      <c r="CV8" s="243"/>
      <c r="CW8" s="243"/>
      <c r="CX8" s="191">
        <f>+'tosafot '!BP2</f>
        <v>0</v>
      </c>
      <c r="CY8" s="134"/>
      <c r="CZ8" s="131">
        <f>+'4550'!D13</f>
        <v>0</v>
      </c>
      <c r="DA8" s="134"/>
      <c r="DB8" s="131">
        <f>+'tosafot '!DU2</f>
        <v>0</v>
      </c>
      <c r="DC8" s="131"/>
      <c r="DD8" s="191"/>
      <c r="DE8" s="191"/>
      <c r="DF8" s="131"/>
      <c r="DG8" s="134"/>
      <c r="DH8">
        <f>+'tosafot '!BS2</f>
        <v>0</v>
      </c>
      <c r="DI8" s="337">
        <f>+'tosafot '!DF2</f>
        <v>0</v>
      </c>
      <c r="DJ8" s="134"/>
      <c r="DK8" s="243"/>
      <c r="DL8" s="191">
        <f>+'tosafot '!DG2</f>
        <v>0</v>
      </c>
      <c r="DM8" s="131">
        <f>+'tosafot '!CK2</f>
        <v>0</v>
      </c>
      <c r="DN8" s="131">
        <f>+'tosafot '!CL2</f>
        <v>0</v>
      </c>
      <c r="DO8" s="131">
        <f>+'tosafot '!DH2</f>
        <v>0</v>
      </c>
      <c r="DP8" s="131">
        <f>+'tosafot '!BT2</f>
        <v>0</v>
      </c>
      <c r="DQ8" s="131">
        <f>+'tosafot '!CU2</f>
        <v>0</v>
      </c>
      <c r="DR8" s="243"/>
      <c r="DS8" s="131">
        <f>+'tosafot '!AP2</f>
        <v>0</v>
      </c>
      <c r="DT8" s="244"/>
      <c r="DV8" s="131">
        <f>+'tosafot '!EA3</f>
        <v>0</v>
      </c>
      <c r="DX8" s="131">
        <f>+'tosafot '!DK2</f>
        <v>0</v>
      </c>
      <c r="DY8" s="131">
        <f>+'tosafot '!AQ2</f>
        <v>0</v>
      </c>
      <c r="DZ8" s="191">
        <f>+'tosafot '!DL2</f>
        <v>0</v>
      </c>
      <c r="EB8" s="131">
        <f>+sminimum!M6</f>
        <v>8.6194255897967196</v>
      </c>
      <c r="EC8" s="131">
        <f>+'Netunei Gimlai'!B18</f>
        <v>0</v>
      </c>
      <c r="ED8" s="598">
        <f>+'tosafot '!CX3</f>
        <v>0</v>
      </c>
    </row>
    <row r="9" spans="1:141" ht="15" thickBot="1">
      <c r="B9" s="18">
        <f>+'Netunei Gimlai'!B6</f>
        <v>1</v>
      </c>
      <c r="C9" s="18">
        <f>VLOOKUP(B9,'tosafot '!$A$7:$B$234,2,0)</f>
        <v>1.2008000000000001</v>
      </c>
      <c r="D9" s="18">
        <f>+'Netunei Gimlai'!B7</f>
        <v>228</v>
      </c>
      <c r="E9" s="18">
        <f>VLOOKUP(D9,'tosafot '!$A$7:$B$234,2,0)</f>
        <v>12.2026</v>
      </c>
      <c r="Y9" t="s">
        <v>47</v>
      </c>
      <c r="AA9">
        <v>10002</v>
      </c>
      <c r="AB9">
        <v>31</v>
      </c>
      <c r="AC9" t="s">
        <v>5302</v>
      </c>
      <c r="AD9">
        <v>897</v>
      </c>
      <c r="AE9">
        <v>600</v>
      </c>
      <c r="AF9">
        <v>626</v>
      </c>
      <c r="AG9">
        <v>628</v>
      </c>
      <c r="AH9">
        <v>630</v>
      </c>
      <c r="AI9">
        <v>636</v>
      </c>
      <c r="AJ9">
        <v>642</v>
      </c>
      <c r="AK9">
        <v>657</v>
      </c>
      <c r="AL9">
        <v>658</v>
      </c>
      <c r="AM9">
        <v>659</v>
      </c>
      <c r="AN9">
        <v>669</v>
      </c>
      <c r="AO9">
        <v>678</v>
      </c>
      <c r="AP9">
        <v>681</v>
      </c>
      <c r="AQ9">
        <v>697</v>
      </c>
      <c r="AR9">
        <v>705</v>
      </c>
      <c r="AS9">
        <v>728</v>
      </c>
      <c r="AT9">
        <v>733</v>
      </c>
      <c r="AU9">
        <v>735</v>
      </c>
      <c r="AV9">
        <v>736</v>
      </c>
      <c r="AW9">
        <v>737</v>
      </c>
      <c r="AX9">
        <v>739</v>
      </c>
      <c r="AY9">
        <v>738</v>
      </c>
      <c r="AZ9">
        <v>741</v>
      </c>
      <c r="BA9">
        <v>756</v>
      </c>
      <c r="BB9">
        <v>764</v>
      </c>
      <c r="BC9">
        <v>768</v>
      </c>
      <c r="BD9" s="1">
        <v>798</v>
      </c>
      <c r="BE9" s="372">
        <v>805</v>
      </c>
      <c r="BF9" s="372">
        <v>808</v>
      </c>
      <c r="BG9" s="372">
        <v>809</v>
      </c>
      <c r="BH9" s="372">
        <v>853</v>
      </c>
      <c r="BI9" s="372">
        <v>858</v>
      </c>
      <c r="BJ9">
        <v>875</v>
      </c>
      <c r="BK9">
        <v>883</v>
      </c>
      <c r="BL9" s="372">
        <v>907</v>
      </c>
      <c r="BM9" s="372">
        <v>918</v>
      </c>
      <c r="BN9" s="372">
        <v>920</v>
      </c>
      <c r="BO9">
        <v>927</v>
      </c>
      <c r="BP9" s="372">
        <v>955</v>
      </c>
      <c r="BQ9" s="372">
        <v>956</v>
      </c>
      <c r="BR9" s="372">
        <v>957</v>
      </c>
      <c r="BS9" s="372">
        <v>959</v>
      </c>
      <c r="BT9">
        <v>1053</v>
      </c>
      <c r="BU9" s="372">
        <v>1063</v>
      </c>
      <c r="BV9" s="372">
        <v>1082</v>
      </c>
      <c r="BW9" s="372">
        <v>1096</v>
      </c>
      <c r="BX9" s="372">
        <v>1233</v>
      </c>
      <c r="BY9" s="372">
        <v>1297</v>
      </c>
      <c r="BZ9" s="372">
        <v>1358</v>
      </c>
      <c r="CA9" s="372">
        <v>1389</v>
      </c>
      <c r="CB9" s="372">
        <v>1615</v>
      </c>
      <c r="CC9" s="372">
        <v>1619</v>
      </c>
      <c r="CD9" s="372">
        <v>1657</v>
      </c>
      <c r="CE9" s="372">
        <v>1951</v>
      </c>
      <c r="CF9">
        <v>1961</v>
      </c>
      <c r="CG9">
        <v>1967</v>
      </c>
      <c r="CH9">
        <v>2028</v>
      </c>
      <c r="CI9">
        <v>2029</v>
      </c>
      <c r="CJ9">
        <v>2086</v>
      </c>
      <c r="CK9" s="372">
        <v>4120</v>
      </c>
      <c r="CL9">
        <v>4147</v>
      </c>
      <c r="CM9" s="372">
        <v>4169</v>
      </c>
      <c r="CN9" s="372">
        <v>4173</v>
      </c>
      <c r="CO9" s="372">
        <v>4220</v>
      </c>
      <c r="CP9">
        <v>4221</v>
      </c>
      <c r="CQ9" s="372">
        <v>4244</v>
      </c>
      <c r="CR9" s="372">
        <v>4318</v>
      </c>
      <c r="CS9" s="372">
        <v>4319</v>
      </c>
      <c r="CT9" s="372">
        <v>4374</v>
      </c>
      <c r="CU9" s="372">
        <v>4406</v>
      </c>
      <c r="CV9" s="372">
        <v>4427</v>
      </c>
      <c r="CW9" s="372">
        <v>4428</v>
      </c>
      <c r="CX9" s="372">
        <v>4453</v>
      </c>
      <c r="CY9" s="394">
        <v>4544</v>
      </c>
      <c r="CZ9">
        <v>4550</v>
      </c>
      <c r="DA9">
        <v>4624</v>
      </c>
      <c r="DB9">
        <v>4643</v>
      </c>
      <c r="DC9" s="372">
        <v>4651</v>
      </c>
      <c r="DD9" s="372">
        <v>4658</v>
      </c>
      <c r="DE9" s="372">
        <v>4687</v>
      </c>
      <c r="DF9">
        <v>4932</v>
      </c>
      <c r="DG9">
        <v>4934</v>
      </c>
      <c r="DH9">
        <v>4935</v>
      </c>
      <c r="DI9">
        <v>4983</v>
      </c>
      <c r="DJ9">
        <v>4994</v>
      </c>
      <c r="DK9">
        <v>5216</v>
      </c>
      <c r="DL9">
        <v>5244</v>
      </c>
      <c r="DM9" s="1">
        <v>5251</v>
      </c>
      <c r="DN9" s="1">
        <v>5253</v>
      </c>
      <c r="DO9">
        <v>5254</v>
      </c>
      <c r="DP9">
        <v>5268</v>
      </c>
      <c r="DQ9">
        <v>5270</v>
      </c>
      <c r="DR9">
        <v>5287</v>
      </c>
      <c r="DS9">
        <v>5340</v>
      </c>
      <c r="DT9" s="417">
        <v>5401</v>
      </c>
      <c r="DU9">
        <v>5402</v>
      </c>
      <c r="DV9">
        <v>5524</v>
      </c>
      <c r="DW9">
        <v>5533</v>
      </c>
      <c r="DX9" s="372">
        <v>5536</v>
      </c>
      <c r="DY9">
        <v>5539</v>
      </c>
      <c r="DZ9">
        <v>5548</v>
      </c>
      <c r="EA9">
        <v>99998</v>
      </c>
      <c r="EB9">
        <v>1699</v>
      </c>
      <c r="EC9">
        <v>4643</v>
      </c>
      <c r="ED9" s="372">
        <v>4180</v>
      </c>
      <c r="EE9">
        <v>99999</v>
      </c>
      <c r="EI9">
        <v>220</v>
      </c>
    </row>
    <row r="10" spans="1:141" s="142" customFormat="1" ht="44.4" thickTop="1" thickBot="1">
      <c r="A10" s="141" t="s">
        <v>48</v>
      </c>
      <c r="B10" s="140" t="s">
        <v>49</v>
      </c>
      <c r="C10" s="140" t="s">
        <v>9</v>
      </c>
      <c r="D10" s="140" t="s">
        <v>50</v>
      </c>
      <c r="E10" s="140" t="s">
        <v>12</v>
      </c>
      <c r="F10" s="138" t="s">
        <v>51</v>
      </c>
      <c r="G10" s="140" t="s">
        <v>7</v>
      </c>
      <c r="H10" s="139" t="s">
        <v>52</v>
      </c>
      <c r="I10" s="140" t="s">
        <v>53</v>
      </c>
      <c r="J10" s="140" t="s">
        <v>54</v>
      </c>
      <c r="K10" s="139" t="s">
        <v>55</v>
      </c>
      <c r="L10" s="140" t="s">
        <v>56</v>
      </c>
      <c r="M10" s="140" t="s">
        <v>17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71</v>
      </c>
      <c r="AD10" s="140" t="s">
        <v>72</v>
      </c>
      <c r="AE10" s="140" t="s">
        <v>803</v>
      </c>
      <c r="AF10" s="140" t="s">
        <v>1202</v>
      </c>
      <c r="AG10" s="140" t="s">
        <v>807</v>
      </c>
      <c r="AH10" s="140" t="s">
        <v>1408</v>
      </c>
      <c r="AI10" s="140" t="s">
        <v>20</v>
      </c>
      <c r="AJ10" s="140" t="s">
        <v>5791</v>
      </c>
      <c r="AK10" s="140" t="s">
        <v>5161</v>
      </c>
      <c r="AL10" s="140" t="s">
        <v>68</v>
      </c>
      <c r="AM10" s="140" t="s">
        <v>5344</v>
      </c>
      <c r="AN10" s="140" t="s">
        <v>1199</v>
      </c>
      <c r="AO10" s="140" t="s">
        <v>1294</v>
      </c>
      <c r="AP10" s="140" t="s">
        <v>5164</v>
      </c>
      <c r="AQ10" s="140" t="s">
        <v>1420</v>
      </c>
      <c r="AR10" s="140" t="s">
        <v>25</v>
      </c>
      <c r="AS10" s="140" t="s">
        <v>1201</v>
      </c>
      <c r="AT10" s="140" t="s">
        <v>5797</v>
      </c>
      <c r="AU10" s="140" t="s">
        <v>5086</v>
      </c>
      <c r="AV10" s="140" t="s">
        <v>5353</v>
      </c>
      <c r="AW10" s="140" t="s">
        <v>1364</v>
      </c>
      <c r="AX10" s="140" t="s">
        <v>1332</v>
      </c>
      <c r="AY10" s="140" t="s">
        <v>1376</v>
      </c>
      <c r="AZ10" s="140" t="s">
        <v>27</v>
      </c>
      <c r="BA10" s="140" t="s">
        <v>855</v>
      </c>
      <c r="BB10" s="140" t="s">
        <v>20</v>
      </c>
      <c r="BC10" s="140" t="s">
        <v>3398</v>
      </c>
      <c r="BD10" s="140" t="s">
        <v>11</v>
      </c>
      <c r="BE10" s="140" t="s">
        <v>868</v>
      </c>
      <c r="BF10" s="140" t="s">
        <v>1319</v>
      </c>
      <c r="BG10" s="140" t="s">
        <v>5167</v>
      </c>
      <c r="BH10" s="140" t="s">
        <v>5173</v>
      </c>
      <c r="BI10" s="140" t="s">
        <v>855</v>
      </c>
      <c r="BJ10" s="140" t="s">
        <v>879</v>
      </c>
      <c r="BK10" s="140" t="s">
        <v>1536</v>
      </c>
      <c r="BL10" s="140" t="s">
        <v>5176</v>
      </c>
      <c r="BM10" s="140" t="s">
        <v>1332</v>
      </c>
      <c r="BN10" s="140" t="s">
        <v>896</v>
      </c>
      <c r="BO10" s="140" t="s">
        <v>34</v>
      </c>
      <c r="BP10" s="140" t="s">
        <v>5275</v>
      </c>
      <c r="BQ10" s="140" t="s">
        <v>2013</v>
      </c>
      <c r="BR10" s="140" t="s">
        <v>1557</v>
      </c>
      <c r="BS10" s="140" t="s">
        <v>2013</v>
      </c>
      <c r="BT10" s="140" t="s">
        <v>38</v>
      </c>
      <c r="BU10" s="140" t="s">
        <v>5348</v>
      </c>
      <c r="BV10" s="140" t="s">
        <v>5783</v>
      </c>
      <c r="BW10" s="140" t="s">
        <v>5346</v>
      </c>
      <c r="BX10" s="140" t="s">
        <v>5782</v>
      </c>
      <c r="BY10" s="140" t="s">
        <v>4385</v>
      </c>
      <c r="BZ10" s="140" t="s">
        <v>5226</v>
      </c>
      <c r="CA10" s="140" t="s">
        <v>1588</v>
      </c>
      <c r="CB10" s="140" t="s">
        <v>2380</v>
      </c>
      <c r="CC10" s="140" t="s">
        <v>931</v>
      </c>
      <c r="CD10" s="140" t="s">
        <v>985</v>
      </c>
      <c r="CE10" s="140" t="s">
        <v>5276</v>
      </c>
      <c r="CF10" s="140" t="s">
        <v>36</v>
      </c>
      <c r="CG10" s="140" t="s">
        <v>36</v>
      </c>
      <c r="CH10" s="140" t="s">
        <v>30</v>
      </c>
      <c r="CI10" s="140" t="s">
        <v>81</v>
      </c>
      <c r="CJ10" s="140" t="s">
        <v>23</v>
      </c>
      <c r="CK10" s="140" t="s">
        <v>1016</v>
      </c>
      <c r="CL10" s="140" t="s">
        <v>35</v>
      </c>
      <c r="CM10" s="140" t="s">
        <v>5206</v>
      </c>
      <c r="CN10" s="140" t="s">
        <v>1294</v>
      </c>
      <c r="CO10" s="140" t="s">
        <v>5068</v>
      </c>
      <c r="CP10" s="140" t="s">
        <v>5069</v>
      </c>
      <c r="CQ10" s="140" t="s">
        <v>5274</v>
      </c>
      <c r="CR10" s="140" t="s">
        <v>968</v>
      </c>
      <c r="CS10" s="140" t="s">
        <v>5263</v>
      </c>
      <c r="CT10" s="140" t="s">
        <v>973</v>
      </c>
      <c r="CU10" s="140" t="s">
        <v>5209</v>
      </c>
      <c r="CV10" s="140" t="s">
        <v>5269</v>
      </c>
      <c r="CW10" s="140" t="s">
        <v>988</v>
      </c>
      <c r="CX10" s="140" t="s">
        <v>989</v>
      </c>
      <c r="CY10" s="140" t="s">
        <v>75</v>
      </c>
      <c r="CZ10" s="140" t="s">
        <v>1426</v>
      </c>
      <c r="DA10" s="140" t="s">
        <v>70</v>
      </c>
      <c r="DB10" s="140" t="s">
        <v>1016</v>
      </c>
      <c r="DC10" s="140" t="s">
        <v>954</v>
      </c>
      <c r="DD10" s="140" t="s">
        <v>1661</v>
      </c>
      <c r="DE10" s="140" t="s">
        <v>954</v>
      </c>
      <c r="DF10" s="140" t="s">
        <v>5213</v>
      </c>
      <c r="DG10" s="140" t="s">
        <v>76</v>
      </c>
      <c r="DH10" s="140" t="s">
        <v>1030</v>
      </c>
      <c r="DI10" s="140" t="s">
        <v>41</v>
      </c>
      <c r="DJ10" s="140" t="s">
        <v>77</v>
      </c>
      <c r="DK10" s="140" t="s">
        <v>40</v>
      </c>
      <c r="DL10" s="140" t="s">
        <v>1717</v>
      </c>
      <c r="DM10" s="140" t="s">
        <v>1718</v>
      </c>
      <c r="DN10" s="140" t="s">
        <v>78</v>
      </c>
      <c r="DO10" s="140" t="s">
        <v>78</v>
      </c>
      <c r="DP10" s="140" t="s">
        <v>5149</v>
      </c>
      <c r="DQ10" s="140" t="s">
        <v>32</v>
      </c>
      <c r="DR10" s="140" t="s">
        <v>1724</v>
      </c>
      <c r="DS10" s="140" t="s">
        <v>73</v>
      </c>
      <c r="DT10" s="140" t="s">
        <v>79</v>
      </c>
      <c r="DU10" s="140" t="s">
        <v>80</v>
      </c>
      <c r="DV10" s="139" t="s">
        <v>82</v>
      </c>
      <c r="DW10" s="139" t="s">
        <v>1369</v>
      </c>
      <c r="DX10" s="140" t="s">
        <v>5153</v>
      </c>
      <c r="DY10" s="139" t="s">
        <v>3232</v>
      </c>
      <c r="DZ10" s="140" t="s">
        <v>5155</v>
      </c>
      <c r="EA10" s="139" t="s">
        <v>1431</v>
      </c>
      <c r="EB10" s="139" t="s">
        <v>1400</v>
      </c>
      <c r="EC10" s="139" t="s">
        <v>1016</v>
      </c>
      <c r="ED10" s="140" t="s">
        <v>961</v>
      </c>
      <c r="EE10" s="141" t="s">
        <v>5768</v>
      </c>
      <c r="EF10" s="141" t="s">
        <v>4</v>
      </c>
      <c r="EG10" s="141" t="s">
        <v>2</v>
      </c>
      <c r="EH10" s="141" t="s">
        <v>84</v>
      </c>
      <c r="EI10" s="141" t="s">
        <v>85</v>
      </c>
      <c r="EJ10" s="141" t="s">
        <v>86</v>
      </c>
      <c r="EK10" s="141" t="s">
        <v>87</v>
      </c>
    </row>
    <row r="11" spans="1:141" s="18" customFormat="1" ht="15" thickTop="1">
      <c r="A11" s="132">
        <f>IF(B9&gt;D9,0,1)</f>
        <v>1</v>
      </c>
      <c r="B11" s="18">
        <f>IF(A11=0," ",B9)</f>
        <v>1</v>
      </c>
      <c r="C11" s="18">
        <f>IF(A11=0," ",VLOOKUP(B11,'tosafot '!$A$7:$B$234,2,0))</f>
        <v>1.2008000000000001</v>
      </c>
      <c r="D11" s="220">
        <f>IF(A11=0," ",+'Netunei Gimlai'!B7)</f>
        <v>228</v>
      </c>
      <c r="E11" s="130">
        <f>IF(A11=0," ",VLOOKUP(D11,'tosafot '!$A$7:$B$234,2,0))</f>
        <v>12.2026</v>
      </c>
      <c r="F11" s="126">
        <f>IF(A11=0," ",+'Netunei Gimlai'!B4)</f>
        <v>9</v>
      </c>
      <c r="G11" s="18" t="str">
        <f>IF(A11=0," ",VLOOKUP(F11,MISRAD!$A$5:$B$81,2,0))</f>
        <v>הבריאות</v>
      </c>
      <c r="H11" s="189">
        <f>IF(A11=0," ",VLOOKUP(F11,MISRAD!$A$5:$D$81,4,0))</f>
        <v>107</v>
      </c>
      <c r="I11" s="18">
        <f>IF(A11=0," ",+'Netunei Gimlai'!B9)</f>
        <v>1</v>
      </c>
      <c r="J11" s="18" t="str">
        <f>IF(A11=0," ",VLOOKUP('Netunei Gimlai'!B9,DERUG!$A$3:$B$64,2,0))</f>
        <v>מינהלי - עובדי מדינה</v>
      </c>
      <c r="K11" s="190">
        <f>IF(A11=0," ",VLOOKUP(I11,DERUG!$A$3:$D$64,4,0))</f>
        <v>1</v>
      </c>
      <c r="L11" s="18">
        <f>IF(A11=0," ",+'Netunei Gimlai'!B10)</f>
        <v>11</v>
      </c>
      <c r="M11" s="129">
        <f>IF(A11=0," ",VLOOKUP('Netunei Gimlai'!B10,DARGA!A2:B111,2,0))</f>
        <v>16</v>
      </c>
      <c r="N11" s="189"/>
      <c r="O11" s="132" cm="1">
        <f t="array" ref="O11">IF(A11=0," ",INDEX(kodderugdarga!$AJ$3:$AT$112,L11,K11))</f>
        <v>1011</v>
      </c>
      <c r="P11" s="127">
        <f>IF(A11=0," ",VLOOKUP(I11,DERUG!A3:E64,5,0))</f>
        <v>37</v>
      </c>
      <c r="Q11" s="127">
        <f>IF(A11=0," ",MIN(+'Netunei Gimlai'!B15,P11))</f>
        <v>22.75</v>
      </c>
      <c r="R11" s="18">
        <f>IF(A11=0," ",VLOOKUP(Q11,vetek!$A$3:$B$163,2,1))</f>
        <v>92</v>
      </c>
      <c r="S11" s="130">
        <f>IF(A11=0," ",vetek!T10)</f>
        <v>1.2540512286990533</v>
      </c>
      <c r="T11" s="135">
        <f>IF(A11=0," ",+'heskem 2016'!B5)</f>
        <v>0</v>
      </c>
      <c r="U11" s="127">
        <f>IF(A11=0," ",+'heskem 2016'!B6)</f>
        <v>0</v>
      </c>
      <c r="V11" s="216">
        <v>0</v>
      </c>
      <c r="W11" s="218">
        <v>0</v>
      </c>
      <c r="X11" s="219">
        <v>0</v>
      </c>
      <c r="Y11" s="131">
        <f>IF(A11=0," ",VLOOKUP(L11,DARGA!C2:D111,2,0))</f>
        <v>2344.71</v>
      </c>
      <c r="Z11" s="131">
        <f>IF(A11=0," ",+Y11*(S11-1))</f>
        <v>595.67645644295726</v>
      </c>
      <c r="AA11" s="242">
        <f>+Y11+Z11</f>
        <v>2940.3864564429573</v>
      </c>
      <c r="AB11" s="131">
        <f>IF(A11=0," ",'tosafot '!L2)</f>
        <v>0</v>
      </c>
      <c r="AC11" s="136">
        <f>IF(A11=0," ",'tosafot '!O2)</f>
        <v>0</v>
      </c>
      <c r="AD11" s="131">
        <f>IF('tosafot '!Q2=0.09,SUM(Y11:Z11)*9%,'tosafot '!Q2)</f>
        <v>0</v>
      </c>
      <c r="AE11" s="191">
        <f>IF(A11=0," ",'tosafot '!T2)</f>
        <v>75.260000000000005</v>
      </c>
      <c r="AF11" s="191">
        <f>IF(A11=0," ",'tosafot '!U2)</f>
        <v>0</v>
      </c>
      <c r="AG11" s="191">
        <f>IF(A11=0," ",'tosafot '!AS2)</f>
        <v>0</v>
      </c>
      <c r="AH11" s="191">
        <f>IF(A11=0," ",'tosafot '!AT2)</f>
        <v>0</v>
      </c>
      <c r="AI11" s="191">
        <f>IF(A11=0," ",'tosafot '!V2)</f>
        <v>0</v>
      </c>
      <c r="AJ11" s="191">
        <f>+(AA11+AL11+AO11+DA11)*AJ7</f>
        <v>0</v>
      </c>
      <c r="AK11" s="191">
        <f>IF(A11=0," ",'tosafot '!AV2)</f>
        <v>0</v>
      </c>
      <c r="AL11" s="191">
        <f>IF(A11=0," ",'tosafot '!AW2)</f>
        <v>0</v>
      </c>
      <c r="AM11" s="191">
        <f>+AM7*AA11</f>
        <v>0</v>
      </c>
      <c r="AN11" s="191">
        <f>IF(A11=0," ",'tosafot '!X2)</f>
        <v>0</v>
      </c>
      <c r="AO11" s="191">
        <f>IF(A11=0," ",'tosafot '!AX2)</f>
        <v>0</v>
      </c>
      <c r="AP11" s="191">
        <f>IF(A11=0," ",'tosafot '!AY2)</f>
        <v>0</v>
      </c>
      <c r="AQ11" s="131">
        <f>(AA11+DA11)*AQ7</f>
        <v>0</v>
      </c>
      <c r="AR11" s="131">
        <f>IF(A11=0," ",'tosafot '!BV2)</f>
        <v>0</v>
      </c>
      <c r="AS11" s="191">
        <f>IF(A11=0," ",'tosafot '!Z2)</f>
        <v>0</v>
      </c>
      <c r="AT11" s="191">
        <f>IF(A11=0," ",'tosafot '!AA2)</f>
        <v>10.26</v>
      </c>
      <c r="AU11" s="191">
        <f>(AA11+AC11+AD11+AZ11+CY11+DG11+DJ11+CZ11+AR11+BA11+DI11)*AU7</f>
        <v>0</v>
      </c>
      <c r="AV11" s="131">
        <f>IF(A11=0," ",'tosafot '!AB2)</f>
        <v>0</v>
      </c>
      <c r="AW11" s="131">
        <f>IF(A11=0," ",'tosafot '!BX2)</f>
        <v>0</v>
      </c>
      <c r="AX11" s="131">
        <f>IF(A11=0," ",'tosafot '!BZ2)</f>
        <v>0</v>
      </c>
      <c r="AY11" s="131">
        <f>+(AA11+DA11+AC11+AD11+AE11+AF11+AR11+AZ11+BL11+CA11+CD11+DF11+CY11+DG11+DJ11+CZ11+DI11)*AY7</f>
        <v>0</v>
      </c>
      <c r="AZ11" s="223">
        <f>(AA11+AB11+DA11+AC11+AD11+AH11+AN11+AR11+BH11+BL11+CD11)*AZ7</f>
        <v>0</v>
      </c>
      <c r="BA11" s="223">
        <f>+(AA11+DA11+BZ11)*BA7</f>
        <v>0</v>
      </c>
      <c r="BB11" s="191">
        <f>IF(A11=0," ",'tosafot '!AC2)</f>
        <v>353.75</v>
      </c>
      <c r="BC11" s="191">
        <f>IF(A11=0," ",'tosafot '!BA2)</f>
        <v>0</v>
      </c>
      <c r="BD11" s="191">
        <f>+(AA11+DA11)*BD7</f>
        <v>917.40057441020269</v>
      </c>
      <c r="BE11" s="191">
        <f>IF(A11=0," ",'tosafot '!BB2)</f>
        <v>0</v>
      </c>
      <c r="BF11" s="191">
        <f>IF(A11=0," ",'tosafot '!CB2)</f>
        <v>0</v>
      </c>
      <c r="BG11" s="191">
        <f>IF(A11=0," ",'tosafot '!BC2)</f>
        <v>0</v>
      </c>
      <c r="BH11" s="191">
        <f>IF(A11=0," ",'tosafot '!BD2)</f>
        <v>0</v>
      </c>
      <c r="BI11" s="191">
        <f>+AA11*BI7</f>
        <v>0</v>
      </c>
      <c r="BJ11" s="191">
        <f>(+AA11+DA11)*BJ7</f>
        <v>0</v>
      </c>
      <c r="BK11" s="191">
        <f>IF(A11=0," ",'tosafot '!BG2)</f>
        <v>0</v>
      </c>
      <c r="BL11" s="191">
        <f>IF(A11=0," ",'tosafot '!BH2)</f>
        <v>0</v>
      </c>
      <c r="BM11" s="191">
        <f>IF(A11=0," ",'tosafot '!BI2)</f>
        <v>0</v>
      </c>
      <c r="BN11" s="191">
        <f>IF(A11=0," ",'tosafot '!BJ2*(AA11+DA11+AC11+AD11+BL11+257.37))</f>
        <v>0</v>
      </c>
      <c r="BO11" s="131">
        <f>IF(A11=0," ",BO8)</f>
        <v>0</v>
      </c>
      <c r="BP11" s="191">
        <f>IF(A11=0," ",'tosafot '!CM2)</f>
        <v>0</v>
      </c>
      <c r="BQ11" s="191">
        <f>IF(A11=0," ",'tosafot '!AE2)</f>
        <v>0</v>
      </c>
      <c r="BR11" s="191">
        <f>IF(A11=0," ",'tosafot '!AF2)</f>
        <v>0</v>
      </c>
      <c r="BS11" s="191">
        <f>IF(A11=0," ",'tosafot '!AG2)</f>
        <v>0</v>
      </c>
      <c r="BT11" s="191">
        <f>+AA11*BT7</f>
        <v>0</v>
      </c>
      <c r="BU11" s="191">
        <f>IF(A11=0," ",'tosafot '!AH2)</f>
        <v>0</v>
      </c>
      <c r="BV11" s="191">
        <f>IF(A11=0," ",'tosafot '!AI2)</f>
        <v>0</v>
      </c>
      <c r="BW11" s="191">
        <f>IF(A11=0," ",'tosafot '!AJ2)</f>
        <v>0</v>
      </c>
      <c r="BX11" s="191">
        <f>IF(A11=0," ",'tosafot '!AK2)</f>
        <v>0</v>
      </c>
      <c r="BY11" s="191">
        <f>IF(A11=0," ",'tosafot '!BK2)*(AA11+AC11+AD11+CY11+CZ11)/180*5.33</f>
        <v>0</v>
      </c>
      <c r="BZ11" s="191">
        <f>IF(A11=0," ",'tosafot '!BL2)</f>
        <v>0</v>
      </c>
      <c r="CA11" s="191">
        <f>IF(A11=0," ",'tosafot '!CC2)</f>
        <v>0</v>
      </c>
      <c r="CB11" s="191">
        <f>+(AA11+AC11+AD11+CC11+CQ11)*CB7</f>
        <v>0</v>
      </c>
      <c r="CC11" s="191">
        <f>+CC7</f>
        <v>0</v>
      </c>
      <c r="CD11" s="191">
        <f>IF(A11=0," ",'tosafot '!CS2)</f>
        <v>0</v>
      </c>
      <c r="CE11" s="191">
        <f>+CE7</f>
        <v>0</v>
      </c>
      <c r="CF11" s="131">
        <f>IF(A11=0," ",CF8)</f>
        <v>0</v>
      </c>
      <c r="CG11" s="131">
        <f>IF(A11=0," ",CG8)</f>
        <v>0</v>
      </c>
      <c r="CH11" s="131">
        <f>IF(A11=0," ",CH8)</f>
        <v>0</v>
      </c>
      <c r="CI11" s="131">
        <f>+(AA11+AB11+DA11+AC11+AD11+AR11+AZ11+BT11+BD11+BG11+BK11+DS11+CY11+DG11+DJ11+DZ11+DI11)*CI7</f>
        <v>0</v>
      </c>
      <c r="CJ11" s="136">
        <f>IF(A11=0," ",CJ8)</f>
        <v>0</v>
      </c>
      <c r="CK11" s="131"/>
      <c r="CL11" s="131">
        <f>IF(A11=0," ",CL8)</f>
        <v>0</v>
      </c>
      <c r="CM11" s="191">
        <f>+CM7*AA11</f>
        <v>0</v>
      </c>
      <c r="CN11" s="131">
        <f>IF(A11=0," ",CN8)</f>
        <v>0</v>
      </c>
      <c r="CO11" s="131">
        <f>IF(A11=0," ",+(AA11+AC11+AD11+AR11+AU11+AZ11+BA11+CY11+DG11+DJ11+CZ11+DI11+DB11+DO11+DT11+DW11)*CO7)</f>
        <v>0</v>
      </c>
      <c r="CP11" s="131">
        <f>IF(A11=0," ",+(AA11+AC11+AD11+AR11+AU11+AZ11+BA11+CY11+DG11+DJ11+DI11+DO11+DT11+DW11)*CP7)</f>
        <v>0</v>
      </c>
      <c r="CQ11" s="191">
        <f>+CQ7</f>
        <v>0</v>
      </c>
      <c r="CR11" s="191">
        <f>+CR7</f>
        <v>0</v>
      </c>
      <c r="CS11" s="191">
        <f>+(AA11+AC11+AD11)*CS7</f>
        <v>0</v>
      </c>
      <c r="CT11" s="191">
        <f>(AA11+AC11+AD11)*CT7</f>
        <v>0</v>
      </c>
      <c r="CU11" s="191">
        <f>+CU7*(+AA11+DA11)</f>
        <v>0</v>
      </c>
      <c r="CV11" s="191">
        <f>+(AA11+AC11+AD11+CR11+CS11)*CV7</f>
        <v>0</v>
      </c>
      <c r="CW11" s="191">
        <f>(AA11+AC11+AD11+CS11+CV11)*CW7</f>
        <v>0</v>
      </c>
      <c r="CX11" s="191">
        <f>IF(A11=0," ",'tosafot '!BP2)</f>
        <v>0</v>
      </c>
      <c r="CY11" s="131">
        <f>+(AA11+AB11+AC11+AD11+AE11+AF11+AG11+AH11+AI11+AJ11+AL11+AM11+AN11+AO11+AP11+AQ11+AR11+AV11+AZ11+BA11+BB11+BC11+BD11+BG11+BH11+BI11+BJ11+BK11+BL11+BN11+BP11+BT11+BX11+BZ11+CA11+CB11+CC11+CD11+CE11+CL11+CM11+CQ11+CR11+CS11+CT11+CU11+CV11+CW11+CX11+CZ11+DA11+DC11+DD11+DE11+DF11+DI11+DL11+DP11+DS11+DZ11)*CY7</f>
        <v>158.55884960799162</v>
      </c>
      <c r="CZ11" s="136">
        <f>IF(A11=0," ",+CZ8)</f>
        <v>0</v>
      </c>
      <c r="DA11" s="136">
        <f>IF(A11=0," ",(+AA11)*DA7)</f>
        <v>117.61545825771829</v>
      </c>
      <c r="DB11" s="131">
        <f>IF(A11=0," ",DB8)</f>
        <v>0</v>
      </c>
      <c r="DC11" s="131">
        <f>IF(A11=0," ",DC7*(AA11+DA11))</f>
        <v>0</v>
      </c>
      <c r="DD11" s="191">
        <f>+AA11*DD7</f>
        <v>0</v>
      </c>
      <c r="DE11" s="191">
        <f>+AA11*DE7</f>
        <v>0</v>
      </c>
      <c r="DF11" s="136">
        <f>+AA11*DF7</f>
        <v>0</v>
      </c>
      <c r="DG11" s="136">
        <f>IF(A11=0," ",+(AA11+AB11+DA11+AC11+AD11+AE11+AF11+AG11+AH11+AI11+AM11+AN11+AP11+AQ11+AR11+AS11+AV11+AZ11+BA11+BB11+BC11+BD11+BG11+BI11+BH11+BJ11+BK11+BL11+BP11+BX11+BZ11+CA11+CB11+CC11+CE11+CQ11+DD11+CD11+CM11+CR11+CS11+CV11+CW11+CT11+CU11+CX11+DE11+DF11+CY11+BT11+DH11+DL11+DS11+DZ11+CZ11+DI11+DP11+DY11)*DG7)</f>
        <v>0</v>
      </c>
      <c r="DH11" s="191">
        <f>IF(A11=0," ",'tosafot '!BS2)</f>
        <v>0</v>
      </c>
      <c r="DI11" s="131">
        <f>IF(A11=0," ",'tosafot '!DF2)</f>
        <v>0</v>
      </c>
      <c r="DJ11" s="136">
        <f>IF(A11=0," ",+(AA11+AB11+DA11+AC11+AD11+AE11+AF11+AG11+AH11+AI11+AM11+AN11+AP11+AQ11+AR11+AS11+AV11+AZ11+BA11+BB11+BC11+BD11+BG11+BH11+BI11+BJ11+BK11+BL11+BU11+BW11+BX11+BZ11+CA11++CB11+CC11+CQ11+DD11+CD11+CM11+CR11+CS11+CV11+CW11+CT11+CU11+CX11+DE11+DF11+CY11+BT11+DG11+DH11+DS11+DZ11+CZ11+DI11+DP11+DY11)*DJ7)</f>
        <v>0</v>
      </c>
      <c r="DK11" s="136">
        <f>+(AA11+DA11+AC11+AD11+AE11+AF11+AI11+AN11+BB11+AS11+BD11+BL11+BX11+CY11+DG11+DS11+DI11+DY11)*DK7</f>
        <v>0</v>
      </c>
      <c r="DL11" s="191">
        <f>IF(A11=0," ",DL8)</f>
        <v>0</v>
      </c>
      <c r="DM11" s="131">
        <f>IF(A11=0," ",DM8)</f>
        <v>0</v>
      </c>
      <c r="DN11" s="131">
        <f>IF(A11=0," ",DN8)</f>
        <v>0</v>
      </c>
      <c r="DO11" s="131">
        <f>IF(A11=0," ",DO8)</f>
        <v>0</v>
      </c>
      <c r="DP11" s="131">
        <f>IF(A11=0," ",DP8)</f>
        <v>0</v>
      </c>
      <c r="DQ11" s="131">
        <f>IF(A11=0," ",DQ8)</f>
        <v>0</v>
      </c>
      <c r="DR11" s="136">
        <f>+AA11*DR7</f>
        <v>0</v>
      </c>
      <c r="DS11" s="191">
        <f>IF(A11=0," ",DS8)</f>
        <v>0</v>
      </c>
      <c r="DT11" s="136">
        <f>IF(A11=0," ",(+AA11+AB11+DA11+AC11+AD11+AE11+AF11+AG11+AH11+AI11+AM11+AN11+AP11+AQ11+AR11+AS11+AV11+AZ11+BA11+BB11+BC11+BD11+BG11+BH11+BI11+BJ11+BK11+BL11+BU11+BW11+BX11+BZ11+CA11+CB11+CC11+CQ11+DD11+CD11+CM11+CR11+CS11+CV11+CW11+CT11+CU11+CX11+DE11+DF11+CY11+BT11+DG11+DJ11+DS11+DZ11+CZ11+DI11+DK11+BO11+DP11+CJ11+DY11-DH11*(DG7+DJ7))*T11)</f>
        <v>0</v>
      </c>
      <c r="DU11" s="131">
        <f>IF(A11=0," ",+U11)</f>
        <v>0</v>
      </c>
      <c r="DV11" s="136">
        <f>IF(A11=0," ",DV8)</f>
        <v>0</v>
      </c>
      <c r="DW11" s="136">
        <f>IF(A11=0," ",(AA11+AB11+DA11+AC11+AD11+AE11+AF11+AG11+AH11+AI11+AM11+AN11+AP11+AQ11+AR11+AV11+AS11+AZ11+BA11+BB11+BC11+BD11+BG11+BH11+BI11+BJ11+BK11+BL11+BU11+BV11+BW11+BX11+BZ11+CA11+CB11+CC11+CQ11+DD11+CD11+CR11+CS11+CV11+CW11+CT11+CU11+CX11+DE11+DF11+CY11+BT11+DG11+DJ11+DS11+DX11+DZ11+CZ11+DI11+DK11+BO11+CG11+DP11+CJ11+DT11+DY11-DH11*(DG7+DJ7))*DW7)</f>
        <v>0</v>
      </c>
      <c r="DX11" s="191">
        <f>IF(A11=0," ",DX8)</f>
        <v>0</v>
      </c>
      <c r="DY11" s="136">
        <f>IF(A11=0," ",DY8)</f>
        <v>0</v>
      </c>
      <c r="DZ11" s="131">
        <f>IF(A11=0," ",DZ8)</f>
        <v>0</v>
      </c>
      <c r="EA11" s="136">
        <v>1E-3</v>
      </c>
      <c r="EB11" s="136">
        <f>IF(A11=0," ",+EB8)</f>
        <v>8.6194255897967196</v>
      </c>
      <c r="EC11" s="136">
        <f>IF(A11=0," ",+EC8)</f>
        <v>0</v>
      </c>
      <c r="ED11" s="191">
        <f>IF(ED7=0,0,(+AA11+AC11+AD11+BE11+BJ11+CY11+DG11+DJ11+CZ11+DI11+DT11+DU11+DV11+DW11+EB11)/ED7*5.33*ED8)</f>
        <v>0</v>
      </c>
      <c r="EE11" s="137">
        <f>IF(A11=0," ",SUM(AA11:ED11))</f>
        <v>4581.851764308667</v>
      </c>
      <c r="EF11" s="225">
        <f>IF(A11=0," ",'Netunei Gimlai'!B20)</f>
        <v>0.53669999999999995</v>
      </c>
      <c r="EG11" s="225">
        <f>IF(A11=0," ",'Netunei Gimlai'!B19)</f>
        <v>1</v>
      </c>
      <c r="EH11" s="226">
        <f>IF(A11=0," ",+EE11*EF11*EG11)</f>
        <v>2459.0798419044613</v>
      </c>
      <c r="EI11" s="226">
        <f>IF(A11=0," ",+EE11*3.82%)</f>
        <v>175.02673739659107</v>
      </c>
      <c r="EJ11" s="226">
        <f>IF(A11=0," ",+EI11*EF11*EG11)</f>
        <v>93.936849960750422</v>
      </c>
      <c r="EK11" s="226">
        <f>IF(A11=0," ",+EH11+EJ11)</f>
        <v>2553.0166918652117</v>
      </c>
    </row>
    <row r="12" spans="1:141" s="18" customFormat="1">
      <c r="A12" s="132"/>
      <c r="D12" s="220"/>
      <c r="E12" s="130"/>
      <c r="F12" s="126"/>
      <c r="H12" s="189"/>
      <c r="K12" s="189"/>
      <c r="M12" s="129"/>
      <c r="N12" s="189"/>
      <c r="O12" s="132"/>
      <c r="P12" s="127"/>
      <c r="Q12" s="127"/>
      <c r="R12" s="128"/>
      <c r="S12" s="130"/>
      <c r="T12" s="135"/>
      <c r="U12" s="127"/>
      <c r="V12" s="217"/>
      <c r="W12" s="191"/>
      <c r="X12" s="133"/>
      <c r="Y12" s="131"/>
      <c r="Z12" s="131"/>
      <c r="AA12" s="242"/>
      <c r="AB12" s="131"/>
      <c r="AC12" s="131"/>
      <c r="AD12" s="131"/>
      <c r="AE12" s="131"/>
      <c r="AF12" s="131"/>
      <c r="AG12" s="131"/>
      <c r="AH12" s="131"/>
      <c r="AI12" s="131"/>
      <c r="AJ12" s="131"/>
      <c r="AK12" s="191"/>
      <c r="AL12" s="191"/>
      <c r="AM12" s="191"/>
      <c r="AN12" s="131"/>
      <c r="AO12" s="131"/>
      <c r="AP12" s="131"/>
      <c r="AQ12" s="131"/>
      <c r="AR12" s="131"/>
      <c r="AS12" s="131"/>
      <c r="AT12" s="131"/>
      <c r="AU12" s="131"/>
      <c r="AV12" s="131"/>
      <c r="AW12" s="131"/>
      <c r="AX12" s="131"/>
      <c r="AY12" s="131"/>
      <c r="AZ12" s="131"/>
      <c r="BA12" s="131"/>
      <c r="BB12" s="131"/>
      <c r="BC12" s="131"/>
      <c r="BD12" s="131"/>
      <c r="BE12" s="131"/>
      <c r="BF12" s="131"/>
      <c r="BG12" s="131"/>
      <c r="BH12" s="131"/>
      <c r="BI12" s="131"/>
      <c r="BJ12" s="131"/>
      <c r="BK12" s="131"/>
      <c r="BL12" s="131"/>
      <c r="BM12" s="131"/>
      <c r="BN12" s="131"/>
      <c r="BO12" s="136"/>
      <c r="BP12" s="131"/>
      <c r="BQ12" s="131"/>
      <c r="BR12" s="131"/>
      <c r="BS12" s="131"/>
      <c r="BT12" s="131"/>
      <c r="BU12" s="131"/>
      <c r="BV12" s="131"/>
      <c r="BW12" s="131"/>
      <c r="BX12" s="131"/>
      <c r="BY12" s="131"/>
      <c r="BZ12" s="131"/>
      <c r="CA12" s="131"/>
      <c r="CB12" s="131"/>
      <c r="CC12" s="131"/>
      <c r="CD12" s="131"/>
      <c r="CE12" s="131"/>
      <c r="CF12" s="136"/>
      <c r="CG12" s="136"/>
      <c r="CH12" s="131"/>
      <c r="CI12" s="131"/>
      <c r="CJ12" s="136"/>
      <c r="CK12" s="136"/>
      <c r="CL12" s="136"/>
      <c r="CM12" s="131"/>
      <c r="CN12" s="131"/>
      <c r="CO12" s="136"/>
      <c r="CP12" s="136"/>
      <c r="CQ12" s="131"/>
      <c r="CR12" s="131"/>
      <c r="CS12" s="131"/>
      <c r="CT12" s="131"/>
      <c r="CU12" s="131"/>
      <c r="CV12" s="131"/>
      <c r="CW12" s="131"/>
      <c r="CX12" s="131"/>
      <c r="CY12" s="136"/>
      <c r="CZ12" s="136"/>
      <c r="DA12" s="131"/>
      <c r="DB12" s="136"/>
      <c r="DC12" s="136"/>
      <c r="DD12" s="131"/>
      <c r="DE12" s="131"/>
      <c r="DF12" s="136"/>
      <c r="DG12" s="136"/>
      <c r="DH12" s="131"/>
      <c r="DI12" s="131"/>
      <c r="DJ12" s="136"/>
      <c r="DK12" s="136"/>
      <c r="DL12" s="136"/>
      <c r="DM12" s="136"/>
      <c r="DN12" s="136"/>
      <c r="DO12" s="136"/>
      <c r="DP12" s="136"/>
      <c r="DQ12" s="136"/>
      <c r="DR12" s="136"/>
      <c r="DS12" s="131"/>
      <c r="DT12" s="136"/>
      <c r="DU12" s="131"/>
      <c r="DV12" s="131"/>
      <c r="DW12" s="131"/>
      <c r="DX12" s="131"/>
      <c r="DY12" s="131"/>
      <c r="DZ12" s="136"/>
      <c r="EA12" s="131"/>
      <c r="EB12" s="131"/>
      <c r="EC12" s="131"/>
      <c r="ED12" s="131"/>
      <c r="EE12" s="137"/>
      <c r="EF12" s="227"/>
      <c r="EG12" s="227"/>
      <c r="EH12" s="228"/>
      <c r="EI12" s="228"/>
      <c r="EJ12" s="228"/>
      <c r="EK12" s="228"/>
    </row>
    <row r="13" spans="1:141" s="18" customFormat="1">
      <c r="A13" s="132"/>
      <c r="D13" s="220"/>
      <c r="E13" s="130"/>
      <c r="F13" s="126"/>
      <c r="H13" s="189"/>
      <c r="K13" s="189"/>
      <c r="M13" s="129"/>
      <c r="N13" s="189"/>
      <c r="O13" s="132"/>
      <c r="P13" s="127"/>
      <c r="Q13" s="127"/>
      <c r="R13" s="128"/>
      <c r="S13" s="130"/>
      <c r="T13" s="135"/>
      <c r="U13" s="127"/>
      <c r="V13" s="217"/>
      <c r="W13" s="191"/>
      <c r="X13" s="133"/>
      <c r="Y13" s="131"/>
      <c r="Z13" s="131"/>
      <c r="AA13" s="242"/>
      <c r="AB13" s="131"/>
      <c r="AC13" s="131"/>
      <c r="AD13" s="131"/>
      <c r="AE13" s="131"/>
      <c r="AF13" s="131"/>
      <c r="AG13" s="131"/>
      <c r="AH13" s="131"/>
      <c r="AI13" s="131"/>
      <c r="AJ13" s="131"/>
      <c r="AK13" s="191"/>
      <c r="AL13" s="191"/>
      <c r="AM13" s="191"/>
      <c r="AN13" s="13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6"/>
      <c r="BP13" s="131"/>
      <c r="BQ13" s="131"/>
      <c r="BR13" s="131"/>
      <c r="BS13" s="131"/>
      <c r="BT13" s="131"/>
      <c r="BU13" s="131"/>
      <c r="BV13" s="131"/>
      <c r="BW13" s="131"/>
      <c r="BX13" s="131"/>
      <c r="BY13" s="131"/>
      <c r="BZ13" s="131"/>
      <c r="CA13" s="131"/>
      <c r="CB13" s="131"/>
      <c r="CC13" s="131"/>
      <c r="CD13" s="131"/>
      <c r="CE13" s="131"/>
      <c r="CF13" s="136"/>
      <c r="CG13" s="136"/>
      <c r="CH13" s="131"/>
      <c r="CI13" s="131"/>
      <c r="CJ13" s="136"/>
      <c r="CK13" s="136"/>
      <c r="CL13" s="136"/>
      <c r="CM13" s="131"/>
      <c r="CN13" s="131"/>
      <c r="CO13" s="136"/>
      <c r="CP13" s="136"/>
      <c r="CQ13" s="131"/>
      <c r="CR13" s="131"/>
      <c r="CS13" s="131"/>
      <c r="CT13" s="131"/>
      <c r="CU13" s="131"/>
      <c r="CV13" s="131"/>
      <c r="CW13" s="131"/>
      <c r="CX13" s="131"/>
      <c r="CY13" s="136"/>
      <c r="CZ13" s="136"/>
      <c r="DA13" s="131"/>
      <c r="DB13" s="136"/>
      <c r="DC13" s="136"/>
      <c r="DD13" s="131"/>
      <c r="DE13" s="131"/>
      <c r="DF13" s="136"/>
      <c r="DG13" s="136"/>
      <c r="DH13" s="131"/>
      <c r="DI13" s="131"/>
      <c r="DJ13" s="136"/>
      <c r="DK13" s="136"/>
      <c r="DL13" s="136"/>
      <c r="DM13" s="136"/>
      <c r="DN13" s="136"/>
      <c r="DO13" s="136"/>
      <c r="DP13" s="136"/>
      <c r="DQ13" s="136"/>
      <c r="DR13" s="136"/>
      <c r="DS13" s="131"/>
      <c r="DT13" s="136"/>
      <c r="DU13" s="131"/>
      <c r="DV13" s="131"/>
      <c r="DW13" s="131"/>
      <c r="DX13" s="131"/>
      <c r="DY13" s="131"/>
      <c r="DZ13" s="136"/>
      <c r="EA13" s="131"/>
      <c r="EB13" s="131"/>
      <c r="EC13" s="131"/>
      <c r="ED13" s="131"/>
      <c r="EE13" s="137"/>
      <c r="EF13" s="227"/>
      <c r="EG13" s="227"/>
      <c r="EH13" s="228"/>
      <c r="EI13" s="228"/>
      <c r="EJ13" s="228"/>
      <c r="EK13" s="228"/>
    </row>
    <row r="14" spans="1:141" s="18" customFormat="1">
      <c r="A14" s="132"/>
      <c r="D14" s="220"/>
      <c r="E14" s="130"/>
      <c r="F14" s="126"/>
      <c r="H14" s="189"/>
      <c r="K14" s="189"/>
      <c r="M14" s="129"/>
      <c r="N14" s="189"/>
      <c r="O14" s="132"/>
      <c r="P14" s="127"/>
      <c r="Q14" s="127"/>
      <c r="R14" s="128"/>
      <c r="S14" s="130"/>
      <c r="T14" s="135"/>
      <c r="U14" s="127"/>
      <c r="V14" s="217"/>
      <c r="W14" s="191"/>
      <c r="X14" s="133"/>
      <c r="Y14" s="131"/>
      <c r="Z14" s="131"/>
      <c r="AA14" s="242"/>
      <c r="AB14" s="131"/>
      <c r="AC14" s="131"/>
      <c r="AD14" s="131"/>
      <c r="AE14" s="131"/>
      <c r="AF14" s="131"/>
      <c r="AG14" s="131"/>
      <c r="AH14" s="131"/>
      <c r="AI14" s="131"/>
      <c r="AJ14" s="131"/>
      <c r="AK14" s="191"/>
      <c r="AL14" s="191"/>
      <c r="AM14" s="191"/>
      <c r="AN14" s="131"/>
      <c r="AO14" s="131"/>
      <c r="AP14" s="131"/>
      <c r="AQ14" s="131"/>
      <c r="AR14" s="131"/>
      <c r="AS14" s="131"/>
      <c r="AT14" s="131"/>
      <c r="AU14" s="131"/>
      <c r="AV14" s="131"/>
      <c r="AW14" s="131"/>
      <c r="AX14" s="131"/>
      <c r="AY14" s="131"/>
      <c r="AZ14" s="131"/>
      <c r="BA14" s="131"/>
      <c r="BB14" s="131"/>
      <c r="BC14" s="131"/>
      <c r="BD14" s="131"/>
      <c r="BE14" s="131"/>
      <c r="BF14" s="131"/>
      <c r="BG14" s="131"/>
      <c r="BH14" s="131"/>
      <c r="BI14" s="131"/>
      <c r="BJ14" s="131"/>
      <c r="BK14" s="131"/>
      <c r="BL14" s="131"/>
      <c r="BM14" s="131"/>
      <c r="BN14" s="131"/>
      <c r="BO14" s="136"/>
      <c r="BP14" s="131"/>
      <c r="BQ14" s="131"/>
      <c r="BR14" s="131"/>
      <c r="BS14" s="131"/>
      <c r="BT14" s="131"/>
      <c r="BU14" s="131"/>
      <c r="BV14" s="131"/>
      <c r="BW14" s="131"/>
      <c r="BX14" s="131"/>
      <c r="BY14" s="131"/>
      <c r="BZ14" s="131"/>
      <c r="CA14" s="131"/>
      <c r="CB14" s="131"/>
      <c r="CC14" s="131"/>
      <c r="CD14" s="131"/>
      <c r="CE14" s="131"/>
      <c r="CF14" s="136"/>
      <c r="CG14" s="136"/>
      <c r="CH14" s="131"/>
      <c r="CI14" s="131"/>
      <c r="CJ14" s="136"/>
      <c r="CK14" s="136"/>
      <c r="CL14" s="136"/>
      <c r="CM14" s="131"/>
      <c r="CN14" s="131"/>
      <c r="CO14" s="136"/>
      <c r="CP14" s="136"/>
      <c r="CQ14" s="131"/>
      <c r="CR14" s="131"/>
      <c r="CS14" s="131"/>
      <c r="CT14" s="131"/>
      <c r="CU14" s="131"/>
      <c r="CV14" s="131"/>
      <c r="CW14" s="131"/>
      <c r="CX14" s="131"/>
      <c r="CY14" s="136"/>
      <c r="CZ14" s="136"/>
      <c r="DA14" s="131"/>
      <c r="DB14" s="136"/>
      <c r="DC14" s="136"/>
      <c r="DD14" s="131"/>
      <c r="DE14" s="131"/>
      <c r="DF14" s="136"/>
      <c r="DG14" s="136"/>
      <c r="DH14" s="131"/>
      <c r="DI14" s="131"/>
      <c r="DJ14" s="136"/>
      <c r="DK14" s="136"/>
      <c r="DL14" s="136"/>
      <c r="DM14" s="136"/>
      <c r="DN14" s="136"/>
      <c r="DO14" s="136"/>
      <c r="DP14" s="136"/>
      <c r="DQ14" s="136"/>
      <c r="DR14" s="136"/>
      <c r="DS14" s="131"/>
      <c r="DT14" s="136"/>
      <c r="DU14" s="131"/>
      <c r="DV14" s="131"/>
      <c r="DW14" s="131"/>
      <c r="DX14" s="131"/>
      <c r="DY14" s="131"/>
      <c r="DZ14" s="136"/>
      <c r="EA14" s="131"/>
      <c r="EB14" s="131"/>
      <c r="EC14" s="131"/>
      <c r="ED14" s="131"/>
      <c r="EE14" s="137"/>
      <c r="EF14" s="227"/>
      <c r="EG14" s="227"/>
      <c r="EH14" s="228"/>
      <c r="EI14" s="228"/>
      <c r="EJ14" s="228"/>
      <c r="EK14" s="228"/>
    </row>
    <row r="15" spans="1:141" s="18" customFormat="1">
      <c r="A15" s="132"/>
      <c r="D15" s="220"/>
      <c r="E15" s="130"/>
      <c r="F15" s="126"/>
      <c r="H15" s="189"/>
      <c r="K15" s="189"/>
      <c r="M15" s="129"/>
      <c r="N15" s="189"/>
      <c r="O15" s="132"/>
      <c r="P15" s="127"/>
      <c r="Q15" s="127"/>
      <c r="R15" s="128"/>
      <c r="S15" s="130"/>
      <c r="T15" s="135"/>
      <c r="U15" s="127"/>
      <c r="V15" s="217"/>
      <c r="W15" s="191"/>
      <c r="X15" s="133"/>
      <c r="Y15" s="131"/>
      <c r="Z15" s="131"/>
      <c r="AA15" s="242"/>
      <c r="AB15" s="131"/>
      <c r="AC15" s="131"/>
      <c r="AD15" s="131"/>
      <c r="AE15" s="131"/>
      <c r="AF15" s="131"/>
      <c r="AG15" s="131"/>
      <c r="AH15" s="131"/>
      <c r="AI15" s="131"/>
      <c r="AJ15" s="131"/>
      <c r="AK15" s="191"/>
      <c r="AL15" s="191"/>
      <c r="AM15" s="191"/>
      <c r="AN15" s="131"/>
      <c r="AO15" s="131"/>
      <c r="AP15" s="131"/>
      <c r="AQ15" s="131"/>
      <c r="AR15" s="131"/>
      <c r="AS15" s="131"/>
      <c r="AT15" s="131"/>
      <c r="AU15" s="131"/>
      <c r="AV15" s="131"/>
      <c r="AW15" s="131"/>
      <c r="AX15" s="131"/>
      <c r="AY15" s="131"/>
      <c r="AZ15" s="131"/>
      <c r="BA15" s="131"/>
      <c r="BB15" s="131"/>
      <c r="BC15" s="131"/>
      <c r="BD15" s="131"/>
      <c r="BE15" s="131"/>
      <c r="BF15" s="131"/>
      <c r="BG15" s="131"/>
      <c r="BH15" s="131"/>
      <c r="BI15" s="131"/>
      <c r="BJ15" s="131"/>
      <c r="BK15" s="131"/>
      <c r="BL15" s="131"/>
      <c r="BM15" s="131"/>
      <c r="BN15" s="131"/>
      <c r="BO15" s="136"/>
      <c r="BP15" s="131"/>
      <c r="BQ15" s="131"/>
      <c r="BR15" s="131"/>
      <c r="BS15" s="131"/>
      <c r="BT15" s="131"/>
      <c r="BU15" s="131"/>
      <c r="BV15" s="131"/>
      <c r="BW15" s="131"/>
      <c r="BX15" s="131"/>
      <c r="BY15" s="131"/>
      <c r="BZ15" s="131"/>
      <c r="CA15" s="131"/>
      <c r="CB15" s="131"/>
      <c r="CC15" s="131"/>
      <c r="CD15" s="131"/>
      <c r="CE15" s="131"/>
      <c r="CF15" s="136"/>
      <c r="CG15" s="136"/>
      <c r="CH15" s="131"/>
      <c r="CI15" s="131"/>
      <c r="CJ15" s="136"/>
      <c r="CK15" s="136"/>
      <c r="CL15" s="136"/>
      <c r="CM15" s="131"/>
      <c r="CN15" s="131"/>
      <c r="CO15" s="136"/>
      <c r="CP15" s="136"/>
      <c r="CQ15" s="131"/>
      <c r="CR15" s="131"/>
      <c r="CS15" s="131"/>
      <c r="CT15" s="131"/>
      <c r="CU15" s="131"/>
      <c r="CV15" s="131"/>
      <c r="CW15" s="131"/>
      <c r="CX15" s="131"/>
      <c r="CY15" s="136"/>
      <c r="CZ15" s="136"/>
      <c r="DA15" s="131"/>
      <c r="DB15" s="136"/>
      <c r="DC15" s="136"/>
      <c r="DD15" s="131"/>
      <c r="DE15" s="131"/>
      <c r="DF15" s="136"/>
      <c r="DG15" s="136"/>
      <c r="DH15" s="131"/>
      <c r="DI15" s="131"/>
      <c r="DJ15" s="136"/>
      <c r="DK15" s="136"/>
      <c r="DL15" s="136"/>
      <c r="DM15" s="136"/>
      <c r="DN15" s="136"/>
      <c r="DO15" s="136"/>
      <c r="DP15" s="136"/>
      <c r="DQ15" s="136"/>
      <c r="DR15" s="136"/>
      <c r="DS15" s="131"/>
      <c r="DT15" s="136"/>
      <c r="DU15" s="131"/>
      <c r="DV15" s="131"/>
      <c r="DW15" s="131"/>
      <c r="DX15" s="131"/>
      <c r="DY15" s="131"/>
      <c r="DZ15" s="136"/>
      <c r="EA15" s="131"/>
      <c r="EB15" s="131"/>
      <c r="EC15" s="131"/>
      <c r="ED15" s="131"/>
      <c r="EE15" s="137"/>
      <c r="EF15" s="227"/>
      <c r="EG15" s="227"/>
      <c r="EH15" s="228"/>
      <c r="EI15" s="228"/>
      <c r="EJ15" s="228"/>
      <c r="EK15" s="228"/>
    </row>
    <row r="16" spans="1:141" s="18" customFormat="1">
      <c r="A16" s="132"/>
      <c r="D16" s="220"/>
      <c r="E16" s="130"/>
      <c r="F16" s="126"/>
      <c r="H16" s="189"/>
      <c r="K16" s="189"/>
      <c r="M16" s="129"/>
      <c r="N16" s="189"/>
      <c r="O16" s="132"/>
      <c r="P16" s="127"/>
      <c r="Q16" s="127"/>
      <c r="R16" s="128"/>
      <c r="S16" s="130"/>
      <c r="T16" s="135"/>
      <c r="U16" s="127"/>
      <c r="V16" s="217"/>
      <c r="W16" s="191"/>
      <c r="X16" s="133"/>
      <c r="Y16" s="131"/>
      <c r="Z16" s="131"/>
      <c r="AA16" s="242"/>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c r="AY16" s="131"/>
      <c r="AZ16" s="131"/>
      <c r="BA16" s="131"/>
      <c r="BB16" s="131"/>
      <c r="BC16" s="131"/>
      <c r="BD16" s="131"/>
      <c r="BE16" s="131"/>
      <c r="BF16" s="131"/>
      <c r="BG16" s="131"/>
      <c r="BH16" s="131"/>
      <c r="BI16" s="131"/>
      <c r="BJ16" s="131"/>
      <c r="BK16" s="131"/>
      <c r="BL16" s="131"/>
      <c r="BM16" s="131"/>
      <c r="BN16" s="131"/>
      <c r="BO16" s="136"/>
      <c r="BP16" s="131"/>
      <c r="BQ16" s="131"/>
      <c r="BR16" s="131"/>
      <c r="BS16" s="131"/>
      <c r="BT16" s="131"/>
      <c r="BU16" s="131"/>
      <c r="BV16" s="131"/>
      <c r="BW16" s="131"/>
      <c r="BX16" s="131"/>
      <c r="BY16" s="131"/>
      <c r="BZ16" s="131"/>
      <c r="CA16" s="131"/>
      <c r="CB16" s="131"/>
      <c r="CC16" s="131"/>
      <c r="CD16" s="131"/>
      <c r="CE16" s="131"/>
      <c r="CF16" s="136"/>
      <c r="CG16" s="136"/>
      <c r="CH16" s="131"/>
      <c r="CI16" s="131"/>
      <c r="CJ16" s="136"/>
      <c r="CK16" s="136"/>
      <c r="CL16" s="136"/>
      <c r="CM16" s="131"/>
      <c r="CN16" s="131"/>
      <c r="CO16" s="136"/>
      <c r="CP16" s="136"/>
      <c r="CQ16" s="131"/>
      <c r="CR16" s="131"/>
      <c r="CS16" s="131"/>
      <c r="CT16" s="131"/>
      <c r="CU16" s="131"/>
      <c r="CV16" s="131"/>
      <c r="CW16" s="131"/>
      <c r="CX16" s="131"/>
      <c r="CY16" s="136"/>
      <c r="CZ16" s="136"/>
      <c r="DA16" s="131"/>
      <c r="DB16" s="136"/>
      <c r="DC16" s="136"/>
      <c r="DD16" s="131"/>
      <c r="DE16" s="131"/>
      <c r="DF16" s="136"/>
      <c r="DG16" s="136"/>
      <c r="DH16" s="131"/>
      <c r="DI16" s="131"/>
      <c r="DJ16" s="136"/>
      <c r="DK16" s="136"/>
      <c r="DL16" s="136"/>
      <c r="DM16" s="136"/>
      <c r="DN16" s="136"/>
      <c r="DO16" s="136"/>
      <c r="DP16" s="136"/>
      <c r="DQ16" s="136"/>
      <c r="DR16" s="136"/>
      <c r="DS16" s="131"/>
      <c r="DT16" s="136"/>
      <c r="DU16" s="131"/>
      <c r="DV16" s="131"/>
      <c r="DW16" s="131"/>
      <c r="DX16" s="131"/>
      <c r="DY16" s="131"/>
      <c r="DZ16" s="136"/>
      <c r="EA16" s="131"/>
      <c r="EB16" s="131"/>
      <c r="EC16" s="131"/>
      <c r="ED16" s="131"/>
      <c r="EE16" s="137"/>
      <c r="EF16" s="227"/>
      <c r="EG16" s="227"/>
      <c r="EH16" s="228"/>
      <c r="EI16" s="228"/>
      <c r="EJ16" s="228"/>
      <c r="EK16" s="228"/>
    </row>
    <row r="17" spans="1:141" s="18" customFormat="1">
      <c r="A17" s="132"/>
      <c r="D17" s="220"/>
      <c r="E17" s="130"/>
      <c r="F17" s="126"/>
      <c r="H17" s="189"/>
      <c r="K17" s="189"/>
      <c r="M17" s="129"/>
      <c r="N17" s="189"/>
      <c r="O17" s="132"/>
      <c r="P17" s="127"/>
      <c r="Q17" s="127"/>
      <c r="R17" s="128"/>
      <c r="S17" s="130"/>
      <c r="T17" s="135"/>
      <c r="U17" s="127"/>
      <c r="V17" s="217"/>
      <c r="W17" s="191"/>
      <c r="X17" s="133"/>
      <c r="Y17" s="131"/>
      <c r="Z17" s="131"/>
      <c r="AA17" s="242"/>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c r="AY17" s="131"/>
      <c r="AZ17" s="131"/>
      <c r="BA17" s="131"/>
      <c r="BB17" s="131"/>
      <c r="BC17" s="131"/>
      <c r="BD17" s="131"/>
      <c r="BE17" s="131"/>
      <c r="BF17" s="131"/>
      <c r="BG17" s="131"/>
      <c r="BH17" s="131"/>
      <c r="BI17" s="131"/>
      <c r="BJ17" s="131"/>
      <c r="BK17" s="131"/>
      <c r="BL17" s="131"/>
      <c r="BM17" s="131"/>
      <c r="BN17" s="131"/>
      <c r="BO17" s="136"/>
      <c r="BP17" s="131"/>
      <c r="BQ17" s="131"/>
      <c r="BR17" s="131"/>
      <c r="BS17" s="131"/>
      <c r="BT17" s="131"/>
      <c r="BU17" s="131"/>
      <c r="BV17" s="131"/>
      <c r="BW17" s="131"/>
      <c r="BX17" s="131"/>
      <c r="BY17" s="131"/>
      <c r="BZ17" s="131"/>
      <c r="CA17" s="131"/>
      <c r="CB17" s="131"/>
      <c r="CC17" s="131"/>
      <c r="CD17" s="131"/>
      <c r="CE17" s="131"/>
      <c r="CF17" s="136"/>
      <c r="CG17" s="136"/>
      <c r="CH17" s="131"/>
      <c r="CI17" s="131"/>
      <c r="CJ17" s="136"/>
      <c r="CK17" s="136"/>
      <c r="CL17" s="136"/>
      <c r="CM17" s="131"/>
      <c r="CN17" s="131"/>
      <c r="CO17" s="136"/>
      <c r="CP17" s="136"/>
      <c r="CQ17" s="131"/>
      <c r="CR17" s="131"/>
      <c r="CS17" s="131"/>
      <c r="CT17" s="131"/>
      <c r="CU17" s="131"/>
      <c r="CV17" s="131"/>
      <c r="CW17" s="131"/>
      <c r="CX17" s="131"/>
      <c r="CY17" s="136"/>
      <c r="CZ17" s="136"/>
      <c r="DA17" s="131"/>
      <c r="DB17" s="136"/>
      <c r="DC17" s="136"/>
      <c r="DD17" s="131"/>
      <c r="DE17" s="131"/>
      <c r="DF17" s="131"/>
      <c r="DG17" s="136"/>
      <c r="DH17" s="131"/>
      <c r="DI17" s="131"/>
      <c r="DJ17" s="136"/>
      <c r="DK17" s="136"/>
      <c r="DL17" s="136"/>
      <c r="DM17" s="136"/>
      <c r="DN17" s="136"/>
      <c r="DO17" s="136"/>
      <c r="DP17" s="136"/>
      <c r="DQ17" s="136"/>
      <c r="DR17" s="136"/>
      <c r="DS17" s="131"/>
      <c r="DT17" s="136"/>
      <c r="DU17" s="131"/>
      <c r="DV17" s="131"/>
      <c r="DW17" s="131"/>
      <c r="DX17" s="131"/>
      <c r="DY17" s="131"/>
      <c r="DZ17" s="136"/>
      <c r="EA17" s="131"/>
      <c r="EB17" s="131"/>
      <c r="EC17" s="131"/>
      <c r="ED17" s="131"/>
      <c r="EE17" s="137"/>
      <c r="EF17" s="227"/>
      <c r="EG17" s="227"/>
      <c r="EH17" s="228"/>
      <c r="EI17" s="228"/>
      <c r="EJ17" s="228"/>
      <c r="EK17" s="228"/>
    </row>
    <row r="18" spans="1:141" s="18" customFormat="1">
      <c r="A18" s="132"/>
      <c r="D18" s="220"/>
      <c r="E18" s="130"/>
      <c r="F18" s="126"/>
      <c r="H18" s="189"/>
      <c r="K18" s="189"/>
      <c r="M18" s="129"/>
      <c r="N18" s="189"/>
      <c r="O18" s="132"/>
      <c r="P18" s="127"/>
      <c r="Q18" s="127"/>
      <c r="R18" s="128"/>
      <c r="S18" s="130"/>
      <c r="T18" s="135"/>
      <c r="U18" s="127"/>
      <c r="V18" s="217"/>
      <c r="W18" s="191"/>
      <c r="X18" s="133"/>
      <c r="Y18" s="131"/>
      <c r="Z18" s="131"/>
      <c r="AA18" s="242"/>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c r="AY18" s="131"/>
      <c r="AZ18" s="131"/>
      <c r="BA18" s="131"/>
      <c r="BB18" s="131"/>
      <c r="BC18" s="131"/>
      <c r="BD18" s="131"/>
      <c r="BE18" s="131"/>
      <c r="BF18" s="131"/>
      <c r="BG18" s="131"/>
      <c r="BH18" s="131"/>
      <c r="BI18" s="131"/>
      <c r="BJ18" s="131"/>
      <c r="BK18" s="131"/>
      <c r="BL18" s="131"/>
      <c r="BM18" s="131"/>
      <c r="BN18" s="131"/>
      <c r="BO18" s="136"/>
      <c r="BP18" s="131"/>
      <c r="BQ18" s="131"/>
      <c r="BR18" s="131"/>
      <c r="BS18" s="131"/>
      <c r="BT18" s="131"/>
      <c r="BU18" s="131"/>
      <c r="BV18" s="131"/>
      <c r="BW18" s="131"/>
      <c r="BX18" s="131"/>
      <c r="BY18" s="131"/>
      <c r="BZ18" s="131"/>
      <c r="CA18" s="131"/>
      <c r="CB18" s="131"/>
      <c r="CC18" s="131"/>
      <c r="CD18" s="131"/>
      <c r="CE18" s="131"/>
      <c r="CF18" s="136"/>
      <c r="CG18" s="136"/>
      <c r="CH18" s="131"/>
      <c r="CI18" s="131"/>
      <c r="CJ18" s="136"/>
      <c r="CK18" s="136"/>
      <c r="CL18" s="136"/>
      <c r="CM18" s="131"/>
      <c r="CN18" s="131"/>
      <c r="CO18" s="136"/>
      <c r="CP18" s="136"/>
      <c r="CQ18" s="131"/>
      <c r="CR18" s="131"/>
      <c r="CS18" s="131"/>
      <c r="CT18" s="131"/>
      <c r="CU18" s="131"/>
      <c r="CV18" s="131"/>
      <c r="CW18" s="131"/>
      <c r="CX18" s="131"/>
      <c r="CY18" s="136"/>
      <c r="CZ18" s="136"/>
      <c r="DA18" s="131"/>
      <c r="DB18" s="136"/>
      <c r="DC18" s="136"/>
      <c r="DD18" s="131"/>
      <c r="DE18" s="131"/>
      <c r="DF18" s="131"/>
      <c r="DG18" s="136"/>
      <c r="DH18" s="131"/>
      <c r="DI18" s="131"/>
      <c r="DJ18" s="136"/>
      <c r="DK18" s="136"/>
      <c r="DL18" s="136"/>
      <c r="DM18" s="136"/>
      <c r="DN18" s="136"/>
      <c r="DO18" s="136"/>
      <c r="DP18" s="136"/>
      <c r="DQ18" s="136"/>
      <c r="DR18" s="136"/>
      <c r="DS18" s="131"/>
      <c r="DT18" s="136"/>
      <c r="DU18" s="131"/>
      <c r="DV18" s="131"/>
      <c r="DW18" s="131"/>
      <c r="DX18" s="131"/>
      <c r="DY18" s="131"/>
      <c r="DZ18" s="136"/>
      <c r="EA18" s="131"/>
      <c r="EB18" s="131"/>
      <c r="EC18" s="131"/>
      <c r="ED18" s="131"/>
      <c r="EE18" s="137"/>
      <c r="EF18" s="227"/>
      <c r="EG18" s="227"/>
      <c r="EH18" s="228"/>
      <c r="EI18" s="228"/>
      <c r="EJ18" s="228"/>
      <c r="EK18" s="228"/>
    </row>
    <row r="19" spans="1:141" s="18" customFormat="1">
      <c r="A19" s="132"/>
      <c r="D19" s="220"/>
      <c r="E19" s="130"/>
      <c r="F19" s="126"/>
      <c r="H19" s="189"/>
      <c r="K19" s="189"/>
      <c r="M19" s="129"/>
      <c r="N19" s="189"/>
      <c r="O19" s="132"/>
      <c r="P19" s="127"/>
      <c r="Q19" s="127"/>
      <c r="R19" s="128"/>
      <c r="S19" s="130"/>
      <c r="T19" s="135"/>
      <c r="U19" s="127"/>
      <c r="V19" s="217"/>
      <c r="W19" s="191"/>
      <c r="X19" s="133"/>
      <c r="Y19" s="131"/>
      <c r="Z19" s="131"/>
      <c r="AA19" s="242"/>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c r="AY19" s="131"/>
      <c r="AZ19" s="131"/>
      <c r="BA19" s="131"/>
      <c r="BB19" s="131"/>
      <c r="BC19" s="131"/>
      <c r="BD19" s="131"/>
      <c r="BE19" s="131"/>
      <c r="BF19" s="131"/>
      <c r="BG19" s="131"/>
      <c r="BH19" s="131"/>
      <c r="BI19" s="131"/>
      <c r="BJ19" s="131"/>
      <c r="BK19" s="131"/>
      <c r="BL19" s="131"/>
      <c r="BM19" s="131"/>
      <c r="BN19" s="131"/>
      <c r="BO19" s="136"/>
      <c r="BP19" s="131"/>
      <c r="BQ19" s="131"/>
      <c r="BR19" s="131"/>
      <c r="BS19" s="131"/>
      <c r="BT19" s="131"/>
      <c r="BU19" s="131"/>
      <c r="BV19" s="131"/>
      <c r="BW19" s="131"/>
      <c r="BX19" s="131"/>
      <c r="BY19" s="131"/>
      <c r="BZ19" s="131"/>
      <c r="CA19" s="131"/>
      <c r="CB19" s="131"/>
      <c r="CC19" s="131"/>
      <c r="CD19" s="131"/>
      <c r="CE19" s="131"/>
      <c r="CF19" s="136"/>
      <c r="CG19" s="136"/>
      <c r="CH19" s="131"/>
      <c r="CI19" s="131"/>
      <c r="CJ19" s="136"/>
      <c r="CK19" s="136"/>
      <c r="CL19" s="136"/>
      <c r="CM19" s="131"/>
      <c r="CN19" s="131"/>
      <c r="CO19" s="136"/>
      <c r="CP19" s="136"/>
      <c r="CQ19" s="131"/>
      <c r="CR19" s="131"/>
      <c r="CS19" s="131"/>
      <c r="CT19" s="131"/>
      <c r="CU19" s="131"/>
      <c r="CV19" s="131"/>
      <c r="CW19" s="131"/>
      <c r="CX19" s="131"/>
      <c r="CY19" s="136"/>
      <c r="CZ19" s="136"/>
      <c r="DA19" s="131"/>
      <c r="DB19" s="136"/>
      <c r="DC19" s="136"/>
      <c r="DD19" s="131"/>
      <c r="DE19" s="131"/>
      <c r="DF19" s="131"/>
      <c r="DG19" s="136"/>
      <c r="DH19" s="131"/>
      <c r="DI19" s="131"/>
      <c r="DJ19" s="136"/>
      <c r="DK19" s="136"/>
      <c r="DL19" s="136"/>
      <c r="DM19" s="136"/>
      <c r="DN19" s="136"/>
      <c r="DO19" s="136"/>
      <c r="DP19" s="136"/>
      <c r="DQ19" s="136"/>
      <c r="DR19" s="136"/>
      <c r="DS19" s="131"/>
      <c r="DT19" s="136"/>
      <c r="DU19" s="131"/>
      <c r="DV19" s="131"/>
      <c r="DW19" s="131"/>
      <c r="DX19" s="131"/>
      <c r="DY19" s="131"/>
      <c r="DZ19" s="136"/>
      <c r="EA19" s="131"/>
      <c r="EB19" s="131"/>
      <c r="EC19" s="131"/>
      <c r="ED19" s="131"/>
      <c r="EE19" s="137"/>
      <c r="EF19" s="227"/>
      <c r="EG19" s="227"/>
      <c r="EH19" s="228"/>
      <c r="EI19" s="228"/>
      <c r="EJ19" s="228"/>
      <c r="EK19" s="228"/>
    </row>
    <row r="20" spans="1:141" s="18" customFormat="1">
      <c r="A20" s="132"/>
      <c r="D20" s="220"/>
      <c r="E20" s="130"/>
      <c r="F20" s="126"/>
      <c r="H20" s="189"/>
      <c r="K20" s="189"/>
      <c r="M20" s="129"/>
      <c r="N20" s="189"/>
      <c r="O20" s="132"/>
      <c r="P20" s="127"/>
      <c r="Q20" s="127"/>
      <c r="R20" s="128"/>
      <c r="S20" s="130"/>
      <c r="T20" s="135"/>
      <c r="U20" s="127"/>
      <c r="V20" s="217"/>
      <c r="W20" s="191"/>
      <c r="X20" s="133"/>
      <c r="Y20" s="131"/>
      <c r="Z20" s="131"/>
      <c r="AA20" s="242"/>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6"/>
      <c r="BP20" s="131"/>
      <c r="BQ20" s="131"/>
      <c r="BR20" s="131"/>
      <c r="BS20" s="131"/>
      <c r="BT20" s="131"/>
      <c r="BU20" s="131"/>
      <c r="BV20" s="131"/>
      <c r="BW20" s="131"/>
      <c r="BX20" s="131"/>
      <c r="BY20" s="131"/>
      <c r="BZ20" s="131"/>
      <c r="CA20" s="131"/>
      <c r="CB20" s="131"/>
      <c r="CC20" s="131"/>
      <c r="CD20" s="131"/>
      <c r="CE20" s="131"/>
      <c r="CF20" s="136"/>
      <c r="CG20" s="136"/>
      <c r="CH20" s="131"/>
      <c r="CI20" s="131"/>
      <c r="CJ20" s="136"/>
      <c r="CK20" s="136"/>
      <c r="CL20" s="136"/>
      <c r="CM20" s="131"/>
      <c r="CN20" s="131"/>
      <c r="CO20" s="136"/>
      <c r="CP20" s="136"/>
      <c r="CQ20" s="131"/>
      <c r="CR20" s="131"/>
      <c r="CS20" s="131"/>
      <c r="CT20" s="131"/>
      <c r="CU20" s="131"/>
      <c r="CV20" s="131"/>
      <c r="CW20" s="131"/>
      <c r="CX20" s="131"/>
      <c r="CY20" s="136"/>
      <c r="CZ20" s="136"/>
      <c r="DA20" s="131"/>
      <c r="DB20" s="136"/>
      <c r="DC20" s="136"/>
      <c r="DD20" s="131"/>
      <c r="DE20" s="131"/>
      <c r="DF20" s="131"/>
      <c r="DG20" s="136"/>
      <c r="DH20" s="131"/>
      <c r="DI20" s="131"/>
      <c r="DJ20" s="136"/>
      <c r="DK20" s="136"/>
      <c r="DL20" s="136"/>
      <c r="DM20" s="136"/>
      <c r="DN20" s="136"/>
      <c r="DO20" s="136"/>
      <c r="DP20" s="136"/>
      <c r="DQ20" s="136"/>
      <c r="DR20" s="136"/>
      <c r="DS20" s="131"/>
      <c r="DT20" s="136"/>
      <c r="DU20" s="131"/>
      <c r="DV20" s="131"/>
      <c r="DW20" s="131"/>
      <c r="DX20" s="131"/>
      <c r="DY20" s="131"/>
      <c r="DZ20" s="136"/>
      <c r="EA20" s="131"/>
      <c r="EB20" s="131"/>
      <c r="EC20" s="131"/>
      <c r="ED20" s="131"/>
      <c r="EE20" s="137"/>
      <c r="EF20" s="227"/>
      <c r="EG20" s="227"/>
      <c r="EH20" s="228"/>
      <c r="EI20" s="228"/>
      <c r="EJ20" s="228"/>
      <c r="EK20" s="228"/>
    </row>
    <row r="21" spans="1:141" s="18" customFormat="1">
      <c r="A21" s="132"/>
      <c r="D21" s="220"/>
      <c r="E21" s="130"/>
      <c r="F21" s="126"/>
      <c r="H21" s="189"/>
      <c r="K21" s="189"/>
      <c r="M21" s="129"/>
      <c r="N21" s="189"/>
      <c r="O21" s="132"/>
      <c r="P21" s="127"/>
      <c r="Q21" s="127"/>
      <c r="R21" s="128"/>
      <c r="S21" s="130"/>
      <c r="T21" s="135"/>
      <c r="U21" s="127"/>
      <c r="V21" s="217"/>
      <c r="W21" s="191"/>
      <c r="X21" s="133"/>
      <c r="Y21" s="131"/>
      <c r="Z21" s="131"/>
      <c r="AA21" s="242"/>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c r="AY21" s="131"/>
      <c r="AZ21" s="131"/>
      <c r="BA21" s="131"/>
      <c r="BB21" s="131"/>
      <c r="BC21" s="131"/>
      <c r="BD21" s="131"/>
      <c r="BE21" s="131"/>
      <c r="BF21" s="131"/>
      <c r="BG21" s="131"/>
      <c r="BH21" s="131"/>
      <c r="BI21" s="131"/>
      <c r="BJ21" s="131"/>
      <c r="BK21" s="131"/>
      <c r="BL21" s="131"/>
      <c r="BM21" s="131"/>
      <c r="BN21" s="131"/>
      <c r="BO21" s="136"/>
      <c r="BP21" s="131"/>
      <c r="BQ21" s="131"/>
      <c r="BR21" s="131"/>
      <c r="BS21" s="131"/>
      <c r="BT21" s="131"/>
      <c r="BU21" s="131"/>
      <c r="BV21" s="131"/>
      <c r="BW21" s="131"/>
      <c r="BX21" s="131"/>
      <c r="BY21" s="131"/>
      <c r="BZ21" s="131"/>
      <c r="CA21" s="131"/>
      <c r="CB21" s="131"/>
      <c r="CC21" s="131"/>
      <c r="CD21" s="131"/>
      <c r="CE21" s="131"/>
      <c r="CF21" s="136"/>
      <c r="CG21" s="136"/>
      <c r="CH21" s="131"/>
      <c r="CI21" s="131"/>
      <c r="CJ21" s="136"/>
      <c r="CK21" s="136"/>
      <c r="CL21" s="136"/>
      <c r="CM21" s="131"/>
      <c r="CN21" s="131"/>
      <c r="CO21" s="136"/>
      <c r="CP21" s="136"/>
      <c r="CQ21" s="131"/>
      <c r="CR21" s="131"/>
      <c r="CS21" s="131"/>
      <c r="CT21" s="131"/>
      <c r="CU21" s="131"/>
      <c r="CV21" s="131"/>
      <c r="CW21" s="131"/>
      <c r="CX21" s="131"/>
      <c r="CY21" s="136"/>
      <c r="CZ21" s="136"/>
      <c r="DA21" s="131"/>
      <c r="DB21" s="136"/>
      <c r="DC21" s="136"/>
      <c r="DD21" s="131"/>
      <c r="DE21" s="131"/>
      <c r="DF21" s="131"/>
      <c r="DG21" s="136"/>
      <c r="DH21" s="131"/>
      <c r="DI21" s="131"/>
      <c r="DJ21" s="136"/>
      <c r="DK21" s="136"/>
      <c r="DL21" s="136"/>
      <c r="DM21" s="136"/>
      <c r="DN21" s="136"/>
      <c r="DO21" s="136"/>
      <c r="DP21" s="136"/>
      <c r="DQ21" s="136"/>
      <c r="DR21" s="136"/>
      <c r="DS21" s="131"/>
      <c r="DT21" s="136"/>
      <c r="DU21" s="131"/>
      <c r="DV21" s="131"/>
      <c r="DW21" s="131"/>
      <c r="DX21" s="131"/>
      <c r="DY21" s="131"/>
      <c r="DZ21" s="136"/>
      <c r="EA21" s="131"/>
      <c r="EB21" s="131"/>
      <c r="EC21" s="131"/>
      <c r="ED21" s="131"/>
      <c r="EE21" s="137"/>
      <c r="EF21" s="227"/>
      <c r="EG21" s="227"/>
      <c r="EH21" s="228"/>
      <c r="EI21" s="228"/>
      <c r="EJ21" s="228"/>
      <c r="EK21" s="228"/>
    </row>
    <row r="22" spans="1:141" s="18" customFormat="1">
      <c r="A22" s="132"/>
      <c r="D22" s="220"/>
      <c r="E22" s="130"/>
      <c r="F22" s="126"/>
      <c r="H22" s="189"/>
      <c r="K22" s="189"/>
      <c r="M22" s="129"/>
      <c r="N22" s="189"/>
      <c r="O22" s="132"/>
      <c r="P22" s="127"/>
      <c r="Q22" s="127"/>
      <c r="R22" s="128"/>
      <c r="S22" s="130"/>
      <c r="T22" s="135"/>
      <c r="U22" s="127"/>
      <c r="V22" s="217"/>
      <c r="W22" s="191"/>
      <c r="X22" s="133"/>
      <c r="Y22" s="131"/>
      <c r="Z22" s="131"/>
      <c r="AA22" s="242"/>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c r="AY22" s="131"/>
      <c r="AZ22" s="131"/>
      <c r="BA22" s="131"/>
      <c r="BB22" s="131"/>
      <c r="BC22" s="131"/>
      <c r="BD22" s="131"/>
      <c r="BE22" s="131"/>
      <c r="BF22" s="131"/>
      <c r="BG22" s="131"/>
      <c r="BH22" s="131"/>
      <c r="BI22" s="131"/>
      <c r="BJ22" s="131"/>
      <c r="BK22" s="131"/>
      <c r="BL22" s="131"/>
      <c r="BM22" s="131"/>
      <c r="BN22" s="131"/>
      <c r="BO22" s="136"/>
      <c r="BP22" s="131"/>
      <c r="BQ22" s="131"/>
      <c r="BR22" s="131"/>
      <c r="BS22" s="131"/>
      <c r="BT22" s="131"/>
      <c r="BU22" s="131"/>
      <c r="BV22" s="131"/>
      <c r="BW22" s="131"/>
      <c r="BX22" s="131"/>
      <c r="BY22" s="131"/>
      <c r="BZ22" s="131"/>
      <c r="CA22" s="131"/>
      <c r="CB22" s="131"/>
      <c r="CC22" s="131"/>
      <c r="CD22" s="131"/>
      <c r="CE22" s="131"/>
      <c r="CF22" s="136"/>
      <c r="CG22" s="136"/>
      <c r="CH22" s="131"/>
      <c r="CI22" s="131"/>
      <c r="CJ22" s="136"/>
      <c r="CK22" s="136"/>
      <c r="CL22" s="136"/>
      <c r="CM22" s="131"/>
      <c r="CN22" s="131"/>
      <c r="CO22" s="136"/>
      <c r="CP22" s="136"/>
      <c r="CQ22" s="131"/>
      <c r="CR22" s="131"/>
      <c r="CS22" s="131"/>
      <c r="CT22" s="131"/>
      <c r="CU22" s="131"/>
      <c r="CV22" s="131"/>
      <c r="CW22" s="131"/>
      <c r="CX22" s="131"/>
      <c r="CY22" s="136"/>
      <c r="CZ22" s="136"/>
      <c r="DA22" s="131"/>
      <c r="DB22" s="136"/>
      <c r="DC22" s="136"/>
      <c r="DD22" s="131"/>
      <c r="DE22" s="131"/>
      <c r="DF22" s="131"/>
      <c r="DG22" s="136"/>
      <c r="DH22" s="131"/>
      <c r="DI22" s="131"/>
      <c r="DJ22" s="136"/>
      <c r="DK22" s="136"/>
      <c r="DL22" s="136"/>
      <c r="DM22" s="136"/>
      <c r="DN22" s="136"/>
      <c r="DO22" s="136"/>
      <c r="DP22" s="136"/>
      <c r="DQ22" s="136"/>
      <c r="DR22" s="136"/>
      <c r="DS22" s="131"/>
      <c r="DT22" s="136"/>
      <c r="DU22" s="131"/>
      <c r="DV22" s="131"/>
      <c r="DW22" s="131"/>
      <c r="DX22" s="131"/>
      <c r="DY22" s="131"/>
      <c r="DZ22" s="136"/>
      <c r="EA22" s="131"/>
      <c r="EB22" s="131"/>
      <c r="EC22" s="131"/>
      <c r="ED22" s="131"/>
      <c r="EE22" s="137"/>
      <c r="EF22" s="227"/>
      <c r="EG22" s="227"/>
      <c r="EH22" s="228"/>
      <c r="EI22" s="228"/>
      <c r="EJ22" s="228"/>
      <c r="EK22" s="228"/>
    </row>
    <row r="23" spans="1:141">
      <c r="A23" s="132"/>
      <c r="B23" s="18"/>
      <c r="C23" s="18"/>
      <c r="D23" s="220"/>
      <c r="E23" s="130"/>
      <c r="F23" s="126"/>
      <c r="G23" s="18"/>
      <c r="H23" s="189"/>
      <c r="I23" s="18"/>
      <c r="J23" s="18"/>
      <c r="K23" s="189"/>
      <c r="L23" s="18"/>
      <c r="M23" s="129"/>
      <c r="N23" s="189"/>
      <c r="O23" s="132"/>
      <c r="P23" s="127"/>
      <c r="Q23" s="127"/>
      <c r="R23" s="128"/>
      <c r="S23" s="130"/>
      <c r="T23" s="135"/>
      <c r="U23" s="127"/>
      <c r="V23" s="217"/>
      <c r="W23" s="191"/>
      <c r="X23" s="133"/>
      <c r="Y23" s="131"/>
      <c r="Z23" s="131"/>
      <c r="AA23" s="242"/>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c r="AY23" s="131"/>
      <c r="AZ23" s="131"/>
      <c r="BA23" s="131"/>
      <c r="BB23" s="131"/>
      <c r="BC23" s="131"/>
      <c r="BD23" s="131"/>
      <c r="BE23" s="131"/>
      <c r="BF23" s="131"/>
      <c r="BG23" s="131"/>
      <c r="BH23" s="131"/>
      <c r="BI23" s="131"/>
      <c r="BJ23" s="131"/>
      <c r="BK23" s="131"/>
      <c r="BL23" s="131"/>
      <c r="BM23" s="131"/>
      <c r="BN23" s="131"/>
      <c r="BO23" s="136"/>
      <c r="BP23" s="131"/>
      <c r="BQ23" s="131"/>
      <c r="BR23" s="131"/>
      <c r="BS23" s="131"/>
      <c r="BT23" s="131"/>
      <c r="BU23" s="131"/>
      <c r="BV23" s="131"/>
      <c r="BW23" s="131"/>
      <c r="BX23" s="131"/>
      <c r="BY23" s="131"/>
      <c r="BZ23" s="131"/>
      <c r="CA23" s="131"/>
      <c r="CB23" s="131"/>
      <c r="CC23" s="131"/>
      <c r="CD23" s="131"/>
      <c r="CE23" s="131"/>
      <c r="CF23" s="136"/>
      <c r="CG23" s="136"/>
      <c r="CH23" s="131"/>
      <c r="CI23" s="131"/>
      <c r="CJ23" s="136"/>
      <c r="CK23" s="136"/>
      <c r="CL23" s="136"/>
      <c r="CM23" s="131"/>
      <c r="CN23" s="131"/>
      <c r="CO23" s="136"/>
      <c r="CP23" s="136"/>
      <c r="CQ23" s="131"/>
      <c r="CR23" s="131"/>
      <c r="CS23" s="131"/>
      <c r="CT23" s="131"/>
      <c r="CU23" s="131"/>
      <c r="CV23" s="131"/>
      <c r="CW23" s="131"/>
      <c r="CX23" s="131"/>
      <c r="CY23" s="136"/>
      <c r="CZ23" s="136"/>
      <c r="DA23" s="131"/>
      <c r="DB23" s="136"/>
      <c r="DC23" s="136"/>
      <c r="DD23" s="131"/>
      <c r="DE23" s="131"/>
      <c r="DF23" s="131"/>
      <c r="DG23" s="136"/>
      <c r="DH23" s="131"/>
      <c r="DI23" s="131"/>
      <c r="DJ23" s="136"/>
      <c r="DK23" s="136"/>
      <c r="DL23" s="136"/>
      <c r="DM23" s="136"/>
      <c r="DN23" s="136"/>
      <c r="DO23" s="136"/>
      <c r="DP23" s="136"/>
      <c r="DQ23" s="136"/>
      <c r="DR23" s="136"/>
      <c r="DS23" s="131"/>
      <c r="DT23" s="136"/>
      <c r="DU23" s="131"/>
      <c r="DV23" s="131"/>
      <c r="DW23" s="131"/>
      <c r="DX23" s="131"/>
      <c r="DY23" s="131"/>
      <c r="DZ23" s="136"/>
      <c r="EA23" s="131"/>
      <c r="EB23" s="131"/>
      <c r="EC23" s="131"/>
      <c r="ED23" s="131"/>
      <c r="EE23" s="137"/>
      <c r="EF23" s="227"/>
      <c r="EG23" s="227"/>
      <c r="EH23" s="228"/>
      <c r="EI23" s="228"/>
      <c r="EJ23" s="228"/>
      <c r="EK23" s="228"/>
    </row>
    <row r="24" spans="1:141">
      <c r="A24" s="132"/>
      <c r="B24" s="18"/>
      <c r="C24" s="18"/>
      <c r="D24" s="220"/>
      <c r="E24" s="130"/>
      <c r="F24" s="126"/>
      <c r="G24" s="18"/>
      <c r="H24" s="189"/>
      <c r="I24" s="18"/>
      <c r="J24" s="18"/>
      <c r="K24" s="189"/>
      <c r="L24" s="18"/>
      <c r="M24" s="129"/>
      <c r="N24" s="189"/>
      <c r="O24" s="132"/>
      <c r="P24" s="127"/>
      <c r="Q24" s="127"/>
      <c r="R24" s="128"/>
      <c r="S24" s="130"/>
      <c r="T24" s="135"/>
      <c r="U24" s="127"/>
      <c r="V24" s="217"/>
      <c r="W24" s="191"/>
      <c r="X24" s="133"/>
      <c r="Y24" s="131"/>
      <c r="Z24" s="131"/>
      <c r="AA24" s="242"/>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c r="AY24" s="131"/>
      <c r="AZ24" s="131"/>
      <c r="BA24" s="131"/>
      <c r="BB24" s="131"/>
      <c r="BC24" s="131"/>
      <c r="BD24" s="131"/>
      <c r="BE24" s="131"/>
      <c r="BF24" s="131"/>
      <c r="BG24" s="131"/>
      <c r="BH24" s="131"/>
      <c r="BI24" s="131"/>
      <c r="BJ24" s="131"/>
      <c r="BK24" s="131"/>
      <c r="BL24" s="131"/>
      <c r="BM24" s="131"/>
      <c r="BN24" s="131"/>
      <c r="BO24" s="136"/>
      <c r="BP24" s="131"/>
      <c r="BQ24" s="131"/>
      <c r="BR24" s="131"/>
      <c r="BS24" s="131"/>
      <c r="BT24" s="131"/>
      <c r="BU24" s="131"/>
      <c r="BV24" s="131"/>
      <c r="BW24" s="131"/>
      <c r="BX24" s="131"/>
      <c r="BY24" s="131"/>
      <c r="BZ24" s="131"/>
      <c r="CA24" s="131"/>
      <c r="CB24" s="131"/>
      <c r="CC24" s="131"/>
      <c r="CD24" s="131"/>
      <c r="CE24" s="131"/>
      <c r="CF24" s="136"/>
      <c r="CG24" s="136"/>
      <c r="CH24" s="131"/>
      <c r="CI24" s="131"/>
      <c r="CJ24" s="136"/>
      <c r="CK24" s="136"/>
      <c r="CL24" s="136"/>
      <c r="CM24" s="131"/>
      <c r="CN24" s="131"/>
      <c r="CO24" s="136"/>
      <c r="CP24" s="136"/>
      <c r="CQ24" s="131"/>
      <c r="CR24" s="131"/>
      <c r="CS24" s="131"/>
      <c r="CT24" s="131"/>
      <c r="CU24" s="131"/>
      <c r="CV24" s="131"/>
      <c r="CW24" s="131"/>
      <c r="CX24" s="131"/>
      <c r="CY24" s="136"/>
      <c r="CZ24" s="136"/>
      <c r="DA24" s="131"/>
      <c r="DB24" s="136"/>
      <c r="DC24" s="136"/>
      <c r="DD24" s="131"/>
      <c r="DE24" s="131"/>
      <c r="DF24" s="131"/>
      <c r="DG24" s="136"/>
      <c r="DH24" s="131"/>
      <c r="DI24" s="131"/>
      <c r="DJ24" s="136"/>
      <c r="DK24" s="136"/>
      <c r="DL24" s="136"/>
      <c r="DM24" s="136"/>
      <c r="DN24" s="136"/>
      <c r="DO24" s="136"/>
      <c r="DP24" s="136"/>
      <c r="DQ24" s="136"/>
      <c r="DR24" s="136"/>
      <c r="DS24" s="131"/>
      <c r="DT24" s="136"/>
      <c r="DU24" s="131"/>
      <c r="DV24" s="131"/>
      <c r="DW24" s="131"/>
      <c r="DX24" s="131"/>
      <c r="DY24" s="131"/>
      <c r="DZ24" s="136"/>
      <c r="EA24" s="131"/>
      <c r="EB24" s="131"/>
      <c r="EC24" s="131"/>
      <c r="ED24" s="131"/>
      <c r="EE24" s="137"/>
      <c r="EF24" s="227"/>
      <c r="EG24" s="227"/>
      <c r="EH24" s="228"/>
      <c r="EI24" s="228"/>
      <c r="EJ24" s="228"/>
      <c r="EK24" s="228"/>
    </row>
    <row r="25" spans="1:141">
      <c r="A25" s="132"/>
      <c r="B25" s="18"/>
      <c r="C25" s="18"/>
      <c r="D25" s="220"/>
      <c r="E25" s="130"/>
      <c r="F25" s="126"/>
      <c r="G25" s="18"/>
      <c r="H25" s="189"/>
      <c r="I25" s="18"/>
      <c r="J25" s="18"/>
      <c r="K25" s="189"/>
      <c r="L25" s="18"/>
      <c r="M25" s="129"/>
      <c r="N25" s="189"/>
      <c r="O25" s="132"/>
      <c r="P25" s="127"/>
      <c r="Q25" s="127"/>
      <c r="R25" s="128"/>
      <c r="S25" s="130"/>
      <c r="T25" s="135"/>
      <c r="U25" s="127"/>
      <c r="V25" s="217"/>
      <c r="W25" s="191"/>
      <c r="X25" s="133"/>
      <c r="Y25" s="131"/>
      <c r="Z25" s="131"/>
      <c r="AA25" s="242"/>
      <c r="AB25" s="131"/>
      <c r="AC25" s="131"/>
      <c r="AD25" s="131"/>
      <c r="AE25" s="131"/>
      <c r="AF25" s="131"/>
      <c r="AG25" s="131"/>
      <c r="AH25" s="131"/>
      <c r="AI25" s="131"/>
      <c r="AJ25" s="131"/>
      <c r="AK25" s="131"/>
      <c r="AL25" s="131"/>
      <c r="AM25" s="131"/>
      <c r="AN25" s="131"/>
      <c r="AO25" s="131"/>
      <c r="AP25" s="131"/>
      <c r="AQ25" s="243"/>
      <c r="AR25" s="131"/>
      <c r="AS25" s="131"/>
      <c r="AT25" s="131"/>
      <c r="AU25" s="131"/>
      <c r="AV25" s="131"/>
      <c r="AW25" s="131"/>
      <c r="AX25" s="131"/>
      <c r="AY25" s="131"/>
      <c r="AZ25" s="131"/>
      <c r="BA25" s="131"/>
      <c r="BB25" s="131"/>
      <c r="BC25" s="131"/>
      <c r="BD25" s="131"/>
      <c r="BE25" s="131"/>
      <c r="BF25" s="131"/>
      <c r="BG25" s="131"/>
      <c r="BH25" s="131"/>
      <c r="BI25" s="131"/>
      <c r="BJ25" s="131"/>
      <c r="BK25" s="131"/>
      <c r="BL25" s="131"/>
      <c r="BM25" s="131"/>
      <c r="BN25" s="131"/>
      <c r="BO25" s="136"/>
      <c r="BP25" s="131"/>
      <c r="BQ25" s="131"/>
      <c r="BR25" s="131"/>
      <c r="BS25" s="131"/>
      <c r="BT25" s="131"/>
      <c r="BU25" s="131"/>
      <c r="BV25" s="131"/>
      <c r="BW25" s="131"/>
      <c r="BX25" s="131"/>
      <c r="BY25" s="131"/>
      <c r="BZ25" s="131"/>
      <c r="CA25" s="131"/>
      <c r="CB25" s="131"/>
      <c r="CC25" s="131"/>
      <c r="CD25" s="131"/>
      <c r="CE25" s="131"/>
      <c r="CF25" s="136"/>
      <c r="CG25" s="136"/>
      <c r="CH25" s="131"/>
      <c r="CI25" s="131"/>
      <c r="CJ25" s="136"/>
      <c r="CK25" s="136"/>
      <c r="CL25" s="136"/>
      <c r="CM25" s="131"/>
      <c r="CN25" s="131"/>
      <c r="CO25" s="136"/>
      <c r="CP25" s="136"/>
      <c r="CQ25" s="131"/>
      <c r="CR25" s="131"/>
      <c r="CS25" s="131"/>
      <c r="CT25" s="131"/>
      <c r="CU25" s="131"/>
      <c r="CV25" s="131"/>
      <c r="CW25" s="131"/>
      <c r="CX25" s="131"/>
      <c r="CY25" s="136"/>
      <c r="CZ25" s="136"/>
      <c r="DA25" s="131"/>
      <c r="DB25" s="136"/>
      <c r="DC25" s="136"/>
      <c r="DD25" s="131"/>
      <c r="DE25" s="131"/>
      <c r="DF25" s="131"/>
      <c r="DG25" s="136"/>
      <c r="DH25" s="131"/>
      <c r="DI25" s="131"/>
      <c r="DJ25" s="136"/>
      <c r="DK25" s="136"/>
      <c r="DL25" s="136"/>
      <c r="DM25" s="136"/>
      <c r="DN25" s="136"/>
      <c r="DO25" s="136"/>
      <c r="DP25" s="136"/>
      <c r="DQ25" s="136"/>
      <c r="DR25" s="136"/>
      <c r="DS25" s="131"/>
      <c r="DT25" s="136"/>
      <c r="DU25" s="131"/>
      <c r="DV25" s="131"/>
      <c r="DW25" s="131"/>
      <c r="DX25" s="131"/>
      <c r="DY25" s="131"/>
      <c r="DZ25" s="136"/>
      <c r="EA25" s="131"/>
      <c r="EB25" s="131"/>
      <c r="EC25" s="131"/>
      <c r="ED25" s="131"/>
      <c r="EE25" s="137"/>
      <c r="EF25" s="227"/>
      <c r="EG25" s="227"/>
      <c r="EH25" s="228"/>
      <c r="EI25" s="228"/>
      <c r="EJ25" s="228"/>
      <c r="EK25" s="228"/>
    </row>
    <row r="26" spans="1:141">
      <c r="A26" s="132"/>
      <c r="B26" s="18"/>
      <c r="C26" s="18"/>
      <c r="D26" s="220"/>
      <c r="E26" s="130"/>
      <c r="F26" s="126"/>
      <c r="G26" s="18"/>
      <c r="H26" s="189"/>
      <c r="I26" s="18"/>
      <c r="J26" s="18"/>
      <c r="K26" s="189"/>
      <c r="L26" s="18"/>
      <c r="M26" s="129"/>
      <c r="N26" s="189"/>
      <c r="O26" s="132"/>
      <c r="P26" s="127"/>
      <c r="Q26" s="127"/>
      <c r="R26" s="128"/>
      <c r="S26" s="130"/>
      <c r="T26" s="135"/>
      <c r="U26" s="127"/>
      <c r="V26" s="217"/>
      <c r="W26" s="191"/>
      <c r="X26" s="133"/>
      <c r="Y26" s="131"/>
      <c r="Z26" s="131"/>
      <c r="AA26" s="242"/>
      <c r="AB26" s="131"/>
      <c r="AC26" s="131"/>
      <c r="AD26" s="131"/>
      <c r="AE26" s="131"/>
      <c r="AF26" s="131"/>
      <c r="AG26" s="131"/>
      <c r="AH26" s="131"/>
      <c r="AI26" s="131"/>
      <c r="AJ26" s="131"/>
      <c r="AK26" s="131"/>
      <c r="AL26" s="131"/>
      <c r="AM26" s="131"/>
      <c r="AN26" s="131"/>
      <c r="AO26" s="131"/>
      <c r="AP26" s="131"/>
      <c r="AQ26" s="243"/>
      <c r="AR26" s="131"/>
      <c r="AS26" s="131"/>
      <c r="AT26" s="131"/>
      <c r="AU26" s="131"/>
      <c r="AV26" s="131"/>
      <c r="AW26" s="131"/>
      <c r="AX26" s="131"/>
      <c r="AY26" s="131"/>
      <c r="AZ26" s="131"/>
      <c r="BA26" s="131"/>
      <c r="BB26" s="131"/>
      <c r="BC26" s="131"/>
      <c r="BD26" s="131"/>
      <c r="BE26" s="131"/>
      <c r="BF26" s="131"/>
      <c r="BG26" s="131"/>
      <c r="BH26" s="131"/>
      <c r="BI26" s="131"/>
      <c r="BJ26" s="131"/>
      <c r="BK26" s="131"/>
      <c r="BL26" s="131"/>
      <c r="BM26" s="131"/>
      <c r="BN26" s="131"/>
      <c r="BO26" s="136"/>
      <c r="BP26" s="131"/>
      <c r="BQ26" s="131"/>
      <c r="BR26" s="131"/>
      <c r="BS26" s="131"/>
      <c r="BT26" s="131"/>
      <c r="BU26" s="131"/>
      <c r="BV26" s="131"/>
      <c r="BW26" s="131"/>
      <c r="BX26" s="131"/>
      <c r="BY26" s="131"/>
      <c r="BZ26" s="131"/>
      <c r="CA26" s="131"/>
      <c r="CB26" s="131"/>
      <c r="CC26" s="131"/>
      <c r="CD26" s="131"/>
      <c r="CE26" s="131"/>
      <c r="CF26" s="136"/>
      <c r="CG26" s="136"/>
      <c r="CH26" s="131"/>
      <c r="CI26" s="131"/>
      <c r="CJ26" s="136"/>
      <c r="CK26" s="136"/>
      <c r="CL26" s="136"/>
      <c r="CM26" s="131"/>
      <c r="CN26" s="131"/>
      <c r="CO26" s="136"/>
      <c r="CP26" s="136"/>
      <c r="CQ26" s="131"/>
      <c r="CR26" s="131"/>
      <c r="CS26" s="131"/>
      <c r="CT26" s="131"/>
      <c r="CU26" s="131"/>
      <c r="CV26" s="131"/>
      <c r="CW26" s="131"/>
      <c r="CX26" s="131"/>
      <c r="CY26" s="136"/>
      <c r="CZ26" s="136"/>
      <c r="DA26" s="131"/>
      <c r="DB26" s="136"/>
      <c r="DC26" s="136"/>
      <c r="DD26" s="131"/>
      <c r="DE26" s="131"/>
      <c r="DF26" s="131"/>
      <c r="DG26" s="136"/>
      <c r="DH26" s="131"/>
      <c r="DI26" s="131"/>
      <c r="DJ26" s="136"/>
      <c r="DK26" s="136"/>
      <c r="DL26" s="136"/>
      <c r="DM26" s="136"/>
      <c r="DN26" s="136"/>
      <c r="DO26" s="136"/>
      <c r="DP26" s="136"/>
      <c r="DQ26" s="136"/>
      <c r="DR26" s="136"/>
      <c r="DS26" s="131"/>
      <c r="DT26" s="136"/>
      <c r="DU26" s="131"/>
      <c r="DV26" s="131"/>
      <c r="DW26" s="131"/>
      <c r="DX26" s="131"/>
      <c r="DY26" s="131"/>
      <c r="DZ26" s="136"/>
      <c r="EA26" s="131"/>
      <c r="EB26" s="131"/>
      <c r="EC26" s="131"/>
      <c r="ED26" s="131"/>
      <c r="EE26" s="137"/>
      <c r="EF26" s="227"/>
      <c r="EG26" s="227"/>
      <c r="EH26" s="228"/>
      <c r="EI26" s="228"/>
      <c r="EJ26" s="228"/>
      <c r="EK26" s="228"/>
    </row>
    <row r="27" spans="1:141">
      <c r="A27" s="132"/>
      <c r="B27" s="18"/>
      <c r="C27" s="18"/>
      <c r="D27" s="220"/>
      <c r="E27" s="130"/>
      <c r="F27" s="126"/>
      <c r="G27" s="18"/>
      <c r="H27" s="189"/>
      <c r="I27" s="18"/>
      <c r="J27" s="18"/>
      <c r="K27" s="189"/>
      <c r="L27" s="18"/>
      <c r="M27" s="129"/>
      <c r="N27" s="189"/>
      <c r="O27" s="132"/>
      <c r="P27" s="127"/>
      <c r="Q27" s="127"/>
      <c r="R27" s="128"/>
      <c r="S27" s="130"/>
      <c r="T27" s="135"/>
      <c r="U27" s="127"/>
      <c r="V27" s="217"/>
      <c r="W27" s="191"/>
      <c r="X27" s="133"/>
      <c r="Y27" s="131"/>
      <c r="Z27" s="131"/>
      <c r="AA27" s="242"/>
      <c r="AB27" s="131"/>
      <c r="AC27" s="131"/>
      <c r="AD27" s="131"/>
      <c r="AE27" s="131"/>
      <c r="AF27" s="131"/>
      <c r="AG27" s="131"/>
      <c r="AH27" s="131"/>
      <c r="AI27" s="131"/>
      <c r="AJ27" s="131"/>
      <c r="AK27" s="131"/>
      <c r="AL27" s="131"/>
      <c r="AM27" s="131"/>
      <c r="AN27" s="131"/>
      <c r="AO27" s="131"/>
      <c r="AP27" s="131"/>
      <c r="AQ27" s="243"/>
      <c r="AR27" s="131"/>
      <c r="AS27" s="131"/>
      <c r="AT27" s="131"/>
      <c r="AU27" s="131"/>
      <c r="AV27" s="131"/>
      <c r="AW27" s="131"/>
      <c r="AX27" s="131"/>
      <c r="AY27" s="131"/>
      <c r="AZ27" s="131"/>
      <c r="BA27" s="131"/>
      <c r="BB27" s="131"/>
      <c r="BC27" s="131"/>
      <c r="BD27" s="131"/>
      <c r="BE27" s="131"/>
      <c r="BF27" s="131"/>
      <c r="BG27" s="131"/>
      <c r="BH27" s="131"/>
      <c r="BI27" s="131"/>
      <c r="BJ27" s="131"/>
      <c r="BK27" s="131"/>
      <c r="BL27" s="131"/>
      <c r="BM27" s="131"/>
      <c r="BN27" s="131"/>
      <c r="BO27" s="136"/>
      <c r="BP27" s="131"/>
      <c r="BQ27" s="131"/>
      <c r="BR27" s="131"/>
      <c r="BS27" s="131"/>
      <c r="BT27" s="131"/>
      <c r="BU27" s="131"/>
      <c r="BV27" s="131"/>
      <c r="BW27" s="131"/>
      <c r="BX27" s="131"/>
      <c r="BY27" s="131"/>
      <c r="BZ27" s="131"/>
      <c r="CA27" s="131"/>
      <c r="CB27" s="131"/>
      <c r="CC27" s="131"/>
      <c r="CD27" s="131"/>
      <c r="CE27" s="131"/>
      <c r="CF27" s="136"/>
      <c r="CG27" s="136"/>
      <c r="CH27" s="131"/>
      <c r="CI27" s="131"/>
      <c r="CJ27" s="136"/>
      <c r="CK27" s="136"/>
      <c r="CL27" s="136"/>
      <c r="CM27" s="131"/>
      <c r="CN27" s="131"/>
      <c r="CO27" s="136"/>
      <c r="CP27" s="136"/>
      <c r="CQ27" s="131"/>
      <c r="CR27" s="131"/>
      <c r="CS27" s="131"/>
      <c r="CT27" s="131"/>
      <c r="CU27" s="131"/>
      <c r="CV27" s="131"/>
      <c r="CW27" s="131"/>
      <c r="CX27" s="131"/>
      <c r="CY27" s="136"/>
      <c r="CZ27" s="136"/>
      <c r="DA27" s="131"/>
      <c r="DB27" s="136"/>
      <c r="DC27" s="136"/>
      <c r="DD27" s="131"/>
      <c r="DE27" s="131"/>
      <c r="DF27" s="131"/>
      <c r="DG27" s="136"/>
      <c r="DH27" s="131"/>
      <c r="DI27" s="131"/>
      <c r="DJ27" s="136"/>
      <c r="DK27" s="136"/>
      <c r="DL27" s="136"/>
      <c r="DM27" s="136"/>
      <c r="DN27" s="136"/>
      <c r="DO27" s="136"/>
      <c r="DP27" s="136"/>
      <c r="DQ27" s="136"/>
      <c r="DR27" s="136"/>
      <c r="DS27" s="131"/>
      <c r="DT27" s="136"/>
      <c r="DU27" s="131"/>
      <c r="DV27" s="131"/>
      <c r="DW27" s="131"/>
      <c r="DX27" s="131"/>
      <c r="DY27" s="131"/>
      <c r="DZ27" s="136"/>
      <c r="EA27" s="131"/>
      <c r="EB27" s="131"/>
      <c r="EC27" s="131"/>
      <c r="ED27" s="131"/>
      <c r="EE27" s="137"/>
      <c r="EF27" s="227"/>
      <c r="EG27" s="227"/>
      <c r="EH27" s="228"/>
      <c r="EI27" s="228"/>
      <c r="EJ27" s="228"/>
      <c r="EK27" s="228"/>
    </row>
    <row r="28" spans="1:141">
      <c r="A28" s="132"/>
      <c r="B28" s="18"/>
      <c r="C28" s="18"/>
      <c r="D28" s="220"/>
      <c r="E28" s="130"/>
      <c r="F28" s="126"/>
      <c r="G28" s="18"/>
      <c r="H28" s="189"/>
      <c r="I28" s="18"/>
      <c r="J28" s="18"/>
      <c r="K28" s="189"/>
      <c r="L28" s="18"/>
      <c r="M28" s="129"/>
      <c r="N28" s="189"/>
      <c r="O28" s="132"/>
      <c r="P28" s="127"/>
      <c r="Q28" s="127"/>
      <c r="R28" s="128"/>
      <c r="S28" s="130"/>
      <c r="T28" s="135"/>
      <c r="U28" s="127"/>
      <c r="V28" s="217"/>
      <c r="W28" s="191"/>
      <c r="X28" s="133"/>
      <c r="Y28" s="131"/>
      <c r="Z28" s="131"/>
      <c r="AA28" s="242"/>
      <c r="AB28" s="131"/>
      <c r="AC28" s="131"/>
      <c r="AD28" s="131"/>
      <c r="AE28" s="131"/>
      <c r="AF28" s="131"/>
      <c r="AG28" s="131"/>
      <c r="AH28" s="131"/>
      <c r="AI28" s="131"/>
      <c r="AJ28" s="131"/>
      <c r="AK28" s="131"/>
      <c r="AL28" s="131"/>
      <c r="AM28" s="131"/>
      <c r="AN28" s="131"/>
      <c r="AO28" s="131"/>
      <c r="AP28" s="131"/>
      <c r="AQ28" s="243"/>
      <c r="AR28" s="131"/>
      <c r="AS28" s="131"/>
      <c r="AT28" s="131"/>
      <c r="AU28" s="131"/>
      <c r="AV28" s="131"/>
      <c r="AW28" s="131"/>
      <c r="AX28" s="131"/>
      <c r="AY28" s="131"/>
      <c r="AZ28" s="131"/>
      <c r="BA28" s="131"/>
      <c r="BB28" s="131"/>
      <c r="BC28" s="131"/>
      <c r="BD28" s="131"/>
      <c r="BE28" s="131"/>
      <c r="BF28" s="131"/>
      <c r="BG28" s="131"/>
      <c r="BH28" s="131"/>
      <c r="BI28" s="131"/>
      <c r="BJ28" s="131"/>
      <c r="BK28" s="131"/>
      <c r="BL28" s="131"/>
      <c r="BM28" s="131"/>
      <c r="BN28" s="131"/>
      <c r="BO28" s="136"/>
      <c r="BP28" s="131"/>
      <c r="BQ28" s="131"/>
      <c r="BR28" s="131"/>
      <c r="BS28" s="131"/>
      <c r="BT28" s="131"/>
      <c r="BU28" s="131"/>
      <c r="BV28" s="131"/>
      <c r="BW28" s="131"/>
      <c r="BX28" s="131"/>
      <c r="BY28" s="131"/>
      <c r="BZ28" s="131"/>
      <c r="CA28" s="131"/>
      <c r="CB28" s="131"/>
      <c r="CC28" s="131"/>
      <c r="CD28" s="131"/>
      <c r="CE28" s="131"/>
      <c r="CF28" s="136"/>
      <c r="CG28" s="136"/>
      <c r="CH28" s="131"/>
      <c r="CI28" s="131"/>
      <c r="CJ28" s="136"/>
      <c r="CK28" s="136"/>
      <c r="CL28" s="136"/>
      <c r="CM28" s="131"/>
      <c r="CN28" s="131"/>
      <c r="CO28" s="136"/>
      <c r="CP28" s="136"/>
      <c r="CQ28" s="131"/>
      <c r="CR28" s="131"/>
      <c r="CS28" s="131"/>
      <c r="CT28" s="131"/>
      <c r="CU28" s="131"/>
      <c r="CV28" s="131"/>
      <c r="CW28" s="131"/>
      <c r="CX28" s="131"/>
      <c r="CY28" s="136"/>
      <c r="CZ28" s="136"/>
      <c r="DA28" s="131"/>
      <c r="DB28" s="136"/>
      <c r="DC28" s="136"/>
      <c r="DD28" s="131"/>
      <c r="DE28" s="131"/>
      <c r="DF28" s="131"/>
      <c r="DG28" s="136"/>
      <c r="DH28" s="131"/>
      <c r="DI28" s="131"/>
      <c r="DJ28" s="136"/>
      <c r="DK28" s="136"/>
      <c r="DL28" s="136"/>
      <c r="DM28" s="136"/>
      <c r="DN28" s="136"/>
      <c r="DO28" s="136"/>
      <c r="DP28" s="136"/>
      <c r="DQ28" s="136"/>
      <c r="DR28" s="136"/>
      <c r="DS28" s="131"/>
      <c r="DT28" s="136"/>
      <c r="DU28" s="131"/>
      <c r="DV28" s="131"/>
      <c r="DW28" s="131"/>
      <c r="DX28" s="131"/>
      <c r="DY28" s="131"/>
      <c r="DZ28" s="136"/>
      <c r="EA28" s="131"/>
      <c r="EB28" s="131"/>
      <c r="EC28" s="131"/>
      <c r="ED28" s="131"/>
      <c r="EE28" s="137"/>
      <c r="EF28" s="227"/>
      <c r="EG28" s="227"/>
      <c r="EH28" s="228"/>
      <c r="EI28" s="228"/>
      <c r="EJ28" s="228"/>
      <c r="EK28" s="228"/>
    </row>
    <row r="29" spans="1:141">
      <c r="A29" s="132"/>
      <c r="B29" s="18"/>
      <c r="C29" s="18"/>
      <c r="D29" s="220"/>
      <c r="E29" s="130"/>
      <c r="F29" s="126"/>
      <c r="G29" s="18"/>
      <c r="H29" s="189"/>
      <c r="I29" s="18"/>
      <c r="J29" s="18"/>
      <c r="K29" s="189"/>
      <c r="L29" s="18"/>
      <c r="M29" s="129"/>
      <c r="N29" s="189"/>
      <c r="O29" s="132"/>
      <c r="P29" s="127"/>
      <c r="Q29" s="127"/>
      <c r="R29" s="128"/>
      <c r="S29" s="130"/>
      <c r="T29" s="135"/>
      <c r="U29" s="127"/>
      <c r="V29" s="217"/>
      <c r="W29" s="191"/>
      <c r="X29" s="133"/>
      <c r="Y29" s="131"/>
      <c r="Z29" s="131"/>
      <c r="AA29" s="242"/>
      <c r="AB29" s="131"/>
      <c r="AC29" s="131"/>
      <c r="AD29" s="131"/>
      <c r="AE29" s="131"/>
      <c r="AF29" s="131"/>
      <c r="AG29" s="131"/>
      <c r="AH29" s="131"/>
      <c r="AI29" s="131"/>
      <c r="AJ29" s="131"/>
      <c r="AK29" s="131"/>
      <c r="AL29" s="131"/>
      <c r="AM29" s="131"/>
      <c r="AN29" s="131"/>
      <c r="AO29" s="131"/>
      <c r="AP29" s="131"/>
      <c r="AQ29" s="243"/>
      <c r="AR29" s="131"/>
      <c r="AS29" s="131"/>
      <c r="AT29" s="131"/>
      <c r="AU29" s="131"/>
      <c r="AV29" s="131"/>
      <c r="AW29" s="131"/>
      <c r="AX29" s="131"/>
      <c r="AY29" s="131"/>
      <c r="AZ29" s="131"/>
      <c r="BA29" s="131"/>
      <c r="BB29" s="131"/>
      <c r="BC29" s="131"/>
      <c r="BD29" s="131"/>
      <c r="BE29" s="131"/>
      <c r="BF29" s="131"/>
      <c r="BG29" s="131"/>
      <c r="BH29" s="131"/>
      <c r="BI29" s="131"/>
      <c r="BJ29" s="131"/>
      <c r="BK29" s="131"/>
      <c r="BL29" s="131"/>
      <c r="BM29" s="131"/>
      <c r="BN29" s="131"/>
      <c r="BO29" s="136"/>
      <c r="BP29" s="131"/>
      <c r="BQ29" s="131"/>
      <c r="BR29" s="131"/>
      <c r="BS29" s="131"/>
      <c r="BT29" s="131"/>
      <c r="BU29" s="131"/>
      <c r="BV29" s="131"/>
      <c r="BW29" s="131"/>
      <c r="BX29" s="131"/>
      <c r="BY29" s="131"/>
      <c r="BZ29" s="131"/>
      <c r="CA29" s="131"/>
      <c r="CB29" s="131"/>
      <c r="CC29" s="131"/>
      <c r="CD29" s="131"/>
      <c r="CE29" s="131"/>
      <c r="CF29" s="136"/>
      <c r="CG29" s="136"/>
      <c r="CH29" s="131"/>
      <c r="CI29" s="131"/>
      <c r="CJ29" s="136"/>
      <c r="CK29" s="136"/>
      <c r="CL29" s="136"/>
      <c r="CM29" s="131"/>
      <c r="CN29" s="131"/>
      <c r="CO29" s="136"/>
      <c r="CP29" s="136"/>
      <c r="CQ29" s="131"/>
      <c r="CR29" s="131"/>
      <c r="CS29" s="131"/>
      <c r="CT29" s="131"/>
      <c r="CU29" s="131"/>
      <c r="CV29" s="131"/>
      <c r="CW29" s="131"/>
      <c r="CX29" s="131"/>
      <c r="CY29" s="136"/>
      <c r="CZ29" s="136"/>
      <c r="DA29" s="131"/>
      <c r="DB29" s="136"/>
      <c r="DC29" s="136"/>
      <c r="DD29" s="131"/>
      <c r="DE29" s="131"/>
      <c r="DF29" s="131"/>
      <c r="DG29" s="136"/>
      <c r="DH29" s="131"/>
      <c r="DI29" s="131"/>
      <c r="DJ29" s="136"/>
      <c r="DK29" s="136"/>
      <c r="DL29" s="136"/>
      <c r="DM29" s="136"/>
      <c r="DN29" s="136"/>
      <c r="DO29" s="136"/>
      <c r="DP29" s="136"/>
      <c r="DQ29" s="136"/>
      <c r="DR29" s="136"/>
      <c r="DS29" s="131"/>
      <c r="DT29" s="136"/>
      <c r="DU29" s="131"/>
      <c r="DV29" s="131"/>
      <c r="DW29" s="131"/>
      <c r="DX29" s="131"/>
      <c r="DY29" s="131"/>
      <c r="DZ29" s="136"/>
      <c r="EA29" s="131"/>
      <c r="EB29" s="131"/>
      <c r="EC29" s="131"/>
      <c r="ED29" s="131"/>
      <c r="EE29" s="137"/>
      <c r="EF29" s="227"/>
      <c r="EG29" s="227"/>
      <c r="EH29" s="228"/>
      <c r="EI29" s="228"/>
      <c r="EJ29" s="228"/>
      <c r="EK29" s="228"/>
    </row>
    <row r="30" spans="1:141">
      <c r="A30" s="132"/>
      <c r="B30" s="18"/>
      <c r="C30" s="18"/>
      <c r="D30" s="220"/>
      <c r="E30" s="130"/>
      <c r="F30" s="126"/>
      <c r="G30" s="18"/>
      <c r="H30" s="189"/>
      <c r="I30" s="18"/>
      <c r="J30" s="18"/>
      <c r="K30" s="189"/>
      <c r="L30" s="18"/>
      <c r="M30" s="129"/>
      <c r="N30" s="189"/>
      <c r="O30" s="132"/>
      <c r="P30" s="127"/>
      <c r="Q30" s="127"/>
      <c r="R30" s="128"/>
      <c r="S30" s="130"/>
      <c r="T30" s="135"/>
      <c r="U30" s="127"/>
      <c r="V30" s="217"/>
      <c r="W30" s="191"/>
      <c r="X30" s="133"/>
      <c r="Y30" s="131"/>
      <c r="Z30" s="131"/>
      <c r="AA30" s="242"/>
      <c r="AB30" s="131"/>
      <c r="AC30" s="131"/>
      <c r="AD30" s="131"/>
      <c r="AE30" s="131"/>
      <c r="AF30" s="131"/>
      <c r="AG30" s="131"/>
      <c r="AH30" s="131"/>
      <c r="AI30" s="131"/>
      <c r="AJ30" s="131"/>
      <c r="AK30" s="131"/>
      <c r="AL30" s="131"/>
      <c r="AM30" s="131"/>
      <c r="AN30" s="131"/>
      <c r="AO30" s="131"/>
      <c r="AP30" s="131"/>
      <c r="AQ30" s="243"/>
      <c r="AR30" s="131"/>
      <c r="AS30" s="131"/>
      <c r="AT30" s="131"/>
      <c r="AU30" s="131"/>
      <c r="AV30" s="131"/>
      <c r="AW30" s="131"/>
      <c r="AX30" s="131"/>
      <c r="AY30" s="131"/>
      <c r="AZ30" s="131"/>
      <c r="BA30" s="131"/>
      <c r="BB30" s="131"/>
      <c r="BC30" s="131"/>
      <c r="BD30" s="131"/>
      <c r="BE30" s="131"/>
      <c r="BF30" s="131"/>
      <c r="BG30" s="131"/>
      <c r="BH30" s="131"/>
      <c r="BI30" s="131"/>
      <c r="BJ30" s="131"/>
      <c r="BK30" s="131"/>
      <c r="BL30" s="131"/>
      <c r="BM30" s="131"/>
      <c r="BN30" s="131"/>
      <c r="BO30" s="136"/>
      <c r="BP30" s="131"/>
      <c r="BQ30" s="131"/>
      <c r="BR30" s="131"/>
      <c r="BS30" s="131"/>
      <c r="BT30" s="131"/>
      <c r="BU30" s="131"/>
      <c r="BV30" s="131"/>
      <c r="BW30" s="131"/>
      <c r="BX30" s="131"/>
      <c r="BY30" s="131"/>
      <c r="BZ30" s="131"/>
      <c r="CA30" s="131"/>
      <c r="CB30" s="131"/>
      <c r="CC30" s="131"/>
      <c r="CD30" s="131"/>
      <c r="CE30" s="131"/>
      <c r="CF30" s="136"/>
      <c r="CG30" s="136"/>
      <c r="CH30" s="131"/>
      <c r="CI30" s="131"/>
      <c r="CJ30" s="136"/>
      <c r="CK30" s="136"/>
      <c r="CL30" s="136"/>
      <c r="CM30" s="131"/>
      <c r="CN30" s="131"/>
      <c r="CO30" s="136"/>
      <c r="CP30" s="136"/>
      <c r="CQ30" s="131"/>
      <c r="CR30" s="131"/>
      <c r="CS30" s="131"/>
      <c r="CT30" s="131"/>
      <c r="CU30" s="131"/>
      <c r="CV30" s="131"/>
      <c r="CW30" s="131"/>
      <c r="CX30" s="131"/>
      <c r="CY30" s="136"/>
      <c r="CZ30" s="136"/>
      <c r="DA30" s="131"/>
      <c r="DB30" s="136"/>
      <c r="DC30" s="136"/>
      <c r="DD30" s="131"/>
      <c r="DE30" s="131"/>
      <c r="DF30" s="131"/>
      <c r="DG30" s="136"/>
      <c r="DH30" s="131"/>
      <c r="DI30" s="131"/>
      <c r="DJ30" s="136"/>
      <c r="DK30" s="136"/>
      <c r="DL30" s="136"/>
      <c r="DM30" s="136"/>
      <c r="DN30" s="136"/>
      <c r="DO30" s="136"/>
      <c r="DP30" s="136"/>
      <c r="DQ30" s="136"/>
      <c r="DR30" s="136"/>
      <c r="DS30" s="131"/>
      <c r="DT30" s="136"/>
      <c r="DU30" s="131"/>
      <c r="DV30" s="131"/>
      <c r="DW30" s="131"/>
      <c r="DX30" s="131"/>
      <c r="DY30" s="131"/>
      <c r="DZ30" s="136"/>
      <c r="EA30" s="131"/>
      <c r="EB30" s="131"/>
      <c r="EC30" s="131"/>
      <c r="ED30" s="131"/>
      <c r="EE30" s="137"/>
      <c r="EF30" s="227"/>
      <c r="EG30" s="227"/>
      <c r="EH30" s="228"/>
      <c r="EI30" s="228"/>
      <c r="EJ30" s="228"/>
      <c r="EK30" s="228"/>
    </row>
    <row r="31" spans="1:141">
      <c r="A31" s="132"/>
      <c r="B31" s="18"/>
      <c r="C31" s="18"/>
      <c r="D31" s="220"/>
      <c r="E31" s="130"/>
      <c r="F31" s="126"/>
      <c r="G31" s="18"/>
      <c r="H31" s="189"/>
      <c r="I31" s="18"/>
      <c r="J31" s="18"/>
      <c r="K31" s="189"/>
      <c r="L31" s="18"/>
      <c r="M31" s="129"/>
      <c r="N31" s="189"/>
      <c r="O31" s="132"/>
      <c r="P31" s="127"/>
      <c r="Q31" s="127"/>
      <c r="R31" s="128"/>
      <c r="S31" s="130"/>
      <c r="T31" s="135"/>
      <c r="U31" s="127"/>
      <c r="V31" s="217"/>
      <c r="W31" s="191"/>
      <c r="X31" s="133"/>
      <c r="Y31" s="131"/>
      <c r="Z31" s="131"/>
      <c r="AA31" s="242"/>
      <c r="AB31" s="131"/>
      <c r="AC31" s="131"/>
      <c r="AD31" s="131"/>
      <c r="AE31" s="131"/>
      <c r="AF31" s="131"/>
      <c r="AG31" s="131"/>
      <c r="AH31" s="131"/>
      <c r="AI31" s="131"/>
      <c r="AJ31" s="131"/>
      <c r="AK31" s="131"/>
      <c r="AL31" s="131"/>
      <c r="AM31" s="131"/>
      <c r="AN31" s="131"/>
      <c r="AO31" s="131"/>
      <c r="AP31" s="131"/>
      <c r="AQ31" s="243"/>
      <c r="AR31" s="131"/>
      <c r="AS31" s="131"/>
      <c r="AT31" s="131"/>
      <c r="AU31" s="131"/>
      <c r="AV31" s="131"/>
      <c r="AW31" s="131"/>
      <c r="AX31" s="131"/>
      <c r="AY31" s="131"/>
      <c r="AZ31" s="131"/>
      <c r="BA31" s="131"/>
      <c r="BB31" s="131"/>
      <c r="BC31" s="131"/>
      <c r="BD31" s="131"/>
      <c r="BE31" s="131"/>
      <c r="BF31" s="131"/>
      <c r="BG31" s="131"/>
      <c r="BH31" s="131"/>
      <c r="BI31" s="131"/>
      <c r="BJ31" s="131"/>
      <c r="BK31" s="131"/>
      <c r="BL31" s="131"/>
      <c r="BM31" s="131"/>
      <c r="BN31" s="131"/>
      <c r="BO31" s="136"/>
      <c r="BP31" s="131"/>
      <c r="BQ31" s="131"/>
      <c r="BR31" s="131"/>
      <c r="BS31" s="131"/>
      <c r="BT31" s="131"/>
      <c r="BU31" s="131"/>
      <c r="BV31" s="131"/>
      <c r="BW31" s="131"/>
      <c r="BX31" s="131"/>
      <c r="BY31" s="131"/>
      <c r="BZ31" s="131"/>
      <c r="CA31" s="131"/>
      <c r="CB31" s="131"/>
      <c r="CC31" s="131"/>
      <c r="CD31" s="131"/>
      <c r="CE31" s="131"/>
      <c r="CF31" s="136"/>
      <c r="CG31" s="136"/>
      <c r="CH31" s="131"/>
      <c r="CI31" s="131"/>
      <c r="CJ31" s="136"/>
      <c r="CK31" s="136"/>
      <c r="CL31" s="136"/>
      <c r="CM31" s="131"/>
      <c r="CN31" s="131"/>
      <c r="CO31" s="136"/>
      <c r="CP31" s="136"/>
      <c r="CQ31" s="131"/>
      <c r="CR31" s="131"/>
      <c r="CS31" s="131"/>
      <c r="CT31" s="131"/>
      <c r="CU31" s="131"/>
      <c r="CV31" s="131"/>
      <c r="CW31" s="131"/>
      <c r="CX31" s="131"/>
      <c r="CY31" s="136"/>
      <c r="CZ31" s="136"/>
      <c r="DA31" s="131"/>
      <c r="DB31" s="136"/>
      <c r="DC31" s="136"/>
      <c r="DD31" s="131"/>
      <c r="DE31" s="131"/>
      <c r="DF31" s="131"/>
      <c r="DG31" s="136"/>
      <c r="DH31" s="131"/>
      <c r="DI31" s="131"/>
      <c r="DJ31" s="136"/>
      <c r="DK31" s="136"/>
      <c r="DL31" s="136"/>
      <c r="DM31" s="136"/>
      <c r="DN31" s="136"/>
      <c r="DO31" s="136"/>
      <c r="DP31" s="136"/>
      <c r="DQ31" s="136"/>
      <c r="DR31" s="136"/>
      <c r="DS31" s="131"/>
      <c r="DT31" s="136"/>
      <c r="DU31" s="131"/>
      <c r="DV31" s="131"/>
      <c r="DW31" s="131"/>
      <c r="DX31" s="131"/>
      <c r="DY31" s="131"/>
      <c r="DZ31" s="136"/>
      <c r="EA31" s="131"/>
      <c r="EB31" s="131"/>
      <c r="EC31" s="131"/>
      <c r="ED31" s="131"/>
      <c r="EE31" s="137"/>
      <c r="EF31" s="227"/>
      <c r="EG31" s="227"/>
      <c r="EH31" s="228"/>
      <c r="EI31" s="228"/>
      <c r="EJ31" s="228"/>
      <c r="EK31" s="228"/>
    </row>
    <row r="32" spans="1:141">
      <c r="A32" s="132"/>
      <c r="B32" s="18"/>
      <c r="C32" s="18"/>
      <c r="D32" s="220"/>
      <c r="E32" s="130"/>
      <c r="F32" s="126"/>
      <c r="G32" s="18"/>
      <c r="H32" s="189"/>
      <c r="I32" s="18"/>
      <c r="J32" s="18"/>
      <c r="K32" s="189"/>
      <c r="L32" s="18"/>
      <c r="M32" s="129"/>
      <c r="N32" s="189"/>
      <c r="O32" s="132"/>
      <c r="P32" s="127"/>
      <c r="Q32" s="127"/>
      <c r="R32" s="128"/>
      <c r="S32" s="130"/>
      <c r="T32" s="135"/>
      <c r="U32" s="127"/>
      <c r="V32" s="217"/>
      <c r="W32" s="191"/>
      <c r="X32" s="133"/>
      <c r="Y32" s="131"/>
      <c r="Z32" s="131"/>
      <c r="AA32" s="242"/>
      <c r="AB32" s="131"/>
      <c r="AC32" s="131"/>
      <c r="AD32" s="131"/>
      <c r="AE32" s="131"/>
      <c r="AF32" s="131"/>
      <c r="AG32" s="131"/>
      <c r="AH32" s="131"/>
      <c r="AI32" s="131"/>
      <c r="AJ32" s="131"/>
      <c r="AK32" s="131"/>
      <c r="AL32" s="131"/>
      <c r="AM32" s="131"/>
      <c r="AN32" s="131"/>
      <c r="AO32" s="131"/>
      <c r="AP32" s="131"/>
      <c r="AQ32" s="243"/>
      <c r="AR32" s="131"/>
      <c r="AS32" s="131"/>
      <c r="AT32" s="131"/>
      <c r="AU32" s="131"/>
      <c r="AV32" s="131"/>
      <c r="AW32" s="131"/>
      <c r="AX32" s="131"/>
      <c r="AY32" s="131"/>
      <c r="AZ32" s="131"/>
      <c r="BA32" s="131"/>
      <c r="BB32" s="131"/>
      <c r="BC32" s="131"/>
      <c r="BD32" s="131"/>
      <c r="BE32" s="131"/>
      <c r="BF32" s="131"/>
      <c r="BG32" s="131"/>
      <c r="BH32" s="131"/>
      <c r="BI32" s="131"/>
      <c r="BJ32" s="131"/>
      <c r="BK32" s="131"/>
      <c r="BL32" s="131"/>
      <c r="BM32" s="131"/>
      <c r="BN32" s="131"/>
      <c r="BO32" s="136"/>
      <c r="BP32" s="131"/>
      <c r="BQ32" s="131"/>
      <c r="BR32" s="131"/>
      <c r="BS32" s="131"/>
      <c r="BT32" s="131"/>
      <c r="BU32" s="131"/>
      <c r="BV32" s="131"/>
      <c r="BW32" s="131"/>
      <c r="BX32" s="131"/>
      <c r="BY32" s="131"/>
      <c r="BZ32" s="131"/>
      <c r="CA32" s="131"/>
      <c r="CB32" s="131"/>
      <c r="CC32" s="131"/>
      <c r="CD32" s="131"/>
      <c r="CE32" s="131"/>
      <c r="CF32" s="136"/>
      <c r="CG32" s="136"/>
      <c r="CH32" s="131"/>
      <c r="CI32" s="131"/>
      <c r="CJ32" s="136"/>
      <c r="CK32" s="136"/>
      <c r="CL32" s="136"/>
      <c r="CM32" s="131"/>
      <c r="CN32" s="131"/>
      <c r="CO32" s="136"/>
      <c r="CP32" s="136"/>
      <c r="CQ32" s="131"/>
      <c r="CR32" s="131"/>
      <c r="CS32" s="131"/>
      <c r="CT32" s="131"/>
      <c r="CU32" s="131"/>
      <c r="CV32" s="131"/>
      <c r="CW32" s="131"/>
      <c r="CX32" s="131"/>
      <c r="CY32" s="136"/>
      <c r="CZ32" s="136"/>
      <c r="DA32" s="131"/>
      <c r="DB32" s="136"/>
      <c r="DC32" s="136"/>
      <c r="DD32" s="131"/>
      <c r="DE32" s="131"/>
      <c r="DF32" s="131"/>
      <c r="DG32" s="136"/>
      <c r="DH32" s="131"/>
      <c r="DI32" s="131"/>
      <c r="DJ32" s="136"/>
      <c r="DK32" s="136"/>
      <c r="DL32" s="136"/>
      <c r="DM32" s="136"/>
      <c r="DN32" s="136"/>
      <c r="DO32" s="136"/>
      <c r="DP32" s="136"/>
      <c r="DQ32" s="136"/>
      <c r="DR32" s="136"/>
      <c r="DS32" s="131"/>
      <c r="DT32" s="136"/>
      <c r="DU32" s="131"/>
      <c r="DV32" s="131"/>
      <c r="DW32" s="131"/>
      <c r="DX32" s="131"/>
      <c r="DY32" s="131"/>
      <c r="DZ32" s="136"/>
      <c r="EA32" s="131"/>
      <c r="EB32" s="131"/>
      <c r="EC32" s="131"/>
      <c r="ED32" s="131"/>
      <c r="EE32" s="137"/>
      <c r="EF32" s="227"/>
      <c r="EG32" s="227"/>
      <c r="EH32" s="228"/>
      <c r="EI32" s="228"/>
      <c r="EJ32" s="228"/>
      <c r="EK32" s="228"/>
    </row>
    <row r="33" spans="1:141">
      <c r="A33" s="132"/>
      <c r="B33" s="18"/>
      <c r="C33" s="18"/>
      <c r="D33" s="220"/>
      <c r="E33" s="130"/>
      <c r="F33" s="126"/>
      <c r="G33" s="18"/>
      <c r="H33" s="189"/>
      <c r="I33" s="18"/>
      <c r="J33" s="18"/>
      <c r="K33" s="189"/>
      <c r="L33" s="18"/>
      <c r="M33" s="129"/>
      <c r="N33" s="189"/>
      <c r="O33" s="132"/>
      <c r="P33" s="127"/>
      <c r="Q33" s="127"/>
      <c r="R33" s="128"/>
      <c r="S33" s="130"/>
      <c r="T33" s="135"/>
      <c r="U33" s="127"/>
      <c r="V33" s="217"/>
      <c r="W33" s="191"/>
      <c r="X33" s="133"/>
      <c r="Y33" s="131"/>
      <c r="Z33" s="131"/>
      <c r="AA33" s="242"/>
      <c r="AB33" s="131"/>
      <c r="AC33" s="131"/>
      <c r="AD33" s="131"/>
      <c r="AE33" s="131"/>
      <c r="AF33" s="131"/>
      <c r="AG33" s="131"/>
      <c r="AH33" s="131"/>
      <c r="AI33" s="131"/>
      <c r="AJ33" s="131"/>
      <c r="AK33" s="131"/>
      <c r="AL33" s="131"/>
      <c r="AM33" s="131"/>
      <c r="AN33" s="131"/>
      <c r="AO33" s="131"/>
      <c r="AP33" s="131"/>
      <c r="AQ33" s="243"/>
      <c r="AR33" s="131"/>
      <c r="AS33" s="131"/>
      <c r="AT33" s="131"/>
      <c r="AU33" s="131"/>
      <c r="AV33" s="131"/>
      <c r="AW33" s="131"/>
      <c r="AX33" s="131"/>
      <c r="AY33" s="131"/>
      <c r="AZ33" s="131"/>
      <c r="BA33" s="131"/>
      <c r="BB33" s="131"/>
      <c r="BC33" s="131"/>
      <c r="BD33" s="131"/>
      <c r="BE33" s="131"/>
      <c r="BF33" s="131"/>
      <c r="BG33" s="131"/>
      <c r="BH33" s="131"/>
      <c r="BI33" s="131"/>
      <c r="BJ33" s="131"/>
      <c r="BK33" s="131"/>
      <c r="BL33" s="131"/>
      <c r="BM33" s="131"/>
      <c r="BN33" s="131"/>
      <c r="BO33" s="136"/>
      <c r="BP33" s="131"/>
      <c r="BQ33" s="131"/>
      <c r="BR33" s="131"/>
      <c r="BS33" s="131"/>
      <c r="BT33" s="131"/>
      <c r="BU33" s="131"/>
      <c r="BV33" s="131"/>
      <c r="BW33" s="131"/>
      <c r="BX33" s="131"/>
      <c r="BY33" s="131"/>
      <c r="BZ33" s="131"/>
      <c r="CA33" s="131"/>
      <c r="CB33" s="131"/>
      <c r="CC33" s="131"/>
      <c r="CD33" s="131"/>
      <c r="CE33" s="131"/>
      <c r="CF33" s="136"/>
      <c r="CG33" s="136"/>
      <c r="CH33" s="131"/>
      <c r="CI33" s="131"/>
      <c r="CJ33" s="136"/>
      <c r="CK33" s="136"/>
      <c r="CL33" s="136"/>
      <c r="CM33" s="131"/>
      <c r="CN33" s="131"/>
      <c r="CO33" s="136"/>
      <c r="CP33" s="136"/>
      <c r="CQ33" s="131"/>
      <c r="CR33" s="131"/>
      <c r="CS33" s="131"/>
      <c r="CT33" s="131"/>
      <c r="CU33" s="131"/>
      <c r="CV33" s="131"/>
      <c r="CW33" s="131"/>
      <c r="CX33" s="131"/>
      <c r="CY33" s="136"/>
      <c r="CZ33" s="136"/>
      <c r="DA33" s="131"/>
      <c r="DB33" s="136"/>
      <c r="DC33" s="136"/>
      <c r="DD33" s="131"/>
      <c r="DE33" s="131"/>
      <c r="DF33" s="131"/>
      <c r="DG33" s="136"/>
      <c r="DH33" s="131"/>
      <c r="DI33" s="131"/>
      <c r="DJ33" s="136"/>
      <c r="DK33" s="136"/>
      <c r="DL33" s="136"/>
      <c r="DM33" s="136"/>
      <c r="DN33" s="136"/>
      <c r="DO33" s="136"/>
      <c r="DP33" s="136"/>
      <c r="DQ33" s="136"/>
      <c r="DR33" s="136"/>
      <c r="DS33" s="131"/>
      <c r="DT33" s="136"/>
      <c r="DU33" s="131"/>
      <c r="DV33" s="131"/>
      <c r="DW33" s="131"/>
      <c r="DX33" s="131"/>
      <c r="DY33" s="131"/>
      <c r="DZ33" s="136"/>
      <c r="EA33" s="131"/>
      <c r="EB33" s="131"/>
      <c r="EC33" s="131"/>
      <c r="ED33" s="131"/>
      <c r="EE33" s="137"/>
      <c r="EF33" s="227"/>
      <c r="EG33" s="227"/>
      <c r="EH33" s="228"/>
      <c r="EI33" s="228"/>
      <c r="EJ33" s="228"/>
      <c r="EK33" s="228"/>
    </row>
    <row r="34" spans="1:141">
      <c r="A34" s="132"/>
      <c r="B34" s="18"/>
      <c r="C34" s="18"/>
      <c r="D34" s="220"/>
      <c r="E34" s="130"/>
      <c r="F34" s="126"/>
      <c r="G34" s="18"/>
      <c r="H34" s="189"/>
      <c r="I34" s="18"/>
      <c r="J34" s="18"/>
      <c r="K34" s="189"/>
      <c r="L34" s="18"/>
      <c r="M34" s="129"/>
      <c r="N34" s="189"/>
      <c r="O34" s="132"/>
      <c r="P34" s="127"/>
      <c r="Q34" s="127"/>
      <c r="R34" s="128"/>
      <c r="S34" s="130"/>
      <c r="T34" s="135"/>
      <c r="U34" s="127"/>
      <c r="V34" s="217"/>
      <c r="W34" s="191"/>
      <c r="X34" s="133"/>
      <c r="Y34" s="131"/>
      <c r="Z34" s="131"/>
      <c r="AA34" s="242"/>
      <c r="AB34" s="131"/>
      <c r="AC34" s="131"/>
      <c r="AD34" s="131"/>
      <c r="AE34" s="131"/>
      <c r="AF34" s="131"/>
      <c r="AG34" s="131"/>
      <c r="AH34" s="131"/>
      <c r="AI34" s="131"/>
      <c r="AJ34" s="131"/>
      <c r="AK34" s="131"/>
      <c r="AL34" s="131"/>
      <c r="AM34" s="131"/>
      <c r="AN34" s="131"/>
      <c r="AO34" s="131"/>
      <c r="AP34" s="131"/>
      <c r="AQ34" s="243"/>
      <c r="AR34" s="131"/>
      <c r="AS34" s="131"/>
      <c r="AT34" s="131"/>
      <c r="AU34" s="131"/>
      <c r="AV34" s="131"/>
      <c r="AW34" s="131"/>
      <c r="AX34" s="131"/>
      <c r="AY34" s="131"/>
      <c r="AZ34" s="131"/>
      <c r="BA34" s="131"/>
      <c r="BB34" s="131"/>
      <c r="BC34" s="131"/>
      <c r="BD34" s="131"/>
      <c r="BE34" s="131"/>
      <c r="BF34" s="131"/>
      <c r="BG34" s="131"/>
      <c r="BH34" s="131"/>
      <c r="BI34" s="131"/>
      <c r="BJ34" s="131"/>
      <c r="BK34" s="131"/>
      <c r="BL34" s="131"/>
      <c r="BM34" s="131"/>
      <c r="BN34" s="131"/>
      <c r="BO34" s="136"/>
      <c r="BP34" s="131"/>
      <c r="BQ34" s="131"/>
      <c r="BR34" s="131"/>
      <c r="BS34" s="131"/>
      <c r="BT34" s="131"/>
      <c r="BU34" s="131"/>
      <c r="BV34" s="131"/>
      <c r="BW34" s="131"/>
      <c r="BX34" s="131"/>
      <c r="BY34" s="131"/>
      <c r="BZ34" s="131"/>
      <c r="CA34" s="131"/>
      <c r="CB34" s="131"/>
      <c r="CC34" s="131"/>
      <c r="CD34" s="131"/>
      <c r="CE34" s="131"/>
      <c r="CF34" s="136"/>
      <c r="CG34" s="136"/>
      <c r="CH34" s="131"/>
      <c r="CI34" s="131"/>
      <c r="CJ34" s="136"/>
      <c r="CK34" s="136"/>
      <c r="CL34" s="136"/>
      <c r="CM34" s="131"/>
      <c r="CN34" s="131"/>
      <c r="CO34" s="136"/>
      <c r="CP34" s="136"/>
      <c r="CQ34" s="131"/>
      <c r="CR34" s="131"/>
      <c r="CS34" s="131"/>
      <c r="CT34" s="131"/>
      <c r="CU34" s="131"/>
      <c r="CV34" s="131"/>
      <c r="CW34" s="131"/>
      <c r="CX34" s="131"/>
      <c r="CY34" s="136"/>
      <c r="CZ34" s="136"/>
      <c r="DA34" s="131"/>
      <c r="DB34" s="136"/>
      <c r="DC34" s="136"/>
      <c r="DD34" s="131"/>
      <c r="DE34" s="131"/>
      <c r="DF34" s="131"/>
      <c r="DG34" s="136"/>
      <c r="DH34" s="131"/>
      <c r="DI34" s="131"/>
      <c r="DJ34" s="136"/>
      <c r="DK34" s="136"/>
      <c r="DL34" s="136"/>
      <c r="DM34" s="136"/>
      <c r="DN34" s="136"/>
      <c r="DO34" s="136"/>
      <c r="DP34" s="136"/>
      <c r="DQ34" s="136"/>
      <c r="DR34" s="136"/>
      <c r="DS34" s="131"/>
      <c r="DT34" s="136"/>
      <c r="DU34" s="131"/>
      <c r="DV34" s="131"/>
      <c r="DW34" s="131"/>
      <c r="DX34" s="131"/>
      <c r="DY34" s="131"/>
      <c r="DZ34" s="136"/>
      <c r="EA34" s="131"/>
      <c r="EB34" s="131"/>
      <c r="EC34" s="131"/>
      <c r="ED34" s="131"/>
      <c r="EE34" s="137"/>
      <c r="EF34" s="227"/>
      <c r="EG34" s="227"/>
      <c r="EH34" s="228"/>
      <c r="EI34" s="228"/>
      <c r="EJ34" s="228"/>
      <c r="EK34" s="228"/>
    </row>
    <row r="35" spans="1:141">
      <c r="A35" s="132"/>
      <c r="B35" s="18"/>
      <c r="C35" s="18"/>
      <c r="D35" s="220"/>
      <c r="E35" s="130"/>
      <c r="F35" s="126"/>
      <c r="G35" s="18"/>
      <c r="H35" s="189"/>
      <c r="I35" s="18"/>
      <c r="J35" s="18"/>
      <c r="K35" s="189"/>
      <c r="L35" s="18"/>
      <c r="M35" s="129"/>
      <c r="N35" s="189"/>
      <c r="O35" s="132"/>
      <c r="P35" s="127"/>
      <c r="Q35" s="127"/>
      <c r="R35" s="128"/>
      <c r="S35" s="130"/>
      <c r="T35" s="135"/>
      <c r="U35" s="127"/>
      <c r="V35" s="217"/>
      <c r="W35" s="191"/>
      <c r="X35" s="133"/>
      <c r="Y35" s="131"/>
      <c r="Z35" s="131"/>
      <c r="AA35" s="242"/>
      <c r="AB35" s="131"/>
      <c r="AC35" s="131"/>
      <c r="AD35" s="131"/>
      <c r="AE35" s="131"/>
      <c r="AF35" s="131"/>
      <c r="AG35" s="131"/>
      <c r="AH35" s="131"/>
      <c r="AI35" s="131"/>
      <c r="AJ35" s="131"/>
      <c r="AK35" s="131"/>
      <c r="AL35" s="131"/>
      <c r="AM35" s="131"/>
      <c r="AN35" s="131"/>
      <c r="AO35" s="131"/>
      <c r="AP35" s="131"/>
      <c r="AQ35" s="243"/>
      <c r="AR35" s="131"/>
      <c r="AS35" s="131"/>
      <c r="AT35" s="131"/>
      <c r="AU35" s="131"/>
      <c r="AV35" s="131"/>
      <c r="AW35" s="131"/>
      <c r="AX35" s="131"/>
      <c r="AY35" s="131"/>
      <c r="AZ35" s="131"/>
      <c r="BA35" s="131"/>
      <c r="BB35" s="131"/>
      <c r="BC35" s="131"/>
      <c r="BD35" s="131"/>
      <c r="BE35" s="131"/>
      <c r="BF35" s="131"/>
      <c r="BG35" s="131"/>
      <c r="BH35" s="131"/>
      <c r="BI35" s="131"/>
      <c r="BJ35" s="131"/>
      <c r="BK35" s="131"/>
      <c r="BL35" s="131"/>
      <c r="BM35" s="131"/>
      <c r="BN35" s="131"/>
      <c r="BO35" s="136"/>
      <c r="BP35" s="131"/>
      <c r="BQ35" s="131"/>
      <c r="BR35" s="131"/>
      <c r="BS35" s="131"/>
      <c r="BT35" s="131"/>
      <c r="BU35" s="131"/>
      <c r="BV35" s="131"/>
      <c r="BW35" s="131"/>
      <c r="BX35" s="131"/>
      <c r="BY35" s="131"/>
      <c r="BZ35" s="131"/>
      <c r="CA35" s="131"/>
      <c r="CB35" s="131"/>
      <c r="CC35" s="131"/>
      <c r="CD35" s="131"/>
      <c r="CE35" s="131"/>
      <c r="CF35" s="136"/>
      <c r="CG35" s="136"/>
      <c r="CH35" s="131"/>
      <c r="CI35" s="131"/>
      <c r="CJ35" s="136"/>
      <c r="CK35" s="136"/>
      <c r="CL35" s="136"/>
      <c r="CM35" s="131"/>
      <c r="CN35" s="131"/>
      <c r="CO35" s="136"/>
      <c r="CP35" s="136"/>
      <c r="CQ35" s="131"/>
      <c r="CR35" s="131"/>
      <c r="CS35" s="131"/>
      <c r="CT35" s="131"/>
      <c r="CU35" s="131"/>
      <c r="CV35" s="131"/>
      <c r="CW35" s="131"/>
      <c r="CX35" s="131"/>
      <c r="CY35" s="136"/>
      <c r="CZ35" s="136"/>
      <c r="DA35" s="131"/>
      <c r="DB35" s="136"/>
      <c r="DC35" s="136"/>
      <c r="DD35" s="131"/>
      <c r="DE35" s="131"/>
      <c r="DF35" s="131"/>
      <c r="DG35" s="136"/>
      <c r="DH35" s="131"/>
      <c r="DI35" s="131"/>
      <c r="DJ35" s="136"/>
      <c r="DK35" s="136"/>
      <c r="DL35" s="136"/>
      <c r="DM35" s="136"/>
      <c r="DN35" s="136"/>
      <c r="DO35" s="136"/>
      <c r="DP35" s="136"/>
      <c r="DQ35" s="136"/>
      <c r="DR35" s="136"/>
      <c r="DS35" s="131"/>
      <c r="DT35" s="136"/>
      <c r="DU35" s="131"/>
      <c r="DV35" s="131"/>
      <c r="DW35" s="131"/>
      <c r="DX35" s="131"/>
      <c r="DY35" s="131"/>
      <c r="DZ35" s="136"/>
      <c r="EA35" s="131"/>
      <c r="EB35" s="131"/>
      <c r="EC35" s="131"/>
      <c r="ED35" s="131"/>
      <c r="EE35" s="137"/>
      <c r="EF35" s="227"/>
      <c r="EG35" s="227"/>
      <c r="EH35" s="228"/>
      <c r="EI35" s="228"/>
      <c r="EJ35" s="228"/>
      <c r="EK35" s="228"/>
    </row>
    <row r="36" spans="1:141">
      <c r="A36" s="132"/>
      <c r="B36" s="18"/>
      <c r="C36" s="18"/>
      <c r="D36" s="220"/>
      <c r="E36" s="130"/>
      <c r="F36" s="126"/>
      <c r="G36" s="18"/>
      <c r="H36" s="189"/>
      <c r="I36" s="18"/>
      <c r="J36" s="18"/>
      <c r="K36" s="189"/>
      <c r="L36" s="18"/>
      <c r="M36" s="129"/>
      <c r="N36" s="189"/>
      <c r="O36" s="132"/>
      <c r="P36" s="127"/>
      <c r="Q36" s="127"/>
      <c r="R36" s="128"/>
      <c r="S36" s="130"/>
      <c r="T36" s="135"/>
      <c r="U36" s="127"/>
      <c r="V36" s="217"/>
      <c r="W36" s="191"/>
      <c r="X36" s="133"/>
      <c r="Y36" s="131"/>
      <c r="Z36" s="131"/>
      <c r="AA36" s="242"/>
      <c r="AB36" s="131"/>
      <c r="AC36" s="131"/>
      <c r="AD36" s="131"/>
      <c r="AE36" s="131"/>
      <c r="AF36" s="131"/>
      <c r="AG36" s="131"/>
      <c r="AH36" s="131"/>
      <c r="AI36" s="131"/>
      <c r="AJ36" s="131"/>
      <c r="AK36" s="131"/>
      <c r="AL36" s="131"/>
      <c r="AM36" s="131"/>
      <c r="AN36" s="131"/>
      <c r="AO36" s="131"/>
      <c r="AP36" s="131"/>
      <c r="AQ36" s="243"/>
      <c r="AR36" s="131"/>
      <c r="AS36" s="131"/>
      <c r="AT36" s="131"/>
      <c r="AU36" s="131"/>
      <c r="AV36" s="131"/>
      <c r="AW36" s="131"/>
      <c r="AX36" s="131"/>
      <c r="AY36" s="131"/>
      <c r="AZ36" s="131"/>
      <c r="BA36" s="131"/>
      <c r="BB36" s="131"/>
      <c r="BC36" s="131"/>
      <c r="BD36" s="131"/>
      <c r="BE36" s="131"/>
      <c r="BF36" s="131"/>
      <c r="BG36" s="131"/>
      <c r="BH36" s="131"/>
      <c r="BI36" s="131"/>
      <c r="BJ36" s="131"/>
      <c r="BK36" s="131"/>
      <c r="BL36" s="131"/>
      <c r="BM36" s="131"/>
      <c r="BN36" s="131"/>
      <c r="BO36" s="136"/>
      <c r="BP36" s="131"/>
      <c r="BQ36" s="131"/>
      <c r="BR36" s="131"/>
      <c r="BS36" s="131"/>
      <c r="BT36" s="131"/>
      <c r="BU36" s="131"/>
      <c r="BV36" s="131"/>
      <c r="BW36" s="131"/>
      <c r="BX36" s="131"/>
      <c r="BY36" s="131"/>
      <c r="BZ36" s="131"/>
      <c r="CA36" s="131"/>
      <c r="CB36" s="131"/>
      <c r="CC36" s="131"/>
      <c r="CD36" s="131"/>
      <c r="CE36" s="131"/>
      <c r="CF36" s="136"/>
      <c r="CG36" s="136"/>
      <c r="CH36" s="131"/>
      <c r="CI36" s="131"/>
      <c r="CJ36" s="136"/>
      <c r="CK36" s="136"/>
      <c r="CL36" s="136"/>
      <c r="CM36" s="131"/>
      <c r="CN36" s="131"/>
      <c r="CO36" s="136"/>
      <c r="CP36" s="136"/>
      <c r="CQ36" s="131"/>
      <c r="CR36" s="131"/>
      <c r="CS36" s="131"/>
      <c r="CT36" s="131"/>
      <c r="CU36" s="131"/>
      <c r="CV36" s="131"/>
      <c r="CW36" s="131"/>
      <c r="CX36" s="131"/>
      <c r="CY36" s="136"/>
      <c r="CZ36" s="136"/>
      <c r="DA36" s="131"/>
      <c r="DB36" s="136"/>
      <c r="DC36" s="136"/>
      <c r="DD36" s="131"/>
      <c r="DE36" s="131"/>
      <c r="DF36" s="131"/>
      <c r="DG36" s="136"/>
      <c r="DH36" s="131"/>
      <c r="DI36" s="131"/>
      <c r="DJ36" s="136"/>
      <c r="DK36" s="136"/>
      <c r="DL36" s="136"/>
      <c r="DM36" s="136"/>
      <c r="DN36" s="136"/>
      <c r="DO36" s="136"/>
      <c r="DP36" s="136"/>
      <c r="DQ36" s="136"/>
      <c r="DR36" s="136"/>
      <c r="DS36" s="131"/>
      <c r="DT36" s="136"/>
      <c r="DU36" s="131"/>
      <c r="DV36" s="131"/>
      <c r="DW36" s="131"/>
      <c r="DX36" s="131"/>
      <c r="DY36" s="131"/>
      <c r="DZ36" s="136"/>
      <c r="EA36" s="131"/>
      <c r="EB36" s="131"/>
      <c r="EC36" s="131"/>
      <c r="ED36" s="131"/>
      <c r="EE36" s="137"/>
      <c r="EF36" s="227"/>
      <c r="EG36" s="227"/>
      <c r="EH36" s="228"/>
      <c r="EI36" s="228"/>
      <c r="EJ36" s="228"/>
      <c r="EK36" s="228"/>
    </row>
    <row r="37" spans="1:141">
      <c r="A37" s="132"/>
      <c r="B37" s="18"/>
      <c r="C37" s="18"/>
      <c r="D37" s="220"/>
      <c r="E37" s="130"/>
      <c r="F37" s="126"/>
      <c r="G37" s="18"/>
      <c r="H37" s="189"/>
      <c r="I37" s="18"/>
      <c r="J37" s="18"/>
      <c r="K37" s="189"/>
      <c r="L37" s="18"/>
      <c r="M37" s="129"/>
      <c r="N37" s="189"/>
      <c r="O37" s="132"/>
      <c r="P37" s="127"/>
      <c r="Q37" s="127"/>
      <c r="R37" s="128"/>
      <c r="S37" s="130"/>
      <c r="T37" s="135"/>
      <c r="U37" s="127"/>
      <c r="V37" s="217"/>
      <c r="W37" s="191"/>
      <c r="X37" s="133"/>
      <c r="Y37" s="131"/>
      <c r="Z37" s="131"/>
      <c r="AA37" s="242"/>
      <c r="AB37" s="131"/>
      <c r="AC37" s="131"/>
      <c r="AD37" s="131"/>
      <c r="AE37" s="131"/>
      <c r="AF37" s="131"/>
      <c r="AG37" s="131"/>
      <c r="AH37" s="131"/>
      <c r="AI37" s="131"/>
      <c r="AJ37" s="131"/>
      <c r="AK37" s="131"/>
      <c r="AL37" s="131"/>
      <c r="AM37" s="131"/>
      <c r="AN37" s="131"/>
      <c r="AO37" s="131"/>
      <c r="AP37" s="131"/>
      <c r="AQ37" s="243"/>
      <c r="AR37" s="131"/>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6"/>
      <c r="BP37" s="131"/>
      <c r="BQ37" s="131"/>
      <c r="BR37" s="131"/>
      <c r="BS37" s="131"/>
      <c r="BT37" s="131"/>
      <c r="BU37" s="131"/>
      <c r="BV37" s="131"/>
      <c r="BW37" s="131"/>
      <c r="BX37" s="131"/>
      <c r="BY37" s="131"/>
      <c r="BZ37" s="131"/>
      <c r="CA37" s="131"/>
      <c r="CB37" s="131"/>
      <c r="CC37" s="131"/>
      <c r="CD37" s="131"/>
      <c r="CE37" s="131"/>
      <c r="CF37" s="136"/>
      <c r="CG37" s="136"/>
      <c r="CH37" s="131"/>
      <c r="CI37" s="131"/>
      <c r="CJ37" s="136"/>
      <c r="CK37" s="136"/>
      <c r="CL37" s="136"/>
      <c r="CM37" s="131"/>
      <c r="CN37" s="131"/>
      <c r="CO37" s="136"/>
      <c r="CP37" s="136"/>
      <c r="CQ37" s="131"/>
      <c r="CR37" s="131"/>
      <c r="CS37" s="131"/>
      <c r="CT37" s="131"/>
      <c r="CU37" s="131"/>
      <c r="CV37" s="131"/>
      <c r="CW37" s="131"/>
      <c r="CX37" s="131"/>
      <c r="CY37" s="136"/>
      <c r="CZ37" s="136"/>
      <c r="DA37" s="131"/>
      <c r="DB37" s="136"/>
      <c r="DC37" s="136"/>
      <c r="DD37" s="131"/>
      <c r="DE37" s="131"/>
      <c r="DF37" s="131"/>
      <c r="DG37" s="136"/>
      <c r="DH37" s="131"/>
      <c r="DI37" s="131"/>
      <c r="DJ37" s="136"/>
      <c r="DK37" s="136"/>
      <c r="DL37" s="136"/>
      <c r="DM37" s="136"/>
      <c r="DN37" s="136"/>
      <c r="DO37" s="136"/>
      <c r="DP37" s="136"/>
      <c r="DQ37" s="136"/>
      <c r="DR37" s="136"/>
      <c r="DS37" s="131"/>
      <c r="DT37" s="136"/>
      <c r="DU37" s="131"/>
      <c r="DV37" s="131"/>
      <c r="DW37" s="131"/>
      <c r="DX37" s="131"/>
      <c r="DY37" s="131"/>
      <c r="DZ37" s="136"/>
      <c r="EA37" s="131"/>
      <c r="EB37" s="131"/>
      <c r="EC37" s="131"/>
      <c r="ED37" s="131"/>
      <c r="EE37" s="137"/>
      <c r="EF37" s="227"/>
      <c r="EG37" s="227"/>
      <c r="EH37" s="228"/>
      <c r="EI37" s="228"/>
      <c r="EJ37" s="228"/>
      <c r="EK37" s="228"/>
    </row>
    <row r="38" spans="1:141">
      <c r="A38" s="132"/>
      <c r="B38" s="18"/>
      <c r="C38" s="18"/>
      <c r="D38" s="220"/>
      <c r="E38" s="130"/>
      <c r="F38" s="126"/>
      <c r="G38" s="18"/>
      <c r="H38" s="189"/>
      <c r="I38" s="18"/>
      <c r="J38" s="18"/>
      <c r="K38" s="189"/>
      <c r="L38" s="18"/>
      <c r="M38" s="129"/>
      <c r="N38" s="189"/>
      <c r="O38" s="132"/>
      <c r="P38" s="127"/>
      <c r="Q38" s="127"/>
      <c r="R38" s="128"/>
      <c r="S38" s="130"/>
      <c r="T38" s="135"/>
      <c r="U38" s="127"/>
      <c r="V38" s="217"/>
      <c r="W38" s="191"/>
      <c r="X38" s="133"/>
      <c r="Y38" s="131"/>
      <c r="Z38" s="131"/>
      <c r="AA38" s="242"/>
      <c r="AB38" s="131"/>
      <c r="AC38" s="131"/>
      <c r="AD38" s="131"/>
      <c r="AE38" s="131"/>
      <c r="AF38" s="131"/>
      <c r="AG38" s="131"/>
      <c r="AH38" s="131"/>
      <c r="AI38" s="131"/>
      <c r="AJ38" s="131"/>
      <c r="AK38" s="131"/>
      <c r="AL38" s="131"/>
      <c r="AM38" s="131"/>
      <c r="AN38" s="131"/>
      <c r="AO38" s="131"/>
      <c r="AP38" s="131"/>
      <c r="AQ38" s="243"/>
      <c r="AR38" s="131"/>
      <c r="AS38" s="131"/>
      <c r="AT38" s="131"/>
      <c r="AU38" s="131"/>
      <c r="AV38" s="131"/>
      <c r="AW38" s="131"/>
      <c r="AX38" s="131"/>
      <c r="AY38" s="131"/>
      <c r="AZ38" s="131"/>
      <c r="BA38" s="131"/>
      <c r="BB38" s="131"/>
      <c r="BC38" s="131"/>
      <c r="BD38" s="131"/>
      <c r="BE38" s="131"/>
      <c r="BF38" s="131"/>
      <c r="BG38" s="131"/>
      <c r="BH38" s="131"/>
      <c r="BI38" s="131"/>
      <c r="BJ38" s="131"/>
      <c r="BK38" s="131"/>
      <c r="BL38" s="131"/>
      <c r="BM38" s="131"/>
      <c r="BN38" s="131"/>
      <c r="BO38" s="136"/>
      <c r="BP38" s="131"/>
      <c r="BQ38" s="131"/>
      <c r="BR38" s="131"/>
      <c r="BS38" s="131"/>
      <c r="BT38" s="131"/>
      <c r="BU38" s="131"/>
      <c r="BV38" s="131"/>
      <c r="BW38" s="131"/>
      <c r="BX38" s="131"/>
      <c r="BY38" s="131"/>
      <c r="BZ38" s="131"/>
      <c r="CA38" s="131"/>
      <c r="CB38" s="131"/>
      <c r="CC38" s="131"/>
      <c r="CD38" s="131"/>
      <c r="CE38" s="131"/>
      <c r="CF38" s="136"/>
      <c r="CG38" s="136"/>
      <c r="CH38" s="131"/>
      <c r="CI38" s="131"/>
      <c r="CJ38" s="136"/>
      <c r="CK38" s="136"/>
      <c r="CL38" s="136"/>
      <c r="CM38" s="131"/>
      <c r="CN38" s="131"/>
      <c r="CO38" s="136"/>
      <c r="CP38" s="136"/>
      <c r="CQ38" s="131"/>
      <c r="CR38" s="131"/>
      <c r="CS38" s="131"/>
      <c r="CT38" s="131"/>
      <c r="CU38" s="131"/>
      <c r="CV38" s="131"/>
      <c r="CW38" s="131"/>
      <c r="CX38" s="131"/>
      <c r="CY38" s="136"/>
      <c r="CZ38" s="136"/>
      <c r="DA38" s="131"/>
      <c r="DB38" s="136"/>
      <c r="DC38" s="136"/>
      <c r="DD38" s="131"/>
      <c r="DE38" s="131"/>
      <c r="DF38" s="131"/>
      <c r="DG38" s="136"/>
      <c r="DH38" s="131"/>
      <c r="DI38" s="131"/>
      <c r="DJ38" s="136"/>
      <c r="DK38" s="136"/>
      <c r="DL38" s="136"/>
      <c r="DM38" s="136"/>
      <c r="DN38" s="136"/>
      <c r="DO38" s="136"/>
      <c r="DP38" s="136"/>
      <c r="DQ38" s="136"/>
      <c r="DR38" s="136"/>
      <c r="DS38" s="131"/>
      <c r="DT38" s="136"/>
      <c r="DU38" s="131"/>
      <c r="DV38" s="131"/>
      <c r="DW38" s="131"/>
      <c r="DX38" s="131"/>
      <c r="DY38" s="131"/>
      <c r="DZ38" s="136"/>
      <c r="EA38" s="131"/>
      <c r="EB38" s="131"/>
      <c r="EC38" s="131"/>
      <c r="ED38" s="131"/>
      <c r="EE38" s="137"/>
      <c r="EF38" s="227"/>
      <c r="EG38" s="227"/>
      <c r="EH38" s="228"/>
      <c r="EI38" s="228"/>
      <c r="EJ38" s="228"/>
      <c r="EK38" s="228"/>
    </row>
    <row r="39" spans="1:141">
      <c r="A39" s="132"/>
      <c r="B39" s="18"/>
      <c r="C39" s="18"/>
      <c r="D39" s="220"/>
      <c r="E39" s="130"/>
      <c r="F39" s="126"/>
      <c r="G39" s="18"/>
      <c r="H39" s="189"/>
      <c r="I39" s="18"/>
      <c r="J39" s="18"/>
      <c r="K39" s="189"/>
      <c r="L39" s="18"/>
      <c r="M39" s="129"/>
      <c r="N39" s="189"/>
      <c r="O39" s="132"/>
      <c r="P39" s="127"/>
      <c r="Q39" s="127"/>
      <c r="R39" s="128"/>
      <c r="S39" s="130"/>
      <c r="T39" s="135"/>
      <c r="U39" s="127"/>
      <c r="V39" s="217"/>
      <c r="W39" s="191"/>
      <c r="X39" s="133"/>
      <c r="Y39" s="131"/>
      <c r="Z39" s="131"/>
      <c r="AA39" s="242"/>
      <c r="AB39" s="131"/>
      <c r="AC39" s="131"/>
      <c r="AD39" s="131"/>
      <c r="AE39" s="131"/>
      <c r="AF39" s="131"/>
      <c r="AG39" s="131"/>
      <c r="AH39" s="131"/>
      <c r="AI39" s="131"/>
      <c r="AJ39" s="131"/>
      <c r="AK39" s="131"/>
      <c r="AL39" s="131"/>
      <c r="AM39" s="131"/>
      <c r="AN39" s="131"/>
      <c r="AO39" s="131"/>
      <c r="AP39" s="131"/>
      <c r="AQ39" s="243"/>
      <c r="AR39" s="131"/>
      <c r="AS39" s="131"/>
      <c r="AT39" s="131"/>
      <c r="AU39" s="131"/>
      <c r="AV39" s="131"/>
      <c r="AW39" s="131"/>
      <c r="AX39" s="131"/>
      <c r="AY39" s="131"/>
      <c r="AZ39" s="131"/>
      <c r="BA39" s="131"/>
      <c r="BB39" s="131"/>
      <c r="BC39" s="131"/>
      <c r="BD39" s="131"/>
      <c r="BE39" s="131"/>
      <c r="BF39" s="131"/>
      <c r="BG39" s="131"/>
      <c r="BH39" s="131"/>
      <c r="BI39" s="131"/>
      <c r="BJ39" s="131"/>
      <c r="BK39" s="131"/>
      <c r="BL39" s="131"/>
      <c r="BM39" s="131"/>
      <c r="BN39" s="131"/>
      <c r="BO39" s="136"/>
      <c r="BP39" s="131"/>
      <c r="BQ39" s="131"/>
      <c r="BR39" s="131"/>
      <c r="BS39" s="131"/>
      <c r="BT39" s="131"/>
      <c r="BU39" s="131"/>
      <c r="BV39" s="131"/>
      <c r="BW39" s="131"/>
      <c r="BX39" s="131"/>
      <c r="BY39" s="131"/>
      <c r="BZ39" s="131"/>
      <c r="CA39" s="131"/>
      <c r="CB39" s="131"/>
      <c r="CC39" s="131"/>
      <c r="CD39" s="131"/>
      <c r="CE39" s="131"/>
      <c r="CF39" s="136"/>
      <c r="CG39" s="136"/>
      <c r="CH39" s="131"/>
      <c r="CI39" s="131"/>
      <c r="CJ39" s="136"/>
      <c r="CK39" s="136"/>
      <c r="CL39" s="136"/>
      <c r="CM39" s="131"/>
      <c r="CN39" s="131"/>
      <c r="CO39" s="136"/>
      <c r="CP39" s="136"/>
      <c r="CQ39" s="131"/>
      <c r="CR39" s="131"/>
      <c r="CS39" s="131"/>
      <c r="CT39" s="131"/>
      <c r="CU39" s="131"/>
      <c r="CV39" s="131"/>
      <c r="CW39" s="131"/>
      <c r="CX39" s="131"/>
      <c r="CY39" s="136"/>
      <c r="CZ39" s="136"/>
      <c r="DA39" s="131"/>
      <c r="DB39" s="136"/>
      <c r="DC39" s="136"/>
      <c r="DD39" s="131"/>
      <c r="DE39" s="131"/>
      <c r="DF39" s="131"/>
      <c r="DG39" s="136"/>
      <c r="DH39" s="131"/>
      <c r="DI39" s="131"/>
      <c r="DJ39" s="136"/>
      <c r="DK39" s="136"/>
      <c r="DL39" s="136"/>
      <c r="DM39" s="136"/>
      <c r="DN39" s="136"/>
      <c r="DO39" s="136"/>
      <c r="DP39" s="136"/>
      <c r="DQ39" s="136"/>
      <c r="DR39" s="136"/>
      <c r="DS39" s="131"/>
      <c r="DT39" s="136"/>
      <c r="DU39" s="131"/>
      <c r="DV39" s="131"/>
      <c r="DW39" s="131"/>
      <c r="DX39" s="131"/>
      <c r="DY39" s="131"/>
      <c r="DZ39" s="136"/>
      <c r="EA39" s="131"/>
      <c r="EB39" s="131"/>
      <c r="EC39" s="131"/>
      <c r="ED39" s="131"/>
      <c r="EE39" s="137"/>
      <c r="EF39" s="227"/>
      <c r="EG39" s="227"/>
      <c r="EH39" s="228"/>
      <c r="EI39" s="228"/>
      <c r="EJ39" s="228"/>
      <c r="EK39" s="228"/>
    </row>
    <row r="40" spans="1:141">
      <c r="A40" s="132"/>
      <c r="B40" s="18"/>
      <c r="C40" s="18"/>
      <c r="D40" s="220"/>
      <c r="E40" s="130"/>
      <c r="F40" s="126"/>
      <c r="G40" s="18"/>
      <c r="H40" s="189"/>
      <c r="I40" s="18"/>
      <c r="J40" s="18"/>
      <c r="K40" s="189"/>
      <c r="L40" s="18"/>
      <c r="M40" s="129"/>
      <c r="N40" s="189"/>
      <c r="O40" s="132"/>
      <c r="P40" s="127"/>
      <c r="Q40" s="127"/>
      <c r="R40" s="128"/>
      <c r="S40" s="130"/>
      <c r="T40" s="135"/>
      <c r="U40" s="127"/>
      <c r="V40" s="217"/>
      <c r="W40" s="191"/>
      <c r="X40" s="133"/>
      <c r="Y40" s="131"/>
      <c r="Z40" s="131"/>
      <c r="AA40" s="242"/>
      <c r="AB40" s="131"/>
      <c r="AC40" s="131"/>
      <c r="AD40" s="131"/>
      <c r="AE40" s="131"/>
      <c r="AF40" s="131"/>
      <c r="AG40" s="131"/>
      <c r="AH40" s="131"/>
      <c r="AI40" s="131"/>
      <c r="AJ40" s="131"/>
      <c r="AK40" s="131"/>
      <c r="AL40" s="131"/>
      <c r="AM40" s="131"/>
      <c r="AN40" s="131"/>
      <c r="AO40" s="131"/>
      <c r="AP40" s="131"/>
      <c r="AQ40" s="243"/>
      <c r="AR40" s="131"/>
      <c r="AS40" s="131"/>
      <c r="AT40" s="131"/>
      <c r="AU40" s="131"/>
      <c r="AV40" s="131"/>
      <c r="AW40" s="131"/>
      <c r="AX40" s="131"/>
      <c r="AY40" s="131"/>
      <c r="AZ40" s="131"/>
      <c r="BA40" s="131"/>
      <c r="BB40" s="131"/>
      <c r="BC40" s="131"/>
      <c r="BD40" s="131"/>
      <c r="BE40" s="131"/>
      <c r="BF40" s="131"/>
      <c r="BG40" s="131"/>
      <c r="BH40" s="131"/>
      <c r="BI40" s="131"/>
      <c r="BJ40" s="131"/>
      <c r="BK40" s="131"/>
      <c r="BL40" s="131"/>
      <c r="BM40" s="131"/>
      <c r="BN40" s="131"/>
      <c r="BO40" s="136"/>
      <c r="BP40" s="131"/>
      <c r="BQ40" s="131"/>
      <c r="BR40" s="131"/>
      <c r="BS40" s="131"/>
      <c r="BT40" s="131"/>
      <c r="BU40" s="131"/>
      <c r="BV40" s="131"/>
      <c r="BW40" s="131"/>
      <c r="BX40" s="131"/>
      <c r="BY40" s="131"/>
      <c r="BZ40" s="131"/>
      <c r="CA40" s="131"/>
      <c r="CB40" s="131"/>
      <c r="CC40" s="131"/>
      <c r="CD40" s="131"/>
      <c r="CE40" s="131"/>
      <c r="CF40" s="136"/>
      <c r="CG40" s="136"/>
      <c r="CH40" s="131"/>
      <c r="CI40" s="131"/>
      <c r="CJ40" s="136"/>
      <c r="CK40" s="136"/>
      <c r="CL40" s="136"/>
      <c r="CM40" s="131"/>
      <c r="CN40" s="131"/>
      <c r="CO40" s="136"/>
      <c r="CP40" s="136"/>
      <c r="CQ40" s="131"/>
      <c r="CR40" s="131"/>
      <c r="CS40" s="131"/>
      <c r="CT40" s="131"/>
      <c r="CU40" s="131"/>
      <c r="CV40" s="131"/>
      <c r="CW40" s="131"/>
      <c r="CX40" s="131"/>
      <c r="CY40" s="136"/>
      <c r="CZ40" s="136"/>
      <c r="DA40" s="131"/>
      <c r="DB40" s="136"/>
      <c r="DC40" s="136"/>
      <c r="DD40" s="131"/>
      <c r="DE40" s="131"/>
      <c r="DF40" s="131"/>
      <c r="DG40" s="136"/>
      <c r="DH40" s="131"/>
      <c r="DI40" s="131"/>
      <c r="DJ40" s="136"/>
      <c r="DK40" s="136"/>
      <c r="DL40" s="136"/>
      <c r="DM40" s="136"/>
      <c r="DN40" s="136"/>
      <c r="DO40" s="136"/>
      <c r="DP40" s="136"/>
      <c r="DQ40" s="136"/>
      <c r="DR40" s="136"/>
      <c r="DS40" s="131"/>
      <c r="DT40" s="136"/>
      <c r="DU40" s="131"/>
      <c r="DV40" s="131"/>
      <c r="DW40" s="131"/>
      <c r="DX40" s="131"/>
      <c r="DY40" s="131"/>
      <c r="DZ40" s="136"/>
      <c r="EA40" s="131"/>
      <c r="EB40" s="131"/>
      <c r="EC40" s="131"/>
      <c r="ED40" s="131"/>
      <c r="EE40" s="137"/>
      <c r="EF40" s="227"/>
      <c r="EG40" s="227"/>
      <c r="EH40" s="228"/>
      <c r="EI40" s="228"/>
      <c r="EJ40" s="228"/>
      <c r="EK40" s="228"/>
    </row>
    <row r="41" spans="1:141">
      <c r="A41" s="132"/>
      <c r="B41" s="18"/>
      <c r="C41" s="18"/>
      <c r="D41" s="220"/>
      <c r="E41" s="130"/>
      <c r="F41" s="126"/>
      <c r="G41" s="18"/>
      <c r="H41" s="189"/>
      <c r="I41" s="18"/>
      <c r="J41" s="18"/>
      <c r="K41" s="189"/>
      <c r="L41" s="18"/>
      <c r="M41" s="129"/>
      <c r="N41" s="189"/>
      <c r="O41" s="132"/>
      <c r="P41" s="127"/>
      <c r="Q41" s="127"/>
      <c r="R41" s="128"/>
      <c r="S41" s="130"/>
      <c r="T41" s="135"/>
      <c r="U41" s="127"/>
      <c r="V41" s="217"/>
      <c r="W41" s="191"/>
      <c r="X41" s="133"/>
      <c r="Y41" s="131"/>
      <c r="Z41" s="131"/>
      <c r="AA41" s="242"/>
      <c r="AB41" s="131"/>
      <c r="AC41" s="131"/>
      <c r="AD41" s="131"/>
      <c r="AE41" s="131"/>
      <c r="AF41" s="131"/>
      <c r="AG41" s="131"/>
      <c r="AH41" s="131"/>
      <c r="AI41" s="131"/>
      <c r="AJ41" s="131"/>
      <c r="AK41" s="131"/>
      <c r="AL41" s="131"/>
      <c r="AM41" s="131"/>
      <c r="AN41" s="131"/>
      <c r="AO41" s="131"/>
      <c r="AP41" s="131"/>
      <c r="AQ41" s="243"/>
      <c r="AR41" s="131"/>
      <c r="AS41" s="131"/>
      <c r="AT41" s="131"/>
      <c r="AU41" s="131"/>
      <c r="AV41" s="131"/>
      <c r="AW41" s="131"/>
      <c r="AX41" s="131"/>
      <c r="AY41" s="131"/>
      <c r="AZ41" s="131"/>
      <c r="BA41" s="131"/>
      <c r="BB41" s="131"/>
      <c r="BC41" s="131"/>
      <c r="BD41" s="131"/>
      <c r="BE41" s="131"/>
      <c r="BF41" s="131"/>
      <c r="BG41" s="131"/>
      <c r="BH41" s="131"/>
      <c r="BI41" s="131"/>
      <c r="BJ41" s="131"/>
      <c r="BK41" s="131"/>
      <c r="BL41" s="131"/>
      <c r="BM41" s="131"/>
      <c r="BN41" s="131"/>
      <c r="BO41" s="136"/>
      <c r="BP41" s="131"/>
      <c r="BQ41" s="131"/>
      <c r="BR41" s="131"/>
      <c r="BS41" s="131"/>
      <c r="BT41" s="131"/>
      <c r="BU41" s="131"/>
      <c r="BV41" s="131"/>
      <c r="BW41" s="131"/>
      <c r="BX41" s="131"/>
      <c r="BY41" s="131"/>
      <c r="BZ41" s="131"/>
      <c r="CA41" s="131"/>
      <c r="CB41" s="131"/>
      <c r="CC41" s="131"/>
      <c r="CD41" s="131"/>
      <c r="CE41" s="131"/>
      <c r="CF41" s="136"/>
      <c r="CG41" s="136"/>
      <c r="CH41" s="131"/>
      <c r="CI41" s="131"/>
      <c r="CJ41" s="136"/>
      <c r="CK41" s="136"/>
      <c r="CL41" s="136"/>
      <c r="CM41" s="131"/>
      <c r="CN41" s="131"/>
      <c r="CO41" s="136"/>
      <c r="CP41" s="136"/>
      <c r="CQ41" s="131"/>
      <c r="CR41" s="131"/>
      <c r="CS41" s="131"/>
      <c r="CT41" s="131"/>
      <c r="CU41" s="131"/>
      <c r="CV41" s="131"/>
      <c r="CW41" s="131"/>
      <c r="CX41" s="131"/>
      <c r="CY41" s="136"/>
      <c r="CZ41" s="136"/>
      <c r="DA41" s="131"/>
      <c r="DB41" s="136"/>
      <c r="DC41" s="136"/>
      <c r="DD41" s="131"/>
      <c r="DE41" s="131"/>
      <c r="DF41" s="131"/>
      <c r="DG41" s="136"/>
      <c r="DH41" s="131"/>
      <c r="DI41" s="131"/>
      <c r="DJ41" s="136"/>
      <c r="DK41" s="136"/>
      <c r="DL41" s="136"/>
      <c r="DM41" s="136"/>
      <c r="DN41" s="136"/>
      <c r="DO41" s="136"/>
      <c r="DP41" s="136"/>
      <c r="DQ41" s="136"/>
      <c r="DR41" s="136"/>
      <c r="DS41" s="131"/>
      <c r="DT41" s="136"/>
      <c r="DU41" s="131"/>
      <c r="DV41" s="131"/>
      <c r="DW41" s="131"/>
      <c r="DX41" s="131"/>
      <c r="DY41" s="131"/>
      <c r="DZ41" s="136"/>
      <c r="EA41" s="131"/>
      <c r="EB41" s="131"/>
      <c r="EC41" s="131"/>
      <c r="ED41" s="131"/>
      <c r="EE41" s="137"/>
      <c r="EF41" s="227"/>
      <c r="EG41" s="227"/>
      <c r="EH41" s="228"/>
      <c r="EI41" s="228"/>
      <c r="EJ41" s="228"/>
      <c r="EK41" s="228"/>
    </row>
    <row r="42" spans="1:141">
      <c r="A42" s="132"/>
      <c r="B42" s="18"/>
      <c r="C42" s="18"/>
      <c r="D42" s="220"/>
      <c r="E42" s="130"/>
      <c r="F42" s="126"/>
      <c r="G42" s="18"/>
      <c r="H42" s="189"/>
      <c r="I42" s="18"/>
      <c r="J42" s="18"/>
      <c r="K42" s="189"/>
      <c r="L42" s="18"/>
      <c r="M42" s="129"/>
      <c r="N42" s="189"/>
      <c r="O42" s="132"/>
      <c r="P42" s="127"/>
      <c r="Q42" s="127"/>
      <c r="R42" s="128"/>
      <c r="S42" s="130"/>
      <c r="T42" s="135"/>
      <c r="U42" s="127"/>
      <c r="V42" s="217"/>
      <c r="W42" s="191"/>
      <c r="X42" s="133"/>
      <c r="Y42" s="131"/>
      <c r="Z42" s="131"/>
      <c r="AA42" s="242"/>
      <c r="AB42" s="131"/>
      <c r="AC42" s="131"/>
      <c r="AD42" s="131"/>
      <c r="AE42" s="131"/>
      <c r="AF42" s="131"/>
      <c r="AG42" s="131"/>
      <c r="AH42" s="131"/>
      <c r="AI42" s="131"/>
      <c r="AJ42" s="131"/>
      <c r="AK42" s="131"/>
      <c r="AL42" s="131"/>
      <c r="AM42" s="131"/>
      <c r="AN42" s="131"/>
      <c r="AO42" s="131"/>
      <c r="AP42" s="131"/>
      <c r="AQ42" s="243"/>
      <c r="AR42" s="131"/>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6"/>
      <c r="BP42" s="131"/>
      <c r="BQ42" s="131"/>
      <c r="BR42" s="131"/>
      <c r="BS42" s="131"/>
      <c r="BT42" s="131"/>
      <c r="BU42" s="131"/>
      <c r="BV42" s="131"/>
      <c r="BW42" s="131"/>
      <c r="BX42" s="131"/>
      <c r="BY42" s="131"/>
      <c r="BZ42" s="131"/>
      <c r="CA42" s="131"/>
      <c r="CB42" s="131"/>
      <c r="CC42" s="131"/>
      <c r="CD42" s="131"/>
      <c r="CE42" s="131"/>
      <c r="CF42" s="136"/>
      <c r="CG42" s="136"/>
      <c r="CH42" s="131"/>
      <c r="CI42" s="131"/>
      <c r="CJ42" s="136"/>
      <c r="CK42" s="136"/>
      <c r="CL42" s="136"/>
      <c r="CM42" s="131"/>
      <c r="CN42" s="131"/>
      <c r="CO42" s="136"/>
      <c r="CP42" s="136"/>
      <c r="CQ42" s="131"/>
      <c r="CR42" s="131"/>
      <c r="CS42" s="131"/>
      <c r="CT42" s="131"/>
      <c r="CU42" s="131"/>
      <c r="CV42" s="131"/>
      <c r="CW42" s="131"/>
      <c r="CX42" s="131"/>
      <c r="CY42" s="136"/>
      <c r="CZ42" s="136"/>
      <c r="DA42" s="131"/>
      <c r="DB42" s="136"/>
      <c r="DC42" s="136"/>
      <c r="DD42" s="131"/>
      <c r="DE42" s="131"/>
      <c r="DF42" s="131"/>
      <c r="DG42" s="136"/>
      <c r="DH42" s="131"/>
      <c r="DI42" s="131"/>
      <c r="DJ42" s="136"/>
      <c r="DK42" s="136"/>
      <c r="DL42" s="136"/>
      <c r="DM42" s="136"/>
      <c r="DN42" s="136"/>
      <c r="DO42" s="136"/>
      <c r="DP42" s="136"/>
      <c r="DQ42" s="136"/>
      <c r="DR42" s="136"/>
      <c r="DS42" s="131"/>
      <c r="DT42" s="136"/>
      <c r="DU42" s="131"/>
      <c r="DV42" s="131"/>
      <c r="DW42" s="131"/>
      <c r="DX42" s="131"/>
      <c r="DY42" s="131"/>
      <c r="DZ42" s="136"/>
      <c r="EA42" s="131"/>
      <c r="EB42" s="131"/>
      <c r="EC42" s="131"/>
      <c r="ED42" s="131"/>
      <c r="EE42" s="137"/>
      <c r="EF42" s="227"/>
      <c r="EG42" s="227"/>
      <c r="EH42" s="228"/>
      <c r="EI42" s="228"/>
      <c r="EJ42" s="228"/>
      <c r="EK42" s="228"/>
    </row>
    <row r="43" spans="1:141">
      <c r="A43" s="132"/>
      <c r="B43" s="18"/>
      <c r="C43" s="18"/>
      <c r="D43" s="220"/>
      <c r="E43" s="130"/>
      <c r="F43" s="126"/>
      <c r="G43" s="18"/>
      <c r="H43" s="189"/>
      <c r="I43" s="18"/>
      <c r="J43" s="18"/>
      <c r="K43" s="189"/>
      <c r="L43" s="18"/>
      <c r="M43" s="129"/>
      <c r="N43" s="189"/>
      <c r="O43" s="132"/>
      <c r="P43" s="127"/>
      <c r="Q43" s="127"/>
      <c r="R43" s="128"/>
      <c r="S43" s="130"/>
      <c r="T43" s="135"/>
      <c r="U43" s="127"/>
      <c r="V43" s="217"/>
      <c r="W43" s="191"/>
      <c r="X43" s="133"/>
      <c r="Y43" s="131"/>
      <c r="Z43" s="131"/>
      <c r="AA43" s="242"/>
      <c r="AB43" s="131"/>
      <c r="AC43" s="131"/>
      <c r="AD43" s="131"/>
      <c r="AE43" s="131"/>
      <c r="AF43" s="131"/>
      <c r="AG43" s="131"/>
      <c r="AH43" s="131"/>
      <c r="AI43" s="131"/>
      <c r="AJ43" s="131"/>
      <c r="AK43" s="131"/>
      <c r="AL43" s="131"/>
      <c r="AM43" s="131"/>
      <c r="AN43" s="131"/>
      <c r="AO43" s="131"/>
      <c r="AP43" s="131"/>
      <c r="AQ43" s="243"/>
      <c r="AR43" s="131"/>
      <c r="AS43" s="131"/>
      <c r="AT43" s="131"/>
      <c r="AU43" s="131"/>
      <c r="AV43" s="131"/>
      <c r="AW43" s="131"/>
      <c r="AX43" s="131"/>
      <c r="AY43" s="131"/>
      <c r="AZ43" s="131"/>
      <c r="BA43" s="131"/>
      <c r="BB43" s="131"/>
      <c r="BC43" s="131"/>
      <c r="BD43" s="131"/>
      <c r="BE43" s="131"/>
      <c r="BF43" s="131"/>
      <c r="BG43" s="131"/>
      <c r="BH43" s="131"/>
      <c r="BI43" s="131"/>
      <c r="BJ43" s="131"/>
      <c r="BK43" s="131"/>
      <c r="BL43" s="131"/>
      <c r="BM43" s="131"/>
      <c r="BN43" s="131"/>
      <c r="BO43" s="136"/>
      <c r="BP43" s="131"/>
      <c r="BQ43" s="131"/>
      <c r="BR43" s="131"/>
      <c r="BS43" s="131"/>
      <c r="BT43" s="131"/>
      <c r="BU43" s="131"/>
      <c r="BV43" s="131"/>
      <c r="BW43" s="131"/>
      <c r="BX43" s="131"/>
      <c r="BY43" s="131"/>
      <c r="BZ43" s="131"/>
      <c r="CA43" s="131"/>
      <c r="CB43" s="131"/>
      <c r="CC43" s="131"/>
      <c r="CD43" s="131"/>
      <c r="CE43" s="131"/>
      <c r="CF43" s="136"/>
      <c r="CG43" s="136"/>
      <c r="CH43" s="131"/>
      <c r="CI43" s="131"/>
      <c r="CJ43" s="136"/>
      <c r="CK43" s="136"/>
      <c r="CL43" s="136"/>
      <c r="CM43" s="131"/>
      <c r="CN43" s="131"/>
      <c r="CO43" s="136"/>
      <c r="CP43" s="136"/>
      <c r="CQ43" s="131"/>
      <c r="CR43" s="131"/>
      <c r="CS43" s="131"/>
      <c r="CT43" s="131"/>
      <c r="CU43" s="131"/>
      <c r="CV43" s="131"/>
      <c r="CW43" s="131"/>
      <c r="CX43" s="131"/>
      <c r="CY43" s="136"/>
      <c r="CZ43" s="136"/>
      <c r="DA43" s="131"/>
      <c r="DB43" s="136"/>
      <c r="DC43" s="136"/>
      <c r="DD43" s="131"/>
      <c r="DE43" s="131"/>
      <c r="DF43" s="131"/>
      <c r="DG43" s="136"/>
      <c r="DH43" s="131"/>
      <c r="DI43" s="131"/>
      <c r="DJ43" s="136"/>
      <c r="DK43" s="136"/>
      <c r="DL43" s="136"/>
      <c r="DM43" s="136"/>
      <c r="DN43" s="136"/>
      <c r="DO43" s="136"/>
      <c r="DP43" s="136"/>
      <c r="DQ43" s="136"/>
      <c r="DR43" s="136"/>
      <c r="DS43" s="131"/>
      <c r="DT43" s="136"/>
      <c r="DU43" s="131"/>
      <c r="DV43" s="131"/>
      <c r="DW43" s="131"/>
      <c r="DX43" s="131"/>
      <c r="DY43" s="131"/>
      <c r="DZ43" s="136"/>
      <c r="EA43" s="131"/>
      <c r="EB43" s="131"/>
      <c r="EC43" s="131"/>
      <c r="ED43" s="131"/>
      <c r="EE43" s="137"/>
      <c r="EF43" s="227"/>
      <c r="EG43" s="227"/>
      <c r="EH43" s="228"/>
      <c r="EI43" s="228"/>
      <c r="EJ43" s="228"/>
      <c r="EK43" s="228"/>
    </row>
    <row r="44" spans="1:141">
      <c r="A44" s="132"/>
      <c r="B44" s="18"/>
      <c r="C44" s="18"/>
      <c r="D44" s="220"/>
      <c r="E44" s="130"/>
      <c r="F44" s="126"/>
      <c r="G44" s="18"/>
      <c r="H44" s="189"/>
      <c r="I44" s="18"/>
      <c r="J44" s="18"/>
      <c r="K44" s="189"/>
      <c r="L44" s="18"/>
      <c r="M44" s="129"/>
      <c r="N44" s="189"/>
      <c r="O44" s="132"/>
      <c r="P44" s="127"/>
      <c r="Q44" s="127"/>
      <c r="R44" s="128"/>
      <c r="S44" s="130"/>
      <c r="T44" s="135"/>
      <c r="U44" s="127"/>
      <c r="V44" s="217"/>
      <c r="W44" s="191"/>
      <c r="X44" s="133"/>
      <c r="Y44" s="131"/>
      <c r="Z44" s="131"/>
      <c r="AA44" s="242"/>
      <c r="AB44" s="131"/>
      <c r="AC44" s="131"/>
      <c r="AD44" s="131"/>
      <c r="AE44" s="131"/>
      <c r="AF44" s="131"/>
      <c r="AG44" s="131"/>
      <c r="AH44" s="131"/>
      <c r="AI44" s="131"/>
      <c r="AJ44" s="131"/>
      <c r="AK44" s="131"/>
      <c r="AL44" s="131"/>
      <c r="AM44" s="131"/>
      <c r="AN44" s="131"/>
      <c r="AO44" s="131"/>
      <c r="AP44" s="131"/>
      <c r="AQ44" s="243"/>
      <c r="AR44" s="131"/>
      <c r="AS44" s="131"/>
      <c r="AT44" s="131"/>
      <c r="AU44" s="131"/>
      <c r="AV44" s="131"/>
      <c r="AW44" s="131"/>
      <c r="AX44" s="131"/>
      <c r="AY44" s="131"/>
      <c r="AZ44" s="131"/>
      <c r="BA44" s="131"/>
      <c r="BB44" s="131"/>
      <c r="BC44" s="131"/>
      <c r="BD44" s="131"/>
      <c r="BE44" s="131"/>
      <c r="BF44" s="131"/>
      <c r="BG44" s="131"/>
      <c r="BH44" s="131"/>
      <c r="BI44" s="131"/>
      <c r="BJ44" s="131"/>
      <c r="BK44" s="131"/>
      <c r="BL44" s="131"/>
      <c r="BM44" s="131"/>
      <c r="BN44" s="131"/>
      <c r="BO44" s="136"/>
      <c r="BP44" s="131"/>
      <c r="BQ44" s="131"/>
      <c r="BR44" s="131"/>
      <c r="BS44" s="131"/>
      <c r="BT44" s="131"/>
      <c r="BU44" s="131"/>
      <c r="BV44" s="131"/>
      <c r="BW44" s="131"/>
      <c r="BX44" s="131"/>
      <c r="BY44" s="131"/>
      <c r="BZ44" s="131"/>
      <c r="CA44" s="131"/>
      <c r="CB44" s="131"/>
      <c r="CC44" s="131"/>
      <c r="CD44" s="131"/>
      <c r="CE44" s="131"/>
      <c r="CF44" s="136"/>
      <c r="CG44" s="136"/>
      <c r="CH44" s="131"/>
      <c r="CI44" s="131"/>
      <c r="CJ44" s="136"/>
      <c r="CK44" s="136"/>
      <c r="CL44" s="136"/>
      <c r="CM44" s="131"/>
      <c r="CN44" s="131"/>
      <c r="CO44" s="136"/>
      <c r="CP44" s="136"/>
      <c r="CQ44" s="131"/>
      <c r="CR44" s="131"/>
      <c r="CS44" s="131"/>
      <c r="CT44" s="131"/>
      <c r="CU44" s="131"/>
      <c r="CV44" s="131"/>
      <c r="CW44" s="131"/>
      <c r="CX44" s="131"/>
      <c r="CY44" s="136"/>
      <c r="CZ44" s="136"/>
      <c r="DA44" s="131"/>
      <c r="DB44" s="136"/>
      <c r="DC44" s="136"/>
      <c r="DD44" s="131"/>
      <c r="DE44" s="131"/>
      <c r="DF44" s="131"/>
      <c r="DG44" s="136"/>
      <c r="DH44" s="131"/>
      <c r="DI44" s="131"/>
      <c r="DJ44" s="136"/>
      <c r="DK44" s="136"/>
      <c r="DL44" s="136"/>
      <c r="DM44" s="136"/>
      <c r="DN44" s="136"/>
      <c r="DO44" s="136"/>
      <c r="DP44" s="136"/>
      <c r="DQ44" s="136"/>
      <c r="DR44" s="136"/>
      <c r="DS44" s="131"/>
      <c r="DT44" s="136"/>
      <c r="DU44" s="131"/>
      <c r="DV44" s="131"/>
      <c r="DW44" s="131"/>
      <c r="DX44" s="131"/>
      <c r="DY44" s="131"/>
      <c r="DZ44" s="136"/>
      <c r="EA44" s="131"/>
      <c r="EB44" s="131"/>
      <c r="EC44" s="131"/>
      <c r="ED44" s="131"/>
      <c r="EE44" s="137"/>
      <c r="EF44" s="227"/>
      <c r="EG44" s="227"/>
      <c r="EH44" s="228"/>
      <c r="EI44" s="228"/>
      <c r="EJ44" s="228"/>
      <c r="EK44" s="228"/>
    </row>
    <row r="45" spans="1:141">
      <c r="A45" s="132"/>
      <c r="B45" s="18"/>
      <c r="C45" s="18"/>
      <c r="D45" s="220"/>
      <c r="E45" s="130"/>
      <c r="F45" s="126"/>
      <c r="G45" s="18"/>
      <c r="H45" s="189"/>
      <c r="I45" s="18"/>
      <c r="J45" s="18"/>
      <c r="K45" s="189"/>
      <c r="L45" s="18"/>
      <c r="M45" s="129"/>
      <c r="N45" s="189"/>
      <c r="O45" s="132"/>
      <c r="P45" s="127"/>
      <c r="Q45" s="127"/>
      <c r="R45" s="128"/>
      <c r="S45" s="130"/>
      <c r="T45" s="135"/>
      <c r="U45" s="127"/>
      <c r="V45" s="217"/>
      <c r="W45" s="191"/>
      <c r="X45" s="133"/>
      <c r="Y45" s="131"/>
      <c r="Z45" s="131"/>
      <c r="AA45" s="242"/>
      <c r="AB45" s="131"/>
      <c r="AC45" s="131"/>
      <c r="AD45" s="131"/>
      <c r="AE45" s="131"/>
      <c r="AF45" s="131"/>
      <c r="AG45" s="131"/>
      <c r="AH45" s="131"/>
      <c r="AI45" s="131"/>
      <c r="AJ45" s="131"/>
      <c r="AK45" s="131"/>
      <c r="AL45" s="131"/>
      <c r="AM45" s="131"/>
      <c r="AN45" s="131"/>
      <c r="AO45" s="131"/>
      <c r="AP45" s="131"/>
      <c r="AQ45" s="243"/>
      <c r="AR45" s="131"/>
      <c r="AS45" s="131"/>
      <c r="AT45" s="131"/>
      <c r="AU45" s="131"/>
      <c r="AV45" s="131"/>
      <c r="AW45" s="131"/>
      <c r="AX45" s="131"/>
      <c r="AY45" s="131"/>
      <c r="AZ45" s="131"/>
      <c r="BA45" s="131"/>
      <c r="BB45" s="131"/>
      <c r="BC45" s="131"/>
      <c r="BD45" s="131"/>
      <c r="BE45" s="131"/>
      <c r="BF45" s="131"/>
      <c r="BG45" s="131"/>
      <c r="BH45" s="131"/>
      <c r="BI45" s="131"/>
      <c r="BJ45" s="131"/>
      <c r="BK45" s="131"/>
      <c r="BL45" s="131"/>
      <c r="BM45" s="131"/>
      <c r="BN45" s="131"/>
      <c r="BO45" s="136"/>
      <c r="BP45" s="131"/>
      <c r="BQ45" s="131"/>
      <c r="BR45" s="131"/>
      <c r="BS45" s="131"/>
      <c r="BT45" s="131"/>
      <c r="BU45" s="131"/>
      <c r="BV45" s="131"/>
      <c r="BW45" s="131"/>
      <c r="BX45" s="131"/>
      <c r="BY45" s="131"/>
      <c r="BZ45" s="131"/>
      <c r="CA45" s="131"/>
      <c r="CB45" s="131"/>
      <c r="CC45" s="131"/>
      <c r="CD45" s="131"/>
      <c r="CE45" s="131"/>
      <c r="CF45" s="136"/>
      <c r="CG45" s="136"/>
      <c r="CH45" s="131"/>
      <c r="CI45" s="131"/>
      <c r="CJ45" s="136"/>
      <c r="CK45" s="136"/>
      <c r="CL45" s="136"/>
      <c r="CM45" s="131"/>
      <c r="CN45" s="131"/>
      <c r="CO45" s="136"/>
      <c r="CP45" s="136"/>
      <c r="CQ45" s="131"/>
      <c r="CR45" s="131"/>
      <c r="CS45" s="131"/>
      <c r="CT45" s="131"/>
      <c r="CU45" s="131"/>
      <c r="CV45" s="131"/>
      <c r="CW45" s="131"/>
      <c r="CX45" s="131"/>
      <c r="CY45" s="136"/>
      <c r="CZ45" s="136"/>
      <c r="DA45" s="131"/>
      <c r="DB45" s="136"/>
      <c r="DC45" s="136"/>
      <c r="DD45" s="131"/>
      <c r="DE45" s="131"/>
      <c r="DF45" s="131"/>
      <c r="DG45" s="136"/>
      <c r="DH45" s="131"/>
      <c r="DI45" s="131"/>
      <c r="DJ45" s="136"/>
      <c r="DK45" s="136"/>
      <c r="DL45" s="136"/>
      <c r="DM45" s="136"/>
      <c r="DN45" s="136"/>
      <c r="DO45" s="136"/>
      <c r="DP45" s="136"/>
      <c r="DQ45" s="136"/>
      <c r="DR45" s="136"/>
      <c r="DS45" s="131"/>
      <c r="DT45" s="136"/>
      <c r="DU45" s="131"/>
      <c r="DV45" s="131"/>
      <c r="DW45" s="131"/>
      <c r="DX45" s="131"/>
      <c r="DY45" s="131"/>
      <c r="DZ45" s="136"/>
      <c r="EA45" s="131"/>
      <c r="EB45" s="131"/>
      <c r="EC45" s="131"/>
      <c r="ED45" s="131"/>
      <c r="EE45" s="137"/>
      <c r="EF45" s="227"/>
      <c r="EG45" s="227"/>
      <c r="EH45" s="228"/>
      <c r="EI45" s="228"/>
      <c r="EJ45" s="228"/>
      <c r="EK45" s="228"/>
    </row>
    <row r="46" spans="1:141">
      <c r="A46" s="132"/>
      <c r="B46" s="18"/>
      <c r="C46" s="18"/>
      <c r="D46" s="220"/>
      <c r="E46" s="130"/>
      <c r="F46" s="126"/>
      <c r="G46" s="18"/>
      <c r="H46" s="189"/>
      <c r="I46" s="18"/>
      <c r="J46" s="18"/>
      <c r="K46" s="189"/>
      <c r="L46" s="18"/>
      <c r="M46" s="129"/>
      <c r="N46" s="189"/>
      <c r="O46" s="132"/>
      <c r="P46" s="127"/>
      <c r="Q46" s="127"/>
      <c r="R46" s="128"/>
      <c r="S46" s="130"/>
      <c r="T46" s="135"/>
      <c r="U46" s="127"/>
      <c r="V46" s="217"/>
      <c r="W46" s="191"/>
      <c r="X46" s="133"/>
      <c r="Y46" s="131"/>
      <c r="Z46" s="131"/>
      <c r="AA46" s="242"/>
      <c r="AB46" s="131"/>
      <c r="AC46" s="131"/>
      <c r="AD46" s="131"/>
      <c r="AE46" s="131"/>
      <c r="AF46" s="131"/>
      <c r="AG46" s="131"/>
      <c r="AH46" s="131"/>
      <c r="AI46" s="131"/>
      <c r="AJ46" s="131"/>
      <c r="AK46" s="131"/>
      <c r="AL46" s="131"/>
      <c r="AM46" s="131"/>
      <c r="AN46" s="131"/>
      <c r="AO46" s="131"/>
      <c r="AP46" s="131"/>
      <c r="AQ46" s="243"/>
      <c r="AR46" s="131"/>
      <c r="AS46" s="131"/>
      <c r="AT46" s="131"/>
      <c r="AU46" s="131"/>
      <c r="AV46" s="131"/>
      <c r="AW46" s="131"/>
      <c r="AX46" s="131"/>
      <c r="AY46" s="131"/>
      <c r="AZ46" s="131"/>
      <c r="BA46" s="131"/>
      <c r="BB46" s="131"/>
      <c r="BC46" s="131"/>
      <c r="BD46" s="131"/>
      <c r="BE46" s="131"/>
      <c r="BF46" s="131"/>
      <c r="BG46" s="131"/>
      <c r="BH46" s="131"/>
      <c r="BI46" s="131"/>
      <c r="BJ46" s="131"/>
      <c r="BK46" s="131"/>
      <c r="BL46" s="131"/>
      <c r="BM46" s="131"/>
      <c r="BN46" s="131"/>
      <c r="BO46" s="136"/>
      <c r="BP46" s="131"/>
      <c r="BQ46" s="131"/>
      <c r="BR46" s="131"/>
      <c r="BS46" s="131"/>
      <c r="BT46" s="131"/>
      <c r="BU46" s="131"/>
      <c r="BV46" s="131"/>
      <c r="BW46" s="131"/>
      <c r="BX46" s="131"/>
      <c r="BY46" s="131"/>
      <c r="BZ46" s="131"/>
      <c r="CA46" s="131"/>
      <c r="CB46" s="131"/>
      <c r="CC46" s="131"/>
      <c r="CD46" s="131"/>
      <c r="CE46" s="131"/>
      <c r="CF46" s="136"/>
      <c r="CG46" s="136"/>
      <c r="CH46" s="131"/>
      <c r="CI46" s="131"/>
      <c r="CJ46" s="136"/>
      <c r="CK46" s="136"/>
      <c r="CL46" s="136"/>
      <c r="CM46" s="131"/>
      <c r="CN46" s="131"/>
      <c r="CO46" s="136"/>
      <c r="CP46" s="136"/>
      <c r="CQ46" s="131"/>
      <c r="CR46" s="131"/>
      <c r="CS46" s="131"/>
      <c r="CT46" s="131"/>
      <c r="CU46" s="131"/>
      <c r="CV46" s="131"/>
      <c r="CW46" s="131"/>
      <c r="CX46" s="131"/>
      <c r="CY46" s="136"/>
      <c r="CZ46" s="136"/>
      <c r="DA46" s="131"/>
      <c r="DB46" s="136"/>
      <c r="DC46" s="136"/>
      <c r="DD46" s="131"/>
      <c r="DE46" s="131"/>
      <c r="DF46" s="131"/>
      <c r="DG46" s="136"/>
      <c r="DH46" s="131"/>
      <c r="DI46" s="131"/>
      <c r="DJ46" s="136"/>
      <c r="DK46" s="136"/>
      <c r="DL46" s="136"/>
      <c r="DM46" s="136"/>
      <c r="DN46" s="136"/>
      <c r="DO46" s="136"/>
      <c r="DP46" s="136"/>
      <c r="DQ46" s="136"/>
      <c r="DR46" s="136"/>
      <c r="DS46" s="131"/>
      <c r="DT46" s="136"/>
      <c r="DU46" s="131"/>
      <c r="DV46" s="131"/>
      <c r="DW46" s="131"/>
      <c r="DX46" s="131"/>
      <c r="DY46" s="131"/>
      <c r="DZ46" s="136"/>
      <c r="EA46" s="131"/>
      <c r="EB46" s="131"/>
      <c r="EC46" s="131"/>
      <c r="ED46" s="131"/>
      <c r="EE46" s="137"/>
      <c r="EF46" s="227"/>
      <c r="EG46" s="227"/>
      <c r="EH46" s="228"/>
      <c r="EI46" s="228"/>
      <c r="EJ46" s="228"/>
      <c r="EK46" s="228"/>
    </row>
    <row r="47" spans="1:141">
      <c r="A47" s="132"/>
      <c r="B47" s="18"/>
      <c r="C47" s="18"/>
      <c r="D47" s="220"/>
      <c r="E47" s="130"/>
      <c r="F47" s="126"/>
      <c r="G47" s="18"/>
      <c r="H47" s="189"/>
      <c r="I47" s="18"/>
      <c r="J47" s="18"/>
      <c r="K47" s="189"/>
      <c r="L47" s="18"/>
      <c r="M47" s="129"/>
      <c r="N47" s="189"/>
      <c r="O47" s="132"/>
      <c r="P47" s="127"/>
      <c r="Q47" s="127"/>
      <c r="R47" s="128"/>
      <c r="S47" s="130"/>
      <c r="T47" s="135"/>
      <c r="U47" s="127"/>
      <c r="V47" s="217"/>
      <c r="W47" s="191"/>
      <c r="X47" s="133"/>
      <c r="Y47" s="131"/>
      <c r="Z47" s="131"/>
      <c r="AA47" s="242"/>
      <c r="AB47" s="131"/>
      <c r="AC47" s="131"/>
      <c r="AD47" s="131"/>
      <c r="AE47" s="131"/>
      <c r="AF47" s="131"/>
      <c r="AG47" s="131"/>
      <c r="AH47" s="131"/>
      <c r="AI47" s="131"/>
      <c r="AJ47" s="131"/>
      <c r="AK47" s="131"/>
      <c r="AL47" s="131"/>
      <c r="AM47" s="131"/>
      <c r="AN47" s="131"/>
      <c r="AO47" s="131"/>
      <c r="AP47" s="131"/>
      <c r="AQ47" s="243"/>
      <c r="AR47" s="131"/>
      <c r="AS47" s="131"/>
      <c r="AT47" s="131"/>
      <c r="AU47" s="131"/>
      <c r="AV47" s="131"/>
      <c r="AW47" s="131"/>
      <c r="AX47" s="131"/>
      <c r="AY47" s="131"/>
      <c r="AZ47" s="131"/>
      <c r="BA47" s="131"/>
      <c r="BB47" s="131"/>
      <c r="BC47" s="131"/>
      <c r="BD47" s="131"/>
      <c r="BE47" s="131"/>
      <c r="BF47" s="131"/>
      <c r="BG47" s="131"/>
      <c r="BH47" s="131"/>
      <c r="BI47" s="131"/>
      <c r="BJ47" s="131"/>
      <c r="BK47" s="131"/>
      <c r="BL47" s="131"/>
      <c r="BM47" s="131"/>
      <c r="BN47" s="131"/>
      <c r="BO47" s="136"/>
      <c r="BP47" s="131"/>
      <c r="BQ47" s="131"/>
      <c r="BR47" s="131"/>
      <c r="BS47" s="131"/>
      <c r="BT47" s="131"/>
      <c r="BU47" s="131"/>
      <c r="BV47" s="131"/>
      <c r="BW47" s="131"/>
      <c r="BX47" s="131"/>
      <c r="BY47" s="131"/>
      <c r="BZ47" s="131"/>
      <c r="CA47" s="131"/>
      <c r="CB47" s="131"/>
      <c r="CC47" s="131"/>
      <c r="CD47" s="131"/>
      <c r="CE47" s="131"/>
      <c r="CF47" s="136"/>
      <c r="CG47" s="136"/>
      <c r="CH47" s="131"/>
      <c r="CI47" s="131"/>
      <c r="CJ47" s="136"/>
      <c r="CK47" s="136"/>
      <c r="CL47" s="136"/>
      <c r="CM47" s="131"/>
      <c r="CN47" s="131"/>
      <c r="CO47" s="136"/>
      <c r="CP47" s="136"/>
      <c r="CQ47" s="131"/>
      <c r="CR47" s="131"/>
      <c r="CS47" s="131"/>
      <c r="CT47" s="131"/>
      <c r="CU47" s="131"/>
      <c r="CV47" s="131"/>
      <c r="CW47" s="131"/>
      <c r="CX47" s="131"/>
      <c r="CY47" s="136"/>
      <c r="CZ47" s="136"/>
      <c r="DA47" s="131"/>
      <c r="DB47" s="136"/>
      <c r="DC47" s="136"/>
      <c r="DD47" s="131"/>
      <c r="DE47" s="131"/>
      <c r="DF47" s="131"/>
      <c r="DG47" s="136"/>
      <c r="DH47" s="131"/>
      <c r="DI47" s="131"/>
      <c r="DJ47" s="136"/>
      <c r="DK47" s="136"/>
      <c r="DL47" s="136"/>
      <c r="DM47" s="136"/>
      <c r="DN47" s="136"/>
      <c r="DO47" s="136"/>
      <c r="DP47" s="136"/>
      <c r="DQ47" s="136"/>
      <c r="DR47" s="136"/>
      <c r="DS47" s="131"/>
      <c r="DT47" s="136"/>
      <c r="DU47" s="131"/>
      <c r="DV47" s="131"/>
      <c r="DW47" s="131"/>
      <c r="DX47" s="131"/>
      <c r="DY47" s="131"/>
      <c r="DZ47" s="136"/>
      <c r="EA47" s="131"/>
      <c r="EB47" s="131"/>
      <c r="EC47" s="131"/>
      <c r="ED47" s="131"/>
      <c r="EE47" s="137"/>
      <c r="EF47" s="227"/>
      <c r="EG47" s="227"/>
      <c r="EH47" s="228"/>
      <c r="EI47" s="228"/>
      <c r="EJ47" s="228"/>
      <c r="EK47" s="228"/>
    </row>
    <row r="48" spans="1:141">
      <c r="A48" s="132"/>
      <c r="B48" s="18"/>
      <c r="C48" s="18"/>
      <c r="D48" s="220"/>
      <c r="E48" s="130"/>
      <c r="F48" s="126"/>
      <c r="G48" s="18"/>
      <c r="H48" s="189"/>
      <c r="I48" s="18"/>
      <c r="J48" s="18"/>
      <c r="K48" s="189"/>
      <c r="L48" s="18"/>
      <c r="M48" s="129"/>
      <c r="N48" s="189"/>
      <c r="O48" s="132"/>
      <c r="P48" s="127"/>
      <c r="Q48" s="127"/>
      <c r="R48" s="128"/>
      <c r="S48" s="130"/>
      <c r="T48" s="135"/>
      <c r="U48" s="127"/>
      <c r="V48" s="217"/>
      <c r="W48" s="191"/>
      <c r="X48" s="133"/>
      <c r="Y48" s="131"/>
      <c r="Z48" s="131"/>
      <c r="AA48" s="242"/>
      <c r="AB48" s="131"/>
      <c r="AC48" s="131"/>
      <c r="AD48" s="131"/>
      <c r="AE48" s="131"/>
      <c r="AF48" s="131"/>
      <c r="AG48" s="131"/>
      <c r="AH48" s="131"/>
      <c r="AI48" s="131"/>
      <c r="AJ48" s="131"/>
      <c r="AK48" s="131"/>
      <c r="AL48" s="131"/>
      <c r="AM48" s="131"/>
      <c r="AN48" s="131"/>
      <c r="AO48" s="131"/>
      <c r="AP48" s="131"/>
      <c r="AQ48" s="243"/>
      <c r="AR48" s="131"/>
      <c r="AS48" s="131"/>
      <c r="AT48" s="131"/>
      <c r="AU48" s="131"/>
      <c r="AV48" s="131"/>
      <c r="AW48" s="131"/>
      <c r="AX48" s="131"/>
      <c r="AY48" s="131"/>
      <c r="AZ48" s="131"/>
      <c r="BA48" s="131"/>
      <c r="BB48" s="131"/>
      <c r="BC48" s="131"/>
      <c r="BD48" s="131"/>
      <c r="BE48" s="131"/>
      <c r="BF48" s="131"/>
      <c r="BG48" s="131"/>
      <c r="BH48" s="131"/>
      <c r="BI48" s="131"/>
      <c r="BJ48" s="131"/>
      <c r="BK48" s="131"/>
      <c r="BL48" s="131"/>
      <c r="BM48" s="131"/>
      <c r="BN48" s="131"/>
      <c r="BO48" s="136"/>
      <c r="BP48" s="131"/>
      <c r="BQ48" s="131"/>
      <c r="BR48" s="131"/>
      <c r="BS48" s="131"/>
      <c r="BT48" s="131"/>
      <c r="BU48" s="131"/>
      <c r="BV48" s="131"/>
      <c r="BW48" s="131"/>
      <c r="BX48" s="131"/>
      <c r="BY48" s="131"/>
      <c r="BZ48" s="131"/>
      <c r="CA48" s="131"/>
      <c r="CB48" s="131"/>
      <c r="CC48" s="131"/>
      <c r="CD48" s="131"/>
      <c r="CE48" s="131"/>
      <c r="CF48" s="136"/>
      <c r="CG48" s="136"/>
      <c r="CH48" s="131"/>
      <c r="CI48" s="131"/>
      <c r="CJ48" s="136"/>
      <c r="CK48" s="136"/>
      <c r="CL48" s="136"/>
      <c r="CM48" s="131"/>
      <c r="CN48" s="131"/>
      <c r="CO48" s="136"/>
      <c r="CP48" s="136"/>
      <c r="CQ48" s="131"/>
      <c r="CR48" s="131"/>
      <c r="CS48" s="131"/>
      <c r="CT48" s="131"/>
      <c r="CU48" s="131"/>
      <c r="CV48" s="131"/>
      <c r="CW48" s="131"/>
      <c r="CX48" s="131"/>
      <c r="CY48" s="136"/>
      <c r="CZ48" s="136"/>
      <c r="DA48" s="131"/>
      <c r="DB48" s="136"/>
      <c r="DC48" s="136"/>
      <c r="DD48" s="131"/>
      <c r="DE48" s="131"/>
      <c r="DF48" s="131"/>
      <c r="DG48" s="136"/>
      <c r="DH48" s="131"/>
      <c r="DI48" s="131"/>
      <c r="DJ48" s="136"/>
      <c r="DK48" s="136"/>
      <c r="DL48" s="136"/>
      <c r="DM48" s="136"/>
      <c r="DN48" s="136"/>
      <c r="DO48" s="136"/>
      <c r="DP48" s="136"/>
      <c r="DQ48" s="136"/>
      <c r="DR48" s="136"/>
      <c r="DS48" s="131"/>
      <c r="DT48" s="136"/>
      <c r="DU48" s="131"/>
      <c r="DV48" s="131"/>
      <c r="DW48" s="131"/>
      <c r="DX48" s="131"/>
      <c r="DY48" s="131"/>
      <c r="DZ48" s="136"/>
      <c r="EA48" s="131"/>
      <c r="EB48" s="131"/>
      <c r="EC48" s="131"/>
      <c r="ED48" s="131"/>
      <c r="EE48" s="137"/>
      <c r="EF48" s="227"/>
      <c r="EG48" s="227"/>
      <c r="EH48" s="228"/>
      <c r="EI48" s="228"/>
      <c r="EJ48" s="228"/>
      <c r="EK48" s="228"/>
    </row>
    <row r="49" spans="1:141">
      <c r="A49" s="132"/>
      <c r="B49" s="18"/>
      <c r="C49" s="18"/>
      <c r="D49" s="220"/>
      <c r="E49" s="130"/>
      <c r="F49" s="126"/>
      <c r="G49" s="18"/>
      <c r="H49" s="189"/>
      <c r="I49" s="18"/>
      <c r="J49" s="18"/>
      <c r="K49" s="189"/>
      <c r="L49" s="18"/>
      <c r="M49" s="129"/>
      <c r="N49" s="189"/>
      <c r="O49" s="132"/>
      <c r="P49" s="127"/>
      <c r="Q49" s="127"/>
      <c r="R49" s="128"/>
      <c r="S49" s="130"/>
      <c r="T49" s="135"/>
      <c r="U49" s="127"/>
      <c r="V49" s="217"/>
      <c r="W49" s="191"/>
      <c r="X49" s="133"/>
      <c r="Y49" s="131"/>
      <c r="Z49" s="131"/>
      <c r="AA49" s="242"/>
      <c r="AB49" s="131"/>
      <c r="AC49" s="131"/>
      <c r="AD49" s="131"/>
      <c r="AE49" s="131"/>
      <c r="AF49" s="131"/>
      <c r="AG49" s="131"/>
      <c r="AH49" s="131"/>
      <c r="AI49" s="131"/>
      <c r="AJ49" s="131"/>
      <c r="AK49" s="131"/>
      <c r="AL49" s="131"/>
      <c r="AM49" s="131"/>
      <c r="AN49" s="131"/>
      <c r="AO49" s="131"/>
      <c r="AP49" s="131"/>
      <c r="AQ49" s="243"/>
      <c r="AR49" s="131"/>
      <c r="AS49" s="131"/>
      <c r="AT49" s="131"/>
      <c r="AU49" s="131"/>
      <c r="AV49" s="131"/>
      <c r="AW49" s="131"/>
      <c r="AX49" s="131"/>
      <c r="AY49" s="131"/>
      <c r="AZ49" s="131"/>
      <c r="BA49" s="131"/>
      <c r="BB49" s="131"/>
      <c r="BC49" s="131"/>
      <c r="BD49" s="131"/>
      <c r="BE49" s="131"/>
      <c r="BF49" s="131"/>
      <c r="BG49" s="131"/>
      <c r="BH49" s="131"/>
      <c r="BI49" s="131"/>
      <c r="BJ49" s="131"/>
      <c r="BK49" s="131"/>
      <c r="BL49" s="131"/>
      <c r="BM49" s="131"/>
      <c r="BN49" s="131"/>
      <c r="BO49" s="136"/>
      <c r="BP49" s="131"/>
      <c r="BQ49" s="131"/>
      <c r="BR49" s="131"/>
      <c r="BS49" s="131"/>
      <c r="BT49" s="131"/>
      <c r="BU49" s="131"/>
      <c r="BV49" s="131"/>
      <c r="BW49" s="131"/>
      <c r="BX49" s="131"/>
      <c r="BY49" s="131"/>
      <c r="BZ49" s="131"/>
      <c r="CA49" s="131"/>
      <c r="CB49" s="131"/>
      <c r="CC49" s="131"/>
      <c r="CD49" s="131"/>
      <c r="CE49" s="131"/>
      <c r="CF49" s="136"/>
      <c r="CG49" s="136"/>
      <c r="CH49" s="131"/>
      <c r="CI49" s="131"/>
      <c r="CJ49" s="136"/>
      <c r="CK49" s="136"/>
      <c r="CL49" s="136"/>
      <c r="CM49" s="131"/>
      <c r="CN49" s="131"/>
      <c r="CO49" s="136"/>
      <c r="CP49" s="136"/>
      <c r="CQ49" s="131"/>
      <c r="CR49" s="131"/>
      <c r="CS49" s="131"/>
      <c r="CT49" s="131"/>
      <c r="CU49" s="131"/>
      <c r="CV49" s="131"/>
      <c r="CW49" s="131"/>
      <c r="CX49" s="131"/>
      <c r="CY49" s="136"/>
      <c r="CZ49" s="136"/>
      <c r="DA49" s="131"/>
      <c r="DB49" s="136"/>
      <c r="DC49" s="136"/>
      <c r="DD49" s="131"/>
      <c r="DE49" s="131"/>
      <c r="DF49" s="131"/>
      <c r="DG49" s="136"/>
      <c r="DH49" s="131"/>
      <c r="DI49" s="131"/>
      <c r="DJ49" s="136"/>
      <c r="DK49" s="136"/>
      <c r="DL49" s="136"/>
      <c r="DM49" s="136"/>
      <c r="DN49" s="136"/>
      <c r="DO49" s="136"/>
      <c r="DP49" s="136"/>
      <c r="DQ49" s="136"/>
      <c r="DR49" s="136"/>
      <c r="DS49" s="131"/>
      <c r="DT49" s="136"/>
      <c r="DU49" s="131"/>
      <c r="DV49" s="131"/>
      <c r="DW49" s="131"/>
      <c r="DX49" s="131"/>
      <c r="DY49" s="131"/>
      <c r="DZ49" s="136"/>
      <c r="EA49" s="131"/>
      <c r="EB49" s="131"/>
      <c r="EC49" s="131"/>
      <c r="ED49" s="131"/>
      <c r="EE49" s="137"/>
      <c r="EF49" s="227"/>
      <c r="EG49" s="227"/>
      <c r="EH49" s="228"/>
      <c r="EI49" s="228"/>
      <c r="EJ49" s="228"/>
      <c r="EK49" s="228"/>
    </row>
    <row r="50" spans="1:141">
      <c r="A50" s="132"/>
      <c r="B50" s="18"/>
      <c r="C50" s="18"/>
      <c r="D50" s="220"/>
      <c r="E50" s="130"/>
      <c r="F50" s="126"/>
      <c r="G50" s="18"/>
      <c r="H50" s="189"/>
      <c r="I50" s="18"/>
      <c r="J50" s="18"/>
      <c r="K50" s="189"/>
      <c r="L50" s="18"/>
      <c r="M50" s="129"/>
      <c r="N50" s="189"/>
      <c r="O50" s="132"/>
      <c r="P50" s="127"/>
      <c r="Q50" s="127"/>
      <c r="R50" s="128"/>
      <c r="S50" s="130"/>
      <c r="T50" s="135"/>
      <c r="U50" s="127"/>
      <c r="V50" s="217"/>
      <c r="W50" s="191"/>
      <c r="X50" s="133"/>
      <c r="Y50" s="131"/>
      <c r="Z50" s="131"/>
      <c r="AA50" s="242"/>
      <c r="AB50" s="131"/>
      <c r="AC50" s="131"/>
      <c r="AD50" s="131"/>
      <c r="AE50" s="131"/>
      <c r="AF50" s="131"/>
      <c r="AG50" s="131"/>
      <c r="AH50" s="131"/>
      <c r="AI50" s="131"/>
      <c r="AJ50" s="131"/>
      <c r="AK50" s="131"/>
      <c r="AL50" s="131"/>
      <c r="AM50" s="131"/>
      <c r="AN50" s="131"/>
      <c r="AO50" s="131"/>
      <c r="AP50" s="131"/>
      <c r="AQ50" s="243"/>
      <c r="AR50" s="131"/>
      <c r="AS50" s="131"/>
      <c r="AT50" s="131"/>
      <c r="AU50" s="131"/>
      <c r="AV50" s="131"/>
      <c r="AW50" s="131"/>
      <c r="AX50" s="131"/>
      <c r="AY50" s="131"/>
      <c r="AZ50" s="131"/>
      <c r="BA50" s="131"/>
      <c r="BB50" s="131"/>
      <c r="BC50" s="131"/>
      <c r="BD50" s="131"/>
      <c r="BE50" s="131"/>
      <c r="BF50" s="131"/>
      <c r="BG50" s="131"/>
      <c r="BH50" s="131"/>
      <c r="BI50" s="131"/>
      <c r="BJ50" s="131"/>
      <c r="BK50" s="131"/>
      <c r="BL50" s="131"/>
      <c r="BM50" s="131"/>
      <c r="BN50" s="131"/>
      <c r="BO50" s="136"/>
      <c r="BP50" s="131"/>
      <c r="BQ50" s="131"/>
      <c r="BR50" s="131"/>
      <c r="BS50" s="131"/>
      <c r="BT50" s="131"/>
      <c r="BU50" s="131"/>
      <c r="BV50" s="131"/>
      <c r="BW50" s="131"/>
      <c r="BX50" s="131"/>
      <c r="BY50" s="131"/>
      <c r="BZ50" s="131"/>
      <c r="CA50" s="131"/>
      <c r="CB50" s="131"/>
      <c r="CC50" s="131"/>
      <c r="CD50" s="131"/>
      <c r="CE50" s="131"/>
      <c r="CF50" s="136"/>
      <c r="CG50" s="136"/>
      <c r="CH50" s="131"/>
      <c r="CI50" s="131"/>
      <c r="CJ50" s="136"/>
      <c r="CK50" s="136"/>
      <c r="CL50" s="136"/>
      <c r="CM50" s="131"/>
      <c r="CN50" s="131"/>
      <c r="CO50" s="136"/>
      <c r="CP50" s="136"/>
      <c r="CQ50" s="131"/>
      <c r="CR50" s="131"/>
      <c r="CS50" s="131"/>
      <c r="CT50" s="131"/>
      <c r="CU50" s="131"/>
      <c r="CV50" s="131"/>
      <c r="CW50" s="131"/>
      <c r="CX50" s="131"/>
      <c r="CY50" s="136"/>
      <c r="CZ50" s="136"/>
      <c r="DA50" s="131"/>
      <c r="DB50" s="136"/>
      <c r="DC50" s="136"/>
      <c r="DD50" s="131"/>
      <c r="DE50" s="131"/>
      <c r="DF50" s="131"/>
      <c r="DG50" s="136"/>
      <c r="DH50" s="131"/>
      <c r="DI50" s="131"/>
      <c r="DJ50" s="136"/>
      <c r="DK50" s="136"/>
      <c r="DL50" s="136"/>
      <c r="DM50" s="136"/>
      <c r="DN50" s="136"/>
      <c r="DO50" s="136"/>
      <c r="DP50" s="136"/>
      <c r="DQ50" s="136"/>
      <c r="DR50" s="136"/>
      <c r="DS50" s="131"/>
      <c r="DT50" s="136"/>
      <c r="DU50" s="131"/>
      <c r="DV50" s="131"/>
      <c r="DW50" s="131"/>
      <c r="DX50" s="131"/>
      <c r="DY50" s="131"/>
      <c r="DZ50" s="136"/>
      <c r="EA50" s="131"/>
      <c r="EB50" s="131"/>
      <c r="EC50" s="131"/>
      <c r="ED50" s="131"/>
      <c r="EE50" s="137"/>
      <c r="EF50" s="227"/>
      <c r="EG50" s="227"/>
      <c r="EH50" s="228"/>
      <c r="EI50" s="228"/>
      <c r="EJ50" s="228"/>
      <c r="EK50" s="228"/>
    </row>
    <row r="51" spans="1:141">
      <c r="A51" s="132"/>
      <c r="B51" s="18"/>
      <c r="C51" s="18"/>
      <c r="D51" s="220"/>
      <c r="E51" s="130"/>
      <c r="F51" s="126"/>
      <c r="G51" s="18"/>
      <c r="H51" s="189"/>
      <c r="I51" s="18"/>
      <c r="J51" s="18"/>
      <c r="K51" s="189"/>
      <c r="L51" s="18"/>
      <c r="M51" s="129"/>
      <c r="N51" s="189"/>
      <c r="O51" s="132"/>
      <c r="P51" s="127"/>
      <c r="Q51" s="127"/>
      <c r="R51" s="128"/>
      <c r="S51" s="130"/>
      <c r="T51" s="135"/>
      <c r="U51" s="127"/>
      <c r="V51" s="217"/>
      <c r="W51" s="191"/>
      <c r="X51" s="133"/>
      <c r="Y51" s="131"/>
      <c r="Z51" s="131"/>
      <c r="AA51" s="242"/>
      <c r="AB51" s="131"/>
      <c r="AC51" s="131"/>
      <c r="AD51" s="131"/>
      <c r="AE51" s="131"/>
      <c r="AF51" s="131"/>
      <c r="AG51" s="131"/>
      <c r="AH51" s="131"/>
      <c r="AI51" s="131"/>
      <c r="AJ51" s="131"/>
      <c r="AK51" s="131"/>
      <c r="AL51" s="131"/>
      <c r="AM51" s="131"/>
      <c r="AN51" s="131"/>
      <c r="AO51" s="131"/>
      <c r="AP51" s="131"/>
      <c r="AQ51" s="243"/>
      <c r="AR51" s="131"/>
      <c r="AS51" s="131"/>
      <c r="AT51" s="131"/>
      <c r="AU51" s="131"/>
      <c r="AV51" s="131"/>
      <c r="AW51" s="131"/>
      <c r="AX51" s="131"/>
      <c r="AY51" s="131"/>
      <c r="AZ51" s="131"/>
      <c r="BA51" s="131"/>
      <c r="BB51" s="131"/>
      <c r="BC51" s="131"/>
      <c r="BD51" s="131"/>
      <c r="BE51" s="131"/>
      <c r="BF51" s="131"/>
      <c r="BG51" s="131"/>
      <c r="BH51" s="131"/>
      <c r="BI51" s="131"/>
      <c r="BJ51" s="131"/>
      <c r="BK51" s="131"/>
      <c r="BL51" s="131"/>
      <c r="BM51" s="131"/>
      <c r="BN51" s="131"/>
      <c r="BO51" s="136"/>
      <c r="BP51" s="131"/>
      <c r="BQ51" s="131"/>
      <c r="BR51" s="131"/>
      <c r="BS51" s="131"/>
      <c r="BT51" s="131"/>
      <c r="BU51" s="131"/>
      <c r="BV51" s="131"/>
      <c r="BW51" s="131"/>
      <c r="BX51" s="131"/>
      <c r="BY51" s="131"/>
      <c r="BZ51" s="131"/>
      <c r="CA51" s="131"/>
      <c r="CB51" s="131"/>
      <c r="CC51" s="131"/>
      <c r="CD51" s="131"/>
      <c r="CE51" s="131"/>
      <c r="CF51" s="136"/>
      <c r="CG51" s="136"/>
      <c r="CH51" s="131"/>
      <c r="CI51" s="131"/>
      <c r="CJ51" s="136"/>
      <c r="CK51" s="136"/>
      <c r="CL51" s="136"/>
      <c r="CM51" s="131"/>
      <c r="CN51" s="131"/>
      <c r="CO51" s="136"/>
      <c r="CP51" s="136"/>
      <c r="CQ51" s="131"/>
      <c r="CR51" s="131"/>
      <c r="CS51" s="131"/>
      <c r="CT51" s="131"/>
      <c r="CU51" s="131"/>
      <c r="CV51" s="131"/>
      <c r="CW51" s="131"/>
      <c r="CX51" s="131"/>
      <c r="CY51" s="136"/>
      <c r="CZ51" s="136"/>
      <c r="DA51" s="131"/>
      <c r="DB51" s="136"/>
      <c r="DC51" s="136"/>
      <c r="DD51" s="131"/>
      <c r="DE51" s="131"/>
      <c r="DF51" s="131"/>
      <c r="DG51" s="136"/>
      <c r="DH51" s="131"/>
      <c r="DI51" s="131"/>
      <c r="DJ51" s="136"/>
      <c r="DK51" s="136"/>
      <c r="DL51" s="136"/>
      <c r="DM51" s="136"/>
      <c r="DN51" s="136"/>
      <c r="DO51" s="136"/>
      <c r="DP51" s="136"/>
      <c r="DQ51" s="136"/>
      <c r="DR51" s="136"/>
      <c r="DS51" s="131"/>
      <c r="DT51" s="136"/>
      <c r="DU51" s="131"/>
      <c r="DV51" s="131"/>
      <c r="DW51" s="131"/>
      <c r="DX51" s="131"/>
      <c r="DY51" s="131"/>
      <c r="DZ51" s="136"/>
      <c r="EA51" s="131"/>
      <c r="EB51" s="131"/>
      <c r="EC51" s="131"/>
      <c r="ED51" s="131"/>
      <c r="EE51" s="137"/>
      <c r="EF51" s="227"/>
      <c r="EG51" s="227"/>
      <c r="EH51" s="228"/>
      <c r="EI51" s="228"/>
      <c r="EJ51" s="228"/>
      <c r="EK51" s="228"/>
    </row>
    <row r="52" spans="1:141">
      <c r="A52" s="132"/>
      <c r="B52" s="18"/>
      <c r="C52" s="18"/>
      <c r="D52" s="220"/>
      <c r="E52" s="130"/>
      <c r="F52" s="126"/>
      <c r="G52" s="18"/>
      <c r="H52" s="189"/>
      <c r="I52" s="18"/>
      <c r="J52" s="18"/>
      <c r="K52" s="189"/>
      <c r="L52" s="18"/>
      <c r="M52" s="129"/>
      <c r="N52" s="189"/>
      <c r="O52" s="132"/>
      <c r="P52" s="127"/>
      <c r="Q52" s="127"/>
      <c r="R52" s="128"/>
      <c r="S52" s="130"/>
      <c r="T52" s="135"/>
      <c r="U52" s="127"/>
      <c r="V52" s="217"/>
      <c r="W52" s="191"/>
      <c r="X52" s="133"/>
      <c r="Y52" s="131"/>
      <c r="Z52" s="131"/>
      <c r="AA52" s="242"/>
      <c r="AB52" s="131"/>
      <c r="AC52" s="131"/>
      <c r="AD52" s="131"/>
      <c r="AE52" s="131"/>
      <c r="AF52" s="131"/>
      <c r="AG52" s="131"/>
      <c r="AH52" s="131"/>
      <c r="AI52" s="131"/>
      <c r="AJ52" s="131"/>
      <c r="AK52" s="131"/>
      <c r="AL52" s="131"/>
      <c r="AM52" s="131"/>
      <c r="AN52" s="131"/>
      <c r="AO52" s="131"/>
      <c r="AP52" s="131"/>
      <c r="AQ52" s="243"/>
      <c r="AR52" s="131"/>
      <c r="AS52" s="131"/>
      <c r="AT52" s="131"/>
      <c r="AU52" s="131"/>
      <c r="AV52" s="131"/>
      <c r="AW52" s="131"/>
      <c r="AX52" s="131"/>
      <c r="AY52" s="131"/>
      <c r="AZ52" s="131"/>
      <c r="BA52" s="131"/>
      <c r="BB52" s="131"/>
      <c r="BC52" s="131"/>
      <c r="BD52" s="131"/>
      <c r="BE52" s="131"/>
      <c r="BF52" s="131"/>
      <c r="BG52" s="131"/>
      <c r="BH52" s="131"/>
      <c r="BI52" s="131"/>
      <c r="BJ52" s="131"/>
      <c r="BK52" s="131"/>
      <c r="BL52" s="131"/>
      <c r="BM52" s="131"/>
      <c r="BN52" s="131"/>
      <c r="BO52" s="136"/>
      <c r="BP52" s="131"/>
      <c r="BQ52" s="131"/>
      <c r="BR52" s="131"/>
      <c r="BS52" s="131"/>
      <c r="BT52" s="131"/>
      <c r="BU52" s="131"/>
      <c r="BV52" s="131"/>
      <c r="BW52" s="131"/>
      <c r="BX52" s="131"/>
      <c r="BY52" s="131"/>
      <c r="BZ52" s="131"/>
      <c r="CA52" s="131"/>
      <c r="CB52" s="131"/>
      <c r="CC52" s="131"/>
      <c r="CD52" s="131"/>
      <c r="CE52" s="131"/>
      <c r="CF52" s="136"/>
      <c r="CG52" s="136"/>
      <c r="CH52" s="131"/>
      <c r="CI52" s="131"/>
      <c r="CJ52" s="136"/>
      <c r="CK52" s="136"/>
      <c r="CL52" s="136"/>
      <c r="CM52" s="131"/>
      <c r="CN52" s="131"/>
      <c r="CO52" s="136"/>
      <c r="CP52" s="136"/>
      <c r="CQ52" s="131"/>
      <c r="CR52" s="131"/>
      <c r="CS52" s="131"/>
      <c r="CT52" s="131"/>
      <c r="CU52" s="131"/>
      <c r="CV52" s="131"/>
      <c r="CW52" s="131"/>
      <c r="CX52" s="131"/>
      <c r="CY52" s="136"/>
      <c r="CZ52" s="136"/>
      <c r="DA52" s="131"/>
      <c r="DB52" s="136"/>
      <c r="DC52" s="136"/>
      <c r="DD52" s="131"/>
      <c r="DE52" s="131"/>
      <c r="DF52" s="131"/>
      <c r="DG52" s="136"/>
      <c r="DH52" s="131"/>
      <c r="DI52" s="131"/>
      <c r="DJ52" s="136"/>
      <c r="DK52" s="136"/>
      <c r="DL52" s="136"/>
      <c r="DM52" s="136"/>
      <c r="DN52" s="136"/>
      <c r="DO52" s="136"/>
      <c r="DP52" s="136"/>
      <c r="DQ52" s="136"/>
      <c r="DR52" s="136"/>
      <c r="DS52" s="131"/>
      <c r="DT52" s="136"/>
      <c r="DU52" s="131"/>
      <c r="DV52" s="131"/>
      <c r="DW52" s="131"/>
      <c r="DX52" s="131"/>
      <c r="DY52" s="131"/>
      <c r="DZ52" s="136"/>
      <c r="EA52" s="131"/>
      <c r="EB52" s="131"/>
      <c r="EC52" s="131"/>
      <c r="ED52" s="131"/>
      <c r="EE52" s="137"/>
      <c r="EF52" s="227"/>
      <c r="EG52" s="227"/>
      <c r="EH52" s="228"/>
      <c r="EI52" s="228"/>
      <c r="EJ52" s="228"/>
      <c r="EK52" s="228"/>
    </row>
    <row r="53" spans="1:141">
      <c r="A53" s="132"/>
      <c r="B53" s="18"/>
      <c r="C53" s="18"/>
      <c r="D53" s="220"/>
      <c r="E53" s="130"/>
      <c r="F53" s="126"/>
      <c r="G53" s="18"/>
      <c r="H53" s="189"/>
      <c r="I53" s="18"/>
      <c r="J53" s="18"/>
      <c r="K53" s="189"/>
      <c r="L53" s="18"/>
      <c r="M53" s="129"/>
      <c r="N53" s="189"/>
      <c r="O53" s="132"/>
      <c r="P53" s="127"/>
      <c r="Q53" s="127"/>
      <c r="R53" s="128"/>
      <c r="S53" s="130"/>
      <c r="T53" s="135"/>
      <c r="U53" s="127"/>
      <c r="V53" s="217"/>
      <c r="W53" s="191"/>
      <c r="X53" s="133"/>
      <c r="Y53" s="131"/>
      <c r="Z53" s="131"/>
      <c r="AA53" s="242"/>
      <c r="AB53" s="131"/>
      <c r="AC53" s="131"/>
      <c r="AD53" s="131"/>
      <c r="AE53" s="131"/>
      <c r="AF53" s="131"/>
      <c r="AG53" s="131"/>
      <c r="AH53" s="131"/>
      <c r="AI53" s="131"/>
      <c r="AJ53" s="131"/>
      <c r="AK53" s="131"/>
      <c r="AL53" s="131"/>
      <c r="AM53" s="131"/>
      <c r="AN53" s="131"/>
      <c r="AO53" s="131"/>
      <c r="AP53" s="131"/>
      <c r="AQ53" s="243"/>
      <c r="AR53" s="131"/>
      <c r="AS53" s="131"/>
      <c r="AT53" s="131"/>
      <c r="AU53" s="131"/>
      <c r="AV53" s="131"/>
      <c r="AW53" s="131"/>
      <c r="AX53" s="131"/>
      <c r="AY53" s="131"/>
      <c r="AZ53" s="131"/>
      <c r="BA53" s="131"/>
      <c r="BB53" s="131"/>
      <c r="BC53" s="131"/>
      <c r="BD53" s="131"/>
      <c r="BE53" s="131"/>
      <c r="BF53" s="131"/>
      <c r="BG53" s="131"/>
      <c r="BH53" s="131"/>
      <c r="BI53" s="131"/>
      <c r="BJ53" s="131"/>
      <c r="BK53" s="131"/>
      <c r="BL53" s="131"/>
      <c r="BM53" s="131"/>
      <c r="BN53" s="131"/>
      <c r="BO53" s="136"/>
      <c r="BP53" s="131"/>
      <c r="BQ53" s="131"/>
      <c r="BR53" s="131"/>
      <c r="BS53" s="131"/>
      <c r="BT53" s="131"/>
      <c r="BU53" s="131"/>
      <c r="BV53" s="131"/>
      <c r="BW53" s="131"/>
      <c r="BX53" s="131"/>
      <c r="BY53" s="131"/>
      <c r="BZ53" s="131"/>
      <c r="CA53" s="131"/>
      <c r="CB53" s="131"/>
      <c r="CC53" s="131"/>
      <c r="CD53" s="131"/>
      <c r="CE53" s="131"/>
      <c r="CF53" s="136"/>
      <c r="CG53" s="136"/>
      <c r="CH53" s="131"/>
      <c r="CI53" s="131"/>
      <c r="CJ53" s="136"/>
      <c r="CK53" s="136"/>
      <c r="CL53" s="136"/>
      <c r="CM53" s="131"/>
      <c r="CN53" s="131"/>
      <c r="CO53" s="136"/>
      <c r="CP53" s="136"/>
      <c r="CQ53" s="131"/>
      <c r="CR53" s="131"/>
      <c r="CS53" s="131"/>
      <c r="CT53" s="131"/>
      <c r="CU53" s="131"/>
      <c r="CV53" s="131"/>
      <c r="CW53" s="131"/>
      <c r="CX53" s="131"/>
      <c r="CY53" s="136"/>
      <c r="CZ53" s="136"/>
      <c r="DA53" s="131"/>
      <c r="DB53" s="136"/>
      <c r="DC53" s="136"/>
      <c r="DD53" s="131"/>
      <c r="DE53" s="131"/>
      <c r="DF53" s="131"/>
      <c r="DG53" s="136"/>
      <c r="DH53" s="131"/>
      <c r="DI53" s="131"/>
      <c r="DJ53" s="136"/>
      <c r="DK53" s="136"/>
      <c r="DL53" s="136"/>
      <c r="DM53" s="136"/>
      <c r="DN53" s="136"/>
      <c r="DO53" s="136"/>
      <c r="DP53" s="136"/>
      <c r="DQ53" s="136"/>
      <c r="DR53" s="136"/>
      <c r="DS53" s="131"/>
      <c r="DT53" s="136"/>
      <c r="DU53" s="131"/>
      <c r="DV53" s="131"/>
      <c r="DW53" s="131"/>
      <c r="DX53" s="131"/>
      <c r="DY53" s="131"/>
      <c r="DZ53" s="136"/>
      <c r="EA53" s="131"/>
      <c r="EB53" s="131"/>
      <c r="EC53" s="131"/>
      <c r="ED53" s="131"/>
      <c r="EE53" s="137"/>
      <c r="EF53" s="227"/>
      <c r="EG53" s="227"/>
      <c r="EH53" s="228"/>
      <c r="EI53" s="228"/>
      <c r="EJ53" s="228"/>
      <c r="EK53" s="228"/>
    </row>
    <row r="54" spans="1:141">
      <c r="A54" s="132"/>
      <c r="B54" s="18"/>
      <c r="C54" s="18"/>
      <c r="D54" s="220"/>
      <c r="E54" s="130"/>
      <c r="F54" s="126"/>
      <c r="G54" s="18"/>
      <c r="H54" s="189"/>
      <c r="I54" s="18"/>
      <c r="J54" s="18"/>
      <c r="K54" s="189"/>
      <c r="L54" s="18"/>
      <c r="M54" s="129"/>
      <c r="N54" s="189"/>
      <c r="O54" s="132"/>
      <c r="P54" s="127"/>
      <c r="Q54" s="127"/>
      <c r="R54" s="128"/>
      <c r="S54" s="130"/>
      <c r="T54" s="135"/>
      <c r="U54" s="127"/>
      <c r="V54" s="217"/>
      <c r="W54" s="191"/>
      <c r="X54" s="133"/>
      <c r="Y54" s="131"/>
      <c r="Z54" s="131"/>
      <c r="AA54" s="242"/>
      <c r="AB54" s="131"/>
      <c r="AC54" s="131"/>
      <c r="AD54" s="131"/>
      <c r="AE54" s="131"/>
      <c r="AF54" s="131"/>
      <c r="AG54" s="131"/>
      <c r="AH54" s="131"/>
      <c r="AI54" s="131"/>
      <c r="AJ54" s="131"/>
      <c r="AK54" s="131"/>
      <c r="AL54" s="131"/>
      <c r="AM54" s="131"/>
      <c r="AN54" s="131"/>
      <c r="AO54" s="131"/>
      <c r="AP54" s="131"/>
      <c r="AQ54" s="243"/>
      <c r="AR54" s="131"/>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6"/>
      <c r="BP54" s="131"/>
      <c r="BQ54" s="131"/>
      <c r="BR54" s="131"/>
      <c r="BS54" s="131"/>
      <c r="BT54" s="131"/>
      <c r="BU54" s="131"/>
      <c r="BV54" s="131"/>
      <c r="BW54" s="131"/>
      <c r="BX54" s="131"/>
      <c r="BY54" s="131"/>
      <c r="BZ54" s="131"/>
      <c r="CA54" s="131"/>
      <c r="CB54" s="131"/>
      <c r="CC54" s="131"/>
      <c r="CD54" s="131"/>
      <c r="CE54" s="131"/>
      <c r="CF54" s="136"/>
      <c r="CG54" s="136"/>
      <c r="CH54" s="131"/>
      <c r="CI54" s="131"/>
      <c r="CJ54" s="136"/>
      <c r="CK54" s="136"/>
      <c r="CL54" s="136"/>
      <c r="CM54" s="131"/>
      <c r="CN54" s="131"/>
      <c r="CO54" s="136"/>
      <c r="CP54" s="136"/>
      <c r="CQ54" s="131"/>
      <c r="CR54" s="131"/>
      <c r="CS54" s="131"/>
      <c r="CT54" s="131"/>
      <c r="CU54" s="131"/>
      <c r="CV54" s="131"/>
      <c r="CW54" s="131"/>
      <c r="CX54" s="131"/>
      <c r="CY54" s="136"/>
      <c r="CZ54" s="136"/>
      <c r="DA54" s="131"/>
      <c r="DB54" s="136"/>
      <c r="DC54" s="136"/>
      <c r="DD54" s="131"/>
      <c r="DE54" s="131"/>
      <c r="DF54" s="131"/>
      <c r="DG54" s="136"/>
      <c r="DH54" s="131"/>
      <c r="DI54" s="131"/>
      <c r="DJ54" s="136"/>
      <c r="DK54" s="136"/>
      <c r="DL54" s="136"/>
      <c r="DM54" s="136"/>
      <c r="DN54" s="136"/>
      <c r="DO54" s="136"/>
      <c r="DP54" s="136"/>
      <c r="DQ54" s="136"/>
      <c r="DR54" s="136"/>
      <c r="DS54" s="131"/>
      <c r="DT54" s="136"/>
      <c r="DU54" s="131"/>
      <c r="DV54" s="131"/>
      <c r="DW54" s="131"/>
      <c r="DX54" s="131"/>
      <c r="DY54" s="131"/>
      <c r="DZ54" s="136"/>
      <c r="EA54" s="131"/>
      <c r="EB54" s="131"/>
      <c r="EC54" s="131"/>
      <c r="ED54" s="131"/>
      <c r="EE54" s="137"/>
      <c r="EF54" s="227"/>
      <c r="EG54" s="227"/>
      <c r="EH54" s="228"/>
      <c r="EI54" s="228"/>
      <c r="EJ54" s="228"/>
      <c r="EK54" s="228"/>
    </row>
    <row r="55" spans="1:141">
      <c r="A55" s="132"/>
      <c r="B55" s="18"/>
      <c r="C55" s="18"/>
      <c r="D55" s="220"/>
      <c r="E55" s="130"/>
      <c r="F55" s="126"/>
      <c r="G55" s="18"/>
      <c r="H55" s="189"/>
      <c r="I55" s="18"/>
      <c r="J55" s="18"/>
      <c r="K55" s="189"/>
      <c r="L55" s="18"/>
      <c r="M55" s="129"/>
      <c r="N55" s="189"/>
      <c r="O55" s="132"/>
      <c r="P55" s="127"/>
      <c r="Q55" s="127"/>
      <c r="R55" s="128"/>
      <c r="S55" s="130"/>
      <c r="T55" s="135"/>
      <c r="U55" s="127"/>
      <c r="V55" s="217"/>
      <c r="W55" s="191"/>
      <c r="X55" s="133"/>
      <c r="Y55" s="131"/>
      <c r="Z55" s="131"/>
      <c r="AA55" s="242"/>
      <c r="AB55" s="131"/>
      <c r="AC55" s="131"/>
      <c r="AD55" s="131"/>
      <c r="AE55" s="131"/>
      <c r="AF55" s="131"/>
      <c r="AG55" s="131"/>
      <c r="AH55" s="131"/>
      <c r="AI55" s="131"/>
      <c r="AJ55" s="131"/>
      <c r="AK55" s="131"/>
      <c r="AL55" s="131"/>
      <c r="AM55" s="131"/>
      <c r="AN55" s="131"/>
      <c r="AO55" s="131"/>
      <c r="AP55" s="131"/>
      <c r="AQ55" s="243"/>
      <c r="AR55" s="131"/>
      <c r="AS55" s="131"/>
      <c r="AT55" s="131"/>
      <c r="AU55" s="131"/>
      <c r="AV55" s="131"/>
      <c r="AW55" s="131"/>
      <c r="AX55" s="131"/>
      <c r="AY55" s="131"/>
      <c r="AZ55" s="131"/>
      <c r="BA55" s="131"/>
      <c r="BB55" s="131"/>
      <c r="BC55" s="131"/>
      <c r="BD55" s="131"/>
      <c r="BE55" s="131"/>
      <c r="BF55" s="131"/>
      <c r="BG55" s="131"/>
      <c r="BH55" s="131"/>
      <c r="BI55" s="131"/>
      <c r="BJ55" s="131"/>
      <c r="BK55" s="131"/>
      <c r="BL55" s="131"/>
      <c r="BM55" s="131"/>
      <c r="BN55" s="131"/>
      <c r="BO55" s="136"/>
      <c r="BP55" s="131"/>
      <c r="BQ55" s="131"/>
      <c r="BR55" s="131"/>
      <c r="BS55" s="131"/>
      <c r="BT55" s="131"/>
      <c r="BU55" s="131"/>
      <c r="BV55" s="131"/>
      <c r="BW55" s="131"/>
      <c r="BX55" s="131"/>
      <c r="BY55" s="131"/>
      <c r="BZ55" s="131"/>
      <c r="CA55" s="131"/>
      <c r="CB55" s="131"/>
      <c r="CC55" s="131"/>
      <c r="CD55" s="131"/>
      <c r="CE55" s="131"/>
      <c r="CF55" s="136"/>
      <c r="CG55" s="136"/>
      <c r="CH55" s="131"/>
      <c r="CI55" s="131"/>
      <c r="CJ55" s="136"/>
      <c r="CK55" s="136"/>
      <c r="CL55" s="136"/>
      <c r="CM55" s="131"/>
      <c r="CN55" s="131"/>
      <c r="CO55" s="136"/>
      <c r="CP55" s="136"/>
      <c r="CQ55" s="131"/>
      <c r="CR55" s="131"/>
      <c r="CS55" s="131"/>
      <c r="CT55" s="131"/>
      <c r="CU55" s="131"/>
      <c r="CV55" s="131"/>
      <c r="CW55" s="131"/>
      <c r="CX55" s="131"/>
      <c r="CY55" s="136"/>
      <c r="CZ55" s="136"/>
      <c r="DA55" s="131"/>
      <c r="DB55" s="136"/>
      <c r="DC55" s="136"/>
      <c r="DD55" s="131"/>
      <c r="DE55" s="131"/>
      <c r="DF55" s="131"/>
      <c r="DG55" s="136"/>
      <c r="DH55" s="131"/>
      <c r="DI55" s="131"/>
      <c r="DJ55" s="136"/>
      <c r="DK55" s="136"/>
      <c r="DL55" s="136"/>
      <c r="DM55" s="136"/>
      <c r="DN55" s="136"/>
      <c r="DO55" s="136"/>
      <c r="DP55" s="136"/>
      <c r="DQ55" s="136"/>
      <c r="DR55" s="136"/>
      <c r="DS55" s="131"/>
      <c r="DT55" s="136"/>
      <c r="DU55" s="131"/>
      <c r="DV55" s="131"/>
      <c r="DW55" s="131"/>
      <c r="DX55" s="131"/>
      <c r="DY55" s="131"/>
      <c r="DZ55" s="136"/>
      <c r="EA55" s="131"/>
      <c r="EB55" s="131"/>
      <c r="EC55" s="131"/>
      <c r="ED55" s="131"/>
      <c r="EE55" s="137"/>
      <c r="EF55" s="227"/>
      <c r="EG55" s="227"/>
      <c r="EH55" s="228"/>
      <c r="EI55" s="228"/>
      <c r="EJ55" s="228"/>
      <c r="EK55" s="228"/>
    </row>
    <row r="56" spans="1:141">
      <c r="A56" s="132"/>
      <c r="B56" s="18"/>
      <c r="C56" s="18"/>
      <c r="D56" s="220"/>
      <c r="E56" s="130"/>
      <c r="F56" s="126"/>
      <c r="G56" s="18"/>
      <c r="H56" s="189"/>
      <c r="I56" s="18"/>
      <c r="J56" s="18"/>
      <c r="K56" s="189"/>
      <c r="L56" s="18"/>
      <c r="M56" s="129"/>
      <c r="N56" s="189"/>
      <c r="O56" s="132"/>
      <c r="P56" s="127"/>
      <c r="Q56" s="127"/>
      <c r="R56" s="128"/>
      <c r="S56" s="130"/>
      <c r="T56" s="135"/>
      <c r="U56" s="127"/>
      <c r="V56" s="217"/>
      <c r="W56" s="191"/>
      <c r="X56" s="133"/>
      <c r="Y56" s="131"/>
      <c r="Z56" s="131"/>
      <c r="AA56" s="242"/>
      <c r="AB56" s="131"/>
      <c r="AC56" s="131"/>
      <c r="AD56" s="131"/>
      <c r="AE56" s="131"/>
      <c r="AF56" s="131"/>
      <c r="AG56" s="131"/>
      <c r="AH56" s="131"/>
      <c r="AI56" s="131"/>
      <c r="AJ56" s="131"/>
      <c r="AK56" s="131"/>
      <c r="AL56" s="131"/>
      <c r="AM56" s="131"/>
      <c r="AN56" s="131"/>
      <c r="AO56" s="131"/>
      <c r="AP56" s="131"/>
      <c r="AQ56" s="243"/>
      <c r="AR56" s="131"/>
      <c r="AS56" s="131"/>
      <c r="AT56" s="131"/>
      <c r="AU56" s="131"/>
      <c r="AV56" s="131"/>
      <c r="AW56" s="131"/>
      <c r="AX56" s="131"/>
      <c r="AY56" s="131"/>
      <c r="AZ56" s="131"/>
      <c r="BA56" s="131"/>
      <c r="BB56" s="131"/>
      <c r="BC56" s="131"/>
      <c r="BD56" s="131"/>
      <c r="BE56" s="131"/>
      <c r="BF56" s="131"/>
      <c r="BG56" s="131"/>
      <c r="BH56" s="131"/>
      <c r="BI56" s="131"/>
      <c r="BJ56" s="131"/>
      <c r="BK56" s="131"/>
      <c r="BL56" s="131"/>
      <c r="BM56" s="131"/>
      <c r="BN56" s="131"/>
      <c r="BO56" s="136"/>
      <c r="BP56" s="131"/>
      <c r="BQ56" s="131"/>
      <c r="BR56" s="131"/>
      <c r="BS56" s="131"/>
      <c r="BT56" s="131"/>
      <c r="BU56" s="131"/>
      <c r="BV56" s="131"/>
      <c r="BW56" s="131"/>
      <c r="BX56" s="131"/>
      <c r="BY56" s="131"/>
      <c r="BZ56" s="131"/>
      <c r="CA56" s="131"/>
      <c r="CB56" s="131"/>
      <c r="CC56" s="131"/>
      <c r="CD56" s="131"/>
      <c r="CE56" s="131"/>
      <c r="CF56" s="136"/>
      <c r="CG56" s="136"/>
      <c r="CH56" s="131"/>
      <c r="CI56" s="131"/>
      <c r="CJ56" s="136"/>
      <c r="CK56" s="136"/>
      <c r="CL56" s="136"/>
      <c r="CM56" s="131"/>
      <c r="CN56" s="131"/>
      <c r="CO56" s="136"/>
      <c r="CP56" s="136"/>
      <c r="CQ56" s="131"/>
      <c r="CR56" s="131"/>
      <c r="CS56" s="131"/>
      <c r="CT56" s="131"/>
      <c r="CU56" s="131"/>
      <c r="CV56" s="131"/>
      <c r="CW56" s="131"/>
      <c r="CX56" s="131"/>
      <c r="CY56" s="136"/>
      <c r="CZ56" s="136"/>
      <c r="DA56" s="131"/>
      <c r="DB56" s="136"/>
      <c r="DC56" s="136"/>
      <c r="DD56" s="131"/>
      <c r="DE56" s="131"/>
      <c r="DF56" s="131"/>
      <c r="DG56" s="136"/>
      <c r="DH56" s="131"/>
      <c r="DI56" s="131"/>
      <c r="DJ56" s="136"/>
      <c r="DK56" s="136"/>
      <c r="DL56" s="136"/>
      <c r="DM56" s="136"/>
      <c r="DN56" s="136"/>
      <c r="DO56" s="136"/>
      <c r="DP56" s="136"/>
      <c r="DQ56" s="136"/>
      <c r="DR56" s="136"/>
      <c r="DS56" s="131"/>
      <c r="DT56" s="136"/>
      <c r="DU56" s="131"/>
      <c r="DV56" s="131"/>
      <c r="DW56" s="131"/>
      <c r="DX56" s="131"/>
      <c r="DY56" s="131"/>
      <c r="DZ56" s="136"/>
      <c r="EA56" s="131"/>
      <c r="EB56" s="131"/>
      <c r="EC56" s="131"/>
      <c r="ED56" s="131"/>
      <c r="EE56" s="137"/>
      <c r="EF56" s="227"/>
      <c r="EG56" s="227"/>
      <c r="EH56" s="228"/>
      <c r="EI56" s="228"/>
      <c r="EJ56" s="228"/>
      <c r="EK56" s="228"/>
    </row>
    <row r="57" spans="1:141">
      <c r="A57" s="132"/>
      <c r="B57" s="18"/>
      <c r="C57" s="18"/>
      <c r="D57" s="220"/>
      <c r="E57" s="130"/>
      <c r="F57" s="126"/>
      <c r="G57" s="18"/>
      <c r="H57" s="189"/>
      <c r="I57" s="18"/>
      <c r="J57" s="18"/>
      <c r="K57" s="189"/>
      <c r="L57" s="18"/>
      <c r="M57" s="129"/>
      <c r="N57" s="189"/>
      <c r="O57" s="132"/>
      <c r="P57" s="127"/>
      <c r="Q57" s="127"/>
      <c r="R57" s="128"/>
      <c r="S57" s="130"/>
      <c r="T57" s="135"/>
      <c r="U57" s="127"/>
      <c r="V57" s="217"/>
      <c r="W57" s="191"/>
      <c r="X57" s="133"/>
      <c r="Y57" s="131"/>
      <c r="Z57" s="131"/>
      <c r="AA57" s="242"/>
      <c r="AB57" s="131"/>
      <c r="AC57" s="131"/>
      <c r="AD57" s="131"/>
      <c r="AE57" s="131"/>
      <c r="AF57" s="131"/>
      <c r="AG57" s="131"/>
      <c r="AH57" s="131"/>
      <c r="AI57" s="131"/>
      <c r="AJ57" s="131"/>
      <c r="AK57" s="131"/>
      <c r="AL57" s="131"/>
      <c r="AM57" s="131"/>
      <c r="AN57" s="131"/>
      <c r="AO57" s="131"/>
      <c r="AP57" s="131"/>
      <c r="AQ57" s="243"/>
      <c r="AR57" s="131"/>
      <c r="AS57" s="131"/>
      <c r="AT57" s="131"/>
      <c r="AU57" s="131"/>
      <c r="AV57" s="131"/>
      <c r="AW57" s="131"/>
      <c r="AX57" s="131"/>
      <c r="AY57" s="131"/>
      <c r="AZ57" s="131"/>
      <c r="BA57" s="131"/>
      <c r="BB57" s="131"/>
      <c r="BC57" s="131"/>
      <c r="BD57" s="131"/>
      <c r="BE57" s="131"/>
      <c r="BF57" s="131"/>
      <c r="BG57" s="131"/>
      <c r="BH57" s="131"/>
      <c r="BI57" s="131"/>
      <c r="BJ57" s="131"/>
      <c r="BK57" s="131"/>
      <c r="BL57" s="131"/>
      <c r="BM57" s="131"/>
      <c r="BN57" s="131"/>
      <c r="BO57" s="136"/>
      <c r="BP57" s="131"/>
      <c r="BQ57" s="131"/>
      <c r="BR57" s="131"/>
      <c r="BS57" s="131"/>
      <c r="BT57" s="131"/>
      <c r="BU57" s="131"/>
      <c r="BV57" s="131"/>
      <c r="BW57" s="131"/>
      <c r="BX57" s="131"/>
      <c r="BY57" s="131"/>
      <c r="BZ57" s="131"/>
      <c r="CA57" s="131"/>
      <c r="CB57" s="131"/>
      <c r="CC57" s="131"/>
      <c r="CD57" s="131"/>
      <c r="CE57" s="131"/>
      <c r="CF57" s="136"/>
      <c r="CG57" s="136"/>
      <c r="CH57" s="131"/>
      <c r="CI57" s="131"/>
      <c r="CJ57" s="136"/>
      <c r="CK57" s="136"/>
      <c r="CL57" s="136"/>
      <c r="CM57" s="131"/>
      <c r="CN57" s="131"/>
      <c r="CO57" s="136"/>
      <c r="CP57" s="136"/>
      <c r="CQ57" s="131"/>
      <c r="CR57" s="131"/>
      <c r="CS57" s="131"/>
      <c r="CT57" s="131"/>
      <c r="CU57" s="131"/>
      <c r="CV57" s="131"/>
      <c r="CW57" s="131"/>
      <c r="CX57" s="131"/>
      <c r="CY57" s="136"/>
      <c r="CZ57" s="136"/>
      <c r="DA57" s="131"/>
      <c r="DB57" s="136"/>
      <c r="DC57" s="136"/>
      <c r="DD57" s="131"/>
      <c r="DE57" s="131"/>
      <c r="DF57" s="131"/>
      <c r="DG57" s="136"/>
      <c r="DH57" s="131"/>
      <c r="DI57" s="131"/>
      <c r="DJ57" s="136"/>
      <c r="DK57" s="136"/>
      <c r="DL57" s="136"/>
      <c r="DM57" s="136"/>
      <c r="DN57" s="136"/>
      <c r="DO57" s="136"/>
      <c r="DP57" s="136"/>
      <c r="DQ57" s="136"/>
      <c r="DR57" s="136"/>
      <c r="DS57" s="131"/>
      <c r="DT57" s="136"/>
      <c r="DU57" s="131"/>
      <c r="DV57" s="131"/>
      <c r="DW57" s="131"/>
      <c r="DX57" s="131"/>
      <c r="DY57" s="131"/>
      <c r="DZ57" s="136"/>
      <c r="EA57" s="131"/>
      <c r="EB57" s="131"/>
      <c r="EC57" s="131"/>
      <c r="ED57" s="131"/>
      <c r="EE57" s="137"/>
      <c r="EF57" s="227"/>
      <c r="EG57" s="227"/>
      <c r="EH57" s="228"/>
      <c r="EI57" s="228"/>
      <c r="EJ57" s="228"/>
      <c r="EK57" s="228"/>
    </row>
    <row r="58" spans="1:141">
      <c r="A58" s="132"/>
      <c r="B58" s="18"/>
      <c r="C58" s="18"/>
      <c r="D58" s="220"/>
      <c r="E58" s="130"/>
      <c r="F58" s="126"/>
      <c r="G58" s="18"/>
      <c r="H58" s="189"/>
      <c r="I58" s="18"/>
      <c r="J58" s="18"/>
      <c r="K58" s="189"/>
      <c r="L58" s="18"/>
      <c r="M58" s="129"/>
      <c r="N58" s="189"/>
      <c r="O58" s="132"/>
      <c r="P58" s="127"/>
      <c r="Q58" s="127"/>
      <c r="R58" s="128"/>
      <c r="S58" s="130"/>
      <c r="T58" s="135"/>
      <c r="U58" s="127"/>
      <c r="V58" s="217"/>
      <c r="W58" s="191"/>
      <c r="X58" s="133"/>
      <c r="Y58" s="131"/>
      <c r="Z58" s="131"/>
      <c r="AA58" s="242"/>
      <c r="AB58" s="131"/>
      <c r="AC58" s="131"/>
      <c r="AD58" s="131"/>
      <c r="AE58" s="131"/>
      <c r="AF58" s="131"/>
      <c r="AG58" s="131"/>
      <c r="AH58" s="131"/>
      <c r="AI58" s="131"/>
      <c r="AJ58" s="131"/>
      <c r="AK58" s="131"/>
      <c r="AL58" s="131"/>
      <c r="AM58" s="131"/>
      <c r="AN58" s="131"/>
      <c r="AO58" s="131"/>
      <c r="AP58" s="131"/>
      <c r="AQ58" s="243"/>
      <c r="AR58" s="131"/>
      <c r="AS58" s="131"/>
      <c r="AT58" s="131"/>
      <c r="AU58" s="131"/>
      <c r="AV58" s="131"/>
      <c r="AW58" s="131"/>
      <c r="AX58" s="131"/>
      <c r="AY58" s="131"/>
      <c r="AZ58" s="131"/>
      <c r="BA58" s="131"/>
      <c r="BB58" s="131"/>
      <c r="BC58" s="131"/>
      <c r="BD58" s="131"/>
      <c r="BE58" s="131"/>
      <c r="BF58" s="131"/>
      <c r="BG58" s="131"/>
      <c r="BH58" s="131"/>
      <c r="BI58" s="131"/>
      <c r="BJ58" s="131"/>
      <c r="BK58" s="131"/>
      <c r="BL58" s="131"/>
      <c r="BM58" s="131"/>
      <c r="BN58" s="131"/>
      <c r="BO58" s="136"/>
      <c r="BP58" s="131"/>
      <c r="BQ58" s="131"/>
      <c r="BR58" s="131"/>
      <c r="BS58" s="131"/>
      <c r="BT58" s="131"/>
      <c r="BU58" s="131"/>
      <c r="BV58" s="131"/>
      <c r="BW58" s="131"/>
      <c r="BX58" s="131"/>
      <c r="BY58" s="131"/>
      <c r="BZ58" s="131"/>
      <c r="CA58" s="131"/>
      <c r="CB58" s="131"/>
      <c r="CC58" s="131"/>
      <c r="CD58" s="131"/>
      <c r="CE58" s="131"/>
      <c r="CF58" s="136"/>
      <c r="CG58" s="136"/>
      <c r="CH58" s="131"/>
      <c r="CI58" s="131"/>
      <c r="CJ58" s="136"/>
      <c r="CK58" s="136"/>
      <c r="CL58" s="136"/>
      <c r="CM58" s="131"/>
      <c r="CN58" s="131"/>
      <c r="CO58" s="136"/>
      <c r="CP58" s="136"/>
      <c r="CQ58" s="131"/>
      <c r="CR58" s="131"/>
      <c r="CS58" s="131"/>
      <c r="CT58" s="131"/>
      <c r="CU58" s="131"/>
      <c r="CV58" s="131"/>
      <c r="CW58" s="131"/>
      <c r="CX58" s="131"/>
      <c r="CY58" s="136"/>
      <c r="CZ58" s="136"/>
      <c r="DA58" s="131"/>
      <c r="DB58" s="136"/>
      <c r="DC58" s="136"/>
      <c r="DD58" s="131"/>
      <c r="DE58" s="131"/>
      <c r="DF58" s="131"/>
      <c r="DG58" s="136"/>
      <c r="DH58" s="131"/>
      <c r="DI58" s="131"/>
      <c r="DJ58" s="136"/>
      <c r="DK58" s="136"/>
      <c r="DL58" s="136"/>
      <c r="DM58" s="136"/>
      <c r="DN58" s="136"/>
      <c r="DO58" s="136"/>
      <c r="DP58" s="136"/>
      <c r="DQ58" s="136"/>
      <c r="DR58" s="136"/>
      <c r="DS58" s="131"/>
      <c r="DT58" s="136"/>
      <c r="DU58" s="131"/>
      <c r="DV58" s="131"/>
      <c r="DW58" s="131"/>
      <c r="DX58" s="131"/>
      <c r="DY58" s="131"/>
      <c r="DZ58" s="136"/>
      <c r="EA58" s="131"/>
      <c r="EB58" s="131"/>
      <c r="EC58" s="131"/>
      <c r="ED58" s="131"/>
      <c r="EE58" s="137"/>
      <c r="EF58" s="227"/>
      <c r="EG58" s="227"/>
      <c r="EH58" s="228"/>
      <c r="EI58" s="228"/>
      <c r="EJ58" s="228"/>
      <c r="EK58" s="228"/>
    </row>
    <row r="59" spans="1:141">
      <c r="A59" s="132"/>
      <c r="B59" s="18"/>
      <c r="C59" s="18"/>
      <c r="D59" s="220"/>
      <c r="E59" s="130"/>
      <c r="F59" s="126"/>
      <c r="G59" s="18"/>
      <c r="H59" s="189"/>
      <c r="I59" s="18"/>
      <c r="J59" s="18"/>
      <c r="K59" s="189"/>
      <c r="L59" s="18"/>
      <c r="M59" s="129"/>
      <c r="N59" s="189"/>
      <c r="O59" s="132"/>
      <c r="P59" s="127"/>
      <c r="Q59" s="127"/>
      <c r="R59" s="128"/>
      <c r="S59" s="130"/>
      <c r="T59" s="135"/>
      <c r="U59" s="127"/>
      <c r="V59" s="217"/>
      <c r="W59" s="191"/>
      <c r="X59" s="133"/>
      <c r="Y59" s="131"/>
      <c r="Z59" s="131"/>
      <c r="AA59" s="242"/>
      <c r="AB59" s="131"/>
      <c r="AC59" s="131"/>
      <c r="AD59" s="131"/>
      <c r="AE59" s="131"/>
      <c r="AF59" s="131"/>
      <c r="AG59" s="131"/>
      <c r="AH59" s="131"/>
      <c r="AI59" s="131"/>
      <c r="AJ59" s="131"/>
      <c r="AK59" s="131"/>
      <c r="AL59" s="131"/>
      <c r="AM59" s="131"/>
      <c r="AN59" s="131"/>
      <c r="AO59" s="131"/>
      <c r="AP59" s="131"/>
      <c r="AQ59" s="243"/>
      <c r="AR59" s="131"/>
      <c r="AS59" s="131"/>
      <c r="AT59" s="131"/>
      <c r="AU59" s="131"/>
      <c r="AV59" s="131"/>
      <c r="AW59" s="131"/>
      <c r="AX59" s="131"/>
      <c r="AY59" s="131"/>
      <c r="AZ59" s="131"/>
      <c r="BA59" s="131"/>
      <c r="BB59" s="131"/>
      <c r="BC59" s="131"/>
      <c r="BD59" s="131"/>
      <c r="BE59" s="131"/>
      <c r="BF59" s="131"/>
      <c r="BG59" s="131"/>
      <c r="BH59" s="131"/>
      <c r="BI59" s="131"/>
      <c r="BJ59" s="131"/>
      <c r="BK59" s="131"/>
      <c r="BL59" s="131"/>
      <c r="BM59" s="131"/>
      <c r="BN59" s="131"/>
      <c r="BO59" s="136"/>
      <c r="BP59" s="131"/>
      <c r="BQ59" s="131"/>
      <c r="BR59" s="131"/>
      <c r="BS59" s="131"/>
      <c r="BT59" s="131"/>
      <c r="BU59" s="131"/>
      <c r="BV59" s="131"/>
      <c r="BW59" s="131"/>
      <c r="BX59" s="131"/>
      <c r="BY59" s="131"/>
      <c r="BZ59" s="131"/>
      <c r="CA59" s="131"/>
      <c r="CB59" s="131"/>
      <c r="CC59" s="131"/>
      <c r="CD59" s="131"/>
      <c r="CE59" s="131"/>
      <c r="CF59" s="136"/>
      <c r="CG59" s="136"/>
      <c r="CH59" s="131"/>
      <c r="CI59" s="131"/>
      <c r="CJ59" s="136"/>
      <c r="CK59" s="136"/>
      <c r="CL59" s="136"/>
      <c r="CM59" s="131"/>
      <c r="CN59" s="131"/>
      <c r="CO59" s="136"/>
      <c r="CP59" s="136"/>
      <c r="CQ59" s="131"/>
      <c r="CR59" s="131"/>
      <c r="CS59" s="131"/>
      <c r="CT59" s="131"/>
      <c r="CU59" s="131"/>
      <c r="CV59" s="131"/>
      <c r="CW59" s="131"/>
      <c r="CX59" s="131"/>
      <c r="CY59" s="136"/>
      <c r="CZ59" s="136"/>
      <c r="DA59" s="131"/>
      <c r="DB59" s="136"/>
      <c r="DC59" s="136"/>
      <c r="DD59" s="131"/>
      <c r="DE59" s="131"/>
      <c r="DF59" s="131"/>
      <c r="DG59" s="136"/>
      <c r="DH59" s="131"/>
      <c r="DI59" s="131"/>
      <c r="DJ59" s="136"/>
      <c r="DK59" s="136"/>
      <c r="DL59" s="136"/>
      <c r="DM59" s="136"/>
      <c r="DN59" s="136"/>
      <c r="DO59" s="136"/>
      <c r="DP59" s="136"/>
      <c r="DQ59" s="136"/>
      <c r="DR59" s="136"/>
      <c r="DS59" s="131"/>
      <c r="DT59" s="136"/>
      <c r="DU59" s="131"/>
      <c r="DV59" s="131"/>
      <c r="DW59" s="131"/>
      <c r="DX59" s="131"/>
      <c r="DY59" s="131"/>
      <c r="DZ59" s="136"/>
      <c r="EA59" s="131"/>
      <c r="EB59" s="131"/>
      <c r="EC59" s="131"/>
      <c r="ED59" s="131"/>
      <c r="EE59" s="137"/>
      <c r="EF59" s="227"/>
      <c r="EG59" s="227"/>
      <c r="EH59" s="228"/>
      <c r="EI59" s="228"/>
      <c r="EJ59" s="228"/>
      <c r="EK59" s="228"/>
    </row>
    <row r="60" spans="1:141">
      <c r="A60" s="132"/>
      <c r="B60" s="18"/>
      <c r="C60" s="18"/>
      <c r="D60" s="220"/>
      <c r="E60" s="130"/>
      <c r="F60" s="126"/>
      <c r="G60" s="18"/>
      <c r="H60" s="189"/>
      <c r="I60" s="18"/>
      <c r="J60" s="18"/>
      <c r="K60" s="189"/>
      <c r="L60" s="18"/>
      <c r="M60" s="129"/>
      <c r="N60" s="189"/>
      <c r="O60" s="132"/>
      <c r="P60" s="127"/>
      <c r="Q60" s="127"/>
      <c r="R60" s="128"/>
      <c r="S60" s="130"/>
      <c r="T60" s="135"/>
      <c r="U60" s="127"/>
      <c r="V60" s="217"/>
      <c r="W60" s="191"/>
      <c r="X60" s="133"/>
      <c r="Y60" s="131"/>
      <c r="Z60" s="131"/>
      <c r="AA60" s="242"/>
      <c r="AB60" s="131"/>
      <c r="AC60" s="131"/>
      <c r="AD60" s="131"/>
      <c r="AE60" s="131"/>
      <c r="AF60" s="131"/>
      <c r="AG60" s="131"/>
      <c r="AH60" s="131"/>
      <c r="AI60" s="131"/>
      <c r="AJ60" s="131"/>
      <c r="AK60" s="131"/>
      <c r="AL60" s="131"/>
      <c r="AM60" s="131"/>
      <c r="AN60" s="131"/>
      <c r="AO60" s="131"/>
      <c r="AP60" s="131"/>
      <c r="AQ60" s="243"/>
      <c r="AR60" s="131"/>
      <c r="AS60" s="131"/>
      <c r="AT60" s="131"/>
      <c r="AU60" s="131"/>
      <c r="AV60" s="131"/>
      <c r="AW60" s="131"/>
      <c r="AX60" s="131"/>
      <c r="AY60" s="131"/>
      <c r="AZ60" s="131"/>
      <c r="BA60" s="131"/>
      <c r="BB60" s="131"/>
      <c r="BC60" s="131"/>
      <c r="BD60" s="131"/>
      <c r="BE60" s="131"/>
      <c r="BF60" s="131"/>
      <c r="BG60" s="131"/>
      <c r="BH60" s="131"/>
      <c r="BI60" s="131"/>
      <c r="BJ60" s="131"/>
      <c r="BK60" s="131"/>
      <c r="BL60" s="131"/>
      <c r="BM60" s="131"/>
      <c r="BN60" s="131"/>
      <c r="BO60" s="136"/>
      <c r="BP60" s="131"/>
      <c r="BQ60" s="131"/>
      <c r="BR60" s="131"/>
      <c r="BS60" s="131"/>
      <c r="BT60" s="131"/>
      <c r="BU60" s="131"/>
      <c r="BV60" s="131"/>
      <c r="BW60" s="131"/>
      <c r="BX60" s="131"/>
      <c r="BY60" s="131"/>
      <c r="BZ60" s="131"/>
      <c r="CA60" s="131"/>
      <c r="CB60" s="131"/>
      <c r="CC60" s="131"/>
      <c r="CD60" s="131"/>
      <c r="CE60" s="131"/>
      <c r="CF60" s="136"/>
      <c r="CG60" s="136"/>
      <c r="CH60" s="131"/>
      <c r="CI60" s="131"/>
      <c r="CJ60" s="136"/>
      <c r="CK60" s="136"/>
      <c r="CL60" s="136"/>
      <c r="CM60" s="131"/>
      <c r="CN60" s="131"/>
      <c r="CO60" s="136"/>
      <c r="CP60" s="136"/>
      <c r="CQ60" s="131"/>
      <c r="CR60" s="131"/>
      <c r="CS60" s="131"/>
      <c r="CT60" s="131"/>
      <c r="CU60" s="131"/>
      <c r="CV60" s="131"/>
      <c r="CW60" s="131"/>
      <c r="CX60" s="131"/>
      <c r="CY60" s="136"/>
      <c r="CZ60" s="136"/>
      <c r="DA60" s="131"/>
      <c r="DB60" s="136"/>
      <c r="DC60" s="136"/>
      <c r="DD60" s="131"/>
      <c r="DE60" s="131"/>
      <c r="DF60" s="131"/>
      <c r="DG60" s="136"/>
      <c r="DH60" s="131"/>
      <c r="DI60" s="131"/>
      <c r="DJ60" s="136"/>
      <c r="DK60" s="136"/>
      <c r="DL60" s="136"/>
      <c r="DM60" s="136"/>
      <c r="DN60" s="136"/>
      <c r="DO60" s="136"/>
      <c r="DP60" s="136"/>
      <c r="DQ60" s="136"/>
      <c r="DR60" s="136"/>
      <c r="DS60" s="131"/>
      <c r="DT60" s="136"/>
      <c r="DU60" s="131"/>
      <c r="DV60" s="131"/>
      <c r="DW60" s="131"/>
      <c r="DX60" s="131"/>
      <c r="DY60" s="131"/>
      <c r="DZ60" s="136"/>
      <c r="EA60" s="131"/>
      <c r="EB60" s="131"/>
      <c r="EC60" s="131"/>
      <c r="ED60" s="131"/>
      <c r="EE60" s="137"/>
      <c r="EF60" s="227"/>
      <c r="EG60" s="227"/>
      <c r="EH60" s="228"/>
      <c r="EI60" s="228"/>
      <c r="EJ60" s="228"/>
      <c r="EK60" s="228"/>
    </row>
    <row r="61" spans="1:141">
      <c r="A61" s="132"/>
      <c r="B61" s="18"/>
      <c r="C61" s="18"/>
      <c r="D61" s="220"/>
      <c r="E61" s="130"/>
      <c r="F61" s="126"/>
      <c r="G61" s="18"/>
      <c r="H61" s="189"/>
      <c r="I61" s="18"/>
      <c r="J61" s="18"/>
      <c r="K61" s="189"/>
      <c r="L61" s="18"/>
      <c r="M61" s="129"/>
      <c r="N61" s="189"/>
      <c r="O61" s="132"/>
      <c r="P61" s="127"/>
      <c r="Q61" s="127"/>
      <c r="R61" s="128"/>
      <c r="S61" s="130"/>
      <c r="T61" s="135"/>
      <c r="U61" s="127"/>
      <c r="V61" s="217"/>
      <c r="W61" s="191"/>
      <c r="X61" s="133"/>
      <c r="Y61" s="131"/>
      <c r="Z61" s="131"/>
      <c r="AA61" s="242"/>
      <c r="AB61" s="131"/>
      <c r="AC61" s="131"/>
      <c r="AD61" s="131"/>
      <c r="AE61" s="131"/>
      <c r="AF61" s="131"/>
      <c r="AG61" s="131"/>
      <c r="AH61" s="131"/>
      <c r="AI61" s="131"/>
      <c r="AJ61" s="131"/>
      <c r="AK61" s="131"/>
      <c r="AL61" s="131"/>
      <c r="AM61" s="131"/>
      <c r="AN61" s="131"/>
      <c r="AO61" s="131"/>
      <c r="AP61" s="131"/>
      <c r="AQ61" s="243"/>
      <c r="AR61" s="131"/>
      <c r="AS61" s="131"/>
      <c r="AT61" s="131"/>
      <c r="AU61" s="131"/>
      <c r="AV61" s="131"/>
      <c r="AW61" s="131"/>
      <c r="AX61" s="131"/>
      <c r="AY61" s="131"/>
      <c r="AZ61" s="131"/>
      <c r="BA61" s="131"/>
      <c r="BB61" s="131"/>
      <c r="BC61" s="131"/>
      <c r="BD61" s="131"/>
      <c r="BE61" s="131"/>
      <c r="BF61" s="131"/>
      <c r="BG61" s="131"/>
      <c r="BH61" s="131"/>
      <c r="BI61" s="131"/>
      <c r="BJ61" s="131"/>
      <c r="BK61" s="131"/>
      <c r="BL61" s="131"/>
      <c r="BM61" s="131"/>
      <c r="BN61" s="131"/>
      <c r="BO61" s="136"/>
      <c r="BP61" s="131"/>
      <c r="BQ61" s="131"/>
      <c r="BR61" s="131"/>
      <c r="BS61" s="131"/>
      <c r="BT61" s="131"/>
      <c r="BU61" s="131"/>
      <c r="BV61" s="131"/>
      <c r="BW61" s="131"/>
      <c r="BX61" s="131"/>
      <c r="BY61" s="131"/>
      <c r="BZ61" s="131"/>
      <c r="CA61" s="131"/>
      <c r="CB61" s="131"/>
      <c r="CC61" s="131"/>
      <c r="CD61" s="131"/>
      <c r="CE61" s="131"/>
      <c r="CF61" s="136"/>
      <c r="CG61" s="136"/>
      <c r="CH61" s="131"/>
      <c r="CI61" s="131"/>
      <c r="CJ61" s="136"/>
      <c r="CK61" s="136"/>
      <c r="CL61" s="136"/>
      <c r="CM61" s="131"/>
      <c r="CN61" s="131"/>
      <c r="CO61" s="136"/>
      <c r="CP61" s="136"/>
      <c r="CQ61" s="131"/>
      <c r="CR61" s="131"/>
      <c r="CS61" s="131"/>
      <c r="CT61" s="131"/>
      <c r="CU61" s="131"/>
      <c r="CV61" s="131"/>
      <c r="CW61" s="131"/>
      <c r="CX61" s="131"/>
      <c r="CY61" s="136"/>
      <c r="CZ61" s="136"/>
      <c r="DA61" s="131"/>
      <c r="DB61" s="136"/>
      <c r="DC61" s="136"/>
      <c r="DD61" s="131"/>
      <c r="DE61" s="131"/>
      <c r="DF61" s="131"/>
      <c r="DG61" s="136"/>
      <c r="DH61" s="131"/>
      <c r="DI61" s="131"/>
      <c r="DJ61" s="136"/>
      <c r="DK61" s="136"/>
      <c r="DL61" s="136"/>
      <c r="DM61" s="136"/>
      <c r="DN61" s="136"/>
      <c r="DO61" s="136"/>
      <c r="DP61" s="136"/>
      <c r="DQ61" s="136"/>
      <c r="DR61" s="136"/>
      <c r="DS61" s="131"/>
      <c r="DT61" s="136"/>
      <c r="DU61" s="131"/>
      <c r="DV61" s="131"/>
      <c r="DW61" s="131"/>
      <c r="DX61" s="131"/>
      <c r="DY61" s="131"/>
      <c r="DZ61" s="136"/>
      <c r="EA61" s="131"/>
      <c r="EB61" s="131"/>
      <c r="EC61" s="131"/>
      <c r="ED61" s="131"/>
      <c r="EE61" s="137"/>
      <c r="EF61" s="227"/>
      <c r="EG61" s="227"/>
      <c r="EH61" s="228"/>
      <c r="EI61" s="228"/>
      <c r="EJ61" s="228"/>
      <c r="EK61" s="228"/>
    </row>
    <row r="62" spans="1:141">
      <c r="A62" s="132"/>
      <c r="B62" s="18"/>
      <c r="C62" s="18"/>
      <c r="D62" s="220"/>
      <c r="E62" s="130"/>
      <c r="F62" s="126"/>
      <c r="G62" s="18"/>
      <c r="H62" s="189"/>
      <c r="I62" s="18"/>
      <c r="J62" s="18"/>
      <c r="K62" s="189"/>
      <c r="L62" s="18"/>
      <c r="M62" s="129"/>
      <c r="N62" s="189"/>
      <c r="O62" s="132"/>
      <c r="P62" s="127"/>
      <c r="Q62" s="127"/>
      <c r="R62" s="128"/>
      <c r="S62" s="130"/>
      <c r="T62" s="135"/>
      <c r="U62" s="127"/>
      <c r="V62" s="217"/>
      <c r="W62" s="191"/>
      <c r="X62" s="133"/>
      <c r="Y62" s="131"/>
      <c r="Z62" s="131"/>
      <c r="AA62" s="242"/>
      <c r="AB62" s="131"/>
      <c r="AC62" s="131"/>
      <c r="AD62" s="131"/>
      <c r="AE62" s="131"/>
      <c r="AF62" s="131"/>
      <c r="AG62" s="131"/>
      <c r="AH62" s="131"/>
      <c r="AI62" s="131"/>
      <c r="AJ62" s="131"/>
      <c r="AK62" s="131"/>
      <c r="AL62" s="131"/>
      <c r="AM62" s="131"/>
      <c r="AN62" s="131"/>
      <c r="AO62" s="131"/>
      <c r="AP62" s="131"/>
      <c r="AQ62" s="243"/>
      <c r="AR62" s="131"/>
      <c r="AS62" s="131"/>
      <c r="AT62" s="131"/>
      <c r="AU62" s="131"/>
      <c r="AV62" s="131"/>
      <c r="AW62" s="131"/>
      <c r="AX62" s="131"/>
      <c r="AY62" s="131"/>
      <c r="AZ62" s="131"/>
      <c r="BA62" s="131"/>
      <c r="BB62" s="131"/>
      <c r="BC62" s="131"/>
      <c r="BD62" s="131"/>
      <c r="BE62" s="131"/>
      <c r="BF62" s="131"/>
      <c r="BG62" s="131"/>
      <c r="BH62" s="131"/>
      <c r="BI62" s="131"/>
      <c r="BJ62" s="131"/>
      <c r="BK62" s="131"/>
      <c r="BL62" s="131"/>
      <c r="BM62" s="131"/>
      <c r="BN62" s="131"/>
      <c r="BO62" s="136"/>
      <c r="BP62" s="131"/>
      <c r="BQ62" s="131"/>
      <c r="BR62" s="131"/>
      <c r="BS62" s="131"/>
      <c r="BT62" s="131"/>
      <c r="BU62" s="131"/>
      <c r="BV62" s="131"/>
      <c r="BW62" s="131"/>
      <c r="BX62" s="131"/>
      <c r="BY62" s="131"/>
      <c r="BZ62" s="131"/>
      <c r="CA62" s="131"/>
      <c r="CB62" s="131"/>
      <c r="CC62" s="131"/>
      <c r="CD62" s="131"/>
      <c r="CE62" s="131"/>
      <c r="CF62" s="136"/>
      <c r="CG62" s="136"/>
      <c r="CH62" s="131"/>
      <c r="CI62" s="131"/>
      <c r="CJ62" s="136"/>
      <c r="CK62" s="136"/>
      <c r="CL62" s="136"/>
      <c r="CM62" s="131"/>
      <c r="CN62" s="131"/>
      <c r="CO62" s="136"/>
      <c r="CP62" s="136"/>
      <c r="CQ62" s="131"/>
      <c r="CR62" s="131"/>
      <c r="CS62" s="131"/>
      <c r="CT62" s="131"/>
      <c r="CU62" s="131"/>
      <c r="CV62" s="131"/>
      <c r="CW62" s="131"/>
      <c r="CX62" s="131"/>
      <c r="CY62" s="136"/>
      <c r="CZ62" s="136"/>
      <c r="DA62" s="131"/>
      <c r="DB62" s="136"/>
      <c r="DC62" s="136"/>
      <c r="DD62" s="131"/>
      <c r="DE62" s="131"/>
      <c r="DF62" s="131"/>
      <c r="DG62" s="136"/>
      <c r="DH62" s="131"/>
      <c r="DI62" s="131"/>
      <c r="DJ62" s="136"/>
      <c r="DK62" s="136"/>
      <c r="DL62" s="136"/>
      <c r="DM62" s="136"/>
      <c r="DN62" s="136"/>
      <c r="DO62" s="136"/>
      <c r="DP62" s="136"/>
      <c r="DQ62" s="136"/>
      <c r="DR62" s="136"/>
      <c r="DS62" s="131"/>
      <c r="DT62" s="136"/>
      <c r="DU62" s="131"/>
      <c r="DV62" s="131"/>
      <c r="DW62" s="131"/>
      <c r="DX62" s="131"/>
      <c r="DY62" s="131"/>
      <c r="DZ62" s="136"/>
      <c r="EA62" s="131"/>
      <c r="EB62" s="131"/>
      <c r="EC62" s="131"/>
      <c r="ED62" s="131"/>
      <c r="EE62" s="137"/>
      <c r="EF62" s="227"/>
      <c r="EG62" s="227"/>
      <c r="EH62" s="228"/>
      <c r="EI62" s="228"/>
      <c r="EJ62" s="228"/>
      <c r="EK62" s="228"/>
    </row>
    <row r="63" spans="1:141">
      <c r="A63" s="132"/>
      <c r="B63" s="18"/>
      <c r="C63" s="18"/>
      <c r="D63" s="220"/>
      <c r="E63" s="130"/>
      <c r="F63" s="126"/>
      <c r="G63" s="18"/>
      <c r="H63" s="189"/>
      <c r="I63" s="18"/>
      <c r="J63" s="18"/>
      <c r="K63" s="189"/>
      <c r="L63" s="18"/>
      <c r="M63" s="129"/>
      <c r="N63" s="189"/>
      <c r="O63" s="132"/>
      <c r="P63" s="127"/>
      <c r="Q63" s="127"/>
      <c r="R63" s="128"/>
      <c r="S63" s="130"/>
      <c r="T63" s="135"/>
      <c r="U63" s="127"/>
      <c r="V63" s="217"/>
      <c r="W63" s="191"/>
      <c r="X63" s="133"/>
      <c r="Y63" s="131"/>
      <c r="Z63" s="131"/>
      <c r="AA63" s="242"/>
      <c r="AB63" s="131"/>
      <c r="AC63" s="131"/>
      <c r="AD63" s="131"/>
      <c r="AE63" s="131"/>
      <c r="AF63" s="131"/>
      <c r="AG63" s="131"/>
      <c r="AH63" s="131"/>
      <c r="AI63" s="131"/>
      <c r="AJ63" s="131"/>
      <c r="AK63" s="131"/>
      <c r="AL63" s="131"/>
      <c r="AM63" s="131"/>
      <c r="AN63" s="131"/>
      <c r="AO63" s="131"/>
      <c r="AP63" s="131"/>
      <c r="AQ63" s="243"/>
      <c r="AR63" s="131"/>
      <c r="AS63" s="131"/>
      <c r="AT63" s="131"/>
      <c r="AU63" s="131"/>
      <c r="AV63" s="131"/>
      <c r="AW63" s="131"/>
      <c r="AX63" s="131"/>
      <c r="AY63" s="131"/>
      <c r="AZ63" s="131"/>
      <c r="BA63" s="131"/>
      <c r="BB63" s="131"/>
      <c r="BC63" s="131"/>
      <c r="BD63" s="131"/>
      <c r="BE63" s="131"/>
      <c r="BF63" s="131"/>
      <c r="BG63" s="131"/>
      <c r="BH63" s="131"/>
      <c r="BI63" s="131"/>
      <c r="BJ63" s="131"/>
      <c r="BK63" s="131"/>
      <c r="BL63" s="131"/>
      <c r="BM63" s="131"/>
      <c r="BN63" s="131"/>
      <c r="BO63" s="136"/>
      <c r="BP63" s="131"/>
      <c r="BQ63" s="131"/>
      <c r="BR63" s="131"/>
      <c r="BS63" s="131"/>
      <c r="BT63" s="131"/>
      <c r="BU63" s="131"/>
      <c r="BV63" s="131"/>
      <c r="BW63" s="131"/>
      <c r="BX63" s="131"/>
      <c r="BY63" s="131"/>
      <c r="BZ63" s="131"/>
      <c r="CA63" s="131"/>
      <c r="CB63" s="131"/>
      <c r="CC63" s="131"/>
      <c r="CD63" s="131"/>
      <c r="CE63" s="131"/>
      <c r="CF63" s="136"/>
      <c r="CG63" s="136"/>
      <c r="CH63" s="131"/>
      <c r="CI63" s="131"/>
      <c r="CJ63" s="136"/>
      <c r="CK63" s="136"/>
      <c r="CL63" s="136"/>
      <c r="CM63" s="131"/>
      <c r="CN63" s="131"/>
      <c r="CO63" s="136"/>
      <c r="CP63" s="136"/>
      <c r="CQ63" s="131"/>
      <c r="CR63" s="131"/>
      <c r="CS63" s="131"/>
      <c r="CT63" s="131"/>
      <c r="CU63" s="131"/>
      <c r="CV63" s="131"/>
      <c r="CW63" s="131"/>
      <c r="CX63" s="131"/>
      <c r="CY63" s="136"/>
      <c r="CZ63" s="136"/>
      <c r="DA63" s="131"/>
      <c r="DB63" s="136"/>
      <c r="DC63" s="136"/>
      <c r="DD63" s="131"/>
      <c r="DE63" s="131"/>
      <c r="DF63" s="131"/>
      <c r="DG63" s="136"/>
      <c r="DH63" s="131"/>
      <c r="DI63" s="131"/>
      <c r="DJ63" s="136"/>
      <c r="DK63" s="136"/>
      <c r="DL63" s="136"/>
      <c r="DM63" s="136"/>
      <c r="DN63" s="136"/>
      <c r="DO63" s="136"/>
      <c r="DP63" s="136"/>
      <c r="DQ63" s="136"/>
      <c r="DR63" s="136"/>
      <c r="DS63" s="131"/>
      <c r="DT63" s="136"/>
      <c r="DU63" s="131"/>
      <c r="DV63" s="131"/>
      <c r="DW63" s="131"/>
      <c r="DX63" s="131"/>
      <c r="DY63" s="131"/>
      <c r="DZ63" s="136"/>
      <c r="EA63" s="131"/>
      <c r="EB63" s="131"/>
      <c r="EC63" s="131"/>
      <c r="ED63" s="131"/>
      <c r="EE63" s="137"/>
      <c r="EF63" s="227"/>
      <c r="EG63" s="227"/>
      <c r="EH63" s="228"/>
      <c r="EI63" s="228"/>
      <c r="EJ63" s="228"/>
      <c r="EK63" s="228"/>
    </row>
    <row r="64" spans="1:141">
      <c r="A64" s="132"/>
      <c r="B64" s="18"/>
      <c r="C64" s="18"/>
      <c r="D64" s="220"/>
      <c r="E64" s="130"/>
      <c r="F64" s="126"/>
      <c r="G64" s="18"/>
      <c r="H64" s="189"/>
      <c r="I64" s="18"/>
      <c r="J64" s="18"/>
      <c r="K64" s="189"/>
      <c r="L64" s="18"/>
      <c r="M64" s="129"/>
      <c r="N64" s="189"/>
      <c r="O64" s="132"/>
      <c r="P64" s="127"/>
      <c r="Q64" s="127"/>
      <c r="R64" s="128"/>
      <c r="S64" s="130"/>
      <c r="T64" s="135"/>
      <c r="U64" s="127"/>
      <c r="V64" s="217"/>
      <c r="W64" s="191"/>
      <c r="X64" s="133"/>
      <c r="Y64" s="131"/>
      <c r="Z64" s="131"/>
      <c r="AA64" s="242"/>
      <c r="AB64" s="131"/>
      <c r="AC64" s="131"/>
      <c r="AD64" s="131"/>
      <c r="AE64" s="131"/>
      <c r="AF64" s="131"/>
      <c r="AG64" s="131"/>
      <c r="AH64" s="131"/>
      <c r="AI64" s="131"/>
      <c r="AJ64" s="131"/>
      <c r="AK64" s="131"/>
      <c r="AL64" s="131"/>
      <c r="AM64" s="131"/>
      <c r="AN64" s="131"/>
      <c r="AO64" s="131"/>
      <c r="AP64" s="131"/>
      <c r="AQ64" s="243"/>
      <c r="AR64" s="131"/>
      <c r="AS64" s="131"/>
      <c r="AT64" s="131"/>
      <c r="AU64" s="131"/>
      <c r="AV64" s="131"/>
      <c r="AW64" s="131"/>
      <c r="AX64" s="131"/>
      <c r="AY64" s="131"/>
      <c r="AZ64" s="131"/>
      <c r="BA64" s="131"/>
      <c r="BB64" s="131"/>
      <c r="BC64" s="131"/>
      <c r="BD64" s="131"/>
      <c r="BE64" s="131"/>
      <c r="BF64" s="131"/>
      <c r="BG64" s="131"/>
      <c r="BH64" s="131"/>
      <c r="BI64" s="131"/>
      <c r="BJ64" s="131"/>
      <c r="BK64" s="131"/>
      <c r="BL64" s="131"/>
      <c r="BM64" s="131"/>
      <c r="BN64" s="131"/>
      <c r="BO64" s="136"/>
      <c r="BP64" s="131"/>
      <c r="BQ64" s="131"/>
      <c r="BR64" s="131"/>
      <c r="BS64" s="131"/>
      <c r="BT64" s="131"/>
      <c r="BU64" s="131"/>
      <c r="BV64" s="131"/>
      <c r="BW64" s="131"/>
      <c r="BX64" s="131"/>
      <c r="BY64" s="131"/>
      <c r="BZ64" s="131"/>
      <c r="CA64" s="131"/>
      <c r="CB64" s="131"/>
      <c r="CC64" s="131"/>
      <c r="CD64" s="131"/>
      <c r="CE64" s="131"/>
      <c r="CF64" s="136"/>
      <c r="CG64" s="136"/>
      <c r="CH64" s="131"/>
      <c r="CI64" s="131"/>
      <c r="CJ64" s="136"/>
      <c r="CK64" s="136"/>
      <c r="CL64" s="136"/>
      <c r="CM64" s="131"/>
      <c r="CN64" s="131"/>
      <c r="CO64" s="136"/>
      <c r="CP64" s="136"/>
      <c r="CQ64" s="131"/>
      <c r="CR64" s="131"/>
      <c r="CS64" s="131"/>
      <c r="CT64" s="131"/>
      <c r="CU64" s="131"/>
      <c r="CV64" s="131"/>
      <c r="CW64" s="131"/>
      <c r="CX64" s="131"/>
      <c r="CY64" s="136"/>
      <c r="CZ64" s="136"/>
      <c r="DA64" s="131"/>
      <c r="DB64" s="136"/>
      <c r="DC64" s="136"/>
      <c r="DD64" s="131"/>
      <c r="DE64" s="131"/>
      <c r="DF64" s="131"/>
      <c r="DG64" s="136"/>
      <c r="DH64" s="131"/>
      <c r="DI64" s="131"/>
      <c r="DJ64" s="136"/>
      <c r="DK64" s="136"/>
      <c r="DL64" s="136"/>
      <c r="DM64" s="136"/>
      <c r="DN64" s="136"/>
      <c r="DO64" s="136"/>
      <c r="DP64" s="136"/>
      <c r="DQ64" s="136"/>
      <c r="DR64" s="136"/>
      <c r="DS64" s="131"/>
      <c r="DT64" s="136"/>
      <c r="DU64" s="131"/>
      <c r="DV64" s="131"/>
      <c r="DW64" s="131"/>
      <c r="DX64" s="131"/>
      <c r="DY64" s="131"/>
      <c r="DZ64" s="136"/>
      <c r="EA64" s="131"/>
      <c r="EB64" s="131"/>
      <c r="EC64" s="131"/>
      <c r="ED64" s="131"/>
      <c r="EE64" s="137"/>
      <c r="EF64" s="227"/>
      <c r="EG64" s="227"/>
      <c r="EH64" s="228"/>
      <c r="EI64" s="228"/>
      <c r="EJ64" s="228"/>
      <c r="EK64" s="228"/>
    </row>
    <row r="65" spans="1:141">
      <c r="A65" s="132"/>
      <c r="B65" s="18"/>
      <c r="C65" s="18"/>
      <c r="D65" s="220"/>
      <c r="E65" s="130"/>
      <c r="F65" s="126"/>
      <c r="G65" s="18"/>
      <c r="H65" s="189"/>
      <c r="I65" s="18"/>
      <c r="J65" s="18"/>
      <c r="K65" s="189"/>
      <c r="L65" s="18"/>
      <c r="M65" s="129"/>
      <c r="N65" s="189"/>
      <c r="O65" s="132"/>
      <c r="P65" s="127"/>
      <c r="Q65" s="127"/>
      <c r="R65" s="128"/>
      <c r="S65" s="130"/>
      <c r="T65" s="135"/>
      <c r="U65" s="127"/>
      <c r="V65" s="217"/>
      <c r="W65" s="191"/>
      <c r="X65" s="133"/>
      <c r="Y65" s="131"/>
      <c r="Z65" s="131"/>
      <c r="AA65" s="242"/>
      <c r="AB65" s="131"/>
      <c r="AC65" s="131"/>
      <c r="AD65" s="131"/>
      <c r="AE65" s="131"/>
      <c r="AF65" s="131"/>
      <c r="AG65" s="131"/>
      <c r="AH65" s="131"/>
      <c r="AI65" s="131"/>
      <c r="AJ65" s="131"/>
      <c r="AK65" s="131"/>
      <c r="AL65" s="131"/>
      <c r="AM65" s="131"/>
      <c r="AN65" s="131"/>
      <c r="AO65" s="131"/>
      <c r="AP65" s="131"/>
      <c r="AQ65" s="243"/>
      <c r="AR65" s="131"/>
      <c r="AS65" s="131"/>
      <c r="AT65" s="131"/>
      <c r="AU65" s="131"/>
      <c r="AV65" s="131"/>
      <c r="AW65" s="131"/>
      <c r="AX65" s="131"/>
      <c r="AY65" s="131"/>
      <c r="AZ65" s="131"/>
      <c r="BA65" s="131"/>
      <c r="BB65" s="131"/>
      <c r="BC65" s="131"/>
      <c r="BD65" s="131"/>
      <c r="BE65" s="131"/>
      <c r="BF65" s="131"/>
      <c r="BG65" s="131"/>
      <c r="BH65" s="131"/>
      <c r="BI65" s="131"/>
      <c r="BJ65" s="131"/>
      <c r="BK65" s="131"/>
      <c r="BL65" s="131"/>
      <c r="BM65" s="131"/>
      <c r="BN65" s="131"/>
      <c r="BO65" s="136"/>
      <c r="BP65" s="131"/>
      <c r="BQ65" s="131"/>
      <c r="BR65" s="131"/>
      <c r="BS65" s="131"/>
      <c r="BT65" s="131"/>
      <c r="BU65" s="131"/>
      <c r="BV65" s="131"/>
      <c r="BW65" s="131"/>
      <c r="BX65" s="131"/>
      <c r="BY65" s="131"/>
      <c r="BZ65" s="131"/>
      <c r="CA65" s="131"/>
      <c r="CB65" s="131"/>
      <c r="CC65" s="131"/>
      <c r="CD65" s="131"/>
      <c r="CE65" s="131"/>
      <c r="CF65" s="136"/>
      <c r="CG65" s="136"/>
      <c r="CH65" s="131"/>
      <c r="CI65" s="131"/>
      <c r="CJ65" s="136"/>
      <c r="CK65" s="136"/>
      <c r="CL65" s="136"/>
      <c r="CM65" s="131"/>
      <c r="CN65" s="131"/>
      <c r="CO65" s="136"/>
      <c r="CP65" s="136"/>
      <c r="CQ65" s="131"/>
      <c r="CR65" s="131"/>
      <c r="CS65" s="131"/>
      <c r="CT65" s="131"/>
      <c r="CU65" s="131"/>
      <c r="CV65" s="131"/>
      <c r="CW65" s="131"/>
      <c r="CX65" s="131"/>
      <c r="CY65" s="136"/>
      <c r="CZ65" s="136"/>
      <c r="DA65" s="131"/>
      <c r="DB65" s="136"/>
      <c r="DC65" s="136"/>
      <c r="DD65" s="131"/>
      <c r="DE65" s="131"/>
      <c r="DF65" s="131"/>
      <c r="DG65" s="136"/>
      <c r="DH65" s="131"/>
      <c r="DI65" s="131"/>
      <c r="DJ65" s="136"/>
      <c r="DK65" s="136"/>
      <c r="DL65" s="136"/>
      <c r="DM65" s="136"/>
      <c r="DN65" s="136"/>
      <c r="DO65" s="136"/>
      <c r="DP65" s="136"/>
      <c r="DQ65" s="136"/>
      <c r="DR65" s="136"/>
      <c r="DS65" s="131"/>
      <c r="DT65" s="136"/>
      <c r="DU65" s="131"/>
      <c r="DV65" s="131"/>
      <c r="DW65" s="131"/>
      <c r="DX65" s="131"/>
      <c r="DY65" s="131"/>
      <c r="DZ65" s="136"/>
      <c r="EA65" s="131"/>
      <c r="EB65" s="131"/>
      <c r="EC65" s="131"/>
      <c r="ED65" s="131"/>
      <c r="EE65" s="137"/>
      <c r="EF65" s="227"/>
      <c r="EG65" s="227"/>
      <c r="EH65" s="228"/>
      <c r="EI65" s="228"/>
      <c r="EJ65" s="228"/>
      <c r="EK65" s="228"/>
    </row>
    <row r="66" spans="1:141">
      <c r="A66" s="132"/>
      <c r="B66" s="18"/>
      <c r="C66" s="18"/>
      <c r="D66" s="220"/>
      <c r="E66" s="130"/>
      <c r="F66" s="126"/>
      <c r="G66" s="18"/>
      <c r="H66" s="189"/>
      <c r="I66" s="18"/>
      <c r="J66" s="18"/>
      <c r="K66" s="189"/>
      <c r="L66" s="18"/>
      <c r="M66" s="129"/>
      <c r="N66" s="189"/>
      <c r="O66" s="132"/>
      <c r="P66" s="127"/>
      <c r="Q66" s="127"/>
      <c r="R66" s="128"/>
      <c r="S66" s="130"/>
      <c r="T66" s="135"/>
      <c r="U66" s="127"/>
      <c r="V66" s="217"/>
      <c r="W66" s="191"/>
      <c r="X66" s="133"/>
      <c r="Y66" s="131"/>
      <c r="Z66" s="131"/>
      <c r="AA66" s="242"/>
      <c r="AB66" s="131"/>
      <c r="AC66" s="131"/>
      <c r="AD66" s="131"/>
      <c r="AE66" s="131"/>
      <c r="AF66" s="131"/>
      <c r="AG66" s="131"/>
      <c r="AH66" s="131"/>
      <c r="AI66" s="131"/>
      <c r="AJ66" s="131"/>
      <c r="AK66" s="131"/>
      <c r="AL66" s="131"/>
      <c r="AM66" s="131"/>
      <c r="AN66" s="131"/>
      <c r="AO66" s="131"/>
      <c r="AP66" s="131"/>
      <c r="AQ66" s="243"/>
      <c r="AR66" s="131"/>
      <c r="AS66" s="131"/>
      <c r="AT66" s="131"/>
      <c r="AU66" s="131"/>
      <c r="AV66" s="131"/>
      <c r="AW66" s="131"/>
      <c r="AX66" s="131"/>
      <c r="AY66" s="131"/>
      <c r="AZ66" s="131"/>
      <c r="BA66" s="131"/>
      <c r="BB66" s="131"/>
      <c r="BC66" s="131"/>
      <c r="BD66" s="131"/>
      <c r="BE66" s="131"/>
      <c r="BF66" s="131"/>
      <c r="BG66" s="131"/>
      <c r="BH66" s="131"/>
      <c r="BI66" s="131"/>
      <c r="BJ66" s="131"/>
      <c r="BK66" s="131"/>
      <c r="BL66" s="131"/>
      <c r="BM66" s="131"/>
      <c r="BN66" s="131"/>
      <c r="BO66" s="136"/>
      <c r="BP66" s="131"/>
      <c r="BQ66" s="131"/>
      <c r="BR66" s="131"/>
      <c r="BS66" s="131"/>
      <c r="BT66" s="131"/>
      <c r="BU66" s="131"/>
      <c r="BV66" s="131"/>
      <c r="BW66" s="131"/>
      <c r="BX66" s="131"/>
      <c r="BY66" s="131"/>
      <c r="BZ66" s="131"/>
      <c r="CA66" s="131"/>
      <c r="CB66" s="131"/>
      <c r="CC66" s="131"/>
      <c r="CD66" s="131"/>
      <c r="CE66" s="131"/>
      <c r="CF66" s="136"/>
      <c r="CG66" s="136"/>
      <c r="CH66" s="131"/>
      <c r="CI66" s="131"/>
      <c r="CJ66" s="136"/>
      <c r="CK66" s="136"/>
      <c r="CL66" s="136"/>
      <c r="CM66" s="131"/>
      <c r="CN66" s="131"/>
      <c r="CO66" s="136"/>
      <c r="CP66" s="136"/>
      <c r="CQ66" s="131"/>
      <c r="CR66" s="131"/>
      <c r="CS66" s="131"/>
      <c r="CT66" s="131"/>
      <c r="CU66" s="131"/>
      <c r="CV66" s="131"/>
      <c r="CW66" s="131"/>
      <c r="CX66" s="131"/>
      <c r="CY66" s="136"/>
      <c r="CZ66" s="136"/>
      <c r="DA66" s="131"/>
      <c r="DB66" s="136"/>
      <c r="DC66" s="136"/>
      <c r="DD66" s="131"/>
      <c r="DE66" s="131"/>
      <c r="DF66" s="131"/>
      <c r="DG66" s="136"/>
      <c r="DH66" s="131"/>
      <c r="DI66" s="131"/>
      <c r="DJ66" s="136"/>
      <c r="DK66" s="136"/>
      <c r="DL66" s="136"/>
      <c r="DM66" s="136"/>
      <c r="DN66" s="136"/>
      <c r="DO66" s="136"/>
      <c r="DP66" s="136"/>
      <c r="DQ66" s="136"/>
      <c r="DR66" s="136"/>
      <c r="DS66" s="131"/>
      <c r="DT66" s="136"/>
      <c r="DU66" s="131"/>
      <c r="DV66" s="131"/>
      <c r="DW66" s="131"/>
      <c r="DX66" s="131"/>
      <c r="DY66" s="131"/>
      <c r="DZ66" s="136"/>
      <c r="EA66" s="131"/>
      <c r="EB66" s="131"/>
      <c r="EC66" s="131"/>
      <c r="ED66" s="131"/>
      <c r="EE66" s="137"/>
      <c r="EF66" s="227"/>
      <c r="EG66" s="227"/>
      <c r="EH66" s="228"/>
      <c r="EI66" s="228"/>
      <c r="EJ66" s="228"/>
      <c r="EK66" s="228"/>
    </row>
    <row r="67" spans="1:141">
      <c r="A67" s="132"/>
      <c r="B67" s="18"/>
      <c r="C67" s="18"/>
      <c r="D67" s="220"/>
      <c r="E67" s="130"/>
      <c r="F67" s="126"/>
      <c r="G67" s="18"/>
      <c r="H67" s="189"/>
      <c r="I67" s="18"/>
      <c r="J67" s="18"/>
      <c r="K67" s="189"/>
      <c r="L67" s="18"/>
      <c r="M67" s="129"/>
      <c r="N67" s="189"/>
      <c r="O67" s="132"/>
      <c r="P67" s="127"/>
      <c r="Q67" s="127"/>
      <c r="R67" s="128"/>
      <c r="S67" s="130"/>
      <c r="T67" s="135"/>
      <c r="U67" s="127"/>
      <c r="V67" s="217"/>
      <c r="W67" s="191"/>
      <c r="X67" s="133"/>
      <c r="Y67" s="131"/>
      <c r="Z67" s="131"/>
      <c r="AA67" s="242"/>
      <c r="AB67" s="131"/>
      <c r="AC67" s="131"/>
      <c r="AD67" s="131"/>
      <c r="AE67" s="131"/>
      <c r="AF67" s="131"/>
      <c r="AG67" s="131"/>
      <c r="AH67" s="131"/>
      <c r="AI67" s="131"/>
      <c r="AJ67" s="131"/>
      <c r="AK67" s="131"/>
      <c r="AL67" s="131"/>
      <c r="AM67" s="131"/>
      <c r="AN67" s="131"/>
      <c r="AO67" s="131"/>
      <c r="AP67" s="131"/>
      <c r="AQ67" s="243"/>
      <c r="AR67" s="131"/>
      <c r="AS67" s="131"/>
      <c r="AT67" s="131"/>
      <c r="AU67" s="131"/>
      <c r="AV67" s="131"/>
      <c r="AW67" s="131"/>
      <c r="AX67" s="131"/>
      <c r="AY67" s="131"/>
      <c r="AZ67" s="131"/>
      <c r="BA67" s="131"/>
      <c r="BB67" s="131"/>
      <c r="BC67" s="131"/>
      <c r="BD67" s="131"/>
      <c r="BE67" s="131"/>
      <c r="BF67" s="131"/>
      <c r="BG67" s="131"/>
      <c r="BH67" s="131"/>
      <c r="BI67" s="131"/>
      <c r="BJ67" s="131"/>
      <c r="BK67" s="131"/>
      <c r="BL67" s="131"/>
      <c r="BM67" s="131"/>
      <c r="BN67" s="131"/>
      <c r="BO67" s="136"/>
      <c r="BP67" s="131"/>
      <c r="BQ67" s="131"/>
      <c r="BR67" s="131"/>
      <c r="BS67" s="131"/>
      <c r="BT67" s="131"/>
      <c r="BU67" s="131"/>
      <c r="BV67" s="131"/>
      <c r="BW67" s="131"/>
      <c r="BX67" s="131"/>
      <c r="BY67" s="131"/>
      <c r="BZ67" s="131"/>
      <c r="CA67" s="131"/>
      <c r="CB67" s="131"/>
      <c r="CC67" s="131"/>
      <c r="CD67" s="131"/>
      <c r="CE67" s="131"/>
      <c r="CF67" s="136"/>
      <c r="CG67" s="136"/>
      <c r="CH67" s="131"/>
      <c r="CI67" s="131"/>
      <c r="CJ67" s="136"/>
      <c r="CK67" s="136"/>
      <c r="CL67" s="136"/>
      <c r="CM67" s="131"/>
      <c r="CN67" s="131"/>
      <c r="CO67" s="136"/>
      <c r="CP67" s="136"/>
      <c r="CQ67" s="131"/>
      <c r="CR67" s="131"/>
      <c r="CS67" s="131"/>
      <c r="CT67" s="131"/>
      <c r="CU67" s="131"/>
      <c r="CV67" s="131"/>
      <c r="CW67" s="131"/>
      <c r="CX67" s="131"/>
      <c r="CY67" s="136"/>
      <c r="CZ67" s="136"/>
      <c r="DA67" s="131"/>
      <c r="DB67" s="136"/>
      <c r="DC67" s="136"/>
      <c r="DD67" s="131"/>
      <c r="DE67" s="131"/>
      <c r="DF67" s="131"/>
      <c r="DG67" s="136"/>
      <c r="DH67" s="131"/>
      <c r="DI67" s="131"/>
      <c r="DJ67" s="136"/>
      <c r="DK67" s="136"/>
      <c r="DL67" s="136"/>
      <c r="DM67" s="136"/>
      <c r="DN67" s="136"/>
      <c r="DO67" s="136"/>
      <c r="DP67" s="136"/>
      <c r="DQ67" s="136"/>
      <c r="DR67" s="136"/>
      <c r="DS67" s="131"/>
      <c r="DT67" s="136"/>
      <c r="DU67" s="131"/>
      <c r="DV67" s="131"/>
      <c r="DW67" s="131"/>
      <c r="DX67" s="131"/>
      <c r="DY67" s="131"/>
      <c r="DZ67" s="136"/>
      <c r="EA67" s="131"/>
      <c r="EB67" s="131"/>
      <c r="EC67" s="131"/>
      <c r="ED67" s="131"/>
      <c r="EE67" s="137"/>
      <c r="EF67" s="227"/>
      <c r="EG67" s="227"/>
      <c r="EH67" s="228"/>
      <c r="EI67" s="228"/>
      <c r="EJ67" s="228"/>
      <c r="EK67" s="228"/>
    </row>
    <row r="68" spans="1:141">
      <c r="A68" s="132"/>
      <c r="B68" s="18"/>
      <c r="C68" s="18"/>
      <c r="D68" s="220"/>
      <c r="E68" s="130"/>
      <c r="F68" s="126"/>
      <c r="G68" s="18"/>
      <c r="H68" s="189"/>
      <c r="I68" s="18"/>
      <c r="J68" s="18"/>
      <c r="K68" s="189"/>
      <c r="L68" s="18"/>
      <c r="M68" s="129"/>
      <c r="N68" s="189"/>
      <c r="O68" s="132"/>
      <c r="P68" s="127"/>
      <c r="Q68" s="127"/>
      <c r="R68" s="128"/>
      <c r="S68" s="130"/>
      <c r="T68" s="135"/>
      <c r="U68" s="127"/>
      <c r="V68" s="217"/>
      <c r="W68" s="191"/>
      <c r="X68" s="133"/>
      <c r="Y68" s="131"/>
      <c r="Z68" s="131"/>
      <c r="AA68" s="242"/>
      <c r="AB68" s="131"/>
      <c r="AC68" s="131"/>
      <c r="AD68" s="131"/>
      <c r="AE68" s="131"/>
      <c r="AF68" s="131"/>
      <c r="AG68" s="131"/>
      <c r="AH68" s="131"/>
      <c r="AI68" s="131"/>
      <c r="AJ68" s="131"/>
      <c r="AK68" s="131"/>
      <c r="AL68" s="131"/>
      <c r="AM68" s="131"/>
      <c r="AN68" s="131"/>
      <c r="AO68" s="131"/>
      <c r="AP68" s="131"/>
      <c r="AQ68" s="243"/>
      <c r="AR68" s="131"/>
      <c r="AS68" s="131"/>
      <c r="AT68" s="131"/>
      <c r="AU68" s="131"/>
      <c r="AV68" s="131"/>
      <c r="AW68" s="131"/>
      <c r="AX68" s="131"/>
      <c r="AY68" s="131"/>
      <c r="AZ68" s="131"/>
      <c r="BA68" s="131"/>
      <c r="BB68" s="131"/>
      <c r="BC68" s="131"/>
      <c r="BD68" s="131"/>
      <c r="BE68" s="131"/>
      <c r="BF68" s="131"/>
      <c r="BG68" s="131"/>
      <c r="BH68" s="131"/>
      <c r="BI68" s="131"/>
      <c r="BJ68" s="131"/>
      <c r="BK68" s="131"/>
      <c r="BL68" s="131"/>
      <c r="BM68" s="131"/>
      <c r="BN68" s="131"/>
      <c r="BO68" s="136"/>
      <c r="BP68" s="131"/>
      <c r="BQ68" s="131"/>
      <c r="BR68" s="131"/>
      <c r="BS68" s="131"/>
      <c r="BT68" s="131"/>
      <c r="BU68" s="131"/>
      <c r="BV68" s="131"/>
      <c r="BW68" s="131"/>
      <c r="BX68" s="131"/>
      <c r="BY68" s="131"/>
      <c r="BZ68" s="131"/>
      <c r="CA68" s="131"/>
      <c r="CB68" s="131"/>
      <c r="CC68" s="131"/>
      <c r="CD68" s="131"/>
      <c r="CE68" s="131"/>
      <c r="CF68" s="136"/>
      <c r="CG68" s="136"/>
      <c r="CH68" s="131"/>
      <c r="CI68" s="131"/>
      <c r="CJ68" s="136"/>
      <c r="CK68" s="136"/>
      <c r="CL68" s="136"/>
      <c r="CM68" s="131"/>
      <c r="CN68" s="131"/>
      <c r="CO68" s="136"/>
      <c r="CP68" s="136"/>
      <c r="CQ68" s="131"/>
      <c r="CR68" s="131"/>
      <c r="CS68" s="131"/>
      <c r="CT68" s="131"/>
      <c r="CU68" s="131"/>
      <c r="CV68" s="131"/>
      <c r="CW68" s="131"/>
      <c r="CX68" s="131"/>
      <c r="CY68" s="136"/>
      <c r="CZ68" s="136"/>
      <c r="DA68" s="131"/>
      <c r="DB68" s="136"/>
      <c r="DC68" s="136"/>
      <c r="DD68" s="131"/>
      <c r="DE68" s="131"/>
      <c r="DF68" s="131"/>
      <c r="DG68" s="136"/>
      <c r="DH68" s="131"/>
      <c r="DI68" s="131"/>
      <c r="DJ68" s="136"/>
      <c r="DK68" s="136"/>
      <c r="DL68" s="136"/>
      <c r="DM68" s="136"/>
      <c r="DN68" s="136"/>
      <c r="DO68" s="136"/>
      <c r="DP68" s="136"/>
      <c r="DQ68" s="136"/>
      <c r="DR68" s="136"/>
      <c r="DS68" s="131"/>
      <c r="DT68" s="136"/>
      <c r="DU68" s="131"/>
      <c r="DV68" s="131"/>
      <c r="DW68" s="131"/>
      <c r="DX68" s="131"/>
      <c r="DY68" s="131"/>
      <c r="DZ68" s="136"/>
      <c r="EA68" s="131"/>
      <c r="EB68" s="131"/>
      <c r="EC68" s="131"/>
      <c r="ED68" s="131"/>
      <c r="EE68" s="137"/>
      <c r="EF68" s="227"/>
      <c r="EG68" s="227"/>
      <c r="EH68" s="228"/>
      <c r="EI68" s="228"/>
      <c r="EJ68" s="228"/>
      <c r="EK68" s="228"/>
    </row>
    <row r="69" spans="1:141">
      <c r="A69" s="132"/>
      <c r="B69" s="18"/>
      <c r="C69" s="18"/>
      <c r="D69" s="220"/>
      <c r="E69" s="130"/>
      <c r="F69" s="126"/>
      <c r="G69" s="18"/>
      <c r="H69" s="189"/>
      <c r="I69" s="18"/>
      <c r="J69" s="18"/>
      <c r="K69" s="189"/>
      <c r="L69" s="18"/>
      <c r="M69" s="129"/>
      <c r="N69" s="189"/>
      <c r="O69" s="132"/>
      <c r="P69" s="127"/>
      <c r="Q69" s="127"/>
      <c r="R69" s="128"/>
      <c r="S69" s="130"/>
      <c r="T69" s="135"/>
      <c r="U69" s="127"/>
      <c r="V69" s="217"/>
      <c r="W69" s="191"/>
      <c r="X69" s="133"/>
      <c r="Y69" s="131"/>
      <c r="Z69" s="131"/>
      <c r="AA69" s="242"/>
      <c r="AB69" s="131"/>
      <c r="AC69" s="131"/>
      <c r="AD69" s="131"/>
      <c r="AE69" s="131"/>
      <c r="AF69" s="131"/>
      <c r="AG69" s="131"/>
      <c r="AH69" s="131"/>
      <c r="AI69" s="131"/>
      <c r="AJ69" s="131"/>
      <c r="AK69" s="131"/>
      <c r="AL69" s="131"/>
      <c r="AM69" s="131"/>
      <c r="AN69" s="131"/>
      <c r="AO69" s="131"/>
      <c r="AP69" s="131"/>
      <c r="AQ69" s="243"/>
      <c r="AR69" s="131"/>
      <c r="AS69" s="131"/>
      <c r="AT69" s="131"/>
      <c r="AU69" s="131"/>
      <c r="AV69" s="131"/>
      <c r="AW69" s="131"/>
      <c r="AX69" s="131"/>
      <c r="AY69" s="131"/>
      <c r="AZ69" s="131"/>
      <c r="BA69" s="131"/>
      <c r="BB69" s="131"/>
      <c r="BC69" s="131"/>
      <c r="BD69" s="131"/>
      <c r="BE69" s="131"/>
      <c r="BF69" s="131"/>
      <c r="BG69" s="131"/>
      <c r="BH69" s="131"/>
      <c r="BI69" s="131"/>
      <c r="BJ69" s="131"/>
      <c r="BK69" s="131"/>
      <c r="BL69" s="131"/>
      <c r="BM69" s="131"/>
      <c r="BN69" s="131"/>
      <c r="BO69" s="136"/>
      <c r="BP69" s="131"/>
      <c r="BQ69" s="131"/>
      <c r="BR69" s="131"/>
      <c r="BS69" s="131"/>
      <c r="BT69" s="131"/>
      <c r="BU69" s="131"/>
      <c r="BV69" s="131"/>
      <c r="BW69" s="131"/>
      <c r="BX69" s="131"/>
      <c r="BY69" s="131"/>
      <c r="BZ69" s="131"/>
      <c r="CA69" s="131"/>
      <c r="CB69" s="131"/>
      <c r="CC69" s="131"/>
      <c r="CD69" s="131"/>
      <c r="CE69" s="131"/>
      <c r="CF69" s="136"/>
      <c r="CG69" s="136"/>
      <c r="CH69" s="131"/>
      <c r="CI69" s="131"/>
      <c r="CJ69" s="136"/>
      <c r="CK69" s="136"/>
      <c r="CL69" s="136"/>
      <c r="CM69" s="131"/>
      <c r="CN69" s="131"/>
      <c r="CO69" s="136"/>
      <c r="CP69" s="136"/>
      <c r="CQ69" s="131"/>
      <c r="CR69" s="131"/>
      <c r="CS69" s="131"/>
      <c r="CT69" s="131"/>
      <c r="CU69" s="131"/>
      <c r="CV69" s="131"/>
      <c r="CW69" s="131"/>
      <c r="CX69" s="131"/>
      <c r="CY69" s="136"/>
      <c r="CZ69" s="136"/>
      <c r="DA69" s="131"/>
      <c r="DB69" s="136"/>
      <c r="DC69" s="136"/>
      <c r="DD69" s="131"/>
      <c r="DE69" s="131"/>
      <c r="DF69" s="131"/>
      <c r="DG69" s="136"/>
      <c r="DH69" s="131"/>
      <c r="DI69" s="131"/>
      <c r="DJ69" s="136"/>
      <c r="DK69" s="136"/>
      <c r="DL69" s="136"/>
      <c r="DM69" s="136"/>
      <c r="DN69" s="136"/>
      <c r="DO69" s="136"/>
      <c r="DP69" s="136"/>
      <c r="DQ69" s="136"/>
      <c r="DR69" s="136"/>
      <c r="DS69" s="131"/>
      <c r="DT69" s="136"/>
      <c r="DU69" s="131"/>
      <c r="DV69" s="131"/>
      <c r="DW69" s="131"/>
      <c r="DX69" s="131"/>
      <c r="DY69" s="131"/>
      <c r="DZ69" s="136"/>
      <c r="EA69" s="131"/>
      <c r="EB69" s="131"/>
      <c r="EC69" s="131"/>
      <c r="ED69" s="131"/>
      <c r="EE69" s="137"/>
      <c r="EF69" s="227"/>
      <c r="EG69" s="227"/>
      <c r="EH69" s="228"/>
      <c r="EI69" s="228"/>
      <c r="EJ69" s="228"/>
      <c r="EK69" s="228"/>
    </row>
    <row r="70" spans="1:141">
      <c r="A70" s="132"/>
      <c r="B70" s="18"/>
      <c r="C70" s="18"/>
      <c r="D70" s="220"/>
      <c r="E70" s="130"/>
      <c r="F70" s="126"/>
      <c r="G70" s="18"/>
      <c r="H70" s="189"/>
      <c r="I70" s="18"/>
      <c r="J70" s="18"/>
      <c r="K70" s="189"/>
      <c r="L70" s="18"/>
      <c r="M70" s="129"/>
      <c r="N70" s="189"/>
      <c r="O70" s="132"/>
      <c r="P70" s="127"/>
      <c r="Q70" s="127"/>
      <c r="R70" s="128"/>
      <c r="S70" s="130"/>
      <c r="T70" s="135"/>
      <c r="U70" s="127"/>
      <c r="V70" s="217"/>
      <c r="W70" s="191"/>
      <c r="X70" s="133"/>
      <c r="Y70" s="131"/>
      <c r="Z70" s="131"/>
      <c r="AA70" s="242"/>
      <c r="AB70" s="131"/>
      <c r="AC70" s="131"/>
      <c r="AD70" s="131"/>
      <c r="AE70" s="131"/>
      <c r="AF70" s="131"/>
      <c r="AG70" s="131"/>
      <c r="AH70" s="131"/>
      <c r="AI70" s="131"/>
      <c r="AJ70" s="131"/>
      <c r="AK70" s="131"/>
      <c r="AL70" s="131"/>
      <c r="AM70" s="131"/>
      <c r="AN70" s="131"/>
      <c r="AO70" s="131"/>
      <c r="AP70" s="131"/>
      <c r="AQ70" s="243"/>
      <c r="AR70" s="131"/>
      <c r="AS70" s="131"/>
      <c r="AT70" s="131"/>
      <c r="AU70" s="131"/>
      <c r="AV70" s="131"/>
      <c r="AW70" s="131"/>
      <c r="AX70" s="131"/>
      <c r="AY70" s="131"/>
      <c r="AZ70" s="131"/>
      <c r="BA70" s="131"/>
      <c r="BB70" s="131"/>
      <c r="BC70" s="131"/>
      <c r="BD70" s="131"/>
      <c r="BE70" s="131"/>
      <c r="BF70" s="131"/>
      <c r="BG70" s="131"/>
      <c r="BH70" s="131"/>
      <c r="BI70" s="131"/>
      <c r="BJ70" s="131"/>
      <c r="BK70" s="131"/>
      <c r="BL70" s="131"/>
      <c r="BM70" s="131"/>
      <c r="BN70" s="131"/>
      <c r="BO70" s="136"/>
      <c r="BP70" s="131"/>
      <c r="BQ70" s="131"/>
      <c r="BR70" s="131"/>
      <c r="BS70" s="131"/>
      <c r="BT70" s="131"/>
      <c r="BU70" s="131"/>
      <c r="BV70" s="131"/>
      <c r="BW70" s="131"/>
      <c r="BX70" s="131"/>
      <c r="BY70" s="131"/>
      <c r="BZ70" s="131"/>
      <c r="CA70" s="131"/>
      <c r="CB70" s="131"/>
      <c r="CC70" s="131"/>
      <c r="CD70" s="131"/>
      <c r="CE70" s="131"/>
      <c r="CF70" s="136"/>
      <c r="CG70" s="136"/>
      <c r="CH70" s="131"/>
      <c r="CI70" s="131"/>
      <c r="CJ70" s="136"/>
      <c r="CK70" s="136"/>
      <c r="CL70" s="136"/>
      <c r="CM70" s="131"/>
      <c r="CN70" s="131"/>
      <c r="CO70" s="136"/>
      <c r="CP70" s="136"/>
      <c r="CQ70" s="131"/>
      <c r="CR70" s="131"/>
      <c r="CS70" s="131"/>
      <c r="CT70" s="131"/>
      <c r="CU70" s="131"/>
      <c r="CV70" s="131"/>
      <c r="CW70" s="131"/>
      <c r="CX70" s="131"/>
      <c r="CY70" s="136"/>
      <c r="CZ70" s="136"/>
      <c r="DA70" s="131"/>
      <c r="DB70" s="136"/>
      <c r="DC70" s="136"/>
      <c r="DD70" s="131"/>
      <c r="DE70" s="131"/>
      <c r="DF70" s="131"/>
      <c r="DG70" s="136"/>
      <c r="DH70" s="131"/>
      <c r="DI70" s="131"/>
      <c r="DJ70" s="136"/>
      <c r="DK70" s="136"/>
      <c r="DL70" s="136"/>
      <c r="DM70" s="136"/>
      <c r="DN70" s="136"/>
      <c r="DO70" s="136"/>
      <c r="DP70" s="136"/>
      <c r="DQ70" s="136"/>
      <c r="DR70" s="136"/>
      <c r="DS70" s="131"/>
      <c r="DT70" s="136"/>
      <c r="DU70" s="131"/>
      <c r="DV70" s="131"/>
      <c r="DW70" s="131"/>
      <c r="DX70" s="131"/>
      <c r="DY70" s="131"/>
      <c r="DZ70" s="136"/>
      <c r="EA70" s="131"/>
      <c r="EB70" s="131"/>
      <c r="EC70" s="131"/>
      <c r="ED70" s="131"/>
      <c r="EE70" s="137"/>
      <c r="EF70" s="227"/>
      <c r="EG70" s="227"/>
      <c r="EH70" s="228"/>
      <c r="EI70" s="228"/>
      <c r="EJ70" s="228"/>
      <c r="EK70" s="228"/>
    </row>
    <row r="71" spans="1:141">
      <c r="A71" s="132"/>
      <c r="B71" s="18"/>
      <c r="C71" s="18"/>
      <c r="D71" s="220"/>
      <c r="E71" s="130"/>
      <c r="F71" s="126"/>
      <c r="G71" s="18"/>
      <c r="H71" s="189"/>
      <c r="I71" s="18"/>
      <c r="J71" s="18"/>
      <c r="K71" s="189"/>
      <c r="L71" s="18"/>
      <c r="M71" s="129"/>
      <c r="N71" s="189"/>
      <c r="O71" s="132"/>
      <c r="P71" s="127"/>
      <c r="Q71" s="127"/>
      <c r="R71" s="128"/>
      <c r="S71" s="130"/>
      <c r="T71" s="135"/>
      <c r="U71" s="127"/>
      <c r="V71" s="217"/>
      <c r="W71" s="191"/>
      <c r="X71" s="133"/>
      <c r="Y71" s="131"/>
      <c r="Z71" s="131"/>
      <c r="AA71" s="242"/>
      <c r="AB71" s="131"/>
      <c r="AC71" s="131"/>
      <c r="AD71" s="131"/>
      <c r="AE71" s="131"/>
      <c r="AF71" s="131"/>
      <c r="AG71" s="131"/>
      <c r="AH71" s="131"/>
      <c r="AI71" s="131"/>
      <c r="AJ71" s="131"/>
      <c r="AK71" s="131"/>
      <c r="AL71" s="131"/>
      <c r="AM71" s="131"/>
      <c r="AN71" s="131"/>
      <c r="AO71" s="131"/>
      <c r="AP71" s="131"/>
      <c r="AQ71" s="243"/>
      <c r="AR71" s="131"/>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6"/>
      <c r="BP71" s="131"/>
      <c r="BQ71" s="131"/>
      <c r="BR71" s="131"/>
      <c r="BS71" s="131"/>
      <c r="BT71" s="131"/>
      <c r="BU71" s="131"/>
      <c r="BV71" s="131"/>
      <c r="BW71" s="131"/>
      <c r="BX71" s="131"/>
      <c r="BY71" s="131"/>
      <c r="BZ71" s="131"/>
      <c r="CA71" s="131"/>
      <c r="CB71" s="131"/>
      <c r="CC71" s="131"/>
      <c r="CD71" s="131"/>
      <c r="CE71" s="131"/>
      <c r="CF71" s="136"/>
      <c r="CG71" s="136"/>
      <c r="CH71" s="131"/>
      <c r="CI71" s="131"/>
      <c r="CJ71" s="136"/>
      <c r="CK71" s="136"/>
      <c r="CL71" s="136"/>
      <c r="CM71" s="131"/>
      <c r="CN71" s="131"/>
      <c r="CO71" s="136"/>
      <c r="CP71" s="136"/>
      <c r="CQ71" s="131"/>
      <c r="CR71" s="131"/>
      <c r="CS71" s="131"/>
      <c r="CT71" s="131"/>
      <c r="CU71" s="131"/>
      <c r="CV71" s="131"/>
      <c r="CW71" s="131"/>
      <c r="CX71" s="131"/>
      <c r="CY71" s="136"/>
      <c r="CZ71" s="136"/>
      <c r="DA71" s="131"/>
      <c r="DB71" s="136"/>
      <c r="DC71" s="136"/>
      <c r="DD71" s="131"/>
      <c r="DE71" s="131"/>
      <c r="DF71" s="131"/>
      <c r="DG71" s="136"/>
      <c r="DH71" s="131"/>
      <c r="DI71" s="131"/>
      <c r="DJ71" s="136"/>
      <c r="DK71" s="136"/>
      <c r="DL71" s="136"/>
      <c r="DM71" s="136"/>
      <c r="DN71" s="136"/>
      <c r="DO71" s="136"/>
      <c r="DP71" s="136"/>
      <c r="DQ71" s="136"/>
      <c r="DR71" s="136"/>
      <c r="DS71" s="131"/>
      <c r="DT71" s="136"/>
      <c r="DU71" s="131"/>
      <c r="DV71" s="131"/>
      <c r="DW71" s="131"/>
      <c r="DX71" s="131"/>
      <c r="DY71" s="131"/>
      <c r="DZ71" s="136"/>
      <c r="EA71" s="131"/>
      <c r="EB71" s="131"/>
      <c r="EC71" s="131"/>
      <c r="ED71" s="131"/>
      <c r="EE71" s="137"/>
      <c r="EF71" s="227"/>
      <c r="EG71" s="227"/>
      <c r="EH71" s="228"/>
      <c r="EI71" s="228"/>
      <c r="EJ71" s="228"/>
      <c r="EK71" s="228"/>
    </row>
    <row r="72" spans="1:141">
      <c r="A72" s="132"/>
      <c r="B72" s="18"/>
      <c r="C72" s="18"/>
      <c r="D72" s="220"/>
      <c r="E72" s="130"/>
      <c r="F72" s="126"/>
      <c r="G72" s="18"/>
      <c r="H72" s="189"/>
      <c r="I72" s="18"/>
      <c r="J72" s="18"/>
      <c r="K72" s="189"/>
      <c r="L72" s="18"/>
      <c r="M72" s="129"/>
      <c r="N72" s="189"/>
      <c r="O72" s="132"/>
      <c r="P72" s="127"/>
      <c r="Q72" s="127"/>
      <c r="R72" s="128"/>
      <c r="S72" s="130"/>
      <c r="T72" s="135"/>
      <c r="U72" s="127"/>
      <c r="V72" s="217"/>
      <c r="W72" s="191"/>
      <c r="X72" s="133"/>
      <c r="Y72" s="131"/>
      <c r="Z72" s="131"/>
      <c r="AA72" s="242"/>
      <c r="AB72" s="131"/>
      <c r="AC72" s="131"/>
      <c r="AD72" s="131"/>
      <c r="AE72" s="131"/>
      <c r="AF72" s="131"/>
      <c r="AG72" s="131"/>
      <c r="AH72" s="131"/>
      <c r="AI72" s="131"/>
      <c r="AJ72" s="131"/>
      <c r="AK72" s="131"/>
      <c r="AL72" s="131"/>
      <c r="AM72" s="131"/>
      <c r="AN72" s="131"/>
      <c r="AO72" s="131"/>
      <c r="AP72" s="131"/>
      <c r="AQ72" s="243"/>
      <c r="AR72" s="131"/>
      <c r="AS72" s="131"/>
      <c r="AT72" s="131"/>
      <c r="AU72" s="131"/>
      <c r="AV72" s="131"/>
      <c r="AW72" s="131"/>
      <c r="AX72" s="131"/>
      <c r="AY72" s="131"/>
      <c r="AZ72" s="131"/>
      <c r="BA72" s="131"/>
      <c r="BB72" s="131"/>
      <c r="BC72" s="131"/>
      <c r="BD72" s="131"/>
      <c r="BE72" s="131"/>
      <c r="BF72" s="131"/>
      <c r="BG72" s="131"/>
      <c r="BH72" s="131"/>
      <c r="BI72" s="131"/>
      <c r="BJ72" s="131"/>
      <c r="BK72" s="131"/>
      <c r="BL72" s="131"/>
      <c r="BM72" s="131"/>
      <c r="BN72" s="131"/>
      <c r="BO72" s="136"/>
      <c r="BP72" s="131"/>
      <c r="BQ72" s="131"/>
      <c r="BR72" s="131"/>
      <c r="BS72" s="131"/>
      <c r="BT72" s="131"/>
      <c r="BU72" s="131"/>
      <c r="BV72" s="131"/>
      <c r="BW72" s="131"/>
      <c r="BX72" s="131"/>
      <c r="BY72" s="131"/>
      <c r="BZ72" s="131"/>
      <c r="CA72" s="131"/>
      <c r="CB72" s="131"/>
      <c r="CC72" s="131"/>
      <c r="CD72" s="131"/>
      <c r="CE72" s="131"/>
      <c r="CF72" s="136"/>
      <c r="CG72" s="136"/>
      <c r="CH72" s="131"/>
      <c r="CI72" s="131"/>
      <c r="CJ72" s="136"/>
      <c r="CK72" s="136"/>
      <c r="CL72" s="136"/>
      <c r="CM72" s="131"/>
      <c r="CN72" s="131"/>
      <c r="CO72" s="136"/>
      <c r="CP72" s="136"/>
      <c r="CQ72" s="131"/>
      <c r="CR72" s="131"/>
      <c r="CS72" s="131"/>
      <c r="CT72" s="131"/>
      <c r="CU72" s="131"/>
      <c r="CV72" s="131"/>
      <c r="CW72" s="131"/>
      <c r="CX72" s="131"/>
      <c r="CY72" s="136"/>
      <c r="CZ72" s="136"/>
      <c r="DA72" s="131"/>
      <c r="DB72" s="136"/>
      <c r="DC72" s="136"/>
      <c r="DD72" s="131"/>
      <c r="DE72" s="131"/>
      <c r="DF72" s="131"/>
      <c r="DG72" s="136"/>
      <c r="DH72" s="131"/>
      <c r="DI72" s="131"/>
      <c r="DJ72" s="136"/>
      <c r="DK72" s="136"/>
      <c r="DL72" s="136"/>
      <c r="DM72" s="136"/>
      <c r="DN72" s="136"/>
      <c r="DO72" s="136"/>
      <c r="DP72" s="136"/>
      <c r="DQ72" s="136"/>
      <c r="DR72" s="136"/>
      <c r="DS72" s="131"/>
      <c r="DT72" s="136"/>
      <c r="DU72" s="131"/>
      <c r="DV72" s="131"/>
      <c r="DW72" s="131"/>
      <c r="DX72" s="131"/>
      <c r="DY72" s="131"/>
      <c r="DZ72" s="136"/>
      <c r="EA72" s="131"/>
      <c r="EB72" s="131"/>
      <c r="EC72" s="131"/>
      <c r="ED72" s="131"/>
      <c r="EE72" s="137"/>
      <c r="EF72" s="227"/>
      <c r="EG72" s="227"/>
      <c r="EH72" s="228"/>
      <c r="EI72" s="228"/>
      <c r="EJ72" s="228"/>
      <c r="EK72" s="228"/>
    </row>
    <row r="73" spans="1:141">
      <c r="A73" s="132"/>
      <c r="B73" s="18"/>
      <c r="C73" s="18"/>
      <c r="D73" s="220"/>
      <c r="E73" s="130"/>
      <c r="F73" s="126"/>
      <c r="G73" s="18"/>
      <c r="H73" s="189"/>
      <c r="I73" s="18"/>
      <c r="J73" s="18"/>
      <c r="K73" s="189"/>
      <c r="L73" s="18"/>
      <c r="M73" s="129"/>
      <c r="N73" s="189"/>
      <c r="O73" s="132"/>
      <c r="P73" s="127"/>
      <c r="Q73" s="127"/>
      <c r="R73" s="128"/>
      <c r="S73" s="130"/>
      <c r="T73" s="135"/>
      <c r="U73" s="127"/>
      <c r="V73" s="217"/>
      <c r="W73" s="191"/>
      <c r="X73" s="133"/>
      <c r="Y73" s="131"/>
      <c r="Z73" s="131"/>
      <c r="AA73" s="242"/>
      <c r="AB73" s="131"/>
      <c r="AC73" s="131"/>
      <c r="AD73" s="131"/>
      <c r="AE73" s="131"/>
      <c r="AF73" s="131"/>
      <c r="AG73" s="131"/>
      <c r="AH73" s="131"/>
      <c r="AI73" s="131"/>
      <c r="AJ73" s="131"/>
      <c r="AK73" s="131"/>
      <c r="AL73" s="131"/>
      <c r="AM73" s="131"/>
      <c r="AN73" s="131"/>
      <c r="AO73" s="131"/>
      <c r="AP73" s="131"/>
      <c r="AQ73" s="243"/>
      <c r="AR73" s="131"/>
      <c r="AS73" s="131"/>
      <c r="AT73" s="131"/>
      <c r="AU73" s="131"/>
      <c r="AV73" s="131"/>
      <c r="AW73" s="131"/>
      <c r="AX73" s="131"/>
      <c r="AY73" s="131"/>
      <c r="AZ73" s="131"/>
      <c r="BA73" s="131"/>
      <c r="BB73" s="131"/>
      <c r="BC73" s="131"/>
      <c r="BD73" s="131"/>
      <c r="BE73" s="131"/>
      <c r="BF73" s="131"/>
      <c r="BG73" s="131"/>
      <c r="BH73" s="131"/>
      <c r="BI73" s="131"/>
      <c r="BJ73" s="131"/>
      <c r="BK73" s="131"/>
      <c r="BL73" s="131"/>
      <c r="BM73" s="131"/>
      <c r="BN73" s="131"/>
      <c r="BO73" s="136"/>
      <c r="BP73" s="131"/>
      <c r="BQ73" s="131"/>
      <c r="BR73" s="131"/>
      <c r="BS73" s="131"/>
      <c r="BT73" s="131"/>
      <c r="BU73" s="131"/>
      <c r="BV73" s="131"/>
      <c r="BW73" s="131"/>
      <c r="BX73" s="131"/>
      <c r="BY73" s="131"/>
      <c r="BZ73" s="131"/>
      <c r="CA73" s="131"/>
      <c r="CB73" s="131"/>
      <c r="CC73" s="131"/>
      <c r="CD73" s="131"/>
      <c r="CE73" s="131"/>
      <c r="CF73" s="136"/>
      <c r="CG73" s="136"/>
      <c r="CH73" s="131"/>
      <c r="CI73" s="131"/>
      <c r="CJ73" s="136"/>
      <c r="CK73" s="136"/>
      <c r="CL73" s="136"/>
      <c r="CM73" s="131"/>
      <c r="CN73" s="131"/>
      <c r="CO73" s="136"/>
      <c r="CP73" s="136"/>
      <c r="CQ73" s="131"/>
      <c r="CR73" s="131"/>
      <c r="CS73" s="131"/>
      <c r="CT73" s="131"/>
      <c r="CU73" s="131"/>
      <c r="CV73" s="131"/>
      <c r="CW73" s="131"/>
      <c r="CX73" s="131"/>
      <c r="CY73" s="136"/>
      <c r="CZ73" s="136"/>
      <c r="DA73" s="131"/>
      <c r="DB73" s="136"/>
      <c r="DC73" s="136"/>
      <c r="DD73" s="131"/>
      <c r="DE73" s="131"/>
      <c r="DF73" s="131"/>
      <c r="DG73" s="136"/>
      <c r="DH73" s="131"/>
      <c r="DI73" s="131"/>
      <c r="DJ73" s="136"/>
      <c r="DK73" s="136"/>
      <c r="DL73" s="136"/>
      <c r="DM73" s="136"/>
      <c r="DN73" s="136"/>
      <c r="DO73" s="136"/>
      <c r="DP73" s="136"/>
      <c r="DQ73" s="136"/>
      <c r="DR73" s="136"/>
      <c r="DS73" s="131"/>
      <c r="DT73" s="136"/>
      <c r="DU73" s="131"/>
      <c r="DV73" s="131"/>
      <c r="DW73" s="131"/>
      <c r="DX73" s="131"/>
      <c r="DY73" s="131"/>
      <c r="DZ73" s="136"/>
      <c r="EA73" s="131"/>
      <c r="EB73" s="131"/>
      <c r="EC73" s="131"/>
      <c r="ED73" s="131"/>
      <c r="EE73" s="137"/>
      <c r="EF73" s="227"/>
      <c r="EG73" s="227"/>
      <c r="EH73" s="228"/>
      <c r="EI73" s="228"/>
      <c r="EJ73" s="228"/>
      <c r="EK73" s="228"/>
    </row>
    <row r="74" spans="1:141">
      <c r="A74" s="132"/>
      <c r="B74" s="18"/>
      <c r="C74" s="18"/>
      <c r="D74" s="220"/>
      <c r="E74" s="130"/>
      <c r="F74" s="126"/>
      <c r="G74" s="18"/>
      <c r="H74" s="189"/>
      <c r="I74" s="18"/>
      <c r="J74" s="18"/>
      <c r="K74" s="189"/>
      <c r="L74" s="18"/>
      <c r="M74" s="129"/>
      <c r="N74" s="189"/>
      <c r="O74" s="132"/>
      <c r="P74" s="127"/>
      <c r="Q74" s="127"/>
      <c r="R74" s="128"/>
      <c r="S74" s="130"/>
      <c r="T74" s="135"/>
      <c r="U74" s="127"/>
      <c r="V74" s="217"/>
      <c r="W74" s="191"/>
      <c r="X74" s="133"/>
      <c r="Y74" s="131"/>
      <c r="Z74" s="131"/>
      <c r="AA74" s="242"/>
      <c r="AB74" s="131"/>
      <c r="AC74" s="131"/>
      <c r="AD74" s="131"/>
      <c r="AE74" s="131"/>
      <c r="AF74" s="131"/>
      <c r="AG74" s="131"/>
      <c r="AH74" s="131"/>
      <c r="AI74" s="131"/>
      <c r="AJ74" s="131"/>
      <c r="AK74" s="131"/>
      <c r="AL74" s="131"/>
      <c r="AM74" s="131"/>
      <c r="AN74" s="131"/>
      <c r="AO74" s="131"/>
      <c r="AP74" s="131"/>
      <c r="AQ74" s="243"/>
      <c r="AR74" s="131"/>
      <c r="AS74" s="131"/>
      <c r="AT74" s="131"/>
      <c r="AU74" s="131"/>
      <c r="AV74" s="131"/>
      <c r="AW74" s="131"/>
      <c r="AX74" s="131"/>
      <c r="AY74" s="131"/>
      <c r="AZ74" s="131"/>
      <c r="BA74" s="131"/>
      <c r="BB74" s="131"/>
      <c r="BC74" s="131"/>
      <c r="BD74" s="131"/>
      <c r="BE74" s="131"/>
      <c r="BF74" s="131"/>
      <c r="BG74" s="131"/>
      <c r="BH74" s="131"/>
      <c r="BI74" s="131"/>
      <c r="BJ74" s="131"/>
      <c r="BK74" s="131"/>
      <c r="BL74" s="131"/>
      <c r="BM74" s="131"/>
      <c r="BN74" s="131"/>
      <c r="BO74" s="136"/>
      <c r="BP74" s="131"/>
      <c r="BQ74" s="131"/>
      <c r="BR74" s="131"/>
      <c r="BS74" s="131"/>
      <c r="BT74" s="131"/>
      <c r="BU74" s="131"/>
      <c r="BV74" s="131"/>
      <c r="BW74" s="131"/>
      <c r="BX74" s="131"/>
      <c r="BY74" s="131"/>
      <c r="BZ74" s="131"/>
      <c r="CA74" s="131"/>
      <c r="CB74" s="131"/>
      <c r="CC74" s="131"/>
      <c r="CD74" s="131"/>
      <c r="CE74" s="131"/>
      <c r="CF74" s="136"/>
      <c r="CG74" s="136"/>
      <c r="CH74" s="131"/>
      <c r="CI74" s="131"/>
      <c r="CJ74" s="136"/>
      <c r="CK74" s="136"/>
      <c r="CL74" s="136"/>
      <c r="CM74" s="131"/>
      <c r="CN74" s="131"/>
      <c r="CO74" s="136"/>
      <c r="CP74" s="136"/>
      <c r="CQ74" s="131"/>
      <c r="CR74" s="131"/>
      <c r="CS74" s="131"/>
      <c r="CT74" s="131"/>
      <c r="CU74" s="131"/>
      <c r="CV74" s="131"/>
      <c r="CW74" s="131"/>
      <c r="CX74" s="131"/>
      <c r="CY74" s="136"/>
      <c r="CZ74" s="136"/>
      <c r="DA74" s="131"/>
      <c r="DB74" s="136"/>
      <c r="DC74" s="136"/>
      <c r="DD74" s="131"/>
      <c r="DE74" s="131"/>
      <c r="DF74" s="131"/>
      <c r="DG74" s="136"/>
      <c r="DH74" s="131"/>
      <c r="DI74" s="131"/>
      <c r="DJ74" s="136"/>
      <c r="DK74" s="136"/>
      <c r="DL74" s="136"/>
      <c r="DM74" s="136"/>
      <c r="DN74" s="136"/>
      <c r="DO74" s="136"/>
      <c r="DP74" s="136"/>
      <c r="DQ74" s="136"/>
      <c r="DR74" s="136"/>
      <c r="DS74" s="131"/>
      <c r="DT74" s="136"/>
      <c r="DU74" s="131"/>
      <c r="DV74" s="131"/>
      <c r="DW74" s="131"/>
      <c r="DX74" s="131"/>
      <c r="DY74" s="131"/>
      <c r="DZ74" s="136"/>
      <c r="EA74" s="131"/>
      <c r="EB74" s="131"/>
      <c r="EC74" s="131"/>
      <c r="ED74" s="131"/>
      <c r="EE74" s="137"/>
      <c r="EF74" s="227"/>
      <c r="EG74" s="227"/>
      <c r="EH74" s="228"/>
      <c r="EI74" s="228"/>
      <c r="EJ74" s="228"/>
      <c r="EK74" s="228"/>
    </row>
    <row r="75" spans="1:141">
      <c r="A75" s="132"/>
      <c r="B75" s="18"/>
      <c r="C75" s="18"/>
      <c r="D75" s="220"/>
      <c r="E75" s="130"/>
      <c r="F75" s="126"/>
      <c r="G75" s="18"/>
      <c r="H75" s="189"/>
      <c r="I75" s="18"/>
      <c r="J75" s="18"/>
      <c r="K75" s="189"/>
      <c r="L75" s="18"/>
      <c r="M75" s="129"/>
      <c r="N75" s="189"/>
      <c r="O75" s="132"/>
      <c r="P75" s="127"/>
      <c r="Q75" s="127"/>
      <c r="R75" s="128"/>
      <c r="S75" s="130"/>
      <c r="T75" s="135"/>
      <c r="U75" s="127"/>
      <c r="V75" s="217"/>
      <c r="W75" s="191"/>
      <c r="X75" s="133"/>
      <c r="Y75" s="131"/>
      <c r="Z75" s="131"/>
      <c r="AA75" s="242"/>
      <c r="AB75" s="131"/>
      <c r="AC75" s="131"/>
      <c r="AD75" s="131"/>
      <c r="AE75" s="131"/>
      <c r="AF75" s="131"/>
      <c r="AG75" s="131"/>
      <c r="AH75" s="131"/>
      <c r="AI75" s="131"/>
      <c r="AJ75" s="131"/>
      <c r="AK75" s="131"/>
      <c r="AL75" s="131"/>
      <c r="AM75" s="131"/>
      <c r="AN75" s="131"/>
      <c r="AO75" s="131"/>
      <c r="AP75" s="131"/>
      <c r="AQ75" s="243"/>
      <c r="AR75" s="131"/>
      <c r="AS75" s="131"/>
      <c r="AT75" s="131"/>
      <c r="AU75" s="131"/>
      <c r="AV75" s="131"/>
      <c r="AW75" s="131"/>
      <c r="AX75" s="131"/>
      <c r="AY75" s="131"/>
      <c r="AZ75" s="131"/>
      <c r="BA75" s="131"/>
      <c r="BB75" s="131"/>
      <c r="BC75" s="131"/>
      <c r="BD75" s="131"/>
      <c r="BE75" s="131"/>
      <c r="BF75" s="131"/>
      <c r="BG75" s="131"/>
      <c r="BH75" s="131"/>
      <c r="BI75" s="131"/>
      <c r="BJ75" s="131"/>
      <c r="BK75" s="131"/>
      <c r="BL75" s="131"/>
      <c r="BM75" s="131"/>
      <c r="BN75" s="131"/>
      <c r="BO75" s="136"/>
      <c r="BP75" s="131"/>
      <c r="BQ75" s="131"/>
      <c r="BR75" s="131"/>
      <c r="BS75" s="131"/>
      <c r="BT75" s="131"/>
      <c r="BU75" s="131"/>
      <c r="BV75" s="131"/>
      <c r="BW75" s="131"/>
      <c r="BX75" s="131"/>
      <c r="BY75" s="131"/>
      <c r="BZ75" s="131"/>
      <c r="CA75" s="131"/>
      <c r="CB75" s="131"/>
      <c r="CC75" s="131"/>
      <c r="CD75" s="131"/>
      <c r="CE75" s="131"/>
      <c r="CF75" s="136"/>
      <c r="CG75" s="136"/>
      <c r="CH75" s="131"/>
      <c r="CI75" s="131"/>
      <c r="CJ75" s="136"/>
      <c r="CK75" s="136"/>
      <c r="CL75" s="136"/>
      <c r="CM75" s="131"/>
      <c r="CN75" s="131"/>
      <c r="CO75" s="136"/>
      <c r="CP75" s="136"/>
      <c r="CQ75" s="131"/>
      <c r="CR75" s="131"/>
      <c r="CS75" s="131"/>
      <c r="CT75" s="131"/>
      <c r="CU75" s="131"/>
      <c r="CV75" s="131"/>
      <c r="CW75" s="131"/>
      <c r="CX75" s="131"/>
      <c r="CY75" s="136"/>
      <c r="CZ75" s="136"/>
      <c r="DA75" s="131"/>
      <c r="DB75" s="136"/>
      <c r="DC75" s="136"/>
      <c r="DD75" s="131"/>
      <c r="DE75" s="131"/>
      <c r="DF75" s="131"/>
      <c r="DG75" s="136"/>
      <c r="DH75" s="131"/>
      <c r="DI75" s="131"/>
      <c r="DJ75" s="136"/>
      <c r="DK75" s="136"/>
      <c r="DL75" s="136"/>
      <c r="DM75" s="136"/>
      <c r="DN75" s="136"/>
      <c r="DO75" s="136"/>
      <c r="DP75" s="136"/>
      <c r="DQ75" s="136"/>
      <c r="DR75" s="136"/>
      <c r="DS75" s="131"/>
      <c r="DT75" s="136"/>
      <c r="DU75" s="131"/>
      <c r="DV75" s="131"/>
      <c r="DW75" s="131"/>
      <c r="DX75" s="131"/>
      <c r="DY75" s="131"/>
      <c r="DZ75" s="136"/>
      <c r="EA75" s="131"/>
      <c r="EB75" s="131"/>
      <c r="EC75" s="131"/>
      <c r="ED75" s="131"/>
      <c r="EE75" s="137"/>
      <c r="EF75" s="227"/>
      <c r="EG75" s="227"/>
      <c r="EH75" s="228"/>
      <c r="EI75" s="228"/>
      <c r="EJ75" s="228"/>
      <c r="EK75" s="228"/>
    </row>
    <row r="76" spans="1:141">
      <c r="A76" s="132"/>
      <c r="B76" s="18"/>
      <c r="C76" s="18"/>
      <c r="D76" s="220"/>
      <c r="E76" s="130"/>
      <c r="F76" s="126"/>
      <c r="G76" s="18"/>
      <c r="H76" s="189"/>
      <c r="I76" s="18"/>
      <c r="J76" s="18"/>
      <c r="K76" s="189"/>
      <c r="L76" s="18"/>
      <c r="M76" s="129"/>
      <c r="N76" s="189"/>
      <c r="O76" s="132"/>
      <c r="P76" s="127"/>
      <c r="Q76" s="127"/>
      <c r="R76" s="128"/>
      <c r="S76" s="130"/>
      <c r="T76" s="135"/>
      <c r="U76" s="127"/>
      <c r="V76" s="217"/>
      <c r="W76" s="191"/>
      <c r="X76" s="133"/>
      <c r="Y76" s="131"/>
      <c r="Z76" s="131"/>
      <c r="AA76" s="242"/>
      <c r="AB76" s="131"/>
      <c r="AC76" s="131"/>
      <c r="AD76" s="131"/>
      <c r="AE76" s="131"/>
      <c r="AF76" s="131"/>
      <c r="AG76" s="131"/>
      <c r="AH76" s="131"/>
      <c r="AI76" s="131"/>
      <c r="AJ76" s="131"/>
      <c r="AK76" s="131"/>
      <c r="AL76" s="131"/>
      <c r="AM76" s="131"/>
      <c r="AN76" s="131"/>
      <c r="AO76" s="131"/>
      <c r="AP76" s="131"/>
      <c r="AQ76" s="243"/>
      <c r="AR76" s="131"/>
      <c r="AS76" s="131"/>
      <c r="AT76" s="131"/>
      <c r="AU76" s="131"/>
      <c r="AV76" s="131"/>
      <c r="AW76" s="131"/>
      <c r="AX76" s="131"/>
      <c r="AY76" s="131"/>
      <c r="AZ76" s="131"/>
      <c r="BA76" s="131"/>
      <c r="BB76" s="131"/>
      <c r="BC76" s="131"/>
      <c r="BD76" s="131"/>
      <c r="BE76" s="131"/>
      <c r="BF76" s="131"/>
      <c r="BG76" s="131"/>
      <c r="BH76" s="131"/>
      <c r="BI76" s="131"/>
      <c r="BJ76" s="131"/>
      <c r="BK76" s="131"/>
      <c r="BL76" s="131"/>
      <c r="BM76" s="131"/>
      <c r="BN76" s="131"/>
      <c r="BO76" s="136"/>
      <c r="BP76" s="131"/>
      <c r="BQ76" s="131"/>
      <c r="BR76" s="131"/>
      <c r="BS76" s="131"/>
      <c r="BT76" s="131"/>
      <c r="BU76" s="131"/>
      <c r="BV76" s="131"/>
      <c r="BW76" s="131"/>
      <c r="BX76" s="131"/>
      <c r="BY76" s="131"/>
      <c r="BZ76" s="131"/>
      <c r="CA76" s="131"/>
      <c r="CB76" s="131"/>
      <c r="CC76" s="131"/>
      <c r="CD76" s="131"/>
      <c r="CE76" s="131"/>
      <c r="CF76" s="136"/>
      <c r="CG76" s="136"/>
      <c r="CH76" s="131"/>
      <c r="CI76" s="131"/>
      <c r="CJ76" s="136"/>
      <c r="CK76" s="136"/>
      <c r="CL76" s="136"/>
      <c r="CM76" s="131"/>
      <c r="CN76" s="131"/>
      <c r="CO76" s="136"/>
      <c r="CP76" s="136"/>
      <c r="CQ76" s="131"/>
      <c r="CR76" s="131"/>
      <c r="CS76" s="131"/>
      <c r="CT76" s="131"/>
      <c r="CU76" s="131"/>
      <c r="CV76" s="131"/>
      <c r="CW76" s="131"/>
      <c r="CX76" s="131"/>
      <c r="CY76" s="136"/>
      <c r="CZ76" s="136"/>
      <c r="DA76" s="131"/>
      <c r="DB76" s="136"/>
      <c r="DC76" s="136"/>
      <c r="DD76" s="131"/>
      <c r="DE76" s="131"/>
      <c r="DF76" s="131"/>
      <c r="DG76" s="136"/>
      <c r="DH76" s="131"/>
      <c r="DI76" s="131"/>
      <c r="DJ76" s="136"/>
      <c r="DK76" s="136"/>
      <c r="DL76" s="136"/>
      <c r="DM76" s="136"/>
      <c r="DN76" s="136"/>
      <c r="DO76" s="136"/>
      <c r="DP76" s="136"/>
      <c r="DQ76" s="136"/>
      <c r="DR76" s="136"/>
      <c r="DS76" s="131"/>
      <c r="DT76" s="136"/>
      <c r="DU76" s="131"/>
      <c r="DV76" s="131"/>
      <c r="DW76" s="131"/>
      <c r="DX76" s="131"/>
      <c r="DY76" s="131"/>
      <c r="DZ76" s="136"/>
      <c r="EA76" s="131"/>
      <c r="EB76" s="131"/>
      <c r="EC76" s="131"/>
      <c r="ED76" s="131"/>
      <c r="EE76" s="137"/>
      <c r="EF76" s="227"/>
      <c r="EG76" s="227"/>
      <c r="EH76" s="228"/>
      <c r="EI76" s="228"/>
      <c r="EJ76" s="228"/>
      <c r="EK76" s="228"/>
    </row>
    <row r="77" spans="1:141">
      <c r="A77" s="132"/>
      <c r="B77" s="18"/>
      <c r="C77" s="18"/>
      <c r="D77" s="220"/>
      <c r="E77" s="130"/>
      <c r="F77" s="126"/>
      <c r="G77" s="18"/>
      <c r="H77" s="189"/>
      <c r="I77" s="18"/>
      <c r="J77" s="18"/>
      <c r="K77" s="189"/>
      <c r="L77" s="18"/>
      <c r="M77" s="129"/>
      <c r="N77" s="189"/>
      <c r="O77" s="132"/>
      <c r="P77" s="127"/>
      <c r="Q77" s="127"/>
      <c r="R77" s="128"/>
      <c r="S77" s="130"/>
      <c r="T77" s="135"/>
      <c r="U77" s="127"/>
      <c r="V77" s="217"/>
      <c r="W77" s="191"/>
      <c r="X77" s="133"/>
      <c r="Y77" s="131"/>
      <c r="Z77" s="131"/>
      <c r="AA77" s="242"/>
      <c r="AB77" s="131"/>
      <c r="AC77" s="131"/>
      <c r="AD77" s="131"/>
      <c r="AE77" s="131"/>
      <c r="AF77" s="131"/>
      <c r="AG77" s="131"/>
      <c r="AH77" s="131"/>
      <c r="AI77" s="131"/>
      <c r="AJ77" s="131"/>
      <c r="AK77" s="131"/>
      <c r="AL77" s="131"/>
      <c r="AM77" s="131"/>
      <c r="AN77" s="131"/>
      <c r="AO77" s="131"/>
      <c r="AP77" s="131"/>
      <c r="AQ77" s="243"/>
      <c r="AR77" s="131"/>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1"/>
      <c r="BO77" s="136"/>
      <c r="BP77" s="131"/>
      <c r="BQ77" s="131"/>
      <c r="BR77" s="131"/>
      <c r="BS77" s="131"/>
      <c r="BT77" s="131"/>
      <c r="BU77" s="131"/>
      <c r="BV77" s="131"/>
      <c r="BW77" s="131"/>
      <c r="BX77" s="131"/>
      <c r="BY77" s="131"/>
      <c r="BZ77" s="131"/>
      <c r="CA77" s="131"/>
      <c r="CB77" s="131"/>
      <c r="CC77" s="131"/>
      <c r="CD77" s="131"/>
      <c r="CE77" s="131"/>
      <c r="CF77" s="136"/>
      <c r="CG77" s="136"/>
      <c r="CH77" s="131"/>
      <c r="CI77" s="131"/>
      <c r="CJ77" s="136"/>
      <c r="CK77" s="136"/>
      <c r="CL77" s="136"/>
      <c r="CM77" s="131"/>
      <c r="CN77" s="131"/>
      <c r="CO77" s="136"/>
      <c r="CP77" s="136"/>
      <c r="CQ77" s="131"/>
      <c r="CR77" s="131"/>
      <c r="CS77" s="131"/>
      <c r="CT77" s="131"/>
      <c r="CU77" s="131"/>
      <c r="CV77" s="131"/>
      <c r="CW77" s="131"/>
      <c r="CX77" s="131"/>
      <c r="CY77" s="136"/>
      <c r="CZ77" s="136"/>
      <c r="DA77" s="131"/>
      <c r="DB77" s="136"/>
      <c r="DC77" s="136"/>
      <c r="DD77" s="131"/>
      <c r="DE77" s="131"/>
      <c r="DF77" s="131"/>
      <c r="DG77" s="136"/>
      <c r="DH77" s="131"/>
      <c r="DI77" s="131"/>
      <c r="DJ77" s="136"/>
      <c r="DK77" s="136"/>
      <c r="DL77" s="136"/>
      <c r="DM77" s="136"/>
      <c r="DN77" s="136"/>
      <c r="DO77" s="136"/>
      <c r="DP77" s="136"/>
      <c r="DQ77" s="136"/>
      <c r="DR77" s="136"/>
      <c r="DS77" s="131"/>
      <c r="DT77" s="136"/>
      <c r="DU77" s="131"/>
      <c r="DV77" s="131"/>
      <c r="DW77" s="131"/>
      <c r="DX77" s="131"/>
      <c r="DY77" s="131"/>
      <c r="DZ77" s="136"/>
      <c r="EA77" s="131"/>
      <c r="EB77" s="131"/>
      <c r="EC77" s="131"/>
      <c r="ED77" s="131"/>
      <c r="EE77" s="137"/>
      <c r="EF77" s="227"/>
      <c r="EG77" s="227"/>
      <c r="EH77" s="228"/>
      <c r="EI77" s="228"/>
      <c r="EJ77" s="228"/>
      <c r="EK77" s="228"/>
    </row>
    <row r="78" spans="1:141">
      <c r="A78" s="132"/>
      <c r="B78" s="18"/>
      <c r="C78" s="18"/>
      <c r="D78" s="220"/>
      <c r="E78" s="130"/>
      <c r="F78" s="126"/>
      <c r="G78" s="18"/>
      <c r="H78" s="189"/>
      <c r="I78" s="18"/>
      <c r="J78" s="18"/>
      <c r="K78" s="189"/>
      <c r="L78" s="18"/>
      <c r="M78" s="129"/>
      <c r="N78" s="189"/>
      <c r="O78" s="132"/>
      <c r="P78" s="127"/>
      <c r="Q78" s="127"/>
      <c r="R78" s="128"/>
      <c r="S78" s="130"/>
      <c r="T78" s="135"/>
      <c r="U78" s="127"/>
      <c r="V78" s="217"/>
      <c r="W78" s="191"/>
      <c r="X78" s="133"/>
      <c r="Y78" s="131"/>
      <c r="Z78" s="131"/>
      <c r="AA78" s="242"/>
      <c r="AB78" s="131"/>
      <c r="AC78" s="131"/>
      <c r="AD78" s="131"/>
      <c r="AE78" s="131"/>
      <c r="AF78" s="131"/>
      <c r="AG78" s="131"/>
      <c r="AH78" s="131"/>
      <c r="AI78" s="131"/>
      <c r="AJ78" s="131"/>
      <c r="AK78" s="131"/>
      <c r="AL78" s="131"/>
      <c r="AM78" s="131"/>
      <c r="AN78" s="131"/>
      <c r="AO78" s="131"/>
      <c r="AP78" s="131"/>
      <c r="AQ78" s="243"/>
      <c r="AR78" s="131"/>
      <c r="AS78" s="131"/>
      <c r="AT78" s="131"/>
      <c r="AU78" s="131"/>
      <c r="AV78" s="131"/>
      <c r="AW78" s="131"/>
      <c r="AX78" s="131"/>
      <c r="AY78" s="131"/>
      <c r="AZ78" s="131"/>
      <c r="BA78" s="131"/>
      <c r="BB78" s="131"/>
      <c r="BC78" s="131"/>
      <c r="BD78" s="131"/>
      <c r="BE78" s="131"/>
      <c r="BF78" s="131"/>
      <c r="BG78" s="131"/>
      <c r="BH78" s="131"/>
      <c r="BI78" s="131"/>
      <c r="BJ78" s="131"/>
      <c r="BK78" s="131"/>
      <c r="BL78" s="131"/>
      <c r="BM78" s="131"/>
      <c r="BN78" s="131"/>
      <c r="BO78" s="136"/>
      <c r="BP78" s="131"/>
      <c r="BQ78" s="131"/>
      <c r="BR78" s="131"/>
      <c r="BS78" s="131"/>
      <c r="BT78" s="131"/>
      <c r="BU78" s="131"/>
      <c r="BV78" s="131"/>
      <c r="BW78" s="131"/>
      <c r="BX78" s="131"/>
      <c r="BY78" s="131"/>
      <c r="BZ78" s="131"/>
      <c r="CA78" s="131"/>
      <c r="CB78" s="131"/>
      <c r="CC78" s="131"/>
      <c r="CD78" s="131"/>
      <c r="CE78" s="131"/>
      <c r="CF78" s="136"/>
      <c r="CG78" s="136"/>
      <c r="CH78" s="131"/>
      <c r="CI78" s="131"/>
      <c r="CJ78" s="136"/>
      <c r="CK78" s="136"/>
      <c r="CL78" s="136"/>
      <c r="CM78" s="131"/>
      <c r="CN78" s="131"/>
      <c r="CO78" s="136"/>
      <c r="CP78" s="136"/>
      <c r="CQ78" s="131"/>
      <c r="CR78" s="131"/>
      <c r="CS78" s="131"/>
      <c r="CT78" s="131"/>
      <c r="CU78" s="131"/>
      <c r="CV78" s="131"/>
      <c r="CW78" s="131"/>
      <c r="CX78" s="131"/>
      <c r="CY78" s="136"/>
      <c r="CZ78" s="136"/>
      <c r="DA78" s="131"/>
      <c r="DB78" s="136"/>
      <c r="DC78" s="136"/>
      <c r="DD78" s="131"/>
      <c r="DE78" s="131"/>
      <c r="DF78" s="131"/>
      <c r="DG78" s="136"/>
      <c r="DH78" s="131"/>
      <c r="DI78" s="131"/>
      <c r="DJ78" s="136"/>
      <c r="DK78" s="136"/>
      <c r="DL78" s="136"/>
      <c r="DM78" s="136"/>
      <c r="DN78" s="136"/>
      <c r="DO78" s="136"/>
      <c r="DP78" s="136"/>
      <c r="DQ78" s="136"/>
      <c r="DR78" s="136"/>
      <c r="DS78" s="131"/>
      <c r="DT78" s="136"/>
      <c r="DU78" s="131"/>
      <c r="DV78" s="131"/>
      <c r="DW78" s="131"/>
      <c r="DX78" s="131"/>
      <c r="DY78" s="131"/>
      <c r="DZ78" s="136"/>
      <c r="EA78" s="131"/>
      <c r="EB78" s="131"/>
      <c r="EC78" s="131"/>
      <c r="ED78" s="131"/>
      <c r="EE78" s="137"/>
      <c r="EF78" s="227"/>
      <c r="EG78" s="227"/>
      <c r="EH78" s="228"/>
      <c r="EI78" s="228"/>
      <c r="EJ78" s="228"/>
      <c r="EK78" s="228"/>
    </row>
    <row r="79" spans="1:141">
      <c r="A79" s="132"/>
      <c r="B79" s="18"/>
      <c r="C79" s="18"/>
      <c r="D79" s="220"/>
      <c r="E79" s="130"/>
      <c r="F79" s="126"/>
      <c r="G79" s="18"/>
      <c r="H79" s="189"/>
      <c r="I79" s="18"/>
      <c r="J79" s="18"/>
      <c r="K79" s="189"/>
      <c r="L79" s="18"/>
      <c r="M79" s="129"/>
      <c r="N79" s="189"/>
      <c r="O79" s="132"/>
      <c r="P79" s="127"/>
      <c r="Q79" s="127"/>
      <c r="R79" s="128"/>
      <c r="S79" s="130"/>
      <c r="T79" s="135"/>
      <c r="U79" s="127"/>
      <c r="V79" s="217"/>
      <c r="W79" s="191"/>
      <c r="X79" s="133"/>
      <c r="Y79" s="131"/>
      <c r="Z79" s="131"/>
      <c r="AA79" s="242"/>
      <c r="AB79" s="131"/>
      <c r="AC79" s="131"/>
      <c r="AD79" s="131"/>
      <c r="AE79" s="131"/>
      <c r="AF79" s="131"/>
      <c r="AG79" s="131"/>
      <c r="AH79" s="131"/>
      <c r="AI79" s="131"/>
      <c r="AJ79" s="131"/>
      <c r="AK79" s="131"/>
      <c r="AL79" s="131"/>
      <c r="AM79" s="131"/>
      <c r="AN79" s="131"/>
      <c r="AO79" s="131"/>
      <c r="AP79" s="131"/>
      <c r="AQ79" s="243"/>
      <c r="AR79" s="131"/>
      <c r="AS79" s="131"/>
      <c r="AT79" s="131"/>
      <c r="AU79" s="131"/>
      <c r="AV79" s="131"/>
      <c r="AW79" s="131"/>
      <c r="AX79" s="131"/>
      <c r="AY79" s="131"/>
      <c r="AZ79" s="131"/>
      <c r="BA79" s="131"/>
      <c r="BB79" s="131"/>
      <c r="BC79" s="131"/>
      <c r="BD79" s="131"/>
      <c r="BE79" s="131"/>
      <c r="BF79" s="131"/>
      <c r="BG79" s="131"/>
      <c r="BH79" s="131"/>
      <c r="BI79" s="131"/>
      <c r="BJ79" s="131"/>
      <c r="BK79" s="131"/>
      <c r="BL79" s="131"/>
      <c r="BM79" s="131"/>
      <c r="BN79" s="131"/>
      <c r="BO79" s="136"/>
      <c r="BP79" s="131"/>
      <c r="BQ79" s="131"/>
      <c r="BR79" s="131"/>
      <c r="BS79" s="131"/>
      <c r="BT79" s="131"/>
      <c r="BU79" s="131"/>
      <c r="BV79" s="131"/>
      <c r="BW79" s="131"/>
      <c r="BX79" s="131"/>
      <c r="BY79" s="131"/>
      <c r="BZ79" s="131"/>
      <c r="CA79" s="131"/>
      <c r="CB79" s="131"/>
      <c r="CC79" s="131"/>
      <c r="CD79" s="131"/>
      <c r="CE79" s="131"/>
      <c r="CF79" s="136"/>
      <c r="CG79" s="136"/>
      <c r="CH79" s="131"/>
      <c r="CI79" s="131"/>
      <c r="CJ79" s="136"/>
      <c r="CK79" s="136"/>
      <c r="CL79" s="136"/>
      <c r="CM79" s="131"/>
      <c r="CN79" s="131"/>
      <c r="CO79" s="136"/>
      <c r="CP79" s="136"/>
      <c r="CQ79" s="131"/>
      <c r="CR79" s="131"/>
      <c r="CS79" s="131"/>
      <c r="CT79" s="131"/>
      <c r="CU79" s="131"/>
      <c r="CV79" s="131"/>
      <c r="CW79" s="131"/>
      <c r="CX79" s="131"/>
      <c r="CY79" s="136"/>
      <c r="CZ79" s="136"/>
      <c r="DA79" s="131"/>
      <c r="DB79" s="136"/>
      <c r="DC79" s="136"/>
      <c r="DD79" s="131"/>
      <c r="DE79" s="131"/>
      <c r="DF79" s="131"/>
      <c r="DG79" s="136"/>
      <c r="DH79" s="131"/>
      <c r="DI79" s="131"/>
      <c r="DJ79" s="136"/>
      <c r="DK79" s="136"/>
      <c r="DL79" s="136"/>
      <c r="DM79" s="136"/>
      <c r="DN79" s="136"/>
      <c r="DO79" s="136"/>
      <c r="DP79" s="136"/>
      <c r="DQ79" s="136"/>
      <c r="DR79" s="136"/>
      <c r="DS79" s="131"/>
      <c r="DT79" s="136"/>
      <c r="DU79" s="131"/>
      <c r="DV79" s="131"/>
      <c r="DW79" s="131"/>
      <c r="DX79" s="131"/>
      <c r="DY79" s="131"/>
      <c r="DZ79" s="136"/>
      <c r="EA79" s="131"/>
      <c r="EB79" s="131"/>
      <c r="EC79" s="131"/>
      <c r="ED79" s="131"/>
      <c r="EE79" s="137"/>
      <c r="EF79" s="227"/>
      <c r="EG79" s="227"/>
      <c r="EH79" s="228"/>
      <c r="EI79" s="228"/>
      <c r="EJ79" s="228"/>
      <c r="EK79" s="228"/>
    </row>
    <row r="80" spans="1:141">
      <c r="A80" s="132"/>
      <c r="B80" s="18"/>
      <c r="C80" s="18"/>
      <c r="D80" s="220"/>
      <c r="E80" s="130"/>
      <c r="F80" s="126"/>
      <c r="G80" s="18"/>
      <c r="H80" s="189"/>
      <c r="I80" s="18"/>
      <c r="J80" s="18"/>
      <c r="K80" s="189"/>
      <c r="L80" s="18"/>
      <c r="M80" s="129"/>
      <c r="N80" s="189"/>
      <c r="O80" s="132"/>
      <c r="P80" s="127"/>
      <c r="Q80" s="127"/>
      <c r="R80" s="128"/>
      <c r="S80" s="130"/>
      <c r="T80" s="135"/>
      <c r="U80" s="127"/>
      <c r="V80" s="217"/>
      <c r="W80" s="191"/>
      <c r="X80" s="133"/>
      <c r="Y80" s="131"/>
      <c r="Z80" s="131"/>
      <c r="AA80" s="242"/>
      <c r="AB80" s="131"/>
      <c r="AC80" s="131"/>
      <c r="AD80" s="131"/>
      <c r="AE80" s="131"/>
      <c r="AF80" s="131"/>
      <c r="AG80" s="131"/>
      <c r="AH80" s="131"/>
      <c r="AI80" s="131"/>
      <c r="AJ80" s="131"/>
      <c r="AK80" s="131"/>
      <c r="AL80" s="131"/>
      <c r="AM80" s="131"/>
      <c r="AN80" s="131"/>
      <c r="AO80" s="131"/>
      <c r="AP80" s="131"/>
      <c r="AQ80" s="243"/>
      <c r="AR80" s="131"/>
      <c r="AS80" s="131"/>
      <c r="AT80" s="131"/>
      <c r="AU80" s="131"/>
      <c r="AV80" s="131"/>
      <c r="AW80" s="131"/>
      <c r="AX80" s="131"/>
      <c r="AY80" s="131"/>
      <c r="AZ80" s="131"/>
      <c r="BA80" s="131"/>
      <c r="BB80" s="131"/>
      <c r="BC80" s="131"/>
      <c r="BD80" s="131"/>
      <c r="BE80" s="131"/>
      <c r="BF80" s="131"/>
      <c r="BG80" s="131"/>
      <c r="BH80" s="131"/>
      <c r="BI80" s="131"/>
      <c r="BJ80" s="131"/>
      <c r="BK80" s="131"/>
      <c r="BL80" s="131"/>
      <c r="BM80" s="131"/>
      <c r="BN80" s="131"/>
      <c r="BO80" s="136"/>
      <c r="BP80" s="131"/>
      <c r="BQ80" s="131"/>
      <c r="BR80" s="131"/>
      <c r="BS80" s="131"/>
      <c r="BT80" s="131"/>
      <c r="BU80" s="131"/>
      <c r="BV80" s="131"/>
      <c r="BW80" s="131"/>
      <c r="BX80" s="131"/>
      <c r="BY80" s="131"/>
      <c r="BZ80" s="131"/>
      <c r="CA80" s="131"/>
      <c r="CB80" s="131"/>
      <c r="CC80" s="131"/>
      <c r="CD80" s="131"/>
      <c r="CE80" s="131"/>
      <c r="CF80" s="136"/>
      <c r="CG80" s="136"/>
      <c r="CH80" s="131"/>
      <c r="CI80" s="131"/>
      <c r="CJ80" s="136"/>
      <c r="CK80" s="136"/>
      <c r="CL80" s="136"/>
      <c r="CM80" s="131"/>
      <c r="CN80" s="131"/>
      <c r="CO80" s="136"/>
      <c r="CP80" s="136"/>
      <c r="CQ80" s="131"/>
      <c r="CR80" s="131"/>
      <c r="CS80" s="131"/>
      <c r="CT80" s="131"/>
      <c r="CU80" s="131"/>
      <c r="CV80" s="131"/>
      <c r="CW80" s="131"/>
      <c r="CX80" s="131"/>
      <c r="CY80" s="136"/>
      <c r="CZ80" s="136"/>
      <c r="DA80" s="131"/>
      <c r="DB80" s="136"/>
      <c r="DC80" s="136"/>
      <c r="DD80" s="131"/>
      <c r="DE80" s="131"/>
      <c r="DF80" s="131"/>
      <c r="DG80" s="136"/>
      <c r="DH80" s="131"/>
      <c r="DI80" s="131"/>
      <c r="DJ80" s="136"/>
      <c r="DK80" s="136"/>
      <c r="DL80" s="136"/>
      <c r="DM80" s="136"/>
      <c r="DN80" s="136"/>
      <c r="DO80" s="136"/>
      <c r="DP80" s="136"/>
      <c r="DQ80" s="136"/>
      <c r="DR80" s="136"/>
      <c r="DS80" s="131"/>
      <c r="DT80" s="136"/>
      <c r="DU80" s="131"/>
      <c r="DV80" s="131"/>
      <c r="DW80" s="131"/>
      <c r="DX80" s="131"/>
      <c r="DY80" s="131"/>
      <c r="DZ80" s="136"/>
      <c r="EA80" s="131"/>
      <c r="EB80" s="131"/>
      <c r="EC80" s="131"/>
      <c r="ED80" s="131"/>
      <c r="EE80" s="137"/>
      <c r="EF80" s="227"/>
      <c r="EG80" s="227"/>
      <c r="EH80" s="228"/>
      <c r="EI80" s="228"/>
      <c r="EJ80" s="228"/>
      <c r="EK80" s="228"/>
    </row>
    <row r="81" spans="1:141">
      <c r="A81" s="132"/>
      <c r="B81" s="18"/>
      <c r="C81" s="18"/>
      <c r="D81" s="220"/>
      <c r="E81" s="130"/>
      <c r="F81" s="126"/>
      <c r="G81" s="18"/>
      <c r="H81" s="189"/>
      <c r="I81" s="18"/>
      <c r="J81" s="18"/>
      <c r="K81" s="189"/>
      <c r="L81" s="18"/>
      <c r="M81" s="129"/>
      <c r="N81" s="189"/>
      <c r="O81" s="132"/>
      <c r="P81" s="127"/>
      <c r="Q81" s="127"/>
      <c r="R81" s="128"/>
      <c r="S81" s="130"/>
      <c r="T81" s="135"/>
      <c r="U81" s="127"/>
      <c r="V81" s="217"/>
      <c r="W81" s="191"/>
      <c r="X81" s="133"/>
      <c r="Y81" s="131"/>
      <c r="Z81" s="131"/>
      <c r="AA81" s="242"/>
      <c r="AB81" s="131"/>
      <c r="AC81" s="131"/>
      <c r="AD81" s="131"/>
      <c r="AE81" s="131"/>
      <c r="AF81" s="131"/>
      <c r="AG81" s="131"/>
      <c r="AH81" s="131"/>
      <c r="AI81" s="131"/>
      <c r="AJ81" s="131"/>
      <c r="AK81" s="131"/>
      <c r="AL81" s="131"/>
      <c r="AM81" s="131"/>
      <c r="AN81" s="131"/>
      <c r="AO81" s="131"/>
      <c r="AP81" s="131"/>
      <c r="AQ81" s="243"/>
      <c r="AR81" s="131"/>
      <c r="AS81" s="131"/>
      <c r="AT81" s="131"/>
      <c r="AU81" s="131"/>
      <c r="AV81" s="131"/>
      <c r="AW81" s="131"/>
      <c r="AX81" s="131"/>
      <c r="AY81" s="131"/>
      <c r="AZ81" s="131"/>
      <c r="BA81" s="131"/>
      <c r="BB81" s="131"/>
      <c r="BC81" s="131"/>
      <c r="BD81" s="131"/>
      <c r="BE81" s="131"/>
      <c r="BF81" s="131"/>
      <c r="BG81" s="131"/>
      <c r="BH81" s="131"/>
      <c r="BI81" s="131"/>
      <c r="BJ81" s="131"/>
      <c r="BK81" s="131"/>
      <c r="BL81" s="131"/>
      <c r="BM81" s="131"/>
      <c r="BN81" s="131"/>
      <c r="BO81" s="136"/>
      <c r="BP81" s="131"/>
      <c r="BQ81" s="131"/>
      <c r="BR81" s="131"/>
      <c r="BS81" s="131"/>
      <c r="BT81" s="131"/>
      <c r="BU81" s="131"/>
      <c r="BV81" s="131"/>
      <c r="BW81" s="131"/>
      <c r="BX81" s="131"/>
      <c r="BY81" s="131"/>
      <c r="BZ81" s="131"/>
      <c r="CA81" s="131"/>
      <c r="CB81" s="131"/>
      <c r="CC81" s="131"/>
      <c r="CD81" s="131"/>
      <c r="CE81" s="131"/>
      <c r="CF81" s="136"/>
      <c r="CG81" s="136"/>
      <c r="CH81" s="131"/>
      <c r="CI81" s="131"/>
      <c r="CJ81" s="136"/>
      <c r="CK81" s="136"/>
      <c r="CL81" s="136"/>
      <c r="CM81" s="131"/>
      <c r="CN81" s="131"/>
      <c r="CO81" s="136"/>
      <c r="CP81" s="136"/>
      <c r="CQ81" s="131"/>
      <c r="CR81" s="131"/>
      <c r="CS81" s="131"/>
      <c r="CT81" s="131"/>
      <c r="CU81" s="131"/>
      <c r="CV81" s="131"/>
      <c r="CW81" s="131"/>
      <c r="CX81" s="131"/>
      <c r="CY81" s="136"/>
      <c r="CZ81" s="136"/>
      <c r="DA81" s="131"/>
      <c r="DB81" s="136"/>
      <c r="DC81" s="136"/>
      <c r="DD81" s="131"/>
      <c r="DE81" s="131"/>
      <c r="DF81" s="131"/>
      <c r="DG81" s="136"/>
      <c r="DH81" s="131"/>
      <c r="DI81" s="131"/>
      <c r="DJ81" s="136"/>
      <c r="DK81" s="136"/>
      <c r="DL81" s="136"/>
      <c r="DM81" s="136"/>
      <c r="DN81" s="136"/>
      <c r="DO81" s="136"/>
      <c r="DP81" s="136"/>
      <c r="DQ81" s="136"/>
      <c r="DR81" s="136"/>
      <c r="DS81" s="131"/>
      <c r="DT81" s="136"/>
      <c r="DU81" s="131"/>
      <c r="DV81" s="131"/>
      <c r="DW81" s="131"/>
      <c r="DX81" s="131"/>
      <c r="DY81" s="131"/>
      <c r="DZ81" s="136"/>
      <c r="EA81" s="131"/>
      <c r="EB81" s="131"/>
      <c r="EC81" s="131"/>
      <c r="ED81" s="131"/>
      <c r="EE81" s="137"/>
      <c r="EF81" s="227"/>
      <c r="EG81" s="227"/>
      <c r="EH81" s="228"/>
      <c r="EI81" s="228"/>
      <c r="EJ81" s="228"/>
      <c r="EK81" s="228"/>
    </row>
    <row r="82" spans="1:141">
      <c r="A82" s="132"/>
      <c r="B82" s="18"/>
      <c r="C82" s="18"/>
      <c r="D82" s="220"/>
      <c r="E82" s="130"/>
      <c r="F82" s="126"/>
      <c r="G82" s="18"/>
      <c r="H82" s="189"/>
      <c r="I82" s="18"/>
      <c r="J82" s="18"/>
      <c r="K82" s="189"/>
      <c r="L82" s="18"/>
      <c r="M82" s="129"/>
      <c r="N82" s="189"/>
      <c r="O82" s="132"/>
      <c r="P82" s="127"/>
      <c r="Q82" s="127"/>
      <c r="R82" s="128"/>
      <c r="S82" s="130"/>
      <c r="T82" s="135"/>
      <c r="U82" s="127"/>
      <c r="V82" s="217"/>
      <c r="W82" s="191"/>
      <c r="X82" s="133"/>
      <c r="Y82" s="131"/>
      <c r="Z82" s="131"/>
      <c r="AA82" s="242"/>
      <c r="AB82" s="131"/>
      <c r="AC82" s="131"/>
      <c r="AD82" s="131"/>
      <c r="AE82" s="131"/>
      <c r="AF82" s="131"/>
      <c r="AG82" s="131"/>
      <c r="AH82" s="131"/>
      <c r="AI82" s="131"/>
      <c r="AJ82" s="131"/>
      <c r="AK82" s="131"/>
      <c r="AL82" s="131"/>
      <c r="AM82" s="131"/>
      <c r="AN82" s="131"/>
      <c r="AO82" s="131"/>
      <c r="AP82" s="131"/>
      <c r="AQ82" s="243"/>
      <c r="AR82" s="131"/>
      <c r="AS82" s="131"/>
      <c r="AT82" s="131"/>
      <c r="AU82" s="131"/>
      <c r="AV82" s="131"/>
      <c r="AW82" s="131"/>
      <c r="AX82" s="131"/>
      <c r="AY82" s="131"/>
      <c r="AZ82" s="131"/>
      <c r="BA82" s="131"/>
      <c r="BB82" s="131"/>
      <c r="BC82" s="131"/>
      <c r="BD82" s="131"/>
      <c r="BE82" s="131"/>
      <c r="BF82" s="131"/>
      <c r="BG82" s="131"/>
      <c r="BH82" s="131"/>
      <c r="BI82" s="131"/>
      <c r="BJ82" s="131"/>
      <c r="BK82" s="131"/>
      <c r="BL82" s="131"/>
      <c r="BM82" s="131"/>
      <c r="BN82" s="131"/>
      <c r="BO82" s="136"/>
      <c r="BP82" s="131"/>
      <c r="BQ82" s="131"/>
      <c r="BR82" s="131"/>
      <c r="BS82" s="131"/>
      <c r="BT82" s="131"/>
      <c r="BU82" s="131"/>
      <c r="BV82" s="131"/>
      <c r="BW82" s="131"/>
      <c r="BX82" s="131"/>
      <c r="BY82" s="131"/>
      <c r="BZ82" s="131"/>
      <c r="CA82" s="131"/>
      <c r="CB82" s="131"/>
      <c r="CC82" s="131"/>
      <c r="CD82" s="131"/>
      <c r="CE82" s="131"/>
      <c r="CF82" s="136"/>
      <c r="CG82" s="136"/>
      <c r="CH82" s="131"/>
      <c r="CI82" s="131"/>
      <c r="CJ82" s="136"/>
      <c r="CK82" s="136"/>
      <c r="CL82" s="136"/>
      <c r="CM82" s="131"/>
      <c r="CN82" s="131"/>
      <c r="CO82" s="136"/>
      <c r="CP82" s="136"/>
      <c r="CQ82" s="131"/>
      <c r="CR82" s="131"/>
      <c r="CS82" s="131"/>
      <c r="CT82" s="131"/>
      <c r="CU82" s="131"/>
      <c r="CV82" s="131"/>
      <c r="CW82" s="131"/>
      <c r="CX82" s="131"/>
      <c r="CY82" s="136"/>
      <c r="CZ82" s="136"/>
      <c r="DA82" s="131"/>
      <c r="DB82" s="136"/>
      <c r="DC82" s="136"/>
      <c r="DD82" s="131"/>
      <c r="DE82" s="131"/>
      <c r="DF82" s="131"/>
      <c r="DG82" s="136"/>
      <c r="DH82" s="131"/>
      <c r="DI82" s="131"/>
      <c r="DJ82" s="136"/>
      <c r="DK82" s="136"/>
      <c r="DL82" s="136"/>
      <c r="DM82" s="136"/>
      <c r="DN82" s="136"/>
      <c r="DO82" s="136"/>
      <c r="DP82" s="136"/>
      <c r="DQ82" s="136"/>
      <c r="DR82" s="136"/>
      <c r="DS82" s="131"/>
      <c r="DT82" s="136"/>
      <c r="DU82" s="131"/>
      <c r="DV82" s="131"/>
      <c r="DW82" s="131"/>
      <c r="DX82" s="131"/>
      <c r="DY82" s="131"/>
      <c r="DZ82" s="136"/>
      <c r="EA82" s="131"/>
      <c r="EB82" s="131"/>
      <c r="EC82" s="131"/>
      <c r="ED82" s="131"/>
      <c r="EE82" s="137"/>
      <c r="EF82" s="227"/>
      <c r="EG82" s="227"/>
      <c r="EH82" s="228"/>
      <c r="EI82" s="228"/>
      <c r="EJ82" s="228"/>
      <c r="EK82" s="228"/>
    </row>
    <row r="83" spans="1:141">
      <c r="A83" s="132"/>
      <c r="B83" s="18"/>
      <c r="C83" s="18"/>
      <c r="D83" s="220"/>
      <c r="E83" s="130"/>
      <c r="F83" s="126"/>
      <c r="G83" s="18"/>
      <c r="H83" s="189"/>
      <c r="I83" s="18"/>
      <c r="J83" s="18"/>
      <c r="K83" s="189"/>
      <c r="L83" s="18"/>
      <c r="M83" s="129"/>
      <c r="N83" s="189"/>
      <c r="O83" s="132"/>
      <c r="P83" s="127"/>
      <c r="Q83" s="127"/>
      <c r="R83" s="128"/>
      <c r="S83" s="130"/>
      <c r="T83" s="135"/>
      <c r="U83" s="127"/>
      <c r="V83" s="217"/>
      <c r="W83" s="191"/>
      <c r="X83" s="133"/>
      <c r="Y83" s="131"/>
      <c r="Z83" s="131"/>
      <c r="AA83" s="242"/>
      <c r="AB83" s="131"/>
      <c r="AC83" s="131"/>
      <c r="AD83" s="131"/>
      <c r="AE83" s="131"/>
      <c r="AF83" s="131"/>
      <c r="AG83" s="131"/>
      <c r="AH83" s="131"/>
      <c r="AI83" s="131"/>
      <c r="AJ83" s="131"/>
      <c r="AK83" s="131"/>
      <c r="AL83" s="131"/>
      <c r="AM83" s="131"/>
      <c r="AN83" s="131"/>
      <c r="AO83" s="131"/>
      <c r="AP83" s="131"/>
      <c r="AQ83" s="243"/>
      <c r="AR83" s="131"/>
      <c r="AS83" s="131"/>
      <c r="AT83" s="131"/>
      <c r="AU83" s="131"/>
      <c r="AV83" s="131"/>
      <c r="AW83" s="131"/>
      <c r="AX83" s="131"/>
      <c r="AY83" s="131"/>
      <c r="AZ83" s="131"/>
      <c r="BA83" s="131"/>
      <c r="BB83" s="131"/>
      <c r="BC83" s="131"/>
      <c r="BD83" s="131"/>
      <c r="BE83" s="131"/>
      <c r="BF83" s="131"/>
      <c r="BG83" s="131"/>
      <c r="BH83" s="131"/>
      <c r="BI83" s="131"/>
      <c r="BJ83" s="131"/>
      <c r="BK83" s="131"/>
      <c r="BL83" s="131"/>
      <c r="BM83" s="131"/>
      <c r="BN83" s="131"/>
      <c r="BO83" s="136"/>
      <c r="BP83" s="131"/>
      <c r="BQ83" s="131"/>
      <c r="BR83" s="131"/>
      <c r="BS83" s="131"/>
      <c r="BT83" s="131"/>
      <c r="BU83" s="131"/>
      <c r="BV83" s="131"/>
      <c r="BW83" s="131"/>
      <c r="BX83" s="131"/>
      <c r="BY83" s="131"/>
      <c r="BZ83" s="131"/>
      <c r="CA83" s="131"/>
      <c r="CB83" s="131"/>
      <c r="CC83" s="131"/>
      <c r="CD83" s="131"/>
      <c r="CE83" s="131"/>
      <c r="CF83" s="136"/>
      <c r="CG83" s="136"/>
      <c r="CH83" s="131"/>
      <c r="CI83" s="131"/>
      <c r="CJ83" s="136"/>
      <c r="CK83" s="136"/>
      <c r="CL83" s="136"/>
      <c r="CM83" s="131"/>
      <c r="CN83" s="131"/>
      <c r="CO83" s="136"/>
      <c r="CP83" s="136"/>
      <c r="CQ83" s="131"/>
      <c r="CR83" s="131"/>
      <c r="CS83" s="131"/>
      <c r="CT83" s="131"/>
      <c r="CU83" s="131"/>
      <c r="CV83" s="131"/>
      <c r="CW83" s="131"/>
      <c r="CX83" s="131"/>
      <c r="CY83" s="136"/>
      <c r="CZ83" s="136"/>
      <c r="DA83" s="131"/>
      <c r="DB83" s="136"/>
      <c r="DC83" s="136"/>
      <c r="DD83" s="131"/>
      <c r="DE83" s="131"/>
      <c r="DF83" s="131"/>
      <c r="DG83" s="136"/>
      <c r="DH83" s="131"/>
      <c r="DI83" s="131"/>
      <c r="DJ83" s="136"/>
      <c r="DK83" s="136"/>
      <c r="DL83" s="136"/>
      <c r="DM83" s="136"/>
      <c r="DN83" s="136"/>
      <c r="DO83" s="136"/>
      <c r="DP83" s="136"/>
      <c r="DQ83" s="136"/>
      <c r="DR83" s="136"/>
      <c r="DS83" s="131"/>
      <c r="DT83" s="136"/>
      <c r="DU83" s="131"/>
      <c r="DV83" s="131"/>
      <c r="DW83" s="131"/>
      <c r="DX83" s="131"/>
      <c r="DY83" s="131"/>
      <c r="DZ83" s="136"/>
      <c r="EA83" s="131"/>
      <c r="EB83" s="131"/>
      <c r="EC83" s="131"/>
      <c r="ED83" s="131"/>
      <c r="EE83" s="137"/>
      <c r="EF83" s="227"/>
      <c r="EG83" s="227"/>
      <c r="EH83" s="228"/>
      <c r="EI83" s="228"/>
      <c r="EJ83" s="228"/>
      <c r="EK83" s="228"/>
    </row>
    <row r="84" spans="1:141">
      <c r="A84" s="132"/>
      <c r="B84" s="18"/>
      <c r="C84" s="18"/>
      <c r="D84" s="220"/>
      <c r="E84" s="130"/>
      <c r="F84" s="126"/>
      <c r="G84" s="18"/>
      <c r="H84" s="189"/>
      <c r="I84" s="18"/>
      <c r="J84" s="18"/>
      <c r="K84" s="189"/>
      <c r="L84" s="18"/>
      <c r="M84" s="129"/>
      <c r="N84" s="189"/>
      <c r="O84" s="132"/>
      <c r="P84" s="127"/>
      <c r="Q84" s="127"/>
      <c r="R84" s="128"/>
      <c r="S84" s="130"/>
      <c r="T84" s="135"/>
      <c r="U84" s="127"/>
      <c r="V84" s="217"/>
      <c r="W84" s="191"/>
      <c r="X84" s="133"/>
      <c r="Y84" s="131"/>
      <c r="Z84" s="131"/>
      <c r="AA84" s="242"/>
      <c r="AB84" s="131"/>
      <c r="AC84" s="131"/>
      <c r="AD84" s="131"/>
      <c r="AE84" s="131"/>
      <c r="AF84" s="131"/>
      <c r="AG84" s="131"/>
      <c r="AH84" s="131"/>
      <c r="AI84" s="131"/>
      <c r="AJ84" s="131"/>
      <c r="AK84" s="131"/>
      <c r="AL84" s="131"/>
      <c r="AM84" s="131"/>
      <c r="AN84" s="131"/>
      <c r="AO84" s="131"/>
      <c r="AP84" s="131"/>
      <c r="AQ84" s="243"/>
      <c r="AR84" s="131"/>
      <c r="AS84" s="131"/>
      <c r="AT84" s="131"/>
      <c r="AU84" s="131"/>
      <c r="AV84" s="131"/>
      <c r="AW84" s="131"/>
      <c r="AX84" s="131"/>
      <c r="AY84" s="131"/>
      <c r="AZ84" s="131"/>
      <c r="BA84" s="131"/>
      <c r="BB84" s="131"/>
      <c r="BC84" s="131"/>
      <c r="BD84" s="131"/>
      <c r="BE84" s="131"/>
      <c r="BF84" s="131"/>
      <c r="BG84" s="131"/>
      <c r="BH84" s="131"/>
      <c r="BI84" s="131"/>
      <c r="BJ84" s="131"/>
      <c r="BK84" s="131"/>
      <c r="BL84" s="131"/>
      <c r="BM84" s="131"/>
      <c r="BN84" s="131"/>
      <c r="BO84" s="136"/>
      <c r="BP84" s="131"/>
      <c r="BQ84" s="131"/>
      <c r="BR84" s="131"/>
      <c r="BS84" s="131"/>
      <c r="BT84" s="131"/>
      <c r="BU84" s="131"/>
      <c r="BV84" s="131"/>
      <c r="BW84" s="131"/>
      <c r="BX84" s="131"/>
      <c r="BY84" s="131"/>
      <c r="BZ84" s="131"/>
      <c r="CA84" s="131"/>
      <c r="CB84" s="131"/>
      <c r="CC84" s="131"/>
      <c r="CD84" s="131"/>
      <c r="CE84" s="131"/>
      <c r="CF84" s="136"/>
      <c r="CG84" s="136"/>
      <c r="CH84" s="131"/>
      <c r="CI84" s="131"/>
      <c r="CJ84" s="136"/>
      <c r="CK84" s="136"/>
      <c r="CL84" s="136"/>
      <c r="CM84" s="131"/>
      <c r="CN84" s="131"/>
      <c r="CO84" s="136"/>
      <c r="CP84" s="136"/>
      <c r="CQ84" s="131"/>
      <c r="CR84" s="131"/>
      <c r="CS84" s="131"/>
      <c r="CT84" s="131"/>
      <c r="CU84" s="131"/>
      <c r="CV84" s="131"/>
      <c r="CW84" s="131"/>
      <c r="CX84" s="131"/>
      <c r="CY84" s="136"/>
      <c r="CZ84" s="136"/>
      <c r="DA84" s="131"/>
      <c r="DB84" s="136"/>
      <c r="DC84" s="136"/>
      <c r="DD84" s="131"/>
      <c r="DE84" s="131"/>
      <c r="DF84" s="131"/>
      <c r="DG84" s="136"/>
      <c r="DH84" s="131"/>
      <c r="DI84" s="131"/>
      <c r="DJ84" s="136"/>
      <c r="DK84" s="136"/>
      <c r="DL84" s="136"/>
      <c r="DM84" s="136"/>
      <c r="DN84" s="136"/>
      <c r="DO84" s="136"/>
      <c r="DP84" s="136"/>
      <c r="DQ84" s="136"/>
      <c r="DR84" s="136"/>
      <c r="DS84" s="131"/>
      <c r="DT84" s="136"/>
      <c r="DU84" s="131"/>
      <c r="DV84" s="131"/>
      <c r="DW84" s="131"/>
      <c r="DX84" s="131"/>
      <c r="DY84" s="131"/>
      <c r="DZ84" s="136"/>
      <c r="EA84" s="131"/>
      <c r="EB84" s="131"/>
      <c r="EC84" s="131"/>
      <c r="ED84" s="131"/>
      <c r="EE84" s="137"/>
      <c r="EF84" s="227"/>
      <c r="EG84" s="227"/>
      <c r="EH84" s="228"/>
      <c r="EI84" s="228"/>
      <c r="EJ84" s="228"/>
      <c r="EK84" s="228"/>
    </row>
    <row r="85" spans="1:141">
      <c r="A85" s="132"/>
      <c r="B85" s="18"/>
      <c r="C85" s="18"/>
      <c r="D85" s="220"/>
      <c r="E85" s="130"/>
      <c r="F85" s="126"/>
      <c r="G85" s="18"/>
      <c r="H85" s="189"/>
      <c r="I85" s="18"/>
      <c r="J85" s="18"/>
      <c r="K85" s="189"/>
      <c r="L85" s="18"/>
      <c r="M85" s="129"/>
      <c r="N85" s="189"/>
      <c r="O85" s="132"/>
      <c r="P85" s="127"/>
      <c r="Q85" s="127"/>
      <c r="R85" s="128"/>
      <c r="S85" s="130"/>
      <c r="T85" s="135"/>
      <c r="U85" s="127"/>
      <c r="V85" s="217"/>
      <c r="W85" s="191"/>
      <c r="X85" s="133"/>
      <c r="Y85" s="131"/>
      <c r="Z85" s="131"/>
      <c r="AA85" s="242"/>
      <c r="AB85" s="131"/>
      <c r="AC85" s="131"/>
      <c r="AD85" s="131"/>
      <c r="AE85" s="131"/>
      <c r="AF85" s="131"/>
      <c r="AG85" s="131"/>
      <c r="AH85" s="131"/>
      <c r="AI85" s="131"/>
      <c r="AJ85" s="131"/>
      <c r="AK85" s="131"/>
      <c r="AL85" s="131"/>
      <c r="AM85" s="131"/>
      <c r="AN85" s="131"/>
      <c r="AO85" s="131"/>
      <c r="AP85" s="131"/>
      <c r="AQ85" s="243"/>
      <c r="AR85" s="131"/>
      <c r="AS85" s="131"/>
      <c r="AT85" s="131"/>
      <c r="AU85" s="131"/>
      <c r="AV85" s="131"/>
      <c r="AW85" s="131"/>
      <c r="AX85" s="131"/>
      <c r="AY85" s="131"/>
      <c r="AZ85" s="131"/>
      <c r="BA85" s="131"/>
      <c r="BB85" s="131"/>
      <c r="BC85" s="131"/>
      <c r="BD85" s="131"/>
      <c r="BE85" s="131"/>
      <c r="BF85" s="131"/>
      <c r="BG85" s="131"/>
      <c r="BH85" s="131"/>
      <c r="BI85" s="131"/>
      <c r="BJ85" s="131"/>
      <c r="BK85" s="131"/>
      <c r="BL85" s="131"/>
      <c r="BM85" s="131"/>
      <c r="BN85" s="131"/>
      <c r="BO85" s="136"/>
      <c r="BP85" s="131"/>
      <c r="BQ85" s="131"/>
      <c r="BR85" s="131"/>
      <c r="BS85" s="131"/>
      <c r="BT85" s="131"/>
      <c r="BU85" s="131"/>
      <c r="BV85" s="131"/>
      <c r="BW85" s="131"/>
      <c r="BX85" s="131"/>
      <c r="BY85" s="131"/>
      <c r="BZ85" s="131"/>
      <c r="CA85" s="131"/>
      <c r="CB85" s="131"/>
      <c r="CC85" s="131"/>
      <c r="CD85" s="131"/>
      <c r="CE85" s="131"/>
      <c r="CF85" s="136"/>
      <c r="CG85" s="136"/>
      <c r="CH85" s="131"/>
      <c r="CI85" s="131"/>
      <c r="CJ85" s="136"/>
      <c r="CK85" s="136"/>
      <c r="CL85" s="136"/>
      <c r="CM85" s="131"/>
      <c r="CN85" s="131"/>
      <c r="CO85" s="136"/>
      <c r="CP85" s="136"/>
      <c r="CQ85" s="131"/>
      <c r="CR85" s="131"/>
      <c r="CS85" s="131"/>
      <c r="CT85" s="131"/>
      <c r="CU85" s="131"/>
      <c r="CV85" s="131"/>
      <c r="CW85" s="131"/>
      <c r="CX85" s="131"/>
      <c r="CY85" s="136"/>
      <c r="CZ85" s="136"/>
      <c r="DA85" s="131"/>
      <c r="DB85" s="136"/>
      <c r="DC85" s="136"/>
      <c r="DD85" s="131"/>
      <c r="DE85" s="131"/>
      <c r="DF85" s="131"/>
      <c r="DG85" s="136"/>
      <c r="DH85" s="131"/>
      <c r="DI85" s="131"/>
      <c r="DJ85" s="136"/>
      <c r="DK85" s="136"/>
      <c r="DL85" s="136"/>
      <c r="DM85" s="136"/>
      <c r="DN85" s="136"/>
      <c r="DO85" s="136"/>
      <c r="DP85" s="136"/>
      <c r="DQ85" s="136"/>
      <c r="DR85" s="136"/>
      <c r="DS85" s="131"/>
      <c r="DT85" s="136"/>
      <c r="DU85" s="131"/>
      <c r="DV85" s="131"/>
      <c r="DW85" s="131"/>
      <c r="DX85" s="131"/>
      <c r="DY85" s="131"/>
      <c r="DZ85" s="136"/>
      <c r="EA85" s="131"/>
      <c r="EB85" s="131"/>
      <c r="EC85" s="131"/>
      <c r="ED85" s="131"/>
      <c r="EE85" s="137"/>
      <c r="EF85" s="227"/>
      <c r="EG85" s="227"/>
      <c r="EH85" s="228"/>
      <c r="EI85" s="228"/>
      <c r="EJ85" s="228"/>
      <c r="EK85" s="228"/>
    </row>
    <row r="86" spans="1:141">
      <c r="A86" s="132"/>
      <c r="B86" s="18"/>
      <c r="C86" s="18"/>
      <c r="D86" s="220"/>
      <c r="E86" s="130"/>
      <c r="F86" s="126"/>
      <c r="G86" s="18"/>
      <c r="H86" s="189"/>
      <c r="I86" s="18"/>
      <c r="J86" s="18"/>
      <c r="K86" s="189"/>
      <c r="L86" s="18"/>
      <c r="M86" s="129"/>
      <c r="N86" s="189"/>
      <c r="O86" s="132"/>
      <c r="P86" s="127"/>
      <c r="Q86" s="127"/>
      <c r="R86" s="128"/>
      <c r="S86" s="130"/>
      <c r="T86" s="135"/>
      <c r="U86" s="127"/>
      <c r="V86" s="217"/>
      <c r="W86" s="191"/>
      <c r="X86" s="133"/>
      <c r="Y86" s="131"/>
      <c r="Z86" s="131"/>
      <c r="AA86" s="242"/>
      <c r="AB86" s="131"/>
      <c r="AC86" s="131"/>
      <c r="AD86" s="131"/>
      <c r="AE86" s="131"/>
      <c r="AF86" s="131"/>
      <c r="AG86" s="131"/>
      <c r="AH86" s="131"/>
      <c r="AI86" s="131"/>
      <c r="AJ86" s="131"/>
      <c r="AK86" s="131"/>
      <c r="AL86" s="131"/>
      <c r="AM86" s="131"/>
      <c r="AN86" s="131"/>
      <c r="AO86" s="131"/>
      <c r="AP86" s="131"/>
      <c r="AQ86" s="243"/>
      <c r="AR86" s="131"/>
      <c r="AS86" s="131"/>
      <c r="AT86" s="131"/>
      <c r="AU86" s="131"/>
      <c r="AV86" s="131"/>
      <c r="AW86" s="131"/>
      <c r="AX86" s="131"/>
      <c r="AY86" s="131"/>
      <c r="AZ86" s="131"/>
      <c r="BA86" s="131"/>
      <c r="BB86" s="131"/>
      <c r="BC86" s="131"/>
      <c r="BD86" s="131"/>
      <c r="BE86" s="131"/>
      <c r="BF86" s="131"/>
      <c r="BG86" s="131"/>
      <c r="BH86" s="131"/>
      <c r="BI86" s="131"/>
      <c r="BJ86" s="131"/>
      <c r="BK86" s="131"/>
      <c r="BL86" s="131"/>
      <c r="BM86" s="131"/>
      <c r="BN86" s="131"/>
      <c r="BO86" s="136"/>
      <c r="BP86" s="131"/>
      <c r="BQ86" s="131"/>
      <c r="BR86" s="131"/>
      <c r="BS86" s="131"/>
      <c r="BT86" s="131"/>
      <c r="BU86" s="131"/>
      <c r="BV86" s="131"/>
      <c r="BW86" s="131"/>
      <c r="BX86" s="131"/>
      <c r="BY86" s="131"/>
      <c r="BZ86" s="131"/>
      <c r="CA86" s="131"/>
      <c r="CB86" s="131"/>
      <c r="CC86" s="131"/>
      <c r="CD86" s="131"/>
      <c r="CE86" s="131"/>
      <c r="CF86" s="136"/>
      <c r="CG86" s="136"/>
      <c r="CH86" s="131"/>
      <c r="CI86" s="131"/>
      <c r="CJ86" s="136"/>
      <c r="CK86" s="136"/>
      <c r="CL86" s="136"/>
      <c r="CM86" s="131"/>
      <c r="CN86" s="131"/>
      <c r="CO86" s="136"/>
      <c r="CP86" s="136"/>
      <c r="CQ86" s="131"/>
      <c r="CR86" s="131"/>
      <c r="CS86" s="131"/>
      <c r="CT86" s="131"/>
      <c r="CU86" s="131"/>
      <c r="CV86" s="131"/>
      <c r="CW86" s="131"/>
      <c r="CX86" s="131"/>
      <c r="CY86" s="136"/>
      <c r="CZ86" s="136"/>
      <c r="DA86" s="131"/>
      <c r="DB86" s="136"/>
      <c r="DC86" s="136"/>
      <c r="DD86" s="131"/>
      <c r="DE86" s="131"/>
      <c r="DF86" s="131"/>
      <c r="DG86" s="136"/>
      <c r="DH86" s="131"/>
      <c r="DI86" s="131"/>
      <c r="DJ86" s="136"/>
      <c r="DK86" s="136"/>
      <c r="DL86" s="136"/>
      <c r="DM86" s="136"/>
      <c r="DN86" s="136"/>
      <c r="DO86" s="136"/>
      <c r="DP86" s="136"/>
      <c r="DQ86" s="136"/>
      <c r="DR86" s="136"/>
      <c r="DS86" s="131"/>
      <c r="DT86" s="136"/>
      <c r="DU86" s="131"/>
      <c r="DV86" s="131"/>
      <c r="DW86" s="131"/>
      <c r="DX86" s="131"/>
      <c r="DY86" s="131"/>
      <c r="DZ86" s="136"/>
      <c r="EA86" s="131"/>
      <c r="EB86" s="131"/>
      <c r="EC86" s="131"/>
      <c r="ED86" s="131"/>
      <c r="EE86" s="137"/>
      <c r="EF86" s="227"/>
      <c r="EG86" s="227"/>
      <c r="EH86" s="228"/>
      <c r="EI86" s="228"/>
      <c r="EJ86" s="228"/>
      <c r="EK86" s="228"/>
    </row>
    <row r="87" spans="1:141">
      <c r="A87" s="132"/>
      <c r="B87" s="18"/>
      <c r="C87" s="18"/>
      <c r="D87" s="220"/>
      <c r="E87" s="130"/>
      <c r="F87" s="126"/>
      <c r="G87" s="18"/>
      <c r="H87" s="189"/>
      <c r="I87" s="18"/>
      <c r="J87" s="18"/>
      <c r="K87" s="189"/>
      <c r="L87" s="18"/>
      <c r="M87" s="129"/>
      <c r="N87" s="189"/>
      <c r="O87" s="132"/>
      <c r="P87" s="127"/>
      <c r="Q87" s="127"/>
      <c r="R87" s="128"/>
      <c r="S87" s="130"/>
      <c r="T87" s="135"/>
      <c r="U87" s="127"/>
      <c r="V87" s="217"/>
      <c r="W87" s="191"/>
      <c r="X87" s="133"/>
      <c r="Y87" s="131"/>
      <c r="Z87" s="131"/>
      <c r="AA87" s="242"/>
      <c r="AB87" s="131"/>
      <c r="AC87" s="131"/>
      <c r="AD87" s="131"/>
      <c r="AE87" s="131"/>
      <c r="AF87" s="131"/>
      <c r="AG87" s="131"/>
      <c r="AH87" s="131"/>
      <c r="AI87" s="131"/>
      <c r="AJ87" s="131"/>
      <c r="AK87" s="131"/>
      <c r="AL87" s="131"/>
      <c r="AM87" s="131"/>
      <c r="AN87" s="131"/>
      <c r="AO87" s="131"/>
      <c r="AP87" s="131"/>
      <c r="AQ87" s="243"/>
      <c r="AR87" s="131"/>
      <c r="AS87" s="131"/>
      <c r="AT87" s="131"/>
      <c r="AU87" s="131"/>
      <c r="AV87" s="131"/>
      <c r="AW87" s="131"/>
      <c r="AX87" s="131"/>
      <c r="AY87" s="131"/>
      <c r="AZ87" s="131"/>
      <c r="BA87" s="131"/>
      <c r="BB87" s="131"/>
      <c r="BC87" s="131"/>
      <c r="BD87" s="131"/>
      <c r="BE87" s="131"/>
      <c r="BF87" s="131"/>
      <c r="BG87" s="131"/>
      <c r="BH87" s="131"/>
      <c r="BI87" s="131"/>
      <c r="BJ87" s="131"/>
      <c r="BK87" s="131"/>
      <c r="BL87" s="131"/>
      <c r="BM87" s="131"/>
      <c r="BN87" s="131"/>
      <c r="BO87" s="136"/>
      <c r="BP87" s="131"/>
      <c r="BQ87" s="131"/>
      <c r="BR87" s="131"/>
      <c r="BS87" s="131"/>
      <c r="BT87" s="131"/>
      <c r="BU87" s="131"/>
      <c r="BV87" s="131"/>
      <c r="BW87" s="131"/>
      <c r="BX87" s="131"/>
      <c r="BY87" s="131"/>
      <c r="BZ87" s="131"/>
      <c r="CA87" s="131"/>
      <c r="CB87" s="131"/>
      <c r="CC87" s="131"/>
      <c r="CD87" s="131"/>
      <c r="CE87" s="131"/>
      <c r="CF87" s="136"/>
      <c r="CG87" s="136"/>
      <c r="CH87" s="131"/>
      <c r="CI87" s="131"/>
      <c r="CJ87" s="136"/>
      <c r="CK87" s="136"/>
      <c r="CL87" s="136"/>
      <c r="CM87" s="131"/>
      <c r="CN87" s="131"/>
      <c r="CO87" s="136"/>
      <c r="CP87" s="136"/>
      <c r="CQ87" s="131"/>
      <c r="CR87" s="131"/>
      <c r="CS87" s="131"/>
      <c r="CT87" s="131"/>
      <c r="CU87" s="131"/>
      <c r="CV87" s="131"/>
      <c r="CW87" s="131"/>
      <c r="CX87" s="131"/>
      <c r="CY87" s="136"/>
      <c r="CZ87" s="136"/>
      <c r="DA87" s="131"/>
      <c r="DB87" s="136"/>
      <c r="DC87" s="136"/>
      <c r="DD87" s="131"/>
      <c r="DE87" s="131"/>
      <c r="DF87" s="131"/>
      <c r="DG87" s="136"/>
      <c r="DH87" s="131"/>
      <c r="DI87" s="131"/>
      <c r="DJ87" s="136"/>
      <c r="DK87" s="136"/>
      <c r="DL87" s="136"/>
      <c r="DM87" s="136"/>
      <c r="DN87" s="136"/>
      <c r="DO87" s="136"/>
      <c r="DP87" s="136"/>
      <c r="DQ87" s="136"/>
      <c r="DR87" s="136"/>
      <c r="DS87" s="131"/>
      <c r="DT87" s="136"/>
      <c r="DU87" s="131"/>
      <c r="DV87" s="131"/>
      <c r="DW87" s="131"/>
      <c r="DX87" s="131"/>
      <c r="DY87" s="131"/>
      <c r="DZ87" s="136"/>
      <c r="EA87" s="131"/>
      <c r="EB87" s="131"/>
      <c r="EC87" s="131"/>
      <c r="ED87" s="131"/>
      <c r="EE87" s="137"/>
      <c r="EF87" s="227"/>
      <c r="EG87" s="227"/>
      <c r="EH87" s="228"/>
      <c r="EI87" s="228"/>
      <c r="EJ87" s="228"/>
      <c r="EK87" s="228"/>
    </row>
    <row r="88" spans="1:141">
      <c r="A88" s="132"/>
      <c r="B88" s="18"/>
      <c r="C88" s="18"/>
      <c r="D88" s="220"/>
      <c r="E88" s="130"/>
      <c r="F88" s="126"/>
      <c r="G88" s="18"/>
      <c r="H88" s="189"/>
      <c r="I88" s="18"/>
      <c r="J88" s="18"/>
      <c r="K88" s="189"/>
      <c r="L88" s="18"/>
      <c r="M88" s="129"/>
      <c r="N88" s="189"/>
      <c r="O88" s="132"/>
      <c r="P88" s="127"/>
      <c r="Q88" s="127"/>
      <c r="R88" s="128"/>
      <c r="S88" s="130"/>
      <c r="T88" s="135"/>
      <c r="U88" s="127"/>
      <c r="V88" s="217"/>
      <c r="W88" s="191"/>
      <c r="X88" s="133"/>
      <c r="Y88" s="131"/>
      <c r="Z88" s="131"/>
      <c r="AA88" s="242"/>
      <c r="AB88" s="131"/>
      <c r="AC88" s="131"/>
      <c r="AD88" s="131"/>
      <c r="AE88" s="131"/>
      <c r="AF88" s="131"/>
      <c r="AG88" s="131"/>
      <c r="AH88" s="131"/>
      <c r="AI88" s="131"/>
      <c r="AJ88" s="131"/>
      <c r="AK88" s="131"/>
      <c r="AL88" s="131"/>
      <c r="AM88" s="131"/>
      <c r="AN88" s="131"/>
      <c r="AO88" s="131"/>
      <c r="AP88" s="131"/>
      <c r="AQ88" s="243"/>
      <c r="AR88" s="131"/>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6"/>
      <c r="BP88" s="131"/>
      <c r="BQ88" s="131"/>
      <c r="BR88" s="131"/>
      <c r="BS88" s="131"/>
      <c r="BT88" s="131"/>
      <c r="BU88" s="131"/>
      <c r="BV88" s="131"/>
      <c r="BW88" s="131"/>
      <c r="BX88" s="131"/>
      <c r="BY88" s="131"/>
      <c r="BZ88" s="131"/>
      <c r="CA88" s="131"/>
      <c r="CB88" s="131"/>
      <c r="CC88" s="131"/>
      <c r="CD88" s="131"/>
      <c r="CE88" s="131"/>
      <c r="CF88" s="136"/>
      <c r="CG88" s="136"/>
      <c r="CH88" s="131"/>
      <c r="CI88" s="131"/>
      <c r="CJ88" s="136"/>
      <c r="CK88" s="136"/>
      <c r="CL88" s="136"/>
      <c r="CM88" s="131"/>
      <c r="CN88" s="131"/>
      <c r="CO88" s="136"/>
      <c r="CP88" s="136"/>
      <c r="CQ88" s="131"/>
      <c r="CR88" s="131"/>
      <c r="CS88" s="131"/>
      <c r="CT88" s="131"/>
      <c r="CU88" s="131"/>
      <c r="CV88" s="131"/>
      <c r="CW88" s="131"/>
      <c r="CX88" s="131"/>
      <c r="CY88" s="136"/>
      <c r="CZ88" s="136"/>
      <c r="DA88" s="131"/>
      <c r="DB88" s="136"/>
      <c r="DC88" s="136"/>
      <c r="DD88" s="131"/>
      <c r="DE88" s="131"/>
      <c r="DF88" s="131"/>
      <c r="DG88" s="136"/>
      <c r="DH88" s="131"/>
      <c r="DI88" s="131"/>
      <c r="DJ88" s="136"/>
      <c r="DK88" s="136"/>
      <c r="DL88" s="136"/>
      <c r="DM88" s="136"/>
      <c r="DN88" s="136"/>
      <c r="DO88" s="136"/>
      <c r="DP88" s="136"/>
      <c r="DQ88" s="136"/>
      <c r="DR88" s="136"/>
      <c r="DS88" s="131"/>
      <c r="DT88" s="136"/>
      <c r="DU88" s="131"/>
      <c r="DV88" s="131"/>
      <c r="DW88" s="131"/>
      <c r="DX88" s="131"/>
      <c r="DY88" s="131"/>
      <c r="DZ88" s="136"/>
      <c r="EA88" s="131"/>
      <c r="EB88" s="131"/>
      <c r="EC88" s="131"/>
      <c r="ED88" s="131"/>
      <c r="EE88" s="137"/>
      <c r="EF88" s="227"/>
      <c r="EG88" s="227"/>
      <c r="EH88" s="228"/>
      <c r="EI88" s="228"/>
      <c r="EJ88" s="228"/>
      <c r="EK88" s="228"/>
    </row>
    <row r="89" spans="1:141">
      <c r="A89" s="132"/>
      <c r="B89" s="18"/>
      <c r="C89" s="18"/>
      <c r="D89" s="220"/>
      <c r="E89" s="130"/>
      <c r="F89" s="126"/>
      <c r="G89" s="18"/>
      <c r="H89" s="189"/>
      <c r="I89" s="18"/>
      <c r="J89" s="18"/>
      <c r="K89" s="189"/>
      <c r="L89" s="18"/>
      <c r="M89" s="129"/>
      <c r="N89" s="189"/>
      <c r="O89" s="132"/>
      <c r="P89" s="127"/>
      <c r="Q89" s="127"/>
      <c r="R89" s="128"/>
      <c r="S89" s="130"/>
      <c r="T89" s="135"/>
      <c r="U89" s="127"/>
      <c r="V89" s="217"/>
      <c r="W89" s="191"/>
      <c r="X89" s="133"/>
      <c r="Y89" s="131"/>
      <c r="Z89" s="131"/>
      <c r="AA89" s="242"/>
      <c r="AB89" s="131"/>
      <c r="AC89" s="131"/>
      <c r="AD89" s="131"/>
      <c r="AE89" s="131"/>
      <c r="AF89" s="131"/>
      <c r="AG89" s="131"/>
      <c r="AH89" s="131"/>
      <c r="AI89" s="131"/>
      <c r="AJ89" s="131"/>
      <c r="AK89" s="131"/>
      <c r="AL89" s="131"/>
      <c r="AM89" s="131"/>
      <c r="AN89" s="131"/>
      <c r="AO89" s="131"/>
      <c r="AP89" s="131"/>
      <c r="AQ89" s="243"/>
      <c r="AR89" s="131"/>
      <c r="AS89" s="131"/>
      <c r="AT89" s="131"/>
      <c r="AU89" s="131"/>
      <c r="AV89" s="131"/>
      <c r="AW89" s="131"/>
      <c r="AX89" s="131"/>
      <c r="AY89" s="131"/>
      <c r="AZ89" s="131"/>
      <c r="BA89" s="131"/>
      <c r="BB89" s="131"/>
      <c r="BC89" s="131"/>
      <c r="BD89" s="131"/>
      <c r="BE89" s="131"/>
      <c r="BF89" s="131"/>
      <c r="BG89" s="131"/>
      <c r="BH89" s="131"/>
      <c r="BI89" s="131"/>
      <c r="BJ89" s="131"/>
      <c r="BK89" s="131"/>
      <c r="BL89" s="131"/>
      <c r="BM89" s="131"/>
      <c r="BN89" s="131"/>
      <c r="BO89" s="136"/>
      <c r="BP89" s="131"/>
      <c r="BQ89" s="131"/>
      <c r="BR89" s="131"/>
      <c r="BS89" s="131"/>
      <c r="BT89" s="131"/>
      <c r="BU89" s="131"/>
      <c r="BV89" s="131"/>
      <c r="BW89" s="131"/>
      <c r="BX89" s="131"/>
      <c r="BY89" s="131"/>
      <c r="BZ89" s="131"/>
      <c r="CA89" s="131"/>
      <c r="CB89" s="131"/>
      <c r="CC89" s="131"/>
      <c r="CD89" s="131"/>
      <c r="CE89" s="131"/>
      <c r="CF89" s="136"/>
      <c r="CG89" s="136"/>
      <c r="CH89" s="131"/>
      <c r="CI89" s="131"/>
      <c r="CJ89" s="136"/>
      <c r="CK89" s="136"/>
      <c r="CL89" s="136"/>
      <c r="CM89" s="131"/>
      <c r="CN89" s="131"/>
      <c r="CO89" s="136"/>
      <c r="CP89" s="136"/>
      <c r="CQ89" s="131"/>
      <c r="CR89" s="131"/>
      <c r="CS89" s="131"/>
      <c r="CT89" s="131"/>
      <c r="CU89" s="131"/>
      <c r="CV89" s="131"/>
      <c r="CW89" s="131"/>
      <c r="CX89" s="131"/>
      <c r="CY89" s="136"/>
      <c r="CZ89" s="136"/>
      <c r="DA89" s="131"/>
      <c r="DB89" s="136"/>
      <c r="DC89" s="136"/>
      <c r="DD89" s="131"/>
      <c r="DE89" s="131"/>
      <c r="DF89" s="131"/>
      <c r="DG89" s="136"/>
      <c r="DH89" s="131"/>
      <c r="DI89" s="131"/>
      <c r="DJ89" s="136"/>
      <c r="DK89" s="136"/>
      <c r="DL89" s="136"/>
      <c r="DM89" s="136"/>
      <c r="DN89" s="136"/>
      <c r="DO89" s="136"/>
      <c r="DP89" s="136"/>
      <c r="DQ89" s="136"/>
      <c r="DR89" s="136"/>
      <c r="DS89" s="131"/>
      <c r="DT89" s="136"/>
      <c r="DU89" s="131"/>
      <c r="DV89" s="131"/>
      <c r="DW89" s="131"/>
      <c r="DX89" s="131"/>
      <c r="DY89" s="131"/>
      <c r="DZ89" s="136"/>
      <c r="EA89" s="131"/>
      <c r="EB89" s="131"/>
      <c r="EC89" s="131"/>
      <c r="ED89" s="131"/>
      <c r="EE89" s="137"/>
      <c r="EF89" s="227"/>
      <c r="EG89" s="227"/>
      <c r="EH89" s="228"/>
      <c r="EI89" s="228"/>
      <c r="EJ89" s="228"/>
      <c r="EK89" s="228"/>
    </row>
    <row r="90" spans="1:141">
      <c r="A90" s="132"/>
      <c r="B90" s="18"/>
      <c r="C90" s="18"/>
      <c r="D90" s="220"/>
      <c r="E90" s="130"/>
      <c r="F90" s="126"/>
      <c r="G90" s="18"/>
      <c r="H90" s="189"/>
      <c r="I90" s="18"/>
      <c r="J90" s="18"/>
      <c r="K90" s="189"/>
      <c r="L90" s="18"/>
      <c r="M90" s="129"/>
      <c r="N90" s="189"/>
      <c r="O90" s="132"/>
      <c r="P90" s="127"/>
      <c r="Q90" s="127"/>
      <c r="R90" s="128"/>
      <c r="S90" s="130"/>
      <c r="T90" s="135"/>
      <c r="U90" s="127"/>
      <c r="V90" s="217"/>
      <c r="W90" s="191"/>
      <c r="X90" s="133"/>
      <c r="Y90" s="131"/>
      <c r="Z90" s="131"/>
      <c r="AA90" s="242"/>
      <c r="AB90" s="131"/>
      <c r="AC90" s="131"/>
      <c r="AD90" s="131"/>
      <c r="AE90" s="131"/>
      <c r="AF90" s="131"/>
      <c r="AG90" s="131"/>
      <c r="AH90" s="131"/>
      <c r="AI90" s="131"/>
      <c r="AJ90" s="131"/>
      <c r="AK90" s="131"/>
      <c r="AL90" s="131"/>
      <c r="AM90" s="131"/>
      <c r="AN90" s="131"/>
      <c r="AO90" s="131"/>
      <c r="AP90" s="131"/>
      <c r="AQ90" s="243"/>
      <c r="AR90" s="131"/>
      <c r="AS90" s="131"/>
      <c r="AT90" s="131"/>
      <c r="AU90" s="131"/>
      <c r="AV90" s="131"/>
      <c r="AW90" s="131"/>
      <c r="AX90" s="131"/>
      <c r="AY90" s="131"/>
      <c r="AZ90" s="131"/>
      <c r="BA90" s="131"/>
      <c r="BB90" s="131"/>
      <c r="BC90" s="131"/>
      <c r="BD90" s="131"/>
      <c r="BE90" s="131"/>
      <c r="BF90" s="131"/>
      <c r="BG90" s="131"/>
      <c r="BH90" s="131"/>
      <c r="BI90" s="131"/>
      <c r="BJ90" s="131"/>
      <c r="BK90" s="131"/>
      <c r="BL90" s="131"/>
      <c r="BM90" s="131"/>
      <c r="BN90" s="131"/>
      <c r="BO90" s="136"/>
      <c r="BP90" s="131"/>
      <c r="BQ90" s="131"/>
      <c r="BR90" s="131"/>
      <c r="BS90" s="131"/>
      <c r="BT90" s="131"/>
      <c r="BU90" s="131"/>
      <c r="BV90" s="131"/>
      <c r="BW90" s="131"/>
      <c r="BX90" s="131"/>
      <c r="BY90" s="131"/>
      <c r="BZ90" s="131"/>
      <c r="CA90" s="131"/>
      <c r="CB90" s="131"/>
      <c r="CC90" s="131"/>
      <c r="CD90" s="131"/>
      <c r="CE90" s="131"/>
      <c r="CF90" s="136"/>
      <c r="CG90" s="136"/>
      <c r="CH90" s="131"/>
      <c r="CI90" s="131"/>
      <c r="CJ90" s="136"/>
      <c r="CK90" s="136"/>
      <c r="CL90" s="136"/>
      <c r="CM90" s="131"/>
      <c r="CN90" s="131"/>
      <c r="CO90" s="136"/>
      <c r="CP90" s="136"/>
      <c r="CQ90" s="131"/>
      <c r="CR90" s="131"/>
      <c r="CS90" s="131"/>
      <c r="CT90" s="131"/>
      <c r="CU90" s="131"/>
      <c r="CV90" s="131"/>
      <c r="CW90" s="131"/>
      <c r="CX90" s="131"/>
      <c r="CY90" s="136"/>
      <c r="CZ90" s="136"/>
      <c r="DA90" s="131"/>
      <c r="DB90" s="136"/>
      <c r="DC90" s="136"/>
      <c r="DD90" s="131"/>
      <c r="DE90" s="131"/>
      <c r="DF90" s="131"/>
      <c r="DG90" s="136"/>
      <c r="DH90" s="131"/>
      <c r="DI90" s="131"/>
      <c r="DJ90" s="136"/>
      <c r="DK90" s="136"/>
      <c r="DL90" s="136"/>
      <c r="DM90" s="136"/>
      <c r="DN90" s="136"/>
      <c r="DO90" s="136"/>
      <c r="DP90" s="136"/>
      <c r="DQ90" s="136"/>
      <c r="DR90" s="136"/>
      <c r="DS90" s="131"/>
      <c r="DT90" s="136"/>
      <c r="DU90" s="131"/>
      <c r="DV90" s="131"/>
      <c r="DW90" s="131"/>
      <c r="DX90" s="131"/>
      <c r="DY90" s="131"/>
      <c r="DZ90" s="136"/>
      <c r="EA90" s="131"/>
      <c r="EB90" s="131"/>
      <c r="EC90" s="131"/>
      <c r="ED90" s="131"/>
      <c r="EE90" s="137"/>
      <c r="EF90" s="227"/>
      <c r="EG90" s="227"/>
      <c r="EH90" s="228"/>
      <c r="EI90" s="228"/>
      <c r="EJ90" s="228"/>
      <c r="EK90" s="228"/>
    </row>
    <row r="91" spans="1:141">
      <c r="A91" s="132"/>
      <c r="B91" s="18"/>
      <c r="C91" s="18"/>
      <c r="D91" s="220"/>
      <c r="E91" s="130"/>
      <c r="F91" s="126"/>
      <c r="G91" s="18"/>
      <c r="H91" s="189"/>
      <c r="I91" s="18"/>
      <c r="J91" s="18"/>
      <c r="K91" s="189"/>
      <c r="L91" s="18"/>
      <c r="M91" s="129"/>
      <c r="N91" s="189"/>
      <c r="O91" s="132"/>
      <c r="P91" s="127"/>
      <c r="Q91" s="127"/>
      <c r="R91" s="128"/>
      <c r="S91" s="130"/>
      <c r="T91" s="135"/>
      <c r="U91" s="127"/>
      <c r="V91" s="217"/>
      <c r="W91" s="191"/>
      <c r="X91" s="133"/>
      <c r="Y91" s="131"/>
      <c r="Z91" s="131"/>
      <c r="AA91" s="242"/>
      <c r="AB91" s="131"/>
      <c r="AC91" s="131"/>
      <c r="AD91" s="131"/>
      <c r="AE91" s="131"/>
      <c r="AF91" s="131"/>
      <c r="AG91" s="131"/>
      <c r="AH91" s="131"/>
      <c r="AI91" s="131"/>
      <c r="AJ91" s="131"/>
      <c r="AK91" s="131"/>
      <c r="AL91" s="131"/>
      <c r="AM91" s="131"/>
      <c r="AN91" s="131"/>
      <c r="AO91" s="131"/>
      <c r="AP91" s="131"/>
      <c r="AQ91" s="243"/>
      <c r="AR91" s="131"/>
      <c r="AS91" s="131"/>
      <c r="AT91" s="131"/>
      <c r="AU91" s="131"/>
      <c r="AV91" s="131"/>
      <c r="AW91" s="131"/>
      <c r="AX91" s="131"/>
      <c r="AY91" s="131"/>
      <c r="AZ91" s="131"/>
      <c r="BA91" s="131"/>
      <c r="BB91" s="131"/>
      <c r="BC91" s="131"/>
      <c r="BD91" s="131"/>
      <c r="BE91" s="131"/>
      <c r="BF91" s="131"/>
      <c r="BG91" s="131"/>
      <c r="BH91" s="131"/>
      <c r="BI91" s="131"/>
      <c r="BJ91" s="131"/>
      <c r="BK91" s="131"/>
      <c r="BL91" s="131"/>
      <c r="BM91" s="131"/>
      <c r="BN91" s="131"/>
      <c r="BO91" s="136"/>
      <c r="BP91" s="131"/>
      <c r="BQ91" s="131"/>
      <c r="BR91" s="131"/>
      <c r="BS91" s="131"/>
      <c r="BT91" s="131"/>
      <c r="BU91" s="131"/>
      <c r="BV91" s="131"/>
      <c r="BW91" s="131"/>
      <c r="BX91" s="131"/>
      <c r="BY91" s="131"/>
      <c r="BZ91" s="131"/>
      <c r="CA91" s="131"/>
      <c r="CB91" s="131"/>
      <c r="CC91" s="131"/>
      <c r="CD91" s="131"/>
      <c r="CE91" s="131"/>
      <c r="CF91" s="136"/>
      <c r="CG91" s="136"/>
      <c r="CH91" s="131"/>
      <c r="CI91" s="131"/>
      <c r="CJ91" s="136"/>
      <c r="CK91" s="136"/>
      <c r="CL91" s="136"/>
      <c r="CM91" s="131"/>
      <c r="CN91" s="131"/>
      <c r="CO91" s="136"/>
      <c r="CP91" s="136"/>
      <c r="CQ91" s="131"/>
      <c r="CR91" s="131"/>
      <c r="CS91" s="131"/>
      <c r="CT91" s="131"/>
      <c r="CU91" s="131"/>
      <c r="CV91" s="131"/>
      <c r="CW91" s="131"/>
      <c r="CX91" s="131"/>
      <c r="CY91" s="136"/>
      <c r="CZ91" s="136"/>
      <c r="DA91" s="131"/>
      <c r="DB91" s="136"/>
      <c r="DC91" s="136"/>
      <c r="DD91" s="131"/>
      <c r="DE91" s="131"/>
      <c r="DF91" s="131"/>
      <c r="DG91" s="136"/>
      <c r="DH91" s="131"/>
      <c r="DI91" s="131"/>
      <c r="DJ91" s="136"/>
      <c r="DK91" s="136"/>
      <c r="DL91" s="136"/>
      <c r="DM91" s="136"/>
      <c r="DN91" s="136"/>
      <c r="DO91" s="136"/>
      <c r="DP91" s="136"/>
      <c r="DQ91" s="136"/>
      <c r="DR91" s="136"/>
      <c r="DS91" s="131"/>
      <c r="DT91" s="136"/>
      <c r="DU91" s="131"/>
      <c r="DV91" s="131"/>
      <c r="DW91" s="131"/>
      <c r="DX91" s="131"/>
      <c r="DY91" s="131"/>
      <c r="DZ91" s="136"/>
      <c r="EA91" s="131"/>
      <c r="EB91" s="131"/>
      <c r="EC91" s="131"/>
      <c r="ED91" s="131"/>
      <c r="EE91" s="137"/>
      <c r="EF91" s="227"/>
      <c r="EG91" s="227"/>
      <c r="EH91" s="228"/>
      <c r="EI91" s="228"/>
      <c r="EJ91" s="228"/>
      <c r="EK91" s="228"/>
    </row>
    <row r="92" spans="1:141">
      <c r="A92" s="132"/>
      <c r="B92" s="18"/>
      <c r="C92" s="18"/>
      <c r="D92" s="220"/>
      <c r="E92" s="130"/>
      <c r="F92" s="126"/>
      <c r="G92" s="18"/>
      <c r="H92" s="189"/>
      <c r="I92" s="18"/>
      <c r="J92" s="18"/>
      <c r="K92" s="189"/>
      <c r="L92" s="18"/>
      <c r="M92" s="129"/>
      <c r="N92" s="189"/>
      <c r="O92" s="132"/>
      <c r="P92" s="127"/>
      <c r="Q92" s="127"/>
      <c r="R92" s="128"/>
      <c r="S92" s="130"/>
      <c r="T92" s="135"/>
      <c r="U92" s="127"/>
      <c r="V92" s="217"/>
      <c r="W92" s="191"/>
      <c r="X92" s="133"/>
      <c r="Y92" s="131"/>
      <c r="Z92" s="131"/>
      <c r="AA92" s="242"/>
      <c r="AB92" s="131"/>
      <c r="AC92" s="131"/>
      <c r="AD92" s="131"/>
      <c r="AE92" s="131"/>
      <c r="AF92" s="131"/>
      <c r="AG92" s="131"/>
      <c r="AH92" s="131"/>
      <c r="AI92" s="131"/>
      <c r="AJ92" s="131"/>
      <c r="AK92" s="131"/>
      <c r="AL92" s="131"/>
      <c r="AM92" s="131"/>
      <c r="AN92" s="131"/>
      <c r="AO92" s="131"/>
      <c r="AP92" s="131"/>
      <c r="AQ92" s="243"/>
      <c r="AR92" s="131"/>
      <c r="AS92" s="131"/>
      <c r="AT92" s="131"/>
      <c r="AU92" s="131"/>
      <c r="AV92" s="131"/>
      <c r="AW92" s="131"/>
      <c r="AX92" s="131"/>
      <c r="AY92" s="131"/>
      <c r="AZ92" s="131"/>
      <c r="BA92" s="131"/>
      <c r="BB92" s="131"/>
      <c r="BC92" s="131"/>
      <c r="BD92" s="131"/>
      <c r="BE92" s="131"/>
      <c r="BF92" s="131"/>
      <c r="BG92" s="131"/>
      <c r="BH92" s="131"/>
      <c r="BI92" s="131"/>
      <c r="BJ92" s="131"/>
      <c r="BK92" s="131"/>
      <c r="BL92" s="131"/>
      <c r="BM92" s="131"/>
      <c r="BN92" s="131"/>
      <c r="BO92" s="136"/>
      <c r="BP92" s="131"/>
      <c r="BQ92" s="131"/>
      <c r="BR92" s="131"/>
      <c r="BS92" s="131"/>
      <c r="BT92" s="131"/>
      <c r="BU92" s="131"/>
      <c r="BV92" s="131"/>
      <c r="BW92" s="131"/>
      <c r="BX92" s="131"/>
      <c r="BY92" s="131"/>
      <c r="BZ92" s="131"/>
      <c r="CA92" s="131"/>
      <c r="CB92" s="131"/>
      <c r="CC92" s="131"/>
      <c r="CD92" s="131"/>
      <c r="CE92" s="131"/>
      <c r="CF92" s="136"/>
      <c r="CG92" s="136"/>
      <c r="CH92" s="131"/>
      <c r="CI92" s="131"/>
      <c r="CJ92" s="136"/>
      <c r="CK92" s="136"/>
      <c r="CL92" s="136"/>
      <c r="CM92" s="131"/>
      <c r="CN92" s="131"/>
      <c r="CO92" s="136"/>
      <c r="CP92" s="136"/>
      <c r="CQ92" s="131"/>
      <c r="CR92" s="131"/>
      <c r="CS92" s="131"/>
      <c r="CT92" s="131"/>
      <c r="CU92" s="131"/>
      <c r="CV92" s="131"/>
      <c r="CW92" s="131"/>
      <c r="CX92" s="131"/>
      <c r="CY92" s="136"/>
      <c r="CZ92" s="136"/>
      <c r="DA92" s="131"/>
      <c r="DB92" s="136"/>
      <c r="DC92" s="136"/>
      <c r="DD92" s="131"/>
      <c r="DE92" s="131"/>
      <c r="DF92" s="131"/>
      <c r="DG92" s="136"/>
      <c r="DH92" s="131"/>
      <c r="DI92" s="131"/>
      <c r="DJ92" s="136"/>
      <c r="DK92" s="136"/>
      <c r="DL92" s="136"/>
      <c r="DM92" s="136"/>
      <c r="DN92" s="136"/>
      <c r="DO92" s="136"/>
      <c r="DP92" s="136"/>
      <c r="DQ92" s="136"/>
      <c r="DR92" s="136"/>
      <c r="DS92" s="131"/>
      <c r="DT92" s="136"/>
      <c r="DU92" s="131"/>
      <c r="DV92" s="131"/>
      <c r="DW92" s="131"/>
      <c r="DX92" s="131"/>
      <c r="DY92" s="131"/>
      <c r="DZ92" s="136"/>
      <c r="EA92" s="131"/>
      <c r="EB92" s="131"/>
      <c r="EC92" s="131"/>
      <c r="ED92" s="131"/>
      <c r="EE92" s="137"/>
      <c r="EF92" s="227"/>
      <c r="EG92" s="227"/>
      <c r="EH92" s="228"/>
      <c r="EI92" s="228"/>
      <c r="EJ92" s="228"/>
      <c r="EK92" s="228"/>
    </row>
    <row r="93" spans="1:141">
      <c r="A93" s="132"/>
      <c r="B93" s="18"/>
      <c r="C93" s="18"/>
      <c r="D93" s="220"/>
      <c r="E93" s="130"/>
      <c r="F93" s="126"/>
      <c r="G93" s="18"/>
      <c r="H93" s="189"/>
      <c r="I93" s="18"/>
      <c r="J93" s="18"/>
      <c r="K93" s="189"/>
      <c r="L93" s="18"/>
      <c r="M93" s="129"/>
      <c r="N93" s="189"/>
      <c r="O93" s="132"/>
      <c r="P93" s="127"/>
      <c r="Q93" s="127"/>
      <c r="R93" s="128"/>
      <c r="S93" s="130"/>
      <c r="T93" s="135"/>
      <c r="U93" s="127"/>
      <c r="V93" s="217"/>
      <c r="W93" s="191"/>
      <c r="X93" s="133"/>
      <c r="Y93" s="131"/>
      <c r="Z93" s="131"/>
      <c r="AA93" s="242"/>
      <c r="AB93" s="131"/>
      <c r="AC93" s="131"/>
      <c r="AD93" s="131"/>
      <c r="AE93" s="131"/>
      <c r="AF93" s="131"/>
      <c r="AG93" s="131"/>
      <c r="AH93" s="131"/>
      <c r="AI93" s="131"/>
      <c r="AJ93" s="131"/>
      <c r="AK93" s="131"/>
      <c r="AL93" s="131"/>
      <c r="AM93" s="131"/>
      <c r="AN93" s="131"/>
      <c r="AO93" s="131"/>
      <c r="AP93" s="131"/>
      <c r="AQ93" s="243"/>
      <c r="AR93" s="131"/>
      <c r="AS93" s="131"/>
      <c r="AT93" s="131"/>
      <c r="AU93" s="131"/>
      <c r="AV93" s="131"/>
      <c r="AW93" s="131"/>
      <c r="AX93" s="131"/>
      <c r="AY93" s="131"/>
      <c r="AZ93" s="131"/>
      <c r="BA93" s="131"/>
      <c r="BB93" s="131"/>
      <c r="BC93" s="131"/>
      <c r="BD93" s="131"/>
      <c r="BE93" s="131"/>
      <c r="BF93" s="131"/>
      <c r="BG93" s="131"/>
      <c r="BH93" s="131"/>
      <c r="BI93" s="131"/>
      <c r="BJ93" s="131"/>
      <c r="BK93" s="131"/>
      <c r="BL93" s="131"/>
      <c r="BM93" s="131"/>
      <c r="BN93" s="131"/>
      <c r="BO93" s="136"/>
      <c r="BP93" s="131"/>
      <c r="BQ93" s="131"/>
      <c r="BR93" s="131"/>
      <c r="BS93" s="131"/>
      <c r="BT93" s="131"/>
      <c r="BU93" s="131"/>
      <c r="BV93" s="131"/>
      <c r="BW93" s="131"/>
      <c r="BX93" s="131"/>
      <c r="BY93" s="131"/>
      <c r="BZ93" s="131"/>
      <c r="CA93" s="131"/>
      <c r="CB93" s="131"/>
      <c r="CC93" s="131"/>
      <c r="CD93" s="131"/>
      <c r="CE93" s="131"/>
      <c r="CF93" s="136"/>
      <c r="CG93" s="136"/>
      <c r="CH93" s="131"/>
      <c r="CI93" s="131"/>
      <c r="CJ93" s="136"/>
      <c r="CK93" s="136"/>
      <c r="CL93" s="136"/>
      <c r="CM93" s="131"/>
      <c r="CN93" s="131"/>
      <c r="CO93" s="136"/>
      <c r="CP93" s="136"/>
      <c r="CQ93" s="131"/>
      <c r="CR93" s="131"/>
      <c r="CS93" s="131"/>
      <c r="CT93" s="131"/>
      <c r="CU93" s="131"/>
      <c r="CV93" s="131"/>
      <c r="CW93" s="131"/>
      <c r="CX93" s="131"/>
      <c r="CY93" s="136"/>
      <c r="CZ93" s="136"/>
      <c r="DA93" s="131"/>
      <c r="DB93" s="136"/>
      <c r="DC93" s="136"/>
      <c r="DD93" s="131"/>
      <c r="DE93" s="131"/>
      <c r="DF93" s="131"/>
      <c r="DG93" s="136"/>
      <c r="DH93" s="131"/>
      <c r="DI93" s="131"/>
      <c r="DJ93" s="136"/>
      <c r="DK93" s="136"/>
      <c r="DL93" s="136"/>
      <c r="DM93" s="136"/>
      <c r="DN93" s="136"/>
      <c r="DO93" s="136"/>
      <c r="DP93" s="136"/>
      <c r="DQ93" s="136"/>
      <c r="DR93" s="136"/>
      <c r="DS93" s="131"/>
      <c r="DT93" s="136"/>
      <c r="DU93" s="131"/>
      <c r="DV93" s="131"/>
      <c r="DW93" s="131"/>
      <c r="DX93" s="131"/>
      <c r="DY93" s="131"/>
      <c r="DZ93" s="136"/>
      <c r="EA93" s="131"/>
      <c r="EB93" s="131"/>
      <c r="EC93" s="131"/>
      <c r="ED93" s="131"/>
      <c r="EE93" s="137"/>
      <c r="EF93" s="227"/>
      <c r="EG93" s="227"/>
      <c r="EH93" s="228"/>
      <c r="EI93" s="228"/>
      <c r="EJ93" s="228"/>
      <c r="EK93" s="228"/>
    </row>
    <row r="94" spans="1:141">
      <c r="A94" s="132"/>
      <c r="B94" s="18"/>
      <c r="C94" s="18"/>
      <c r="D94" s="220"/>
      <c r="E94" s="130"/>
      <c r="F94" s="126"/>
      <c r="G94" s="18"/>
      <c r="H94" s="189"/>
      <c r="I94" s="18"/>
      <c r="J94" s="18"/>
      <c r="K94" s="189"/>
      <c r="L94" s="18"/>
      <c r="M94" s="129"/>
      <c r="N94" s="189"/>
      <c r="O94" s="132"/>
      <c r="P94" s="127"/>
      <c r="Q94" s="127"/>
      <c r="R94" s="128"/>
      <c r="S94" s="130"/>
      <c r="T94" s="135"/>
      <c r="U94" s="127"/>
      <c r="V94" s="217"/>
      <c r="W94" s="191"/>
      <c r="X94" s="133"/>
      <c r="Y94" s="131"/>
      <c r="Z94" s="131"/>
      <c r="AA94" s="242"/>
      <c r="AB94" s="131"/>
      <c r="AC94" s="131"/>
      <c r="AD94" s="131"/>
      <c r="AE94" s="131"/>
      <c r="AF94" s="131"/>
      <c r="AG94" s="131"/>
      <c r="AH94" s="131"/>
      <c r="AI94" s="131"/>
      <c r="AJ94" s="131"/>
      <c r="AK94" s="131"/>
      <c r="AL94" s="131"/>
      <c r="AM94" s="131"/>
      <c r="AN94" s="131"/>
      <c r="AO94" s="131"/>
      <c r="AP94" s="131"/>
      <c r="AQ94" s="243"/>
      <c r="AR94" s="131"/>
      <c r="AS94" s="131"/>
      <c r="AT94" s="131"/>
      <c r="AU94" s="131"/>
      <c r="AV94" s="131"/>
      <c r="AW94" s="131"/>
      <c r="AX94" s="131"/>
      <c r="AY94" s="131"/>
      <c r="AZ94" s="131"/>
      <c r="BA94" s="131"/>
      <c r="BB94" s="131"/>
      <c r="BC94" s="131"/>
      <c r="BD94" s="131"/>
      <c r="BE94" s="131"/>
      <c r="BF94" s="131"/>
      <c r="BG94" s="131"/>
      <c r="BH94" s="131"/>
      <c r="BI94" s="131"/>
      <c r="BJ94" s="131"/>
      <c r="BK94" s="131"/>
      <c r="BL94" s="131"/>
      <c r="BM94" s="131"/>
      <c r="BN94" s="131"/>
      <c r="BO94" s="136"/>
      <c r="BP94" s="131"/>
      <c r="BQ94" s="131"/>
      <c r="BR94" s="131"/>
      <c r="BS94" s="131"/>
      <c r="BT94" s="131"/>
      <c r="BU94" s="131"/>
      <c r="BV94" s="131"/>
      <c r="BW94" s="131"/>
      <c r="BX94" s="131"/>
      <c r="BY94" s="131"/>
      <c r="BZ94" s="131"/>
      <c r="CA94" s="131"/>
      <c r="CB94" s="131"/>
      <c r="CC94" s="131"/>
      <c r="CD94" s="131"/>
      <c r="CE94" s="131"/>
      <c r="CF94" s="136"/>
      <c r="CG94" s="136"/>
      <c r="CH94" s="131"/>
      <c r="CI94" s="131"/>
      <c r="CJ94" s="136"/>
      <c r="CK94" s="136"/>
      <c r="CL94" s="136"/>
      <c r="CM94" s="131"/>
      <c r="CN94" s="131"/>
      <c r="CO94" s="136"/>
      <c r="CP94" s="136"/>
      <c r="CQ94" s="131"/>
      <c r="CR94" s="131"/>
      <c r="CS94" s="131"/>
      <c r="CT94" s="131"/>
      <c r="CU94" s="131"/>
      <c r="CV94" s="131"/>
      <c r="CW94" s="131"/>
      <c r="CX94" s="131"/>
      <c r="CY94" s="136"/>
      <c r="CZ94" s="136"/>
      <c r="DA94" s="131"/>
      <c r="DB94" s="136"/>
      <c r="DC94" s="136"/>
      <c r="DD94" s="131"/>
      <c r="DE94" s="131"/>
      <c r="DF94" s="131"/>
      <c r="DG94" s="136"/>
      <c r="DH94" s="131"/>
      <c r="DI94" s="131"/>
      <c r="DJ94" s="136"/>
      <c r="DK94" s="136"/>
      <c r="DL94" s="136"/>
      <c r="DM94" s="136"/>
      <c r="DN94" s="136"/>
      <c r="DO94" s="136"/>
      <c r="DP94" s="136"/>
      <c r="DQ94" s="136"/>
      <c r="DR94" s="136"/>
      <c r="DS94" s="131"/>
      <c r="DT94" s="136"/>
      <c r="DU94" s="131"/>
      <c r="DV94" s="131"/>
      <c r="DW94" s="131"/>
      <c r="DX94" s="131"/>
      <c r="DY94" s="131"/>
      <c r="DZ94" s="136"/>
      <c r="EA94" s="131"/>
      <c r="EB94" s="131"/>
      <c r="EC94" s="131"/>
      <c r="ED94" s="131"/>
      <c r="EE94" s="137"/>
      <c r="EF94" s="227"/>
      <c r="EG94" s="227"/>
      <c r="EH94" s="228"/>
      <c r="EI94" s="228"/>
      <c r="EJ94" s="228"/>
      <c r="EK94" s="228"/>
    </row>
    <row r="95" spans="1:141">
      <c r="A95" s="132"/>
      <c r="B95" s="18"/>
      <c r="C95" s="18"/>
      <c r="D95" s="220"/>
      <c r="E95" s="130"/>
      <c r="F95" s="126"/>
      <c r="G95" s="18"/>
      <c r="H95" s="189"/>
      <c r="I95" s="18"/>
      <c r="J95" s="18"/>
      <c r="K95" s="189"/>
      <c r="L95" s="18"/>
      <c r="M95" s="129"/>
      <c r="N95" s="189"/>
      <c r="O95" s="132"/>
      <c r="P95" s="127"/>
      <c r="Q95" s="127"/>
      <c r="R95" s="128"/>
      <c r="S95" s="130"/>
      <c r="T95" s="135"/>
      <c r="U95" s="127"/>
      <c r="V95" s="217"/>
      <c r="W95" s="191"/>
      <c r="X95" s="133"/>
      <c r="Y95" s="131"/>
      <c r="Z95" s="131"/>
      <c r="AA95" s="242"/>
      <c r="AB95" s="131"/>
      <c r="AC95" s="131"/>
      <c r="AD95" s="131"/>
      <c r="AE95" s="131"/>
      <c r="AF95" s="131"/>
      <c r="AG95" s="131"/>
      <c r="AH95" s="131"/>
      <c r="AI95" s="131"/>
      <c r="AJ95" s="131"/>
      <c r="AK95" s="131"/>
      <c r="AL95" s="131"/>
      <c r="AM95" s="131"/>
      <c r="AN95" s="131"/>
      <c r="AO95" s="131"/>
      <c r="AP95" s="131"/>
      <c r="AQ95" s="243"/>
      <c r="AR95" s="131"/>
      <c r="AS95" s="131"/>
      <c r="AT95" s="131"/>
      <c r="AU95" s="131"/>
      <c r="AV95" s="131"/>
      <c r="AW95" s="131"/>
      <c r="AX95" s="131"/>
      <c r="AY95" s="131"/>
      <c r="AZ95" s="131"/>
      <c r="BA95" s="131"/>
      <c r="BB95" s="131"/>
      <c r="BC95" s="131"/>
      <c r="BD95" s="131"/>
      <c r="BE95" s="131"/>
      <c r="BF95" s="131"/>
      <c r="BG95" s="131"/>
      <c r="BH95" s="131"/>
      <c r="BI95" s="131"/>
      <c r="BJ95" s="131"/>
      <c r="BK95" s="131"/>
      <c r="BL95" s="131"/>
      <c r="BM95" s="131"/>
      <c r="BN95" s="131"/>
      <c r="BO95" s="136"/>
      <c r="BP95" s="131"/>
      <c r="BQ95" s="131"/>
      <c r="BR95" s="131"/>
      <c r="BS95" s="131"/>
      <c r="BT95" s="131"/>
      <c r="BU95" s="131"/>
      <c r="BV95" s="131"/>
      <c r="BW95" s="131"/>
      <c r="BX95" s="131"/>
      <c r="BY95" s="131"/>
      <c r="BZ95" s="131"/>
      <c r="CA95" s="131"/>
      <c r="CB95" s="131"/>
      <c r="CC95" s="131"/>
      <c r="CD95" s="131"/>
      <c r="CE95" s="131"/>
      <c r="CF95" s="136"/>
      <c r="CG95" s="136"/>
      <c r="CH95" s="131"/>
      <c r="CI95" s="131"/>
      <c r="CJ95" s="136"/>
      <c r="CK95" s="136"/>
      <c r="CL95" s="136"/>
      <c r="CM95" s="131"/>
      <c r="CN95" s="131"/>
      <c r="CO95" s="136"/>
      <c r="CP95" s="136"/>
      <c r="CQ95" s="131"/>
      <c r="CR95" s="131"/>
      <c r="CS95" s="131"/>
      <c r="CT95" s="131"/>
      <c r="CU95" s="131"/>
      <c r="CV95" s="131"/>
      <c r="CW95" s="131"/>
      <c r="CX95" s="131"/>
      <c r="CY95" s="136"/>
      <c r="CZ95" s="136"/>
      <c r="DA95" s="131"/>
      <c r="DB95" s="136"/>
      <c r="DC95" s="136"/>
      <c r="DD95" s="131"/>
      <c r="DE95" s="131"/>
      <c r="DF95" s="131"/>
      <c r="DG95" s="136"/>
      <c r="DH95" s="131"/>
      <c r="DI95" s="131"/>
      <c r="DJ95" s="136"/>
      <c r="DK95" s="136"/>
      <c r="DL95" s="136"/>
      <c r="DM95" s="136"/>
      <c r="DN95" s="136"/>
      <c r="DO95" s="136"/>
      <c r="DP95" s="136"/>
      <c r="DQ95" s="136"/>
      <c r="DR95" s="136"/>
      <c r="DS95" s="131"/>
      <c r="DT95" s="136"/>
      <c r="DU95" s="131"/>
      <c r="DV95" s="131"/>
      <c r="DW95" s="131"/>
      <c r="DX95" s="131"/>
      <c r="DY95" s="131"/>
      <c r="DZ95" s="136"/>
      <c r="EA95" s="131"/>
      <c r="EB95" s="131"/>
      <c r="EC95" s="131"/>
      <c r="ED95" s="131"/>
      <c r="EE95" s="137"/>
      <c r="EF95" s="227"/>
      <c r="EG95" s="227"/>
      <c r="EH95" s="228"/>
      <c r="EI95" s="228"/>
      <c r="EJ95" s="228"/>
      <c r="EK95" s="228"/>
    </row>
    <row r="96" spans="1:141">
      <c r="A96" s="132"/>
      <c r="B96" s="18"/>
      <c r="C96" s="18"/>
      <c r="D96" s="220"/>
      <c r="E96" s="130"/>
      <c r="F96" s="126"/>
      <c r="G96" s="18"/>
      <c r="H96" s="189"/>
      <c r="I96" s="18"/>
      <c r="J96" s="18"/>
      <c r="K96" s="189"/>
      <c r="L96" s="18"/>
      <c r="M96" s="129"/>
      <c r="N96" s="189"/>
      <c r="O96" s="132"/>
      <c r="P96" s="127"/>
      <c r="Q96" s="127"/>
      <c r="R96" s="128"/>
      <c r="S96" s="130"/>
      <c r="T96" s="135"/>
      <c r="U96" s="127"/>
      <c r="V96" s="217"/>
      <c r="W96" s="191"/>
      <c r="X96" s="133"/>
      <c r="Y96" s="131"/>
      <c r="Z96" s="131"/>
      <c r="AA96" s="242"/>
      <c r="AB96" s="131"/>
      <c r="AC96" s="131"/>
      <c r="AD96" s="131"/>
      <c r="AE96" s="131"/>
      <c r="AF96" s="131"/>
      <c r="AG96" s="131"/>
      <c r="AH96" s="131"/>
      <c r="AI96" s="131"/>
      <c r="AJ96" s="131"/>
      <c r="AK96" s="131"/>
      <c r="AL96" s="131"/>
      <c r="AM96" s="131"/>
      <c r="AN96" s="131"/>
      <c r="AO96" s="131"/>
      <c r="AP96" s="131"/>
      <c r="AQ96" s="243"/>
      <c r="AR96" s="131"/>
      <c r="AS96" s="131"/>
      <c r="AT96" s="131"/>
      <c r="AU96" s="131"/>
      <c r="AV96" s="131"/>
      <c r="AW96" s="131"/>
      <c r="AX96" s="131"/>
      <c r="AY96" s="131"/>
      <c r="AZ96" s="131"/>
      <c r="BA96" s="131"/>
      <c r="BB96" s="131"/>
      <c r="BC96" s="131"/>
      <c r="BD96" s="131"/>
      <c r="BE96" s="131"/>
      <c r="BF96" s="131"/>
      <c r="BG96" s="131"/>
      <c r="BH96" s="131"/>
      <c r="BI96" s="131"/>
      <c r="BJ96" s="131"/>
      <c r="BK96" s="131"/>
      <c r="BL96" s="131"/>
      <c r="BM96" s="131"/>
      <c r="BN96" s="131"/>
      <c r="BO96" s="136"/>
      <c r="BP96" s="131"/>
      <c r="BQ96" s="131"/>
      <c r="BR96" s="131"/>
      <c r="BS96" s="131"/>
      <c r="BT96" s="131"/>
      <c r="BU96" s="131"/>
      <c r="BV96" s="131"/>
      <c r="BW96" s="131"/>
      <c r="BX96" s="131"/>
      <c r="BY96" s="131"/>
      <c r="BZ96" s="131"/>
      <c r="CA96" s="131"/>
      <c r="CB96" s="131"/>
      <c r="CC96" s="131"/>
      <c r="CD96" s="131"/>
      <c r="CE96" s="131"/>
      <c r="CF96" s="136"/>
      <c r="CG96" s="136"/>
      <c r="CH96" s="131"/>
      <c r="CI96" s="131"/>
      <c r="CJ96" s="136"/>
      <c r="CK96" s="136"/>
      <c r="CL96" s="136"/>
      <c r="CM96" s="131"/>
      <c r="CN96" s="131"/>
      <c r="CO96" s="136"/>
      <c r="CP96" s="136"/>
      <c r="CQ96" s="131"/>
      <c r="CR96" s="131"/>
      <c r="CS96" s="131"/>
      <c r="CT96" s="131"/>
      <c r="CU96" s="131"/>
      <c r="CV96" s="131"/>
      <c r="CW96" s="131"/>
      <c r="CX96" s="131"/>
      <c r="CY96" s="136"/>
      <c r="CZ96" s="136"/>
      <c r="DA96" s="131"/>
      <c r="DB96" s="136"/>
      <c r="DC96" s="136"/>
      <c r="DD96" s="131"/>
      <c r="DE96" s="131"/>
      <c r="DF96" s="131"/>
      <c r="DG96" s="136"/>
      <c r="DH96" s="131"/>
      <c r="DI96" s="131"/>
      <c r="DJ96" s="136"/>
      <c r="DK96" s="136"/>
      <c r="DL96" s="136"/>
      <c r="DM96" s="136"/>
      <c r="DN96" s="136"/>
      <c r="DO96" s="136"/>
      <c r="DP96" s="136"/>
      <c r="DQ96" s="136"/>
      <c r="DR96" s="136"/>
      <c r="DS96" s="131"/>
      <c r="DT96" s="136"/>
      <c r="DU96" s="131"/>
      <c r="DV96" s="131"/>
      <c r="DW96" s="131"/>
      <c r="DX96" s="131"/>
      <c r="DY96" s="131"/>
      <c r="DZ96" s="136"/>
      <c r="EA96" s="131"/>
      <c r="EB96" s="131"/>
      <c r="EC96" s="131"/>
      <c r="ED96" s="131"/>
      <c r="EE96" s="137"/>
      <c r="EF96" s="227"/>
      <c r="EG96" s="227"/>
      <c r="EH96" s="228"/>
      <c r="EI96" s="228"/>
      <c r="EJ96" s="228"/>
      <c r="EK96" s="228"/>
    </row>
    <row r="97" spans="1:141">
      <c r="A97" s="132"/>
      <c r="B97" s="18"/>
      <c r="C97" s="18"/>
      <c r="D97" s="220"/>
      <c r="E97" s="130"/>
      <c r="F97" s="126"/>
      <c r="G97" s="18"/>
      <c r="H97" s="189"/>
      <c r="I97" s="18"/>
      <c r="J97" s="18"/>
      <c r="K97" s="189"/>
      <c r="L97" s="18"/>
      <c r="M97" s="129"/>
      <c r="N97" s="189"/>
      <c r="O97" s="132"/>
      <c r="P97" s="127"/>
      <c r="Q97" s="127"/>
      <c r="R97" s="128"/>
      <c r="S97" s="130"/>
      <c r="T97" s="135"/>
      <c r="U97" s="127"/>
      <c r="V97" s="217"/>
      <c r="W97" s="191"/>
      <c r="X97" s="133"/>
      <c r="Y97" s="131"/>
      <c r="Z97" s="131"/>
      <c r="AA97" s="242"/>
      <c r="AB97" s="131"/>
      <c r="AC97" s="131"/>
      <c r="AD97" s="131"/>
      <c r="AE97" s="131"/>
      <c r="AF97" s="131"/>
      <c r="AG97" s="131"/>
      <c r="AH97" s="131"/>
      <c r="AI97" s="131"/>
      <c r="AJ97" s="131"/>
      <c r="AK97" s="131"/>
      <c r="AL97" s="131"/>
      <c r="AM97" s="131"/>
      <c r="AN97" s="131"/>
      <c r="AO97" s="131"/>
      <c r="AP97" s="131"/>
      <c r="AQ97" s="243"/>
      <c r="AR97" s="131"/>
      <c r="AS97" s="131"/>
      <c r="AT97" s="131"/>
      <c r="AU97" s="131"/>
      <c r="AV97" s="131"/>
      <c r="AW97" s="131"/>
      <c r="AX97" s="131"/>
      <c r="AY97" s="131"/>
      <c r="AZ97" s="131"/>
      <c r="BA97" s="131"/>
      <c r="BB97" s="131"/>
      <c r="BC97" s="131"/>
      <c r="BD97" s="131"/>
      <c r="BE97" s="131"/>
      <c r="BF97" s="131"/>
      <c r="BG97" s="131"/>
      <c r="BH97" s="131"/>
      <c r="BI97" s="131"/>
      <c r="BJ97" s="131"/>
      <c r="BK97" s="131"/>
      <c r="BL97" s="131"/>
      <c r="BM97" s="131"/>
      <c r="BN97" s="131"/>
      <c r="BO97" s="136"/>
      <c r="BP97" s="131"/>
      <c r="BQ97" s="131"/>
      <c r="BR97" s="131"/>
      <c r="BS97" s="131"/>
      <c r="BT97" s="131"/>
      <c r="BU97" s="131"/>
      <c r="BV97" s="131"/>
      <c r="BW97" s="131"/>
      <c r="BX97" s="131"/>
      <c r="BY97" s="131"/>
      <c r="BZ97" s="131"/>
      <c r="CA97" s="131"/>
      <c r="CB97" s="131"/>
      <c r="CC97" s="131"/>
      <c r="CD97" s="131"/>
      <c r="CE97" s="131"/>
      <c r="CF97" s="136"/>
      <c r="CG97" s="136"/>
      <c r="CH97" s="131"/>
      <c r="CI97" s="131"/>
      <c r="CJ97" s="136"/>
      <c r="CK97" s="136"/>
      <c r="CL97" s="136"/>
      <c r="CM97" s="131"/>
      <c r="CN97" s="131"/>
      <c r="CO97" s="136"/>
      <c r="CP97" s="136"/>
      <c r="CQ97" s="131"/>
      <c r="CR97" s="131"/>
      <c r="CS97" s="131"/>
      <c r="CT97" s="131"/>
      <c r="CU97" s="131"/>
      <c r="CV97" s="131"/>
      <c r="CW97" s="131"/>
      <c r="CX97" s="131"/>
      <c r="CY97" s="136"/>
      <c r="CZ97" s="136"/>
      <c r="DA97" s="131"/>
      <c r="DB97" s="136"/>
      <c r="DC97" s="136"/>
      <c r="DD97" s="131"/>
      <c r="DE97" s="131"/>
      <c r="DF97" s="131"/>
      <c r="DG97" s="136"/>
      <c r="DH97" s="131"/>
      <c r="DI97" s="131"/>
      <c r="DJ97" s="136"/>
      <c r="DK97" s="136"/>
      <c r="DL97" s="136"/>
      <c r="DM97" s="136"/>
      <c r="DN97" s="136"/>
      <c r="DO97" s="136"/>
      <c r="DP97" s="136"/>
      <c r="DQ97" s="136"/>
      <c r="DR97" s="136"/>
      <c r="DS97" s="131"/>
      <c r="DT97" s="136"/>
      <c r="DU97" s="131"/>
      <c r="DV97" s="131"/>
      <c r="DW97" s="131"/>
      <c r="DX97" s="131"/>
      <c r="DY97" s="131"/>
      <c r="DZ97" s="136"/>
      <c r="EA97" s="131"/>
      <c r="EB97" s="131"/>
      <c r="EC97" s="131"/>
      <c r="ED97" s="131"/>
      <c r="EE97" s="137"/>
      <c r="EF97" s="227"/>
      <c r="EG97" s="227"/>
      <c r="EH97" s="228"/>
      <c r="EI97" s="228"/>
      <c r="EJ97" s="228"/>
      <c r="EK97" s="228"/>
    </row>
    <row r="98" spans="1:141">
      <c r="A98" s="132"/>
      <c r="B98" s="18"/>
      <c r="C98" s="18"/>
      <c r="D98" s="220"/>
      <c r="E98" s="130"/>
      <c r="F98" s="126"/>
      <c r="G98" s="18"/>
      <c r="H98" s="189"/>
      <c r="I98" s="18"/>
      <c r="J98" s="18"/>
      <c r="K98" s="189"/>
      <c r="L98" s="18"/>
      <c r="M98" s="129"/>
      <c r="N98" s="189"/>
      <c r="O98" s="132"/>
      <c r="P98" s="127"/>
      <c r="Q98" s="127"/>
      <c r="R98" s="128"/>
      <c r="S98" s="130"/>
      <c r="T98" s="135"/>
      <c r="U98" s="127"/>
      <c r="V98" s="217"/>
      <c r="W98" s="191"/>
      <c r="X98" s="133"/>
      <c r="Y98" s="131"/>
      <c r="Z98" s="131"/>
      <c r="AA98" s="242"/>
      <c r="AB98" s="131"/>
      <c r="AC98" s="131"/>
      <c r="AD98" s="131"/>
      <c r="AE98" s="131"/>
      <c r="AF98" s="131"/>
      <c r="AG98" s="131"/>
      <c r="AH98" s="131"/>
      <c r="AI98" s="131"/>
      <c r="AJ98" s="131"/>
      <c r="AK98" s="131"/>
      <c r="AL98" s="131"/>
      <c r="AM98" s="131"/>
      <c r="AN98" s="131"/>
      <c r="AO98" s="131"/>
      <c r="AP98" s="131"/>
      <c r="AQ98" s="243"/>
      <c r="AR98" s="131"/>
      <c r="AS98" s="131"/>
      <c r="AT98" s="131"/>
      <c r="AU98" s="131"/>
      <c r="AV98" s="131"/>
      <c r="AW98" s="131"/>
      <c r="AX98" s="131"/>
      <c r="AY98" s="131"/>
      <c r="AZ98" s="131"/>
      <c r="BA98" s="131"/>
      <c r="BB98" s="131"/>
      <c r="BC98" s="131"/>
      <c r="BD98" s="131"/>
      <c r="BE98" s="131"/>
      <c r="BF98" s="131"/>
      <c r="BG98" s="131"/>
      <c r="BH98" s="131"/>
      <c r="BI98" s="131"/>
      <c r="BJ98" s="131"/>
      <c r="BK98" s="131"/>
      <c r="BL98" s="131"/>
      <c r="BM98" s="131"/>
      <c r="BN98" s="131"/>
      <c r="BO98" s="136"/>
      <c r="BP98" s="131"/>
      <c r="BQ98" s="131"/>
      <c r="BR98" s="131"/>
      <c r="BS98" s="131"/>
      <c r="BT98" s="131"/>
      <c r="BU98" s="131"/>
      <c r="BV98" s="131"/>
      <c r="BW98" s="131"/>
      <c r="BX98" s="131"/>
      <c r="BY98" s="131"/>
      <c r="BZ98" s="131"/>
      <c r="CA98" s="131"/>
      <c r="CB98" s="131"/>
      <c r="CC98" s="131"/>
      <c r="CD98" s="131"/>
      <c r="CE98" s="131"/>
      <c r="CF98" s="136"/>
      <c r="CG98" s="136"/>
      <c r="CH98" s="131"/>
      <c r="CI98" s="131"/>
      <c r="CJ98" s="136"/>
      <c r="CK98" s="136"/>
      <c r="CL98" s="136"/>
      <c r="CM98" s="131"/>
      <c r="CN98" s="131"/>
      <c r="CO98" s="136"/>
      <c r="CP98" s="136"/>
      <c r="CQ98" s="131"/>
      <c r="CR98" s="131"/>
      <c r="CS98" s="131"/>
      <c r="CT98" s="131"/>
      <c r="CU98" s="131"/>
      <c r="CV98" s="131"/>
      <c r="CW98" s="131"/>
      <c r="CX98" s="131"/>
      <c r="CY98" s="136"/>
      <c r="CZ98" s="136"/>
      <c r="DA98" s="131"/>
      <c r="DB98" s="136"/>
      <c r="DC98" s="136"/>
      <c r="DD98" s="131"/>
      <c r="DE98" s="131"/>
      <c r="DF98" s="131"/>
      <c r="DG98" s="136"/>
      <c r="DH98" s="131"/>
      <c r="DI98" s="131"/>
      <c r="DJ98" s="136"/>
      <c r="DK98" s="136"/>
      <c r="DL98" s="136"/>
      <c r="DM98" s="136"/>
      <c r="DN98" s="136"/>
      <c r="DO98" s="136"/>
      <c r="DP98" s="136"/>
      <c r="DQ98" s="136"/>
      <c r="DR98" s="136"/>
      <c r="DS98" s="131"/>
      <c r="DT98" s="136"/>
      <c r="DU98" s="131"/>
      <c r="DV98" s="131"/>
      <c r="DW98" s="131"/>
      <c r="DX98" s="131"/>
      <c r="DY98" s="131"/>
      <c r="DZ98" s="136"/>
      <c r="EA98" s="131"/>
      <c r="EB98" s="131"/>
      <c r="EC98" s="131"/>
      <c r="ED98" s="131"/>
      <c r="EE98" s="137"/>
      <c r="EF98" s="227"/>
      <c r="EG98" s="227"/>
      <c r="EH98" s="228"/>
      <c r="EI98" s="228"/>
      <c r="EJ98" s="228"/>
      <c r="EK98" s="228"/>
    </row>
    <row r="99" spans="1:141">
      <c r="A99" s="132"/>
      <c r="B99" s="18"/>
      <c r="C99" s="18"/>
      <c r="D99" s="220"/>
      <c r="E99" s="130"/>
      <c r="F99" s="126"/>
      <c r="G99" s="18"/>
      <c r="H99" s="189"/>
      <c r="I99" s="18"/>
      <c r="J99" s="18"/>
      <c r="K99" s="189"/>
      <c r="L99" s="18"/>
      <c r="M99" s="129"/>
      <c r="N99" s="189"/>
      <c r="O99" s="132"/>
      <c r="P99" s="127"/>
      <c r="Q99" s="127"/>
      <c r="R99" s="128"/>
      <c r="S99" s="130"/>
      <c r="T99" s="135"/>
      <c r="U99" s="127"/>
      <c r="V99" s="217"/>
      <c r="W99" s="191"/>
      <c r="X99" s="133"/>
      <c r="Y99" s="131"/>
      <c r="Z99" s="131"/>
      <c r="AA99" s="242"/>
      <c r="AB99" s="131"/>
      <c r="AC99" s="131"/>
      <c r="AD99" s="131"/>
      <c r="AE99" s="131"/>
      <c r="AF99" s="131"/>
      <c r="AG99" s="131"/>
      <c r="AH99" s="131"/>
      <c r="AI99" s="131"/>
      <c r="AJ99" s="131"/>
      <c r="AK99" s="131"/>
      <c r="AL99" s="131"/>
      <c r="AM99" s="131"/>
      <c r="AN99" s="131"/>
      <c r="AO99" s="131"/>
      <c r="AP99" s="131"/>
      <c r="AQ99" s="243"/>
      <c r="AR99" s="131"/>
      <c r="AS99" s="131"/>
      <c r="AT99" s="131"/>
      <c r="AU99" s="131"/>
      <c r="AV99" s="131"/>
      <c r="AW99" s="131"/>
      <c r="AX99" s="131"/>
      <c r="AY99" s="131"/>
      <c r="AZ99" s="131"/>
      <c r="BA99" s="131"/>
      <c r="BB99" s="131"/>
      <c r="BC99" s="131"/>
      <c r="BD99" s="131"/>
      <c r="BE99" s="131"/>
      <c r="BF99" s="131"/>
      <c r="BG99" s="131"/>
      <c r="BH99" s="131"/>
      <c r="BI99" s="131"/>
      <c r="BJ99" s="131"/>
      <c r="BK99" s="131"/>
      <c r="BL99" s="131"/>
      <c r="BM99" s="131"/>
      <c r="BN99" s="131"/>
      <c r="BO99" s="136"/>
      <c r="BP99" s="131"/>
      <c r="BQ99" s="131"/>
      <c r="BR99" s="131"/>
      <c r="BS99" s="131"/>
      <c r="BT99" s="131"/>
      <c r="BU99" s="131"/>
      <c r="BV99" s="131"/>
      <c r="BW99" s="131"/>
      <c r="BX99" s="131"/>
      <c r="BY99" s="131"/>
      <c r="BZ99" s="131"/>
      <c r="CA99" s="131"/>
      <c r="CB99" s="131"/>
      <c r="CC99" s="131"/>
      <c r="CD99" s="131"/>
      <c r="CE99" s="131"/>
      <c r="CF99" s="136"/>
      <c r="CG99" s="136"/>
      <c r="CH99" s="131"/>
      <c r="CI99" s="131"/>
      <c r="CJ99" s="136"/>
      <c r="CK99" s="136"/>
      <c r="CL99" s="136"/>
      <c r="CM99" s="131"/>
      <c r="CN99" s="131"/>
      <c r="CO99" s="136"/>
      <c r="CP99" s="136"/>
      <c r="CQ99" s="131"/>
      <c r="CR99" s="131"/>
      <c r="CS99" s="131"/>
      <c r="CT99" s="131"/>
      <c r="CU99" s="131"/>
      <c r="CV99" s="131"/>
      <c r="CW99" s="131"/>
      <c r="CX99" s="131"/>
      <c r="CY99" s="136"/>
      <c r="CZ99" s="136"/>
      <c r="DA99" s="131"/>
      <c r="DB99" s="136"/>
      <c r="DC99" s="136"/>
      <c r="DD99" s="131"/>
      <c r="DE99" s="131"/>
      <c r="DF99" s="131"/>
      <c r="DG99" s="136"/>
      <c r="DH99" s="131"/>
      <c r="DI99" s="131"/>
      <c r="DJ99" s="136"/>
      <c r="DK99" s="136"/>
      <c r="DL99" s="136"/>
      <c r="DM99" s="136"/>
      <c r="DN99" s="136"/>
      <c r="DO99" s="136"/>
      <c r="DP99" s="136"/>
      <c r="DQ99" s="136"/>
      <c r="DR99" s="136"/>
      <c r="DS99" s="131"/>
      <c r="DT99" s="136"/>
      <c r="DU99" s="131"/>
      <c r="DV99" s="131"/>
      <c r="DW99" s="131"/>
      <c r="DX99" s="131"/>
      <c r="DY99" s="131"/>
      <c r="DZ99" s="136"/>
      <c r="EA99" s="131"/>
      <c r="EB99" s="131"/>
      <c r="EC99" s="131"/>
      <c r="ED99" s="131"/>
      <c r="EE99" s="137"/>
      <c r="EF99" s="227"/>
      <c r="EG99" s="227"/>
      <c r="EH99" s="228"/>
      <c r="EI99" s="228"/>
      <c r="EJ99" s="228"/>
      <c r="EK99" s="228"/>
    </row>
    <row r="100" spans="1:141">
      <c r="A100" s="132"/>
      <c r="B100" s="18"/>
      <c r="C100" s="18"/>
      <c r="D100" s="220"/>
      <c r="E100" s="130"/>
      <c r="F100" s="126"/>
      <c r="G100" s="18"/>
      <c r="H100" s="189"/>
      <c r="I100" s="18"/>
      <c r="J100" s="18"/>
      <c r="K100" s="189"/>
      <c r="L100" s="18"/>
      <c r="M100" s="129"/>
      <c r="N100" s="189"/>
      <c r="O100" s="132"/>
      <c r="P100" s="127"/>
      <c r="Q100" s="127"/>
      <c r="R100" s="128"/>
      <c r="S100" s="130"/>
      <c r="T100" s="135"/>
      <c r="U100" s="127"/>
      <c r="V100" s="217"/>
      <c r="W100" s="191"/>
      <c r="X100" s="133"/>
      <c r="Y100" s="131"/>
      <c r="Z100" s="131"/>
      <c r="AA100" s="242"/>
      <c r="AB100" s="131"/>
      <c r="AC100" s="131"/>
      <c r="AD100" s="131"/>
      <c r="AE100" s="131"/>
      <c r="AF100" s="131"/>
      <c r="AG100" s="131"/>
      <c r="AH100" s="131"/>
      <c r="AI100" s="131"/>
      <c r="AJ100" s="131"/>
      <c r="AK100" s="131"/>
      <c r="AL100" s="131"/>
      <c r="AM100" s="131"/>
      <c r="AN100" s="131"/>
      <c r="AO100" s="131"/>
      <c r="AP100" s="131"/>
      <c r="AQ100" s="243"/>
      <c r="AR100" s="131"/>
      <c r="AS100" s="131"/>
      <c r="AT100" s="131"/>
      <c r="AU100" s="131"/>
      <c r="AV100" s="131"/>
      <c r="AW100" s="131"/>
      <c r="AX100" s="131"/>
      <c r="AY100" s="131"/>
      <c r="AZ100" s="131"/>
      <c r="BA100" s="131"/>
      <c r="BB100" s="131"/>
      <c r="BC100" s="131"/>
      <c r="BD100" s="131"/>
      <c r="BE100" s="131"/>
      <c r="BF100" s="131"/>
      <c r="BG100" s="131"/>
      <c r="BH100" s="131"/>
      <c r="BI100" s="131"/>
      <c r="BJ100" s="131"/>
      <c r="BK100" s="131"/>
      <c r="BL100" s="131"/>
      <c r="BM100" s="131"/>
      <c r="BN100" s="131"/>
      <c r="BO100" s="136"/>
      <c r="BP100" s="131"/>
      <c r="BQ100" s="131"/>
      <c r="BR100" s="131"/>
      <c r="BS100" s="131"/>
      <c r="BT100" s="131"/>
      <c r="BU100" s="131"/>
      <c r="BV100" s="131"/>
      <c r="BW100" s="131"/>
      <c r="BX100" s="131"/>
      <c r="BY100" s="131"/>
      <c r="BZ100" s="131"/>
      <c r="CA100" s="131"/>
      <c r="CB100" s="131"/>
      <c r="CC100" s="131"/>
      <c r="CD100" s="131"/>
      <c r="CE100" s="131"/>
      <c r="CF100" s="136"/>
      <c r="CG100" s="136"/>
      <c r="CH100" s="131"/>
      <c r="CI100" s="131"/>
      <c r="CJ100" s="136"/>
      <c r="CK100" s="136"/>
      <c r="CL100" s="136"/>
      <c r="CM100" s="131"/>
      <c r="CN100" s="131"/>
      <c r="CO100" s="136"/>
      <c r="CP100" s="136"/>
      <c r="CQ100" s="131"/>
      <c r="CR100" s="131"/>
      <c r="CS100" s="131"/>
      <c r="CT100" s="131"/>
      <c r="CU100" s="131"/>
      <c r="CV100" s="131"/>
      <c r="CW100" s="131"/>
      <c r="CX100" s="131"/>
      <c r="CY100" s="136"/>
      <c r="CZ100" s="136"/>
      <c r="DA100" s="131"/>
      <c r="DB100" s="136"/>
      <c r="DC100" s="136"/>
      <c r="DD100" s="131"/>
      <c r="DE100" s="131"/>
      <c r="DF100" s="131"/>
      <c r="DG100" s="136"/>
      <c r="DH100" s="131"/>
      <c r="DI100" s="131"/>
      <c r="DJ100" s="136"/>
      <c r="DK100" s="136"/>
      <c r="DL100" s="136"/>
      <c r="DM100" s="136"/>
      <c r="DN100" s="136"/>
      <c r="DO100" s="136"/>
      <c r="DP100" s="136"/>
      <c r="DQ100" s="136"/>
      <c r="DR100" s="136"/>
      <c r="DS100" s="131"/>
      <c r="DT100" s="136"/>
      <c r="DU100" s="131"/>
      <c r="DV100" s="131"/>
      <c r="DW100" s="131"/>
      <c r="DX100" s="131"/>
      <c r="DY100" s="131"/>
      <c r="DZ100" s="136"/>
      <c r="EA100" s="131"/>
      <c r="EB100" s="131"/>
      <c r="EC100" s="131"/>
      <c r="ED100" s="131"/>
      <c r="EE100" s="137"/>
      <c r="EF100" s="227"/>
      <c r="EG100" s="227"/>
      <c r="EH100" s="228"/>
      <c r="EI100" s="228"/>
      <c r="EJ100" s="228"/>
      <c r="EK100" s="228"/>
    </row>
    <row r="101" spans="1:141">
      <c r="A101" s="132"/>
      <c r="B101" s="18"/>
      <c r="C101" s="18"/>
      <c r="D101" s="220"/>
      <c r="E101" s="130"/>
      <c r="F101" s="126"/>
      <c r="G101" s="18"/>
      <c r="H101" s="189"/>
      <c r="I101" s="18"/>
      <c r="J101" s="18"/>
      <c r="K101" s="189"/>
      <c r="L101" s="18"/>
      <c r="M101" s="129"/>
      <c r="N101" s="189"/>
      <c r="O101" s="132"/>
      <c r="P101" s="127"/>
      <c r="Q101" s="127"/>
      <c r="R101" s="128"/>
      <c r="S101" s="130"/>
      <c r="T101" s="135"/>
      <c r="U101" s="127"/>
      <c r="V101" s="217"/>
      <c r="W101" s="191"/>
      <c r="X101" s="133"/>
      <c r="Y101" s="131"/>
      <c r="Z101" s="131"/>
      <c r="AA101" s="242"/>
      <c r="AB101" s="131"/>
      <c r="AC101" s="131"/>
      <c r="AD101" s="131"/>
      <c r="AE101" s="131"/>
      <c r="AF101" s="131"/>
      <c r="AG101" s="131"/>
      <c r="AH101" s="131"/>
      <c r="AI101" s="131"/>
      <c r="AJ101" s="131"/>
      <c r="AK101" s="131"/>
      <c r="AL101" s="131"/>
      <c r="AM101" s="131"/>
      <c r="AN101" s="131"/>
      <c r="AO101" s="131"/>
      <c r="AP101" s="131"/>
      <c r="AQ101" s="243"/>
      <c r="AR101" s="131"/>
      <c r="AS101" s="131"/>
      <c r="AT101" s="131"/>
      <c r="AU101" s="131"/>
      <c r="AV101" s="131"/>
      <c r="AW101" s="131"/>
      <c r="AX101" s="131"/>
      <c r="AY101" s="131"/>
      <c r="AZ101" s="131"/>
      <c r="BA101" s="131"/>
      <c r="BB101" s="131"/>
      <c r="BC101" s="131"/>
      <c r="BD101" s="131"/>
      <c r="BE101" s="131"/>
      <c r="BF101" s="131"/>
      <c r="BG101" s="131"/>
      <c r="BH101" s="131"/>
      <c r="BI101" s="131"/>
      <c r="BJ101" s="131"/>
      <c r="BK101" s="131"/>
      <c r="BL101" s="131"/>
      <c r="BM101" s="131"/>
      <c r="BN101" s="131"/>
      <c r="BO101" s="136"/>
      <c r="BP101" s="131"/>
      <c r="BQ101" s="131"/>
      <c r="BR101" s="131"/>
      <c r="BS101" s="131"/>
      <c r="BT101" s="131"/>
      <c r="BU101" s="131"/>
      <c r="BV101" s="131"/>
      <c r="BW101" s="131"/>
      <c r="BX101" s="131"/>
      <c r="BY101" s="131"/>
      <c r="BZ101" s="131"/>
      <c r="CA101" s="131"/>
      <c r="CB101" s="131"/>
      <c r="CC101" s="131"/>
      <c r="CD101" s="131"/>
      <c r="CE101" s="131"/>
      <c r="CF101" s="136"/>
      <c r="CG101" s="136"/>
      <c r="CH101" s="131"/>
      <c r="CI101" s="131"/>
      <c r="CJ101" s="136"/>
      <c r="CK101" s="136"/>
      <c r="CL101" s="136"/>
      <c r="CM101" s="131"/>
      <c r="CN101" s="131"/>
      <c r="CO101" s="136"/>
      <c r="CP101" s="136"/>
      <c r="CQ101" s="131"/>
      <c r="CR101" s="131"/>
      <c r="CS101" s="131"/>
      <c r="CT101" s="131"/>
      <c r="CU101" s="131"/>
      <c r="CV101" s="131"/>
      <c r="CW101" s="131"/>
      <c r="CX101" s="131"/>
      <c r="CY101" s="136"/>
      <c r="CZ101" s="136"/>
      <c r="DA101" s="131"/>
      <c r="DB101" s="136"/>
      <c r="DC101" s="136"/>
      <c r="DD101" s="131"/>
      <c r="DE101" s="131"/>
      <c r="DF101" s="131"/>
      <c r="DG101" s="136"/>
      <c r="DH101" s="131"/>
      <c r="DI101" s="131"/>
      <c r="DJ101" s="136"/>
      <c r="DK101" s="136"/>
      <c r="DL101" s="136"/>
      <c r="DM101" s="136"/>
      <c r="DN101" s="136"/>
      <c r="DO101" s="136"/>
      <c r="DP101" s="136"/>
      <c r="DQ101" s="136"/>
      <c r="DR101" s="136"/>
      <c r="DS101" s="131"/>
      <c r="DT101" s="136"/>
      <c r="DU101" s="131"/>
      <c r="DV101" s="131"/>
      <c r="DW101" s="131"/>
      <c r="DX101" s="131"/>
      <c r="DY101" s="131"/>
      <c r="DZ101" s="136"/>
      <c r="EA101" s="131"/>
      <c r="EB101" s="131"/>
      <c r="EC101" s="131"/>
      <c r="ED101" s="131"/>
      <c r="EE101" s="137"/>
      <c r="EF101" s="227"/>
      <c r="EG101" s="227"/>
      <c r="EH101" s="228"/>
      <c r="EI101" s="228"/>
      <c r="EJ101" s="228"/>
      <c r="EK101" s="228"/>
    </row>
    <row r="102" spans="1:141">
      <c r="A102" s="132"/>
      <c r="B102" s="18"/>
      <c r="C102" s="18"/>
      <c r="D102" s="220"/>
      <c r="E102" s="130"/>
      <c r="F102" s="126"/>
      <c r="G102" s="18"/>
      <c r="H102" s="189"/>
      <c r="I102" s="18"/>
      <c r="J102" s="18"/>
      <c r="K102" s="189"/>
      <c r="L102" s="18"/>
      <c r="M102" s="129"/>
      <c r="N102" s="189"/>
      <c r="O102" s="132"/>
      <c r="P102" s="127"/>
      <c r="Q102" s="127"/>
      <c r="R102" s="128"/>
      <c r="S102" s="130"/>
      <c r="T102" s="135"/>
      <c r="U102" s="127"/>
      <c r="V102" s="217"/>
      <c r="W102" s="191"/>
      <c r="X102" s="133"/>
      <c r="Y102" s="131"/>
      <c r="Z102" s="131"/>
      <c r="AA102" s="242"/>
      <c r="AB102" s="131"/>
      <c r="AC102" s="131"/>
      <c r="AD102" s="131"/>
      <c r="AE102" s="131"/>
      <c r="AF102" s="131"/>
      <c r="AG102" s="131"/>
      <c r="AH102" s="131"/>
      <c r="AI102" s="131"/>
      <c r="AJ102" s="131"/>
      <c r="AK102" s="131"/>
      <c r="AL102" s="131"/>
      <c r="AM102" s="131"/>
      <c r="AN102" s="131"/>
      <c r="AO102" s="131"/>
      <c r="AP102" s="131"/>
      <c r="AQ102" s="243"/>
      <c r="AR102" s="131"/>
      <c r="AS102" s="131"/>
      <c r="AT102" s="131"/>
      <c r="AU102" s="131"/>
      <c r="AV102" s="131"/>
      <c r="AW102" s="131"/>
      <c r="AX102" s="131"/>
      <c r="AY102" s="131"/>
      <c r="AZ102" s="131"/>
      <c r="BA102" s="131"/>
      <c r="BB102" s="131"/>
      <c r="BC102" s="131"/>
      <c r="BD102" s="131"/>
      <c r="BE102" s="131"/>
      <c r="BF102" s="131"/>
      <c r="BG102" s="131"/>
      <c r="BH102" s="131"/>
      <c r="BI102" s="131"/>
      <c r="BJ102" s="131"/>
      <c r="BK102" s="131"/>
      <c r="BL102" s="131"/>
      <c r="BM102" s="131"/>
      <c r="BN102" s="131"/>
      <c r="BO102" s="136"/>
      <c r="BP102" s="131"/>
      <c r="BQ102" s="131"/>
      <c r="BR102" s="131"/>
      <c r="BS102" s="131"/>
      <c r="BT102" s="131"/>
      <c r="BU102" s="131"/>
      <c r="BV102" s="131"/>
      <c r="BW102" s="131"/>
      <c r="BX102" s="131"/>
      <c r="BY102" s="131"/>
      <c r="BZ102" s="131"/>
      <c r="CA102" s="131"/>
      <c r="CB102" s="131"/>
      <c r="CC102" s="131"/>
      <c r="CD102" s="131"/>
      <c r="CE102" s="131"/>
      <c r="CF102" s="136"/>
      <c r="CG102" s="136"/>
      <c r="CH102" s="131"/>
      <c r="CI102" s="131"/>
      <c r="CJ102" s="136"/>
      <c r="CK102" s="136"/>
      <c r="CL102" s="136"/>
      <c r="CM102" s="131"/>
      <c r="CN102" s="131"/>
      <c r="CO102" s="136"/>
      <c r="CP102" s="136"/>
      <c r="CQ102" s="131"/>
      <c r="CR102" s="131"/>
      <c r="CS102" s="131"/>
      <c r="CT102" s="131"/>
      <c r="CU102" s="131"/>
      <c r="CV102" s="131"/>
      <c r="CW102" s="131"/>
      <c r="CX102" s="131"/>
      <c r="CY102" s="136"/>
      <c r="CZ102" s="136"/>
      <c r="DA102" s="131"/>
      <c r="DB102" s="136"/>
      <c r="DC102" s="136"/>
      <c r="DD102" s="131"/>
      <c r="DE102" s="131"/>
      <c r="DF102" s="131"/>
      <c r="DG102" s="136"/>
      <c r="DH102" s="131"/>
      <c r="DI102" s="131"/>
      <c r="DJ102" s="136"/>
      <c r="DK102" s="136"/>
      <c r="DL102" s="136"/>
      <c r="DM102" s="136"/>
      <c r="DN102" s="136"/>
      <c r="DO102" s="136"/>
      <c r="DP102" s="136"/>
      <c r="DQ102" s="136"/>
      <c r="DR102" s="136"/>
      <c r="DS102" s="131"/>
      <c r="DT102" s="136"/>
      <c r="DU102" s="131"/>
      <c r="DV102" s="131"/>
      <c r="DW102" s="131"/>
      <c r="DX102" s="131"/>
      <c r="DY102" s="131"/>
      <c r="DZ102" s="136"/>
      <c r="EA102" s="131"/>
      <c r="EB102" s="131"/>
      <c r="EC102" s="131"/>
      <c r="ED102" s="131"/>
      <c r="EE102" s="137"/>
      <c r="EF102" s="227"/>
      <c r="EG102" s="227"/>
      <c r="EH102" s="228"/>
      <c r="EI102" s="228"/>
      <c r="EJ102" s="228"/>
      <c r="EK102" s="228"/>
    </row>
    <row r="103" spans="1:141">
      <c r="A103" s="132"/>
      <c r="B103" s="18"/>
      <c r="C103" s="18"/>
      <c r="D103" s="220"/>
      <c r="E103" s="130"/>
      <c r="F103" s="126"/>
      <c r="G103" s="18"/>
      <c r="H103" s="189"/>
      <c r="I103" s="18"/>
      <c r="J103" s="18"/>
      <c r="K103" s="189"/>
      <c r="L103" s="18"/>
      <c r="M103" s="129"/>
      <c r="N103" s="189"/>
      <c r="O103" s="132"/>
      <c r="P103" s="127"/>
      <c r="Q103" s="127"/>
      <c r="R103" s="128"/>
      <c r="S103" s="130"/>
      <c r="T103" s="135"/>
      <c r="U103" s="127"/>
      <c r="V103" s="217"/>
      <c r="W103" s="191"/>
      <c r="X103" s="133"/>
      <c r="Y103" s="131"/>
      <c r="Z103" s="131"/>
      <c r="AA103" s="242"/>
      <c r="AB103" s="131"/>
      <c r="AC103" s="131"/>
      <c r="AD103" s="131"/>
      <c r="AE103" s="131"/>
      <c r="AF103" s="131"/>
      <c r="AG103" s="131"/>
      <c r="AH103" s="131"/>
      <c r="AI103" s="131"/>
      <c r="AJ103" s="131"/>
      <c r="AK103" s="131"/>
      <c r="AL103" s="131"/>
      <c r="AM103" s="131"/>
      <c r="AN103" s="131"/>
      <c r="AO103" s="131"/>
      <c r="AP103" s="131"/>
      <c r="AQ103" s="243"/>
      <c r="AR103" s="131"/>
      <c r="AS103" s="131"/>
      <c r="AT103" s="131"/>
      <c r="AU103" s="131"/>
      <c r="AV103" s="131"/>
      <c r="AW103" s="131"/>
      <c r="AX103" s="131"/>
      <c r="AY103" s="131"/>
      <c r="AZ103" s="131"/>
      <c r="BA103" s="131"/>
      <c r="BB103" s="131"/>
      <c r="BC103" s="131"/>
      <c r="BD103" s="131"/>
      <c r="BE103" s="131"/>
      <c r="BF103" s="131"/>
      <c r="BG103" s="131"/>
      <c r="BH103" s="131"/>
      <c r="BI103" s="131"/>
      <c r="BJ103" s="131"/>
      <c r="BK103" s="131"/>
      <c r="BL103" s="131"/>
      <c r="BM103" s="131"/>
      <c r="BN103" s="131"/>
      <c r="BO103" s="136"/>
      <c r="BP103" s="131"/>
      <c r="BQ103" s="131"/>
      <c r="BR103" s="131"/>
      <c r="BS103" s="131"/>
      <c r="BT103" s="131"/>
      <c r="BU103" s="131"/>
      <c r="BV103" s="131"/>
      <c r="BW103" s="131"/>
      <c r="BX103" s="131"/>
      <c r="BY103" s="131"/>
      <c r="BZ103" s="131"/>
      <c r="CA103" s="131"/>
      <c r="CB103" s="131"/>
      <c r="CC103" s="131"/>
      <c r="CD103" s="131"/>
      <c r="CE103" s="131"/>
      <c r="CF103" s="136"/>
      <c r="CG103" s="136"/>
      <c r="CH103" s="131"/>
      <c r="CI103" s="131"/>
      <c r="CJ103" s="136"/>
      <c r="CK103" s="136"/>
      <c r="CL103" s="136"/>
      <c r="CM103" s="131"/>
      <c r="CN103" s="131"/>
      <c r="CO103" s="136"/>
      <c r="CP103" s="136"/>
      <c r="CQ103" s="131"/>
      <c r="CR103" s="131"/>
      <c r="CS103" s="131"/>
      <c r="CT103" s="131"/>
      <c r="CU103" s="131"/>
      <c r="CV103" s="131"/>
      <c r="CW103" s="131"/>
      <c r="CX103" s="131"/>
      <c r="CY103" s="136"/>
      <c r="CZ103" s="136"/>
      <c r="DA103" s="131"/>
      <c r="DB103" s="136"/>
      <c r="DC103" s="136"/>
      <c r="DD103" s="131"/>
      <c r="DE103" s="131"/>
      <c r="DF103" s="131"/>
      <c r="DG103" s="136"/>
      <c r="DH103" s="131"/>
      <c r="DI103" s="131"/>
      <c r="DJ103" s="136"/>
      <c r="DK103" s="136"/>
      <c r="DL103" s="136"/>
      <c r="DM103" s="136"/>
      <c r="DN103" s="136"/>
      <c r="DO103" s="136"/>
      <c r="DP103" s="136"/>
      <c r="DQ103" s="136"/>
      <c r="DR103" s="136"/>
      <c r="DS103" s="131"/>
      <c r="DT103" s="136"/>
      <c r="DU103" s="131"/>
      <c r="DV103" s="131"/>
      <c r="DW103" s="131"/>
      <c r="DX103" s="131"/>
      <c r="DY103" s="131"/>
      <c r="DZ103" s="136"/>
      <c r="EA103" s="131"/>
      <c r="EB103" s="131"/>
      <c r="EC103" s="131"/>
      <c r="ED103" s="131"/>
      <c r="EE103" s="137"/>
      <c r="EF103" s="227"/>
      <c r="EG103" s="227"/>
      <c r="EH103" s="228"/>
      <c r="EI103" s="228"/>
      <c r="EJ103" s="228"/>
      <c r="EK103" s="228"/>
    </row>
    <row r="104" spans="1:141">
      <c r="A104" s="132"/>
      <c r="B104" s="18"/>
      <c r="C104" s="18"/>
      <c r="D104" s="220"/>
      <c r="E104" s="130"/>
      <c r="F104" s="126"/>
      <c r="G104" s="18"/>
      <c r="H104" s="189"/>
      <c r="I104" s="18"/>
      <c r="J104" s="18"/>
      <c r="K104" s="189"/>
      <c r="L104" s="18"/>
      <c r="M104" s="129"/>
      <c r="N104" s="189"/>
      <c r="O104" s="132"/>
      <c r="P104" s="127"/>
      <c r="Q104" s="127"/>
      <c r="R104" s="128"/>
      <c r="S104" s="130"/>
      <c r="T104" s="135"/>
      <c r="U104" s="127"/>
      <c r="V104" s="217"/>
      <c r="W104" s="191"/>
      <c r="X104" s="133"/>
      <c r="Y104" s="131"/>
      <c r="Z104" s="131"/>
      <c r="AA104" s="242"/>
      <c r="AB104" s="131"/>
      <c r="AC104" s="131"/>
      <c r="AD104" s="131"/>
      <c r="AE104" s="131"/>
      <c r="AF104" s="131"/>
      <c r="AG104" s="131"/>
      <c r="AH104" s="131"/>
      <c r="AI104" s="131"/>
      <c r="AJ104" s="131"/>
      <c r="AK104" s="131"/>
      <c r="AL104" s="131"/>
      <c r="AM104" s="131"/>
      <c r="AN104" s="131"/>
      <c r="AO104" s="131"/>
      <c r="AP104" s="131"/>
      <c r="AQ104" s="243"/>
      <c r="AR104" s="131"/>
      <c r="AS104" s="131"/>
      <c r="AT104" s="131"/>
      <c r="AU104" s="131"/>
      <c r="AV104" s="131"/>
      <c r="AW104" s="131"/>
      <c r="AX104" s="131"/>
      <c r="AY104" s="131"/>
      <c r="AZ104" s="131"/>
      <c r="BA104" s="131"/>
      <c r="BB104" s="131"/>
      <c r="BC104" s="131"/>
      <c r="BD104" s="131"/>
      <c r="BE104" s="131"/>
      <c r="BF104" s="131"/>
      <c r="BG104" s="131"/>
      <c r="BH104" s="131"/>
      <c r="BI104" s="131"/>
      <c r="BJ104" s="131"/>
      <c r="BK104" s="131"/>
      <c r="BL104" s="131"/>
      <c r="BM104" s="131"/>
      <c r="BN104" s="131"/>
      <c r="BO104" s="136"/>
      <c r="BP104" s="131"/>
      <c r="BQ104" s="131"/>
      <c r="BR104" s="131"/>
      <c r="BS104" s="131"/>
      <c r="BT104" s="131"/>
      <c r="BU104" s="131"/>
      <c r="BV104" s="131"/>
      <c r="BW104" s="131"/>
      <c r="BX104" s="131"/>
      <c r="BY104" s="131"/>
      <c r="BZ104" s="131"/>
      <c r="CA104" s="131"/>
      <c r="CB104" s="131"/>
      <c r="CC104" s="131"/>
      <c r="CD104" s="131"/>
      <c r="CE104" s="131"/>
      <c r="CF104" s="136"/>
      <c r="CG104" s="136"/>
      <c r="CH104" s="131"/>
      <c r="CI104" s="131"/>
      <c r="CJ104" s="136"/>
      <c r="CK104" s="136"/>
      <c r="CL104" s="136"/>
      <c r="CM104" s="131"/>
      <c r="CN104" s="131"/>
      <c r="CO104" s="136"/>
      <c r="CP104" s="136"/>
      <c r="CQ104" s="131"/>
      <c r="CR104" s="131"/>
      <c r="CS104" s="131"/>
      <c r="CT104" s="131"/>
      <c r="CU104" s="131"/>
      <c r="CV104" s="131"/>
      <c r="CW104" s="131"/>
      <c r="CX104" s="131"/>
      <c r="CY104" s="136"/>
      <c r="CZ104" s="136"/>
      <c r="DA104" s="131"/>
      <c r="DB104" s="136"/>
      <c r="DC104" s="136"/>
      <c r="DD104" s="131"/>
      <c r="DE104" s="131"/>
      <c r="DF104" s="131"/>
      <c r="DG104" s="136"/>
      <c r="DH104" s="131"/>
      <c r="DI104" s="131"/>
      <c r="DJ104" s="136"/>
      <c r="DK104" s="136"/>
      <c r="DL104" s="136"/>
      <c r="DM104" s="136"/>
      <c r="DN104" s="136"/>
      <c r="DO104" s="136"/>
      <c r="DP104" s="136"/>
      <c r="DQ104" s="136"/>
      <c r="DR104" s="136"/>
      <c r="DS104" s="131"/>
      <c r="DT104" s="136"/>
      <c r="DU104" s="131"/>
      <c r="DV104" s="131"/>
      <c r="DW104" s="131"/>
      <c r="DX104" s="131"/>
      <c r="DY104" s="131"/>
      <c r="DZ104" s="136"/>
      <c r="EA104" s="131"/>
      <c r="EB104" s="131"/>
      <c r="EC104" s="131"/>
      <c r="ED104" s="131"/>
      <c r="EE104" s="137"/>
      <c r="EF104" s="227"/>
      <c r="EG104" s="227"/>
      <c r="EH104" s="228"/>
      <c r="EI104" s="228"/>
      <c r="EJ104" s="228"/>
      <c r="EK104" s="228"/>
    </row>
    <row r="105" spans="1:141">
      <c r="A105" s="132"/>
      <c r="B105" s="18"/>
      <c r="C105" s="18"/>
      <c r="D105" s="220"/>
      <c r="E105" s="130"/>
      <c r="F105" s="126"/>
      <c r="G105" s="18"/>
      <c r="H105" s="189"/>
      <c r="I105" s="18"/>
      <c r="J105" s="18"/>
      <c r="K105" s="189"/>
      <c r="L105" s="18"/>
      <c r="M105" s="129"/>
      <c r="N105" s="189"/>
      <c r="O105" s="132"/>
      <c r="P105" s="127"/>
      <c r="Q105" s="127"/>
      <c r="R105" s="128"/>
      <c r="S105" s="130"/>
      <c r="T105" s="135"/>
      <c r="U105" s="127"/>
      <c r="V105" s="217"/>
      <c r="W105" s="191"/>
      <c r="X105" s="133"/>
      <c r="Y105" s="131"/>
      <c r="Z105" s="131"/>
      <c r="AA105" s="242"/>
      <c r="AB105" s="131"/>
      <c r="AC105" s="131"/>
      <c r="AD105" s="131"/>
      <c r="AE105" s="131"/>
      <c r="AF105" s="131"/>
      <c r="AG105" s="131"/>
      <c r="AH105" s="131"/>
      <c r="AI105" s="131"/>
      <c r="AJ105" s="131"/>
      <c r="AK105" s="131"/>
      <c r="AL105" s="131"/>
      <c r="AM105" s="131"/>
      <c r="AN105" s="131"/>
      <c r="AO105" s="131"/>
      <c r="AP105" s="131"/>
      <c r="AQ105" s="243"/>
      <c r="AR105" s="131"/>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6"/>
      <c r="BP105" s="131"/>
      <c r="BQ105" s="131"/>
      <c r="BR105" s="131"/>
      <c r="BS105" s="131"/>
      <c r="BT105" s="131"/>
      <c r="BU105" s="131"/>
      <c r="BV105" s="131"/>
      <c r="BW105" s="131"/>
      <c r="BX105" s="131"/>
      <c r="BY105" s="131"/>
      <c r="BZ105" s="131"/>
      <c r="CA105" s="131"/>
      <c r="CB105" s="131"/>
      <c r="CC105" s="131"/>
      <c r="CD105" s="131"/>
      <c r="CE105" s="131"/>
      <c r="CF105" s="136"/>
      <c r="CG105" s="136"/>
      <c r="CH105" s="131"/>
      <c r="CI105" s="131"/>
      <c r="CJ105" s="136"/>
      <c r="CK105" s="136"/>
      <c r="CL105" s="136"/>
      <c r="CM105" s="131"/>
      <c r="CN105" s="131"/>
      <c r="CO105" s="136"/>
      <c r="CP105" s="136"/>
      <c r="CQ105" s="131"/>
      <c r="CR105" s="131"/>
      <c r="CS105" s="131"/>
      <c r="CT105" s="131"/>
      <c r="CU105" s="131"/>
      <c r="CV105" s="131"/>
      <c r="CW105" s="131"/>
      <c r="CX105" s="131"/>
      <c r="CY105" s="136"/>
      <c r="CZ105" s="136"/>
      <c r="DA105" s="131"/>
      <c r="DB105" s="136"/>
      <c r="DC105" s="136"/>
      <c r="DD105" s="131"/>
      <c r="DE105" s="131"/>
      <c r="DF105" s="131"/>
      <c r="DG105" s="136"/>
      <c r="DH105" s="131"/>
      <c r="DI105" s="131"/>
      <c r="DJ105" s="136"/>
      <c r="DK105" s="136"/>
      <c r="DL105" s="136"/>
      <c r="DM105" s="136"/>
      <c r="DN105" s="136"/>
      <c r="DO105" s="136"/>
      <c r="DP105" s="136"/>
      <c r="DQ105" s="136"/>
      <c r="DR105" s="136"/>
      <c r="DS105" s="131"/>
      <c r="DT105" s="136"/>
      <c r="DU105" s="131"/>
      <c r="DV105" s="131"/>
      <c r="DW105" s="131"/>
      <c r="DX105" s="131"/>
      <c r="DY105" s="131"/>
      <c r="DZ105" s="136"/>
      <c r="EA105" s="131"/>
      <c r="EB105" s="131"/>
      <c r="EC105" s="131"/>
      <c r="ED105" s="131"/>
      <c r="EE105" s="137"/>
      <c r="EF105" s="227"/>
      <c r="EG105" s="227"/>
      <c r="EH105" s="228"/>
      <c r="EI105" s="228"/>
      <c r="EJ105" s="228"/>
      <c r="EK105" s="228"/>
    </row>
    <row r="106" spans="1:141">
      <c r="A106" s="132"/>
      <c r="B106" s="18"/>
      <c r="C106" s="18"/>
      <c r="D106" s="220"/>
      <c r="E106" s="130"/>
      <c r="F106" s="126"/>
      <c r="G106" s="18"/>
      <c r="H106" s="189"/>
      <c r="I106" s="18"/>
      <c r="J106" s="18"/>
      <c r="K106" s="189"/>
      <c r="L106" s="18"/>
      <c r="M106" s="129"/>
      <c r="N106" s="189"/>
      <c r="O106" s="132"/>
      <c r="P106" s="127"/>
      <c r="Q106" s="127"/>
      <c r="R106" s="128"/>
      <c r="S106" s="130"/>
      <c r="T106" s="135"/>
      <c r="U106" s="127"/>
      <c r="V106" s="217"/>
      <c r="W106" s="191"/>
      <c r="X106" s="133"/>
      <c r="Y106" s="131"/>
      <c r="Z106" s="131"/>
      <c r="AA106" s="242"/>
      <c r="AB106" s="131"/>
      <c r="AC106" s="131"/>
      <c r="AD106" s="131"/>
      <c r="AE106" s="131"/>
      <c r="AF106" s="131"/>
      <c r="AG106" s="131"/>
      <c r="AH106" s="131"/>
      <c r="AI106" s="131"/>
      <c r="AJ106" s="131"/>
      <c r="AK106" s="131"/>
      <c r="AL106" s="131"/>
      <c r="AM106" s="131"/>
      <c r="AN106" s="131"/>
      <c r="AO106" s="131"/>
      <c r="AP106" s="131"/>
      <c r="AQ106" s="243"/>
      <c r="AR106" s="131"/>
      <c r="AS106" s="131"/>
      <c r="AT106" s="131"/>
      <c r="AU106" s="131"/>
      <c r="AV106" s="131"/>
      <c r="AW106" s="131"/>
      <c r="AX106" s="131"/>
      <c r="AY106" s="131"/>
      <c r="AZ106" s="131"/>
      <c r="BA106" s="131"/>
      <c r="BB106" s="131"/>
      <c r="BC106" s="131"/>
      <c r="BD106" s="131"/>
      <c r="BE106" s="131"/>
      <c r="BF106" s="131"/>
      <c r="BG106" s="131"/>
      <c r="BH106" s="131"/>
      <c r="BI106" s="131"/>
      <c r="BJ106" s="131"/>
      <c r="BK106" s="131"/>
      <c r="BL106" s="131"/>
      <c r="BM106" s="131"/>
      <c r="BN106" s="131"/>
      <c r="BO106" s="136"/>
      <c r="BP106" s="131"/>
      <c r="BQ106" s="131"/>
      <c r="BR106" s="131"/>
      <c r="BS106" s="131"/>
      <c r="BT106" s="131"/>
      <c r="BU106" s="131"/>
      <c r="BV106" s="131"/>
      <c r="BW106" s="131"/>
      <c r="BX106" s="131"/>
      <c r="BY106" s="131"/>
      <c r="BZ106" s="131"/>
      <c r="CA106" s="131"/>
      <c r="CB106" s="131"/>
      <c r="CC106" s="131"/>
      <c r="CD106" s="131"/>
      <c r="CE106" s="131"/>
      <c r="CF106" s="136"/>
      <c r="CG106" s="136"/>
      <c r="CH106" s="131"/>
      <c r="CI106" s="131"/>
      <c r="CJ106" s="136"/>
      <c r="CK106" s="136"/>
      <c r="CL106" s="136"/>
      <c r="CM106" s="131"/>
      <c r="CN106" s="131"/>
      <c r="CO106" s="136"/>
      <c r="CP106" s="136"/>
      <c r="CQ106" s="131"/>
      <c r="CR106" s="131"/>
      <c r="CS106" s="131"/>
      <c r="CT106" s="131"/>
      <c r="CU106" s="131"/>
      <c r="CV106" s="131"/>
      <c r="CW106" s="131"/>
      <c r="CX106" s="131"/>
      <c r="CY106" s="136"/>
      <c r="CZ106" s="136"/>
      <c r="DA106" s="131"/>
      <c r="DB106" s="136"/>
      <c r="DC106" s="136"/>
      <c r="DD106" s="131"/>
      <c r="DE106" s="131"/>
      <c r="DF106" s="131"/>
      <c r="DG106" s="136"/>
      <c r="DH106" s="131"/>
      <c r="DI106" s="131"/>
      <c r="DJ106" s="136"/>
      <c r="DK106" s="136"/>
      <c r="DL106" s="136"/>
      <c r="DM106" s="136"/>
      <c r="DN106" s="136"/>
      <c r="DO106" s="136"/>
      <c r="DP106" s="136"/>
      <c r="DQ106" s="136"/>
      <c r="DR106" s="136"/>
      <c r="DS106" s="131"/>
      <c r="DT106" s="136"/>
      <c r="DU106" s="131"/>
      <c r="DV106" s="131"/>
      <c r="DW106" s="131"/>
      <c r="DX106" s="131"/>
      <c r="DY106" s="131"/>
      <c r="DZ106" s="136"/>
      <c r="EA106" s="131"/>
      <c r="EB106" s="131"/>
      <c r="EC106" s="131"/>
      <c r="ED106" s="131"/>
      <c r="EE106" s="137"/>
      <c r="EF106" s="227"/>
      <c r="EG106" s="227"/>
      <c r="EH106" s="228"/>
      <c r="EI106" s="228"/>
      <c r="EJ106" s="228"/>
      <c r="EK106" s="228"/>
    </row>
    <row r="107" spans="1:141">
      <c r="A107" s="132"/>
      <c r="B107" s="18"/>
      <c r="C107" s="18"/>
      <c r="D107" s="220"/>
      <c r="E107" s="130"/>
      <c r="F107" s="126"/>
      <c r="G107" s="18"/>
      <c r="H107" s="189"/>
      <c r="I107" s="18"/>
      <c r="J107" s="18"/>
      <c r="K107" s="189"/>
      <c r="L107" s="18"/>
      <c r="M107" s="129"/>
      <c r="N107" s="189"/>
      <c r="O107" s="132"/>
      <c r="P107" s="127"/>
      <c r="Q107" s="127"/>
      <c r="R107" s="128"/>
      <c r="S107" s="130"/>
      <c r="T107" s="135"/>
      <c r="U107" s="127"/>
      <c r="V107" s="217"/>
      <c r="W107" s="191"/>
      <c r="X107" s="133"/>
      <c r="Y107" s="131"/>
      <c r="Z107" s="131"/>
      <c r="AA107" s="242"/>
      <c r="AB107" s="131"/>
      <c r="AC107" s="131"/>
      <c r="AD107" s="131"/>
      <c r="AE107" s="131"/>
      <c r="AF107" s="131"/>
      <c r="AG107" s="131"/>
      <c r="AH107" s="131"/>
      <c r="AI107" s="131"/>
      <c r="AJ107" s="131"/>
      <c r="AK107" s="131"/>
      <c r="AL107" s="131"/>
      <c r="AM107" s="131"/>
      <c r="AN107" s="131"/>
      <c r="AO107" s="131"/>
      <c r="AP107" s="131"/>
      <c r="AQ107" s="243"/>
      <c r="AR107" s="131"/>
      <c r="AS107" s="131"/>
      <c r="AT107" s="131"/>
      <c r="AU107" s="131"/>
      <c r="AV107" s="131"/>
      <c r="AW107" s="131"/>
      <c r="AX107" s="131"/>
      <c r="AY107" s="131"/>
      <c r="AZ107" s="131"/>
      <c r="BA107" s="131"/>
      <c r="BB107" s="131"/>
      <c r="BC107" s="131"/>
      <c r="BD107" s="131"/>
      <c r="BE107" s="131"/>
      <c r="BF107" s="131"/>
      <c r="BG107" s="131"/>
      <c r="BH107" s="131"/>
      <c r="BI107" s="131"/>
      <c r="BJ107" s="131"/>
      <c r="BK107" s="131"/>
      <c r="BL107" s="131"/>
      <c r="BM107" s="131"/>
      <c r="BN107" s="131"/>
      <c r="BO107" s="136"/>
      <c r="BP107" s="131"/>
      <c r="BQ107" s="131"/>
      <c r="BR107" s="131"/>
      <c r="BS107" s="131"/>
      <c r="BT107" s="131"/>
      <c r="BU107" s="131"/>
      <c r="BV107" s="131"/>
      <c r="BW107" s="131"/>
      <c r="BX107" s="131"/>
      <c r="BY107" s="131"/>
      <c r="BZ107" s="131"/>
      <c r="CA107" s="131"/>
      <c r="CB107" s="131"/>
      <c r="CC107" s="131"/>
      <c r="CD107" s="131"/>
      <c r="CE107" s="131"/>
      <c r="CF107" s="136"/>
      <c r="CG107" s="136"/>
      <c r="CH107" s="131"/>
      <c r="CI107" s="131"/>
      <c r="CJ107" s="136"/>
      <c r="CK107" s="136"/>
      <c r="CL107" s="136"/>
      <c r="CM107" s="131"/>
      <c r="CN107" s="131"/>
      <c r="CO107" s="136"/>
      <c r="CP107" s="136"/>
      <c r="CQ107" s="131"/>
      <c r="CR107" s="131"/>
      <c r="CS107" s="131"/>
      <c r="CT107" s="131"/>
      <c r="CU107" s="131"/>
      <c r="CV107" s="131"/>
      <c r="CW107" s="131"/>
      <c r="CX107" s="131"/>
      <c r="CY107" s="136"/>
      <c r="CZ107" s="136"/>
      <c r="DA107" s="131"/>
      <c r="DB107" s="136"/>
      <c r="DC107" s="136"/>
      <c r="DD107" s="131"/>
      <c r="DE107" s="131"/>
      <c r="DF107" s="131"/>
      <c r="DG107" s="136"/>
      <c r="DH107" s="131"/>
      <c r="DI107" s="131"/>
      <c r="DJ107" s="136"/>
      <c r="DK107" s="136"/>
      <c r="DL107" s="136"/>
      <c r="DM107" s="136"/>
      <c r="DN107" s="136"/>
      <c r="DO107" s="136"/>
      <c r="DP107" s="136"/>
      <c r="DQ107" s="136"/>
      <c r="DR107" s="136"/>
      <c r="DS107" s="131"/>
      <c r="DT107" s="136"/>
      <c r="DU107" s="131"/>
      <c r="DV107" s="131"/>
      <c r="DW107" s="131"/>
      <c r="DX107" s="131"/>
      <c r="DY107" s="131"/>
      <c r="DZ107" s="136"/>
      <c r="EA107" s="131"/>
      <c r="EB107" s="131"/>
      <c r="EC107" s="131"/>
      <c r="ED107" s="131"/>
      <c r="EE107" s="137"/>
      <c r="EF107" s="227"/>
      <c r="EG107" s="227"/>
      <c r="EH107" s="228"/>
      <c r="EI107" s="228"/>
      <c r="EJ107" s="228"/>
      <c r="EK107" s="228"/>
    </row>
    <row r="108" spans="1:141">
      <c r="A108" s="132"/>
      <c r="B108" s="18"/>
      <c r="C108" s="18"/>
      <c r="D108" s="220"/>
      <c r="E108" s="130"/>
      <c r="F108" s="126"/>
      <c r="G108" s="18"/>
      <c r="H108" s="189"/>
      <c r="I108" s="18"/>
      <c r="J108" s="18"/>
      <c r="K108" s="189"/>
      <c r="L108" s="18"/>
      <c r="M108" s="129"/>
      <c r="N108" s="189"/>
      <c r="O108" s="132"/>
      <c r="P108" s="127"/>
      <c r="Q108" s="127"/>
      <c r="R108" s="128"/>
      <c r="S108" s="130"/>
      <c r="T108" s="135"/>
      <c r="U108" s="127"/>
      <c r="V108" s="217"/>
      <c r="W108" s="191"/>
      <c r="X108" s="133"/>
      <c r="Y108" s="131"/>
      <c r="Z108" s="131"/>
      <c r="AA108" s="242"/>
      <c r="AB108" s="131"/>
      <c r="AC108" s="131"/>
      <c r="AD108" s="131"/>
      <c r="AE108" s="131"/>
      <c r="AF108" s="131"/>
      <c r="AG108" s="131"/>
      <c r="AH108" s="131"/>
      <c r="AI108" s="131"/>
      <c r="AJ108" s="131"/>
      <c r="AK108" s="131"/>
      <c r="AL108" s="131"/>
      <c r="AM108" s="131"/>
      <c r="AN108" s="131"/>
      <c r="AO108" s="131"/>
      <c r="AP108" s="131"/>
      <c r="AQ108" s="243"/>
      <c r="AR108" s="131"/>
      <c r="AS108" s="131"/>
      <c r="AT108" s="131"/>
      <c r="AU108" s="131"/>
      <c r="AV108" s="131"/>
      <c r="AW108" s="131"/>
      <c r="AX108" s="131"/>
      <c r="AY108" s="131"/>
      <c r="AZ108" s="131"/>
      <c r="BA108" s="131"/>
      <c r="BB108" s="131"/>
      <c r="BC108" s="131"/>
      <c r="BD108" s="131"/>
      <c r="BE108" s="131"/>
      <c r="BF108" s="131"/>
      <c r="BG108" s="131"/>
      <c r="BH108" s="131"/>
      <c r="BI108" s="131"/>
      <c r="BJ108" s="131"/>
      <c r="BK108" s="131"/>
      <c r="BL108" s="131"/>
      <c r="BM108" s="131"/>
      <c r="BN108" s="131"/>
      <c r="BO108" s="136"/>
      <c r="BP108" s="131"/>
      <c r="BQ108" s="131"/>
      <c r="BR108" s="131"/>
      <c r="BS108" s="131"/>
      <c r="BT108" s="131"/>
      <c r="BU108" s="131"/>
      <c r="BV108" s="131"/>
      <c r="BW108" s="131"/>
      <c r="BX108" s="131"/>
      <c r="BY108" s="131"/>
      <c r="BZ108" s="131"/>
      <c r="CA108" s="131"/>
      <c r="CB108" s="131"/>
      <c r="CC108" s="131"/>
      <c r="CD108" s="131"/>
      <c r="CE108" s="131"/>
      <c r="CF108" s="136"/>
      <c r="CG108" s="136"/>
      <c r="CH108" s="131"/>
      <c r="CI108" s="131"/>
      <c r="CJ108" s="136"/>
      <c r="CK108" s="136"/>
      <c r="CL108" s="136"/>
      <c r="CM108" s="131"/>
      <c r="CN108" s="131"/>
      <c r="CO108" s="136"/>
      <c r="CP108" s="136"/>
      <c r="CQ108" s="131"/>
      <c r="CR108" s="131"/>
      <c r="CS108" s="131"/>
      <c r="CT108" s="131"/>
      <c r="CU108" s="131"/>
      <c r="CV108" s="131"/>
      <c r="CW108" s="131"/>
      <c r="CX108" s="131"/>
      <c r="CY108" s="136"/>
      <c r="CZ108" s="136"/>
      <c r="DA108" s="131"/>
      <c r="DB108" s="136"/>
      <c r="DC108" s="136"/>
      <c r="DD108" s="131"/>
      <c r="DE108" s="131"/>
      <c r="DF108" s="131"/>
      <c r="DG108" s="136"/>
      <c r="DH108" s="131"/>
      <c r="DI108" s="131"/>
      <c r="DJ108" s="136"/>
      <c r="DK108" s="136"/>
      <c r="DL108" s="136"/>
      <c r="DM108" s="136"/>
      <c r="DN108" s="136"/>
      <c r="DO108" s="136"/>
      <c r="DP108" s="136"/>
      <c r="DQ108" s="136"/>
      <c r="DR108" s="136"/>
      <c r="DS108" s="131"/>
      <c r="DT108" s="136"/>
      <c r="DU108" s="131"/>
      <c r="DV108" s="131"/>
      <c r="DW108" s="131"/>
      <c r="DX108" s="131"/>
      <c r="DY108" s="131"/>
      <c r="DZ108" s="136"/>
      <c r="EA108" s="131"/>
      <c r="EB108" s="131"/>
      <c r="EC108" s="131"/>
      <c r="ED108" s="131"/>
      <c r="EE108" s="137"/>
      <c r="EF108" s="227"/>
      <c r="EG108" s="227"/>
      <c r="EH108" s="228"/>
      <c r="EI108" s="228"/>
      <c r="EJ108" s="228"/>
      <c r="EK108" s="228"/>
    </row>
    <row r="109" spans="1:141">
      <c r="A109" s="132"/>
      <c r="B109" s="18"/>
      <c r="C109" s="18"/>
      <c r="D109" s="220"/>
      <c r="E109" s="130"/>
      <c r="F109" s="126"/>
      <c r="G109" s="18"/>
      <c r="H109" s="189"/>
      <c r="I109" s="18"/>
      <c r="J109" s="18"/>
      <c r="K109" s="189"/>
      <c r="L109" s="18"/>
      <c r="M109" s="129"/>
      <c r="N109" s="189"/>
      <c r="O109" s="132"/>
      <c r="P109" s="127"/>
      <c r="Q109" s="127"/>
      <c r="R109" s="128"/>
      <c r="S109" s="130"/>
      <c r="T109" s="135"/>
      <c r="U109" s="127"/>
      <c r="V109" s="217"/>
      <c r="W109" s="191"/>
      <c r="X109" s="133"/>
      <c r="Y109" s="131"/>
      <c r="Z109" s="131"/>
      <c r="AA109" s="242"/>
      <c r="AB109" s="131"/>
      <c r="AC109" s="131"/>
      <c r="AD109" s="131"/>
      <c r="AE109" s="131"/>
      <c r="AF109" s="131"/>
      <c r="AG109" s="131"/>
      <c r="AH109" s="131"/>
      <c r="AI109" s="131"/>
      <c r="AJ109" s="131"/>
      <c r="AK109" s="131"/>
      <c r="AL109" s="131"/>
      <c r="AM109" s="131"/>
      <c r="AN109" s="131"/>
      <c r="AO109" s="131"/>
      <c r="AP109" s="131"/>
      <c r="AQ109" s="243"/>
      <c r="AR109" s="131"/>
      <c r="AS109" s="131"/>
      <c r="AT109" s="131"/>
      <c r="AU109" s="131"/>
      <c r="AV109" s="131"/>
      <c r="AW109" s="131"/>
      <c r="AX109" s="131"/>
      <c r="AY109" s="131"/>
      <c r="AZ109" s="131"/>
      <c r="BA109" s="131"/>
      <c r="BB109" s="131"/>
      <c r="BC109" s="131"/>
      <c r="BD109" s="131"/>
      <c r="BE109" s="131"/>
      <c r="BF109" s="131"/>
      <c r="BG109" s="131"/>
      <c r="BH109" s="131"/>
      <c r="BI109" s="131"/>
      <c r="BJ109" s="131"/>
      <c r="BK109" s="131"/>
      <c r="BL109" s="131"/>
      <c r="BM109" s="131"/>
      <c r="BN109" s="131"/>
      <c r="BO109" s="136"/>
      <c r="BP109" s="131"/>
      <c r="BQ109" s="131"/>
      <c r="BR109" s="131"/>
      <c r="BS109" s="131"/>
      <c r="BT109" s="131"/>
      <c r="BU109" s="131"/>
      <c r="BV109" s="131"/>
      <c r="BW109" s="131"/>
      <c r="BX109" s="131"/>
      <c r="BY109" s="131"/>
      <c r="BZ109" s="131"/>
      <c r="CA109" s="131"/>
      <c r="CB109" s="131"/>
      <c r="CC109" s="131"/>
      <c r="CD109" s="131"/>
      <c r="CE109" s="131"/>
      <c r="CF109" s="136"/>
      <c r="CG109" s="136"/>
      <c r="CH109" s="131"/>
      <c r="CI109" s="131"/>
      <c r="CJ109" s="136"/>
      <c r="CK109" s="136"/>
      <c r="CL109" s="136"/>
      <c r="CM109" s="131"/>
      <c r="CN109" s="131"/>
      <c r="CO109" s="136"/>
      <c r="CP109" s="136"/>
      <c r="CQ109" s="131"/>
      <c r="CR109" s="131"/>
      <c r="CS109" s="131"/>
      <c r="CT109" s="131"/>
      <c r="CU109" s="131"/>
      <c r="CV109" s="131"/>
      <c r="CW109" s="131"/>
      <c r="CX109" s="131"/>
      <c r="CY109" s="136"/>
      <c r="CZ109" s="136"/>
      <c r="DA109" s="131"/>
      <c r="DB109" s="136"/>
      <c r="DC109" s="136"/>
      <c r="DD109" s="131"/>
      <c r="DE109" s="131"/>
      <c r="DF109" s="131"/>
      <c r="DG109" s="136"/>
      <c r="DH109" s="131"/>
      <c r="DI109" s="131"/>
      <c r="DJ109" s="136"/>
      <c r="DK109" s="136"/>
      <c r="DL109" s="136"/>
      <c r="DM109" s="136"/>
      <c r="DN109" s="136"/>
      <c r="DO109" s="136"/>
      <c r="DP109" s="136"/>
      <c r="DQ109" s="136"/>
      <c r="DR109" s="136"/>
      <c r="DS109" s="131"/>
      <c r="DT109" s="136"/>
      <c r="DU109" s="131"/>
      <c r="DV109" s="131"/>
      <c r="DW109" s="131"/>
      <c r="DX109" s="131"/>
      <c r="DY109" s="131"/>
      <c r="DZ109" s="136"/>
      <c r="EA109" s="131"/>
      <c r="EB109" s="131"/>
      <c r="EC109" s="131"/>
      <c r="ED109" s="131"/>
      <c r="EE109" s="137"/>
      <c r="EF109" s="227"/>
      <c r="EG109" s="227"/>
      <c r="EH109" s="228"/>
      <c r="EI109" s="228"/>
      <c r="EJ109" s="228"/>
      <c r="EK109" s="228"/>
    </row>
    <row r="110" spans="1:141">
      <c r="A110" s="132"/>
      <c r="B110" s="18"/>
      <c r="C110" s="18"/>
      <c r="D110" s="220"/>
      <c r="E110" s="130"/>
      <c r="F110" s="126"/>
      <c r="G110" s="18"/>
      <c r="H110" s="189"/>
      <c r="I110" s="18"/>
      <c r="J110" s="18"/>
      <c r="K110" s="189"/>
      <c r="L110" s="18"/>
      <c r="M110" s="129"/>
      <c r="N110" s="189"/>
      <c r="O110" s="132"/>
      <c r="P110" s="127"/>
      <c r="Q110" s="127"/>
      <c r="R110" s="128"/>
      <c r="S110" s="130"/>
      <c r="T110" s="135"/>
      <c r="U110" s="127"/>
      <c r="V110" s="217"/>
      <c r="W110" s="191"/>
      <c r="X110" s="133"/>
      <c r="Y110" s="131"/>
      <c r="Z110" s="131"/>
      <c r="AA110" s="242"/>
      <c r="AB110" s="131"/>
      <c r="AC110" s="131"/>
      <c r="AD110" s="131"/>
      <c r="AE110" s="131"/>
      <c r="AF110" s="131"/>
      <c r="AG110" s="131"/>
      <c r="AH110" s="131"/>
      <c r="AI110" s="131"/>
      <c r="AJ110" s="131"/>
      <c r="AK110" s="131"/>
      <c r="AL110" s="131"/>
      <c r="AM110" s="131"/>
      <c r="AN110" s="131"/>
      <c r="AO110" s="131"/>
      <c r="AP110" s="131"/>
      <c r="AQ110" s="243"/>
      <c r="AR110" s="131"/>
      <c r="AS110" s="131"/>
      <c r="AT110" s="131"/>
      <c r="AU110" s="131"/>
      <c r="AV110" s="131"/>
      <c r="AW110" s="131"/>
      <c r="AX110" s="131"/>
      <c r="AY110" s="131"/>
      <c r="AZ110" s="131"/>
      <c r="BA110" s="131"/>
      <c r="BB110" s="131"/>
      <c r="BC110" s="131"/>
      <c r="BD110" s="131"/>
      <c r="BE110" s="131"/>
      <c r="BF110" s="131"/>
      <c r="BG110" s="131"/>
      <c r="BH110" s="131"/>
      <c r="BI110" s="131"/>
      <c r="BJ110" s="131"/>
      <c r="BK110" s="131"/>
      <c r="BL110" s="131"/>
      <c r="BM110" s="131"/>
      <c r="BN110" s="131"/>
      <c r="BO110" s="136"/>
      <c r="BP110" s="131"/>
      <c r="BQ110" s="131"/>
      <c r="BR110" s="131"/>
      <c r="BS110" s="131"/>
      <c r="BT110" s="131"/>
      <c r="BU110" s="131"/>
      <c r="BV110" s="131"/>
      <c r="BW110" s="131"/>
      <c r="BX110" s="131"/>
      <c r="BY110" s="131"/>
      <c r="BZ110" s="131"/>
      <c r="CA110" s="131"/>
      <c r="CB110" s="131"/>
      <c r="CC110" s="131"/>
      <c r="CD110" s="131"/>
      <c r="CE110" s="131"/>
      <c r="CF110" s="136"/>
      <c r="CG110" s="136"/>
      <c r="CH110" s="131"/>
      <c r="CI110" s="131"/>
      <c r="CJ110" s="136"/>
      <c r="CK110" s="136"/>
      <c r="CL110" s="136"/>
      <c r="CM110" s="131"/>
      <c r="CN110" s="131"/>
      <c r="CO110" s="136"/>
      <c r="CP110" s="136"/>
      <c r="CQ110" s="131"/>
      <c r="CR110" s="131"/>
      <c r="CS110" s="131"/>
      <c r="CT110" s="131"/>
      <c r="CU110" s="131"/>
      <c r="CV110" s="131"/>
      <c r="CW110" s="131"/>
      <c r="CX110" s="131"/>
      <c r="CY110" s="136"/>
      <c r="CZ110" s="136"/>
      <c r="DA110" s="131"/>
      <c r="DB110" s="136"/>
      <c r="DC110" s="136"/>
      <c r="DD110" s="131"/>
      <c r="DE110" s="131"/>
      <c r="DF110" s="131"/>
      <c r="DG110" s="136"/>
      <c r="DH110" s="131"/>
      <c r="DI110" s="131"/>
      <c r="DJ110" s="136"/>
      <c r="DK110" s="136"/>
      <c r="DL110" s="136"/>
      <c r="DM110" s="136"/>
      <c r="DN110" s="136"/>
      <c r="DO110" s="136"/>
      <c r="DP110" s="136"/>
      <c r="DQ110" s="136"/>
      <c r="DR110" s="136"/>
      <c r="DS110" s="131"/>
      <c r="DT110" s="136"/>
      <c r="DU110" s="131"/>
      <c r="DV110" s="131"/>
      <c r="DW110" s="131"/>
      <c r="DX110" s="131"/>
      <c r="DY110" s="131"/>
      <c r="DZ110" s="136"/>
      <c r="EA110" s="131"/>
      <c r="EB110" s="131"/>
      <c r="EC110" s="131"/>
      <c r="ED110" s="131"/>
      <c r="EE110" s="137"/>
      <c r="EF110" s="227"/>
      <c r="EG110" s="227"/>
      <c r="EH110" s="228"/>
      <c r="EI110" s="228"/>
      <c r="EJ110" s="228"/>
      <c r="EK110" s="228"/>
    </row>
    <row r="111" spans="1:141">
      <c r="A111" s="132"/>
      <c r="B111" s="18"/>
      <c r="C111" s="18"/>
      <c r="D111" s="220"/>
      <c r="E111" s="130"/>
      <c r="F111" s="126"/>
      <c r="G111" s="18"/>
      <c r="H111" s="189"/>
      <c r="I111" s="18"/>
      <c r="J111" s="18"/>
      <c r="K111" s="189"/>
      <c r="L111" s="18"/>
      <c r="M111" s="129"/>
      <c r="N111" s="189"/>
      <c r="O111" s="132"/>
      <c r="P111" s="127"/>
      <c r="Q111" s="127"/>
      <c r="R111" s="128"/>
      <c r="S111" s="130"/>
      <c r="T111" s="135"/>
      <c r="U111" s="127"/>
      <c r="V111" s="217"/>
      <c r="W111" s="191"/>
      <c r="X111" s="133"/>
      <c r="Y111" s="131"/>
      <c r="Z111" s="131"/>
      <c r="AA111" s="242"/>
      <c r="AB111" s="131"/>
      <c r="AC111" s="131"/>
      <c r="AD111" s="131"/>
      <c r="AE111" s="131"/>
      <c r="AF111" s="131"/>
      <c r="AG111" s="131"/>
      <c r="AH111" s="131"/>
      <c r="AI111" s="131"/>
      <c r="AJ111" s="131"/>
      <c r="AK111" s="131"/>
      <c r="AL111" s="131"/>
      <c r="AM111" s="131"/>
      <c r="AN111" s="131"/>
      <c r="AO111" s="131"/>
      <c r="AP111" s="131"/>
      <c r="AQ111" s="243"/>
      <c r="AR111" s="131"/>
      <c r="AS111" s="131"/>
      <c r="AT111" s="131"/>
      <c r="AU111" s="131"/>
      <c r="AV111" s="131"/>
      <c r="AW111" s="131"/>
      <c r="AX111" s="131"/>
      <c r="AY111" s="131"/>
      <c r="AZ111" s="131"/>
      <c r="BA111" s="131"/>
      <c r="BB111" s="131"/>
      <c r="BC111" s="131"/>
      <c r="BD111" s="131"/>
      <c r="BE111" s="131"/>
      <c r="BF111" s="131"/>
      <c r="BG111" s="131"/>
      <c r="BH111" s="131"/>
      <c r="BI111" s="131"/>
      <c r="BJ111" s="131"/>
      <c r="BK111" s="131"/>
      <c r="BL111" s="131"/>
      <c r="BM111" s="131"/>
      <c r="BN111" s="131"/>
      <c r="BO111" s="136"/>
      <c r="BP111" s="131"/>
      <c r="BQ111" s="131"/>
      <c r="BR111" s="131"/>
      <c r="BS111" s="131"/>
      <c r="BT111" s="131"/>
      <c r="BU111" s="131"/>
      <c r="BV111" s="131"/>
      <c r="BW111" s="131"/>
      <c r="BX111" s="131"/>
      <c r="BY111" s="131"/>
      <c r="BZ111" s="131"/>
      <c r="CA111" s="131"/>
      <c r="CB111" s="131"/>
      <c r="CC111" s="131"/>
      <c r="CD111" s="131"/>
      <c r="CE111" s="131"/>
      <c r="CF111" s="136"/>
      <c r="CG111" s="136"/>
      <c r="CH111" s="131"/>
      <c r="CI111" s="131"/>
      <c r="CJ111" s="136"/>
      <c r="CK111" s="136"/>
      <c r="CL111" s="136"/>
      <c r="CM111" s="131"/>
      <c r="CN111" s="131"/>
      <c r="CO111" s="136"/>
      <c r="CP111" s="136"/>
      <c r="CQ111" s="131"/>
      <c r="CR111" s="131"/>
      <c r="CS111" s="131"/>
      <c r="CT111" s="131"/>
      <c r="CU111" s="131"/>
      <c r="CV111" s="131"/>
      <c r="CW111" s="131"/>
      <c r="CX111" s="131"/>
      <c r="CY111" s="136"/>
      <c r="CZ111" s="136"/>
      <c r="DA111" s="131"/>
      <c r="DB111" s="136"/>
      <c r="DC111" s="136"/>
      <c r="DD111" s="131"/>
      <c r="DE111" s="131"/>
      <c r="DF111" s="131"/>
      <c r="DG111" s="136"/>
      <c r="DH111" s="131"/>
      <c r="DI111" s="131"/>
      <c r="DJ111" s="136"/>
      <c r="DK111" s="136"/>
      <c r="DL111" s="136"/>
      <c r="DM111" s="136"/>
      <c r="DN111" s="136"/>
      <c r="DO111" s="136"/>
      <c r="DP111" s="136"/>
      <c r="DQ111" s="136"/>
      <c r="DR111" s="136"/>
      <c r="DS111" s="131"/>
      <c r="DT111" s="136"/>
      <c r="DU111" s="131"/>
      <c r="DV111" s="131"/>
      <c r="DW111" s="131"/>
      <c r="DX111" s="131"/>
      <c r="DY111" s="131"/>
      <c r="DZ111" s="136"/>
      <c r="EA111" s="131"/>
      <c r="EB111" s="131"/>
      <c r="EC111" s="131"/>
      <c r="ED111" s="131"/>
      <c r="EE111" s="137"/>
      <c r="EF111" s="227"/>
      <c r="EG111" s="227"/>
      <c r="EH111" s="228"/>
      <c r="EI111" s="228"/>
      <c r="EJ111" s="228"/>
      <c r="EK111" s="228"/>
    </row>
    <row r="112" spans="1:141">
      <c r="A112" s="132"/>
      <c r="B112" s="18"/>
      <c r="C112" s="18"/>
      <c r="D112" s="220"/>
      <c r="E112" s="130"/>
      <c r="F112" s="126"/>
      <c r="G112" s="18"/>
      <c r="H112" s="189"/>
      <c r="I112" s="18"/>
      <c r="J112" s="18"/>
      <c r="K112" s="189"/>
      <c r="L112" s="18"/>
      <c r="M112" s="129"/>
      <c r="N112" s="189"/>
      <c r="O112" s="132"/>
      <c r="P112" s="127"/>
      <c r="Q112" s="127"/>
      <c r="R112" s="128"/>
      <c r="S112" s="130"/>
      <c r="T112" s="135"/>
      <c r="U112" s="127"/>
      <c r="V112" s="217"/>
      <c r="W112" s="191"/>
      <c r="X112" s="133"/>
      <c r="Y112" s="131"/>
      <c r="Z112" s="131"/>
      <c r="AA112" s="242"/>
      <c r="AB112" s="131"/>
      <c r="AC112" s="131"/>
      <c r="AD112" s="131"/>
      <c r="AE112" s="131"/>
      <c r="AF112" s="131"/>
      <c r="AG112" s="131"/>
      <c r="AH112" s="131"/>
      <c r="AI112" s="131"/>
      <c r="AJ112" s="131"/>
      <c r="AK112" s="131"/>
      <c r="AL112" s="131"/>
      <c r="AM112" s="131"/>
      <c r="AN112" s="131"/>
      <c r="AO112" s="131"/>
      <c r="AP112" s="131"/>
      <c r="AQ112" s="243"/>
      <c r="AR112" s="131"/>
      <c r="AS112" s="131"/>
      <c r="AT112" s="131"/>
      <c r="AU112" s="131"/>
      <c r="AV112" s="131"/>
      <c r="AW112" s="131"/>
      <c r="AX112" s="131"/>
      <c r="AY112" s="131"/>
      <c r="AZ112" s="131"/>
      <c r="BA112" s="131"/>
      <c r="BB112" s="131"/>
      <c r="BC112" s="131"/>
      <c r="BD112" s="131"/>
      <c r="BE112" s="131"/>
      <c r="BF112" s="131"/>
      <c r="BG112" s="131"/>
      <c r="BH112" s="131"/>
      <c r="BI112" s="131"/>
      <c r="BJ112" s="131"/>
      <c r="BK112" s="131"/>
      <c r="BL112" s="131"/>
      <c r="BM112" s="131"/>
      <c r="BN112" s="131"/>
      <c r="BO112" s="136"/>
      <c r="BP112" s="131"/>
      <c r="BQ112" s="131"/>
      <c r="BR112" s="131"/>
      <c r="BS112" s="131"/>
      <c r="BT112" s="131"/>
      <c r="BU112" s="131"/>
      <c r="BV112" s="131"/>
      <c r="BW112" s="131"/>
      <c r="BX112" s="131"/>
      <c r="BY112" s="131"/>
      <c r="BZ112" s="131"/>
      <c r="CA112" s="131"/>
      <c r="CB112" s="131"/>
      <c r="CC112" s="131"/>
      <c r="CD112" s="131"/>
      <c r="CE112" s="131"/>
      <c r="CF112" s="136"/>
      <c r="CG112" s="136"/>
      <c r="CH112" s="131"/>
      <c r="CI112" s="131"/>
      <c r="CJ112" s="136"/>
      <c r="CK112" s="136"/>
      <c r="CL112" s="136"/>
      <c r="CM112" s="131"/>
      <c r="CN112" s="131"/>
      <c r="CO112" s="136"/>
      <c r="CP112" s="136"/>
      <c r="CQ112" s="131"/>
      <c r="CR112" s="131"/>
      <c r="CS112" s="131"/>
      <c r="CT112" s="131"/>
      <c r="CU112" s="131"/>
      <c r="CV112" s="131"/>
      <c r="CW112" s="131"/>
      <c r="CX112" s="131"/>
      <c r="CY112" s="136"/>
      <c r="CZ112" s="136"/>
      <c r="DA112" s="131"/>
      <c r="DB112" s="136"/>
      <c r="DC112" s="136"/>
      <c r="DD112" s="131"/>
      <c r="DE112" s="131"/>
      <c r="DF112" s="131"/>
      <c r="DG112" s="136"/>
      <c r="DH112" s="131"/>
      <c r="DI112" s="131"/>
      <c r="DJ112" s="136"/>
      <c r="DK112" s="136"/>
      <c r="DL112" s="136"/>
      <c r="DM112" s="136"/>
      <c r="DN112" s="136"/>
      <c r="DO112" s="136"/>
      <c r="DP112" s="136"/>
      <c r="DQ112" s="136"/>
      <c r="DR112" s="136"/>
      <c r="DS112" s="131"/>
      <c r="DT112" s="136"/>
      <c r="DU112" s="131"/>
      <c r="DV112" s="131"/>
      <c r="DW112" s="131"/>
      <c r="DX112" s="131"/>
      <c r="DY112" s="131"/>
      <c r="DZ112" s="136"/>
      <c r="EA112" s="131"/>
      <c r="EB112" s="131"/>
      <c r="EC112" s="131"/>
      <c r="ED112" s="131"/>
      <c r="EE112" s="137"/>
      <c r="EF112" s="227"/>
      <c r="EG112" s="227"/>
      <c r="EH112" s="228"/>
      <c r="EI112" s="228"/>
      <c r="EJ112" s="228"/>
      <c r="EK112" s="228"/>
    </row>
    <row r="113" spans="1:141">
      <c r="A113" s="132"/>
      <c r="B113" s="18"/>
      <c r="C113" s="18"/>
      <c r="D113" s="220"/>
      <c r="E113" s="130"/>
      <c r="F113" s="126"/>
      <c r="G113" s="18"/>
      <c r="H113" s="189"/>
      <c r="I113" s="18"/>
      <c r="J113" s="18"/>
      <c r="K113" s="189"/>
      <c r="L113" s="18"/>
      <c r="M113" s="129"/>
      <c r="N113" s="189"/>
      <c r="O113" s="132"/>
      <c r="P113" s="127"/>
      <c r="Q113" s="127"/>
      <c r="R113" s="128"/>
      <c r="S113" s="130"/>
      <c r="T113" s="135"/>
      <c r="U113" s="127"/>
      <c r="V113" s="217"/>
      <c r="W113" s="191"/>
      <c r="X113" s="133"/>
      <c r="Y113" s="131"/>
      <c r="Z113" s="131"/>
      <c r="AA113" s="242"/>
      <c r="AB113" s="131"/>
      <c r="AC113" s="131"/>
      <c r="AD113" s="131"/>
      <c r="AE113" s="131"/>
      <c r="AF113" s="131"/>
      <c r="AG113" s="131"/>
      <c r="AH113" s="131"/>
      <c r="AI113" s="131"/>
      <c r="AJ113" s="131"/>
      <c r="AK113" s="131"/>
      <c r="AL113" s="131"/>
      <c r="AM113" s="131"/>
      <c r="AN113" s="131"/>
      <c r="AO113" s="131"/>
      <c r="AP113" s="131"/>
      <c r="AQ113" s="243"/>
      <c r="AR113" s="131"/>
      <c r="AS113" s="131"/>
      <c r="AT113" s="131"/>
      <c r="AU113" s="131"/>
      <c r="AV113" s="131"/>
      <c r="AW113" s="131"/>
      <c r="AX113" s="131"/>
      <c r="AY113" s="131"/>
      <c r="AZ113" s="131"/>
      <c r="BA113" s="131"/>
      <c r="BB113" s="131"/>
      <c r="BC113" s="131"/>
      <c r="BD113" s="131"/>
      <c r="BE113" s="131"/>
      <c r="BF113" s="131"/>
      <c r="BG113" s="131"/>
      <c r="BH113" s="131"/>
      <c r="BI113" s="131"/>
      <c r="BJ113" s="131"/>
      <c r="BK113" s="131"/>
      <c r="BL113" s="131"/>
      <c r="BM113" s="131"/>
      <c r="BN113" s="131"/>
      <c r="BO113" s="136"/>
      <c r="BP113" s="131"/>
      <c r="BQ113" s="131"/>
      <c r="BR113" s="131"/>
      <c r="BS113" s="131"/>
      <c r="BT113" s="131"/>
      <c r="BU113" s="131"/>
      <c r="BV113" s="131"/>
      <c r="BW113" s="131"/>
      <c r="BX113" s="131"/>
      <c r="BY113" s="131"/>
      <c r="BZ113" s="131"/>
      <c r="CA113" s="131"/>
      <c r="CB113" s="131"/>
      <c r="CC113" s="131"/>
      <c r="CD113" s="131"/>
      <c r="CE113" s="131"/>
      <c r="CF113" s="136"/>
      <c r="CG113" s="136"/>
      <c r="CH113" s="131"/>
      <c r="CI113" s="131"/>
      <c r="CJ113" s="136"/>
      <c r="CK113" s="136"/>
      <c r="CL113" s="136"/>
      <c r="CM113" s="131"/>
      <c r="CN113" s="131"/>
      <c r="CO113" s="136"/>
      <c r="CP113" s="136"/>
      <c r="CQ113" s="131"/>
      <c r="CR113" s="131"/>
      <c r="CS113" s="131"/>
      <c r="CT113" s="131"/>
      <c r="CU113" s="131"/>
      <c r="CV113" s="131"/>
      <c r="CW113" s="131"/>
      <c r="CX113" s="131"/>
      <c r="CY113" s="136"/>
      <c r="CZ113" s="136"/>
      <c r="DA113" s="131"/>
      <c r="DB113" s="136"/>
      <c r="DC113" s="136"/>
      <c r="DD113" s="131"/>
      <c r="DE113" s="131"/>
      <c r="DF113" s="131"/>
      <c r="DG113" s="136"/>
      <c r="DH113" s="131"/>
      <c r="DI113" s="131"/>
      <c r="DJ113" s="136"/>
      <c r="DK113" s="136"/>
      <c r="DL113" s="136"/>
      <c r="DM113" s="136"/>
      <c r="DN113" s="136"/>
      <c r="DO113" s="136"/>
      <c r="DP113" s="136"/>
      <c r="DQ113" s="136"/>
      <c r="DR113" s="136"/>
      <c r="DS113" s="131"/>
      <c r="DT113" s="136"/>
      <c r="DU113" s="131"/>
      <c r="DV113" s="131"/>
      <c r="DW113" s="131"/>
      <c r="DX113" s="131"/>
      <c r="DY113" s="131"/>
      <c r="DZ113" s="136"/>
      <c r="EA113" s="131"/>
      <c r="EB113" s="131"/>
      <c r="EC113" s="131"/>
      <c r="ED113" s="131"/>
      <c r="EE113" s="137"/>
      <c r="EF113" s="227"/>
      <c r="EG113" s="227"/>
      <c r="EH113" s="228"/>
      <c r="EI113" s="228"/>
      <c r="EJ113" s="228"/>
      <c r="EK113" s="228"/>
    </row>
    <row r="114" spans="1:141">
      <c r="A114" s="132"/>
      <c r="B114" s="18"/>
      <c r="C114" s="18"/>
      <c r="D114" s="220"/>
      <c r="E114" s="130"/>
      <c r="F114" s="126"/>
      <c r="G114" s="18"/>
      <c r="H114" s="189"/>
      <c r="I114" s="18"/>
      <c r="J114" s="18"/>
      <c r="K114" s="189"/>
      <c r="L114" s="18"/>
      <c r="M114" s="129"/>
      <c r="N114" s="189"/>
      <c r="O114" s="132"/>
      <c r="P114" s="127"/>
      <c r="Q114" s="127"/>
      <c r="R114" s="128"/>
      <c r="S114" s="130"/>
      <c r="T114" s="135"/>
      <c r="U114" s="127"/>
      <c r="V114" s="217"/>
      <c r="W114" s="191"/>
      <c r="X114" s="133"/>
      <c r="Y114" s="131"/>
      <c r="Z114" s="131"/>
      <c r="AA114" s="242"/>
      <c r="AB114" s="131"/>
      <c r="AC114" s="131"/>
      <c r="AD114" s="131"/>
      <c r="AE114" s="131"/>
      <c r="AF114" s="131"/>
      <c r="AG114" s="131"/>
      <c r="AH114" s="131"/>
      <c r="AI114" s="131"/>
      <c r="AJ114" s="131"/>
      <c r="AK114" s="131"/>
      <c r="AL114" s="131"/>
      <c r="AM114" s="131"/>
      <c r="AN114" s="131"/>
      <c r="AO114" s="131"/>
      <c r="AP114" s="131"/>
      <c r="AQ114" s="243"/>
      <c r="AR114" s="131"/>
      <c r="AS114" s="131"/>
      <c r="AT114" s="131"/>
      <c r="AU114" s="131"/>
      <c r="AV114" s="131"/>
      <c r="AW114" s="131"/>
      <c r="AX114" s="131"/>
      <c r="AY114" s="131"/>
      <c r="AZ114" s="131"/>
      <c r="BA114" s="131"/>
      <c r="BB114" s="131"/>
      <c r="BC114" s="131"/>
      <c r="BD114" s="131"/>
      <c r="BE114" s="131"/>
      <c r="BF114" s="131"/>
      <c r="BG114" s="131"/>
      <c r="BH114" s="131"/>
      <c r="BI114" s="131"/>
      <c r="BJ114" s="131"/>
      <c r="BK114" s="131"/>
      <c r="BL114" s="131"/>
      <c r="BM114" s="131"/>
      <c r="BN114" s="131"/>
      <c r="BO114" s="136"/>
      <c r="BP114" s="131"/>
      <c r="BQ114" s="131"/>
      <c r="BR114" s="131"/>
      <c r="BS114" s="131"/>
      <c r="BT114" s="131"/>
      <c r="BU114" s="131"/>
      <c r="BV114" s="131"/>
      <c r="BW114" s="131"/>
      <c r="BX114" s="131"/>
      <c r="BY114" s="131"/>
      <c r="BZ114" s="131"/>
      <c r="CA114" s="131"/>
      <c r="CB114" s="131"/>
      <c r="CC114" s="131"/>
      <c r="CD114" s="131"/>
      <c r="CE114" s="131"/>
      <c r="CF114" s="136"/>
      <c r="CG114" s="136"/>
      <c r="CH114" s="131"/>
      <c r="CI114" s="131"/>
      <c r="CJ114" s="136"/>
      <c r="CK114" s="136"/>
      <c r="CL114" s="136"/>
      <c r="CM114" s="131"/>
      <c r="CN114" s="131"/>
      <c r="CO114" s="136"/>
      <c r="CP114" s="136"/>
      <c r="CQ114" s="131"/>
      <c r="CR114" s="131"/>
      <c r="CS114" s="131"/>
      <c r="CT114" s="131"/>
      <c r="CU114" s="131"/>
      <c r="CV114" s="131"/>
      <c r="CW114" s="131"/>
      <c r="CX114" s="131"/>
      <c r="CY114" s="136"/>
      <c r="CZ114" s="136"/>
      <c r="DA114" s="131"/>
      <c r="DB114" s="136"/>
      <c r="DC114" s="136"/>
      <c r="DD114" s="131"/>
      <c r="DE114" s="131"/>
      <c r="DF114" s="131"/>
      <c r="DG114" s="136"/>
      <c r="DH114" s="131"/>
      <c r="DI114" s="131"/>
      <c r="DJ114" s="136"/>
      <c r="DK114" s="136"/>
      <c r="DL114" s="136"/>
      <c r="DM114" s="136"/>
      <c r="DN114" s="136"/>
      <c r="DO114" s="136"/>
      <c r="DP114" s="136"/>
      <c r="DQ114" s="136"/>
      <c r="DR114" s="136"/>
      <c r="DS114" s="131"/>
      <c r="DT114" s="136"/>
      <c r="DU114" s="131"/>
      <c r="DV114" s="131"/>
      <c r="DW114" s="131"/>
      <c r="DX114" s="131"/>
      <c r="DY114" s="131"/>
      <c r="DZ114" s="136"/>
      <c r="EA114" s="131"/>
      <c r="EB114" s="131"/>
      <c r="EC114" s="131"/>
      <c r="ED114" s="131"/>
      <c r="EE114" s="137"/>
      <c r="EF114" s="227"/>
      <c r="EG114" s="227"/>
      <c r="EH114" s="228"/>
      <c r="EI114" s="228"/>
      <c r="EJ114" s="228"/>
      <c r="EK114" s="228"/>
    </row>
    <row r="115" spans="1:141">
      <c r="A115" s="132"/>
      <c r="B115" s="18"/>
      <c r="C115" s="18"/>
      <c r="D115" s="220"/>
      <c r="E115" s="130"/>
      <c r="F115" s="126"/>
      <c r="G115" s="18"/>
      <c r="H115" s="189"/>
      <c r="I115" s="18"/>
      <c r="J115" s="18"/>
      <c r="K115" s="189"/>
      <c r="L115" s="18"/>
      <c r="M115" s="129"/>
      <c r="N115" s="189"/>
      <c r="O115" s="132"/>
      <c r="P115" s="127"/>
      <c r="Q115" s="127"/>
      <c r="R115" s="128"/>
      <c r="S115" s="130"/>
      <c r="T115" s="135"/>
      <c r="U115" s="127"/>
      <c r="V115" s="217"/>
      <c r="W115" s="191"/>
      <c r="X115" s="133"/>
      <c r="Y115" s="131"/>
      <c r="Z115" s="131"/>
      <c r="AA115" s="242"/>
      <c r="AB115" s="131"/>
      <c r="AC115" s="131"/>
      <c r="AD115" s="131"/>
      <c r="AE115" s="131"/>
      <c r="AF115" s="131"/>
      <c r="AG115" s="131"/>
      <c r="AH115" s="131"/>
      <c r="AI115" s="131"/>
      <c r="AJ115" s="131"/>
      <c r="AK115" s="131"/>
      <c r="AL115" s="131"/>
      <c r="AM115" s="131"/>
      <c r="AN115" s="131"/>
      <c r="AO115" s="131"/>
      <c r="AP115" s="131"/>
      <c r="AQ115" s="243"/>
      <c r="AR115" s="131"/>
      <c r="AS115" s="131"/>
      <c r="AT115" s="131"/>
      <c r="AU115" s="131"/>
      <c r="AV115" s="131"/>
      <c r="AW115" s="131"/>
      <c r="AX115" s="131"/>
      <c r="AY115" s="131"/>
      <c r="AZ115" s="131"/>
      <c r="BA115" s="131"/>
      <c r="BB115" s="131"/>
      <c r="BC115" s="131"/>
      <c r="BD115" s="131"/>
      <c r="BE115" s="131"/>
      <c r="BF115" s="131"/>
      <c r="BG115" s="131"/>
      <c r="BH115" s="131"/>
      <c r="BI115" s="131"/>
      <c r="BJ115" s="131"/>
      <c r="BK115" s="131"/>
      <c r="BL115" s="131"/>
      <c r="BM115" s="131"/>
      <c r="BN115" s="131"/>
      <c r="BO115" s="136"/>
      <c r="BP115" s="131"/>
      <c r="BQ115" s="131"/>
      <c r="BR115" s="131"/>
      <c r="BS115" s="131"/>
      <c r="BT115" s="131"/>
      <c r="BU115" s="131"/>
      <c r="BV115" s="131"/>
      <c r="BW115" s="131"/>
      <c r="BX115" s="131"/>
      <c r="BY115" s="131"/>
      <c r="BZ115" s="131"/>
      <c r="CA115" s="131"/>
      <c r="CB115" s="131"/>
      <c r="CC115" s="131"/>
      <c r="CD115" s="131"/>
      <c r="CE115" s="131"/>
      <c r="CF115" s="136"/>
      <c r="CG115" s="136"/>
      <c r="CH115" s="131"/>
      <c r="CI115" s="131"/>
      <c r="CJ115" s="136"/>
      <c r="CK115" s="136"/>
      <c r="CL115" s="136"/>
      <c r="CM115" s="131"/>
      <c r="CN115" s="131"/>
      <c r="CO115" s="136"/>
      <c r="CP115" s="136"/>
      <c r="CQ115" s="131"/>
      <c r="CR115" s="131"/>
      <c r="CS115" s="131"/>
      <c r="CT115" s="131"/>
      <c r="CU115" s="131"/>
      <c r="CV115" s="131"/>
      <c r="CW115" s="131"/>
      <c r="CX115" s="131"/>
      <c r="CY115" s="136"/>
      <c r="CZ115" s="136"/>
      <c r="DA115" s="131"/>
      <c r="DB115" s="136"/>
      <c r="DC115" s="136"/>
      <c r="DD115" s="131"/>
      <c r="DE115" s="131"/>
      <c r="DF115" s="131"/>
      <c r="DG115" s="136"/>
      <c r="DH115" s="131"/>
      <c r="DI115" s="131"/>
      <c r="DJ115" s="136"/>
      <c r="DK115" s="136"/>
      <c r="DL115" s="136"/>
      <c r="DM115" s="136"/>
      <c r="DN115" s="136"/>
      <c r="DO115" s="136"/>
      <c r="DP115" s="136"/>
      <c r="DQ115" s="136"/>
      <c r="DR115" s="136"/>
      <c r="DS115" s="131"/>
      <c r="DT115" s="136"/>
      <c r="DU115" s="131"/>
      <c r="DV115" s="131"/>
      <c r="DW115" s="131"/>
      <c r="DX115" s="131"/>
      <c r="DY115" s="131"/>
      <c r="DZ115" s="136"/>
      <c r="EA115" s="131"/>
      <c r="EB115" s="131"/>
      <c r="EC115" s="131"/>
      <c r="ED115" s="131"/>
      <c r="EE115" s="137"/>
      <c r="EF115" s="227"/>
      <c r="EG115" s="227"/>
      <c r="EH115" s="228"/>
      <c r="EI115" s="228"/>
      <c r="EJ115" s="228"/>
      <c r="EK115" s="228"/>
    </row>
    <row r="116" spans="1:141">
      <c r="A116" s="132"/>
      <c r="B116" s="18"/>
      <c r="C116" s="18"/>
      <c r="D116" s="220"/>
      <c r="E116" s="130"/>
      <c r="F116" s="126"/>
      <c r="G116" s="18"/>
      <c r="H116" s="189"/>
      <c r="I116" s="18"/>
      <c r="J116" s="18"/>
      <c r="K116" s="189"/>
      <c r="L116" s="18"/>
      <c r="M116" s="129"/>
      <c r="N116" s="189"/>
      <c r="O116" s="132"/>
      <c r="P116" s="127"/>
      <c r="Q116" s="127"/>
      <c r="R116" s="128"/>
      <c r="S116" s="130"/>
      <c r="T116" s="135"/>
      <c r="U116" s="127"/>
      <c r="V116" s="217"/>
      <c r="W116" s="191"/>
      <c r="X116" s="133"/>
      <c r="Y116" s="131"/>
      <c r="Z116" s="131"/>
      <c r="AA116" s="242"/>
      <c r="AB116" s="131"/>
      <c r="AC116" s="131"/>
      <c r="AD116" s="131"/>
      <c r="AE116" s="131"/>
      <c r="AF116" s="131"/>
      <c r="AG116" s="131"/>
      <c r="AH116" s="131"/>
      <c r="AI116" s="131"/>
      <c r="AJ116" s="131"/>
      <c r="AK116" s="131"/>
      <c r="AL116" s="131"/>
      <c r="AM116" s="131"/>
      <c r="AN116" s="131"/>
      <c r="AO116" s="131"/>
      <c r="AP116" s="131"/>
      <c r="AQ116" s="243"/>
      <c r="AR116" s="131"/>
      <c r="AS116" s="131"/>
      <c r="AT116" s="131"/>
      <c r="AU116" s="131"/>
      <c r="AV116" s="131"/>
      <c r="AW116" s="131"/>
      <c r="AX116" s="131"/>
      <c r="AY116" s="131"/>
      <c r="AZ116" s="131"/>
      <c r="BA116" s="131"/>
      <c r="BB116" s="131"/>
      <c r="BC116" s="131"/>
      <c r="BD116" s="131"/>
      <c r="BE116" s="131"/>
      <c r="BF116" s="131"/>
      <c r="BG116" s="131"/>
      <c r="BH116" s="131"/>
      <c r="BI116" s="131"/>
      <c r="BJ116" s="131"/>
      <c r="BK116" s="131"/>
      <c r="BL116" s="131"/>
      <c r="BM116" s="131"/>
      <c r="BN116" s="131"/>
      <c r="BO116" s="136"/>
      <c r="BP116" s="131"/>
      <c r="BQ116" s="131"/>
      <c r="BR116" s="131"/>
      <c r="BS116" s="131"/>
      <c r="BT116" s="131"/>
      <c r="BU116" s="131"/>
      <c r="BV116" s="131"/>
      <c r="BW116" s="131"/>
      <c r="BX116" s="131"/>
      <c r="BY116" s="131"/>
      <c r="BZ116" s="131"/>
      <c r="CA116" s="131"/>
      <c r="CB116" s="131"/>
      <c r="CC116" s="131"/>
      <c r="CD116" s="131"/>
      <c r="CE116" s="131"/>
      <c r="CF116" s="136"/>
      <c r="CG116" s="136"/>
      <c r="CH116" s="131"/>
      <c r="CI116" s="131"/>
      <c r="CJ116" s="136"/>
      <c r="CK116" s="136"/>
      <c r="CL116" s="136"/>
      <c r="CM116" s="131"/>
      <c r="CN116" s="131"/>
      <c r="CO116" s="136"/>
      <c r="CP116" s="136"/>
      <c r="CQ116" s="131"/>
      <c r="CR116" s="131"/>
      <c r="CS116" s="131"/>
      <c r="CT116" s="131"/>
      <c r="CU116" s="131"/>
      <c r="CV116" s="131"/>
      <c r="CW116" s="131"/>
      <c r="CX116" s="131"/>
      <c r="CY116" s="136"/>
      <c r="CZ116" s="136"/>
      <c r="DA116" s="131"/>
      <c r="DB116" s="136"/>
      <c r="DC116" s="136"/>
      <c r="DD116" s="131"/>
      <c r="DE116" s="131"/>
      <c r="DF116" s="131"/>
      <c r="DG116" s="136"/>
      <c r="DH116" s="131"/>
      <c r="DI116" s="131"/>
      <c r="DJ116" s="136"/>
      <c r="DK116" s="136"/>
      <c r="DL116" s="136"/>
      <c r="DM116" s="136"/>
      <c r="DN116" s="136"/>
      <c r="DO116" s="136"/>
      <c r="DP116" s="136"/>
      <c r="DQ116" s="136"/>
      <c r="DR116" s="136"/>
      <c r="DS116" s="131"/>
      <c r="DT116" s="136"/>
      <c r="DU116" s="131"/>
      <c r="DV116" s="131"/>
      <c r="DW116" s="131"/>
      <c r="DX116" s="131"/>
      <c r="DY116" s="131"/>
      <c r="DZ116" s="136"/>
      <c r="EA116" s="131"/>
      <c r="EB116" s="131"/>
      <c r="EC116" s="131"/>
      <c r="ED116" s="131"/>
      <c r="EE116" s="137"/>
      <c r="EF116" s="227"/>
      <c r="EG116" s="227"/>
      <c r="EH116" s="228"/>
      <c r="EI116" s="228"/>
      <c r="EJ116" s="228"/>
      <c r="EK116" s="228"/>
    </row>
    <row r="117" spans="1:141">
      <c r="A117" s="132"/>
      <c r="B117" s="18"/>
      <c r="C117" s="18"/>
      <c r="D117" s="220"/>
      <c r="E117" s="130"/>
      <c r="F117" s="126"/>
      <c r="G117" s="18"/>
      <c r="H117" s="189"/>
      <c r="I117" s="18"/>
      <c r="J117" s="18"/>
      <c r="K117" s="189"/>
      <c r="L117" s="18"/>
      <c r="M117" s="129"/>
      <c r="N117" s="189"/>
      <c r="O117" s="132"/>
      <c r="P117" s="127"/>
      <c r="Q117" s="127"/>
      <c r="R117" s="128"/>
      <c r="S117" s="130"/>
      <c r="T117" s="135"/>
      <c r="U117" s="127"/>
      <c r="V117" s="217"/>
      <c r="W117" s="191"/>
      <c r="X117" s="133"/>
      <c r="Y117" s="131"/>
      <c r="Z117" s="131"/>
      <c r="AA117" s="242"/>
      <c r="AB117" s="131"/>
      <c r="AC117" s="131"/>
      <c r="AD117" s="131"/>
      <c r="AE117" s="131"/>
      <c r="AF117" s="131"/>
      <c r="AG117" s="131"/>
      <c r="AH117" s="131"/>
      <c r="AI117" s="131"/>
      <c r="AJ117" s="131"/>
      <c r="AK117" s="131"/>
      <c r="AL117" s="131"/>
      <c r="AM117" s="131"/>
      <c r="AN117" s="131"/>
      <c r="AO117" s="131"/>
      <c r="AP117" s="131"/>
      <c r="AQ117" s="243"/>
      <c r="AR117" s="131"/>
      <c r="AS117" s="131"/>
      <c r="AT117" s="131"/>
      <c r="AU117" s="131"/>
      <c r="AV117" s="131"/>
      <c r="AW117" s="131"/>
      <c r="AX117" s="131"/>
      <c r="AY117" s="131"/>
      <c r="AZ117" s="131"/>
      <c r="BA117" s="131"/>
      <c r="BB117" s="131"/>
      <c r="BC117" s="131"/>
      <c r="BD117" s="131"/>
      <c r="BE117" s="131"/>
      <c r="BF117" s="131"/>
      <c r="BG117" s="131"/>
      <c r="BH117" s="131"/>
      <c r="BI117" s="131"/>
      <c r="BJ117" s="131"/>
      <c r="BK117" s="131"/>
      <c r="BL117" s="131"/>
      <c r="BM117" s="131"/>
      <c r="BN117" s="131"/>
      <c r="BO117" s="136"/>
      <c r="BP117" s="131"/>
      <c r="BQ117" s="131"/>
      <c r="BR117" s="131"/>
      <c r="BS117" s="131"/>
      <c r="BT117" s="131"/>
      <c r="BU117" s="131"/>
      <c r="BV117" s="131"/>
      <c r="BW117" s="131"/>
      <c r="BX117" s="131"/>
      <c r="BY117" s="131"/>
      <c r="BZ117" s="131"/>
      <c r="CA117" s="131"/>
      <c r="CB117" s="131"/>
      <c r="CC117" s="131"/>
      <c r="CD117" s="131"/>
      <c r="CE117" s="131"/>
      <c r="CF117" s="136"/>
      <c r="CG117" s="136"/>
      <c r="CH117" s="131"/>
      <c r="CI117" s="131"/>
      <c r="CJ117" s="136"/>
      <c r="CK117" s="136"/>
      <c r="CL117" s="136"/>
      <c r="CM117" s="131"/>
      <c r="CN117" s="131"/>
      <c r="CO117" s="136"/>
      <c r="CP117" s="136"/>
      <c r="CQ117" s="131"/>
      <c r="CR117" s="131"/>
      <c r="CS117" s="131"/>
      <c r="CT117" s="131"/>
      <c r="CU117" s="131"/>
      <c r="CV117" s="131"/>
      <c r="CW117" s="131"/>
      <c r="CX117" s="131"/>
      <c r="CY117" s="136"/>
      <c r="CZ117" s="136"/>
      <c r="DA117" s="131"/>
      <c r="DB117" s="136"/>
      <c r="DC117" s="136"/>
      <c r="DD117" s="131"/>
      <c r="DE117" s="131"/>
      <c r="DF117" s="131"/>
      <c r="DG117" s="136"/>
      <c r="DH117" s="131"/>
      <c r="DI117" s="131"/>
      <c r="DJ117" s="136"/>
      <c r="DK117" s="136"/>
      <c r="DL117" s="136"/>
      <c r="DM117" s="136"/>
      <c r="DN117" s="136"/>
      <c r="DO117" s="136"/>
      <c r="DP117" s="136"/>
      <c r="DQ117" s="136"/>
      <c r="DR117" s="136"/>
      <c r="DS117" s="131"/>
      <c r="DT117" s="136"/>
      <c r="DU117" s="131"/>
      <c r="DV117" s="131"/>
      <c r="DW117" s="131"/>
      <c r="DX117" s="131"/>
      <c r="DY117" s="131"/>
      <c r="DZ117" s="136"/>
      <c r="EA117" s="131"/>
      <c r="EB117" s="131"/>
      <c r="EC117" s="131"/>
      <c r="ED117" s="131"/>
      <c r="EE117" s="137"/>
      <c r="EF117" s="227"/>
      <c r="EG117" s="227"/>
      <c r="EH117" s="228"/>
      <c r="EI117" s="228"/>
      <c r="EJ117" s="228"/>
      <c r="EK117" s="228"/>
    </row>
    <row r="118" spans="1:141">
      <c r="A118" s="132"/>
      <c r="B118" s="18"/>
      <c r="C118" s="18"/>
      <c r="D118" s="220"/>
      <c r="E118" s="130"/>
      <c r="F118" s="126"/>
      <c r="G118" s="18"/>
      <c r="H118" s="189"/>
      <c r="I118" s="18"/>
      <c r="J118" s="18"/>
      <c r="K118" s="189"/>
      <c r="L118" s="18"/>
      <c r="M118" s="129"/>
      <c r="N118" s="189"/>
      <c r="O118" s="132"/>
      <c r="P118" s="127"/>
      <c r="Q118" s="127"/>
      <c r="R118" s="128"/>
      <c r="S118" s="130"/>
      <c r="T118" s="135"/>
      <c r="U118" s="127"/>
      <c r="V118" s="217"/>
      <c r="W118" s="191"/>
      <c r="X118" s="133"/>
      <c r="Y118" s="131"/>
      <c r="Z118" s="131"/>
      <c r="AA118" s="242"/>
      <c r="AB118" s="131"/>
      <c r="AC118" s="131"/>
      <c r="AD118" s="131"/>
      <c r="AE118" s="131"/>
      <c r="AF118" s="131"/>
      <c r="AG118" s="131"/>
      <c r="AH118" s="131"/>
      <c r="AI118" s="131"/>
      <c r="AJ118" s="131"/>
      <c r="AK118" s="131"/>
      <c r="AL118" s="131"/>
      <c r="AM118" s="131"/>
      <c r="AN118" s="131"/>
      <c r="AO118" s="131"/>
      <c r="AP118" s="131"/>
      <c r="AQ118" s="243"/>
      <c r="AR118" s="131"/>
      <c r="AS118" s="131"/>
      <c r="AT118" s="131"/>
      <c r="AU118" s="131"/>
      <c r="AV118" s="131"/>
      <c r="AW118" s="131"/>
      <c r="AX118" s="131"/>
      <c r="AY118" s="131"/>
      <c r="AZ118" s="131"/>
      <c r="BA118" s="131"/>
      <c r="BB118" s="131"/>
      <c r="BC118" s="131"/>
      <c r="BD118" s="131"/>
      <c r="BE118" s="131"/>
      <c r="BF118" s="131"/>
      <c r="BG118" s="131"/>
      <c r="BH118" s="131"/>
      <c r="BI118" s="131"/>
      <c r="BJ118" s="131"/>
      <c r="BK118" s="131"/>
      <c r="BL118" s="131"/>
      <c r="BM118" s="131"/>
      <c r="BN118" s="131"/>
      <c r="BO118" s="136"/>
      <c r="BP118" s="131"/>
      <c r="BQ118" s="131"/>
      <c r="BR118" s="131"/>
      <c r="BS118" s="131"/>
      <c r="BT118" s="131"/>
      <c r="BU118" s="131"/>
      <c r="BV118" s="131"/>
      <c r="BW118" s="131"/>
      <c r="BX118" s="131"/>
      <c r="BY118" s="131"/>
      <c r="BZ118" s="131"/>
      <c r="CA118" s="131"/>
      <c r="CB118" s="131"/>
      <c r="CC118" s="131"/>
      <c r="CD118" s="131"/>
      <c r="CE118" s="131"/>
      <c r="CF118" s="136"/>
      <c r="CG118" s="136"/>
      <c r="CH118" s="131"/>
      <c r="CI118" s="131"/>
      <c r="CJ118" s="136"/>
      <c r="CK118" s="136"/>
      <c r="CL118" s="136"/>
      <c r="CM118" s="131"/>
      <c r="CN118" s="131"/>
      <c r="CO118" s="136"/>
      <c r="CP118" s="136"/>
      <c r="CQ118" s="131"/>
      <c r="CR118" s="131"/>
      <c r="CS118" s="131"/>
      <c r="CT118" s="131"/>
      <c r="CU118" s="131"/>
      <c r="CV118" s="131"/>
      <c r="CW118" s="131"/>
      <c r="CX118" s="131"/>
      <c r="CY118" s="136"/>
      <c r="CZ118" s="136"/>
      <c r="DA118" s="131"/>
      <c r="DB118" s="136"/>
      <c r="DC118" s="136"/>
      <c r="DD118" s="131"/>
      <c r="DE118" s="131"/>
      <c r="DF118" s="131"/>
      <c r="DG118" s="136"/>
      <c r="DH118" s="131"/>
      <c r="DI118" s="131"/>
      <c r="DJ118" s="136"/>
      <c r="DK118" s="136"/>
      <c r="DL118" s="136"/>
      <c r="DM118" s="136"/>
      <c r="DN118" s="136"/>
      <c r="DO118" s="136"/>
      <c r="DP118" s="136"/>
      <c r="DQ118" s="136"/>
      <c r="DR118" s="136"/>
      <c r="DS118" s="131"/>
      <c r="DT118" s="136"/>
      <c r="DU118" s="131"/>
      <c r="DV118" s="131"/>
      <c r="DW118" s="131"/>
      <c r="DX118" s="131"/>
      <c r="DY118" s="131"/>
      <c r="DZ118" s="136"/>
      <c r="EA118" s="131"/>
      <c r="EB118" s="131"/>
      <c r="EC118" s="131"/>
      <c r="ED118" s="131"/>
      <c r="EE118" s="137"/>
      <c r="EF118" s="227"/>
      <c r="EG118" s="227"/>
      <c r="EH118" s="228"/>
      <c r="EI118" s="228"/>
      <c r="EJ118" s="228"/>
      <c r="EK118" s="228"/>
    </row>
    <row r="119" spans="1:141">
      <c r="A119" s="132"/>
      <c r="B119" s="18"/>
      <c r="C119" s="18"/>
      <c r="D119" s="220"/>
      <c r="E119" s="130"/>
      <c r="F119" s="126"/>
      <c r="G119" s="18"/>
      <c r="H119" s="189"/>
      <c r="I119" s="18"/>
      <c r="J119" s="18"/>
      <c r="K119" s="189"/>
      <c r="L119" s="18"/>
      <c r="M119" s="129"/>
      <c r="N119" s="189"/>
      <c r="O119" s="132"/>
      <c r="P119" s="127"/>
      <c r="Q119" s="127"/>
      <c r="R119" s="128"/>
      <c r="S119" s="130"/>
      <c r="T119" s="135"/>
      <c r="U119" s="127"/>
      <c r="V119" s="217"/>
      <c r="W119" s="191"/>
      <c r="X119" s="133"/>
      <c r="Y119" s="131"/>
      <c r="Z119" s="131"/>
      <c r="AA119" s="242"/>
      <c r="AB119" s="131"/>
      <c r="AC119" s="131"/>
      <c r="AD119" s="131"/>
      <c r="AE119" s="131"/>
      <c r="AF119" s="131"/>
      <c r="AG119" s="131"/>
      <c r="AH119" s="131"/>
      <c r="AI119" s="131"/>
      <c r="AJ119" s="131"/>
      <c r="AK119" s="131"/>
      <c r="AL119" s="131"/>
      <c r="AM119" s="131"/>
      <c r="AN119" s="131"/>
      <c r="AO119" s="131"/>
      <c r="AP119" s="131"/>
      <c r="AQ119" s="243"/>
      <c r="AR119" s="131"/>
      <c r="AS119" s="131"/>
      <c r="AT119" s="131"/>
      <c r="AU119" s="131"/>
      <c r="AV119" s="131"/>
      <c r="AW119" s="131"/>
      <c r="AX119" s="131"/>
      <c r="AY119" s="131"/>
      <c r="AZ119" s="131"/>
      <c r="BA119" s="131"/>
      <c r="BB119" s="131"/>
      <c r="BC119" s="131"/>
      <c r="BD119" s="131"/>
      <c r="BE119" s="131"/>
      <c r="BF119" s="131"/>
      <c r="BG119" s="131"/>
      <c r="BH119" s="131"/>
      <c r="BI119" s="131"/>
      <c r="BJ119" s="131"/>
      <c r="BK119" s="131"/>
      <c r="BL119" s="131"/>
      <c r="BM119" s="131"/>
      <c r="BN119" s="131"/>
      <c r="BO119" s="136"/>
      <c r="BP119" s="131"/>
      <c r="BQ119" s="131"/>
      <c r="BR119" s="131"/>
      <c r="BS119" s="131"/>
      <c r="BT119" s="131"/>
      <c r="BU119" s="131"/>
      <c r="BV119" s="131"/>
      <c r="BW119" s="131"/>
      <c r="BX119" s="131"/>
      <c r="BY119" s="131"/>
      <c r="BZ119" s="131"/>
      <c r="CA119" s="131"/>
      <c r="CB119" s="131"/>
      <c r="CC119" s="131"/>
      <c r="CD119" s="131"/>
      <c r="CE119" s="131"/>
      <c r="CF119" s="136"/>
      <c r="CG119" s="136"/>
      <c r="CH119" s="131"/>
      <c r="CI119" s="131"/>
      <c r="CJ119" s="136"/>
      <c r="CK119" s="136"/>
      <c r="CL119" s="136"/>
      <c r="CM119" s="131"/>
      <c r="CN119" s="131"/>
      <c r="CO119" s="136"/>
      <c r="CP119" s="136"/>
      <c r="CQ119" s="131"/>
      <c r="CR119" s="131"/>
      <c r="CS119" s="131"/>
      <c r="CT119" s="131"/>
      <c r="CU119" s="131"/>
      <c r="CV119" s="131"/>
      <c r="CW119" s="131"/>
      <c r="CX119" s="131"/>
      <c r="CY119" s="136"/>
      <c r="CZ119" s="136"/>
      <c r="DA119" s="131"/>
      <c r="DB119" s="136"/>
      <c r="DC119" s="136"/>
      <c r="DD119" s="131"/>
      <c r="DE119" s="131"/>
      <c r="DF119" s="131"/>
      <c r="DG119" s="136"/>
      <c r="DH119" s="131"/>
      <c r="DI119" s="131"/>
      <c r="DJ119" s="136"/>
      <c r="DK119" s="136"/>
      <c r="DL119" s="136"/>
      <c r="DM119" s="136"/>
      <c r="DN119" s="136"/>
      <c r="DO119" s="136"/>
      <c r="DP119" s="136"/>
      <c r="DQ119" s="136"/>
      <c r="DR119" s="136"/>
      <c r="DS119" s="131"/>
      <c r="DT119" s="136"/>
      <c r="DU119" s="131"/>
      <c r="DV119" s="131"/>
      <c r="DW119" s="131"/>
      <c r="DX119" s="131"/>
      <c r="DY119" s="131"/>
      <c r="DZ119" s="136"/>
      <c r="EA119" s="131"/>
      <c r="EB119" s="131"/>
      <c r="EC119" s="131"/>
      <c r="ED119" s="131"/>
      <c r="EE119" s="137"/>
      <c r="EF119" s="227"/>
      <c r="EG119" s="227"/>
      <c r="EH119" s="228"/>
      <c r="EI119" s="228"/>
      <c r="EJ119" s="228"/>
      <c r="EK119" s="228"/>
    </row>
    <row r="120" spans="1:141">
      <c r="A120" s="132"/>
      <c r="B120" s="18"/>
      <c r="C120" s="18"/>
      <c r="D120" s="220"/>
      <c r="E120" s="130"/>
      <c r="F120" s="126"/>
      <c r="G120" s="18"/>
      <c r="H120" s="189"/>
      <c r="I120" s="18"/>
      <c r="J120" s="18"/>
      <c r="K120" s="189"/>
      <c r="L120" s="18"/>
      <c r="M120" s="129"/>
      <c r="N120" s="189"/>
      <c r="O120" s="132"/>
      <c r="P120" s="127"/>
      <c r="Q120" s="127"/>
      <c r="R120" s="128"/>
      <c r="S120" s="130"/>
      <c r="T120" s="135"/>
      <c r="U120" s="127"/>
      <c r="V120" s="217"/>
      <c r="W120" s="191"/>
      <c r="X120" s="133"/>
      <c r="Y120" s="131"/>
      <c r="Z120" s="131"/>
      <c r="AA120" s="242"/>
      <c r="AB120" s="131"/>
      <c r="AC120" s="131"/>
      <c r="AD120" s="131"/>
      <c r="AE120" s="131"/>
      <c r="AF120" s="131"/>
      <c r="AG120" s="131"/>
      <c r="AH120" s="131"/>
      <c r="AI120" s="131"/>
      <c r="AJ120" s="131"/>
      <c r="AK120" s="131"/>
      <c r="AL120" s="131"/>
      <c r="AM120" s="131"/>
      <c r="AN120" s="131"/>
      <c r="AO120" s="131"/>
      <c r="AP120" s="131"/>
      <c r="AQ120" s="243"/>
      <c r="AR120" s="131"/>
      <c r="AS120" s="131"/>
      <c r="AT120" s="131"/>
      <c r="AU120" s="131"/>
      <c r="AV120" s="131"/>
      <c r="AW120" s="131"/>
      <c r="AX120" s="131"/>
      <c r="AY120" s="131"/>
      <c r="AZ120" s="131"/>
      <c r="BA120" s="131"/>
      <c r="BB120" s="131"/>
      <c r="BC120" s="131"/>
      <c r="BD120" s="131"/>
      <c r="BE120" s="131"/>
      <c r="BF120" s="131"/>
      <c r="BG120" s="131"/>
      <c r="BH120" s="131"/>
      <c r="BI120" s="131"/>
      <c r="BJ120" s="131"/>
      <c r="BK120" s="131"/>
      <c r="BL120" s="131"/>
      <c r="BM120" s="131"/>
      <c r="BN120" s="131"/>
      <c r="BO120" s="136"/>
      <c r="BP120" s="131"/>
      <c r="BQ120" s="131"/>
      <c r="BR120" s="131"/>
      <c r="BS120" s="131"/>
      <c r="BT120" s="131"/>
      <c r="BU120" s="131"/>
      <c r="BV120" s="131"/>
      <c r="BW120" s="131"/>
      <c r="BX120" s="131"/>
      <c r="BY120" s="131"/>
      <c r="BZ120" s="131"/>
      <c r="CA120" s="131"/>
      <c r="CB120" s="131"/>
      <c r="CC120" s="131"/>
      <c r="CD120" s="131"/>
      <c r="CE120" s="131"/>
      <c r="CF120" s="136"/>
      <c r="CG120" s="136"/>
      <c r="CH120" s="131"/>
      <c r="CI120" s="131"/>
      <c r="CJ120" s="136"/>
      <c r="CK120" s="136"/>
      <c r="CL120" s="136"/>
      <c r="CM120" s="131"/>
      <c r="CN120" s="131"/>
      <c r="CO120" s="136"/>
      <c r="CP120" s="136"/>
      <c r="CQ120" s="131"/>
      <c r="CR120" s="131"/>
      <c r="CS120" s="131"/>
      <c r="CT120" s="131"/>
      <c r="CU120" s="131"/>
      <c r="CV120" s="131"/>
      <c r="CW120" s="131"/>
      <c r="CX120" s="131"/>
      <c r="CY120" s="136"/>
      <c r="CZ120" s="136"/>
      <c r="DA120" s="131"/>
      <c r="DB120" s="136"/>
      <c r="DC120" s="136"/>
      <c r="DD120" s="131"/>
      <c r="DE120" s="131"/>
      <c r="DF120" s="131"/>
      <c r="DG120" s="136"/>
      <c r="DH120" s="131"/>
      <c r="DI120" s="131"/>
      <c r="DJ120" s="136"/>
      <c r="DK120" s="136"/>
      <c r="DL120" s="136"/>
      <c r="DM120" s="136"/>
      <c r="DN120" s="136"/>
      <c r="DO120" s="136"/>
      <c r="DP120" s="136"/>
      <c r="DQ120" s="136"/>
      <c r="DR120" s="136"/>
      <c r="DS120" s="131"/>
      <c r="DT120" s="136"/>
      <c r="DU120" s="131"/>
      <c r="DV120" s="131"/>
      <c r="DW120" s="131"/>
      <c r="DX120" s="131"/>
      <c r="DY120" s="131"/>
      <c r="DZ120" s="136"/>
      <c r="EA120" s="131"/>
      <c r="EB120" s="131"/>
      <c r="EC120" s="131"/>
      <c r="ED120" s="131"/>
      <c r="EE120" s="137"/>
      <c r="EF120" s="227"/>
      <c r="EG120" s="227"/>
      <c r="EH120" s="228"/>
      <c r="EI120" s="228"/>
      <c r="EJ120" s="228"/>
      <c r="EK120" s="228"/>
    </row>
    <row r="121" spans="1:141">
      <c r="A121" s="132"/>
      <c r="B121" s="18"/>
      <c r="C121" s="18"/>
      <c r="D121" s="220"/>
      <c r="E121" s="130"/>
      <c r="F121" s="126"/>
      <c r="G121" s="18"/>
      <c r="H121" s="189"/>
      <c r="I121" s="18"/>
      <c r="J121" s="18"/>
      <c r="K121" s="189"/>
      <c r="L121" s="18"/>
      <c r="M121" s="129"/>
      <c r="N121" s="189"/>
      <c r="O121" s="132"/>
      <c r="P121" s="127"/>
      <c r="Q121" s="127"/>
      <c r="R121" s="128"/>
      <c r="S121" s="130"/>
      <c r="T121" s="135"/>
      <c r="U121" s="127"/>
      <c r="V121" s="217"/>
      <c r="W121" s="191"/>
      <c r="X121" s="133"/>
      <c r="Y121" s="131"/>
      <c r="Z121" s="131"/>
      <c r="AA121" s="242"/>
      <c r="AB121" s="131"/>
      <c r="AC121" s="131"/>
      <c r="AD121" s="131"/>
      <c r="AE121" s="131"/>
      <c r="AF121" s="131"/>
      <c r="AG121" s="131"/>
      <c r="AH121" s="131"/>
      <c r="AI121" s="131"/>
      <c r="AJ121" s="131"/>
      <c r="AK121" s="131"/>
      <c r="AL121" s="131"/>
      <c r="AM121" s="131"/>
      <c r="AN121" s="131"/>
      <c r="AO121" s="131"/>
      <c r="AP121" s="131"/>
      <c r="AQ121" s="243"/>
      <c r="AR121" s="131"/>
      <c r="AS121" s="131"/>
      <c r="AT121" s="131"/>
      <c r="AU121" s="131"/>
      <c r="AV121" s="131"/>
      <c r="AW121" s="131"/>
      <c r="AX121" s="131"/>
      <c r="AY121" s="131"/>
      <c r="AZ121" s="131"/>
      <c r="BA121" s="131"/>
      <c r="BB121" s="131"/>
      <c r="BC121" s="131"/>
      <c r="BD121" s="131"/>
      <c r="BE121" s="131"/>
      <c r="BF121" s="131"/>
      <c r="BG121" s="131"/>
      <c r="BH121" s="131"/>
      <c r="BI121" s="131"/>
      <c r="BJ121" s="131"/>
      <c r="BK121" s="131"/>
      <c r="BL121" s="131"/>
      <c r="BM121" s="131"/>
      <c r="BN121" s="131"/>
      <c r="BO121" s="136"/>
      <c r="BP121" s="131"/>
      <c r="BQ121" s="131"/>
      <c r="BR121" s="131"/>
      <c r="BS121" s="131"/>
      <c r="BT121" s="131"/>
      <c r="BU121" s="131"/>
      <c r="BV121" s="131"/>
      <c r="BW121" s="131"/>
      <c r="BX121" s="131"/>
      <c r="BY121" s="131"/>
      <c r="BZ121" s="131"/>
      <c r="CA121" s="131"/>
      <c r="CB121" s="131"/>
      <c r="CC121" s="131"/>
      <c r="CD121" s="131"/>
      <c r="CE121" s="131"/>
      <c r="CF121" s="136"/>
      <c r="CG121" s="136"/>
      <c r="CH121" s="131"/>
      <c r="CI121" s="131"/>
      <c r="CJ121" s="136"/>
      <c r="CK121" s="136"/>
      <c r="CL121" s="136"/>
      <c r="CM121" s="131"/>
      <c r="CN121" s="131"/>
      <c r="CO121" s="136"/>
      <c r="CP121" s="136"/>
      <c r="CQ121" s="131"/>
      <c r="CR121" s="131"/>
      <c r="CS121" s="131"/>
      <c r="CT121" s="131"/>
      <c r="CU121" s="131"/>
      <c r="CV121" s="131"/>
      <c r="CW121" s="131"/>
      <c r="CX121" s="131"/>
      <c r="CY121" s="136"/>
      <c r="CZ121" s="136"/>
      <c r="DA121" s="131"/>
      <c r="DB121" s="136"/>
      <c r="DC121" s="136"/>
      <c r="DD121" s="131"/>
      <c r="DE121" s="131"/>
      <c r="DF121" s="131"/>
      <c r="DG121" s="136"/>
      <c r="DH121" s="131"/>
      <c r="DI121" s="131"/>
      <c r="DJ121" s="136"/>
      <c r="DK121" s="136"/>
      <c r="DL121" s="136"/>
      <c r="DM121" s="136"/>
      <c r="DN121" s="136"/>
      <c r="DO121" s="136"/>
      <c r="DP121" s="136"/>
      <c r="DQ121" s="136"/>
      <c r="DR121" s="136"/>
      <c r="DS121" s="131"/>
      <c r="DT121" s="136"/>
      <c r="DU121" s="131"/>
      <c r="DV121" s="131"/>
      <c r="DW121" s="131"/>
      <c r="DX121" s="131"/>
      <c r="DY121" s="131"/>
      <c r="DZ121" s="136"/>
      <c r="EA121" s="131"/>
      <c r="EB121" s="131"/>
      <c r="EC121" s="131"/>
      <c r="ED121" s="131"/>
      <c r="EE121" s="137"/>
      <c r="EF121" s="227"/>
      <c r="EG121" s="227"/>
      <c r="EH121" s="228"/>
      <c r="EI121" s="228"/>
      <c r="EJ121" s="228"/>
      <c r="EK121" s="228"/>
    </row>
    <row r="122" spans="1:141">
      <c r="A122" s="132"/>
      <c r="B122" s="18"/>
      <c r="C122" s="18"/>
      <c r="D122" s="220"/>
      <c r="E122" s="130"/>
      <c r="F122" s="126"/>
      <c r="G122" s="18"/>
      <c r="H122" s="189"/>
      <c r="I122" s="18"/>
      <c r="J122" s="18"/>
      <c r="K122" s="189"/>
      <c r="L122" s="18"/>
      <c r="M122" s="129"/>
      <c r="N122" s="189"/>
      <c r="O122" s="132"/>
      <c r="P122" s="127"/>
      <c r="Q122" s="127"/>
      <c r="R122" s="128"/>
      <c r="S122" s="130"/>
      <c r="T122" s="135"/>
      <c r="U122" s="127"/>
      <c r="V122" s="217"/>
      <c r="W122" s="191"/>
      <c r="X122" s="133"/>
      <c r="Y122" s="131"/>
      <c r="Z122" s="131"/>
      <c r="AA122" s="242"/>
      <c r="AB122" s="131"/>
      <c r="AC122" s="131"/>
      <c r="AD122" s="131"/>
      <c r="AE122" s="131"/>
      <c r="AF122" s="131"/>
      <c r="AG122" s="131"/>
      <c r="AH122" s="131"/>
      <c r="AI122" s="131"/>
      <c r="AJ122" s="131"/>
      <c r="AK122" s="131"/>
      <c r="AL122" s="131"/>
      <c r="AM122" s="131"/>
      <c r="AN122" s="131"/>
      <c r="AO122" s="131"/>
      <c r="AP122" s="131"/>
      <c r="AQ122" s="243"/>
      <c r="AR122" s="131"/>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6"/>
      <c r="BP122" s="131"/>
      <c r="BQ122" s="131"/>
      <c r="BR122" s="131"/>
      <c r="BS122" s="131"/>
      <c r="BT122" s="131"/>
      <c r="BU122" s="131"/>
      <c r="BV122" s="131"/>
      <c r="BW122" s="131"/>
      <c r="BX122" s="131"/>
      <c r="BY122" s="131"/>
      <c r="BZ122" s="131"/>
      <c r="CA122" s="131"/>
      <c r="CB122" s="131"/>
      <c r="CC122" s="131"/>
      <c r="CD122" s="131"/>
      <c r="CE122" s="131"/>
      <c r="CF122" s="136"/>
      <c r="CG122" s="136"/>
      <c r="CH122" s="131"/>
      <c r="CI122" s="131"/>
      <c r="CJ122" s="136"/>
      <c r="CK122" s="136"/>
      <c r="CL122" s="136"/>
      <c r="CM122" s="131"/>
      <c r="CN122" s="131"/>
      <c r="CO122" s="136"/>
      <c r="CP122" s="136"/>
      <c r="CQ122" s="131"/>
      <c r="CR122" s="131"/>
      <c r="CS122" s="131"/>
      <c r="CT122" s="131"/>
      <c r="CU122" s="131"/>
      <c r="CV122" s="131"/>
      <c r="CW122" s="131"/>
      <c r="CX122" s="131"/>
      <c r="CY122" s="136"/>
      <c r="CZ122" s="136"/>
      <c r="DA122" s="131"/>
      <c r="DB122" s="136"/>
      <c r="DC122" s="136"/>
      <c r="DD122" s="131"/>
      <c r="DE122" s="131"/>
      <c r="DF122" s="131"/>
      <c r="DG122" s="136"/>
      <c r="DH122" s="131"/>
      <c r="DI122" s="131"/>
      <c r="DJ122" s="136"/>
      <c r="DK122" s="136"/>
      <c r="DL122" s="136"/>
      <c r="DM122" s="136"/>
      <c r="DN122" s="136"/>
      <c r="DO122" s="136"/>
      <c r="DP122" s="136"/>
      <c r="DQ122" s="136"/>
      <c r="DR122" s="136"/>
      <c r="DS122" s="131"/>
      <c r="DT122" s="136"/>
      <c r="DU122" s="131"/>
      <c r="DV122" s="131"/>
      <c r="DW122" s="131"/>
      <c r="DX122" s="131"/>
      <c r="DY122" s="131"/>
      <c r="DZ122" s="136"/>
      <c r="EA122" s="131"/>
      <c r="EB122" s="131"/>
      <c r="EC122" s="131"/>
      <c r="ED122" s="131"/>
      <c r="EE122" s="137"/>
      <c r="EF122" s="227"/>
      <c r="EG122" s="227"/>
      <c r="EH122" s="228"/>
      <c r="EI122" s="228"/>
      <c r="EJ122" s="228"/>
      <c r="EK122" s="228"/>
    </row>
    <row r="123" spans="1:141">
      <c r="A123" s="132"/>
      <c r="B123" s="18"/>
      <c r="C123" s="18"/>
      <c r="D123" s="220"/>
      <c r="E123" s="130"/>
      <c r="F123" s="126"/>
      <c r="G123" s="18"/>
      <c r="H123" s="189"/>
      <c r="I123" s="18"/>
      <c r="J123" s="18"/>
      <c r="K123" s="189"/>
      <c r="L123" s="18"/>
      <c r="M123" s="129"/>
      <c r="N123" s="189"/>
      <c r="O123" s="132"/>
      <c r="P123" s="127"/>
      <c r="Q123" s="127"/>
      <c r="R123" s="128"/>
      <c r="S123" s="130"/>
      <c r="T123" s="135"/>
      <c r="U123" s="127"/>
      <c r="V123" s="217"/>
      <c r="W123" s="191"/>
      <c r="X123" s="133"/>
      <c r="Y123" s="131"/>
      <c r="Z123" s="131"/>
      <c r="AA123" s="242"/>
      <c r="AB123" s="131"/>
      <c r="AC123" s="131"/>
      <c r="AD123" s="131"/>
      <c r="AE123" s="131"/>
      <c r="AF123" s="131"/>
      <c r="AG123" s="131"/>
      <c r="AH123" s="131"/>
      <c r="AI123" s="131"/>
      <c r="AJ123" s="131"/>
      <c r="AK123" s="131"/>
      <c r="AL123" s="131"/>
      <c r="AM123" s="131"/>
      <c r="AN123" s="131"/>
      <c r="AO123" s="131"/>
      <c r="AP123" s="131"/>
      <c r="AQ123" s="243"/>
      <c r="AR123" s="131"/>
      <c r="AS123" s="131"/>
      <c r="AT123" s="131"/>
      <c r="AU123" s="131"/>
      <c r="AV123" s="131"/>
      <c r="AW123" s="131"/>
      <c r="AX123" s="131"/>
      <c r="AY123" s="131"/>
      <c r="AZ123" s="131"/>
      <c r="BA123" s="131"/>
      <c r="BB123" s="131"/>
      <c r="BC123" s="131"/>
      <c r="BD123" s="131"/>
      <c r="BE123" s="131"/>
      <c r="BF123" s="131"/>
      <c r="BG123" s="131"/>
      <c r="BH123" s="131"/>
      <c r="BI123" s="131"/>
      <c r="BJ123" s="131"/>
      <c r="BK123" s="131"/>
      <c r="BL123" s="131"/>
      <c r="BM123" s="131"/>
      <c r="BN123" s="131"/>
      <c r="BO123" s="136"/>
      <c r="BP123" s="131"/>
      <c r="BQ123" s="131"/>
      <c r="BR123" s="131"/>
      <c r="BS123" s="131"/>
      <c r="BT123" s="131"/>
      <c r="BU123" s="131"/>
      <c r="BV123" s="131"/>
      <c r="BW123" s="131"/>
      <c r="BX123" s="131"/>
      <c r="BY123" s="131"/>
      <c r="BZ123" s="131"/>
      <c r="CA123" s="131"/>
      <c r="CB123" s="131"/>
      <c r="CC123" s="131"/>
      <c r="CD123" s="131"/>
      <c r="CE123" s="131"/>
      <c r="CF123" s="136"/>
      <c r="CG123" s="136"/>
      <c r="CH123" s="131"/>
      <c r="CI123" s="131"/>
      <c r="CJ123" s="136"/>
      <c r="CK123" s="136"/>
      <c r="CL123" s="136"/>
      <c r="CM123" s="131"/>
      <c r="CN123" s="131"/>
      <c r="CO123" s="136"/>
      <c r="CP123" s="136"/>
      <c r="CQ123" s="131"/>
      <c r="CR123" s="131"/>
      <c r="CS123" s="131"/>
      <c r="CT123" s="131"/>
      <c r="CU123" s="131"/>
      <c r="CV123" s="131"/>
      <c r="CW123" s="131"/>
      <c r="CX123" s="131"/>
      <c r="CY123" s="136"/>
      <c r="CZ123" s="136"/>
      <c r="DA123" s="131"/>
      <c r="DB123" s="136"/>
      <c r="DC123" s="136"/>
      <c r="DD123" s="131"/>
      <c r="DE123" s="131"/>
      <c r="DF123" s="131"/>
      <c r="DG123" s="136"/>
      <c r="DH123" s="131"/>
      <c r="DI123" s="131"/>
      <c r="DJ123" s="136"/>
      <c r="DK123" s="136"/>
      <c r="DL123" s="136"/>
      <c r="DM123" s="136"/>
      <c r="DN123" s="136"/>
      <c r="DO123" s="136"/>
      <c r="DP123" s="136"/>
      <c r="DQ123" s="136"/>
      <c r="DR123" s="136"/>
      <c r="DS123" s="131"/>
      <c r="DT123" s="136"/>
      <c r="DU123" s="131"/>
      <c r="DV123" s="131"/>
      <c r="DW123" s="131"/>
      <c r="DX123" s="131"/>
      <c r="DY123" s="131"/>
      <c r="DZ123" s="136"/>
      <c r="EA123" s="131"/>
      <c r="EB123" s="131"/>
      <c r="EC123" s="131"/>
      <c r="ED123" s="131"/>
      <c r="EE123" s="137"/>
      <c r="EF123" s="227"/>
      <c r="EG123" s="227"/>
      <c r="EH123" s="228"/>
      <c r="EI123" s="228"/>
      <c r="EJ123" s="228"/>
      <c r="EK123" s="228"/>
    </row>
    <row r="124" spans="1:141">
      <c r="A124" s="132"/>
      <c r="B124" s="18"/>
      <c r="C124" s="18"/>
      <c r="D124" s="220"/>
      <c r="E124" s="130"/>
      <c r="F124" s="126"/>
      <c r="G124" s="18"/>
      <c r="H124" s="189"/>
      <c r="I124" s="18"/>
      <c r="J124" s="18"/>
      <c r="K124" s="189"/>
      <c r="L124" s="18"/>
      <c r="M124" s="129"/>
      <c r="N124" s="189"/>
      <c r="O124" s="132"/>
      <c r="P124" s="127"/>
      <c r="Q124" s="127"/>
      <c r="R124" s="128"/>
      <c r="S124" s="130"/>
      <c r="T124" s="135"/>
      <c r="U124" s="127"/>
      <c r="V124" s="217"/>
      <c r="W124" s="191"/>
      <c r="X124" s="133"/>
      <c r="Y124" s="131"/>
      <c r="Z124" s="131"/>
      <c r="AA124" s="242"/>
      <c r="AB124" s="131"/>
      <c r="AC124" s="131"/>
      <c r="AD124" s="131"/>
      <c r="AE124" s="131"/>
      <c r="AF124" s="131"/>
      <c r="AG124" s="131"/>
      <c r="AH124" s="131"/>
      <c r="AI124" s="131"/>
      <c r="AJ124" s="131"/>
      <c r="AK124" s="131"/>
      <c r="AL124" s="131"/>
      <c r="AM124" s="131"/>
      <c r="AN124" s="131"/>
      <c r="AO124" s="131"/>
      <c r="AP124" s="131"/>
      <c r="AQ124" s="243"/>
      <c r="AR124" s="131"/>
      <c r="AS124" s="131"/>
      <c r="AT124" s="131"/>
      <c r="AU124" s="131"/>
      <c r="AV124" s="131"/>
      <c r="AW124" s="131"/>
      <c r="AX124" s="131"/>
      <c r="AY124" s="131"/>
      <c r="AZ124" s="131"/>
      <c r="BA124" s="131"/>
      <c r="BB124" s="131"/>
      <c r="BC124" s="131"/>
      <c r="BD124" s="131"/>
      <c r="BE124" s="131"/>
      <c r="BF124" s="131"/>
      <c r="BG124" s="131"/>
      <c r="BH124" s="131"/>
      <c r="BI124" s="131"/>
      <c r="BJ124" s="131"/>
      <c r="BK124" s="131"/>
      <c r="BL124" s="131"/>
      <c r="BM124" s="131"/>
      <c r="BN124" s="131"/>
      <c r="BO124" s="136"/>
      <c r="BP124" s="131"/>
      <c r="BQ124" s="131"/>
      <c r="BR124" s="131"/>
      <c r="BS124" s="131"/>
      <c r="BT124" s="131"/>
      <c r="BU124" s="131"/>
      <c r="BV124" s="131"/>
      <c r="BW124" s="131"/>
      <c r="BX124" s="131"/>
      <c r="BY124" s="131"/>
      <c r="BZ124" s="131"/>
      <c r="CA124" s="131"/>
      <c r="CB124" s="131"/>
      <c r="CC124" s="131"/>
      <c r="CD124" s="131"/>
      <c r="CE124" s="131"/>
      <c r="CF124" s="136"/>
      <c r="CG124" s="136"/>
      <c r="CH124" s="131"/>
      <c r="CI124" s="131"/>
      <c r="CJ124" s="136"/>
      <c r="CK124" s="136"/>
      <c r="CL124" s="136"/>
      <c r="CM124" s="131"/>
      <c r="CN124" s="131"/>
      <c r="CO124" s="136"/>
      <c r="CP124" s="136"/>
      <c r="CQ124" s="131"/>
      <c r="CR124" s="131"/>
      <c r="CS124" s="131"/>
      <c r="CT124" s="131"/>
      <c r="CU124" s="131"/>
      <c r="CV124" s="131"/>
      <c r="CW124" s="131"/>
      <c r="CX124" s="131"/>
      <c r="CY124" s="136"/>
      <c r="CZ124" s="136"/>
      <c r="DA124" s="131"/>
      <c r="DB124" s="136"/>
      <c r="DC124" s="136"/>
      <c r="DD124" s="131"/>
      <c r="DE124" s="131"/>
      <c r="DF124" s="131"/>
      <c r="DG124" s="136"/>
      <c r="DH124" s="131"/>
      <c r="DI124" s="131"/>
      <c r="DJ124" s="136"/>
      <c r="DK124" s="136"/>
      <c r="DL124" s="136"/>
      <c r="DM124" s="136"/>
      <c r="DN124" s="136"/>
      <c r="DO124" s="136"/>
      <c r="DP124" s="136"/>
      <c r="DQ124" s="136"/>
      <c r="DR124" s="136"/>
      <c r="DS124" s="131"/>
      <c r="DT124" s="136"/>
      <c r="DU124" s="131"/>
      <c r="DV124" s="131"/>
      <c r="DW124" s="131"/>
      <c r="DX124" s="131"/>
      <c r="DY124" s="131"/>
      <c r="DZ124" s="136"/>
      <c r="EA124" s="131"/>
      <c r="EB124" s="131"/>
      <c r="EC124" s="131"/>
      <c r="ED124" s="131"/>
      <c r="EE124" s="137"/>
      <c r="EF124" s="227"/>
      <c r="EG124" s="227"/>
      <c r="EH124" s="228"/>
      <c r="EI124" s="228"/>
      <c r="EJ124" s="228"/>
      <c r="EK124" s="228"/>
    </row>
    <row r="125" spans="1:141">
      <c r="A125" s="132"/>
      <c r="B125" s="18"/>
      <c r="C125" s="18"/>
      <c r="D125" s="220"/>
      <c r="E125" s="130"/>
      <c r="F125" s="126"/>
      <c r="G125" s="18"/>
      <c r="H125" s="189"/>
      <c r="I125" s="18"/>
      <c r="J125" s="18"/>
      <c r="K125" s="189"/>
      <c r="L125" s="18"/>
      <c r="M125" s="129"/>
      <c r="N125" s="189"/>
      <c r="O125" s="132"/>
      <c r="P125" s="127"/>
      <c r="Q125" s="127"/>
      <c r="R125" s="128"/>
      <c r="S125" s="130"/>
      <c r="T125" s="135"/>
      <c r="U125" s="127"/>
      <c r="V125" s="217"/>
      <c r="W125" s="191"/>
      <c r="X125" s="133"/>
      <c r="Y125" s="131"/>
      <c r="Z125" s="131"/>
      <c r="AA125" s="242"/>
      <c r="AB125" s="131"/>
      <c r="AC125" s="131"/>
      <c r="AD125" s="131"/>
      <c r="AE125" s="131"/>
      <c r="AF125" s="131"/>
      <c r="AG125" s="131"/>
      <c r="AH125" s="131"/>
      <c r="AI125" s="131"/>
      <c r="AJ125" s="131"/>
      <c r="AK125" s="131"/>
      <c r="AL125" s="131"/>
      <c r="AM125" s="131"/>
      <c r="AN125" s="131"/>
      <c r="AO125" s="131"/>
      <c r="AP125" s="131"/>
      <c r="AQ125" s="243"/>
      <c r="AR125" s="131"/>
      <c r="AS125" s="131"/>
      <c r="AT125" s="131"/>
      <c r="AU125" s="131"/>
      <c r="AV125" s="131"/>
      <c r="AW125" s="131"/>
      <c r="AX125" s="131"/>
      <c r="AY125" s="131"/>
      <c r="AZ125" s="131"/>
      <c r="BA125" s="131"/>
      <c r="BB125" s="131"/>
      <c r="BC125" s="131"/>
      <c r="BD125" s="131"/>
      <c r="BE125" s="131"/>
      <c r="BF125" s="131"/>
      <c r="BG125" s="131"/>
      <c r="BH125" s="131"/>
      <c r="BI125" s="131"/>
      <c r="BJ125" s="131"/>
      <c r="BK125" s="131"/>
      <c r="BL125" s="131"/>
      <c r="BM125" s="131"/>
      <c r="BN125" s="131"/>
      <c r="BO125" s="136"/>
      <c r="BP125" s="131"/>
      <c r="BQ125" s="131"/>
      <c r="BR125" s="131"/>
      <c r="BS125" s="131"/>
      <c r="BT125" s="131"/>
      <c r="BU125" s="131"/>
      <c r="BV125" s="131"/>
      <c r="BW125" s="131"/>
      <c r="BX125" s="131"/>
      <c r="BY125" s="131"/>
      <c r="BZ125" s="131"/>
      <c r="CA125" s="131"/>
      <c r="CB125" s="131"/>
      <c r="CC125" s="131"/>
      <c r="CD125" s="131"/>
      <c r="CE125" s="131"/>
      <c r="CF125" s="136"/>
      <c r="CG125" s="136"/>
      <c r="CH125" s="131"/>
      <c r="CI125" s="131"/>
      <c r="CJ125" s="136"/>
      <c r="CK125" s="136"/>
      <c r="CL125" s="136"/>
      <c r="CM125" s="131"/>
      <c r="CN125" s="131"/>
      <c r="CO125" s="136"/>
      <c r="CP125" s="136"/>
      <c r="CQ125" s="131"/>
      <c r="CR125" s="131"/>
      <c r="CS125" s="131"/>
      <c r="CT125" s="131"/>
      <c r="CU125" s="131"/>
      <c r="CV125" s="131"/>
      <c r="CW125" s="131"/>
      <c r="CX125" s="131"/>
      <c r="CY125" s="136"/>
      <c r="CZ125" s="136"/>
      <c r="DA125" s="131"/>
      <c r="DB125" s="136"/>
      <c r="DC125" s="136"/>
      <c r="DD125" s="131"/>
      <c r="DE125" s="131"/>
      <c r="DF125" s="131"/>
      <c r="DG125" s="136"/>
      <c r="DH125" s="131"/>
      <c r="DI125" s="131"/>
      <c r="DJ125" s="136"/>
      <c r="DK125" s="136"/>
      <c r="DL125" s="136"/>
      <c r="DM125" s="136"/>
      <c r="DN125" s="136"/>
      <c r="DO125" s="136"/>
      <c r="DP125" s="136"/>
      <c r="DQ125" s="136"/>
      <c r="DR125" s="136"/>
      <c r="DS125" s="131"/>
      <c r="DT125" s="136"/>
      <c r="DU125" s="131"/>
      <c r="DV125" s="131"/>
      <c r="DW125" s="131"/>
      <c r="DX125" s="131"/>
      <c r="DY125" s="131"/>
      <c r="DZ125" s="136"/>
      <c r="EA125" s="131"/>
      <c r="EB125" s="131"/>
      <c r="EC125" s="131"/>
      <c r="ED125" s="131"/>
      <c r="EE125" s="137"/>
      <c r="EF125" s="227"/>
      <c r="EG125" s="227"/>
      <c r="EH125" s="228"/>
      <c r="EI125" s="228"/>
      <c r="EJ125" s="228"/>
      <c r="EK125" s="228"/>
    </row>
    <row r="126" spans="1:141">
      <c r="A126" s="132"/>
      <c r="B126" s="18"/>
      <c r="C126" s="18"/>
      <c r="D126" s="220"/>
      <c r="E126" s="130"/>
      <c r="F126" s="126"/>
      <c r="G126" s="18"/>
      <c r="H126" s="189"/>
      <c r="I126" s="18"/>
      <c r="J126" s="18"/>
      <c r="K126" s="189"/>
      <c r="L126" s="18"/>
      <c r="M126" s="129"/>
      <c r="N126" s="189"/>
      <c r="O126" s="132"/>
      <c r="P126" s="127"/>
      <c r="Q126" s="127"/>
      <c r="R126" s="128"/>
      <c r="S126" s="130"/>
      <c r="T126" s="135"/>
      <c r="U126" s="127"/>
      <c r="V126" s="217"/>
      <c r="W126" s="191"/>
      <c r="X126" s="133"/>
      <c r="Y126" s="131"/>
      <c r="Z126" s="131"/>
      <c r="AA126" s="242"/>
      <c r="AB126" s="131"/>
      <c r="AC126" s="131"/>
      <c r="AD126" s="131"/>
      <c r="AE126" s="131"/>
      <c r="AF126" s="131"/>
      <c r="AG126" s="131"/>
      <c r="AH126" s="131"/>
      <c r="AI126" s="131"/>
      <c r="AJ126" s="131"/>
      <c r="AK126" s="131"/>
      <c r="AL126" s="131"/>
      <c r="AM126" s="131"/>
      <c r="AN126" s="131"/>
      <c r="AO126" s="131"/>
      <c r="AP126" s="131"/>
      <c r="AQ126" s="243"/>
      <c r="AR126" s="131"/>
      <c r="AS126" s="131"/>
      <c r="AT126" s="131"/>
      <c r="AU126" s="131"/>
      <c r="AV126" s="131"/>
      <c r="AW126" s="131"/>
      <c r="AX126" s="131"/>
      <c r="AY126" s="131"/>
      <c r="AZ126" s="131"/>
      <c r="BA126" s="131"/>
      <c r="BB126" s="131"/>
      <c r="BC126" s="131"/>
      <c r="BD126" s="131"/>
      <c r="BE126" s="131"/>
      <c r="BF126" s="131"/>
      <c r="BG126" s="131"/>
      <c r="BH126" s="131"/>
      <c r="BI126" s="131"/>
      <c r="BJ126" s="131"/>
      <c r="BK126" s="131"/>
      <c r="BL126" s="131"/>
      <c r="BM126" s="131"/>
      <c r="BN126" s="131"/>
      <c r="BO126" s="136"/>
      <c r="BP126" s="131"/>
      <c r="BQ126" s="131"/>
      <c r="BR126" s="131"/>
      <c r="BS126" s="131"/>
      <c r="BT126" s="131"/>
      <c r="BU126" s="131"/>
      <c r="BV126" s="131"/>
      <c r="BW126" s="131"/>
      <c r="BX126" s="131"/>
      <c r="BY126" s="131"/>
      <c r="BZ126" s="131"/>
      <c r="CA126" s="131"/>
      <c r="CB126" s="131"/>
      <c r="CC126" s="131"/>
      <c r="CD126" s="131"/>
      <c r="CE126" s="131"/>
      <c r="CF126" s="136"/>
      <c r="CG126" s="136"/>
      <c r="CH126" s="131"/>
      <c r="CI126" s="131"/>
      <c r="CJ126" s="136"/>
      <c r="CK126" s="136"/>
      <c r="CL126" s="136"/>
      <c r="CM126" s="131"/>
      <c r="CN126" s="131"/>
      <c r="CO126" s="136"/>
      <c r="CP126" s="136"/>
      <c r="CQ126" s="131"/>
      <c r="CR126" s="131"/>
      <c r="CS126" s="131"/>
      <c r="CT126" s="131"/>
      <c r="CU126" s="131"/>
      <c r="CV126" s="131"/>
      <c r="CW126" s="131"/>
      <c r="CX126" s="131"/>
      <c r="CY126" s="136"/>
      <c r="CZ126" s="136"/>
      <c r="DA126" s="131"/>
      <c r="DB126" s="136"/>
      <c r="DC126" s="136"/>
      <c r="DD126" s="131"/>
      <c r="DE126" s="131"/>
      <c r="DF126" s="131"/>
      <c r="DG126" s="136"/>
      <c r="DH126" s="131"/>
      <c r="DI126" s="131"/>
      <c r="DJ126" s="136"/>
      <c r="DK126" s="136"/>
      <c r="DL126" s="136"/>
      <c r="DM126" s="136"/>
      <c r="DN126" s="136"/>
      <c r="DO126" s="136"/>
      <c r="DP126" s="136"/>
      <c r="DQ126" s="136"/>
      <c r="DR126" s="136"/>
      <c r="DS126" s="131"/>
      <c r="DT126" s="136"/>
      <c r="DU126" s="131"/>
      <c r="DV126" s="131"/>
      <c r="DW126" s="131"/>
      <c r="DX126" s="131"/>
      <c r="DY126" s="131"/>
      <c r="DZ126" s="136"/>
      <c r="EA126" s="131"/>
      <c r="EB126" s="131"/>
      <c r="EC126" s="131"/>
      <c r="ED126" s="131"/>
      <c r="EE126" s="137"/>
      <c r="EF126" s="227"/>
      <c r="EG126" s="227"/>
      <c r="EH126" s="228"/>
      <c r="EI126" s="228"/>
      <c r="EJ126" s="228"/>
      <c r="EK126" s="228"/>
    </row>
    <row r="127" spans="1:141">
      <c r="A127" s="132"/>
      <c r="B127" s="18"/>
      <c r="C127" s="18"/>
      <c r="D127" s="220"/>
      <c r="E127" s="130"/>
      <c r="F127" s="126"/>
      <c r="G127" s="18"/>
      <c r="H127" s="189"/>
      <c r="I127" s="18"/>
      <c r="J127" s="18"/>
      <c r="K127" s="189"/>
      <c r="L127" s="18"/>
      <c r="M127" s="129"/>
      <c r="N127" s="189"/>
      <c r="O127" s="132"/>
      <c r="P127" s="127"/>
      <c r="Q127" s="127"/>
      <c r="R127" s="128"/>
      <c r="S127" s="130"/>
      <c r="T127" s="135"/>
      <c r="U127" s="127"/>
      <c r="V127" s="217"/>
      <c r="W127" s="191"/>
      <c r="X127" s="133"/>
      <c r="Y127" s="131"/>
      <c r="Z127" s="131"/>
      <c r="AA127" s="242"/>
      <c r="AB127" s="131"/>
      <c r="AC127" s="131"/>
      <c r="AD127" s="131"/>
      <c r="AE127" s="131"/>
      <c r="AF127" s="131"/>
      <c r="AG127" s="131"/>
      <c r="AH127" s="131"/>
      <c r="AI127" s="131"/>
      <c r="AJ127" s="131"/>
      <c r="AK127" s="131"/>
      <c r="AL127" s="131"/>
      <c r="AM127" s="131"/>
      <c r="AN127" s="131"/>
      <c r="AO127" s="131"/>
      <c r="AP127" s="131"/>
      <c r="AQ127" s="243"/>
      <c r="AR127" s="131"/>
      <c r="AS127" s="131"/>
      <c r="AT127" s="131"/>
      <c r="AU127" s="131"/>
      <c r="AV127" s="131"/>
      <c r="AW127" s="131"/>
      <c r="AX127" s="131"/>
      <c r="AY127" s="131"/>
      <c r="AZ127" s="131"/>
      <c r="BA127" s="131"/>
      <c r="BB127" s="131"/>
      <c r="BC127" s="131"/>
      <c r="BD127" s="131"/>
      <c r="BE127" s="131"/>
      <c r="BF127" s="131"/>
      <c r="BG127" s="131"/>
      <c r="BH127" s="131"/>
      <c r="BI127" s="131"/>
      <c r="BJ127" s="131"/>
      <c r="BK127" s="131"/>
      <c r="BL127" s="131"/>
      <c r="BM127" s="131"/>
      <c r="BN127" s="131"/>
      <c r="BO127" s="136"/>
      <c r="BP127" s="131"/>
      <c r="BQ127" s="131"/>
      <c r="BR127" s="131"/>
      <c r="BS127" s="131"/>
      <c r="BT127" s="131"/>
      <c r="BU127" s="131"/>
      <c r="BV127" s="131"/>
      <c r="BW127" s="131"/>
      <c r="BX127" s="131"/>
      <c r="BY127" s="131"/>
      <c r="BZ127" s="131"/>
      <c r="CA127" s="131"/>
      <c r="CB127" s="131"/>
      <c r="CC127" s="131"/>
      <c r="CD127" s="131"/>
      <c r="CE127" s="131"/>
      <c r="CF127" s="136"/>
      <c r="CG127" s="136"/>
      <c r="CH127" s="131"/>
      <c r="CI127" s="131"/>
      <c r="CJ127" s="136"/>
      <c r="CK127" s="136"/>
      <c r="CL127" s="136"/>
      <c r="CM127" s="131"/>
      <c r="CN127" s="131"/>
      <c r="CO127" s="136"/>
      <c r="CP127" s="136"/>
      <c r="CQ127" s="131"/>
      <c r="CR127" s="131"/>
      <c r="CS127" s="131"/>
      <c r="CT127" s="131"/>
      <c r="CU127" s="131"/>
      <c r="CV127" s="131"/>
      <c r="CW127" s="131"/>
      <c r="CX127" s="131"/>
      <c r="CY127" s="136"/>
      <c r="CZ127" s="136"/>
      <c r="DA127" s="131"/>
      <c r="DB127" s="136"/>
      <c r="DC127" s="136"/>
      <c r="DD127" s="131"/>
      <c r="DE127" s="131"/>
      <c r="DF127" s="131"/>
      <c r="DG127" s="136"/>
      <c r="DH127" s="131"/>
      <c r="DI127" s="131"/>
      <c r="DJ127" s="136"/>
      <c r="DK127" s="136"/>
      <c r="DL127" s="136"/>
      <c r="DM127" s="136"/>
      <c r="DN127" s="136"/>
      <c r="DO127" s="136"/>
      <c r="DP127" s="136"/>
      <c r="DQ127" s="136"/>
      <c r="DR127" s="136"/>
      <c r="DS127" s="131"/>
      <c r="DT127" s="136"/>
      <c r="DU127" s="131"/>
      <c r="DV127" s="131"/>
      <c r="DW127" s="131"/>
      <c r="DX127" s="131"/>
      <c r="DY127" s="131"/>
      <c r="DZ127" s="136"/>
      <c r="EA127" s="131"/>
      <c r="EB127" s="131"/>
      <c r="EC127" s="131"/>
      <c r="ED127" s="131"/>
      <c r="EE127" s="137"/>
      <c r="EF127" s="227"/>
      <c r="EG127" s="227"/>
      <c r="EH127" s="228"/>
      <c r="EI127" s="228"/>
      <c r="EJ127" s="228"/>
      <c r="EK127" s="228"/>
    </row>
    <row r="128" spans="1:141">
      <c r="A128" s="132"/>
      <c r="B128" s="18"/>
      <c r="C128" s="18"/>
      <c r="D128" s="220"/>
      <c r="E128" s="130"/>
      <c r="F128" s="126"/>
      <c r="G128" s="18"/>
      <c r="H128" s="189"/>
      <c r="I128" s="18"/>
      <c r="J128" s="18"/>
      <c r="K128" s="189"/>
      <c r="L128" s="18"/>
      <c r="M128" s="129"/>
      <c r="N128" s="189"/>
      <c r="O128" s="132"/>
      <c r="P128" s="127"/>
      <c r="Q128" s="127"/>
      <c r="R128" s="128"/>
      <c r="S128" s="130"/>
      <c r="T128" s="135"/>
      <c r="U128" s="127"/>
      <c r="V128" s="217"/>
      <c r="W128" s="191"/>
      <c r="X128" s="133"/>
      <c r="Y128" s="131"/>
      <c r="Z128" s="131"/>
      <c r="AA128" s="242"/>
      <c r="AB128" s="131"/>
      <c r="AC128" s="131"/>
      <c r="AD128" s="131"/>
      <c r="AE128" s="131"/>
      <c r="AF128" s="131"/>
      <c r="AG128" s="131"/>
      <c r="AH128" s="131"/>
      <c r="AI128" s="131"/>
      <c r="AJ128" s="131"/>
      <c r="AK128" s="131"/>
      <c r="AL128" s="131"/>
      <c r="AM128" s="131"/>
      <c r="AN128" s="131"/>
      <c r="AO128" s="131"/>
      <c r="AP128" s="131"/>
      <c r="AQ128" s="243"/>
      <c r="AR128" s="131"/>
      <c r="AS128" s="131"/>
      <c r="AT128" s="131"/>
      <c r="AU128" s="131"/>
      <c r="AV128" s="131"/>
      <c r="AW128" s="131"/>
      <c r="AX128" s="131"/>
      <c r="AY128" s="131"/>
      <c r="AZ128" s="131"/>
      <c r="BA128" s="131"/>
      <c r="BB128" s="131"/>
      <c r="BC128" s="131"/>
      <c r="BD128" s="131"/>
      <c r="BE128" s="131"/>
      <c r="BF128" s="131"/>
      <c r="BG128" s="131"/>
      <c r="BH128" s="131"/>
      <c r="BI128" s="131"/>
      <c r="BJ128" s="131"/>
      <c r="BK128" s="131"/>
      <c r="BL128" s="131"/>
      <c r="BM128" s="131"/>
      <c r="BN128" s="131"/>
      <c r="BO128" s="136"/>
      <c r="BP128" s="131"/>
      <c r="BQ128" s="131"/>
      <c r="BR128" s="131"/>
      <c r="BS128" s="131"/>
      <c r="BT128" s="131"/>
      <c r="BU128" s="131"/>
      <c r="BV128" s="131"/>
      <c r="BW128" s="131"/>
      <c r="BX128" s="131"/>
      <c r="BY128" s="131"/>
      <c r="BZ128" s="131"/>
      <c r="CA128" s="131"/>
      <c r="CB128" s="131"/>
      <c r="CC128" s="131"/>
      <c r="CD128" s="131"/>
      <c r="CE128" s="131"/>
      <c r="CF128" s="136"/>
      <c r="CG128" s="136"/>
      <c r="CH128" s="131"/>
      <c r="CI128" s="131"/>
      <c r="CJ128" s="136"/>
      <c r="CK128" s="136"/>
      <c r="CL128" s="136"/>
      <c r="CM128" s="131"/>
      <c r="CN128" s="131"/>
      <c r="CO128" s="136"/>
      <c r="CP128" s="136"/>
      <c r="CQ128" s="131"/>
      <c r="CR128" s="131"/>
      <c r="CS128" s="131"/>
      <c r="CT128" s="131"/>
      <c r="CU128" s="131"/>
      <c r="CV128" s="131"/>
      <c r="CW128" s="131"/>
      <c r="CX128" s="131"/>
      <c r="CY128" s="136"/>
      <c r="CZ128" s="136"/>
      <c r="DA128" s="131"/>
      <c r="DB128" s="136"/>
      <c r="DC128" s="136"/>
      <c r="DD128" s="131"/>
      <c r="DE128" s="131"/>
      <c r="DF128" s="131"/>
      <c r="DG128" s="136"/>
      <c r="DH128" s="131"/>
      <c r="DI128" s="131"/>
      <c r="DJ128" s="136"/>
      <c r="DK128" s="136"/>
      <c r="DL128" s="136"/>
      <c r="DM128" s="136"/>
      <c r="DN128" s="136"/>
      <c r="DO128" s="136"/>
      <c r="DP128" s="136"/>
      <c r="DQ128" s="136"/>
      <c r="DR128" s="136"/>
      <c r="DS128" s="131"/>
      <c r="DT128" s="136"/>
      <c r="DU128" s="131"/>
      <c r="DV128" s="131"/>
      <c r="DW128" s="131"/>
      <c r="DX128" s="131"/>
      <c r="DY128" s="131"/>
      <c r="DZ128" s="136"/>
      <c r="EA128" s="131"/>
      <c r="EB128" s="131"/>
      <c r="EC128" s="131"/>
      <c r="ED128" s="131"/>
      <c r="EE128" s="137"/>
      <c r="EF128" s="227"/>
      <c r="EG128" s="227"/>
      <c r="EH128" s="228"/>
      <c r="EI128" s="228"/>
      <c r="EJ128" s="228"/>
      <c r="EK128" s="228"/>
    </row>
    <row r="129" spans="1:141">
      <c r="A129" s="132"/>
      <c r="B129" s="18"/>
      <c r="C129" s="18"/>
      <c r="D129" s="220"/>
      <c r="E129" s="130"/>
      <c r="F129" s="126"/>
      <c r="G129" s="18"/>
      <c r="H129" s="189"/>
      <c r="I129" s="18"/>
      <c r="J129" s="18"/>
      <c r="K129" s="189"/>
      <c r="L129" s="18"/>
      <c r="M129" s="129"/>
      <c r="N129" s="189"/>
      <c r="O129" s="132"/>
      <c r="P129" s="127"/>
      <c r="Q129" s="127"/>
      <c r="R129" s="128"/>
      <c r="S129" s="130"/>
      <c r="T129" s="135"/>
      <c r="U129" s="127"/>
      <c r="V129" s="217"/>
      <c r="W129" s="191"/>
      <c r="X129" s="133"/>
      <c r="Y129" s="131"/>
      <c r="Z129" s="131"/>
      <c r="AA129" s="242"/>
      <c r="AB129" s="131"/>
      <c r="AC129" s="131"/>
      <c r="AD129" s="131"/>
      <c r="AE129" s="131"/>
      <c r="AF129" s="131"/>
      <c r="AG129" s="131"/>
      <c r="AH129" s="131"/>
      <c r="AI129" s="131"/>
      <c r="AJ129" s="131"/>
      <c r="AK129" s="131"/>
      <c r="AL129" s="131"/>
      <c r="AM129" s="131"/>
      <c r="AN129" s="131"/>
      <c r="AO129" s="131"/>
      <c r="AP129" s="131"/>
      <c r="AQ129" s="243"/>
      <c r="AR129" s="131"/>
      <c r="AS129" s="131"/>
      <c r="AT129" s="131"/>
      <c r="AU129" s="131"/>
      <c r="AV129" s="131"/>
      <c r="AW129" s="131"/>
      <c r="AX129" s="131"/>
      <c r="AY129" s="131"/>
      <c r="AZ129" s="131"/>
      <c r="BA129" s="131"/>
      <c r="BB129" s="131"/>
      <c r="BC129" s="131"/>
      <c r="BD129" s="131"/>
      <c r="BE129" s="131"/>
      <c r="BF129" s="131"/>
      <c r="BG129" s="131"/>
      <c r="BH129" s="131"/>
      <c r="BI129" s="131"/>
      <c r="BJ129" s="131"/>
      <c r="BK129" s="131"/>
      <c r="BL129" s="131"/>
      <c r="BM129" s="131"/>
      <c r="BN129" s="131"/>
      <c r="BO129" s="136"/>
      <c r="BP129" s="131"/>
      <c r="BQ129" s="131"/>
      <c r="BR129" s="131"/>
      <c r="BS129" s="131"/>
      <c r="BT129" s="131"/>
      <c r="BU129" s="131"/>
      <c r="BV129" s="131"/>
      <c r="BW129" s="131"/>
      <c r="BX129" s="131"/>
      <c r="BY129" s="131"/>
      <c r="BZ129" s="131"/>
      <c r="CA129" s="131"/>
      <c r="CB129" s="131"/>
      <c r="CC129" s="131"/>
      <c r="CD129" s="131"/>
      <c r="CE129" s="131"/>
      <c r="CF129" s="136"/>
      <c r="CG129" s="136"/>
      <c r="CH129" s="131"/>
      <c r="CI129" s="131"/>
      <c r="CJ129" s="136"/>
      <c r="CK129" s="136"/>
      <c r="CL129" s="136"/>
      <c r="CM129" s="131"/>
      <c r="CN129" s="131"/>
      <c r="CO129" s="136"/>
      <c r="CP129" s="136"/>
      <c r="CQ129" s="131"/>
      <c r="CR129" s="131"/>
      <c r="CS129" s="131"/>
      <c r="CT129" s="131"/>
      <c r="CU129" s="131"/>
      <c r="CV129" s="131"/>
      <c r="CW129" s="131"/>
      <c r="CX129" s="131"/>
      <c r="CY129" s="136"/>
      <c r="CZ129" s="136"/>
      <c r="DA129" s="131"/>
      <c r="DB129" s="136"/>
      <c r="DC129" s="136"/>
      <c r="DD129" s="131"/>
      <c r="DE129" s="131"/>
      <c r="DF129" s="131"/>
      <c r="DG129" s="136"/>
      <c r="DH129" s="131"/>
      <c r="DI129" s="131"/>
      <c r="DJ129" s="136"/>
      <c r="DK129" s="136"/>
      <c r="DL129" s="136"/>
      <c r="DM129" s="136"/>
      <c r="DN129" s="136"/>
      <c r="DO129" s="136"/>
      <c r="DP129" s="136"/>
      <c r="DQ129" s="136"/>
      <c r="DR129" s="136"/>
      <c r="DS129" s="131"/>
      <c r="DT129" s="136"/>
      <c r="DU129" s="131"/>
      <c r="DV129" s="131"/>
      <c r="DW129" s="131"/>
      <c r="DX129" s="131"/>
      <c r="DY129" s="131"/>
      <c r="DZ129" s="136"/>
      <c r="EA129" s="131"/>
      <c r="EB129" s="131"/>
      <c r="EC129" s="131"/>
      <c r="ED129" s="131"/>
      <c r="EE129" s="137"/>
      <c r="EF129" s="227"/>
      <c r="EG129" s="227"/>
      <c r="EH129" s="228"/>
      <c r="EI129" s="228"/>
      <c r="EJ129" s="228"/>
      <c r="EK129" s="228"/>
    </row>
    <row r="130" spans="1:141">
      <c r="A130" s="132"/>
      <c r="B130" s="18"/>
      <c r="C130" s="18"/>
      <c r="D130" s="220"/>
      <c r="E130" s="130"/>
      <c r="F130" s="126"/>
      <c r="G130" s="18"/>
      <c r="H130" s="189"/>
      <c r="I130" s="18"/>
      <c r="J130" s="18"/>
      <c r="K130" s="189"/>
      <c r="L130" s="18"/>
      <c r="M130" s="129"/>
      <c r="N130" s="189"/>
      <c r="O130" s="132"/>
      <c r="P130" s="127"/>
      <c r="Q130" s="127"/>
      <c r="R130" s="128"/>
      <c r="S130" s="130"/>
      <c r="T130" s="135"/>
      <c r="U130" s="127"/>
      <c r="V130" s="217"/>
      <c r="W130" s="191"/>
      <c r="X130" s="133"/>
      <c r="Y130" s="131"/>
      <c r="Z130" s="131"/>
      <c r="AA130" s="242"/>
      <c r="AB130" s="131"/>
      <c r="AC130" s="131"/>
      <c r="AD130" s="131"/>
      <c r="AE130" s="131"/>
      <c r="AF130" s="131"/>
      <c r="AG130" s="131"/>
      <c r="AH130" s="131"/>
      <c r="AI130" s="131"/>
      <c r="AJ130" s="131"/>
      <c r="AK130" s="131"/>
      <c r="AL130" s="131"/>
      <c r="AM130" s="131"/>
      <c r="AN130" s="131"/>
      <c r="AO130" s="131"/>
      <c r="AP130" s="131"/>
      <c r="AQ130" s="243"/>
      <c r="AR130" s="131"/>
      <c r="AS130" s="131"/>
      <c r="AT130" s="131"/>
      <c r="AU130" s="131"/>
      <c r="AV130" s="131"/>
      <c r="AW130" s="131"/>
      <c r="AX130" s="131"/>
      <c r="AY130" s="131"/>
      <c r="AZ130" s="131"/>
      <c r="BA130" s="131"/>
      <c r="BB130" s="131"/>
      <c r="BC130" s="131"/>
      <c r="BD130" s="131"/>
      <c r="BE130" s="131"/>
      <c r="BF130" s="131"/>
      <c r="BG130" s="131"/>
      <c r="BH130" s="131"/>
      <c r="BI130" s="131"/>
      <c r="BJ130" s="131"/>
      <c r="BK130" s="131"/>
      <c r="BL130" s="131"/>
      <c r="BM130" s="131"/>
      <c r="BN130" s="131"/>
      <c r="BO130" s="136"/>
      <c r="BP130" s="131"/>
      <c r="BQ130" s="131"/>
      <c r="BR130" s="131"/>
      <c r="BS130" s="131"/>
      <c r="BT130" s="131"/>
      <c r="BU130" s="131"/>
      <c r="BV130" s="131"/>
      <c r="BW130" s="131"/>
      <c r="BX130" s="131"/>
      <c r="BY130" s="131"/>
      <c r="BZ130" s="131"/>
      <c r="CA130" s="131"/>
      <c r="CB130" s="131"/>
      <c r="CC130" s="131"/>
      <c r="CD130" s="131"/>
      <c r="CE130" s="131"/>
      <c r="CF130" s="136"/>
      <c r="CG130" s="136"/>
      <c r="CH130" s="131"/>
      <c r="CI130" s="131"/>
      <c r="CJ130" s="136"/>
      <c r="CK130" s="136"/>
      <c r="CL130" s="136"/>
      <c r="CM130" s="131"/>
      <c r="CN130" s="131"/>
      <c r="CO130" s="136"/>
      <c r="CP130" s="136"/>
      <c r="CQ130" s="131"/>
      <c r="CR130" s="131"/>
      <c r="CS130" s="131"/>
      <c r="CT130" s="131"/>
      <c r="CU130" s="131"/>
      <c r="CV130" s="131"/>
      <c r="CW130" s="131"/>
      <c r="CX130" s="131"/>
      <c r="CY130" s="136"/>
      <c r="CZ130" s="136"/>
      <c r="DA130" s="131"/>
      <c r="DB130" s="136"/>
      <c r="DC130" s="136"/>
      <c r="DD130" s="131"/>
      <c r="DE130" s="131"/>
      <c r="DF130" s="131"/>
      <c r="DG130" s="136"/>
      <c r="DH130" s="131"/>
      <c r="DI130" s="131"/>
      <c r="DJ130" s="136"/>
      <c r="DK130" s="136"/>
      <c r="DL130" s="136"/>
      <c r="DM130" s="136"/>
      <c r="DN130" s="136"/>
      <c r="DO130" s="136"/>
      <c r="DP130" s="136"/>
      <c r="DQ130" s="136"/>
      <c r="DR130" s="136"/>
      <c r="DS130" s="131"/>
      <c r="DT130" s="136"/>
      <c r="DU130" s="131"/>
      <c r="DV130" s="131"/>
      <c r="DW130" s="131"/>
      <c r="DX130" s="131"/>
      <c r="DY130" s="131"/>
      <c r="DZ130" s="136"/>
      <c r="EA130" s="131"/>
      <c r="EB130" s="131"/>
      <c r="EC130" s="131"/>
      <c r="ED130" s="131"/>
      <c r="EE130" s="137"/>
      <c r="EF130" s="227"/>
      <c r="EG130" s="227"/>
      <c r="EH130" s="228"/>
      <c r="EI130" s="228"/>
      <c r="EJ130" s="228"/>
      <c r="EK130" s="228"/>
    </row>
    <row r="131" spans="1:141">
      <c r="A131" s="132"/>
      <c r="B131" s="18"/>
      <c r="C131" s="18"/>
      <c r="D131" s="220"/>
      <c r="E131" s="130"/>
      <c r="F131" s="126"/>
      <c r="G131" s="18"/>
      <c r="H131" s="189"/>
      <c r="I131" s="18"/>
      <c r="J131" s="18"/>
      <c r="K131" s="189"/>
      <c r="L131" s="18"/>
      <c r="M131" s="129"/>
      <c r="N131" s="189"/>
      <c r="O131" s="132"/>
      <c r="P131" s="127"/>
      <c r="Q131" s="127"/>
      <c r="R131" s="128"/>
      <c r="S131" s="130"/>
      <c r="T131" s="135"/>
      <c r="U131" s="127"/>
      <c r="V131" s="217"/>
      <c r="W131" s="191"/>
      <c r="X131" s="133"/>
      <c r="Y131" s="131"/>
      <c r="Z131" s="131"/>
      <c r="AA131" s="242"/>
      <c r="AB131" s="131"/>
      <c r="AC131" s="131"/>
      <c r="AD131" s="131"/>
      <c r="AE131" s="131"/>
      <c r="AF131" s="131"/>
      <c r="AG131" s="131"/>
      <c r="AH131" s="131"/>
      <c r="AI131" s="131"/>
      <c r="AJ131" s="131"/>
      <c r="AK131" s="131"/>
      <c r="AL131" s="131"/>
      <c r="AM131" s="131"/>
      <c r="AN131" s="131"/>
      <c r="AO131" s="131"/>
      <c r="AP131" s="131"/>
      <c r="AQ131" s="243"/>
      <c r="AR131" s="131"/>
      <c r="AS131" s="131"/>
      <c r="AT131" s="131"/>
      <c r="AU131" s="131"/>
      <c r="AV131" s="131"/>
      <c r="AW131" s="131"/>
      <c r="AX131" s="131"/>
      <c r="AY131" s="131"/>
      <c r="AZ131" s="131"/>
      <c r="BA131" s="131"/>
      <c r="BB131" s="131"/>
      <c r="BC131" s="131"/>
      <c r="BD131" s="131"/>
      <c r="BE131" s="131"/>
      <c r="BF131" s="131"/>
      <c r="BG131" s="131"/>
      <c r="BH131" s="131"/>
      <c r="BI131" s="131"/>
      <c r="BJ131" s="131"/>
      <c r="BK131" s="131"/>
      <c r="BL131" s="131"/>
      <c r="BM131" s="131"/>
      <c r="BN131" s="131"/>
      <c r="BO131" s="136"/>
      <c r="BP131" s="131"/>
      <c r="BQ131" s="131"/>
      <c r="BR131" s="131"/>
      <c r="BS131" s="131"/>
      <c r="BT131" s="131"/>
      <c r="BU131" s="131"/>
      <c r="BV131" s="131"/>
      <c r="BW131" s="131"/>
      <c r="BX131" s="131"/>
      <c r="BY131" s="131"/>
      <c r="BZ131" s="131"/>
      <c r="CA131" s="131"/>
      <c r="CB131" s="131"/>
      <c r="CC131" s="131"/>
      <c r="CD131" s="131"/>
      <c r="CE131" s="131"/>
      <c r="CF131" s="136"/>
      <c r="CG131" s="136"/>
      <c r="CH131" s="131"/>
      <c r="CI131" s="131"/>
      <c r="CJ131" s="136"/>
      <c r="CK131" s="136"/>
      <c r="CL131" s="136"/>
      <c r="CM131" s="131"/>
      <c r="CN131" s="131"/>
      <c r="CO131" s="136"/>
      <c r="CP131" s="136"/>
      <c r="CQ131" s="131"/>
      <c r="CR131" s="131"/>
      <c r="CS131" s="131"/>
      <c r="CT131" s="131"/>
      <c r="CU131" s="131"/>
      <c r="CV131" s="131"/>
      <c r="CW131" s="131"/>
      <c r="CX131" s="131"/>
      <c r="CY131" s="136"/>
      <c r="CZ131" s="136"/>
      <c r="DA131" s="131"/>
      <c r="DB131" s="136"/>
      <c r="DC131" s="136"/>
      <c r="DD131" s="131"/>
      <c r="DE131" s="131"/>
      <c r="DF131" s="131"/>
      <c r="DG131" s="136"/>
      <c r="DH131" s="131"/>
      <c r="DI131" s="131"/>
      <c r="DJ131" s="136"/>
      <c r="DK131" s="136"/>
      <c r="DL131" s="136"/>
      <c r="DM131" s="136"/>
      <c r="DN131" s="136"/>
      <c r="DO131" s="136"/>
      <c r="DP131" s="136"/>
      <c r="DQ131" s="136"/>
      <c r="DR131" s="136"/>
      <c r="DS131" s="131"/>
      <c r="DT131" s="136"/>
      <c r="DU131" s="131"/>
      <c r="DV131" s="131"/>
      <c r="DW131" s="131"/>
      <c r="DX131" s="131"/>
      <c r="DY131" s="131"/>
      <c r="DZ131" s="136"/>
      <c r="EA131" s="131"/>
      <c r="EB131" s="131"/>
      <c r="EC131" s="131"/>
      <c r="ED131" s="131"/>
      <c r="EE131" s="137"/>
      <c r="EF131" s="227"/>
      <c r="EG131" s="227"/>
      <c r="EH131" s="228"/>
      <c r="EI131" s="228"/>
      <c r="EJ131" s="228"/>
      <c r="EK131" s="228"/>
    </row>
    <row r="132" spans="1:141">
      <c r="A132" s="132"/>
      <c r="B132" s="18"/>
      <c r="C132" s="18"/>
      <c r="D132" s="220"/>
      <c r="E132" s="130"/>
      <c r="F132" s="126"/>
      <c r="G132" s="18"/>
      <c r="H132" s="189"/>
      <c r="I132" s="18"/>
      <c r="J132" s="18"/>
      <c r="K132" s="189"/>
      <c r="L132" s="18"/>
      <c r="M132" s="129"/>
      <c r="N132" s="189"/>
      <c r="O132" s="132"/>
      <c r="P132" s="127"/>
      <c r="Q132" s="127"/>
      <c r="R132" s="128"/>
      <c r="S132" s="130"/>
      <c r="T132" s="135"/>
      <c r="U132" s="127"/>
      <c r="V132" s="217"/>
      <c r="W132" s="191"/>
      <c r="X132" s="133"/>
      <c r="Y132" s="131"/>
      <c r="Z132" s="131"/>
      <c r="AA132" s="242"/>
      <c r="AB132" s="131"/>
      <c r="AC132" s="131"/>
      <c r="AD132" s="131"/>
      <c r="AE132" s="131"/>
      <c r="AF132" s="131"/>
      <c r="AG132" s="131"/>
      <c r="AH132" s="131"/>
      <c r="AI132" s="131"/>
      <c r="AJ132" s="131"/>
      <c r="AK132" s="131"/>
      <c r="AL132" s="131"/>
      <c r="AM132" s="131"/>
      <c r="AN132" s="131"/>
      <c r="AO132" s="131"/>
      <c r="AP132" s="131"/>
      <c r="AQ132" s="243"/>
      <c r="AR132" s="131"/>
      <c r="AS132" s="131"/>
      <c r="AT132" s="131"/>
      <c r="AU132" s="131"/>
      <c r="AV132" s="131"/>
      <c r="AW132" s="131"/>
      <c r="AX132" s="131"/>
      <c r="AY132" s="131"/>
      <c r="AZ132" s="131"/>
      <c r="BA132" s="131"/>
      <c r="BB132" s="131"/>
      <c r="BC132" s="131"/>
      <c r="BD132" s="131"/>
      <c r="BE132" s="131"/>
      <c r="BF132" s="131"/>
      <c r="BG132" s="131"/>
      <c r="BH132" s="131"/>
      <c r="BI132" s="131"/>
      <c r="BJ132" s="131"/>
      <c r="BK132" s="131"/>
      <c r="BL132" s="131"/>
      <c r="BM132" s="131"/>
      <c r="BN132" s="131"/>
      <c r="BO132" s="136"/>
      <c r="BP132" s="131"/>
      <c r="BQ132" s="131"/>
      <c r="BR132" s="131"/>
      <c r="BS132" s="131"/>
      <c r="BT132" s="131"/>
      <c r="BU132" s="131"/>
      <c r="BV132" s="131"/>
      <c r="BW132" s="131"/>
      <c r="BX132" s="131"/>
      <c r="BY132" s="131"/>
      <c r="BZ132" s="131"/>
      <c r="CA132" s="131"/>
      <c r="CB132" s="131"/>
      <c r="CC132" s="131"/>
      <c r="CD132" s="131"/>
      <c r="CE132" s="131"/>
      <c r="CF132" s="136"/>
      <c r="CG132" s="136"/>
      <c r="CH132" s="131"/>
      <c r="CI132" s="131"/>
      <c r="CJ132" s="136"/>
      <c r="CK132" s="136"/>
      <c r="CL132" s="136"/>
      <c r="CM132" s="131"/>
      <c r="CN132" s="131"/>
      <c r="CO132" s="136"/>
      <c r="CP132" s="136"/>
      <c r="CQ132" s="131"/>
      <c r="CR132" s="131"/>
      <c r="CS132" s="131"/>
      <c r="CT132" s="131"/>
      <c r="CU132" s="131"/>
      <c r="CV132" s="131"/>
      <c r="CW132" s="131"/>
      <c r="CX132" s="131"/>
      <c r="CY132" s="136"/>
      <c r="CZ132" s="136"/>
      <c r="DA132" s="131"/>
      <c r="DB132" s="136"/>
      <c r="DC132" s="136"/>
      <c r="DD132" s="131"/>
      <c r="DE132" s="131"/>
      <c r="DF132" s="131"/>
      <c r="DG132" s="136"/>
      <c r="DH132" s="131"/>
      <c r="DI132" s="131"/>
      <c r="DJ132" s="136"/>
      <c r="DK132" s="136"/>
      <c r="DL132" s="136"/>
      <c r="DM132" s="136"/>
      <c r="DN132" s="136"/>
      <c r="DO132" s="136"/>
      <c r="DP132" s="136"/>
      <c r="DQ132" s="136"/>
      <c r="DR132" s="136"/>
      <c r="DS132" s="131"/>
      <c r="DT132" s="136"/>
      <c r="DU132" s="131"/>
      <c r="DV132" s="131"/>
      <c r="DW132" s="131"/>
      <c r="DX132" s="131"/>
      <c r="DY132" s="131"/>
      <c r="DZ132" s="136"/>
      <c r="EA132" s="131"/>
      <c r="EB132" s="131"/>
      <c r="EC132" s="131"/>
      <c r="ED132" s="131"/>
      <c r="EE132" s="137"/>
      <c r="EF132" s="227"/>
      <c r="EG132" s="227"/>
      <c r="EH132" s="228"/>
      <c r="EI132" s="228"/>
      <c r="EJ132" s="228"/>
      <c r="EK132" s="228"/>
    </row>
    <row r="133" spans="1:141">
      <c r="A133" s="132"/>
      <c r="B133" s="18"/>
      <c r="C133" s="18"/>
      <c r="D133" s="220"/>
      <c r="E133" s="130"/>
      <c r="F133" s="126"/>
      <c r="G133" s="18"/>
      <c r="H133" s="189"/>
      <c r="I133" s="18"/>
      <c r="J133" s="18"/>
      <c r="K133" s="189"/>
      <c r="L133" s="18"/>
      <c r="M133" s="129"/>
      <c r="N133" s="189"/>
      <c r="O133" s="132"/>
      <c r="P133" s="127"/>
      <c r="Q133" s="127"/>
      <c r="R133" s="128"/>
      <c r="S133" s="130"/>
      <c r="T133" s="135"/>
      <c r="U133" s="127"/>
      <c r="V133" s="217"/>
      <c r="W133" s="191"/>
      <c r="X133" s="133"/>
      <c r="Y133" s="131"/>
      <c r="Z133" s="131"/>
      <c r="AA133" s="242"/>
      <c r="AB133" s="131"/>
      <c r="AC133" s="131"/>
      <c r="AD133" s="131"/>
      <c r="AE133" s="131"/>
      <c r="AF133" s="131"/>
      <c r="AG133" s="131"/>
      <c r="AH133" s="131"/>
      <c r="AI133" s="131"/>
      <c r="AJ133" s="131"/>
      <c r="AK133" s="131"/>
      <c r="AL133" s="131"/>
      <c r="AM133" s="131"/>
      <c r="AN133" s="131"/>
      <c r="AO133" s="131"/>
      <c r="AP133" s="131"/>
      <c r="AQ133" s="243"/>
      <c r="AR133" s="131"/>
      <c r="AS133" s="131"/>
      <c r="AT133" s="131"/>
      <c r="AU133" s="131"/>
      <c r="AV133" s="131"/>
      <c r="AW133" s="131"/>
      <c r="AX133" s="131"/>
      <c r="AY133" s="131"/>
      <c r="AZ133" s="131"/>
      <c r="BA133" s="131"/>
      <c r="BB133" s="131"/>
      <c r="BC133" s="131"/>
      <c r="BD133" s="131"/>
      <c r="BE133" s="131"/>
      <c r="BF133" s="131"/>
      <c r="BG133" s="131"/>
      <c r="BH133" s="131"/>
      <c r="BI133" s="131"/>
      <c r="BJ133" s="131"/>
      <c r="BK133" s="131"/>
      <c r="BL133" s="131"/>
      <c r="BM133" s="131"/>
      <c r="BN133" s="131"/>
      <c r="BO133" s="136"/>
      <c r="BP133" s="131"/>
      <c r="BQ133" s="131"/>
      <c r="BR133" s="131"/>
      <c r="BS133" s="131"/>
      <c r="BT133" s="131"/>
      <c r="BU133" s="131"/>
      <c r="BV133" s="131"/>
      <c r="BW133" s="131"/>
      <c r="BX133" s="131"/>
      <c r="BY133" s="131"/>
      <c r="BZ133" s="131"/>
      <c r="CA133" s="131"/>
      <c r="CB133" s="131"/>
      <c r="CC133" s="131"/>
      <c r="CD133" s="131"/>
      <c r="CE133" s="131"/>
      <c r="CF133" s="136"/>
      <c r="CG133" s="136"/>
      <c r="CH133" s="131"/>
      <c r="CI133" s="131"/>
      <c r="CJ133" s="136"/>
      <c r="CK133" s="136"/>
      <c r="CL133" s="136"/>
      <c r="CM133" s="131"/>
      <c r="CN133" s="131"/>
      <c r="CO133" s="136"/>
      <c r="CP133" s="136"/>
      <c r="CQ133" s="131"/>
      <c r="CR133" s="131"/>
      <c r="CS133" s="131"/>
      <c r="CT133" s="131"/>
      <c r="CU133" s="131"/>
      <c r="CV133" s="131"/>
      <c r="CW133" s="131"/>
      <c r="CX133" s="131"/>
      <c r="CY133" s="136"/>
      <c r="CZ133" s="136"/>
      <c r="DA133" s="131"/>
      <c r="DB133" s="136"/>
      <c r="DC133" s="136"/>
      <c r="DD133" s="131"/>
      <c r="DE133" s="131"/>
      <c r="DF133" s="131"/>
      <c r="DG133" s="136"/>
      <c r="DH133" s="131"/>
      <c r="DI133" s="131"/>
      <c r="DJ133" s="136"/>
      <c r="DK133" s="136"/>
      <c r="DL133" s="136"/>
      <c r="DM133" s="136"/>
      <c r="DN133" s="136"/>
      <c r="DO133" s="136"/>
      <c r="DP133" s="136"/>
      <c r="DQ133" s="136"/>
      <c r="DR133" s="136"/>
      <c r="DS133" s="131"/>
      <c r="DT133" s="136"/>
      <c r="DU133" s="131"/>
      <c r="DV133" s="131"/>
      <c r="DW133" s="131"/>
      <c r="DX133" s="131"/>
      <c r="DY133" s="131"/>
      <c r="DZ133" s="136"/>
      <c r="EA133" s="131"/>
      <c r="EB133" s="131"/>
      <c r="EC133" s="131"/>
      <c r="ED133" s="131"/>
      <c r="EE133" s="137"/>
      <c r="EF133" s="227"/>
      <c r="EG133" s="227"/>
      <c r="EH133" s="228"/>
      <c r="EI133" s="228"/>
      <c r="EJ133" s="228"/>
      <c r="EK133" s="228"/>
    </row>
    <row r="134" spans="1:141">
      <c r="A134" s="132"/>
      <c r="B134" s="18"/>
      <c r="C134" s="18"/>
      <c r="D134" s="220"/>
      <c r="E134" s="130"/>
      <c r="F134" s="126"/>
      <c r="G134" s="18"/>
      <c r="H134" s="189"/>
      <c r="I134" s="18"/>
      <c r="J134" s="18"/>
      <c r="K134" s="189"/>
      <c r="L134" s="18"/>
      <c r="M134" s="129"/>
      <c r="N134" s="189"/>
      <c r="O134" s="132"/>
      <c r="P134" s="127"/>
      <c r="Q134" s="127"/>
      <c r="R134" s="128"/>
      <c r="S134" s="130"/>
      <c r="T134" s="135"/>
      <c r="U134" s="127"/>
      <c r="V134" s="217"/>
      <c r="W134" s="191"/>
      <c r="X134" s="133"/>
      <c r="Y134" s="131"/>
      <c r="Z134" s="131"/>
      <c r="AA134" s="242"/>
      <c r="AB134" s="131"/>
      <c r="AC134" s="131"/>
      <c r="AD134" s="131"/>
      <c r="AE134" s="131"/>
      <c r="AF134" s="131"/>
      <c r="AG134" s="131"/>
      <c r="AH134" s="131"/>
      <c r="AI134" s="131"/>
      <c r="AJ134" s="131"/>
      <c r="AK134" s="131"/>
      <c r="AL134" s="131"/>
      <c r="AM134" s="131"/>
      <c r="AN134" s="131"/>
      <c r="AO134" s="131"/>
      <c r="AP134" s="131"/>
      <c r="AQ134" s="243"/>
      <c r="AR134" s="131"/>
      <c r="AS134" s="131"/>
      <c r="AT134" s="131"/>
      <c r="AU134" s="131"/>
      <c r="AV134" s="131"/>
      <c r="AW134" s="131"/>
      <c r="AX134" s="131"/>
      <c r="AY134" s="131"/>
      <c r="AZ134" s="131"/>
      <c r="BA134" s="131"/>
      <c r="BB134" s="131"/>
      <c r="BC134" s="131"/>
      <c r="BD134" s="131"/>
      <c r="BE134" s="131"/>
      <c r="BF134" s="131"/>
      <c r="BG134" s="131"/>
      <c r="BH134" s="131"/>
      <c r="BI134" s="131"/>
      <c r="BJ134" s="131"/>
      <c r="BK134" s="131"/>
      <c r="BL134" s="131"/>
      <c r="BM134" s="131"/>
      <c r="BN134" s="131"/>
      <c r="BO134" s="136"/>
      <c r="BP134" s="131"/>
      <c r="BQ134" s="131"/>
      <c r="BR134" s="131"/>
      <c r="BS134" s="131"/>
      <c r="BT134" s="131"/>
      <c r="BU134" s="131"/>
      <c r="BV134" s="131"/>
      <c r="BW134" s="131"/>
      <c r="BX134" s="131"/>
      <c r="BY134" s="131"/>
      <c r="BZ134" s="131"/>
      <c r="CA134" s="131"/>
      <c r="CB134" s="131"/>
      <c r="CC134" s="131"/>
      <c r="CD134" s="131"/>
      <c r="CE134" s="131"/>
      <c r="CF134" s="136"/>
      <c r="CG134" s="136"/>
      <c r="CH134" s="131"/>
      <c r="CI134" s="131"/>
      <c r="CJ134" s="136"/>
      <c r="CK134" s="136"/>
      <c r="CL134" s="136"/>
      <c r="CM134" s="131"/>
      <c r="CN134" s="131"/>
      <c r="CO134" s="136"/>
      <c r="CP134" s="136"/>
      <c r="CQ134" s="131"/>
      <c r="CR134" s="131"/>
      <c r="CS134" s="131"/>
      <c r="CT134" s="131"/>
      <c r="CU134" s="131"/>
      <c r="CV134" s="131"/>
      <c r="CW134" s="131"/>
      <c r="CX134" s="131"/>
      <c r="CY134" s="136"/>
      <c r="CZ134" s="136"/>
      <c r="DA134" s="131"/>
      <c r="DB134" s="136"/>
      <c r="DC134" s="136"/>
      <c r="DD134" s="131"/>
      <c r="DE134" s="131"/>
      <c r="DF134" s="131"/>
      <c r="DG134" s="136"/>
      <c r="DH134" s="131"/>
      <c r="DI134" s="131"/>
      <c r="DJ134" s="136"/>
      <c r="DK134" s="136"/>
      <c r="DL134" s="136"/>
      <c r="DM134" s="136"/>
      <c r="DN134" s="136"/>
      <c r="DO134" s="136"/>
      <c r="DP134" s="136"/>
      <c r="DQ134" s="136"/>
      <c r="DR134" s="136"/>
      <c r="DS134" s="131"/>
      <c r="DT134" s="136"/>
      <c r="DU134" s="131"/>
      <c r="DV134" s="131"/>
      <c r="DW134" s="131"/>
      <c r="DX134" s="131"/>
      <c r="DY134" s="131"/>
      <c r="DZ134" s="136"/>
      <c r="EA134" s="131"/>
      <c r="EB134" s="131"/>
      <c r="EC134" s="131"/>
      <c r="ED134" s="131"/>
      <c r="EE134" s="137"/>
      <c r="EF134" s="227"/>
      <c r="EG134" s="227"/>
      <c r="EH134" s="228"/>
      <c r="EI134" s="228"/>
      <c r="EJ134" s="228"/>
      <c r="EK134" s="228"/>
    </row>
    <row r="135" spans="1:141">
      <c r="A135" s="132"/>
      <c r="B135" s="18"/>
      <c r="C135" s="18"/>
      <c r="D135" s="220"/>
      <c r="E135" s="130"/>
      <c r="F135" s="126"/>
      <c r="G135" s="18"/>
      <c r="H135" s="189"/>
      <c r="I135" s="18"/>
      <c r="J135" s="18"/>
      <c r="K135" s="189"/>
      <c r="L135" s="18"/>
      <c r="M135" s="129"/>
      <c r="N135" s="189"/>
      <c r="O135" s="132"/>
      <c r="P135" s="127"/>
      <c r="Q135" s="127"/>
      <c r="R135" s="128"/>
      <c r="S135" s="130"/>
      <c r="T135" s="135"/>
      <c r="U135" s="127"/>
      <c r="V135" s="217"/>
      <c r="W135" s="191"/>
      <c r="X135" s="133"/>
      <c r="Y135" s="131"/>
      <c r="Z135" s="131"/>
      <c r="AA135" s="242"/>
      <c r="AB135" s="131"/>
      <c r="AC135" s="131"/>
      <c r="AD135" s="131"/>
      <c r="AE135" s="131"/>
      <c r="AF135" s="131"/>
      <c r="AG135" s="131"/>
      <c r="AH135" s="131"/>
      <c r="AI135" s="131"/>
      <c r="AJ135" s="131"/>
      <c r="AK135" s="131"/>
      <c r="AL135" s="131"/>
      <c r="AM135" s="131"/>
      <c r="AN135" s="131"/>
      <c r="AO135" s="131"/>
      <c r="AP135" s="131"/>
      <c r="AQ135" s="243"/>
      <c r="AR135" s="131"/>
      <c r="AS135" s="131"/>
      <c r="AT135" s="131"/>
      <c r="AU135" s="131"/>
      <c r="AV135" s="131"/>
      <c r="AW135" s="131"/>
      <c r="AX135" s="131"/>
      <c r="AY135" s="131"/>
      <c r="AZ135" s="131"/>
      <c r="BA135" s="131"/>
      <c r="BB135" s="131"/>
      <c r="BC135" s="131"/>
      <c r="BD135" s="131"/>
      <c r="BE135" s="131"/>
      <c r="BF135" s="131"/>
      <c r="BG135" s="131"/>
      <c r="BH135" s="131"/>
      <c r="BI135" s="131"/>
      <c r="BJ135" s="131"/>
      <c r="BK135" s="131"/>
      <c r="BL135" s="131"/>
      <c r="BM135" s="131"/>
      <c r="BN135" s="131"/>
      <c r="BO135" s="136"/>
      <c r="BP135" s="131"/>
      <c r="BQ135" s="131"/>
      <c r="BR135" s="131"/>
      <c r="BS135" s="131"/>
      <c r="BT135" s="131"/>
      <c r="BU135" s="131"/>
      <c r="BV135" s="131"/>
      <c r="BW135" s="131"/>
      <c r="BX135" s="131"/>
      <c r="BY135" s="131"/>
      <c r="BZ135" s="131"/>
      <c r="CA135" s="131"/>
      <c r="CB135" s="131"/>
      <c r="CC135" s="131"/>
      <c r="CD135" s="131"/>
      <c r="CE135" s="131"/>
      <c r="CF135" s="136"/>
      <c r="CG135" s="136"/>
      <c r="CH135" s="131"/>
      <c r="CI135" s="131"/>
      <c r="CJ135" s="136"/>
      <c r="CK135" s="136"/>
      <c r="CL135" s="136"/>
      <c r="CM135" s="131"/>
      <c r="CN135" s="131"/>
      <c r="CO135" s="136"/>
      <c r="CP135" s="136"/>
      <c r="CQ135" s="131"/>
      <c r="CR135" s="131"/>
      <c r="CS135" s="131"/>
      <c r="CT135" s="131"/>
      <c r="CU135" s="131"/>
      <c r="CV135" s="131"/>
      <c r="CW135" s="131"/>
      <c r="CX135" s="131"/>
      <c r="CY135" s="136"/>
      <c r="CZ135" s="136"/>
      <c r="DA135" s="131"/>
      <c r="DB135" s="136"/>
      <c r="DC135" s="136"/>
      <c r="DD135" s="131"/>
      <c r="DE135" s="131"/>
      <c r="DF135" s="131"/>
      <c r="DG135" s="136"/>
      <c r="DH135" s="131"/>
      <c r="DI135" s="131"/>
      <c r="DJ135" s="136"/>
      <c r="DK135" s="136"/>
      <c r="DL135" s="136"/>
      <c r="DM135" s="136"/>
      <c r="DN135" s="136"/>
      <c r="DO135" s="136"/>
      <c r="DP135" s="136"/>
      <c r="DQ135" s="136"/>
      <c r="DR135" s="136"/>
      <c r="DS135" s="131"/>
      <c r="DT135" s="136"/>
      <c r="DU135" s="131"/>
      <c r="DV135" s="131"/>
      <c r="DW135" s="131"/>
      <c r="DX135" s="131"/>
      <c r="DY135" s="131"/>
      <c r="DZ135" s="136"/>
      <c r="EA135" s="131"/>
      <c r="EB135" s="131"/>
      <c r="EC135" s="131"/>
      <c r="ED135" s="131"/>
      <c r="EE135" s="137"/>
      <c r="EF135" s="227"/>
      <c r="EG135" s="227"/>
      <c r="EH135" s="228"/>
      <c r="EI135" s="228"/>
      <c r="EJ135" s="228"/>
      <c r="EK135" s="228"/>
    </row>
    <row r="136" spans="1:141">
      <c r="A136" s="132"/>
      <c r="B136" s="18"/>
      <c r="C136" s="18"/>
      <c r="D136" s="220"/>
      <c r="E136" s="130"/>
      <c r="F136" s="126"/>
      <c r="G136" s="18"/>
      <c r="H136" s="189"/>
      <c r="I136" s="18"/>
      <c r="J136" s="18"/>
      <c r="K136" s="189"/>
      <c r="L136" s="18"/>
      <c r="M136" s="129"/>
      <c r="N136" s="189"/>
      <c r="O136" s="132"/>
      <c r="P136" s="127"/>
      <c r="Q136" s="127"/>
      <c r="R136" s="128"/>
      <c r="S136" s="130"/>
      <c r="T136" s="135"/>
      <c r="U136" s="127"/>
      <c r="V136" s="217"/>
      <c r="W136" s="191"/>
      <c r="X136" s="133"/>
      <c r="Y136" s="131"/>
      <c r="Z136" s="131"/>
      <c r="AA136" s="242"/>
      <c r="AB136" s="131"/>
      <c r="AC136" s="131"/>
      <c r="AD136" s="131"/>
      <c r="AE136" s="131"/>
      <c r="AF136" s="131"/>
      <c r="AG136" s="131"/>
      <c r="AH136" s="131"/>
      <c r="AI136" s="131"/>
      <c r="AJ136" s="131"/>
      <c r="AK136" s="131"/>
      <c r="AL136" s="131"/>
      <c r="AM136" s="131"/>
      <c r="AN136" s="131"/>
      <c r="AO136" s="131"/>
      <c r="AP136" s="131"/>
      <c r="AQ136" s="243"/>
      <c r="AR136" s="131"/>
      <c r="AS136" s="131"/>
      <c r="AT136" s="131"/>
      <c r="AU136" s="131"/>
      <c r="AV136" s="131"/>
      <c r="AW136" s="131"/>
      <c r="AX136" s="131"/>
      <c r="AY136" s="131"/>
      <c r="AZ136" s="131"/>
      <c r="BA136" s="131"/>
      <c r="BB136" s="131"/>
      <c r="BC136" s="131"/>
      <c r="BD136" s="131"/>
      <c r="BE136" s="131"/>
      <c r="BF136" s="131"/>
      <c r="BG136" s="131"/>
      <c r="BH136" s="131"/>
      <c r="BI136" s="131"/>
      <c r="BJ136" s="131"/>
      <c r="BK136" s="131"/>
      <c r="BL136" s="131"/>
      <c r="BM136" s="131"/>
      <c r="BN136" s="131"/>
      <c r="BO136" s="136"/>
      <c r="BP136" s="131"/>
      <c r="BQ136" s="131"/>
      <c r="BR136" s="131"/>
      <c r="BS136" s="131"/>
      <c r="BT136" s="131"/>
      <c r="BU136" s="131"/>
      <c r="BV136" s="131"/>
      <c r="BW136" s="131"/>
      <c r="BX136" s="131"/>
      <c r="BY136" s="131"/>
      <c r="BZ136" s="131"/>
      <c r="CA136" s="131"/>
      <c r="CB136" s="131"/>
      <c r="CC136" s="131"/>
      <c r="CD136" s="131"/>
      <c r="CE136" s="131"/>
      <c r="CF136" s="136"/>
      <c r="CG136" s="136"/>
      <c r="CH136" s="131"/>
      <c r="CI136" s="131"/>
      <c r="CJ136" s="136"/>
      <c r="CK136" s="136"/>
      <c r="CL136" s="136"/>
      <c r="CM136" s="131"/>
      <c r="CN136" s="131"/>
      <c r="CO136" s="136"/>
      <c r="CP136" s="136"/>
      <c r="CQ136" s="131"/>
      <c r="CR136" s="131"/>
      <c r="CS136" s="131"/>
      <c r="CT136" s="131"/>
      <c r="CU136" s="131"/>
      <c r="CV136" s="131"/>
      <c r="CW136" s="131"/>
      <c r="CX136" s="131"/>
      <c r="CY136" s="136"/>
      <c r="CZ136" s="136"/>
      <c r="DA136" s="131"/>
      <c r="DB136" s="136"/>
      <c r="DC136" s="136"/>
      <c r="DD136" s="131"/>
      <c r="DE136" s="131"/>
      <c r="DF136" s="131"/>
      <c r="DG136" s="136"/>
      <c r="DH136" s="131"/>
      <c r="DI136" s="131"/>
      <c r="DJ136" s="136"/>
      <c r="DK136" s="136"/>
      <c r="DL136" s="136"/>
      <c r="DM136" s="136"/>
      <c r="DN136" s="136"/>
      <c r="DO136" s="136"/>
      <c r="DP136" s="136"/>
      <c r="DQ136" s="136"/>
      <c r="DR136" s="136"/>
      <c r="DS136" s="131"/>
      <c r="DT136" s="136"/>
      <c r="DU136" s="131"/>
      <c r="DV136" s="131"/>
      <c r="DW136" s="131"/>
      <c r="DX136" s="131"/>
      <c r="DY136" s="131"/>
      <c r="DZ136" s="136"/>
      <c r="EA136" s="131"/>
      <c r="EB136" s="131"/>
      <c r="EC136" s="131"/>
      <c r="ED136" s="131"/>
      <c r="EE136" s="137"/>
      <c r="EF136" s="227"/>
      <c r="EG136" s="227"/>
      <c r="EH136" s="228"/>
      <c r="EI136" s="228"/>
      <c r="EJ136" s="228"/>
      <c r="EK136" s="228"/>
    </row>
    <row r="137" spans="1:141">
      <c r="A137" s="132"/>
      <c r="B137" s="18"/>
      <c r="C137" s="18"/>
      <c r="D137" s="220"/>
      <c r="E137" s="130"/>
      <c r="F137" s="126"/>
      <c r="G137" s="18"/>
      <c r="H137" s="189"/>
      <c r="I137" s="18"/>
      <c r="J137" s="18"/>
      <c r="K137" s="189"/>
      <c r="L137" s="18"/>
      <c r="M137" s="129"/>
      <c r="N137" s="189"/>
      <c r="O137" s="132"/>
      <c r="P137" s="127"/>
      <c r="Q137" s="127"/>
      <c r="R137" s="128"/>
      <c r="S137" s="130"/>
      <c r="T137" s="135"/>
      <c r="U137" s="127"/>
      <c r="V137" s="217"/>
      <c r="W137" s="191"/>
      <c r="X137" s="133"/>
      <c r="Y137" s="131"/>
      <c r="Z137" s="131"/>
      <c r="AA137" s="242"/>
      <c r="AB137" s="131"/>
      <c r="AC137" s="131"/>
      <c r="AD137" s="131"/>
      <c r="AE137" s="131"/>
      <c r="AF137" s="131"/>
      <c r="AG137" s="131"/>
      <c r="AH137" s="131"/>
      <c r="AI137" s="131"/>
      <c r="AJ137" s="131"/>
      <c r="AK137" s="131"/>
      <c r="AL137" s="131"/>
      <c r="AM137" s="131"/>
      <c r="AN137" s="131"/>
      <c r="AO137" s="131"/>
      <c r="AP137" s="131"/>
      <c r="AQ137" s="243"/>
      <c r="AR137" s="131"/>
      <c r="AS137" s="131"/>
      <c r="AT137" s="131"/>
      <c r="AU137" s="131"/>
      <c r="AV137" s="131"/>
      <c r="AW137" s="131"/>
      <c r="AX137" s="131"/>
      <c r="AY137" s="131"/>
      <c r="AZ137" s="131"/>
      <c r="BA137" s="131"/>
      <c r="BB137" s="131"/>
      <c r="BC137" s="131"/>
      <c r="BD137" s="131"/>
      <c r="BE137" s="131"/>
      <c r="BF137" s="131"/>
      <c r="BG137" s="131"/>
      <c r="BH137" s="131"/>
      <c r="BI137" s="131"/>
      <c r="BJ137" s="131"/>
      <c r="BK137" s="131"/>
      <c r="BL137" s="131"/>
      <c r="BM137" s="131"/>
      <c r="BN137" s="131"/>
      <c r="BO137" s="136"/>
      <c r="BP137" s="131"/>
      <c r="BQ137" s="131"/>
      <c r="BR137" s="131"/>
      <c r="BS137" s="131"/>
      <c r="BT137" s="131"/>
      <c r="BU137" s="131"/>
      <c r="BV137" s="131"/>
      <c r="BW137" s="131"/>
      <c r="BX137" s="131"/>
      <c r="BY137" s="131"/>
      <c r="BZ137" s="131"/>
      <c r="CA137" s="131"/>
      <c r="CB137" s="131"/>
      <c r="CC137" s="131"/>
      <c r="CD137" s="131"/>
      <c r="CE137" s="131"/>
      <c r="CF137" s="136"/>
      <c r="CG137" s="136"/>
      <c r="CH137" s="131"/>
      <c r="CI137" s="131"/>
      <c r="CJ137" s="136"/>
      <c r="CK137" s="136"/>
      <c r="CL137" s="136"/>
      <c r="CM137" s="131"/>
      <c r="CN137" s="131"/>
      <c r="CO137" s="136"/>
      <c r="CP137" s="136"/>
      <c r="CQ137" s="131"/>
      <c r="CR137" s="131"/>
      <c r="CS137" s="131"/>
      <c r="CT137" s="131"/>
      <c r="CU137" s="131"/>
      <c r="CV137" s="131"/>
      <c r="CW137" s="131"/>
      <c r="CX137" s="131"/>
      <c r="CY137" s="136"/>
      <c r="CZ137" s="136"/>
      <c r="DA137" s="131"/>
      <c r="DB137" s="136"/>
      <c r="DC137" s="136"/>
      <c r="DD137" s="131"/>
      <c r="DE137" s="131"/>
      <c r="DF137" s="131"/>
      <c r="DG137" s="136"/>
      <c r="DH137" s="131"/>
      <c r="DI137" s="131"/>
      <c r="DJ137" s="136"/>
      <c r="DK137" s="136"/>
      <c r="DL137" s="136"/>
      <c r="DM137" s="136"/>
      <c r="DN137" s="136"/>
      <c r="DO137" s="136"/>
      <c r="DP137" s="136"/>
      <c r="DQ137" s="136"/>
      <c r="DR137" s="136"/>
      <c r="DS137" s="131"/>
      <c r="DT137" s="136"/>
      <c r="DU137" s="131"/>
      <c r="DV137" s="131"/>
      <c r="DW137" s="131"/>
      <c r="DX137" s="131"/>
      <c r="DY137" s="131"/>
      <c r="DZ137" s="136"/>
      <c r="EA137" s="131"/>
      <c r="EB137" s="131"/>
      <c r="EC137" s="131"/>
      <c r="ED137" s="131"/>
      <c r="EE137" s="137"/>
      <c r="EF137" s="227"/>
      <c r="EG137" s="227"/>
      <c r="EH137" s="228"/>
      <c r="EI137" s="228"/>
      <c r="EJ137" s="228"/>
      <c r="EK137" s="228"/>
    </row>
    <row r="138" spans="1:141">
      <c r="A138" s="132"/>
      <c r="B138" s="18"/>
      <c r="C138" s="18"/>
      <c r="D138" s="220"/>
      <c r="E138" s="130"/>
      <c r="F138" s="126"/>
      <c r="G138" s="18"/>
      <c r="H138" s="189"/>
      <c r="I138" s="18"/>
      <c r="J138" s="18"/>
      <c r="K138" s="189"/>
      <c r="L138" s="18"/>
      <c r="M138" s="129"/>
      <c r="N138" s="189"/>
      <c r="O138" s="132"/>
      <c r="P138" s="127"/>
      <c r="Q138" s="127"/>
      <c r="R138" s="128"/>
      <c r="S138" s="130"/>
      <c r="T138" s="135"/>
      <c r="U138" s="127"/>
      <c r="V138" s="217"/>
      <c r="W138" s="191"/>
      <c r="X138" s="133"/>
      <c r="Y138" s="131"/>
      <c r="Z138" s="131"/>
      <c r="AA138" s="242"/>
      <c r="AB138" s="131"/>
      <c r="AC138" s="131"/>
      <c r="AD138" s="131"/>
      <c r="AE138" s="131"/>
      <c r="AF138" s="131"/>
      <c r="AG138" s="131"/>
      <c r="AH138" s="131"/>
      <c r="AI138" s="131"/>
      <c r="AJ138" s="131"/>
      <c r="AK138" s="131"/>
      <c r="AL138" s="131"/>
      <c r="AM138" s="131"/>
      <c r="AN138" s="131"/>
      <c r="AO138" s="131"/>
      <c r="AP138" s="131"/>
      <c r="AQ138" s="243"/>
      <c r="AR138" s="131"/>
      <c r="AS138" s="131"/>
      <c r="AT138" s="131"/>
      <c r="AU138" s="131"/>
      <c r="AV138" s="131"/>
      <c r="AW138" s="131"/>
      <c r="AX138" s="131"/>
      <c r="AY138" s="131"/>
      <c r="AZ138" s="131"/>
      <c r="BA138" s="131"/>
      <c r="BB138" s="131"/>
      <c r="BC138" s="131"/>
      <c r="BD138" s="131"/>
      <c r="BE138" s="131"/>
      <c r="BF138" s="131"/>
      <c r="BG138" s="131"/>
      <c r="BH138" s="131"/>
      <c r="BI138" s="131"/>
      <c r="BJ138" s="131"/>
      <c r="BK138" s="131"/>
      <c r="BL138" s="131"/>
      <c r="BM138" s="131"/>
      <c r="BN138" s="131"/>
      <c r="BO138" s="136"/>
      <c r="BP138" s="131"/>
      <c r="BQ138" s="131"/>
      <c r="BR138" s="131"/>
      <c r="BS138" s="131"/>
      <c r="BT138" s="131"/>
      <c r="BU138" s="131"/>
      <c r="BV138" s="131"/>
      <c r="BW138" s="131"/>
      <c r="BX138" s="131"/>
      <c r="BY138" s="131"/>
      <c r="BZ138" s="131"/>
      <c r="CA138" s="131"/>
      <c r="CB138" s="131"/>
      <c r="CC138" s="131"/>
      <c r="CD138" s="131"/>
      <c r="CE138" s="131"/>
      <c r="CF138" s="136"/>
      <c r="CG138" s="136"/>
      <c r="CH138" s="131"/>
      <c r="CI138" s="131"/>
      <c r="CJ138" s="136"/>
      <c r="CK138" s="136"/>
      <c r="CL138" s="136"/>
      <c r="CM138" s="131"/>
      <c r="CN138" s="131"/>
      <c r="CO138" s="136"/>
      <c r="CP138" s="136"/>
      <c r="CQ138" s="131"/>
      <c r="CR138" s="131"/>
      <c r="CS138" s="131"/>
      <c r="CT138" s="131"/>
      <c r="CU138" s="131"/>
      <c r="CV138" s="131"/>
      <c r="CW138" s="131"/>
      <c r="CX138" s="131"/>
      <c r="CY138" s="136"/>
      <c r="CZ138" s="136"/>
      <c r="DA138" s="131"/>
      <c r="DB138" s="136"/>
      <c r="DC138" s="136"/>
      <c r="DD138" s="131"/>
      <c r="DE138" s="131"/>
      <c r="DF138" s="131"/>
      <c r="DG138" s="136"/>
      <c r="DH138" s="131"/>
      <c r="DI138" s="131"/>
      <c r="DJ138" s="136"/>
      <c r="DK138" s="136"/>
      <c r="DL138" s="136"/>
      <c r="DM138" s="136"/>
      <c r="DN138" s="136"/>
      <c r="DO138" s="136"/>
      <c r="DP138" s="136"/>
      <c r="DQ138" s="136"/>
      <c r="DR138" s="136"/>
      <c r="DS138" s="131"/>
      <c r="DT138" s="136"/>
      <c r="DU138" s="131"/>
      <c r="DV138" s="131"/>
      <c r="DW138" s="131"/>
      <c r="DX138" s="131"/>
      <c r="DY138" s="131"/>
      <c r="DZ138" s="136"/>
      <c r="EA138" s="131"/>
      <c r="EB138" s="131"/>
      <c r="EC138" s="131"/>
      <c r="ED138" s="131"/>
      <c r="EE138" s="137"/>
      <c r="EF138" s="227"/>
      <c r="EG138" s="227"/>
      <c r="EH138" s="228"/>
      <c r="EI138" s="228"/>
      <c r="EJ138" s="228"/>
      <c r="EK138" s="228"/>
    </row>
    <row r="139" spans="1:141">
      <c r="A139" s="132"/>
      <c r="B139" s="18"/>
      <c r="C139" s="18"/>
      <c r="D139" s="220"/>
      <c r="E139" s="130"/>
      <c r="F139" s="126"/>
      <c r="G139" s="18"/>
      <c r="H139" s="189"/>
      <c r="I139" s="18"/>
      <c r="J139" s="18"/>
      <c r="K139" s="189"/>
      <c r="L139" s="18"/>
      <c r="M139" s="129"/>
      <c r="N139" s="189"/>
      <c r="O139" s="132"/>
      <c r="P139" s="127"/>
      <c r="Q139" s="127"/>
      <c r="R139" s="128"/>
      <c r="S139" s="130"/>
      <c r="T139" s="135"/>
      <c r="U139" s="127"/>
      <c r="V139" s="217"/>
      <c r="W139" s="191"/>
      <c r="X139" s="133"/>
      <c r="Y139" s="131"/>
      <c r="Z139" s="131"/>
      <c r="AA139" s="242"/>
      <c r="AB139" s="131"/>
      <c r="AC139" s="131"/>
      <c r="AD139" s="131"/>
      <c r="AE139" s="131"/>
      <c r="AF139" s="131"/>
      <c r="AG139" s="131"/>
      <c r="AH139" s="131"/>
      <c r="AI139" s="131"/>
      <c r="AJ139" s="131"/>
      <c r="AK139" s="131"/>
      <c r="AL139" s="131"/>
      <c r="AM139" s="131"/>
      <c r="AN139" s="131"/>
      <c r="AO139" s="131"/>
      <c r="AP139" s="131"/>
      <c r="AQ139" s="243"/>
      <c r="AR139" s="131"/>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6"/>
      <c r="BP139" s="131"/>
      <c r="BQ139" s="131"/>
      <c r="BR139" s="131"/>
      <c r="BS139" s="131"/>
      <c r="BT139" s="131"/>
      <c r="BU139" s="131"/>
      <c r="BV139" s="131"/>
      <c r="BW139" s="131"/>
      <c r="BX139" s="131"/>
      <c r="BY139" s="131"/>
      <c r="BZ139" s="131"/>
      <c r="CA139" s="131"/>
      <c r="CB139" s="131"/>
      <c r="CC139" s="131"/>
      <c r="CD139" s="131"/>
      <c r="CE139" s="131"/>
      <c r="CF139" s="136"/>
      <c r="CG139" s="136"/>
      <c r="CH139" s="131"/>
      <c r="CI139" s="131"/>
      <c r="CJ139" s="136"/>
      <c r="CK139" s="136"/>
      <c r="CL139" s="136"/>
      <c r="CM139" s="131"/>
      <c r="CN139" s="131"/>
      <c r="CO139" s="136"/>
      <c r="CP139" s="136"/>
      <c r="CQ139" s="131"/>
      <c r="CR139" s="131"/>
      <c r="CS139" s="131"/>
      <c r="CT139" s="131"/>
      <c r="CU139" s="131"/>
      <c r="CV139" s="131"/>
      <c r="CW139" s="131"/>
      <c r="CX139" s="131"/>
      <c r="CY139" s="136"/>
      <c r="CZ139" s="136"/>
      <c r="DA139" s="131"/>
      <c r="DB139" s="136"/>
      <c r="DC139" s="136"/>
      <c r="DD139" s="131"/>
      <c r="DE139" s="131"/>
      <c r="DF139" s="131"/>
      <c r="DG139" s="136"/>
      <c r="DH139" s="131"/>
      <c r="DI139" s="131"/>
      <c r="DJ139" s="136"/>
      <c r="DK139" s="136"/>
      <c r="DL139" s="136"/>
      <c r="DM139" s="136"/>
      <c r="DN139" s="136"/>
      <c r="DO139" s="136"/>
      <c r="DP139" s="136"/>
      <c r="DQ139" s="136"/>
      <c r="DR139" s="136"/>
      <c r="DS139" s="131"/>
      <c r="DT139" s="136"/>
      <c r="DU139" s="131"/>
      <c r="DV139" s="131"/>
      <c r="DW139" s="131"/>
      <c r="DX139" s="131"/>
      <c r="DY139" s="131"/>
      <c r="DZ139" s="136"/>
      <c r="EA139" s="131"/>
      <c r="EB139" s="131"/>
      <c r="EC139" s="131"/>
      <c r="ED139" s="131"/>
      <c r="EE139" s="137"/>
      <c r="EF139" s="227"/>
      <c r="EG139" s="227"/>
      <c r="EH139" s="228"/>
      <c r="EI139" s="228"/>
      <c r="EJ139" s="228"/>
      <c r="EK139" s="228"/>
    </row>
    <row r="140" spans="1:141">
      <c r="A140" s="132"/>
      <c r="B140" s="18"/>
      <c r="C140" s="18"/>
      <c r="D140" s="220"/>
      <c r="E140" s="130"/>
      <c r="F140" s="126"/>
      <c r="G140" s="18"/>
      <c r="H140" s="189"/>
      <c r="I140" s="18"/>
      <c r="J140" s="18"/>
      <c r="K140" s="189"/>
      <c r="L140" s="18"/>
      <c r="M140" s="129"/>
      <c r="N140" s="189"/>
      <c r="O140" s="132"/>
      <c r="P140" s="127"/>
      <c r="Q140" s="127"/>
      <c r="R140" s="128"/>
      <c r="S140" s="130"/>
      <c r="T140" s="135"/>
      <c r="U140" s="127"/>
      <c r="V140" s="217"/>
      <c r="W140" s="191"/>
      <c r="X140" s="133"/>
      <c r="Y140" s="131"/>
      <c r="Z140" s="131"/>
      <c r="AA140" s="242"/>
      <c r="AB140" s="131"/>
      <c r="AC140" s="131"/>
      <c r="AD140" s="131"/>
      <c r="AE140" s="131"/>
      <c r="AF140" s="131"/>
      <c r="AG140" s="131"/>
      <c r="AH140" s="131"/>
      <c r="AI140" s="131"/>
      <c r="AJ140" s="131"/>
      <c r="AK140" s="131"/>
      <c r="AL140" s="131"/>
      <c r="AM140" s="131"/>
      <c r="AN140" s="131"/>
      <c r="AO140" s="131"/>
      <c r="AP140" s="131"/>
      <c r="AQ140" s="243"/>
      <c r="AR140" s="131"/>
      <c r="AS140" s="131"/>
      <c r="AT140" s="131"/>
      <c r="AU140" s="131"/>
      <c r="AV140" s="131"/>
      <c r="AW140" s="131"/>
      <c r="AX140" s="131"/>
      <c r="AY140" s="131"/>
      <c r="AZ140" s="131"/>
      <c r="BA140" s="131"/>
      <c r="BB140" s="131"/>
      <c r="BC140" s="131"/>
      <c r="BD140" s="131"/>
      <c r="BE140" s="131"/>
      <c r="BF140" s="131"/>
      <c r="BG140" s="131"/>
      <c r="BH140" s="131"/>
      <c r="BI140" s="131"/>
      <c r="BJ140" s="131"/>
      <c r="BK140" s="131"/>
      <c r="BL140" s="131"/>
      <c r="BM140" s="131"/>
      <c r="BN140" s="131"/>
      <c r="BO140" s="136"/>
      <c r="BP140" s="131"/>
      <c r="BQ140" s="131"/>
      <c r="BR140" s="131"/>
      <c r="BS140" s="131"/>
      <c r="BT140" s="131"/>
      <c r="BU140" s="131"/>
      <c r="BV140" s="131"/>
      <c r="BW140" s="131"/>
      <c r="BX140" s="131"/>
      <c r="BY140" s="131"/>
      <c r="BZ140" s="131"/>
      <c r="CA140" s="131"/>
      <c r="CB140" s="131"/>
      <c r="CC140" s="131"/>
      <c r="CD140" s="131"/>
      <c r="CE140" s="131"/>
      <c r="CF140" s="136"/>
      <c r="CG140" s="136"/>
      <c r="CH140" s="131"/>
      <c r="CI140" s="131"/>
      <c r="CJ140" s="136"/>
      <c r="CK140" s="136"/>
      <c r="CL140" s="136"/>
      <c r="CM140" s="131"/>
      <c r="CN140" s="131"/>
      <c r="CO140" s="136"/>
      <c r="CP140" s="136"/>
      <c r="CQ140" s="131"/>
      <c r="CR140" s="131"/>
      <c r="CS140" s="131"/>
      <c r="CT140" s="131"/>
      <c r="CU140" s="131"/>
      <c r="CV140" s="131"/>
      <c r="CW140" s="131"/>
      <c r="CX140" s="131"/>
      <c r="CY140" s="136"/>
      <c r="CZ140" s="136"/>
      <c r="DA140" s="131"/>
      <c r="DB140" s="136"/>
      <c r="DC140" s="136"/>
      <c r="DD140" s="131"/>
      <c r="DE140" s="131"/>
      <c r="DF140" s="131"/>
      <c r="DG140" s="136"/>
      <c r="DH140" s="131"/>
      <c r="DI140" s="131"/>
      <c r="DJ140" s="136"/>
      <c r="DK140" s="136"/>
      <c r="DL140" s="136"/>
      <c r="DM140" s="136"/>
      <c r="DN140" s="136"/>
      <c r="DO140" s="136"/>
      <c r="DP140" s="136"/>
      <c r="DQ140" s="136"/>
      <c r="DR140" s="136"/>
      <c r="DS140" s="131"/>
      <c r="DT140" s="136"/>
      <c r="DU140" s="131"/>
      <c r="DV140" s="131"/>
      <c r="DW140" s="131"/>
      <c r="DX140" s="131"/>
      <c r="DY140" s="131"/>
      <c r="DZ140" s="136"/>
      <c r="EA140" s="131"/>
      <c r="EB140" s="131"/>
      <c r="EC140" s="131"/>
      <c r="ED140" s="131"/>
      <c r="EE140" s="137"/>
      <c r="EF140" s="227"/>
      <c r="EG140" s="227"/>
      <c r="EH140" s="228"/>
      <c r="EI140" s="228"/>
      <c r="EJ140" s="228"/>
      <c r="EK140" s="228"/>
    </row>
    <row r="141" spans="1:141">
      <c r="A141" s="132"/>
      <c r="B141" s="18"/>
      <c r="C141" s="18"/>
      <c r="D141" s="220"/>
      <c r="E141" s="130"/>
      <c r="F141" s="126"/>
      <c r="G141" s="18"/>
      <c r="H141" s="189"/>
      <c r="I141" s="18"/>
      <c r="J141" s="18"/>
      <c r="K141" s="189"/>
      <c r="L141" s="18"/>
      <c r="M141" s="129"/>
      <c r="N141" s="189"/>
      <c r="O141" s="132"/>
      <c r="P141" s="127"/>
      <c r="Q141" s="127"/>
      <c r="R141" s="128"/>
      <c r="S141" s="130"/>
      <c r="T141" s="135"/>
      <c r="U141" s="127"/>
      <c r="V141" s="217"/>
      <c r="W141" s="191"/>
      <c r="X141" s="133"/>
      <c r="Y141" s="131"/>
      <c r="Z141" s="131"/>
      <c r="AA141" s="242"/>
      <c r="AB141" s="131"/>
      <c r="AC141" s="131"/>
      <c r="AD141" s="131"/>
      <c r="AE141" s="131"/>
      <c r="AF141" s="131"/>
      <c r="AG141" s="131"/>
      <c r="AH141" s="131"/>
      <c r="AI141" s="131"/>
      <c r="AJ141" s="131"/>
      <c r="AK141" s="131"/>
      <c r="AL141" s="131"/>
      <c r="AM141" s="131"/>
      <c r="AN141" s="131"/>
      <c r="AO141" s="131"/>
      <c r="AP141" s="131"/>
      <c r="AQ141" s="243"/>
      <c r="AR141" s="131"/>
      <c r="AS141" s="131"/>
      <c r="AT141" s="131"/>
      <c r="AU141" s="131"/>
      <c r="AV141" s="131"/>
      <c r="AW141" s="131"/>
      <c r="AX141" s="131"/>
      <c r="AY141" s="131"/>
      <c r="AZ141" s="131"/>
      <c r="BA141" s="131"/>
      <c r="BB141" s="131"/>
      <c r="BC141" s="131"/>
      <c r="BD141" s="131"/>
      <c r="BE141" s="131"/>
      <c r="BF141" s="131"/>
      <c r="BG141" s="131"/>
      <c r="BH141" s="131"/>
      <c r="BI141" s="131"/>
      <c r="BJ141" s="131"/>
      <c r="BK141" s="131"/>
      <c r="BL141" s="131"/>
      <c r="BM141" s="131"/>
      <c r="BN141" s="131"/>
      <c r="BO141" s="136"/>
      <c r="BP141" s="131"/>
      <c r="BQ141" s="131"/>
      <c r="BR141" s="131"/>
      <c r="BS141" s="131"/>
      <c r="BT141" s="131"/>
      <c r="BU141" s="131"/>
      <c r="BV141" s="131"/>
      <c r="BW141" s="131"/>
      <c r="BX141" s="131"/>
      <c r="BY141" s="131"/>
      <c r="BZ141" s="131"/>
      <c r="CA141" s="131"/>
      <c r="CB141" s="131"/>
      <c r="CC141" s="131"/>
      <c r="CD141" s="131"/>
      <c r="CE141" s="131"/>
      <c r="CF141" s="136"/>
      <c r="CG141" s="136"/>
      <c r="CH141" s="131"/>
      <c r="CI141" s="131"/>
      <c r="CJ141" s="136"/>
      <c r="CK141" s="136"/>
      <c r="CL141" s="136"/>
      <c r="CM141" s="131"/>
      <c r="CN141" s="131"/>
      <c r="CO141" s="136"/>
      <c r="CP141" s="136"/>
      <c r="CQ141" s="131"/>
      <c r="CR141" s="131"/>
      <c r="CS141" s="131"/>
      <c r="CT141" s="131"/>
      <c r="CU141" s="131"/>
      <c r="CV141" s="131"/>
      <c r="CW141" s="131"/>
      <c r="CX141" s="131"/>
      <c r="CY141" s="136"/>
      <c r="CZ141" s="136"/>
      <c r="DA141" s="131"/>
      <c r="DB141" s="136"/>
      <c r="DC141" s="136"/>
      <c r="DD141" s="131"/>
      <c r="DE141" s="131"/>
      <c r="DF141" s="131"/>
      <c r="DG141" s="136"/>
      <c r="DH141" s="131"/>
      <c r="DI141" s="131"/>
      <c r="DJ141" s="136"/>
      <c r="DK141" s="136"/>
      <c r="DL141" s="136"/>
      <c r="DM141" s="136"/>
      <c r="DN141" s="136"/>
      <c r="DO141" s="136"/>
      <c r="DP141" s="136"/>
      <c r="DQ141" s="136"/>
      <c r="DR141" s="136"/>
      <c r="DS141" s="131"/>
      <c r="DT141" s="136"/>
      <c r="DU141" s="131"/>
      <c r="DV141" s="131"/>
      <c r="DW141" s="131"/>
      <c r="DX141" s="131"/>
      <c r="DY141" s="131"/>
      <c r="DZ141" s="136"/>
      <c r="EA141" s="131"/>
      <c r="EB141" s="131"/>
      <c r="EC141" s="131"/>
      <c r="ED141" s="131"/>
      <c r="EE141" s="137"/>
      <c r="EF141" s="227"/>
      <c r="EG141" s="227"/>
      <c r="EH141" s="228"/>
      <c r="EI141" s="228"/>
      <c r="EJ141" s="228"/>
      <c r="EK141" s="228"/>
    </row>
    <row r="142" spans="1:141">
      <c r="A142" s="132"/>
      <c r="B142" s="18"/>
      <c r="C142" s="18"/>
      <c r="D142" s="220"/>
      <c r="E142" s="130"/>
      <c r="F142" s="126"/>
      <c r="G142" s="18"/>
      <c r="H142" s="189"/>
      <c r="I142" s="18"/>
      <c r="J142" s="18"/>
      <c r="K142" s="189"/>
      <c r="L142" s="18"/>
      <c r="M142" s="129"/>
      <c r="N142" s="189"/>
      <c r="O142" s="132"/>
      <c r="P142" s="127"/>
      <c r="Q142" s="127"/>
      <c r="R142" s="128"/>
      <c r="S142" s="130"/>
      <c r="T142" s="135"/>
      <c r="U142" s="127"/>
      <c r="V142" s="217"/>
      <c r="W142" s="191"/>
      <c r="X142" s="133"/>
      <c r="Y142" s="131"/>
      <c r="Z142" s="131"/>
      <c r="AA142" s="242"/>
      <c r="AB142" s="131"/>
      <c r="AC142" s="131"/>
      <c r="AD142" s="131"/>
      <c r="AE142" s="131"/>
      <c r="AF142" s="131"/>
      <c r="AG142" s="131"/>
      <c r="AH142" s="131"/>
      <c r="AI142" s="131"/>
      <c r="AJ142" s="131"/>
      <c r="AK142" s="131"/>
      <c r="AL142" s="131"/>
      <c r="AM142" s="131"/>
      <c r="AN142" s="131"/>
      <c r="AO142" s="131"/>
      <c r="AP142" s="131"/>
      <c r="AQ142" s="243"/>
      <c r="AR142" s="131"/>
      <c r="AS142" s="131"/>
      <c r="AT142" s="131"/>
      <c r="AU142" s="131"/>
      <c r="AV142" s="131"/>
      <c r="AW142" s="131"/>
      <c r="AX142" s="131"/>
      <c r="AY142" s="131"/>
      <c r="AZ142" s="131"/>
      <c r="BA142" s="131"/>
      <c r="BB142" s="131"/>
      <c r="BC142" s="131"/>
      <c r="BD142" s="131"/>
      <c r="BE142" s="131"/>
      <c r="BF142" s="131"/>
      <c r="BG142" s="131"/>
      <c r="BH142" s="131"/>
      <c r="BI142" s="131"/>
      <c r="BJ142" s="131"/>
      <c r="BK142" s="131"/>
      <c r="BL142" s="131"/>
      <c r="BM142" s="131"/>
      <c r="BN142" s="131"/>
      <c r="BO142" s="136"/>
      <c r="BP142" s="131"/>
      <c r="BQ142" s="131"/>
      <c r="BR142" s="131"/>
      <c r="BS142" s="131"/>
      <c r="BT142" s="131"/>
      <c r="BU142" s="131"/>
      <c r="BV142" s="131"/>
      <c r="BW142" s="131"/>
      <c r="BX142" s="131"/>
      <c r="BY142" s="131"/>
      <c r="BZ142" s="131"/>
      <c r="CA142" s="131"/>
      <c r="CB142" s="131"/>
      <c r="CC142" s="131"/>
      <c r="CD142" s="131"/>
      <c r="CE142" s="131"/>
      <c r="CF142" s="136"/>
      <c r="CG142" s="136"/>
      <c r="CH142" s="131"/>
      <c r="CI142" s="131"/>
      <c r="CJ142" s="136"/>
      <c r="CK142" s="136"/>
      <c r="CL142" s="136"/>
      <c r="CM142" s="131"/>
      <c r="CN142" s="131"/>
      <c r="CO142" s="136"/>
      <c r="CP142" s="136"/>
      <c r="CQ142" s="131"/>
      <c r="CR142" s="131"/>
      <c r="CS142" s="131"/>
      <c r="CT142" s="131"/>
      <c r="CU142" s="131"/>
      <c r="CV142" s="131"/>
      <c r="CW142" s="131"/>
      <c r="CX142" s="131"/>
      <c r="CY142" s="136"/>
      <c r="CZ142" s="136"/>
      <c r="DA142" s="131"/>
      <c r="DB142" s="136"/>
      <c r="DC142" s="136"/>
      <c r="DD142" s="131"/>
      <c r="DE142" s="131"/>
      <c r="DF142" s="131"/>
      <c r="DG142" s="136"/>
      <c r="DH142" s="131"/>
      <c r="DI142" s="131"/>
      <c r="DJ142" s="136"/>
      <c r="DK142" s="136"/>
      <c r="DL142" s="136"/>
      <c r="DM142" s="136"/>
      <c r="DN142" s="136"/>
      <c r="DO142" s="136"/>
      <c r="DP142" s="136"/>
      <c r="DQ142" s="136"/>
      <c r="DR142" s="136"/>
      <c r="DS142" s="131"/>
      <c r="DT142" s="136"/>
      <c r="DU142" s="131"/>
      <c r="DV142" s="131"/>
      <c r="DW142" s="131"/>
      <c r="DX142" s="131"/>
      <c r="DY142" s="131"/>
      <c r="DZ142" s="136"/>
      <c r="EA142" s="131"/>
      <c r="EB142" s="131"/>
      <c r="EC142" s="131"/>
      <c r="ED142" s="131"/>
      <c r="EE142" s="137"/>
      <c r="EF142" s="227"/>
      <c r="EG142" s="227"/>
      <c r="EH142" s="228"/>
      <c r="EI142" s="228"/>
      <c r="EJ142" s="228"/>
      <c r="EK142" s="228"/>
    </row>
    <row r="143" spans="1:141">
      <c r="A143" s="132"/>
      <c r="B143" s="18"/>
      <c r="C143" s="18"/>
      <c r="D143" s="220"/>
      <c r="E143" s="130"/>
      <c r="F143" s="126"/>
      <c r="G143" s="18"/>
      <c r="H143" s="189"/>
      <c r="I143" s="18"/>
      <c r="J143" s="18"/>
      <c r="K143" s="189"/>
      <c r="L143" s="18"/>
      <c r="M143" s="129"/>
      <c r="N143" s="189"/>
      <c r="O143" s="132"/>
      <c r="P143" s="127"/>
      <c r="Q143" s="127"/>
      <c r="R143" s="128"/>
      <c r="S143" s="130"/>
      <c r="T143" s="135"/>
      <c r="U143" s="127"/>
      <c r="V143" s="217"/>
      <c r="W143" s="191"/>
      <c r="X143" s="133"/>
      <c r="Y143" s="131"/>
      <c r="Z143" s="131"/>
      <c r="AA143" s="242"/>
      <c r="AB143" s="131"/>
      <c r="AC143" s="131"/>
      <c r="AD143" s="131"/>
      <c r="AE143" s="131"/>
      <c r="AF143" s="131"/>
      <c r="AG143" s="131"/>
      <c r="AH143" s="131"/>
      <c r="AI143" s="131"/>
      <c r="AJ143" s="131"/>
      <c r="AK143" s="131"/>
      <c r="AL143" s="131"/>
      <c r="AM143" s="131"/>
      <c r="AN143" s="131"/>
      <c r="AO143" s="131"/>
      <c r="AP143" s="131"/>
      <c r="AQ143" s="243"/>
      <c r="AR143" s="131"/>
      <c r="AS143" s="131"/>
      <c r="AT143" s="131"/>
      <c r="AU143" s="131"/>
      <c r="AV143" s="131"/>
      <c r="AW143" s="131"/>
      <c r="AX143" s="131"/>
      <c r="AY143" s="131"/>
      <c r="AZ143" s="131"/>
      <c r="BA143" s="131"/>
      <c r="BB143" s="131"/>
      <c r="BC143" s="131"/>
      <c r="BD143" s="131"/>
      <c r="BE143" s="131"/>
      <c r="BF143" s="131"/>
      <c r="BG143" s="131"/>
      <c r="BH143" s="131"/>
      <c r="BI143" s="131"/>
      <c r="BJ143" s="131"/>
      <c r="BK143" s="131"/>
      <c r="BL143" s="131"/>
      <c r="BM143" s="131"/>
      <c r="BN143" s="131"/>
      <c r="BO143" s="136"/>
      <c r="BP143" s="131"/>
      <c r="BQ143" s="131"/>
      <c r="BR143" s="131"/>
      <c r="BS143" s="131"/>
      <c r="BT143" s="131"/>
      <c r="BU143" s="131"/>
      <c r="BV143" s="131"/>
      <c r="BW143" s="131"/>
      <c r="BX143" s="131"/>
      <c r="BY143" s="131"/>
      <c r="BZ143" s="131"/>
      <c r="CA143" s="131"/>
      <c r="CB143" s="131"/>
      <c r="CC143" s="131"/>
      <c r="CD143" s="131"/>
      <c r="CE143" s="131"/>
      <c r="CF143" s="136"/>
      <c r="CG143" s="136"/>
      <c r="CH143" s="131"/>
      <c r="CI143" s="131"/>
      <c r="CJ143" s="136"/>
      <c r="CK143" s="136"/>
      <c r="CL143" s="136"/>
      <c r="CM143" s="131"/>
      <c r="CN143" s="131"/>
      <c r="CO143" s="136"/>
      <c r="CP143" s="136"/>
      <c r="CQ143" s="131"/>
      <c r="CR143" s="131"/>
      <c r="CS143" s="131"/>
      <c r="CT143" s="131"/>
      <c r="CU143" s="131"/>
      <c r="CV143" s="131"/>
      <c r="CW143" s="131"/>
      <c r="CX143" s="131"/>
      <c r="CY143" s="136"/>
      <c r="CZ143" s="136"/>
      <c r="DA143" s="131"/>
      <c r="DB143" s="136"/>
      <c r="DC143" s="136"/>
      <c r="DD143" s="131"/>
      <c r="DE143" s="131"/>
      <c r="DF143" s="131"/>
      <c r="DG143" s="136"/>
      <c r="DH143" s="131"/>
      <c r="DI143" s="131"/>
      <c r="DJ143" s="136"/>
      <c r="DK143" s="136"/>
      <c r="DL143" s="136"/>
      <c r="DM143" s="136"/>
      <c r="DN143" s="136"/>
      <c r="DO143" s="136"/>
      <c r="DP143" s="136"/>
      <c r="DQ143" s="136"/>
      <c r="DR143" s="136"/>
      <c r="DS143" s="131"/>
      <c r="DT143" s="136"/>
      <c r="DU143" s="131"/>
      <c r="DV143" s="131"/>
      <c r="DW143" s="131"/>
      <c r="DX143" s="131"/>
      <c r="DY143" s="131"/>
      <c r="DZ143" s="136"/>
      <c r="EA143" s="131"/>
      <c r="EB143" s="131"/>
      <c r="EC143" s="131"/>
      <c r="ED143" s="131"/>
      <c r="EE143" s="137"/>
      <c r="EF143" s="227"/>
      <c r="EG143" s="227"/>
      <c r="EH143" s="228"/>
      <c r="EI143" s="228"/>
      <c r="EJ143" s="228"/>
      <c r="EK143" s="228"/>
    </row>
    <row r="144" spans="1:141">
      <c r="A144" s="132"/>
      <c r="B144" s="18"/>
      <c r="C144" s="18"/>
      <c r="D144" s="220"/>
      <c r="E144" s="130"/>
      <c r="F144" s="126"/>
      <c r="G144" s="18"/>
      <c r="H144" s="189"/>
      <c r="I144" s="18"/>
      <c r="J144" s="18"/>
      <c r="K144" s="189"/>
      <c r="L144" s="18"/>
      <c r="M144" s="129"/>
      <c r="N144" s="189"/>
      <c r="O144" s="132"/>
      <c r="P144" s="127"/>
      <c r="Q144" s="127"/>
      <c r="R144" s="128"/>
      <c r="S144" s="130"/>
      <c r="T144" s="135"/>
      <c r="U144" s="127"/>
      <c r="V144" s="217"/>
      <c r="W144" s="191"/>
      <c r="X144" s="133"/>
      <c r="Y144" s="131"/>
      <c r="Z144" s="131"/>
      <c r="AA144" s="242"/>
      <c r="AB144" s="131"/>
      <c r="AC144" s="131"/>
      <c r="AD144" s="131"/>
      <c r="AE144" s="131"/>
      <c r="AF144" s="131"/>
      <c r="AG144" s="131"/>
      <c r="AH144" s="131"/>
      <c r="AI144" s="131"/>
      <c r="AJ144" s="131"/>
      <c r="AK144" s="131"/>
      <c r="AL144" s="131"/>
      <c r="AM144" s="131"/>
      <c r="AN144" s="131"/>
      <c r="AO144" s="131"/>
      <c r="AP144" s="131"/>
      <c r="AQ144" s="243"/>
      <c r="AR144" s="131"/>
      <c r="AS144" s="131"/>
      <c r="AT144" s="131"/>
      <c r="AU144" s="131"/>
      <c r="AV144" s="131"/>
      <c r="AW144" s="131"/>
      <c r="AX144" s="131"/>
      <c r="AY144" s="131"/>
      <c r="AZ144" s="131"/>
      <c r="BA144" s="131"/>
      <c r="BB144" s="131"/>
      <c r="BC144" s="131"/>
      <c r="BD144" s="131"/>
      <c r="BE144" s="131"/>
      <c r="BF144" s="131"/>
      <c r="BG144" s="131"/>
      <c r="BH144" s="131"/>
      <c r="BI144" s="131"/>
      <c r="BJ144" s="131"/>
      <c r="BK144" s="131"/>
      <c r="BL144" s="131"/>
      <c r="BM144" s="131"/>
      <c r="BN144" s="131"/>
      <c r="BO144" s="136"/>
      <c r="BP144" s="131"/>
      <c r="BQ144" s="131"/>
      <c r="BR144" s="131"/>
      <c r="BS144" s="131"/>
      <c r="BT144" s="131"/>
      <c r="BU144" s="131"/>
      <c r="BV144" s="131"/>
      <c r="BW144" s="131"/>
      <c r="BX144" s="131"/>
      <c r="BY144" s="131"/>
      <c r="BZ144" s="131"/>
      <c r="CA144" s="131"/>
      <c r="CB144" s="131"/>
      <c r="CC144" s="131"/>
      <c r="CD144" s="131"/>
      <c r="CE144" s="131"/>
      <c r="CF144" s="136"/>
      <c r="CG144" s="136"/>
      <c r="CH144" s="131"/>
      <c r="CI144" s="131"/>
      <c r="CJ144" s="136"/>
      <c r="CK144" s="136"/>
      <c r="CL144" s="136"/>
      <c r="CM144" s="131"/>
      <c r="CN144" s="131"/>
      <c r="CO144" s="136"/>
      <c r="CP144" s="136"/>
      <c r="CQ144" s="131"/>
      <c r="CR144" s="131"/>
      <c r="CS144" s="131"/>
      <c r="CT144" s="131"/>
      <c r="CU144" s="131"/>
      <c r="CV144" s="131"/>
      <c r="CW144" s="131"/>
      <c r="CX144" s="131"/>
      <c r="CY144" s="136"/>
      <c r="CZ144" s="136"/>
      <c r="DA144" s="131"/>
      <c r="DB144" s="136"/>
      <c r="DC144" s="136"/>
      <c r="DD144" s="131"/>
      <c r="DE144" s="131"/>
      <c r="DF144" s="131"/>
      <c r="DG144" s="136"/>
      <c r="DH144" s="131"/>
      <c r="DI144" s="131"/>
      <c r="DJ144" s="136"/>
      <c r="DK144" s="136"/>
      <c r="DL144" s="136"/>
      <c r="DM144" s="136"/>
      <c r="DN144" s="136"/>
      <c r="DO144" s="136"/>
      <c r="DP144" s="136"/>
      <c r="DQ144" s="136"/>
      <c r="DR144" s="136"/>
      <c r="DS144" s="131"/>
      <c r="DT144" s="136"/>
      <c r="DU144" s="131"/>
      <c r="DV144" s="131"/>
      <c r="DW144" s="131"/>
      <c r="DX144" s="131"/>
      <c r="DY144" s="131"/>
      <c r="DZ144" s="136"/>
      <c r="EA144" s="131"/>
      <c r="EB144" s="131"/>
      <c r="EC144" s="131"/>
      <c r="ED144" s="131"/>
      <c r="EE144" s="137"/>
      <c r="EF144" s="227"/>
      <c r="EG144" s="227"/>
      <c r="EH144" s="228"/>
      <c r="EI144" s="228"/>
      <c r="EJ144" s="228"/>
      <c r="EK144" s="228"/>
    </row>
    <row r="145" spans="1:141">
      <c r="A145" s="132"/>
      <c r="B145" s="18"/>
      <c r="C145" s="18"/>
      <c r="D145" s="220"/>
      <c r="E145" s="130"/>
      <c r="F145" s="126"/>
      <c r="G145" s="18"/>
      <c r="H145" s="189"/>
      <c r="I145" s="18"/>
      <c r="J145" s="18"/>
      <c r="K145" s="189"/>
      <c r="L145" s="18"/>
      <c r="M145" s="129"/>
      <c r="N145" s="189"/>
      <c r="O145" s="132"/>
      <c r="P145" s="127"/>
      <c r="Q145" s="127"/>
      <c r="R145" s="128"/>
      <c r="S145" s="130"/>
      <c r="T145" s="135"/>
      <c r="U145" s="127"/>
      <c r="V145" s="217"/>
      <c r="W145" s="191"/>
      <c r="X145" s="133"/>
      <c r="Y145" s="131"/>
      <c r="Z145" s="131"/>
      <c r="AA145" s="242"/>
      <c r="AB145" s="131"/>
      <c r="AC145" s="131"/>
      <c r="AD145" s="131"/>
      <c r="AE145" s="131"/>
      <c r="AF145" s="131"/>
      <c r="AG145" s="131"/>
      <c r="AH145" s="131"/>
      <c r="AI145" s="131"/>
      <c r="AJ145" s="131"/>
      <c r="AK145" s="131"/>
      <c r="AL145" s="131"/>
      <c r="AM145" s="131"/>
      <c r="AN145" s="131"/>
      <c r="AO145" s="131"/>
      <c r="AP145" s="131"/>
      <c r="AQ145" s="243"/>
      <c r="AR145" s="131"/>
      <c r="AS145" s="131"/>
      <c r="AT145" s="131"/>
      <c r="AU145" s="131"/>
      <c r="AV145" s="131"/>
      <c r="AW145" s="131"/>
      <c r="AX145" s="131"/>
      <c r="AY145" s="131"/>
      <c r="AZ145" s="131"/>
      <c r="BA145" s="131"/>
      <c r="BB145" s="131"/>
      <c r="BC145" s="131"/>
      <c r="BD145" s="131"/>
      <c r="BE145" s="131"/>
      <c r="BF145" s="131"/>
      <c r="BG145" s="131"/>
      <c r="BH145" s="131"/>
      <c r="BI145" s="131"/>
      <c r="BJ145" s="131"/>
      <c r="BK145" s="131"/>
      <c r="BL145" s="131"/>
      <c r="BM145" s="131"/>
      <c r="BN145" s="131"/>
      <c r="BO145" s="136"/>
      <c r="BP145" s="131"/>
      <c r="BQ145" s="131"/>
      <c r="BR145" s="131"/>
      <c r="BS145" s="131"/>
      <c r="BT145" s="131"/>
      <c r="BU145" s="131"/>
      <c r="BV145" s="131"/>
      <c r="BW145" s="131"/>
      <c r="BX145" s="131"/>
      <c r="BY145" s="131"/>
      <c r="BZ145" s="131"/>
      <c r="CA145" s="131"/>
      <c r="CB145" s="131"/>
      <c r="CC145" s="131"/>
      <c r="CD145" s="131"/>
      <c r="CE145" s="131"/>
      <c r="CF145" s="136"/>
      <c r="CG145" s="136"/>
      <c r="CH145" s="131"/>
      <c r="CI145" s="131"/>
      <c r="CJ145" s="136"/>
      <c r="CK145" s="136"/>
      <c r="CL145" s="136"/>
      <c r="CM145" s="131"/>
      <c r="CN145" s="131"/>
      <c r="CO145" s="136"/>
      <c r="CP145" s="136"/>
      <c r="CQ145" s="131"/>
      <c r="CR145" s="131"/>
      <c r="CS145" s="131"/>
      <c r="CT145" s="131"/>
      <c r="CU145" s="131"/>
      <c r="CV145" s="131"/>
      <c r="CW145" s="131"/>
      <c r="CX145" s="131"/>
      <c r="CY145" s="136"/>
      <c r="CZ145" s="136"/>
      <c r="DA145" s="131"/>
      <c r="DB145" s="136"/>
      <c r="DC145" s="136"/>
      <c r="DD145" s="131"/>
      <c r="DE145" s="131"/>
      <c r="DF145" s="131"/>
      <c r="DG145" s="136"/>
      <c r="DH145" s="131"/>
      <c r="DI145" s="131"/>
      <c r="DJ145" s="136"/>
      <c r="DK145" s="136"/>
      <c r="DL145" s="136"/>
      <c r="DM145" s="136"/>
      <c r="DN145" s="136"/>
      <c r="DO145" s="136"/>
      <c r="DP145" s="136"/>
      <c r="DQ145" s="136"/>
      <c r="DR145" s="136"/>
      <c r="DS145" s="131"/>
      <c r="DT145" s="136"/>
      <c r="DU145" s="131"/>
      <c r="DV145" s="131"/>
      <c r="DW145" s="131"/>
      <c r="DX145" s="131"/>
      <c r="DY145" s="131"/>
      <c r="DZ145" s="136"/>
      <c r="EA145" s="131"/>
      <c r="EB145" s="131"/>
      <c r="EC145" s="131"/>
      <c r="ED145" s="131"/>
      <c r="EE145" s="137"/>
      <c r="EF145" s="227"/>
      <c r="EG145" s="227"/>
      <c r="EH145" s="228"/>
      <c r="EI145" s="228"/>
      <c r="EJ145" s="228"/>
      <c r="EK145" s="228"/>
    </row>
    <row r="146" spans="1:141">
      <c r="A146" s="132"/>
      <c r="B146" s="18"/>
      <c r="C146" s="18"/>
      <c r="D146" s="220"/>
      <c r="E146" s="130"/>
      <c r="F146" s="126"/>
      <c r="G146" s="18"/>
      <c r="H146" s="189"/>
      <c r="I146" s="18"/>
      <c r="J146" s="18"/>
      <c r="K146" s="189"/>
      <c r="L146" s="18"/>
      <c r="M146" s="129"/>
      <c r="N146" s="189"/>
      <c r="O146" s="132"/>
      <c r="P146" s="127"/>
      <c r="Q146" s="127"/>
      <c r="R146" s="128"/>
      <c r="S146" s="130"/>
      <c r="T146" s="135"/>
      <c r="U146" s="127"/>
      <c r="V146" s="217"/>
      <c r="W146" s="191"/>
      <c r="X146" s="133"/>
      <c r="Y146" s="131"/>
      <c r="Z146" s="131"/>
      <c r="AA146" s="242"/>
      <c r="AB146" s="131"/>
      <c r="AC146" s="131"/>
      <c r="AD146" s="131"/>
      <c r="AE146" s="131"/>
      <c r="AF146" s="131"/>
      <c r="AG146" s="131"/>
      <c r="AH146" s="131"/>
      <c r="AI146" s="131"/>
      <c r="AJ146" s="131"/>
      <c r="AK146" s="131"/>
      <c r="AL146" s="131"/>
      <c r="AM146" s="131"/>
      <c r="AN146" s="131"/>
      <c r="AO146" s="131"/>
      <c r="AP146" s="131"/>
      <c r="AQ146" s="243"/>
      <c r="AR146" s="131"/>
      <c r="AS146" s="131"/>
      <c r="AT146" s="131"/>
      <c r="AU146" s="131"/>
      <c r="AV146" s="131"/>
      <c r="AW146" s="131"/>
      <c r="AX146" s="131"/>
      <c r="AY146" s="131"/>
      <c r="AZ146" s="131"/>
      <c r="BA146" s="131"/>
      <c r="BB146" s="131"/>
      <c r="BC146" s="131"/>
      <c r="BD146" s="131"/>
      <c r="BE146" s="131"/>
      <c r="BF146" s="131"/>
      <c r="BG146" s="131"/>
      <c r="BH146" s="131"/>
      <c r="BI146" s="131"/>
      <c r="BJ146" s="131"/>
      <c r="BK146" s="131"/>
      <c r="BL146" s="131"/>
      <c r="BM146" s="131"/>
      <c r="BN146" s="131"/>
      <c r="BO146" s="136"/>
      <c r="BP146" s="131"/>
      <c r="BQ146" s="131"/>
      <c r="BR146" s="131"/>
      <c r="BS146" s="131"/>
      <c r="BT146" s="131"/>
      <c r="BU146" s="131"/>
      <c r="BV146" s="131"/>
      <c r="BW146" s="131"/>
      <c r="BX146" s="131"/>
      <c r="BY146" s="131"/>
      <c r="BZ146" s="131"/>
      <c r="CA146" s="131"/>
      <c r="CB146" s="131"/>
      <c r="CC146" s="131"/>
      <c r="CD146" s="131"/>
      <c r="CE146" s="131"/>
      <c r="CF146" s="136"/>
      <c r="CG146" s="136"/>
      <c r="CH146" s="131"/>
      <c r="CI146" s="131"/>
      <c r="CJ146" s="136"/>
      <c r="CK146" s="136"/>
      <c r="CL146" s="136"/>
      <c r="CM146" s="131"/>
      <c r="CN146" s="131"/>
      <c r="CO146" s="136"/>
      <c r="CP146" s="136"/>
      <c r="CQ146" s="131"/>
      <c r="CR146" s="131"/>
      <c r="CS146" s="131"/>
      <c r="CT146" s="131"/>
      <c r="CU146" s="131"/>
      <c r="CV146" s="131"/>
      <c r="CW146" s="131"/>
      <c r="CX146" s="131"/>
      <c r="CY146" s="136"/>
      <c r="CZ146" s="136"/>
      <c r="DA146" s="131"/>
      <c r="DB146" s="136"/>
      <c r="DC146" s="136"/>
      <c r="DD146" s="131"/>
      <c r="DE146" s="131"/>
      <c r="DF146" s="131"/>
      <c r="DG146" s="136"/>
      <c r="DH146" s="131"/>
      <c r="DI146" s="131"/>
      <c r="DJ146" s="136"/>
      <c r="DK146" s="136"/>
      <c r="DL146" s="136"/>
      <c r="DM146" s="136"/>
      <c r="DN146" s="136"/>
      <c r="DO146" s="136"/>
      <c r="DP146" s="136"/>
      <c r="DQ146" s="136"/>
      <c r="DR146" s="136"/>
      <c r="DS146" s="131"/>
      <c r="DT146" s="136"/>
      <c r="DU146" s="131"/>
      <c r="DV146" s="131"/>
      <c r="DW146" s="131"/>
      <c r="DX146" s="131"/>
      <c r="DY146" s="131"/>
      <c r="DZ146" s="136"/>
      <c r="EA146" s="131"/>
      <c r="EB146" s="131"/>
      <c r="EC146" s="131"/>
      <c r="ED146" s="131"/>
      <c r="EE146" s="137"/>
      <c r="EF146" s="227"/>
      <c r="EG146" s="227"/>
      <c r="EH146" s="228"/>
      <c r="EI146" s="228"/>
      <c r="EJ146" s="228"/>
      <c r="EK146" s="228"/>
    </row>
    <row r="147" spans="1:141">
      <c r="A147" s="132"/>
      <c r="B147" s="18"/>
      <c r="C147" s="18"/>
      <c r="D147" s="220"/>
      <c r="E147" s="130"/>
      <c r="F147" s="126"/>
      <c r="G147" s="18"/>
      <c r="H147" s="189"/>
      <c r="I147" s="18"/>
      <c r="J147" s="18"/>
      <c r="K147" s="189"/>
      <c r="L147" s="18"/>
      <c r="M147" s="129"/>
      <c r="N147" s="189"/>
      <c r="O147" s="132"/>
      <c r="P147" s="127"/>
      <c r="Q147" s="127"/>
      <c r="R147" s="128"/>
      <c r="S147" s="130"/>
      <c r="T147" s="135"/>
      <c r="U147" s="127"/>
      <c r="V147" s="217"/>
      <c r="W147" s="191"/>
      <c r="X147" s="133"/>
      <c r="Y147" s="131"/>
      <c r="Z147" s="131"/>
      <c r="AA147" s="242"/>
      <c r="AB147" s="131"/>
      <c r="AC147" s="131"/>
      <c r="AD147" s="131"/>
      <c r="AE147" s="131"/>
      <c r="AF147" s="131"/>
      <c r="AG147" s="131"/>
      <c r="AH147" s="131"/>
      <c r="AI147" s="131"/>
      <c r="AJ147" s="131"/>
      <c r="AK147" s="131"/>
      <c r="AL147" s="131"/>
      <c r="AM147" s="131"/>
      <c r="AN147" s="131"/>
      <c r="AO147" s="131"/>
      <c r="AP147" s="131"/>
      <c r="AQ147" s="243"/>
      <c r="AR147" s="131"/>
      <c r="AS147" s="131"/>
      <c r="AT147" s="131"/>
      <c r="AU147" s="131"/>
      <c r="AV147" s="131"/>
      <c r="AW147" s="131"/>
      <c r="AX147" s="131"/>
      <c r="AY147" s="131"/>
      <c r="AZ147" s="131"/>
      <c r="BA147" s="131"/>
      <c r="BB147" s="131"/>
      <c r="BC147" s="131"/>
      <c r="BD147" s="131"/>
      <c r="BE147" s="131"/>
      <c r="BF147" s="131"/>
      <c r="BG147" s="131"/>
      <c r="BH147" s="131"/>
      <c r="BI147" s="131"/>
      <c r="BJ147" s="131"/>
      <c r="BK147" s="131"/>
      <c r="BL147" s="131"/>
      <c r="BM147" s="131"/>
      <c r="BN147" s="131"/>
      <c r="BO147" s="136"/>
      <c r="BP147" s="131"/>
      <c r="BQ147" s="131"/>
      <c r="BR147" s="131"/>
      <c r="BS147" s="131"/>
      <c r="BT147" s="131"/>
      <c r="BU147" s="131"/>
      <c r="BV147" s="131"/>
      <c r="BW147" s="131"/>
      <c r="BX147" s="131"/>
      <c r="BY147" s="131"/>
      <c r="BZ147" s="131"/>
      <c r="CA147" s="131"/>
      <c r="CB147" s="131"/>
      <c r="CC147" s="131"/>
      <c r="CD147" s="131"/>
      <c r="CE147" s="131"/>
      <c r="CF147" s="136"/>
      <c r="CG147" s="136"/>
      <c r="CH147" s="131"/>
      <c r="CI147" s="131"/>
      <c r="CJ147" s="136"/>
      <c r="CK147" s="136"/>
      <c r="CL147" s="136"/>
      <c r="CM147" s="131"/>
      <c r="CN147" s="131"/>
      <c r="CO147" s="136"/>
      <c r="CP147" s="136"/>
      <c r="CQ147" s="131"/>
      <c r="CR147" s="131"/>
      <c r="CS147" s="131"/>
      <c r="CT147" s="131"/>
      <c r="CU147" s="131"/>
      <c r="CV147" s="131"/>
      <c r="CW147" s="131"/>
      <c r="CX147" s="131"/>
      <c r="CY147" s="136"/>
      <c r="CZ147" s="136"/>
      <c r="DA147" s="131"/>
      <c r="DB147" s="136"/>
      <c r="DC147" s="136"/>
      <c r="DD147" s="131"/>
      <c r="DE147" s="131"/>
      <c r="DF147" s="131"/>
      <c r="DG147" s="136"/>
      <c r="DH147" s="131"/>
      <c r="DI147" s="131"/>
      <c r="DJ147" s="136"/>
      <c r="DK147" s="136"/>
      <c r="DL147" s="136"/>
      <c r="DM147" s="136"/>
      <c r="DN147" s="136"/>
      <c r="DO147" s="136"/>
      <c r="DP147" s="136"/>
      <c r="DQ147" s="136"/>
      <c r="DR147" s="136"/>
      <c r="DS147" s="131"/>
      <c r="DT147" s="136"/>
      <c r="DU147" s="131"/>
      <c r="DV147" s="131"/>
      <c r="DW147" s="131"/>
      <c r="DX147" s="131"/>
      <c r="DY147" s="131"/>
      <c r="DZ147" s="136"/>
      <c r="EA147" s="131"/>
      <c r="EB147" s="131"/>
      <c r="EC147" s="131"/>
      <c r="ED147" s="131"/>
      <c r="EE147" s="137"/>
      <c r="EF147" s="227"/>
      <c r="EG147" s="227"/>
      <c r="EH147" s="228"/>
      <c r="EI147" s="228"/>
      <c r="EJ147" s="228"/>
      <c r="EK147" s="228"/>
    </row>
    <row r="148" spans="1:141">
      <c r="A148" s="132"/>
      <c r="B148" s="18"/>
      <c r="C148" s="18"/>
      <c r="D148" s="220"/>
      <c r="E148" s="130"/>
      <c r="F148" s="126"/>
      <c r="G148" s="18"/>
      <c r="H148" s="189"/>
      <c r="I148" s="18"/>
      <c r="J148" s="18"/>
      <c r="K148" s="189"/>
      <c r="L148" s="18"/>
      <c r="M148" s="129"/>
      <c r="N148" s="189"/>
      <c r="O148" s="132"/>
      <c r="P148" s="127"/>
      <c r="Q148" s="127"/>
      <c r="R148" s="128"/>
      <c r="S148" s="130"/>
      <c r="T148" s="135"/>
      <c r="U148" s="127"/>
      <c r="V148" s="217"/>
      <c r="W148" s="191"/>
      <c r="X148" s="133"/>
      <c r="Y148" s="131"/>
      <c r="Z148" s="131"/>
      <c r="AA148" s="242"/>
      <c r="AB148" s="131"/>
      <c r="AC148" s="131"/>
      <c r="AD148" s="131"/>
      <c r="AE148" s="131"/>
      <c r="AF148" s="131"/>
      <c r="AG148" s="131"/>
      <c r="AH148" s="131"/>
      <c r="AI148" s="131"/>
      <c r="AJ148" s="131"/>
      <c r="AK148" s="131"/>
      <c r="AL148" s="131"/>
      <c r="AM148" s="131"/>
      <c r="AN148" s="131"/>
      <c r="AO148" s="131"/>
      <c r="AP148" s="131"/>
      <c r="AQ148" s="243"/>
      <c r="AR148" s="131"/>
      <c r="AS148" s="131"/>
      <c r="AT148" s="131"/>
      <c r="AU148" s="131"/>
      <c r="AV148" s="131"/>
      <c r="AW148" s="131"/>
      <c r="AX148" s="131"/>
      <c r="AY148" s="131"/>
      <c r="AZ148" s="131"/>
      <c r="BA148" s="131"/>
      <c r="BB148" s="131"/>
      <c r="BC148" s="131"/>
      <c r="BD148" s="131"/>
      <c r="BE148" s="131"/>
      <c r="BF148" s="131"/>
      <c r="BG148" s="131"/>
      <c r="BH148" s="131"/>
      <c r="BI148" s="131"/>
      <c r="BJ148" s="131"/>
      <c r="BK148" s="131"/>
      <c r="BL148" s="131"/>
      <c r="BM148" s="131"/>
      <c r="BN148" s="131"/>
      <c r="BO148" s="136"/>
      <c r="BP148" s="131"/>
      <c r="BQ148" s="131"/>
      <c r="BR148" s="131"/>
      <c r="BS148" s="131"/>
      <c r="BT148" s="131"/>
      <c r="BU148" s="131"/>
      <c r="BV148" s="131"/>
      <c r="BW148" s="131"/>
      <c r="BX148" s="131"/>
      <c r="BY148" s="131"/>
      <c r="BZ148" s="131"/>
      <c r="CA148" s="131"/>
      <c r="CB148" s="131"/>
      <c r="CC148" s="131"/>
      <c r="CD148" s="131"/>
      <c r="CE148" s="131"/>
      <c r="CF148" s="136"/>
      <c r="CG148" s="136"/>
      <c r="CH148" s="131"/>
      <c r="CI148" s="131"/>
      <c r="CJ148" s="136"/>
      <c r="CK148" s="136"/>
      <c r="CL148" s="136"/>
      <c r="CM148" s="131"/>
      <c r="CN148" s="131"/>
      <c r="CO148" s="136"/>
      <c r="CP148" s="136"/>
      <c r="CQ148" s="131"/>
      <c r="CR148" s="131"/>
      <c r="CS148" s="131"/>
      <c r="CT148" s="131"/>
      <c r="CU148" s="131"/>
      <c r="CV148" s="131"/>
      <c r="CW148" s="131"/>
      <c r="CX148" s="131"/>
      <c r="CY148" s="136"/>
      <c r="CZ148" s="136"/>
      <c r="DA148" s="131"/>
      <c r="DB148" s="136"/>
      <c r="DC148" s="136"/>
      <c r="DD148" s="131"/>
      <c r="DE148" s="131"/>
      <c r="DF148" s="131"/>
      <c r="DG148" s="136"/>
      <c r="DH148" s="131"/>
      <c r="DI148" s="131"/>
      <c r="DJ148" s="136"/>
      <c r="DK148" s="136"/>
      <c r="DL148" s="136"/>
      <c r="DM148" s="136"/>
      <c r="DN148" s="136"/>
      <c r="DO148" s="136"/>
      <c r="DP148" s="136"/>
      <c r="DQ148" s="136"/>
      <c r="DR148" s="136"/>
      <c r="DS148" s="131"/>
      <c r="DT148" s="136"/>
      <c r="DU148" s="131"/>
      <c r="DV148" s="131"/>
      <c r="DW148" s="131"/>
      <c r="DX148" s="131"/>
      <c r="DY148" s="131"/>
      <c r="DZ148" s="136"/>
      <c r="EA148" s="131"/>
      <c r="EB148" s="131"/>
      <c r="EC148" s="131"/>
      <c r="ED148" s="131"/>
      <c r="EE148" s="137"/>
      <c r="EF148" s="227"/>
      <c r="EG148" s="227"/>
      <c r="EH148" s="228"/>
      <c r="EI148" s="228"/>
      <c r="EJ148" s="228"/>
      <c r="EK148" s="228"/>
    </row>
    <row r="149" spans="1:141">
      <c r="A149" s="132"/>
      <c r="B149" s="18"/>
      <c r="C149" s="18"/>
      <c r="D149" s="220"/>
      <c r="E149" s="130"/>
      <c r="F149" s="126"/>
      <c r="G149" s="18"/>
      <c r="H149" s="189"/>
      <c r="I149" s="18"/>
      <c r="J149" s="18"/>
      <c r="K149" s="189"/>
      <c r="L149" s="18"/>
      <c r="M149" s="129"/>
      <c r="N149" s="189"/>
      <c r="O149" s="132"/>
      <c r="P149" s="127"/>
      <c r="Q149" s="127"/>
      <c r="R149" s="128"/>
      <c r="S149" s="130"/>
      <c r="T149" s="135"/>
      <c r="U149" s="127"/>
      <c r="V149" s="217"/>
      <c r="W149" s="191"/>
      <c r="X149" s="133"/>
      <c r="Y149" s="131"/>
      <c r="Z149" s="131"/>
      <c r="AA149" s="242"/>
      <c r="AB149" s="131"/>
      <c r="AC149" s="131"/>
      <c r="AD149" s="131"/>
      <c r="AE149" s="131"/>
      <c r="AF149" s="131"/>
      <c r="AG149" s="131"/>
      <c r="AH149" s="131"/>
      <c r="AI149" s="131"/>
      <c r="AJ149" s="131"/>
      <c r="AK149" s="131"/>
      <c r="AL149" s="131"/>
      <c r="AM149" s="131"/>
      <c r="AN149" s="131"/>
      <c r="AO149" s="131"/>
      <c r="AP149" s="131"/>
      <c r="AQ149" s="243"/>
      <c r="AR149" s="131"/>
      <c r="AS149" s="131"/>
      <c r="AT149" s="131"/>
      <c r="AU149" s="131"/>
      <c r="AV149" s="131"/>
      <c r="AW149" s="131"/>
      <c r="AX149" s="131"/>
      <c r="AY149" s="131"/>
      <c r="AZ149" s="131"/>
      <c r="BA149" s="131"/>
      <c r="BB149" s="131"/>
      <c r="BC149" s="131"/>
      <c r="BD149" s="131"/>
      <c r="BE149" s="131"/>
      <c r="BF149" s="131"/>
      <c r="BG149" s="131"/>
      <c r="BH149" s="131"/>
      <c r="BI149" s="131"/>
      <c r="BJ149" s="131"/>
      <c r="BK149" s="131"/>
      <c r="BL149" s="131"/>
      <c r="BM149" s="131"/>
      <c r="BN149" s="131"/>
      <c r="BO149" s="136"/>
      <c r="BP149" s="131"/>
      <c r="BQ149" s="131"/>
      <c r="BR149" s="131"/>
      <c r="BS149" s="131"/>
      <c r="BT149" s="131"/>
      <c r="BU149" s="131"/>
      <c r="BV149" s="131"/>
      <c r="BW149" s="131"/>
      <c r="BX149" s="131"/>
      <c r="BY149" s="131"/>
      <c r="BZ149" s="131"/>
      <c r="CA149" s="131"/>
      <c r="CB149" s="131"/>
      <c r="CC149" s="131"/>
      <c r="CD149" s="131"/>
      <c r="CE149" s="131"/>
      <c r="CF149" s="136"/>
      <c r="CG149" s="136"/>
      <c r="CH149" s="131"/>
      <c r="CI149" s="131"/>
      <c r="CJ149" s="136"/>
      <c r="CK149" s="136"/>
      <c r="CL149" s="136"/>
      <c r="CM149" s="131"/>
      <c r="CN149" s="131"/>
      <c r="CO149" s="136"/>
      <c r="CP149" s="136"/>
      <c r="CQ149" s="131"/>
      <c r="CR149" s="131"/>
      <c r="CS149" s="131"/>
      <c r="CT149" s="131"/>
      <c r="CU149" s="131"/>
      <c r="CV149" s="131"/>
      <c r="CW149" s="131"/>
      <c r="CX149" s="131"/>
      <c r="CY149" s="136"/>
      <c r="CZ149" s="136"/>
      <c r="DA149" s="131"/>
      <c r="DB149" s="136"/>
      <c r="DC149" s="136"/>
      <c r="DD149" s="131"/>
      <c r="DE149" s="131"/>
      <c r="DF149" s="131"/>
      <c r="DG149" s="136"/>
      <c r="DH149" s="131"/>
      <c r="DI149" s="131"/>
      <c r="DJ149" s="136"/>
      <c r="DK149" s="136"/>
      <c r="DL149" s="136"/>
      <c r="DM149" s="136"/>
      <c r="DN149" s="136"/>
      <c r="DO149" s="136"/>
      <c r="DP149" s="136"/>
      <c r="DQ149" s="136"/>
      <c r="DR149" s="136"/>
      <c r="DS149" s="131"/>
      <c r="DT149" s="136"/>
      <c r="DU149" s="131"/>
      <c r="DV149" s="131"/>
      <c r="DW149" s="131"/>
      <c r="DX149" s="131"/>
      <c r="DY149" s="131"/>
      <c r="DZ149" s="136"/>
      <c r="EA149" s="131"/>
      <c r="EB149" s="131"/>
      <c r="EC149" s="131"/>
      <c r="ED149" s="131"/>
      <c r="EE149" s="137"/>
      <c r="EF149" s="227"/>
      <c r="EG149" s="227"/>
      <c r="EH149" s="228"/>
      <c r="EI149" s="228"/>
      <c r="EJ149" s="228"/>
      <c r="EK149" s="228"/>
    </row>
    <row r="150" spans="1:141">
      <c r="A150" s="132"/>
      <c r="B150" s="18"/>
      <c r="C150" s="18"/>
      <c r="D150" s="220"/>
      <c r="E150" s="130"/>
      <c r="F150" s="126"/>
      <c r="G150" s="18"/>
      <c r="H150" s="189"/>
      <c r="I150" s="18"/>
      <c r="J150" s="18"/>
      <c r="K150" s="189"/>
      <c r="L150" s="18"/>
      <c r="M150" s="129"/>
      <c r="N150" s="189"/>
      <c r="O150" s="132"/>
      <c r="P150" s="127"/>
      <c r="Q150" s="127"/>
      <c r="R150" s="128"/>
      <c r="S150" s="130"/>
      <c r="T150" s="135"/>
      <c r="U150" s="127"/>
      <c r="V150" s="217"/>
      <c r="W150" s="191"/>
      <c r="X150" s="133"/>
      <c r="Y150" s="131"/>
      <c r="Z150" s="131"/>
      <c r="AA150" s="242"/>
      <c r="AB150" s="131"/>
      <c r="AC150" s="131"/>
      <c r="AD150" s="131"/>
      <c r="AE150" s="131"/>
      <c r="AF150" s="131"/>
      <c r="AG150" s="131"/>
      <c r="AH150" s="131"/>
      <c r="AI150" s="131"/>
      <c r="AJ150" s="131"/>
      <c r="AK150" s="131"/>
      <c r="AL150" s="131"/>
      <c r="AM150" s="131"/>
      <c r="AN150" s="131"/>
      <c r="AO150" s="131"/>
      <c r="AP150" s="131"/>
      <c r="AQ150" s="243"/>
      <c r="AR150" s="131"/>
      <c r="AS150" s="131"/>
      <c r="AT150" s="131"/>
      <c r="AU150" s="131"/>
      <c r="AV150" s="131"/>
      <c r="AW150" s="131"/>
      <c r="AX150" s="131"/>
      <c r="AY150" s="131"/>
      <c r="AZ150" s="131"/>
      <c r="BA150" s="131"/>
      <c r="BB150" s="131"/>
      <c r="BC150" s="131"/>
      <c r="BD150" s="131"/>
      <c r="BE150" s="131"/>
      <c r="BF150" s="131"/>
      <c r="BG150" s="131"/>
      <c r="BH150" s="131"/>
      <c r="BI150" s="131"/>
      <c r="BJ150" s="131"/>
      <c r="BK150" s="131"/>
      <c r="BL150" s="131"/>
      <c r="BM150" s="131"/>
      <c r="BN150" s="131"/>
      <c r="BO150" s="136"/>
      <c r="BP150" s="131"/>
      <c r="BQ150" s="131"/>
      <c r="BR150" s="131"/>
      <c r="BS150" s="131"/>
      <c r="BT150" s="131"/>
      <c r="BU150" s="131"/>
      <c r="BV150" s="131"/>
      <c r="BW150" s="131"/>
      <c r="BX150" s="131"/>
      <c r="BY150" s="131"/>
      <c r="BZ150" s="131"/>
      <c r="CA150" s="131"/>
      <c r="CB150" s="131"/>
      <c r="CC150" s="131"/>
      <c r="CD150" s="131"/>
      <c r="CE150" s="131"/>
      <c r="CF150" s="136"/>
      <c r="CG150" s="136"/>
      <c r="CH150" s="131"/>
      <c r="CI150" s="131"/>
      <c r="CJ150" s="136"/>
      <c r="CK150" s="136"/>
      <c r="CL150" s="136"/>
      <c r="CM150" s="131"/>
      <c r="CN150" s="131"/>
      <c r="CO150" s="136"/>
      <c r="CP150" s="136"/>
      <c r="CQ150" s="131"/>
      <c r="CR150" s="131"/>
      <c r="CS150" s="131"/>
      <c r="CT150" s="131"/>
      <c r="CU150" s="131"/>
      <c r="CV150" s="131"/>
      <c r="CW150" s="131"/>
      <c r="CX150" s="131"/>
      <c r="CY150" s="136"/>
      <c r="CZ150" s="136"/>
      <c r="DA150" s="131"/>
      <c r="DB150" s="136"/>
      <c r="DC150" s="136"/>
      <c r="DD150" s="131"/>
      <c r="DE150" s="131"/>
      <c r="DF150" s="131"/>
      <c r="DG150" s="136"/>
      <c r="DH150" s="131"/>
      <c r="DI150" s="131"/>
      <c r="DJ150" s="136"/>
      <c r="DK150" s="136"/>
      <c r="DL150" s="136"/>
      <c r="DM150" s="136"/>
      <c r="DN150" s="136"/>
      <c r="DO150" s="136"/>
      <c r="DP150" s="136"/>
      <c r="DQ150" s="136"/>
      <c r="DR150" s="136"/>
      <c r="DS150" s="131"/>
      <c r="DT150" s="136"/>
      <c r="DU150" s="131"/>
      <c r="DV150" s="131"/>
      <c r="DW150" s="131"/>
      <c r="DX150" s="131"/>
      <c r="DY150" s="131"/>
      <c r="DZ150" s="136"/>
      <c r="EA150" s="131"/>
      <c r="EB150" s="131"/>
      <c r="EC150" s="131"/>
      <c r="ED150" s="131"/>
      <c r="EE150" s="137"/>
      <c r="EF150" s="227"/>
      <c r="EG150" s="227"/>
      <c r="EH150" s="228"/>
      <c r="EI150" s="228"/>
      <c r="EJ150" s="228"/>
      <c r="EK150" s="228"/>
    </row>
    <row r="151" spans="1:141">
      <c r="A151" s="132"/>
      <c r="B151" s="18"/>
      <c r="C151" s="18"/>
      <c r="D151" s="220"/>
      <c r="E151" s="130"/>
      <c r="F151" s="126"/>
      <c r="G151" s="18"/>
      <c r="H151" s="189"/>
      <c r="I151" s="18"/>
      <c r="J151" s="18"/>
      <c r="K151" s="189"/>
      <c r="L151" s="18"/>
      <c r="M151" s="129"/>
      <c r="N151" s="189"/>
      <c r="O151" s="132"/>
      <c r="P151" s="127"/>
      <c r="Q151" s="127"/>
      <c r="R151" s="128"/>
      <c r="S151" s="130"/>
      <c r="T151" s="135"/>
      <c r="U151" s="127"/>
      <c r="V151" s="217"/>
      <c r="W151" s="191"/>
      <c r="X151" s="133"/>
      <c r="Y151" s="131"/>
      <c r="Z151" s="131"/>
      <c r="AA151" s="242"/>
      <c r="AB151" s="131"/>
      <c r="AC151" s="131"/>
      <c r="AD151" s="131"/>
      <c r="AE151" s="131"/>
      <c r="AF151" s="131"/>
      <c r="AG151" s="131"/>
      <c r="AH151" s="131"/>
      <c r="AI151" s="131"/>
      <c r="AJ151" s="131"/>
      <c r="AK151" s="131"/>
      <c r="AL151" s="131"/>
      <c r="AM151" s="131"/>
      <c r="AN151" s="131"/>
      <c r="AO151" s="131"/>
      <c r="AP151" s="131"/>
      <c r="AQ151" s="243"/>
      <c r="AR151" s="131"/>
      <c r="AS151" s="131"/>
      <c r="AT151" s="131"/>
      <c r="AU151" s="131"/>
      <c r="AV151" s="131"/>
      <c r="AW151" s="131"/>
      <c r="AX151" s="131"/>
      <c r="AY151" s="131"/>
      <c r="AZ151" s="131"/>
      <c r="BA151" s="131"/>
      <c r="BB151" s="131"/>
      <c r="BC151" s="131"/>
      <c r="BD151" s="131"/>
      <c r="BE151" s="131"/>
      <c r="BF151" s="131"/>
      <c r="BG151" s="131"/>
      <c r="BH151" s="131"/>
      <c r="BI151" s="131"/>
      <c r="BJ151" s="131"/>
      <c r="BK151" s="131"/>
      <c r="BL151" s="131"/>
      <c r="BM151" s="131"/>
      <c r="BN151" s="131"/>
      <c r="BO151" s="136"/>
      <c r="BP151" s="131"/>
      <c r="BQ151" s="131"/>
      <c r="BR151" s="131"/>
      <c r="BS151" s="131"/>
      <c r="BT151" s="131"/>
      <c r="BU151" s="131"/>
      <c r="BV151" s="131"/>
      <c r="BW151" s="131"/>
      <c r="BX151" s="131"/>
      <c r="BY151" s="131"/>
      <c r="BZ151" s="131"/>
      <c r="CA151" s="131"/>
      <c r="CB151" s="131"/>
      <c r="CC151" s="131"/>
      <c r="CD151" s="131"/>
      <c r="CE151" s="131"/>
      <c r="CF151" s="136"/>
      <c r="CG151" s="136"/>
      <c r="CH151" s="131"/>
      <c r="CI151" s="131"/>
      <c r="CJ151" s="136"/>
      <c r="CK151" s="136"/>
      <c r="CL151" s="136"/>
      <c r="CM151" s="131"/>
      <c r="CN151" s="131"/>
      <c r="CO151" s="136"/>
      <c r="CP151" s="136"/>
      <c r="CQ151" s="131"/>
      <c r="CR151" s="131"/>
      <c r="CS151" s="131"/>
      <c r="CT151" s="131"/>
      <c r="CU151" s="131"/>
      <c r="CV151" s="131"/>
      <c r="CW151" s="131"/>
      <c r="CX151" s="131"/>
      <c r="CY151" s="136"/>
      <c r="CZ151" s="136"/>
      <c r="DA151" s="131"/>
      <c r="DB151" s="136"/>
      <c r="DC151" s="136"/>
      <c r="DD151" s="131"/>
      <c r="DE151" s="131"/>
      <c r="DF151" s="131"/>
      <c r="DG151" s="136"/>
      <c r="DH151" s="131"/>
      <c r="DI151" s="131"/>
      <c r="DJ151" s="136"/>
      <c r="DK151" s="136"/>
      <c r="DL151" s="136"/>
      <c r="DM151" s="136"/>
      <c r="DN151" s="136"/>
      <c r="DO151" s="136"/>
      <c r="DP151" s="136"/>
      <c r="DQ151" s="136"/>
      <c r="DR151" s="136"/>
      <c r="DS151" s="131"/>
      <c r="DT151" s="136"/>
      <c r="DU151" s="131"/>
      <c r="DV151" s="131"/>
      <c r="DW151" s="131"/>
      <c r="DX151" s="131"/>
      <c r="DY151" s="131"/>
      <c r="DZ151" s="136"/>
      <c r="EA151" s="131"/>
      <c r="EB151" s="131"/>
      <c r="EC151" s="131"/>
      <c r="ED151" s="131"/>
      <c r="EE151" s="137"/>
      <c r="EF151" s="227"/>
      <c r="EG151" s="227"/>
      <c r="EH151" s="228"/>
      <c r="EI151" s="228"/>
      <c r="EJ151" s="228"/>
      <c r="EK151" s="228"/>
    </row>
    <row r="152" spans="1:141">
      <c r="A152" s="132"/>
      <c r="B152" s="18"/>
      <c r="C152" s="18"/>
      <c r="D152" s="220"/>
      <c r="E152" s="130"/>
      <c r="F152" s="126"/>
      <c r="G152" s="18"/>
      <c r="H152" s="189"/>
      <c r="I152" s="18"/>
      <c r="J152" s="18"/>
      <c r="K152" s="189"/>
      <c r="L152" s="18"/>
      <c r="M152" s="129"/>
      <c r="N152" s="189"/>
      <c r="O152" s="132"/>
      <c r="P152" s="127"/>
      <c r="Q152" s="127"/>
      <c r="R152" s="128"/>
      <c r="S152" s="130"/>
      <c r="T152" s="135"/>
      <c r="U152" s="127"/>
      <c r="V152" s="217"/>
      <c r="W152" s="191"/>
      <c r="X152" s="133"/>
      <c r="Y152" s="131"/>
      <c r="Z152" s="131"/>
      <c r="AA152" s="242"/>
      <c r="AB152" s="131"/>
      <c r="AC152" s="131"/>
      <c r="AD152" s="131"/>
      <c r="AE152" s="131"/>
      <c r="AF152" s="131"/>
      <c r="AG152" s="131"/>
      <c r="AH152" s="131"/>
      <c r="AI152" s="131"/>
      <c r="AJ152" s="131"/>
      <c r="AK152" s="131"/>
      <c r="AL152" s="131"/>
      <c r="AM152" s="131"/>
      <c r="AN152" s="131"/>
      <c r="AO152" s="131"/>
      <c r="AP152" s="131"/>
      <c r="AQ152" s="243"/>
      <c r="AR152" s="131"/>
      <c r="AS152" s="131"/>
      <c r="AT152" s="131"/>
      <c r="AU152" s="131"/>
      <c r="AV152" s="131"/>
      <c r="AW152" s="131"/>
      <c r="AX152" s="131"/>
      <c r="AY152" s="131"/>
      <c r="AZ152" s="131"/>
      <c r="BA152" s="131"/>
      <c r="BB152" s="131"/>
      <c r="BC152" s="131"/>
      <c r="BD152" s="131"/>
      <c r="BE152" s="131"/>
      <c r="BF152" s="131"/>
      <c r="BG152" s="131"/>
      <c r="BH152" s="131"/>
      <c r="BI152" s="131"/>
      <c r="BJ152" s="131"/>
      <c r="BK152" s="131"/>
      <c r="BL152" s="131"/>
      <c r="BM152" s="131"/>
      <c r="BN152" s="131"/>
      <c r="BO152" s="136"/>
      <c r="BP152" s="131"/>
      <c r="BQ152" s="131"/>
      <c r="BR152" s="131"/>
      <c r="BS152" s="131"/>
      <c r="BT152" s="131"/>
      <c r="BU152" s="131"/>
      <c r="BV152" s="131"/>
      <c r="BW152" s="131"/>
      <c r="BX152" s="131"/>
      <c r="BY152" s="131"/>
      <c r="BZ152" s="131"/>
      <c r="CA152" s="131"/>
      <c r="CB152" s="131"/>
      <c r="CC152" s="131"/>
      <c r="CD152" s="131"/>
      <c r="CE152" s="131"/>
      <c r="CF152" s="136"/>
      <c r="CG152" s="136"/>
      <c r="CH152" s="131"/>
      <c r="CI152" s="131"/>
      <c r="CJ152" s="136"/>
      <c r="CK152" s="136"/>
      <c r="CL152" s="136"/>
      <c r="CM152" s="131"/>
      <c r="CN152" s="131"/>
      <c r="CO152" s="136"/>
      <c r="CP152" s="136"/>
      <c r="CQ152" s="131"/>
      <c r="CR152" s="131"/>
      <c r="CS152" s="131"/>
      <c r="CT152" s="131"/>
      <c r="CU152" s="131"/>
      <c r="CV152" s="131"/>
      <c r="CW152" s="131"/>
      <c r="CX152" s="131"/>
      <c r="CY152" s="136"/>
      <c r="CZ152" s="136"/>
      <c r="DA152" s="131"/>
      <c r="DB152" s="136"/>
      <c r="DC152" s="136"/>
      <c r="DD152" s="131"/>
      <c r="DE152" s="131"/>
      <c r="DF152" s="131"/>
      <c r="DG152" s="136"/>
      <c r="DH152" s="131"/>
      <c r="DI152" s="131"/>
      <c r="DJ152" s="136"/>
      <c r="DK152" s="136"/>
      <c r="DL152" s="136"/>
      <c r="DM152" s="136"/>
      <c r="DN152" s="136"/>
      <c r="DO152" s="136"/>
      <c r="DP152" s="136"/>
      <c r="DQ152" s="136"/>
      <c r="DR152" s="136"/>
      <c r="DS152" s="131"/>
      <c r="DT152" s="136"/>
      <c r="DU152" s="131"/>
      <c r="DV152" s="131"/>
      <c r="DW152" s="131"/>
      <c r="DX152" s="131"/>
      <c r="DY152" s="131"/>
      <c r="DZ152" s="136"/>
      <c r="EA152" s="131"/>
      <c r="EB152" s="131"/>
      <c r="EC152" s="131"/>
      <c r="ED152" s="131"/>
      <c r="EE152" s="137"/>
      <c r="EF152" s="227"/>
      <c r="EG152" s="227"/>
      <c r="EH152" s="228"/>
      <c r="EI152" s="228"/>
      <c r="EJ152" s="228"/>
      <c r="EK152" s="228"/>
    </row>
    <row r="153" spans="1:141">
      <c r="A153" s="132"/>
      <c r="B153" s="18"/>
      <c r="C153" s="18"/>
      <c r="D153" s="220"/>
      <c r="E153" s="130"/>
      <c r="F153" s="126"/>
      <c r="G153" s="18"/>
      <c r="H153" s="189"/>
      <c r="I153" s="18"/>
      <c r="J153" s="18"/>
      <c r="K153" s="189"/>
      <c r="L153" s="18"/>
      <c r="M153" s="129"/>
      <c r="N153" s="189"/>
      <c r="O153" s="132"/>
      <c r="P153" s="127"/>
      <c r="Q153" s="127"/>
      <c r="R153" s="128"/>
      <c r="S153" s="130"/>
      <c r="T153" s="135"/>
      <c r="U153" s="127"/>
      <c r="V153" s="217"/>
      <c r="W153" s="191"/>
      <c r="X153" s="133"/>
      <c r="Y153" s="131"/>
      <c r="Z153" s="131"/>
      <c r="AA153" s="242"/>
      <c r="AB153" s="131"/>
      <c r="AC153" s="131"/>
      <c r="AD153" s="131"/>
      <c r="AE153" s="131"/>
      <c r="AF153" s="131"/>
      <c r="AG153" s="131"/>
      <c r="AH153" s="131"/>
      <c r="AI153" s="131"/>
      <c r="AJ153" s="131"/>
      <c r="AK153" s="131"/>
      <c r="AL153" s="131"/>
      <c r="AM153" s="131"/>
      <c r="AN153" s="131"/>
      <c r="AO153" s="131"/>
      <c r="AP153" s="131"/>
      <c r="AQ153" s="243"/>
      <c r="AR153" s="131"/>
      <c r="AS153" s="131"/>
      <c r="AT153" s="131"/>
      <c r="AU153" s="131"/>
      <c r="AV153" s="131"/>
      <c r="AW153" s="131"/>
      <c r="AX153" s="131"/>
      <c r="AY153" s="131"/>
      <c r="AZ153" s="131"/>
      <c r="BA153" s="131"/>
      <c r="BB153" s="131"/>
      <c r="BC153" s="131"/>
      <c r="BD153" s="131"/>
      <c r="BE153" s="131"/>
      <c r="BF153" s="131"/>
      <c r="BG153" s="131"/>
      <c r="BH153" s="131"/>
      <c r="BI153" s="131"/>
      <c r="BJ153" s="131"/>
      <c r="BK153" s="131"/>
      <c r="BL153" s="131"/>
      <c r="BM153" s="131"/>
      <c r="BN153" s="131"/>
      <c r="BO153" s="136"/>
      <c r="BP153" s="131"/>
      <c r="BQ153" s="131"/>
      <c r="BR153" s="131"/>
      <c r="BS153" s="131"/>
      <c r="BT153" s="131"/>
      <c r="BU153" s="131"/>
      <c r="BV153" s="131"/>
      <c r="BW153" s="131"/>
      <c r="BX153" s="131"/>
      <c r="BY153" s="131"/>
      <c r="BZ153" s="131"/>
      <c r="CA153" s="131"/>
      <c r="CB153" s="131"/>
      <c r="CC153" s="131"/>
      <c r="CD153" s="131"/>
      <c r="CE153" s="131"/>
      <c r="CF153" s="136"/>
      <c r="CG153" s="136"/>
      <c r="CH153" s="131"/>
      <c r="CI153" s="131"/>
      <c r="CJ153" s="136"/>
      <c r="CK153" s="136"/>
      <c r="CL153" s="136"/>
      <c r="CM153" s="131"/>
      <c r="CN153" s="131"/>
      <c r="CO153" s="136"/>
      <c r="CP153" s="136"/>
      <c r="CQ153" s="131"/>
      <c r="CR153" s="131"/>
      <c r="CS153" s="131"/>
      <c r="CT153" s="131"/>
      <c r="CU153" s="131"/>
      <c r="CV153" s="131"/>
      <c r="CW153" s="131"/>
      <c r="CX153" s="131"/>
      <c r="CY153" s="136"/>
      <c r="CZ153" s="136"/>
      <c r="DA153" s="131"/>
      <c r="DB153" s="136"/>
      <c r="DC153" s="136"/>
      <c r="DD153" s="131"/>
      <c r="DE153" s="131"/>
      <c r="DF153" s="131"/>
      <c r="DG153" s="136"/>
      <c r="DH153" s="131"/>
      <c r="DI153" s="131"/>
      <c r="DJ153" s="136"/>
      <c r="DK153" s="136"/>
      <c r="DL153" s="136"/>
      <c r="DM153" s="136"/>
      <c r="DN153" s="136"/>
      <c r="DO153" s="136"/>
      <c r="DP153" s="136"/>
      <c r="DQ153" s="136"/>
      <c r="DR153" s="136"/>
      <c r="DS153" s="131"/>
      <c r="DT153" s="136"/>
      <c r="DU153" s="131"/>
      <c r="DV153" s="131"/>
      <c r="DW153" s="131"/>
      <c r="DX153" s="131"/>
      <c r="DY153" s="131"/>
      <c r="DZ153" s="136"/>
      <c r="EA153" s="131"/>
      <c r="EB153" s="131"/>
      <c r="EC153" s="131"/>
      <c r="ED153" s="131"/>
      <c r="EE153" s="137"/>
      <c r="EF153" s="227"/>
      <c r="EG153" s="227"/>
      <c r="EH153" s="228"/>
      <c r="EI153" s="228"/>
      <c r="EJ153" s="228"/>
      <c r="EK153" s="228"/>
    </row>
    <row r="154" spans="1:141">
      <c r="A154" s="132"/>
      <c r="B154" s="18"/>
      <c r="C154" s="18"/>
      <c r="D154" s="220"/>
      <c r="E154" s="130"/>
      <c r="F154" s="126"/>
      <c r="G154" s="18"/>
      <c r="H154" s="189"/>
      <c r="I154" s="18"/>
      <c r="J154" s="18"/>
      <c r="K154" s="189"/>
      <c r="L154" s="18"/>
      <c r="M154" s="129"/>
      <c r="N154" s="189"/>
      <c r="O154" s="132"/>
      <c r="P154" s="127"/>
      <c r="Q154" s="127"/>
      <c r="R154" s="128"/>
      <c r="S154" s="130"/>
      <c r="T154" s="135"/>
      <c r="U154" s="127"/>
      <c r="V154" s="217"/>
      <c r="W154" s="191"/>
      <c r="X154" s="133"/>
      <c r="Y154" s="131"/>
      <c r="Z154" s="131"/>
      <c r="AA154" s="242"/>
      <c r="AB154" s="131"/>
      <c r="AC154" s="131"/>
      <c r="AD154" s="131"/>
      <c r="AE154" s="131"/>
      <c r="AF154" s="131"/>
      <c r="AG154" s="131"/>
      <c r="AH154" s="131"/>
      <c r="AI154" s="131"/>
      <c r="AJ154" s="131"/>
      <c r="AK154" s="131"/>
      <c r="AL154" s="131"/>
      <c r="AM154" s="131"/>
      <c r="AN154" s="131"/>
      <c r="AO154" s="131"/>
      <c r="AP154" s="131"/>
      <c r="AQ154" s="243"/>
      <c r="AR154" s="131"/>
      <c r="AS154" s="131"/>
      <c r="AT154" s="131"/>
      <c r="AU154" s="131"/>
      <c r="AV154" s="131"/>
      <c r="AW154" s="131"/>
      <c r="AX154" s="131"/>
      <c r="AY154" s="131"/>
      <c r="AZ154" s="131"/>
      <c r="BA154" s="131"/>
      <c r="BB154" s="131"/>
      <c r="BC154" s="131"/>
      <c r="BD154" s="131"/>
      <c r="BE154" s="131"/>
      <c r="BF154" s="131"/>
      <c r="BG154" s="131"/>
      <c r="BH154" s="131"/>
      <c r="BI154" s="131"/>
      <c r="BJ154" s="131"/>
      <c r="BK154" s="131"/>
      <c r="BL154" s="131"/>
      <c r="BM154" s="131"/>
      <c r="BN154" s="131"/>
      <c r="BO154" s="136"/>
      <c r="BP154" s="131"/>
      <c r="BQ154" s="131"/>
      <c r="BR154" s="131"/>
      <c r="BS154" s="131"/>
      <c r="BT154" s="131"/>
      <c r="BU154" s="131"/>
      <c r="BV154" s="131"/>
      <c r="BW154" s="131"/>
      <c r="BX154" s="131"/>
      <c r="BY154" s="131"/>
      <c r="BZ154" s="131"/>
      <c r="CA154" s="131"/>
      <c r="CB154" s="131"/>
      <c r="CC154" s="131"/>
      <c r="CD154" s="131"/>
      <c r="CE154" s="131"/>
      <c r="CF154" s="136"/>
      <c r="CG154" s="136"/>
      <c r="CH154" s="131"/>
      <c r="CI154" s="131"/>
      <c r="CJ154" s="136"/>
      <c r="CK154" s="136"/>
      <c r="CL154" s="136"/>
      <c r="CM154" s="131"/>
      <c r="CN154" s="131"/>
      <c r="CO154" s="136"/>
      <c r="CP154" s="136"/>
      <c r="CQ154" s="131"/>
      <c r="CR154" s="131"/>
      <c r="CS154" s="131"/>
      <c r="CT154" s="131"/>
      <c r="CU154" s="131"/>
      <c r="CV154" s="131"/>
      <c r="CW154" s="131"/>
      <c r="CX154" s="131"/>
      <c r="CY154" s="136"/>
      <c r="CZ154" s="136"/>
      <c r="DA154" s="131"/>
      <c r="DB154" s="136"/>
      <c r="DC154" s="136"/>
      <c r="DD154" s="131"/>
      <c r="DE154" s="131"/>
      <c r="DF154" s="131"/>
      <c r="DG154" s="136"/>
      <c r="DH154" s="131"/>
      <c r="DI154" s="131"/>
      <c r="DJ154" s="136"/>
      <c r="DK154" s="136"/>
      <c r="DL154" s="136"/>
      <c r="DM154" s="136"/>
      <c r="DN154" s="136"/>
      <c r="DO154" s="136"/>
      <c r="DP154" s="136"/>
      <c r="DQ154" s="136"/>
      <c r="DR154" s="136"/>
      <c r="DS154" s="131"/>
      <c r="DT154" s="136"/>
      <c r="DU154" s="131"/>
      <c r="DV154" s="131"/>
      <c r="DW154" s="131"/>
      <c r="DX154" s="131"/>
      <c r="DY154" s="131"/>
      <c r="DZ154" s="136"/>
      <c r="EA154" s="131"/>
      <c r="EB154" s="131"/>
      <c r="EC154" s="131"/>
      <c r="ED154" s="131"/>
      <c r="EE154" s="137"/>
      <c r="EF154" s="227"/>
      <c r="EG154" s="227"/>
      <c r="EH154" s="228"/>
      <c r="EI154" s="228"/>
      <c r="EJ154" s="228"/>
      <c r="EK154" s="228"/>
    </row>
    <row r="155" spans="1:141">
      <c r="A155" s="132"/>
      <c r="B155" s="18"/>
      <c r="C155" s="18"/>
      <c r="D155" s="220"/>
      <c r="E155" s="130"/>
      <c r="F155" s="126"/>
      <c r="G155" s="18"/>
      <c r="H155" s="189"/>
      <c r="I155" s="18"/>
      <c r="J155" s="18"/>
      <c r="K155" s="189"/>
      <c r="L155" s="18"/>
      <c r="M155" s="129"/>
      <c r="N155" s="189"/>
      <c r="O155" s="132"/>
      <c r="P155" s="127"/>
      <c r="Q155" s="127"/>
      <c r="R155" s="128"/>
      <c r="S155" s="130"/>
      <c r="T155" s="135"/>
      <c r="U155" s="127"/>
      <c r="V155" s="217"/>
      <c r="W155" s="191"/>
      <c r="X155" s="133"/>
      <c r="Y155" s="131"/>
      <c r="Z155" s="131"/>
      <c r="AA155" s="242"/>
      <c r="AB155" s="131"/>
      <c r="AC155" s="131"/>
      <c r="AD155" s="131"/>
      <c r="AE155" s="131"/>
      <c r="AF155" s="131"/>
      <c r="AG155" s="131"/>
      <c r="AH155" s="131"/>
      <c r="AI155" s="131"/>
      <c r="AJ155" s="131"/>
      <c r="AK155" s="131"/>
      <c r="AL155" s="131"/>
      <c r="AM155" s="131"/>
      <c r="AN155" s="131"/>
      <c r="AO155" s="131"/>
      <c r="AP155" s="131"/>
      <c r="AQ155" s="243"/>
      <c r="AR155" s="131"/>
      <c r="AS155" s="131"/>
      <c r="AT155" s="131"/>
      <c r="AU155" s="131"/>
      <c r="AV155" s="131"/>
      <c r="AW155" s="131"/>
      <c r="AX155" s="131"/>
      <c r="AY155" s="131"/>
      <c r="AZ155" s="131"/>
      <c r="BA155" s="131"/>
      <c r="BB155" s="131"/>
      <c r="BC155" s="131"/>
      <c r="BD155" s="131"/>
      <c r="BE155" s="131"/>
      <c r="BF155" s="131"/>
      <c r="BG155" s="131"/>
      <c r="BH155" s="131"/>
      <c r="BI155" s="131"/>
      <c r="BJ155" s="131"/>
      <c r="BK155" s="131"/>
      <c r="BL155" s="131"/>
      <c r="BM155" s="131"/>
      <c r="BN155" s="131"/>
      <c r="BO155" s="136"/>
      <c r="BP155" s="131"/>
      <c r="BQ155" s="131"/>
      <c r="BR155" s="131"/>
      <c r="BS155" s="131"/>
      <c r="BT155" s="131"/>
      <c r="BU155" s="131"/>
      <c r="BV155" s="131"/>
      <c r="BW155" s="131"/>
      <c r="BX155" s="131"/>
      <c r="BY155" s="131"/>
      <c r="BZ155" s="131"/>
      <c r="CA155" s="131"/>
      <c r="CB155" s="131"/>
      <c r="CC155" s="131"/>
      <c r="CD155" s="131"/>
      <c r="CE155" s="131"/>
      <c r="CF155" s="136"/>
      <c r="CG155" s="136"/>
      <c r="CH155" s="131"/>
      <c r="CI155" s="131"/>
      <c r="CJ155" s="136"/>
      <c r="CK155" s="136"/>
      <c r="CL155" s="136"/>
      <c r="CM155" s="131"/>
      <c r="CN155" s="131"/>
      <c r="CO155" s="136"/>
      <c r="CP155" s="136"/>
      <c r="CQ155" s="131"/>
      <c r="CR155" s="131"/>
      <c r="CS155" s="131"/>
      <c r="CT155" s="131"/>
      <c r="CU155" s="131"/>
      <c r="CV155" s="131"/>
      <c r="CW155" s="131"/>
      <c r="CX155" s="131"/>
      <c r="CY155" s="136"/>
      <c r="CZ155" s="136"/>
      <c r="DA155" s="131"/>
      <c r="DB155" s="136"/>
      <c r="DC155" s="136"/>
      <c r="DD155" s="131"/>
      <c r="DE155" s="131"/>
      <c r="DF155" s="131"/>
      <c r="DG155" s="136"/>
      <c r="DH155" s="131"/>
      <c r="DI155" s="131"/>
      <c r="DJ155" s="136"/>
      <c r="DK155" s="136"/>
      <c r="DL155" s="136"/>
      <c r="DM155" s="136"/>
      <c r="DN155" s="136"/>
      <c r="DO155" s="136"/>
      <c r="DP155" s="136"/>
      <c r="DQ155" s="136"/>
      <c r="DR155" s="136"/>
      <c r="DS155" s="131"/>
      <c r="DT155" s="136"/>
      <c r="DU155" s="131"/>
      <c r="DV155" s="131"/>
      <c r="DW155" s="131"/>
      <c r="DX155" s="131"/>
      <c r="DY155" s="131"/>
      <c r="DZ155" s="136"/>
      <c r="EA155" s="131"/>
      <c r="EB155" s="131"/>
      <c r="EC155" s="131"/>
      <c r="ED155" s="131"/>
      <c r="EE155" s="137"/>
      <c r="EF155" s="227"/>
      <c r="EG155" s="227"/>
      <c r="EH155" s="228"/>
      <c r="EI155" s="228"/>
      <c r="EJ155" s="228"/>
      <c r="EK155" s="228"/>
    </row>
    <row r="156" spans="1:141">
      <c r="A156" s="132"/>
      <c r="B156" s="18"/>
      <c r="C156" s="18"/>
      <c r="D156" s="220"/>
      <c r="E156" s="130"/>
      <c r="F156" s="126"/>
      <c r="G156" s="18"/>
      <c r="H156" s="189"/>
      <c r="I156" s="18"/>
      <c r="J156" s="18"/>
      <c r="K156" s="189"/>
      <c r="L156" s="18"/>
      <c r="M156" s="129"/>
      <c r="N156" s="189"/>
      <c r="O156" s="132"/>
      <c r="P156" s="127"/>
      <c r="Q156" s="127"/>
      <c r="R156" s="128"/>
      <c r="S156" s="130"/>
      <c r="T156" s="135"/>
      <c r="U156" s="127"/>
      <c r="V156" s="217"/>
      <c r="W156" s="191"/>
      <c r="X156" s="133"/>
      <c r="Y156" s="131"/>
      <c r="Z156" s="131"/>
      <c r="AA156" s="242"/>
      <c r="AB156" s="131"/>
      <c r="AC156" s="131"/>
      <c r="AD156" s="131"/>
      <c r="AE156" s="131"/>
      <c r="AF156" s="131"/>
      <c r="AG156" s="131"/>
      <c r="AH156" s="131"/>
      <c r="AI156" s="131"/>
      <c r="AJ156" s="131"/>
      <c r="AK156" s="131"/>
      <c r="AL156" s="131"/>
      <c r="AM156" s="131"/>
      <c r="AN156" s="131"/>
      <c r="AO156" s="131"/>
      <c r="AP156" s="131"/>
      <c r="AQ156" s="243"/>
      <c r="AR156" s="131"/>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6"/>
      <c r="BP156" s="131"/>
      <c r="BQ156" s="131"/>
      <c r="BR156" s="131"/>
      <c r="BS156" s="131"/>
      <c r="BT156" s="131"/>
      <c r="BU156" s="131"/>
      <c r="BV156" s="131"/>
      <c r="BW156" s="131"/>
      <c r="BX156" s="131"/>
      <c r="BY156" s="131"/>
      <c r="BZ156" s="131"/>
      <c r="CA156" s="131"/>
      <c r="CB156" s="131"/>
      <c r="CC156" s="131"/>
      <c r="CD156" s="131"/>
      <c r="CE156" s="131"/>
      <c r="CF156" s="136"/>
      <c r="CG156" s="136"/>
      <c r="CH156" s="131"/>
      <c r="CI156" s="131"/>
      <c r="CJ156" s="136"/>
      <c r="CK156" s="136"/>
      <c r="CL156" s="136"/>
      <c r="CM156" s="131"/>
      <c r="CN156" s="131"/>
      <c r="CO156" s="136"/>
      <c r="CP156" s="136"/>
      <c r="CQ156" s="131"/>
      <c r="CR156" s="131"/>
      <c r="CS156" s="131"/>
      <c r="CT156" s="131"/>
      <c r="CU156" s="131"/>
      <c r="CV156" s="131"/>
      <c r="CW156" s="131"/>
      <c r="CX156" s="131"/>
      <c r="CY156" s="136"/>
      <c r="CZ156" s="136"/>
      <c r="DA156" s="131"/>
      <c r="DB156" s="136"/>
      <c r="DC156" s="136"/>
      <c r="DD156" s="131"/>
      <c r="DE156" s="131"/>
      <c r="DF156" s="131"/>
      <c r="DG156" s="136"/>
      <c r="DH156" s="131"/>
      <c r="DI156" s="131"/>
      <c r="DJ156" s="136"/>
      <c r="DK156" s="136"/>
      <c r="DL156" s="136"/>
      <c r="DM156" s="136"/>
      <c r="DN156" s="136"/>
      <c r="DO156" s="136"/>
      <c r="DP156" s="136"/>
      <c r="DQ156" s="136"/>
      <c r="DR156" s="136"/>
      <c r="DS156" s="131"/>
      <c r="DT156" s="136"/>
      <c r="DU156" s="131"/>
      <c r="DV156" s="131"/>
      <c r="DW156" s="131"/>
      <c r="DX156" s="131"/>
      <c r="DY156" s="131"/>
      <c r="DZ156" s="136"/>
      <c r="EA156" s="131"/>
      <c r="EB156" s="131"/>
      <c r="EC156" s="131"/>
      <c r="ED156" s="131"/>
      <c r="EE156" s="137"/>
      <c r="EF156" s="227"/>
      <c r="EG156" s="227"/>
      <c r="EH156" s="228"/>
      <c r="EI156" s="228"/>
      <c r="EJ156" s="228"/>
      <c r="EK156" s="228"/>
    </row>
    <row r="157" spans="1:141">
      <c r="A157" s="132"/>
      <c r="B157" s="18"/>
      <c r="C157" s="18"/>
      <c r="D157" s="220"/>
      <c r="E157" s="130"/>
      <c r="F157" s="126"/>
      <c r="G157" s="18"/>
      <c r="H157" s="189"/>
      <c r="I157" s="18"/>
      <c r="J157" s="18"/>
      <c r="K157" s="189"/>
      <c r="L157" s="18"/>
      <c r="M157" s="129"/>
      <c r="N157" s="189"/>
      <c r="O157" s="132"/>
      <c r="P157" s="127"/>
      <c r="Q157" s="127"/>
      <c r="R157" s="128"/>
      <c r="S157" s="130"/>
      <c r="T157" s="135"/>
      <c r="U157" s="127"/>
      <c r="V157" s="217"/>
      <c r="W157" s="191"/>
      <c r="X157" s="133"/>
      <c r="Y157" s="131"/>
      <c r="Z157" s="131"/>
      <c r="AA157" s="242"/>
      <c r="AB157" s="131"/>
      <c r="AC157" s="131"/>
      <c r="AD157" s="131"/>
      <c r="AE157" s="131"/>
      <c r="AF157" s="131"/>
      <c r="AG157" s="131"/>
      <c r="AH157" s="131"/>
      <c r="AI157" s="131"/>
      <c r="AJ157" s="131"/>
      <c r="AK157" s="131"/>
      <c r="AL157" s="131"/>
      <c r="AM157" s="131"/>
      <c r="AN157" s="131"/>
      <c r="AO157" s="131"/>
      <c r="AP157" s="131"/>
      <c r="AQ157" s="243"/>
      <c r="AR157" s="131"/>
      <c r="AS157" s="131"/>
      <c r="AT157" s="131"/>
      <c r="AU157" s="131"/>
      <c r="AV157" s="131"/>
      <c r="AW157" s="131"/>
      <c r="AX157" s="131"/>
      <c r="AY157" s="131"/>
      <c r="AZ157" s="131"/>
      <c r="BA157" s="131"/>
      <c r="BB157" s="131"/>
      <c r="BC157" s="131"/>
      <c r="BD157" s="131"/>
      <c r="BE157" s="131"/>
      <c r="BF157" s="131"/>
      <c r="BG157" s="131"/>
      <c r="BH157" s="131"/>
      <c r="BI157" s="131"/>
      <c r="BJ157" s="131"/>
      <c r="BK157" s="131"/>
      <c r="BL157" s="131"/>
      <c r="BM157" s="131"/>
      <c r="BN157" s="131"/>
      <c r="BO157" s="136"/>
      <c r="BP157" s="131"/>
      <c r="BQ157" s="131"/>
      <c r="BR157" s="131"/>
      <c r="BS157" s="131"/>
      <c r="BT157" s="131"/>
      <c r="BU157" s="131"/>
      <c r="BV157" s="131"/>
      <c r="BW157" s="131"/>
      <c r="BX157" s="131"/>
      <c r="BY157" s="131"/>
      <c r="BZ157" s="131"/>
      <c r="CA157" s="131"/>
      <c r="CB157" s="131"/>
      <c r="CC157" s="131"/>
      <c r="CD157" s="131"/>
      <c r="CE157" s="131"/>
      <c r="CF157" s="136"/>
      <c r="CG157" s="136"/>
      <c r="CH157" s="131"/>
      <c r="CI157" s="131"/>
      <c r="CJ157" s="136"/>
      <c r="CK157" s="136"/>
      <c r="CL157" s="136"/>
      <c r="CM157" s="131"/>
      <c r="CN157" s="131"/>
      <c r="CO157" s="136"/>
      <c r="CP157" s="136"/>
      <c r="CQ157" s="131"/>
      <c r="CR157" s="131"/>
      <c r="CS157" s="131"/>
      <c r="CT157" s="131"/>
      <c r="CU157" s="131"/>
      <c r="CV157" s="131"/>
      <c r="CW157" s="131"/>
      <c r="CX157" s="131"/>
      <c r="CY157" s="136"/>
      <c r="CZ157" s="136"/>
      <c r="DA157" s="131"/>
      <c r="DB157" s="136"/>
      <c r="DC157" s="136"/>
      <c r="DD157" s="131"/>
      <c r="DE157" s="131"/>
      <c r="DF157" s="131"/>
      <c r="DG157" s="136"/>
      <c r="DH157" s="131"/>
      <c r="DI157" s="131"/>
      <c r="DJ157" s="136"/>
      <c r="DK157" s="136"/>
      <c r="DL157" s="136"/>
      <c r="DM157" s="136"/>
      <c r="DN157" s="136"/>
      <c r="DO157" s="136"/>
      <c r="DP157" s="136"/>
      <c r="DQ157" s="136"/>
      <c r="DR157" s="136"/>
      <c r="DS157" s="131"/>
      <c r="DT157" s="136"/>
      <c r="DU157" s="131"/>
      <c r="DV157" s="131"/>
      <c r="DW157" s="131"/>
      <c r="DX157" s="131"/>
      <c r="DY157" s="131"/>
      <c r="DZ157" s="136"/>
      <c r="EA157" s="131"/>
      <c r="EB157" s="131"/>
      <c r="EC157" s="131"/>
      <c r="ED157" s="131"/>
      <c r="EE157" s="137"/>
      <c r="EF157" s="227"/>
      <c r="EG157" s="227"/>
      <c r="EH157" s="228"/>
      <c r="EI157" s="228"/>
      <c r="EJ157" s="228"/>
      <c r="EK157" s="228"/>
    </row>
    <row r="158" spans="1:141">
      <c r="A158" s="132"/>
      <c r="B158" s="18"/>
      <c r="C158" s="18"/>
      <c r="D158" s="220"/>
      <c r="E158" s="130"/>
      <c r="F158" s="126"/>
      <c r="G158" s="18"/>
      <c r="H158" s="189"/>
      <c r="I158" s="18"/>
      <c r="J158" s="18"/>
      <c r="K158" s="189"/>
      <c r="L158" s="18"/>
      <c r="M158" s="129"/>
      <c r="N158" s="189"/>
      <c r="O158" s="132"/>
      <c r="P158" s="127"/>
      <c r="Q158" s="127"/>
      <c r="R158" s="128"/>
      <c r="S158" s="130"/>
      <c r="T158" s="135"/>
      <c r="U158" s="127"/>
      <c r="V158" s="217"/>
      <c r="W158" s="191"/>
      <c r="X158" s="133"/>
      <c r="Y158" s="131"/>
      <c r="Z158" s="131"/>
      <c r="AA158" s="242"/>
      <c r="AB158" s="131"/>
      <c r="AC158" s="131"/>
      <c r="AD158" s="131"/>
      <c r="AE158" s="131"/>
      <c r="AF158" s="131"/>
      <c r="AG158" s="131"/>
      <c r="AH158" s="131"/>
      <c r="AI158" s="131"/>
      <c r="AJ158" s="131"/>
      <c r="AK158" s="131"/>
      <c r="AL158" s="131"/>
      <c r="AM158" s="131"/>
      <c r="AN158" s="131"/>
      <c r="AO158" s="131"/>
      <c r="AP158" s="131"/>
      <c r="AQ158" s="243"/>
      <c r="AR158" s="131"/>
      <c r="AS158" s="131"/>
      <c r="AT158" s="131"/>
      <c r="AU158" s="131"/>
      <c r="AV158" s="131"/>
      <c r="AW158" s="131"/>
      <c r="AX158" s="131"/>
      <c r="AY158" s="131"/>
      <c r="AZ158" s="131"/>
      <c r="BA158" s="131"/>
      <c r="BB158" s="131"/>
      <c r="BC158" s="131"/>
      <c r="BD158" s="131"/>
      <c r="BE158" s="131"/>
      <c r="BF158" s="131"/>
      <c r="BG158" s="131"/>
      <c r="BH158" s="131"/>
      <c r="BI158" s="131"/>
      <c r="BJ158" s="131"/>
      <c r="BK158" s="131"/>
      <c r="BL158" s="131"/>
      <c r="BM158" s="131"/>
      <c r="BN158" s="131"/>
      <c r="BO158" s="136"/>
      <c r="BP158" s="131"/>
      <c r="BQ158" s="131"/>
      <c r="BR158" s="131"/>
      <c r="BS158" s="131"/>
      <c r="BT158" s="131"/>
      <c r="BU158" s="131"/>
      <c r="BV158" s="131"/>
      <c r="BW158" s="131"/>
      <c r="BX158" s="131"/>
      <c r="BY158" s="131"/>
      <c r="BZ158" s="131"/>
      <c r="CA158" s="131"/>
      <c r="CB158" s="131"/>
      <c r="CC158" s="131"/>
      <c r="CD158" s="131"/>
      <c r="CE158" s="131"/>
      <c r="CF158" s="136"/>
      <c r="CG158" s="136"/>
      <c r="CH158" s="131"/>
      <c r="CI158" s="131"/>
      <c r="CJ158" s="136"/>
      <c r="CK158" s="136"/>
      <c r="CL158" s="136"/>
      <c r="CM158" s="131"/>
      <c r="CN158" s="131"/>
      <c r="CO158" s="136"/>
      <c r="CP158" s="136"/>
      <c r="CQ158" s="131"/>
      <c r="CR158" s="131"/>
      <c r="CS158" s="131"/>
      <c r="CT158" s="131"/>
      <c r="CU158" s="131"/>
      <c r="CV158" s="131"/>
      <c r="CW158" s="131"/>
      <c r="CX158" s="131"/>
      <c r="CY158" s="136"/>
      <c r="CZ158" s="136"/>
      <c r="DA158" s="131"/>
      <c r="DB158" s="136"/>
      <c r="DC158" s="136"/>
      <c r="DD158" s="131"/>
      <c r="DE158" s="131"/>
      <c r="DF158" s="131"/>
      <c r="DG158" s="136"/>
      <c r="DH158" s="131"/>
      <c r="DI158" s="131"/>
      <c r="DJ158" s="136"/>
      <c r="DK158" s="136"/>
      <c r="DL158" s="136"/>
      <c r="DM158" s="136"/>
      <c r="DN158" s="136"/>
      <c r="DO158" s="136"/>
      <c r="DP158" s="136"/>
      <c r="DQ158" s="136"/>
      <c r="DR158" s="136"/>
      <c r="DS158" s="131"/>
      <c r="DT158" s="136"/>
      <c r="DU158" s="131"/>
      <c r="DV158" s="131"/>
      <c r="DW158" s="131"/>
      <c r="DX158" s="131"/>
      <c r="DY158" s="131"/>
      <c r="DZ158" s="136"/>
      <c r="EA158" s="131"/>
      <c r="EB158" s="131"/>
      <c r="EC158" s="131"/>
      <c r="ED158" s="131"/>
      <c r="EE158" s="137"/>
      <c r="EF158" s="227"/>
      <c r="EG158" s="227"/>
      <c r="EH158" s="228"/>
      <c r="EI158" s="228"/>
      <c r="EJ158" s="228"/>
      <c r="EK158" s="228"/>
    </row>
    <row r="159" spans="1:141">
      <c r="A159" s="132"/>
      <c r="B159" s="18"/>
      <c r="C159" s="18"/>
      <c r="D159" s="220"/>
      <c r="E159" s="130"/>
      <c r="F159" s="126"/>
      <c r="G159" s="18"/>
      <c r="H159" s="189"/>
      <c r="I159" s="18"/>
      <c r="J159" s="18"/>
      <c r="K159" s="189"/>
      <c r="L159" s="18"/>
      <c r="M159" s="129"/>
      <c r="N159" s="189"/>
      <c r="O159" s="132"/>
      <c r="P159" s="127"/>
      <c r="Q159" s="127"/>
      <c r="R159" s="128"/>
      <c r="S159" s="130"/>
      <c r="T159" s="135"/>
      <c r="U159" s="127"/>
      <c r="V159" s="217"/>
      <c r="W159" s="191"/>
      <c r="X159" s="133"/>
      <c r="Y159" s="131"/>
      <c r="Z159" s="131"/>
      <c r="AA159" s="242"/>
      <c r="AB159" s="131"/>
      <c r="AC159" s="131"/>
      <c r="AD159" s="131"/>
      <c r="AE159" s="131"/>
      <c r="AF159" s="131"/>
      <c r="AG159" s="131"/>
      <c r="AH159" s="131"/>
      <c r="AI159" s="131"/>
      <c r="AJ159" s="131"/>
      <c r="AK159" s="131"/>
      <c r="AL159" s="131"/>
      <c r="AM159" s="131"/>
      <c r="AN159" s="131"/>
      <c r="AO159" s="131"/>
      <c r="AP159" s="131"/>
      <c r="AQ159" s="243"/>
      <c r="AR159" s="131"/>
      <c r="AS159" s="131"/>
      <c r="AT159" s="131"/>
      <c r="AU159" s="131"/>
      <c r="AV159" s="131"/>
      <c r="AW159" s="131"/>
      <c r="AX159" s="131"/>
      <c r="AY159" s="131"/>
      <c r="AZ159" s="131"/>
      <c r="BA159" s="131"/>
      <c r="BB159" s="131"/>
      <c r="BC159" s="131"/>
      <c r="BD159" s="131"/>
      <c r="BE159" s="131"/>
      <c r="BF159" s="131"/>
      <c r="BG159" s="131"/>
      <c r="BH159" s="131"/>
      <c r="BI159" s="131"/>
      <c r="BJ159" s="131"/>
      <c r="BK159" s="131"/>
      <c r="BL159" s="131"/>
      <c r="BM159" s="131"/>
      <c r="BN159" s="131"/>
      <c r="BO159" s="136"/>
      <c r="BP159" s="131"/>
      <c r="BQ159" s="131"/>
      <c r="BR159" s="131"/>
      <c r="BS159" s="131"/>
      <c r="BT159" s="131"/>
      <c r="BU159" s="131"/>
      <c r="BV159" s="131"/>
      <c r="BW159" s="131"/>
      <c r="BX159" s="131"/>
      <c r="BY159" s="131"/>
      <c r="BZ159" s="131"/>
      <c r="CA159" s="131"/>
      <c r="CB159" s="131"/>
      <c r="CC159" s="131"/>
      <c r="CD159" s="131"/>
      <c r="CE159" s="131"/>
      <c r="CF159" s="136"/>
      <c r="CG159" s="136"/>
      <c r="CH159" s="131"/>
      <c r="CI159" s="131"/>
      <c r="CJ159" s="136"/>
      <c r="CK159" s="136"/>
      <c r="CL159" s="136"/>
      <c r="CM159" s="131"/>
      <c r="CN159" s="131"/>
      <c r="CO159" s="136"/>
      <c r="CP159" s="136"/>
      <c r="CQ159" s="131"/>
      <c r="CR159" s="131"/>
      <c r="CS159" s="131"/>
      <c r="CT159" s="131"/>
      <c r="CU159" s="131"/>
      <c r="CV159" s="131"/>
      <c r="CW159" s="131"/>
      <c r="CX159" s="131"/>
      <c r="CY159" s="136"/>
      <c r="CZ159" s="136"/>
      <c r="DA159" s="131"/>
      <c r="DB159" s="136"/>
      <c r="DC159" s="136"/>
      <c r="DD159" s="131"/>
      <c r="DE159" s="131"/>
      <c r="DF159" s="131"/>
      <c r="DG159" s="136"/>
      <c r="DH159" s="131"/>
      <c r="DI159" s="131"/>
      <c r="DJ159" s="136"/>
      <c r="DK159" s="136"/>
      <c r="DL159" s="136"/>
      <c r="DM159" s="136"/>
      <c r="DN159" s="136"/>
      <c r="DO159" s="136"/>
      <c r="DP159" s="136"/>
      <c r="DQ159" s="136"/>
      <c r="DR159" s="136"/>
      <c r="DS159" s="131"/>
      <c r="DT159" s="136"/>
      <c r="DU159" s="131"/>
      <c r="DV159" s="131"/>
      <c r="DW159" s="131"/>
      <c r="DX159" s="131"/>
      <c r="DY159" s="131"/>
      <c r="DZ159" s="136"/>
      <c r="EA159" s="131"/>
      <c r="EB159" s="131"/>
      <c r="EC159" s="131"/>
      <c r="ED159" s="131"/>
      <c r="EE159" s="137"/>
      <c r="EF159" s="227"/>
      <c r="EG159" s="227"/>
      <c r="EH159" s="228"/>
      <c r="EI159" s="228"/>
      <c r="EJ159" s="228"/>
      <c r="EK159" s="228"/>
    </row>
    <row r="160" spans="1:141">
      <c r="A160" s="132"/>
      <c r="B160" s="18"/>
      <c r="C160" s="18"/>
      <c r="D160" s="220"/>
      <c r="E160" s="130"/>
      <c r="F160" s="126"/>
      <c r="G160" s="18"/>
      <c r="H160" s="189"/>
      <c r="I160" s="18"/>
      <c r="J160" s="18"/>
      <c r="K160" s="189"/>
      <c r="L160" s="18"/>
      <c r="M160" s="129"/>
      <c r="N160" s="189"/>
      <c r="O160" s="132"/>
      <c r="P160" s="127"/>
      <c r="Q160" s="127"/>
      <c r="R160" s="128"/>
      <c r="S160" s="130"/>
      <c r="T160" s="135"/>
      <c r="U160" s="127"/>
      <c r="V160" s="217"/>
      <c r="W160" s="191"/>
      <c r="X160" s="133"/>
      <c r="Y160" s="131"/>
      <c r="Z160" s="131"/>
      <c r="AA160" s="242"/>
      <c r="AB160" s="131"/>
      <c r="AC160" s="131"/>
      <c r="AD160" s="131"/>
      <c r="AE160" s="131"/>
      <c r="AF160" s="131"/>
      <c r="AG160" s="131"/>
      <c r="AH160" s="131"/>
      <c r="AI160" s="131"/>
      <c r="AJ160" s="131"/>
      <c r="AK160" s="131"/>
      <c r="AL160" s="131"/>
      <c r="AM160" s="131"/>
      <c r="AN160" s="131"/>
      <c r="AO160" s="131"/>
      <c r="AP160" s="131"/>
      <c r="AQ160" s="243"/>
      <c r="AR160" s="131"/>
      <c r="AS160" s="131"/>
      <c r="AT160" s="131"/>
      <c r="AU160" s="131"/>
      <c r="AV160" s="131"/>
      <c r="AW160" s="131"/>
      <c r="AX160" s="131"/>
      <c r="AY160" s="131"/>
      <c r="AZ160" s="131"/>
      <c r="BA160" s="131"/>
      <c r="BB160" s="131"/>
      <c r="BC160" s="131"/>
      <c r="BD160" s="131"/>
      <c r="BE160" s="131"/>
      <c r="BF160" s="131"/>
      <c r="BG160" s="131"/>
      <c r="BH160" s="131"/>
      <c r="BI160" s="131"/>
      <c r="BJ160" s="131"/>
      <c r="BK160" s="131"/>
      <c r="BL160" s="131"/>
      <c r="BM160" s="131"/>
      <c r="BN160" s="131"/>
      <c r="BO160" s="136"/>
      <c r="BP160" s="131"/>
      <c r="BQ160" s="131"/>
      <c r="BR160" s="131"/>
      <c r="BS160" s="131"/>
      <c r="BT160" s="131"/>
      <c r="BU160" s="131"/>
      <c r="BV160" s="131"/>
      <c r="BW160" s="131"/>
      <c r="BX160" s="131"/>
      <c r="BY160" s="131"/>
      <c r="BZ160" s="131"/>
      <c r="CA160" s="131"/>
      <c r="CB160" s="131"/>
      <c r="CC160" s="131"/>
      <c r="CD160" s="131"/>
      <c r="CE160" s="131"/>
      <c r="CF160" s="136"/>
      <c r="CG160" s="136"/>
      <c r="CH160" s="131"/>
      <c r="CI160" s="131"/>
      <c r="CJ160" s="136"/>
      <c r="CK160" s="136"/>
      <c r="CL160" s="136"/>
      <c r="CM160" s="131"/>
      <c r="CN160" s="131"/>
      <c r="CO160" s="136"/>
      <c r="CP160" s="136"/>
      <c r="CQ160" s="131"/>
      <c r="CR160" s="131"/>
      <c r="CS160" s="131"/>
      <c r="CT160" s="131"/>
      <c r="CU160" s="131"/>
      <c r="CV160" s="131"/>
      <c r="CW160" s="131"/>
      <c r="CX160" s="131"/>
      <c r="CY160" s="136"/>
      <c r="CZ160" s="136"/>
      <c r="DA160" s="131"/>
      <c r="DB160" s="136"/>
      <c r="DC160" s="136"/>
      <c r="DD160" s="131"/>
      <c r="DE160" s="131"/>
      <c r="DF160" s="131"/>
      <c r="DG160" s="136"/>
      <c r="DH160" s="131"/>
      <c r="DI160" s="131"/>
      <c r="DJ160" s="136"/>
      <c r="DK160" s="136"/>
      <c r="DL160" s="136"/>
      <c r="DM160" s="136"/>
      <c r="DN160" s="136"/>
      <c r="DO160" s="136"/>
      <c r="DP160" s="136"/>
      <c r="DQ160" s="136"/>
      <c r="DR160" s="136"/>
      <c r="DS160" s="131"/>
      <c r="DT160" s="136"/>
      <c r="DU160" s="131"/>
      <c r="DV160" s="131"/>
      <c r="DW160" s="131"/>
      <c r="DX160" s="131"/>
      <c r="DY160" s="131"/>
      <c r="DZ160" s="136"/>
      <c r="EA160" s="131"/>
      <c r="EB160" s="131"/>
      <c r="EC160" s="131"/>
      <c r="ED160" s="131"/>
      <c r="EE160" s="137"/>
      <c r="EF160" s="227"/>
      <c r="EG160" s="227"/>
      <c r="EH160" s="228"/>
      <c r="EI160" s="228"/>
      <c r="EJ160" s="228"/>
      <c r="EK160" s="228"/>
    </row>
    <row r="161" spans="1:141">
      <c r="A161" s="132"/>
      <c r="B161" s="18"/>
      <c r="C161" s="18"/>
      <c r="D161" s="220"/>
      <c r="E161" s="130"/>
      <c r="F161" s="126"/>
      <c r="G161" s="18"/>
      <c r="H161" s="189"/>
      <c r="I161" s="18"/>
      <c r="J161" s="18"/>
      <c r="K161" s="189"/>
      <c r="L161" s="18"/>
      <c r="M161" s="129"/>
      <c r="N161" s="189"/>
      <c r="O161" s="132"/>
      <c r="P161" s="127"/>
      <c r="Q161" s="127"/>
      <c r="R161" s="128"/>
      <c r="S161" s="130"/>
      <c r="T161" s="135"/>
      <c r="U161" s="127"/>
      <c r="V161" s="217"/>
      <c r="W161" s="191"/>
      <c r="X161" s="133"/>
      <c r="Y161" s="131"/>
      <c r="Z161" s="131"/>
      <c r="AA161" s="242"/>
      <c r="AB161" s="131"/>
      <c r="AC161" s="131"/>
      <c r="AD161" s="131"/>
      <c r="AE161" s="131"/>
      <c r="AF161" s="131"/>
      <c r="AG161" s="131"/>
      <c r="AH161" s="131"/>
      <c r="AI161" s="131"/>
      <c r="AJ161" s="131"/>
      <c r="AK161" s="131"/>
      <c r="AL161" s="131"/>
      <c r="AM161" s="131"/>
      <c r="AN161" s="131"/>
      <c r="AO161" s="131"/>
      <c r="AP161" s="131"/>
      <c r="AQ161" s="243"/>
      <c r="AR161" s="131"/>
      <c r="AS161" s="131"/>
      <c r="AT161" s="131"/>
      <c r="AU161" s="131"/>
      <c r="AV161" s="131"/>
      <c r="AW161" s="131"/>
      <c r="AX161" s="131"/>
      <c r="AY161" s="131"/>
      <c r="AZ161" s="131"/>
      <c r="BA161" s="131"/>
      <c r="BB161" s="131"/>
      <c r="BC161" s="131"/>
      <c r="BD161" s="131"/>
      <c r="BE161" s="131"/>
      <c r="BF161" s="131"/>
      <c r="BG161" s="131"/>
      <c r="BH161" s="131"/>
      <c r="BI161" s="131"/>
      <c r="BJ161" s="131"/>
      <c r="BK161" s="131"/>
      <c r="BL161" s="131"/>
      <c r="BM161" s="131"/>
      <c r="BN161" s="131"/>
      <c r="BO161" s="136"/>
      <c r="BP161" s="131"/>
      <c r="BQ161" s="131"/>
      <c r="BR161" s="131"/>
      <c r="BS161" s="131"/>
      <c r="BT161" s="131"/>
      <c r="BU161" s="131"/>
      <c r="BV161" s="131"/>
      <c r="BW161" s="131"/>
      <c r="BX161" s="131"/>
      <c r="BY161" s="131"/>
      <c r="BZ161" s="131"/>
      <c r="CA161" s="131"/>
      <c r="CB161" s="131"/>
      <c r="CC161" s="131"/>
      <c r="CD161" s="131"/>
      <c r="CE161" s="131"/>
      <c r="CF161" s="136"/>
      <c r="CG161" s="136"/>
      <c r="CH161" s="131"/>
      <c r="CI161" s="131"/>
      <c r="CJ161" s="136"/>
      <c r="CK161" s="136"/>
      <c r="CL161" s="136"/>
      <c r="CM161" s="131"/>
      <c r="CN161" s="131"/>
      <c r="CO161" s="136"/>
      <c r="CP161" s="136"/>
      <c r="CQ161" s="131"/>
      <c r="CR161" s="131"/>
      <c r="CS161" s="131"/>
      <c r="CT161" s="131"/>
      <c r="CU161" s="131"/>
      <c r="CV161" s="131"/>
      <c r="CW161" s="131"/>
      <c r="CX161" s="131"/>
      <c r="CY161" s="136"/>
      <c r="CZ161" s="136"/>
      <c r="DA161" s="131"/>
      <c r="DB161" s="136"/>
      <c r="DC161" s="136"/>
      <c r="DD161" s="131"/>
      <c r="DE161" s="131"/>
      <c r="DF161" s="131"/>
      <c r="DG161" s="136"/>
      <c r="DH161" s="131"/>
      <c r="DI161" s="131"/>
      <c r="DJ161" s="136"/>
      <c r="DK161" s="136"/>
      <c r="DL161" s="136"/>
      <c r="DM161" s="136"/>
      <c r="DN161" s="136"/>
      <c r="DO161" s="136"/>
      <c r="DP161" s="136"/>
      <c r="DQ161" s="136"/>
      <c r="DR161" s="136"/>
      <c r="DS161" s="131"/>
      <c r="DT161" s="136"/>
      <c r="DU161" s="131"/>
      <c r="DV161" s="131"/>
      <c r="DW161" s="131"/>
      <c r="DX161" s="131"/>
      <c r="DY161" s="131"/>
      <c r="DZ161" s="136"/>
      <c r="EA161" s="131"/>
      <c r="EB161" s="131"/>
      <c r="EC161" s="131"/>
      <c r="ED161" s="131"/>
      <c r="EE161" s="137"/>
      <c r="EF161" s="227"/>
      <c r="EG161" s="227"/>
      <c r="EH161" s="228"/>
      <c r="EI161" s="228"/>
      <c r="EJ161" s="228"/>
      <c r="EK161" s="228"/>
    </row>
    <row r="162" spans="1:141">
      <c r="A162" s="132"/>
      <c r="B162" s="18"/>
      <c r="C162" s="18"/>
      <c r="D162" s="220"/>
      <c r="E162" s="130"/>
      <c r="F162" s="126"/>
      <c r="G162" s="18"/>
      <c r="H162" s="189"/>
      <c r="I162" s="18"/>
      <c r="J162" s="18"/>
      <c r="K162" s="189"/>
      <c r="L162" s="18"/>
      <c r="M162" s="129"/>
      <c r="N162" s="189"/>
      <c r="O162" s="132"/>
      <c r="P162" s="127"/>
      <c r="Q162" s="127"/>
      <c r="R162" s="128"/>
      <c r="S162" s="130"/>
      <c r="T162" s="135"/>
      <c r="U162" s="127"/>
      <c r="V162" s="217"/>
      <c r="W162" s="191"/>
      <c r="X162" s="133"/>
      <c r="Y162" s="131"/>
      <c r="Z162" s="131"/>
      <c r="AA162" s="242"/>
      <c r="AB162" s="131"/>
      <c r="AC162" s="131"/>
      <c r="AD162" s="131"/>
      <c r="AE162" s="131"/>
      <c r="AF162" s="131"/>
      <c r="AG162" s="131"/>
      <c r="AH162" s="131"/>
      <c r="AI162" s="131"/>
      <c r="AJ162" s="131"/>
      <c r="AK162" s="131"/>
      <c r="AL162" s="131"/>
      <c r="AM162" s="131"/>
      <c r="AN162" s="131"/>
      <c r="AO162" s="131"/>
      <c r="AP162" s="131"/>
      <c r="AQ162" s="243"/>
      <c r="AR162" s="131"/>
      <c r="AS162" s="131"/>
      <c r="AT162" s="131"/>
      <c r="AU162" s="131"/>
      <c r="AV162" s="131"/>
      <c r="AW162" s="131"/>
      <c r="AX162" s="131"/>
      <c r="AY162" s="131"/>
      <c r="AZ162" s="131"/>
      <c r="BA162" s="131"/>
      <c r="BB162" s="131"/>
      <c r="BC162" s="131"/>
      <c r="BD162" s="131"/>
      <c r="BE162" s="131"/>
      <c r="BF162" s="131"/>
      <c r="BG162" s="131"/>
      <c r="BH162" s="131"/>
      <c r="BI162" s="131"/>
      <c r="BJ162" s="131"/>
      <c r="BK162" s="131"/>
      <c r="BL162" s="131"/>
      <c r="BM162" s="131"/>
      <c r="BN162" s="131"/>
      <c r="BO162" s="136"/>
      <c r="BP162" s="131"/>
      <c r="BQ162" s="131"/>
      <c r="BR162" s="131"/>
      <c r="BS162" s="131"/>
      <c r="BT162" s="131"/>
      <c r="BU162" s="131"/>
      <c r="BV162" s="131"/>
      <c r="BW162" s="131"/>
      <c r="BX162" s="131"/>
      <c r="BY162" s="131"/>
      <c r="BZ162" s="131"/>
      <c r="CA162" s="131"/>
      <c r="CB162" s="131"/>
      <c r="CC162" s="131"/>
      <c r="CD162" s="131"/>
      <c r="CE162" s="131"/>
      <c r="CF162" s="136"/>
      <c r="CG162" s="136"/>
      <c r="CH162" s="131"/>
      <c r="CI162" s="131"/>
      <c r="CJ162" s="136"/>
      <c r="CK162" s="136"/>
      <c r="CL162" s="136"/>
      <c r="CM162" s="131"/>
      <c r="CN162" s="131"/>
      <c r="CO162" s="136"/>
      <c r="CP162" s="136"/>
      <c r="CQ162" s="131"/>
      <c r="CR162" s="131"/>
      <c r="CS162" s="131"/>
      <c r="CT162" s="131"/>
      <c r="CU162" s="131"/>
      <c r="CV162" s="131"/>
      <c r="CW162" s="131"/>
      <c r="CX162" s="131"/>
      <c r="CY162" s="136"/>
      <c r="CZ162" s="136"/>
      <c r="DA162" s="131"/>
      <c r="DB162" s="136"/>
      <c r="DC162" s="136"/>
      <c r="DD162" s="131"/>
      <c r="DE162" s="131"/>
      <c r="DF162" s="131"/>
      <c r="DG162" s="136"/>
      <c r="DH162" s="131"/>
      <c r="DI162" s="131"/>
      <c r="DJ162" s="136"/>
      <c r="DK162" s="136"/>
      <c r="DL162" s="136"/>
      <c r="DM162" s="136"/>
      <c r="DN162" s="136"/>
      <c r="DO162" s="136"/>
      <c r="DP162" s="136"/>
      <c r="DQ162" s="136"/>
      <c r="DR162" s="136"/>
      <c r="DS162" s="131"/>
      <c r="DT162" s="136"/>
      <c r="DU162" s="131"/>
      <c r="DV162" s="131"/>
      <c r="DW162" s="131"/>
      <c r="DX162" s="131"/>
      <c r="DY162" s="131"/>
      <c r="DZ162" s="136"/>
      <c r="EA162" s="131"/>
      <c r="EB162" s="131"/>
      <c r="EC162" s="131"/>
      <c r="ED162" s="131"/>
      <c r="EE162" s="137"/>
      <c r="EF162" s="227"/>
      <c r="EG162" s="227"/>
      <c r="EH162" s="228"/>
      <c r="EI162" s="228"/>
      <c r="EJ162" s="228"/>
      <c r="EK162" s="228"/>
    </row>
    <row r="163" spans="1:141">
      <c r="A163" s="132"/>
      <c r="B163" s="18"/>
      <c r="C163" s="18"/>
      <c r="D163" s="220"/>
      <c r="E163" s="130"/>
      <c r="F163" s="126"/>
      <c r="G163" s="18"/>
      <c r="H163" s="189"/>
      <c r="I163" s="18"/>
      <c r="J163" s="18"/>
      <c r="K163" s="189"/>
      <c r="L163" s="18"/>
      <c r="M163" s="129"/>
      <c r="N163" s="189"/>
      <c r="O163" s="132"/>
      <c r="P163" s="127"/>
      <c r="Q163" s="127"/>
      <c r="R163" s="128"/>
      <c r="S163" s="130"/>
      <c r="T163" s="135"/>
      <c r="U163" s="127"/>
      <c r="V163" s="217"/>
      <c r="W163" s="191"/>
      <c r="X163" s="133"/>
      <c r="Y163" s="131"/>
      <c r="Z163" s="131"/>
      <c r="AA163" s="242"/>
      <c r="AB163" s="131"/>
      <c r="AC163" s="131"/>
      <c r="AD163" s="131"/>
      <c r="AE163" s="131"/>
      <c r="AF163" s="131"/>
      <c r="AG163" s="131"/>
      <c r="AH163" s="131"/>
      <c r="AI163" s="131"/>
      <c r="AJ163" s="131"/>
      <c r="AK163" s="131"/>
      <c r="AL163" s="131"/>
      <c r="AM163" s="131"/>
      <c r="AN163" s="131"/>
      <c r="AO163" s="131"/>
      <c r="AP163" s="131"/>
      <c r="AQ163" s="243"/>
      <c r="AR163" s="131"/>
      <c r="AS163" s="131"/>
      <c r="AT163" s="131"/>
      <c r="AU163" s="131"/>
      <c r="AV163" s="131"/>
      <c r="AW163" s="131"/>
      <c r="AX163" s="131"/>
      <c r="AY163" s="131"/>
      <c r="AZ163" s="131"/>
      <c r="BA163" s="131"/>
      <c r="BB163" s="131"/>
      <c r="BC163" s="131"/>
      <c r="BD163" s="131"/>
      <c r="BE163" s="131"/>
      <c r="BF163" s="131"/>
      <c r="BG163" s="131"/>
      <c r="BH163" s="131"/>
      <c r="BI163" s="131"/>
      <c r="BJ163" s="131"/>
      <c r="BK163" s="131"/>
      <c r="BL163" s="131"/>
      <c r="BM163" s="131"/>
      <c r="BN163" s="131"/>
      <c r="BO163" s="136"/>
      <c r="BP163" s="131"/>
      <c r="BQ163" s="131"/>
      <c r="BR163" s="131"/>
      <c r="BS163" s="131"/>
      <c r="BT163" s="131"/>
      <c r="BU163" s="131"/>
      <c r="BV163" s="131"/>
      <c r="BW163" s="131"/>
      <c r="BX163" s="131"/>
      <c r="BY163" s="131"/>
      <c r="BZ163" s="131"/>
      <c r="CA163" s="131"/>
      <c r="CB163" s="131"/>
      <c r="CC163" s="131"/>
      <c r="CD163" s="131"/>
      <c r="CE163" s="131"/>
      <c r="CF163" s="136"/>
      <c r="CG163" s="136"/>
      <c r="CH163" s="131"/>
      <c r="CI163" s="131"/>
      <c r="CJ163" s="136"/>
      <c r="CK163" s="136"/>
      <c r="CL163" s="136"/>
      <c r="CM163" s="131"/>
      <c r="CN163" s="131"/>
      <c r="CO163" s="136"/>
      <c r="CP163" s="136"/>
      <c r="CQ163" s="131"/>
      <c r="CR163" s="131"/>
      <c r="CS163" s="131"/>
      <c r="CT163" s="131"/>
      <c r="CU163" s="131"/>
      <c r="CV163" s="131"/>
      <c r="CW163" s="131"/>
      <c r="CX163" s="131"/>
      <c r="CY163" s="136"/>
      <c r="CZ163" s="136"/>
      <c r="DA163" s="131"/>
      <c r="DB163" s="136"/>
      <c r="DC163" s="136"/>
      <c r="DD163" s="131"/>
      <c r="DE163" s="131"/>
      <c r="DF163" s="131"/>
      <c r="DG163" s="136"/>
      <c r="DH163" s="131"/>
      <c r="DI163" s="131"/>
      <c r="DJ163" s="136"/>
      <c r="DK163" s="136"/>
      <c r="DL163" s="136"/>
      <c r="DM163" s="136"/>
      <c r="DN163" s="136"/>
      <c r="DO163" s="136"/>
      <c r="DP163" s="136"/>
      <c r="DQ163" s="136"/>
      <c r="DR163" s="136"/>
      <c r="DS163" s="131"/>
      <c r="DT163" s="136"/>
      <c r="DU163" s="131"/>
      <c r="DV163" s="131"/>
      <c r="DW163" s="131"/>
      <c r="DX163" s="131"/>
      <c r="DY163" s="131"/>
      <c r="DZ163" s="136"/>
      <c r="EA163" s="131"/>
      <c r="EB163" s="131"/>
      <c r="EC163" s="131"/>
      <c r="ED163" s="131"/>
      <c r="EE163" s="137"/>
      <c r="EF163" s="227"/>
      <c r="EG163" s="227"/>
      <c r="EH163" s="228"/>
      <c r="EI163" s="228"/>
      <c r="EJ163" s="228"/>
      <c r="EK163" s="228"/>
    </row>
    <row r="164" spans="1:141">
      <c r="A164" s="132"/>
      <c r="B164" s="18"/>
      <c r="C164" s="18"/>
      <c r="D164" s="220"/>
      <c r="E164" s="130"/>
      <c r="F164" s="126"/>
      <c r="G164" s="18"/>
      <c r="H164" s="189"/>
      <c r="I164" s="18"/>
      <c r="J164" s="18"/>
      <c r="K164" s="189"/>
      <c r="L164" s="18"/>
      <c r="M164" s="129"/>
      <c r="N164" s="189"/>
      <c r="O164" s="132"/>
      <c r="P164" s="127"/>
      <c r="Q164" s="127"/>
      <c r="R164" s="128"/>
      <c r="S164" s="130"/>
      <c r="T164" s="135"/>
      <c r="U164" s="127"/>
      <c r="V164" s="217"/>
      <c r="W164" s="191"/>
      <c r="X164" s="133"/>
      <c r="Y164" s="131"/>
      <c r="Z164" s="131"/>
      <c r="AA164" s="242"/>
      <c r="AB164" s="131"/>
      <c r="AC164" s="131"/>
      <c r="AD164" s="131"/>
      <c r="AE164" s="131"/>
      <c r="AF164" s="131"/>
      <c r="AG164" s="131"/>
      <c r="AH164" s="131"/>
      <c r="AI164" s="131"/>
      <c r="AJ164" s="131"/>
      <c r="AK164" s="131"/>
      <c r="AL164" s="131"/>
      <c r="AM164" s="131"/>
      <c r="AN164" s="131"/>
      <c r="AO164" s="131"/>
      <c r="AP164" s="131"/>
      <c r="AQ164" s="243"/>
      <c r="AR164" s="131"/>
      <c r="AS164" s="131"/>
      <c r="AT164" s="131"/>
      <c r="AU164" s="131"/>
      <c r="AV164" s="131"/>
      <c r="AW164" s="131"/>
      <c r="AX164" s="131"/>
      <c r="AY164" s="131"/>
      <c r="AZ164" s="131"/>
      <c r="BA164" s="131"/>
      <c r="BB164" s="131"/>
      <c r="BC164" s="131"/>
      <c r="BD164" s="131"/>
      <c r="BE164" s="131"/>
      <c r="BF164" s="131"/>
      <c r="BG164" s="131"/>
      <c r="BH164" s="131"/>
      <c r="BI164" s="131"/>
      <c r="BJ164" s="131"/>
      <c r="BK164" s="131"/>
      <c r="BL164" s="131"/>
      <c r="BM164" s="131"/>
      <c r="BN164" s="131"/>
      <c r="BO164" s="136"/>
      <c r="BP164" s="131"/>
      <c r="BQ164" s="131"/>
      <c r="BR164" s="131"/>
      <c r="BS164" s="131"/>
      <c r="BT164" s="131"/>
      <c r="BU164" s="131"/>
      <c r="BV164" s="131"/>
      <c r="BW164" s="131"/>
      <c r="BX164" s="131"/>
      <c r="BY164" s="131"/>
      <c r="BZ164" s="131"/>
      <c r="CA164" s="131"/>
      <c r="CB164" s="131"/>
      <c r="CC164" s="131"/>
      <c r="CD164" s="131"/>
      <c r="CE164" s="131"/>
      <c r="CF164" s="136"/>
      <c r="CG164" s="136"/>
      <c r="CH164" s="131"/>
      <c r="CI164" s="131"/>
      <c r="CJ164" s="136"/>
      <c r="CK164" s="136"/>
      <c r="CL164" s="136"/>
      <c r="CM164" s="131"/>
      <c r="CN164" s="131"/>
      <c r="CO164" s="136"/>
      <c r="CP164" s="136"/>
      <c r="CQ164" s="131"/>
      <c r="CR164" s="131"/>
      <c r="CS164" s="131"/>
      <c r="CT164" s="131"/>
      <c r="CU164" s="131"/>
      <c r="CV164" s="131"/>
      <c r="CW164" s="131"/>
      <c r="CX164" s="131"/>
      <c r="CY164" s="136"/>
      <c r="CZ164" s="136"/>
      <c r="DA164" s="131"/>
      <c r="DB164" s="136"/>
      <c r="DC164" s="136"/>
      <c r="DD164" s="131"/>
      <c r="DE164" s="131"/>
      <c r="DF164" s="131"/>
      <c r="DG164" s="136"/>
      <c r="DH164" s="131"/>
      <c r="DI164" s="131"/>
      <c r="DJ164" s="136"/>
      <c r="DK164" s="136"/>
      <c r="DL164" s="136"/>
      <c r="DM164" s="136"/>
      <c r="DN164" s="136"/>
      <c r="DO164" s="136"/>
      <c r="DP164" s="136"/>
      <c r="DQ164" s="136"/>
      <c r="DR164" s="136"/>
      <c r="DS164" s="131"/>
      <c r="DT164" s="136"/>
      <c r="DU164" s="131"/>
      <c r="DV164" s="131"/>
      <c r="DW164" s="131"/>
      <c r="DX164" s="131"/>
      <c r="DY164" s="131"/>
      <c r="DZ164" s="136"/>
      <c r="EA164" s="131"/>
      <c r="EB164" s="131"/>
      <c r="EC164" s="131"/>
      <c r="ED164" s="131"/>
      <c r="EE164" s="137"/>
      <c r="EF164" s="227"/>
      <c r="EG164" s="227"/>
      <c r="EH164" s="228"/>
      <c r="EI164" s="228"/>
      <c r="EJ164" s="228"/>
      <c r="EK164" s="228"/>
    </row>
    <row r="165" spans="1:141">
      <c r="A165" s="132"/>
      <c r="B165" s="18"/>
      <c r="C165" s="18"/>
      <c r="D165" s="220"/>
      <c r="E165" s="130"/>
      <c r="F165" s="126"/>
      <c r="G165" s="18"/>
      <c r="H165" s="189"/>
      <c r="I165" s="18"/>
      <c r="J165" s="18"/>
      <c r="K165" s="189"/>
      <c r="L165" s="18"/>
      <c r="M165" s="129"/>
      <c r="N165" s="189"/>
      <c r="O165" s="132"/>
      <c r="P165" s="127"/>
      <c r="Q165" s="127"/>
      <c r="R165" s="128"/>
      <c r="S165" s="130"/>
      <c r="T165" s="135"/>
      <c r="U165" s="127"/>
      <c r="V165" s="217"/>
      <c r="W165" s="191"/>
      <c r="X165" s="133"/>
      <c r="Y165" s="131"/>
      <c r="Z165" s="131"/>
      <c r="AA165" s="242"/>
      <c r="AB165" s="131"/>
      <c r="AC165" s="131"/>
      <c r="AD165" s="131"/>
      <c r="AE165" s="131"/>
      <c r="AF165" s="131"/>
      <c r="AG165" s="131"/>
      <c r="AH165" s="131"/>
      <c r="AI165" s="131"/>
      <c r="AJ165" s="131"/>
      <c r="AK165" s="131"/>
      <c r="AL165" s="131"/>
      <c r="AM165" s="131"/>
      <c r="AN165" s="131"/>
      <c r="AO165" s="131"/>
      <c r="AP165" s="131"/>
      <c r="AQ165" s="243"/>
      <c r="AR165" s="131"/>
      <c r="AS165" s="131"/>
      <c r="AT165" s="131"/>
      <c r="AU165" s="131"/>
      <c r="AV165" s="131"/>
      <c r="AW165" s="131"/>
      <c r="AX165" s="131"/>
      <c r="AY165" s="131"/>
      <c r="AZ165" s="131"/>
      <c r="BA165" s="131"/>
      <c r="BB165" s="131"/>
      <c r="BC165" s="131"/>
      <c r="BD165" s="131"/>
      <c r="BE165" s="131"/>
      <c r="BF165" s="131"/>
      <c r="BG165" s="131"/>
      <c r="BH165" s="131"/>
      <c r="BI165" s="131"/>
      <c r="BJ165" s="131"/>
      <c r="BK165" s="131"/>
      <c r="BL165" s="131"/>
      <c r="BM165" s="131"/>
      <c r="BN165" s="131"/>
      <c r="BO165" s="136"/>
      <c r="BP165" s="131"/>
      <c r="BQ165" s="131"/>
      <c r="BR165" s="131"/>
      <c r="BS165" s="131"/>
      <c r="BT165" s="131"/>
      <c r="BU165" s="131"/>
      <c r="BV165" s="131"/>
      <c r="BW165" s="131"/>
      <c r="BX165" s="131"/>
      <c r="BY165" s="131"/>
      <c r="BZ165" s="131"/>
      <c r="CA165" s="131"/>
      <c r="CB165" s="131"/>
      <c r="CC165" s="131"/>
      <c r="CD165" s="131"/>
      <c r="CE165" s="131"/>
      <c r="CF165" s="136"/>
      <c r="CG165" s="136"/>
      <c r="CH165" s="131"/>
      <c r="CI165" s="131"/>
      <c r="CJ165" s="136"/>
      <c r="CK165" s="136"/>
      <c r="CL165" s="136"/>
      <c r="CM165" s="131"/>
      <c r="CN165" s="131"/>
      <c r="CO165" s="136"/>
      <c r="CP165" s="136"/>
      <c r="CQ165" s="131"/>
      <c r="CR165" s="131"/>
      <c r="CS165" s="131"/>
      <c r="CT165" s="131"/>
      <c r="CU165" s="131"/>
      <c r="CV165" s="131"/>
      <c r="CW165" s="131"/>
      <c r="CX165" s="131"/>
      <c r="CY165" s="136"/>
      <c r="CZ165" s="136"/>
      <c r="DA165" s="131"/>
      <c r="DB165" s="136"/>
      <c r="DC165" s="136"/>
      <c r="DD165" s="131"/>
      <c r="DE165" s="131"/>
      <c r="DF165" s="131"/>
      <c r="DG165" s="136"/>
      <c r="DH165" s="131"/>
      <c r="DI165" s="131"/>
      <c r="DJ165" s="136"/>
      <c r="DK165" s="136"/>
      <c r="DL165" s="136"/>
      <c r="DM165" s="136"/>
      <c r="DN165" s="136"/>
      <c r="DO165" s="136"/>
      <c r="DP165" s="136"/>
      <c r="DQ165" s="136"/>
      <c r="DR165" s="136"/>
      <c r="DS165" s="131"/>
      <c r="DT165" s="136"/>
      <c r="DU165" s="131"/>
      <c r="DV165" s="131"/>
      <c r="DW165" s="131"/>
      <c r="DX165" s="131"/>
      <c r="DY165" s="131"/>
      <c r="DZ165" s="136"/>
      <c r="EA165" s="131"/>
      <c r="EB165" s="131"/>
      <c r="EC165" s="131"/>
      <c r="ED165" s="131"/>
      <c r="EE165" s="137"/>
      <c r="EF165" s="227"/>
      <c r="EG165" s="227"/>
      <c r="EH165" s="228"/>
      <c r="EI165" s="228"/>
      <c r="EJ165" s="228"/>
      <c r="EK165" s="228"/>
    </row>
    <row r="166" spans="1:141">
      <c r="A166" s="132"/>
      <c r="B166" s="18"/>
      <c r="C166" s="18"/>
      <c r="D166" s="220"/>
      <c r="E166" s="130"/>
      <c r="F166" s="126"/>
      <c r="G166" s="18"/>
      <c r="H166" s="189"/>
      <c r="I166" s="18"/>
      <c r="J166" s="18"/>
      <c r="K166" s="189"/>
      <c r="L166" s="18"/>
      <c r="M166" s="129"/>
      <c r="N166" s="189"/>
      <c r="O166" s="132"/>
      <c r="P166" s="127"/>
      <c r="Q166" s="127"/>
      <c r="R166" s="128"/>
      <c r="S166" s="130"/>
      <c r="T166" s="135"/>
      <c r="U166" s="127"/>
      <c r="V166" s="217"/>
      <c r="W166" s="191"/>
      <c r="X166" s="133"/>
      <c r="Y166" s="131"/>
      <c r="Z166" s="131"/>
      <c r="AA166" s="242"/>
      <c r="AB166" s="131"/>
      <c r="AC166" s="131"/>
      <c r="AD166" s="131"/>
      <c r="AE166" s="131"/>
      <c r="AF166" s="131"/>
      <c r="AG166" s="131"/>
      <c r="AH166" s="131"/>
      <c r="AI166" s="131"/>
      <c r="AJ166" s="131"/>
      <c r="AK166" s="131"/>
      <c r="AL166" s="131"/>
      <c r="AM166" s="131"/>
      <c r="AN166" s="131"/>
      <c r="AO166" s="131"/>
      <c r="AP166" s="131"/>
      <c r="AQ166" s="243"/>
      <c r="AR166" s="131"/>
      <c r="AS166" s="131"/>
      <c r="AT166" s="131"/>
      <c r="AU166" s="131"/>
      <c r="AV166" s="131"/>
      <c r="AW166" s="131"/>
      <c r="AX166" s="131"/>
      <c r="AY166" s="131"/>
      <c r="AZ166" s="131"/>
      <c r="BA166" s="131"/>
      <c r="BB166" s="131"/>
      <c r="BC166" s="131"/>
      <c r="BD166" s="131"/>
      <c r="BE166" s="131"/>
      <c r="BF166" s="131"/>
      <c r="BG166" s="131"/>
      <c r="BH166" s="131"/>
      <c r="BI166" s="131"/>
      <c r="BJ166" s="131"/>
      <c r="BK166" s="131"/>
      <c r="BL166" s="131"/>
      <c r="BM166" s="131"/>
      <c r="BN166" s="131"/>
      <c r="BO166" s="136"/>
      <c r="BP166" s="131"/>
      <c r="BQ166" s="131"/>
      <c r="BR166" s="131"/>
      <c r="BS166" s="131"/>
      <c r="BT166" s="131"/>
      <c r="BU166" s="131"/>
      <c r="BV166" s="131"/>
      <c r="BW166" s="131"/>
      <c r="BX166" s="131"/>
      <c r="BY166" s="131"/>
      <c r="BZ166" s="131"/>
      <c r="CA166" s="131"/>
      <c r="CB166" s="131"/>
      <c r="CC166" s="131"/>
      <c r="CD166" s="131"/>
      <c r="CE166" s="131"/>
      <c r="CF166" s="136"/>
      <c r="CG166" s="136"/>
      <c r="CH166" s="131"/>
      <c r="CI166" s="131"/>
      <c r="CJ166" s="136"/>
      <c r="CK166" s="136"/>
      <c r="CL166" s="136"/>
      <c r="CM166" s="131"/>
      <c r="CN166" s="131"/>
      <c r="CO166" s="136"/>
      <c r="CP166" s="136"/>
      <c r="CQ166" s="131"/>
      <c r="CR166" s="131"/>
      <c r="CS166" s="131"/>
      <c r="CT166" s="131"/>
      <c r="CU166" s="131"/>
      <c r="CV166" s="131"/>
      <c r="CW166" s="131"/>
      <c r="CX166" s="131"/>
      <c r="CY166" s="136"/>
      <c r="CZ166" s="136"/>
      <c r="DA166" s="131"/>
      <c r="DB166" s="136"/>
      <c r="DC166" s="136"/>
      <c r="DD166" s="131"/>
      <c r="DE166" s="131"/>
      <c r="DF166" s="131"/>
      <c r="DG166" s="136"/>
      <c r="DH166" s="131"/>
      <c r="DI166" s="131"/>
      <c r="DJ166" s="136"/>
      <c r="DK166" s="136"/>
      <c r="DL166" s="136"/>
      <c r="DM166" s="136"/>
      <c r="DN166" s="136"/>
      <c r="DO166" s="136"/>
      <c r="DP166" s="136"/>
      <c r="DQ166" s="136"/>
      <c r="DR166" s="136"/>
      <c r="DS166" s="131"/>
      <c r="DT166" s="136"/>
      <c r="DU166" s="131"/>
      <c r="DV166" s="131"/>
      <c r="DW166" s="131"/>
      <c r="DX166" s="131"/>
      <c r="DY166" s="131"/>
      <c r="DZ166" s="136"/>
      <c r="EA166" s="131"/>
      <c r="EB166" s="131"/>
      <c r="EC166" s="131"/>
      <c r="ED166" s="131"/>
      <c r="EE166" s="137"/>
      <c r="EF166" s="227"/>
      <c r="EG166" s="227"/>
      <c r="EH166" s="228"/>
      <c r="EI166" s="228"/>
      <c r="EJ166" s="228"/>
      <c r="EK166" s="228"/>
    </row>
    <row r="167" spans="1:141">
      <c r="A167" s="132"/>
      <c r="B167" s="18"/>
      <c r="C167" s="18"/>
      <c r="D167" s="220"/>
      <c r="E167" s="130"/>
      <c r="F167" s="126"/>
      <c r="G167" s="18"/>
      <c r="H167" s="189"/>
      <c r="I167" s="18"/>
      <c r="J167" s="18"/>
      <c r="K167" s="189"/>
      <c r="L167" s="18"/>
      <c r="M167" s="129"/>
      <c r="N167" s="189"/>
      <c r="O167" s="132"/>
      <c r="P167" s="127"/>
      <c r="Q167" s="127"/>
      <c r="R167" s="128"/>
      <c r="S167" s="130"/>
      <c r="T167" s="135"/>
      <c r="U167" s="127"/>
      <c r="V167" s="217"/>
      <c r="W167" s="191"/>
      <c r="X167" s="133"/>
      <c r="Y167" s="131"/>
      <c r="Z167" s="131"/>
      <c r="AA167" s="242"/>
      <c r="AB167" s="131"/>
      <c r="AC167" s="131"/>
      <c r="AD167" s="131"/>
      <c r="AE167" s="131"/>
      <c r="AF167" s="131"/>
      <c r="AG167" s="131"/>
      <c r="AH167" s="131"/>
      <c r="AI167" s="131"/>
      <c r="AJ167" s="131"/>
      <c r="AK167" s="131"/>
      <c r="AL167" s="131"/>
      <c r="AM167" s="131"/>
      <c r="AN167" s="131"/>
      <c r="AO167" s="131"/>
      <c r="AP167" s="131"/>
      <c r="AQ167" s="243"/>
      <c r="AR167" s="131"/>
      <c r="AS167" s="131"/>
      <c r="AT167" s="131"/>
      <c r="AU167" s="131"/>
      <c r="AV167" s="131"/>
      <c r="AW167" s="131"/>
      <c r="AX167" s="131"/>
      <c r="AY167" s="131"/>
      <c r="AZ167" s="131"/>
      <c r="BA167" s="131"/>
      <c r="BB167" s="131"/>
      <c r="BC167" s="131"/>
      <c r="BD167" s="131"/>
      <c r="BE167" s="131"/>
      <c r="BF167" s="131"/>
      <c r="BG167" s="131"/>
      <c r="BH167" s="131"/>
      <c r="BI167" s="131"/>
      <c r="BJ167" s="131"/>
      <c r="BK167" s="131"/>
      <c r="BL167" s="131"/>
      <c r="BM167" s="131"/>
      <c r="BN167" s="131"/>
      <c r="BO167" s="136"/>
      <c r="BP167" s="131"/>
      <c r="BQ167" s="131"/>
      <c r="BR167" s="131"/>
      <c r="BS167" s="131"/>
      <c r="BT167" s="131"/>
      <c r="BU167" s="131"/>
      <c r="BV167" s="131"/>
      <c r="BW167" s="131"/>
      <c r="BX167" s="131"/>
      <c r="BY167" s="131"/>
      <c r="BZ167" s="131"/>
      <c r="CA167" s="131"/>
      <c r="CB167" s="131"/>
      <c r="CC167" s="131"/>
      <c r="CD167" s="131"/>
      <c r="CE167" s="131"/>
      <c r="CF167" s="136"/>
      <c r="CG167" s="136"/>
      <c r="CH167" s="131"/>
      <c r="CI167" s="131"/>
      <c r="CJ167" s="136"/>
      <c r="CK167" s="136"/>
      <c r="CL167" s="136"/>
      <c r="CM167" s="131"/>
      <c r="CN167" s="131"/>
      <c r="CO167" s="136"/>
      <c r="CP167" s="136"/>
      <c r="CQ167" s="131"/>
      <c r="CR167" s="131"/>
      <c r="CS167" s="131"/>
      <c r="CT167" s="131"/>
      <c r="CU167" s="131"/>
      <c r="CV167" s="131"/>
      <c r="CW167" s="131"/>
      <c r="CX167" s="131"/>
      <c r="CY167" s="136"/>
      <c r="CZ167" s="136"/>
      <c r="DA167" s="131"/>
      <c r="DB167" s="136"/>
      <c r="DC167" s="136"/>
      <c r="DD167" s="131"/>
      <c r="DE167" s="131"/>
      <c r="DF167" s="131"/>
      <c r="DG167" s="136"/>
      <c r="DH167" s="131"/>
      <c r="DI167" s="131"/>
      <c r="DJ167" s="136"/>
      <c r="DK167" s="136"/>
      <c r="DL167" s="136"/>
      <c r="DM167" s="136"/>
      <c r="DN167" s="136"/>
      <c r="DO167" s="136"/>
      <c r="DP167" s="136"/>
      <c r="DQ167" s="136"/>
      <c r="DR167" s="136"/>
      <c r="DS167" s="131"/>
      <c r="DT167" s="136"/>
      <c r="DU167" s="131"/>
      <c r="DV167" s="131"/>
      <c r="DW167" s="131"/>
      <c r="DX167" s="131"/>
      <c r="DY167" s="131"/>
      <c r="DZ167" s="136"/>
      <c r="EA167" s="131"/>
      <c r="EB167" s="131"/>
      <c r="EC167" s="131"/>
      <c r="ED167" s="131"/>
      <c r="EE167" s="137"/>
      <c r="EF167" s="227"/>
      <c r="EG167" s="227"/>
      <c r="EH167" s="228"/>
      <c r="EI167" s="228"/>
      <c r="EJ167" s="228"/>
      <c r="EK167" s="228"/>
    </row>
    <row r="168" spans="1:141">
      <c r="A168" s="132"/>
      <c r="B168" s="18"/>
      <c r="C168" s="18"/>
      <c r="D168" s="220"/>
      <c r="E168" s="130"/>
      <c r="F168" s="126"/>
      <c r="G168" s="18"/>
      <c r="H168" s="189"/>
      <c r="I168" s="18"/>
      <c r="J168" s="18"/>
      <c r="K168" s="189"/>
      <c r="L168" s="18"/>
      <c r="M168" s="129"/>
      <c r="N168" s="189"/>
      <c r="O168" s="132"/>
      <c r="P168" s="127"/>
      <c r="Q168" s="127"/>
      <c r="R168" s="128"/>
      <c r="S168" s="130"/>
      <c r="T168" s="135"/>
      <c r="U168" s="127"/>
      <c r="V168" s="217"/>
      <c r="W168" s="191"/>
      <c r="X168" s="133"/>
      <c r="Y168" s="131"/>
      <c r="Z168" s="131"/>
      <c r="AA168" s="242"/>
      <c r="AB168" s="131"/>
      <c r="AC168" s="131"/>
      <c r="AD168" s="131"/>
      <c r="AE168" s="131"/>
      <c r="AF168" s="131"/>
      <c r="AG168" s="131"/>
      <c r="AH168" s="131"/>
      <c r="AI168" s="131"/>
      <c r="AJ168" s="131"/>
      <c r="AK168" s="131"/>
      <c r="AL168" s="131"/>
      <c r="AM168" s="131"/>
      <c r="AN168" s="131"/>
      <c r="AO168" s="131"/>
      <c r="AP168" s="131"/>
      <c r="AQ168" s="243"/>
      <c r="AR168" s="131"/>
      <c r="AS168" s="131"/>
      <c r="AT168" s="131"/>
      <c r="AU168" s="131"/>
      <c r="AV168" s="131"/>
      <c r="AW168" s="131"/>
      <c r="AX168" s="131"/>
      <c r="AY168" s="131"/>
      <c r="AZ168" s="131"/>
      <c r="BA168" s="131"/>
      <c r="BB168" s="131"/>
      <c r="BC168" s="131"/>
      <c r="BD168" s="131"/>
      <c r="BE168" s="131"/>
      <c r="BF168" s="131"/>
      <c r="BG168" s="131"/>
      <c r="BH168" s="131"/>
      <c r="BI168" s="131"/>
      <c r="BJ168" s="131"/>
      <c r="BK168" s="131"/>
      <c r="BL168" s="131"/>
      <c r="BM168" s="131"/>
      <c r="BN168" s="131"/>
      <c r="BO168" s="136"/>
      <c r="BP168" s="131"/>
      <c r="BQ168" s="131"/>
      <c r="BR168" s="131"/>
      <c r="BS168" s="131"/>
      <c r="BT168" s="131"/>
      <c r="BU168" s="131"/>
      <c r="BV168" s="131"/>
      <c r="BW168" s="131"/>
      <c r="BX168" s="131"/>
      <c r="BY168" s="131"/>
      <c r="BZ168" s="131"/>
      <c r="CA168" s="131"/>
      <c r="CB168" s="131"/>
      <c r="CC168" s="131"/>
      <c r="CD168" s="131"/>
      <c r="CE168" s="131"/>
      <c r="CF168" s="136"/>
      <c r="CG168" s="136"/>
      <c r="CH168" s="131"/>
      <c r="CI168" s="131"/>
      <c r="CJ168" s="136"/>
      <c r="CK168" s="136"/>
      <c r="CL168" s="136"/>
      <c r="CM168" s="131"/>
      <c r="CN168" s="131"/>
      <c r="CO168" s="136"/>
      <c r="CP168" s="136"/>
      <c r="CQ168" s="131"/>
      <c r="CR168" s="131"/>
      <c r="CS168" s="131"/>
      <c r="CT168" s="131"/>
      <c r="CU168" s="131"/>
      <c r="CV168" s="131"/>
      <c r="CW168" s="131"/>
      <c r="CX168" s="131"/>
      <c r="CY168" s="136"/>
      <c r="CZ168" s="136"/>
      <c r="DA168" s="131"/>
      <c r="DB168" s="136"/>
      <c r="DC168" s="136"/>
      <c r="DD168" s="131"/>
      <c r="DE168" s="131"/>
      <c r="DF168" s="131"/>
      <c r="DG168" s="136"/>
      <c r="DH168" s="131"/>
      <c r="DI168" s="131"/>
      <c r="DJ168" s="136"/>
      <c r="DK168" s="136"/>
      <c r="DL168" s="136"/>
      <c r="DM168" s="136"/>
      <c r="DN168" s="136"/>
      <c r="DO168" s="136"/>
      <c r="DP168" s="136"/>
      <c r="DQ168" s="136"/>
      <c r="DR168" s="136"/>
      <c r="DS168" s="131"/>
      <c r="DT168" s="136"/>
      <c r="DU168" s="131"/>
      <c r="DV168" s="131"/>
      <c r="DW168" s="131"/>
      <c r="DX168" s="131"/>
      <c r="DY168" s="131"/>
      <c r="DZ168" s="136"/>
      <c r="EA168" s="131"/>
      <c r="EB168" s="131"/>
      <c r="EC168" s="131"/>
      <c r="ED168" s="131"/>
      <c r="EE168" s="137"/>
      <c r="EF168" s="227"/>
      <c r="EG168" s="227"/>
      <c r="EH168" s="228"/>
      <c r="EI168" s="228"/>
      <c r="EJ168" s="228"/>
      <c r="EK168" s="228"/>
    </row>
    <row r="169" spans="1:141">
      <c r="A169" s="132"/>
      <c r="B169" s="18"/>
      <c r="C169" s="18"/>
      <c r="D169" s="220"/>
      <c r="E169" s="130"/>
      <c r="F169" s="126"/>
      <c r="G169" s="18"/>
      <c r="H169" s="189"/>
      <c r="I169" s="18"/>
      <c r="J169" s="18"/>
      <c r="K169" s="189"/>
      <c r="L169" s="18"/>
      <c r="M169" s="129"/>
      <c r="N169" s="189"/>
      <c r="O169" s="132"/>
      <c r="P169" s="127"/>
      <c r="Q169" s="127"/>
      <c r="R169" s="128"/>
      <c r="S169" s="130"/>
      <c r="T169" s="135"/>
      <c r="U169" s="127"/>
      <c r="V169" s="217"/>
      <c r="W169" s="191"/>
      <c r="X169" s="133"/>
      <c r="Y169" s="131"/>
      <c r="Z169" s="131"/>
      <c r="AA169" s="242"/>
      <c r="AB169" s="131"/>
      <c r="AC169" s="131"/>
      <c r="AD169" s="131"/>
      <c r="AE169" s="131"/>
      <c r="AF169" s="131"/>
      <c r="AG169" s="131"/>
      <c r="AH169" s="131"/>
      <c r="AI169" s="131"/>
      <c r="AJ169" s="131"/>
      <c r="AK169" s="131"/>
      <c r="AL169" s="131"/>
      <c r="AM169" s="131"/>
      <c r="AN169" s="131"/>
      <c r="AO169" s="131"/>
      <c r="AP169" s="131"/>
      <c r="AQ169" s="243"/>
      <c r="AR169" s="131"/>
      <c r="AS169" s="131"/>
      <c r="AT169" s="131"/>
      <c r="AU169" s="131"/>
      <c r="AV169" s="131"/>
      <c r="AW169" s="131"/>
      <c r="AX169" s="131"/>
      <c r="AY169" s="131"/>
      <c r="AZ169" s="131"/>
      <c r="BA169" s="131"/>
      <c r="BB169" s="131"/>
      <c r="BC169" s="131"/>
      <c r="BD169" s="131"/>
      <c r="BE169" s="131"/>
      <c r="BF169" s="131"/>
      <c r="BG169" s="131"/>
      <c r="BH169" s="131"/>
      <c r="BI169" s="131"/>
      <c r="BJ169" s="131"/>
      <c r="BK169" s="131"/>
      <c r="BL169" s="131"/>
      <c r="BM169" s="131"/>
      <c r="BN169" s="131"/>
      <c r="BO169" s="136"/>
      <c r="BP169" s="131"/>
      <c r="BQ169" s="131"/>
      <c r="BR169" s="131"/>
      <c r="BS169" s="131"/>
      <c r="BT169" s="131"/>
      <c r="BU169" s="131"/>
      <c r="BV169" s="131"/>
      <c r="BW169" s="131"/>
      <c r="BX169" s="131"/>
      <c r="BY169" s="131"/>
      <c r="BZ169" s="131"/>
      <c r="CA169" s="131"/>
      <c r="CB169" s="131"/>
      <c r="CC169" s="131"/>
      <c r="CD169" s="131"/>
      <c r="CE169" s="131"/>
      <c r="CF169" s="136"/>
      <c r="CG169" s="136"/>
      <c r="CH169" s="131"/>
      <c r="CI169" s="131"/>
      <c r="CJ169" s="136"/>
      <c r="CK169" s="136"/>
      <c r="CL169" s="136"/>
      <c r="CM169" s="131"/>
      <c r="CN169" s="131"/>
      <c r="CO169" s="136"/>
      <c r="CP169" s="136"/>
      <c r="CQ169" s="131"/>
      <c r="CR169" s="131"/>
      <c r="CS169" s="131"/>
      <c r="CT169" s="131"/>
      <c r="CU169" s="131"/>
      <c r="CV169" s="131"/>
      <c r="CW169" s="131"/>
      <c r="CX169" s="131"/>
      <c r="CY169" s="136"/>
      <c r="CZ169" s="136"/>
      <c r="DA169" s="131"/>
      <c r="DB169" s="136"/>
      <c r="DC169" s="136"/>
      <c r="DD169" s="131"/>
      <c r="DE169" s="131"/>
      <c r="DF169" s="131"/>
      <c r="DG169" s="136"/>
      <c r="DH169" s="131"/>
      <c r="DI169" s="131"/>
      <c r="DJ169" s="136"/>
      <c r="DK169" s="136"/>
      <c r="DL169" s="136"/>
      <c r="DM169" s="136"/>
      <c r="DN169" s="136"/>
      <c r="DO169" s="136"/>
      <c r="DP169" s="136"/>
      <c r="DQ169" s="136"/>
      <c r="DR169" s="136"/>
      <c r="DS169" s="131"/>
      <c r="DT169" s="136"/>
      <c r="DU169" s="131"/>
      <c r="DV169" s="131"/>
      <c r="DW169" s="131"/>
      <c r="DX169" s="131"/>
      <c r="DY169" s="131"/>
      <c r="DZ169" s="136"/>
      <c r="EA169" s="131"/>
      <c r="EB169" s="131"/>
      <c r="EC169" s="131"/>
      <c r="ED169" s="131"/>
      <c r="EE169" s="137"/>
      <c r="EF169" s="227"/>
      <c r="EG169" s="227"/>
      <c r="EH169" s="228"/>
      <c r="EI169" s="228"/>
      <c r="EJ169" s="228"/>
      <c r="EK169" s="228"/>
    </row>
    <row r="170" spans="1:141">
      <c r="A170" s="132"/>
      <c r="B170" s="18"/>
      <c r="C170" s="18"/>
      <c r="D170" s="220"/>
      <c r="E170" s="130"/>
      <c r="F170" s="126"/>
      <c r="G170" s="18"/>
      <c r="H170" s="189"/>
      <c r="I170" s="18"/>
      <c r="J170" s="18"/>
      <c r="K170" s="189"/>
      <c r="L170" s="18"/>
      <c r="M170" s="129"/>
      <c r="N170" s="189"/>
      <c r="O170" s="132"/>
      <c r="P170" s="127"/>
      <c r="Q170" s="127"/>
      <c r="R170" s="128"/>
      <c r="S170" s="130"/>
      <c r="T170" s="135"/>
      <c r="U170" s="127"/>
      <c r="V170" s="217"/>
      <c r="W170" s="191"/>
      <c r="X170" s="133"/>
      <c r="Y170" s="131"/>
      <c r="Z170" s="131"/>
      <c r="AA170" s="242"/>
      <c r="AB170" s="131"/>
      <c r="AC170" s="131"/>
      <c r="AD170" s="131"/>
      <c r="AE170" s="131"/>
      <c r="AF170" s="131"/>
      <c r="AG170" s="131"/>
      <c r="AH170" s="131"/>
      <c r="AI170" s="131"/>
      <c r="AJ170" s="131"/>
      <c r="AK170" s="131"/>
      <c r="AL170" s="131"/>
      <c r="AM170" s="131"/>
      <c r="AN170" s="131"/>
      <c r="AO170" s="131"/>
      <c r="AP170" s="131"/>
      <c r="AQ170" s="243"/>
      <c r="AR170" s="131"/>
      <c r="AS170" s="131"/>
      <c r="AT170" s="131"/>
      <c r="AU170" s="131"/>
      <c r="AV170" s="131"/>
      <c r="AW170" s="131"/>
      <c r="AX170" s="131"/>
      <c r="AY170" s="131"/>
      <c r="AZ170" s="131"/>
      <c r="BA170" s="131"/>
      <c r="BB170" s="131"/>
      <c r="BC170" s="131"/>
      <c r="BD170" s="131"/>
      <c r="BE170" s="131"/>
      <c r="BF170" s="131"/>
      <c r="BG170" s="131"/>
      <c r="BH170" s="131"/>
      <c r="BI170" s="131"/>
      <c r="BJ170" s="131"/>
      <c r="BK170" s="131"/>
      <c r="BL170" s="131"/>
      <c r="BM170" s="131"/>
      <c r="BN170" s="131"/>
      <c r="BO170" s="136"/>
      <c r="BP170" s="131"/>
      <c r="BQ170" s="131"/>
      <c r="BR170" s="131"/>
      <c r="BS170" s="131"/>
      <c r="BT170" s="131"/>
      <c r="BU170" s="131"/>
      <c r="BV170" s="131"/>
      <c r="BW170" s="131"/>
      <c r="BX170" s="131"/>
      <c r="BY170" s="131"/>
      <c r="BZ170" s="131"/>
      <c r="CA170" s="131"/>
      <c r="CB170" s="131"/>
      <c r="CC170" s="131"/>
      <c r="CD170" s="131"/>
      <c r="CE170" s="131"/>
      <c r="CF170" s="136"/>
      <c r="CG170" s="136"/>
      <c r="CH170" s="131"/>
      <c r="CI170" s="131"/>
      <c r="CJ170" s="136"/>
      <c r="CK170" s="136"/>
      <c r="CL170" s="136"/>
      <c r="CM170" s="131"/>
      <c r="CN170" s="131"/>
      <c r="CO170" s="136"/>
      <c r="CP170" s="136"/>
      <c r="CQ170" s="131"/>
      <c r="CR170" s="131"/>
      <c r="CS170" s="131"/>
      <c r="CT170" s="131"/>
      <c r="CU170" s="131"/>
      <c r="CV170" s="131"/>
      <c r="CW170" s="131"/>
      <c r="CX170" s="131"/>
      <c r="CY170" s="136"/>
      <c r="CZ170" s="136"/>
      <c r="DA170" s="131"/>
      <c r="DB170" s="136"/>
      <c r="DC170" s="136"/>
      <c r="DD170" s="131"/>
      <c r="DE170" s="131"/>
      <c r="DF170" s="131"/>
      <c r="DG170" s="136"/>
      <c r="DH170" s="131"/>
      <c r="DI170" s="131"/>
      <c r="DJ170" s="136"/>
      <c r="DK170" s="136"/>
      <c r="DL170" s="136"/>
      <c r="DM170" s="136"/>
      <c r="DN170" s="136"/>
      <c r="DO170" s="136"/>
      <c r="DP170" s="136"/>
      <c r="DQ170" s="136"/>
      <c r="DR170" s="136"/>
      <c r="DS170" s="131"/>
      <c r="DT170" s="136"/>
      <c r="DU170" s="131"/>
      <c r="DV170" s="131"/>
      <c r="DW170" s="131"/>
      <c r="DX170" s="131"/>
      <c r="DY170" s="131"/>
      <c r="DZ170" s="136"/>
      <c r="EA170" s="131"/>
      <c r="EB170" s="131"/>
      <c r="EC170" s="131"/>
      <c r="ED170" s="131"/>
      <c r="EE170" s="137"/>
      <c r="EF170" s="227"/>
      <c r="EG170" s="227"/>
      <c r="EH170" s="228"/>
      <c r="EI170" s="228"/>
      <c r="EJ170" s="228"/>
      <c r="EK170" s="228"/>
    </row>
    <row r="171" spans="1:141">
      <c r="A171" s="132"/>
      <c r="B171" s="18"/>
      <c r="C171" s="18"/>
      <c r="D171" s="220"/>
      <c r="E171" s="130"/>
      <c r="F171" s="126"/>
      <c r="G171" s="18"/>
      <c r="H171" s="189"/>
      <c r="I171" s="18"/>
      <c r="J171" s="18"/>
      <c r="K171" s="189"/>
      <c r="L171" s="18"/>
      <c r="M171" s="129"/>
      <c r="N171" s="189"/>
      <c r="O171" s="132"/>
      <c r="P171" s="127"/>
      <c r="Q171" s="127"/>
      <c r="R171" s="128"/>
      <c r="S171" s="130"/>
      <c r="T171" s="135"/>
      <c r="U171" s="127"/>
      <c r="V171" s="217"/>
      <c r="W171" s="191"/>
      <c r="X171" s="133"/>
      <c r="Y171" s="131"/>
      <c r="Z171" s="131"/>
      <c r="AA171" s="242"/>
      <c r="AB171" s="131"/>
      <c r="AC171" s="131"/>
      <c r="AD171" s="131"/>
      <c r="AE171" s="131"/>
      <c r="AF171" s="131"/>
      <c r="AG171" s="131"/>
      <c r="AH171" s="131"/>
      <c r="AI171" s="131"/>
      <c r="AJ171" s="131"/>
      <c r="AK171" s="131"/>
      <c r="AL171" s="131"/>
      <c r="AM171" s="131"/>
      <c r="AN171" s="131"/>
      <c r="AO171" s="131"/>
      <c r="AP171" s="131"/>
      <c r="AQ171" s="243"/>
      <c r="AR171" s="131"/>
      <c r="AS171" s="131"/>
      <c r="AT171" s="131"/>
      <c r="AU171" s="131"/>
      <c r="AV171" s="131"/>
      <c r="AW171" s="131"/>
      <c r="AX171" s="131"/>
      <c r="AY171" s="131"/>
      <c r="AZ171" s="131"/>
      <c r="BA171" s="131"/>
      <c r="BB171" s="131"/>
      <c r="BC171" s="131"/>
      <c r="BD171" s="131"/>
      <c r="BE171" s="131"/>
      <c r="BF171" s="131"/>
      <c r="BG171" s="131"/>
      <c r="BH171" s="131"/>
      <c r="BI171" s="131"/>
      <c r="BJ171" s="131"/>
      <c r="BK171" s="131"/>
      <c r="BL171" s="131"/>
      <c r="BM171" s="131"/>
      <c r="BN171" s="131"/>
      <c r="BO171" s="136"/>
      <c r="BP171" s="131"/>
      <c r="BQ171" s="131"/>
      <c r="BR171" s="131"/>
      <c r="BS171" s="131"/>
      <c r="BT171" s="131"/>
      <c r="BU171" s="131"/>
      <c r="BV171" s="131"/>
      <c r="BW171" s="131"/>
      <c r="BX171" s="131"/>
      <c r="BY171" s="131"/>
      <c r="BZ171" s="131"/>
      <c r="CA171" s="131"/>
      <c r="CB171" s="131"/>
      <c r="CC171" s="131"/>
      <c r="CD171" s="131"/>
      <c r="CE171" s="131"/>
      <c r="CF171" s="136"/>
      <c r="CG171" s="136"/>
      <c r="CH171" s="131"/>
      <c r="CI171" s="131"/>
      <c r="CJ171" s="136"/>
      <c r="CK171" s="136"/>
      <c r="CL171" s="136"/>
      <c r="CM171" s="131"/>
      <c r="CN171" s="131"/>
      <c r="CO171" s="136"/>
      <c r="CP171" s="136"/>
      <c r="CQ171" s="131"/>
      <c r="CR171" s="131"/>
      <c r="CS171" s="131"/>
      <c r="CT171" s="131"/>
      <c r="CU171" s="131"/>
      <c r="CV171" s="131"/>
      <c r="CW171" s="131"/>
      <c r="CX171" s="131"/>
      <c r="CY171" s="136"/>
      <c r="CZ171" s="136"/>
      <c r="DA171" s="131"/>
      <c r="DB171" s="136"/>
      <c r="DC171" s="136"/>
      <c r="DD171" s="131"/>
      <c r="DE171" s="131"/>
      <c r="DF171" s="131"/>
      <c r="DG171" s="136"/>
      <c r="DH171" s="131"/>
      <c r="DI171" s="131"/>
      <c r="DJ171" s="136"/>
      <c r="DK171" s="136"/>
      <c r="DL171" s="136"/>
      <c r="DM171" s="136"/>
      <c r="DN171" s="136"/>
      <c r="DO171" s="136"/>
      <c r="DP171" s="136"/>
      <c r="DQ171" s="136"/>
      <c r="DR171" s="136"/>
      <c r="DS171" s="131"/>
      <c r="DT171" s="136"/>
      <c r="DU171" s="131"/>
      <c r="DV171" s="131"/>
      <c r="DW171" s="131"/>
      <c r="DX171" s="131"/>
      <c r="DY171" s="131"/>
      <c r="DZ171" s="136"/>
      <c r="EA171" s="131"/>
      <c r="EB171" s="131"/>
      <c r="EC171" s="131"/>
      <c r="ED171" s="131"/>
      <c r="EE171" s="137"/>
      <c r="EF171" s="227"/>
      <c r="EG171" s="227"/>
      <c r="EH171" s="228"/>
      <c r="EI171" s="228"/>
      <c r="EJ171" s="228"/>
      <c r="EK171" s="228"/>
    </row>
    <row r="172" spans="1:141">
      <c r="A172" s="132"/>
      <c r="B172" s="18"/>
      <c r="C172" s="18"/>
      <c r="D172" s="220"/>
      <c r="E172" s="130"/>
      <c r="F172" s="126"/>
      <c r="G172" s="18"/>
      <c r="H172" s="189"/>
      <c r="I172" s="18"/>
      <c r="J172" s="18"/>
      <c r="K172" s="189"/>
      <c r="L172" s="18"/>
      <c r="M172" s="129"/>
      <c r="N172" s="189"/>
      <c r="O172" s="132"/>
      <c r="P172" s="127"/>
      <c r="Q172" s="127"/>
      <c r="R172" s="128"/>
      <c r="S172" s="130"/>
      <c r="T172" s="135"/>
      <c r="U172" s="127"/>
      <c r="V172" s="217"/>
      <c r="W172" s="191"/>
      <c r="X172" s="133"/>
      <c r="Y172" s="131"/>
      <c r="Z172" s="131"/>
      <c r="AA172" s="242"/>
      <c r="AB172" s="131"/>
      <c r="AC172" s="131"/>
      <c r="AD172" s="131"/>
      <c r="AE172" s="131"/>
      <c r="AF172" s="131"/>
      <c r="AG172" s="131"/>
      <c r="AH172" s="131"/>
      <c r="AI172" s="131"/>
      <c r="AJ172" s="131"/>
      <c r="AK172" s="131"/>
      <c r="AL172" s="131"/>
      <c r="AM172" s="131"/>
      <c r="AN172" s="131"/>
      <c r="AO172" s="131"/>
      <c r="AP172" s="131"/>
      <c r="AQ172" s="243"/>
      <c r="AR172" s="131"/>
      <c r="AS172" s="131"/>
      <c r="AT172" s="131"/>
      <c r="AU172" s="131"/>
      <c r="AV172" s="131"/>
      <c r="AW172" s="131"/>
      <c r="AX172" s="131"/>
      <c r="AY172" s="131"/>
      <c r="AZ172" s="131"/>
      <c r="BA172" s="131"/>
      <c r="BB172" s="131"/>
      <c r="BC172" s="131"/>
      <c r="BD172" s="131"/>
      <c r="BE172" s="131"/>
      <c r="BF172" s="131"/>
      <c r="BG172" s="131"/>
      <c r="BH172" s="131"/>
      <c r="BI172" s="131"/>
      <c r="BJ172" s="131"/>
      <c r="BK172" s="131"/>
      <c r="BL172" s="131"/>
      <c r="BM172" s="131"/>
      <c r="BN172" s="131"/>
      <c r="BO172" s="136"/>
      <c r="BP172" s="131"/>
      <c r="BQ172" s="131"/>
      <c r="BR172" s="131"/>
      <c r="BS172" s="131"/>
      <c r="BT172" s="131"/>
      <c r="BU172" s="131"/>
      <c r="BV172" s="131"/>
      <c r="BW172" s="131"/>
      <c r="BX172" s="131"/>
      <c r="BY172" s="131"/>
      <c r="BZ172" s="131"/>
      <c r="CA172" s="131"/>
      <c r="CB172" s="131"/>
      <c r="CC172" s="131"/>
      <c r="CD172" s="131"/>
      <c r="CE172" s="131"/>
      <c r="CF172" s="136"/>
      <c r="CG172" s="136"/>
      <c r="CH172" s="131"/>
      <c r="CI172" s="131"/>
      <c r="CJ172" s="136"/>
      <c r="CK172" s="136"/>
      <c r="CL172" s="136"/>
      <c r="CM172" s="131"/>
      <c r="CN172" s="131"/>
      <c r="CO172" s="136"/>
      <c r="CP172" s="136"/>
      <c r="CQ172" s="131"/>
      <c r="CR172" s="131"/>
      <c r="CS172" s="131"/>
      <c r="CT172" s="131"/>
      <c r="CU172" s="131"/>
      <c r="CV172" s="131"/>
      <c r="CW172" s="131"/>
      <c r="CX172" s="131"/>
      <c r="CY172" s="136"/>
      <c r="CZ172" s="136"/>
      <c r="DA172" s="131"/>
      <c r="DB172" s="136"/>
      <c r="DC172" s="136"/>
      <c r="DD172" s="131"/>
      <c r="DE172" s="131"/>
      <c r="DF172" s="131"/>
      <c r="DG172" s="136"/>
      <c r="DH172" s="131"/>
      <c r="DI172" s="131"/>
      <c r="DJ172" s="136"/>
      <c r="DK172" s="136"/>
      <c r="DL172" s="136"/>
      <c r="DM172" s="136"/>
      <c r="DN172" s="136"/>
      <c r="DO172" s="136"/>
      <c r="DP172" s="136"/>
      <c r="DQ172" s="136"/>
      <c r="DR172" s="136"/>
      <c r="DS172" s="131"/>
      <c r="DT172" s="136"/>
      <c r="DU172" s="131"/>
      <c r="DV172" s="131"/>
      <c r="DW172" s="131"/>
      <c r="DX172" s="131"/>
      <c r="DY172" s="131"/>
      <c r="DZ172" s="136"/>
      <c r="EA172" s="131"/>
      <c r="EB172" s="131"/>
      <c r="EC172" s="131"/>
      <c r="ED172" s="131"/>
      <c r="EE172" s="137"/>
      <c r="EF172" s="227"/>
      <c r="EG172" s="227"/>
      <c r="EH172" s="228"/>
      <c r="EI172" s="228"/>
      <c r="EJ172" s="228"/>
      <c r="EK172" s="228"/>
    </row>
    <row r="173" spans="1:141">
      <c r="A173" s="132"/>
      <c r="B173" s="18"/>
      <c r="C173" s="18"/>
      <c r="D173" s="220"/>
      <c r="E173" s="130"/>
      <c r="F173" s="126"/>
      <c r="G173" s="18"/>
      <c r="H173" s="189"/>
      <c r="I173" s="18"/>
      <c r="J173" s="18"/>
      <c r="K173" s="189"/>
      <c r="L173" s="18"/>
      <c r="M173" s="129"/>
      <c r="N173" s="189"/>
      <c r="O173" s="132"/>
      <c r="P173" s="127"/>
      <c r="Q173" s="127"/>
      <c r="R173" s="128"/>
      <c r="S173" s="130"/>
      <c r="T173" s="135"/>
      <c r="U173" s="127"/>
      <c r="V173" s="217"/>
      <c r="W173" s="191"/>
      <c r="X173" s="133"/>
      <c r="Y173" s="131"/>
      <c r="Z173" s="131"/>
      <c r="AA173" s="242"/>
      <c r="AB173" s="131"/>
      <c r="AC173" s="131"/>
      <c r="AD173" s="131"/>
      <c r="AE173" s="131"/>
      <c r="AF173" s="131"/>
      <c r="AG173" s="131"/>
      <c r="AH173" s="131"/>
      <c r="AI173" s="131"/>
      <c r="AJ173" s="131"/>
      <c r="AK173" s="131"/>
      <c r="AL173" s="131"/>
      <c r="AM173" s="131"/>
      <c r="AN173" s="131"/>
      <c r="AO173" s="131"/>
      <c r="AP173" s="131"/>
      <c r="AQ173" s="243"/>
      <c r="AR173" s="131"/>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6"/>
      <c r="BP173" s="131"/>
      <c r="BQ173" s="131"/>
      <c r="BR173" s="131"/>
      <c r="BS173" s="131"/>
      <c r="BT173" s="131"/>
      <c r="BU173" s="131"/>
      <c r="BV173" s="131"/>
      <c r="BW173" s="131"/>
      <c r="BX173" s="131"/>
      <c r="BY173" s="131"/>
      <c r="BZ173" s="131"/>
      <c r="CA173" s="131"/>
      <c r="CB173" s="131"/>
      <c r="CC173" s="131"/>
      <c r="CD173" s="131"/>
      <c r="CE173" s="131"/>
      <c r="CF173" s="136"/>
      <c r="CG173" s="136"/>
      <c r="CH173" s="131"/>
      <c r="CI173" s="131"/>
      <c r="CJ173" s="136"/>
      <c r="CK173" s="136"/>
      <c r="CL173" s="136"/>
      <c r="CM173" s="131"/>
      <c r="CN173" s="131"/>
      <c r="CO173" s="136"/>
      <c r="CP173" s="136"/>
      <c r="CQ173" s="131"/>
      <c r="CR173" s="131"/>
      <c r="CS173" s="131"/>
      <c r="CT173" s="131"/>
      <c r="CU173" s="131"/>
      <c r="CV173" s="131"/>
      <c r="CW173" s="131"/>
      <c r="CX173" s="131"/>
      <c r="CY173" s="136"/>
      <c r="CZ173" s="136"/>
      <c r="DA173" s="131"/>
      <c r="DB173" s="136"/>
      <c r="DC173" s="136"/>
      <c r="DD173" s="131"/>
      <c r="DE173" s="131"/>
      <c r="DF173" s="131"/>
      <c r="DG173" s="136"/>
      <c r="DH173" s="131"/>
      <c r="DI173" s="131"/>
      <c r="DJ173" s="136"/>
      <c r="DK173" s="136"/>
      <c r="DL173" s="136"/>
      <c r="DM173" s="136"/>
      <c r="DN173" s="136"/>
      <c r="DO173" s="136"/>
      <c r="DP173" s="136"/>
      <c r="DQ173" s="136"/>
      <c r="DR173" s="136"/>
      <c r="DS173" s="131"/>
      <c r="DT173" s="136"/>
      <c r="DU173" s="131"/>
      <c r="DV173" s="131"/>
      <c r="DW173" s="131"/>
      <c r="DX173" s="131"/>
      <c r="DY173" s="131"/>
      <c r="DZ173" s="136"/>
      <c r="EA173" s="131"/>
      <c r="EB173" s="131"/>
      <c r="EC173" s="131"/>
      <c r="ED173" s="131"/>
      <c r="EE173" s="137"/>
      <c r="EF173" s="227"/>
      <c r="EG173" s="227"/>
      <c r="EH173" s="228"/>
      <c r="EI173" s="228"/>
      <c r="EJ173" s="228"/>
      <c r="EK173" s="228"/>
    </row>
    <row r="174" spans="1:141">
      <c r="A174" s="132"/>
      <c r="B174" s="18"/>
      <c r="C174" s="18"/>
      <c r="D174" s="220"/>
      <c r="E174" s="130"/>
      <c r="F174" s="126"/>
      <c r="G174" s="18"/>
      <c r="H174" s="189"/>
      <c r="I174" s="18"/>
      <c r="J174" s="18"/>
      <c r="K174" s="189"/>
      <c r="L174" s="18"/>
      <c r="M174" s="129"/>
      <c r="N174" s="189"/>
      <c r="O174" s="132"/>
      <c r="P174" s="127"/>
      <c r="Q174" s="127"/>
      <c r="R174" s="128"/>
      <c r="S174" s="130"/>
      <c r="T174" s="135"/>
      <c r="U174" s="127"/>
      <c r="V174" s="217"/>
      <c r="W174" s="191"/>
      <c r="X174" s="133"/>
      <c r="Y174" s="131"/>
      <c r="Z174" s="131"/>
      <c r="AA174" s="242"/>
      <c r="AB174" s="131"/>
      <c r="AC174" s="131"/>
      <c r="AD174" s="131"/>
      <c r="AE174" s="131"/>
      <c r="AF174" s="131"/>
      <c r="AG174" s="131"/>
      <c r="AH174" s="131"/>
      <c r="AI174" s="131"/>
      <c r="AJ174" s="131"/>
      <c r="AK174" s="131"/>
      <c r="AL174" s="131"/>
      <c r="AM174" s="131"/>
      <c r="AN174" s="131"/>
      <c r="AO174" s="131"/>
      <c r="AP174" s="131"/>
      <c r="AQ174" s="243"/>
      <c r="AR174" s="131"/>
      <c r="AS174" s="131"/>
      <c r="AT174" s="131"/>
      <c r="AU174" s="131"/>
      <c r="AV174" s="131"/>
      <c r="AW174" s="131"/>
      <c r="AX174" s="131"/>
      <c r="AY174" s="131"/>
      <c r="AZ174" s="131"/>
      <c r="BA174" s="131"/>
      <c r="BB174" s="131"/>
      <c r="BC174" s="131"/>
      <c r="BD174" s="131"/>
      <c r="BE174" s="131"/>
      <c r="BF174" s="131"/>
      <c r="BG174" s="131"/>
      <c r="BH174" s="131"/>
      <c r="BI174" s="131"/>
      <c r="BJ174" s="131"/>
      <c r="BK174" s="131"/>
      <c r="BL174" s="131"/>
      <c r="BM174" s="131"/>
      <c r="BN174" s="131"/>
      <c r="BO174" s="136"/>
      <c r="BP174" s="131"/>
      <c r="BQ174" s="131"/>
      <c r="BR174" s="131"/>
      <c r="BS174" s="131"/>
      <c r="BT174" s="131"/>
      <c r="BU174" s="131"/>
      <c r="BV174" s="131"/>
      <c r="BW174" s="131"/>
      <c r="BX174" s="131"/>
      <c r="BY174" s="131"/>
      <c r="BZ174" s="131"/>
      <c r="CA174" s="131"/>
      <c r="CB174" s="131"/>
      <c r="CC174" s="131"/>
      <c r="CD174" s="131"/>
      <c r="CE174" s="131"/>
      <c r="CF174" s="136"/>
      <c r="CG174" s="136"/>
      <c r="CH174" s="131"/>
      <c r="CI174" s="131"/>
      <c r="CJ174" s="136"/>
      <c r="CK174" s="136"/>
      <c r="CL174" s="136"/>
      <c r="CM174" s="131"/>
      <c r="CN174" s="131"/>
      <c r="CO174" s="136"/>
      <c r="CP174" s="136"/>
      <c r="CQ174" s="131"/>
      <c r="CR174" s="131"/>
      <c r="CS174" s="131"/>
      <c r="CT174" s="131"/>
      <c r="CU174" s="131"/>
      <c r="CV174" s="131"/>
      <c r="CW174" s="131"/>
      <c r="CX174" s="131"/>
      <c r="CY174" s="136"/>
      <c r="CZ174" s="136"/>
      <c r="DA174" s="131"/>
      <c r="DB174" s="136"/>
      <c r="DC174" s="136"/>
      <c r="DD174" s="131"/>
      <c r="DE174" s="131"/>
      <c r="DF174" s="131"/>
      <c r="DG174" s="136"/>
      <c r="DH174" s="131"/>
      <c r="DI174" s="131"/>
      <c r="DJ174" s="136"/>
      <c r="DK174" s="136"/>
      <c r="DL174" s="136"/>
      <c r="DM174" s="136"/>
      <c r="DN174" s="136"/>
      <c r="DO174" s="136"/>
      <c r="DP174" s="136"/>
      <c r="DQ174" s="136"/>
      <c r="DR174" s="136"/>
      <c r="DS174" s="131"/>
      <c r="DT174" s="136"/>
      <c r="DU174" s="131"/>
      <c r="DV174" s="131"/>
      <c r="DW174" s="131"/>
      <c r="DX174" s="131"/>
      <c r="DY174" s="131"/>
      <c r="DZ174" s="136"/>
      <c r="EA174" s="131"/>
      <c r="EB174" s="131"/>
      <c r="EC174" s="131"/>
      <c r="ED174" s="131"/>
      <c r="EE174" s="137"/>
      <c r="EF174" s="227"/>
      <c r="EG174" s="227"/>
      <c r="EH174" s="228"/>
      <c r="EI174" s="228"/>
      <c r="EJ174" s="228"/>
      <c r="EK174" s="228"/>
    </row>
    <row r="175" spans="1:141">
      <c r="A175" s="132"/>
      <c r="B175" s="18"/>
      <c r="C175" s="18"/>
      <c r="D175" s="220"/>
      <c r="E175" s="130"/>
      <c r="F175" s="126"/>
      <c r="G175" s="18"/>
      <c r="H175" s="189"/>
      <c r="I175" s="18"/>
      <c r="J175" s="18"/>
      <c r="K175" s="189"/>
      <c r="L175" s="18"/>
      <c r="M175" s="129"/>
      <c r="N175" s="189"/>
      <c r="O175" s="132"/>
      <c r="P175" s="127"/>
      <c r="Q175" s="127"/>
      <c r="R175" s="128"/>
      <c r="S175" s="130"/>
      <c r="T175" s="135"/>
      <c r="U175" s="127"/>
      <c r="V175" s="217"/>
      <c r="W175" s="191"/>
      <c r="X175" s="133"/>
      <c r="Y175" s="131"/>
      <c r="Z175" s="131"/>
      <c r="AA175" s="242"/>
      <c r="AB175" s="131"/>
      <c r="AC175" s="131"/>
      <c r="AD175" s="131"/>
      <c r="AE175" s="131"/>
      <c r="AF175" s="131"/>
      <c r="AG175" s="131"/>
      <c r="AH175" s="131"/>
      <c r="AI175" s="131"/>
      <c r="AJ175" s="131"/>
      <c r="AK175" s="131"/>
      <c r="AL175" s="131"/>
      <c r="AM175" s="131"/>
      <c r="AN175" s="131"/>
      <c r="AO175" s="131"/>
      <c r="AP175" s="131"/>
      <c r="AQ175" s="243"/>
      <c r="AR175" s="131"/>
      <c r="AS175" s="131"/>
      <c r="AT175" s="131"/>
      <c r="AU175" s="131"/>
      <c r="AV175" s="131"/>
      <c r="AW175" s="131"/>
      <c r="AX175" s="131"/>
      <c r="AY175" s="131"/>
      <c r="AZ175" s="131"/>
      <c r="BA175" s="131"/>
      <c r="BB175" s="131"/>
      <c r="BC175" s="131"/>
      <c r="BD175" s="131"/>
      <c r="BE175" s="131"/>
      <c r="BF175" s="131"/>
      <c r="BG175" s="131"/>
      <c r="BH175" s="131"/>
      <c r="BI175" s="131"/>
      <c r="BJ175" s="131"/>
      <c r="BK175" s="131"/>
      <c r="BL175" s="131"/>
      <c r="BM175" s="131"/>
      <c r="BN175" s="131"/>
      <c r="BO175" s="136"/>
      <c r="BP175" s="131"/>
      <c r="BQ175" s="131"/>
      <c r="BR175" s="131"/>
      <c r="BS175" s="131"/>
      <c r="BT175" s="131"/>
      <c r="BU175" s="131"/>
      <c r="BV175" s="131"/>
      <c r="BW175" s="131"/>
      <c r="BX175" s="131"/>
      <c r="BY175" s="131"/>
      <c r="BZ175" s="131"/>
      <c r="CA175" s="131"/>
      <c r="CB175" s="131"/>
      <c r="CC175" s="131"/>
      <c r="CD175" s="131"/>
      <c r="CE175" s="131"/>
      <c r="CF175" s="136"/>
      <c r="CG175" s="136"/>
      <c r="CH175" s="131"/>
      <c r="CI175" s="131"/>
      <c r="CJ175" s="136"/>
      <c r="CK175" s="136"/>
      <c r="CL175" s="136"/>
      <c r="CM175" s="131"/>
      <c r="CN175" s="131"/>
      <c r="CO175" s="136"/>
      <c r="CP175" s="136"/>
      <c r="CQ175" s="131"/>
      <c r="CR175" s="131"/>
      <c r="CS175" s="131"/>
      <c r="CT175" s="131"/>
      <c r="CU175" s="131"/>
      <c r="CV175" s="131"/>
      <c r="CW175" s="131"/>
      <c r="CX175" s="131"/>
      <c r="CY175" s="136"/>
      <c r="CZ175" s="136"/>
      <c r="DA175" s="131"/>
      <c r="DB175" s="136"/>
      <c r="DC175" s="136"/>
      <c r="DD175" s="131"/>
      <c r="DE175" s="131"/>
      <c r="DF175" s="131"/>
      <c r="DG175" s="136"/>
      <c r="DH175" s="131"/>
      <c r="DI175" s="131"/>
      <c r="DJ175" s="136"/>
      <c r="DK175" s="136"/>
      <c r="DL175" s="136"/>
      <c r="DM175" s="136"/>
      <c r="DN175" s="136"/>
      <c r="DO175" s="136"/>
      <c r="DP175" s="136"/>
      <c r="DQ175" s="136"/>
      <c r="DR175" s="136"/>
      <c r="DS175" s="131"/>
      <c r="DT175" s="136"/>
      <c r="DU175" s="131"/>
      <c r="DV175" s="131"/>
      <c r="DW175" s="131"/>
      <c r="DX175" s="131"/>
      <c r="DY175" s="131"/>
      <c r="DZ175" s="136"/>
      <c r="EA175" s="131"/>
      <c r="EB175" s="131"/>
      <c r="EC175" s="131"/>
      <c r="ED175" s="131"/>
      <c r="EE175" s="137"/>
      <c r="EF175" s="227"/>
      <c r="EG175" s="227"/>
      <c r="EH175" s="228"/>
      <c r="EI175" s="228"/>
      <c r="EJ175" s="228"/>
      <c r="EK175" s="228"/>
    </row>
    <row r="176" spans="1:141">
      <c r="A176" s="132"/>
      <c r="B176" s="18"/>
      <c r="C176" s="18"/>
      <c r="D176" s="220"/>
      <c r="E176" s="130"/>
      <c r="F176" s="126"/>
      <c r="G176" s="18"/>
      <c r="H176" s="189"/>
      <c r="I176" s="18"/>
      <c r="J176" s="18"/>
      <c r="K176" s="189"/>
      <c r="L176" s="18"/>
      <c r="M176" s="129"/>
      <c r="N176" s="189"/>
      <c r="O176" s="132"/>
      <c r="P176" s="127"/>
      <c r="Q176" s="127"/>
      <c r="R176" s="128"/>
      <c r="S176" s="130"/>
      <c r="T176" s="135"/>
      <c r="U176" s="127"/>
      <c r="V176" s="217"/>
      <c r="W176" s="191"/>
      <c r="X176" s="133"/>
      <c r="Y176" s="131"/>
      <c r="Z176" s="131"/>
      <c r="AA176" s="242"/>
      <c r="AB176" s="131"/>
      <c r="AC176" s="131"/>
      <c r="AD176" s="131"/>
      <c r="AE176" s="131"/>
      <c r="AF176" s="131"/>
      <c r="AG176" s="131"/>
      <c r="AH176" s="131"/>
      <c r="AI176" s="131"/>
      <c r="AJ176" s="131"/>
      <c r="AK176" s="131"/>
      <c r="AL176" s="131"/>
      <c r="AM176" s="131"/>
      <c r="AN176" s="131"/>
      <c r="AO176" s="131"/>
      <c r="AP176" s="131"/>
      <c r="AQ176" s="243"/>
      <c r="AR176" s="131"/>
      <c r="AS176" s="131"/>
      <c r="AT176" s="131"/>
      <c r="AU176" s="131"/>
      <c r="AV176" s="131"/>
      <c r="AW176" s="131"/>
      <c r="AX176" s="131"/>
      <c r="AY176" s="131"/>
      <c r="AZ176" s="131"/>
      <c r="BA176" s="131"/>
      <c r="BB176" s="131"/>
      <c r="BC176" s="131"/>
      <c r="BD176" s="131"/>
      <c r="BE176" s="131"/>
      <c r="BF176" s="131"/>
      <c r="BG176" s="131"/>
      <c r="BH176" s="131"/>
      <c r="BI176" s="131"/>
      <c r="BJ176" s="131"/>
      <c r="BK176" s="131"/>
      <c r="BL176" s="131"/>
      <c r="BM176" s="131"/>
      <c r="BN176" s="131"/>
      <c r="BO176" s="136"/>
      <c r="BP176" s="131"/>
      <c r="BQ176" s="131"/>
      <c r="BR176" s="131"/>
      <c r="BS176" s="131"/>
      <c r="BT176" s="131"/>
      <c r="BU176" s="131"/>
      <c r="BV176" s="131"/>
      <c r="BW176" s="131"/>
      <c r="BX176" s="131"/>
      <c r="BY176" s="131"/>
      <c r="BZ176" s="131"/>
      <c r="CA176" s="131"/>
      <c r="CB176" s="131"/>
      <c r="CC176" s="131"/>
      <c r="CD176" s="131"/>
      <c r="CE176" s="131"/>
      <c r="CF176" s="136"/>
      <c r="CG176" s="136"/>
      <c r="CH176" s="131"/>
      <c r="CI176" s="131"/>
      <c r="CJ176" s="136"/>
      <c r="CK176" s="136"/>
      <c r="CL176" s="136"/>
      <c r="CM176" s="131"/>
      <c r="CN176" s="131"/>
      <c r="CO176" s="136"/>
      <c r="CP176" s="136"/>
      <c r="CQ176" s="131"/>
      <c r="CR176" s="131"/>
      <c r="CS176" s="131"/>
      <c r="CT176" s="131"/>
      <c r="CU176" s="131"/>
      <c r="CV176" s="131"/>
      <c r="CW176" s="131"/>
      <c r="CX176" s="131"/>
      <c r="CY176" s="136"/>
      <c r="CZ176" s="136"/>
      <c r="DA176" s="131"/>
      <c r="DB176" s="136"/>
      <c r="DC176" s="136"/>
      <c r="DD176" s="131"/>
      <c r="DE176" s="131"/>
      <c r="DF176" s="131"/>
      <c r="DG176" s="136"/>
      <c r="DH176" s="131"/>
      <c r="DI176" s="131"/>
      <c r="DJ176" s="136"/>
      <c r="DK176" s="136"/>
      <c r="DL176" s="136"/>
      <c r="DM176" s="136"/>
      <c r="DN176" s="136"/>
      <c r="DO176" s="136"/>
      <c r="DP176" s="136"/>
      <c r="DQ176" s="136"/>
      <c r="DR176" s="136"/>
      <c r="DS176" s="131"/>
      <c r="DT176" s="136"/>
      <c r="DU176" s="131"/>
      <c r="DV176" s="131"/>
      <c r="DW176" s="131"/>
      <c r="DX176" s="131"/>
      <c r="DY176" s="131"/>
      <c r="DZ176" s="136"/>
      <c r="EA176" s="131"/>
      <c r="EB176" s="131"/>
      <c r="EC176" s="131"/>
      <c r="ED176" s="131"/>
      <c r="EE176" s="137"/>
      <c r="EF176" s="227"/>
      <c r="EG176" s="227"/>
      <c r="EH176" s="228"/>
      <c r="EI176" s="228"/>
      <c r="EJ176" s="228"/>
      <c r="EK176" s="228"/>
    </row>
    <row r="177" spans="1:141">
      <c r="A177" s="132"/>
      <c r="B177" s="18"/>
      <c r="C177" s="18"/>
      <c r="D177" s="220"/>
      <c r="E177" s="130"/>
      <c r="F177" s="126"/>
      <c r="G177" s="18"/>
      <c r="H177" s="189"/>
      <c r="I177" s="18"/>
      <c r="J177" s="18"/>
      <c r="K177" s="189"/>
      <c r="L177" s="18"/>
      <c r="M177" s="129"/>
      <c r="N177" s="189"/>
      <c r="O177" s="132"/>
      <c r="P177" s="127"/>
      <c r="Q177" s="127"/>
      <c r="R177" s="128"/>
      <c r="S177" s="130"/>
      <c r="T177" s="135"/>
      <c r="U177" s="127"/>
      <c r="V177" s="217"/>
      <c r="W177" s="191"/>
      <c r="X177" s="133"/>
      <c r="Y177" s="131"/>
      <c r="Z177" s="131"/>
      <c r="AA177" s="242"/>
      <c r="AB177" s="131"/>
      <c r="AC177" s="131"/>
      <c r="AD177" s="131"/>
      <c r="AE177" s="131"/>
      <c r="AF177" s="131"/>
      <c r="AG177" s="131"/>
      <c r="AH177" s="131"/>
      <c r="AI177" s="131"/>
      <c r="AJ177" s="131"/>
      <c r="AK177" s="131"/>
      <c r="AL177" s="131"/>
      <c r="AM177" s="131"/>
      <c r="AN177" s="131"/>
      <c r="AO177" s="131"/>
      <c r="AP177" s="131"/>
      <c r="AQ177" s="243"/>
      <c r="AR177" s="131"/>
      <c r="AS177" s="131"/>
      <c r="AT177" s="131"/>
      <c r="AU177" s="131"/>
      <c r="AV177" s="131"/>
      <c r="AW177" s="131"/>
      <c r="AX177" s="131"/>
      <c r="AY177" s="131"/>
      <c r="AZ177" s="131"/>
      <c r="BA177" s="131"/>
      <c r="BB177" s="131"/>
      <c r="BC177" s="131"/>
      <c r="BD177" s="131"/>
      <c r="BE177" s="131"/>
      <c r="BF177" s="131"/>
      <c r="BG177" s="131"/>
      <c r="BH177" s="131"/>
      <c r="BI177" s="131"/>
      <c r="BJ177" s="131"/>
      <c r="BK177" s="131"/>
      <c r="BL177" s="131"/>
      <c r="BM177" s="131"/>
      <c r="BN177" s="131"/>
      <c r="BO177" s="136"/>
      <c r="BP177" s="131"/>
      <c r="BQ177" s="131"/>
      <c r="BR177" s="131"/>
      <c r="BS177" s="131"/>
      <c r="BT177" s="131"/>
      <c r="BU177" s="131"/>
      <c r="BV177" s="131"/>
      <c r="BW177" s="131"/>
      <c r="BX177" s="131"/>
      <c r="BY177" s="131"/>
      <c r="BZ177" s="131"/>
      <c r="CA177" s="131"/>
      <c r="CB177" s="131"/>
      <c r="CC177" s="131"/>
      <c r="CD177" s="131"/>
      <c r="CE177" s="131"/>
      <c r="CF177" s="136"/>
      <c r="CG177" s="136"/>
      <c r="CH177" s="131"/>
      <c r="CI177" s="131"/>
      <c r="CJ177" s="136"/>
      <c r="CK177" s="136"/>
      <c r="CL177" s="136"/>
      <c r="CM177" s="131"/>
      <c r="CN177" s="131"/>
      <c r="CO177" s="136"/>
      <c r="CP177" s="136"/>
      <c r="CQ177" s="131"/>
      <c r="CR177" s="131"/>
      <c r="CS177" s="131"/>
      <c r="CT177" s="131"/>
      <c r="CU177" s="131"/>
      <c r="CV177" s="131"/>
      <c r="CW177" s="131"/>
      <c r="CX177" s="131"/>
      <c r="CY177" s="136"/>
      <c r="CZ177" s="136"/>
      <c r="DA177" s="131"/>
      <c r="DB177" s="136"/>
      <c r="DC177" s="136"/>
      <c r="DD177" s="131"/>
      <c r="DE177" s="131"/>
      <c r="DF177" s="131"/>
      <c r="DG177" s="136"/>
      <c r="DH177" s="131"/>
      <c r="DI177" s="131"/>
      <c r="DJ177" s="136"/>
      <c r="DK177" s="136"/>
      <c r="DL177" s="136"/>
      <c r="DM177" s="136"/>
      <c r="DN177" s="136"/>
      <c r="DO177" s="136"/>
      <c r="DP177" s="136"/>
      <c r="DQ177" s="136"/>
      <c r="DR177" s="136"/>
      <c r="DS177" s="131"/>
      <c r="DT177" s="136"/>
      <c r="DU177" s="131"/>
      <c r="DV177" s="131"/>
      <c r="DW177" s="131"/>
      <c r="DX177" s="131"/>
      <c r="DY177" s="131"/>
      <c r="DZ177" s="136"/>
      <c r="EA177" s="131"/>
      <c r="EB177" s="131"/>
      <c r="EC177" s="131"/>
      <c r="ED177" s="131"/>
      <c r="EE177" s="137"/>
      <c r="EF177" s="227"/>
      <c r="EG177" s="227"/>
      <c r="EH177" s="228"/>
      <c r="EI177" s="228"/>
      <c r="EJ177" s="228"/>
      <c r="EK177" s="228"/>
    </row>
    <row r="178" spans="1:141">
      <c r="A178" s="132"/>
      <c r="B178" s="18"/>
      <c r="C178" s="18"/>
      <c r="D178" s="220"/>
      <c r="E178" s="130"/>
      <c r="F178" s="126"/>
      <c r="G178" s="18"/>
      <c r="H178" s="189"/>
      <c r="I178" s="18"/>
      <c r="J178" s="18"/>
      <c r="K178" s="189"/>
      <c r="L178" s="18"/>
      <c r="M178" s="129"/>
      <c r="N178" s="189"/>
      <c r="O178" s="132"/>
      <c r="P178" s="127"/>
      <c r="Q178" s="127"/>
      <c r="R178" s="128"/>
      <c r="S178" s="130"/>
      <c r="T178" s="135"/>
      <c r="U178" s="127"/>
      <c r="V178" s="217"/>
      <c r="W178" s="191"/>
      <c r="X178" s="133"/>
      <c r="Y178" s="131"/>
      <c r="Z178" s="131"/>
      <c r="AA178" s="242"/>
      <c r="AB178" s="131"/>
      <c r="AC178" s="131"/>
      <c r="AD178" s="131"/>
      <c r="AE178" s="131"/>
      <c r="AF178" s="131"/>
      <c r="AG178" s="131"/>
      <c r="AH178" s="131"/>
      <c r="AI178" s="131"/>
      <c r="AJ178" s="131"/>
      <c r="AK178" s="131"/>
      <c r="AL178" s="131"/>
      <c r="AM178" s="131"/>
      <c r="AN178" s="131"/>
      <c r="AO178" s="131"/>
      <c r="AP178" s="131"/>
      <c r="AQ178" s="243"/>
      <c r="AR178" s="131"/>
      <c r="AS178" s="131"/>
      <c r="AT178" s="131"/>
      <c r="AU178" s="131"/>
      <c r="AV178" s="131"/>
      <c r="AW178" s="131"/>
      <c r="AX178" s="131"/>
      <c r="AY178" s="131"/>
      <c r="AZ178" s="131"/>
      <c r="BA178" s="131"/>
      <c r="BB178" s="131"/>
      <c r="BC178" s="131"/>
      <c r="BD178" s="131"/>
      <c r="BE178" s="131"/>
      <c r="BF178" s="131"/>
      <c r="BG178" s="131"/>
      <c r="BH178" s="131"/>
      <c r="BI178" s="131"/>
      <c r="BJ178" s="131"/>
      <c r="BK178" s="131"/>
      <c r="BL178" s="131"/>
      <c r="BM178" s="131"/>
      <c r="BN178" s="131"/>
      <c r="BO178" s="136"/>
      <c r="BP178" s="131"/>
      <c r="BQ178" s="131"/>
      <c r="BR178" s="131"/>
      <c r="BS178" s="131"/>
      <c r="BT178" s="131"/>
      <c r="BU178" s="131"/>
      <c r="BV178" s="131"/>
      <c r="BW178" s="131"/>
      <c r="BX178" s="131"/>
      <c r="BY178" s="131"/>
      <c r="BZ178" s="131"/>
      <c r="CA178" s="131"/>
      <c r="CB178" s="131"/>
      <c r="CC178" s="131"/>
      <c r="CD178" s="131"/>
      <c r="CE178" s="131"/>
      <c r="CF178" s="136"/>
      <c r="CG178" s="136"/>
      <c r="CH178" s="131"/>
      <c r="CI178" s="131"/>
      <c r="CJ178" s="136"/>
      <c r="CK178" s="136"/>
      <c r="CL178" s="136"/>
      <c r="CM178" s="131"/>
      <c r="CN178" s="131"/>
      <c r="CO178" s="136"/>
      <c r="CP178" s="136"/>
      <c r="CQ178" s="131"/>
      <c r="CR178" s="131"/>
      <c r="CS178" s="131"/>
      <c r="CT178" s="131"/>
      <c r="CU178" s="131"/>
      <c r="CV178" s="131"/>
      <c r="CW178" s="131"/>
      <c r="CX178" s="131"/>
      <c r="CY178" s="136"/>
      <c r="CZ178" s="136"/>
      <c r="DA178" s="131"/>
      <c r="DB178" s="136"/>
      <c r="DC178" s="136"/>
      <c r="DD178" s="131"/>
      <c r="DE178" s="131"/>
      <c r="DF178" s="131"/>
      <c r="DG178" s="136"/>
      <c r="DH178" s="131"/>
      <c r="DI178" s="131"/>
      <c r="DJ178" s="136"/>
      <c r="DK178" s="136"/>
      <c r="DL178" s="136"/>
      <c r="DM178" s="136"/>
      <c r="DN178" s="136"/>
      <c r="DO178" s="136"/>
      <c r="DP178" s="136"/>
      <c r="DQ178" s="136"/>
      <c r="DR178" s="136"/>
      <c r="DS178" s="131"/>
      <c r="DT178" s="136"/>
      <c r="DU178" s="131"/>
      <c r="DV178" s="131"/>
      <c r="DW178" s="131"/>
      <c r="DX178" s="131"/>
      <c r="DY178" s="131"/>
      <c r="DZ178" s="136"/>
      <c r="EA178" s="131"/>
      <c r="EB178" s="131"/>
      <c r="EC178" s="131"/>
      <c r="ED178" s="131"/>
      <c r="EE178" s="137"/>
      <c r="EF178" s="227"/>
      <c r="EG178" s="227"/>
      <c r="EH178" s="228"/>
      <c r="EI178" s="228"/>
      <c r="EJ178" s="228"/>
      <c r="EK178" s="228"/>
    </row>
    <row r="179" spans="1:141">
      <c r="A179" s="132"/>
      <c r="B179" s="18"/>
      <c r="C179" s="18"/>
      <c r="D179" s="220"/>
      <c r="E179" s="130"/>
      <c r="F179" s="126"/>
      <c r="G179" s="18"/>
      <c r="H179" s="189"/>
      <c r="I179" s="18"/>
      <c r="J179" s="18"/>
      <c r="K179" s="189"/>
      <c r="L179" s="18"/>
      <c r="M179" s="129"/>
      <c r="N179" s="189"/>
      <c r="O179" s="132"/>
      <c r="P179" s="127"/>
      <c r="Q179" s="127"/>
      <c r="R179" s="128"/>
      <c r="S179" s="130"/>
      <c r="T179" s="135"/>
      <c r="U179" s="127"/>
      <c r="V179" s="217"/>
      <c r="W179" s="191"/>
      <c r="X179" s="133"/>
      <c r="Y179" s="131"/>
      <c r="Z179" s="131"/>
      <c r="AA179" s="242"/>
      <c r="AB179" s="131"/>
      <c r="AC179" s="131"/>
      <c r="AD179" s="131"/>
      <c r="AE179" s="131"/>
      <c r="AF179" s="131"/>
      <c r="AG179" s="131"/>
      <c r="AH179" s="131"/>
      <c r="AI179" s="131"/>
      <c r="AJ179" s="131"/>
      <c r="AK179" s="131"/>
      <c r="AL179" s="131"/>
      <c r="AM179" s="131"/>
      <c r="AN179" s="131"/>
      <c r="AO179" s="131"/>
      <c r="AP179" s="131"/>
      <c r="AQ179" s="243"/>
      <c r="AR179" s="131"/>
      <c r="AS179" s="131"/>
      <c r="AT179" s="131"/>
      <c r="AU179" s="131"/>
      <c r="AV179" s="131"/>
      <c r="AW179" s="131"/>
      <c r="AX179" s="131"/>
      <c r="AY179" s="131"/>
      <c r="AZ179" s="131"/>
      <c r="BA179" s="131"/>
      <c r="BB179" s="131"/>
      <c r="BC179" s="131"/>
      <c r="BD179" s="131"/>
      <c r="BE179" s="131"/>
      <c r="BF179" s="131"/>
      <c r="BG179" s="131"/>
      <c r="BH179" s="131"/>
      <c r="BI179" s="131"/>
      <c r="BJ179" s="131"/>
      <c r="BK179" s="131"/>
      <c r="BL179" s="131"/>
      <c r="BM179" s="131"/>
      <c r="BN179" s="131"/>
      <c r="BO179" s="136"/>
      <c r="BP179" s="131"/>
      <c r="BQ179" s="131"/>
      <c r="BR179" s="131"/>
      <c r="BS179" s="131"/>
      <c r="BT179" s="131"/>
      <c r="BU179" s="131"/>
      <c r="BV179" s="131"/>
      <c r="BW179" s="131"/>
      <c r="BX179" s="131"/>
      <c r="BY179" s="131"/>
      <c r="BZ179" s="131"/>
      <c r="CA179" s="131"/>
      <c r="CB179" s="131"/>
      <c r="CC179" s="131"/>
      <c r="CD179" s="131"/>
      <c r="CE179" s="131"/>
      <c r="CF179" s="136"/>
      <c r="CG179" s="136"/>
      <c r="CH179" s="131"/>
      <c r="CI179" s="131"/>
      <c r="CJ179" s="136"/>
      <c r="CK179" s="136"/>
      <c r="CL179" s="136"/>
      <c r="CM179" s="131"/>
      <c r="CN179" s="131"/>
      <c r="CO179" s="136"/>
      <c r="CP179" s="136"/>
      <c r="CQ179" s="131"/>
      <c r="CR179" s="131"/>
      <c r="CS179" s="131"/>
      <c r="CT179" s="131"/>
      <c r="CU179" s="131"/>
      <c r="CV179" s="131"/>
      <c r="CW179" s="131"/>
      <c r="CX179" s="131"/>
      <c r="CY179" s="136"/>
      <c r="CZ179" s="136"/>
      <c r="DA179" s="131"/>
      <c r="DB179" s="136"/>
      <c r="DC179" s="136"/>
      <c r="DD179" s="131"/>
      <c r="DE179" s="131"/>
      <c r="DF179" s="131"/>
      <c r="DG179" s="136"/>
      <c r="DH179" s="131"/>
      <c r="DI179" s="131"/>
      <c r="DJ179" s="136"/>
      <c r="DK179" s="136"/>
      <c r="DL179" s="136"/>
      <c r="DM179" s="136"/>
      <c r="DN179" s="136"/>
      <c r="DO179" s="136"/>
      <c r="DP179" s="136"/>
      <c r="DQ179" s="136"/>
      <c r="DR179" s="136"/>
      <c r="DS179" s="131"/>
      <c r="DT179" s="136"/>
      <c r="DU179" s="131"/>
      <c r="DV179" s="131"/>
      <c r="DW179" s="131"/>
      <c r="DX179" s="131"/>
      <c r="DY179" s="131"/>
      <c r="DZ179" s="136"/>
      <c r="EA179" s="131"/>
      <c r="EB179" s="131"/>
      <c r="EC179" s="131"/>
      <c r="ED179" s="131"/>
      <c r="EE179" s="137"/>
      <c r="EF179" s="227"/>
      <c r="EG179" s="227"/>
      <c r="EH179" s="228"/>
      <c r="EI179" s="228"/>
      <c r="EJ179" s="228"/>
      <c r="EK179" s="228"/>
    </row>
    <row r="180" spans="1:141">
      <c r="A180" s="132"/>
      <c r="B180" s="18"/>
      <c r="C180" s="18"/>
      <c r="D180" s="220"/>
      <c r="E180" s="130"/>
      <c r="F180" s="126"/>
      <c r="G180" s="18"/>
      <c r="H180" s="189"/>
      <c r="I180" s="18"/>
      <c r="J180" s="18"/>
      <c r="K180" s="189"/>
      <c r="L180" s="18"/>
      <c r="M180" s="129"/>
      <c r="N180" s="189"/>
      <c r="O180" s="132"/>
      <c r="P180" s="127"/>
      <c r="Q180" s="127"/>
      <c r="R180" s="128"/>
      <c r="S180" s="130"/>
      <c r="T180" s="135"/>
      <c r="U180" s="127"/>
      <c r="V180" s="217"/>
      <c r="W180" s="191"/>
      <c r="X180" s="133"/>
      <c r="Y180" s="131"/>
      <c r="Z180" s="131"/>
      <c r="AA180" s="242"/>
      <c r="AB180" s="131"/>
      <c r="AC180" s="131"/>
      <c r="AD180" s="131"/>
      <c r="AE180" s="131"/>
      <c r="AF180" s="131"/>
      <c r="AG180" s="131"/>
      <c r="AH180" s="131"/>
      <c r="AI180" s="131"/>
      <c r="AJ180" s="131"/>
      <c r="AK180" s="131"/>
      <c r="AL180" s="131"/>
      <c r="AM180" s="131"/>
      <c r="AN180" s="131"/>
      <c r="AO180" s="131"/>
      <c r="AP180" s="131"/>
      <c r="AQ180" s="243"/>
      <c r="AR180" s="131"/>
      <c r="AS180" s="131"/>
      <c r="AT180" s="131"/>
      <c r="AU180" s="131"/>
      <c r="AV180" s="131"/>
      <c r="AW180" s="131"/>
      <c r="AX180" s="131"/>
      <c r="AY180" s="131"/>
      <c r="AZ180" s="131"/>
      <c r="BA180" s="131"/>
      <c r="BB180" s="131"/>
      <c r="BC180" s="131"/>
      <c r="BD180" s="131"/>
      <c r="BE180" s="131"/>
      <c r="BF180" s="131"/>
      <c r="BG180" s="131"/>
      <c r="BH180" s="131"/>
      <c r="BI180" s="131"/>
      <c r="BJ180" s="131"/>
      <c r="BK180" s="131"/>
      <c r="BL180" s="131"/>
      <c r="BM180" s="131"/>
      <c r="BN180" s="131"/>
      <c r="BO180" s="136"/>
      <c r="BP180" s="131"/>
      <c r="BQ180" s="131"/>
      <c r="BR180" s="131"/>
      <c r="BS180" s="131"/>
      <c r="BT180" s="131"/>
      <c r="BU180" s="131"/>
      <c r="BV180" s="131"/>
      <c r="BW180" s="131"/>
      <c r="BX180" s="131"/>
      <c r="BY180" s="131"/>
      <c r="BZ180" s="131"/>
      <c r="CA180" s="131"/>
      <c r="CB180" s="131"/>
      <c r="CC180" s="131"/>
      <c r="CD180" s="131"/>
      <c r="CE180" s="131"/>
      <c r="CF180" s="136"/>
      <c r="CG180" s="136"/>
      <c r="CH180" s="131"/>
      <c r="CI180" s="131"/>
      <c r="CJ180" s="136"/>
      <c r="CK180" s="136"/>
      <c r="CL180" s="136"/>
      <c r="CM180" s="131"/>
      <c r="CN180" s="131"/>
      <c r="CO180" s="136"/>
      <c r="CP180" s="136"/>
      <c r="CQ180" s="131"/>
      <c r="CR180" s="131"/>
      <c r="CS180" s="131"/>
      <c r="CT180" s="131"/>
      <c r="CU180" s="131"/>
      <c r="CV180" s="131"/>
      <c r="CW180" s="131"/>
      <c r="CX180" s="131"/>
      <c r="CY180" s="136"/>
      <c r="CZ180" s="136"/>
      <c r="DA180" s="131"/>
      <c r="DB180" s="136"/>
      <c r="DC180" s="136"/>
      <c r="DD180" s="131"/>
      <c r="DE180" s="131"/>
      <c r="DF180" s="131"/>
      <c r="DG180" s="136"/>
      <c r="DH180" s="131"/>
      <c r="DI180" s="131"/>
      <c r="DJ180" s="136"/>
      <c r="DK180" s="136"/>
      <c r="DL180" s="136"/>
      <c r="DM180" s="136"/>
      <c r="DN180" s="136"/>
      <c r="DO180" s="136"/>
      <c r="DP180" s="136"/>
      <c r="DQ180" s="136"/>
      <c r="DR180" s="136"/>
      <c r="DS180" s="131"/>
      <c r="DT180" s="136"/>
      <c r="DU180" s="131"/>
      <c r="DV180" s="131"/>
      <c r="DW180" s="131"/>
      <c r="DX180" s="131"/>
      <c r="DY180" s="131"/>
      <c r="DZ180" s="136"/>
      <c r="EA180" s="131"/>
      <c r="EB180" s="131"/>
      <c r="EC180" s="131"/>
      <c r="ED180" s="131"/>
      <c r="EE180" s="137"/>
      <c r="EF180" s="227"/>
      <c r="EG180" s="227"/>
      <c r="EH180" s="228"/>
      <c r="EI180" s="228"/>
      <c r="EJ180" s="228"/>
      <c r="EK180" s="228"/>
    </row>
    <row r="181" spans="1:141">
      <c r="A181" s="132"/>
      <c r="B181" s="18"/>
      <c r="C181" s="18"/>
      <c r="D181" s="220"/>
      <c r="E181" s="130"/>
      <c r="F181" s="126"/>
      <c r="G181" s="18"/>
      <c r="H181" s="189"/>
      <c r="I181" s="18"/>
      <c r="J181" s="18"/>
      <c r="K181" s="189"/>
      <c r="L181" s="18"/>
      <c r="M181" s="129"/>
      <c r="N181" s="189"/>
      <c r="O181" s="132"/>
      <c r="P181" s="127"/>
      <c r="Q181" s="127"/>
      <c r="R181" s="128"/>
      <c r="S181" s="130"/>
      <c r="T181" s="135"/>
      <c r="U181" s="127"/>
      <c r="V181" s="217"/>
      <c r="W181" s="191"/>
      <c r="X181" s="133"/>
      <c r="Y181" s="131"/>
      <c r="Z181" s="131"/>
      <c r="AA181" s="242"/>
      <c r="AB181" s="131"/>
      <c r="AC181" s="131"/>
      <c r="AD181" s="131"/>
      <c r="AE181" s="131"/>
      <c r="AF181" s="131"/>
      <c r="AG181" s="131"/>
      <c r="AH181" s="131"/>
      <c r="AI181" s="131"/>
      <c r="AJ181" s="131"/>
      <c r="AK181" s="131"/>
      <c r="AL181" s="131"/>
      <c r="AM181" s="131"/>
      <c r="AN181" s="131"/>
      <c r="AO181" s="131"/>
      <c r="AP181" s="131"/>
      <c r="AQ181" s="243"/>
      <c r="AR181" s="131"/>
      <c r="AS181" s="131"/>
      <c r="AT181" s="131"/>
      <c r="AU181" s="131"/>
      <c r="AV181" s="131"/>
      <c r="AW181" s="131"/>
      <c r="AX181" s="131"/>
      <c r="AY181" s="131"/>
      <c r="AZ181" s="131"/>
      <c r="BA181" s="131"/>
      <c r="BB181" s="131"/>
      <c r="BC181" s="131"/>
      <c r="BD181" s="131"/>
      <c r="BE181" s="131"/>
      <c r="BF181" s="131"/>
      <c r="BG181" s="131"/>
      <c r="BH181" s="131"/>
      <c r="BI181" s="131"/>
      <c r="BJ181" s="131"/>
      <c r="BK181" s="131"/>
      <c r="BL181" s="131"/>
      <c r="BM181" s="131"/>
      <c r="BN181" s="131"/>
      <c r="BO181" s="136"/>
      <c r="BP181" s="131"/>
      <c r="BQ181" s="131"/>
      <c r="BR181" s="131"/>
      <c r="BS181" s="131"/>
      <c r="BT181" s="131"/>
      <c r="BU181" s="131"/>
      <c r="BV181" s="131"/>
      <c r="BW181" s="131"/>
      <c r="BX181" s="131"/>
      <c r="BY181" s="131"/>
      <c r="BZ181" s="131"/>
      <c r="CA181" s="131"/>
      <c r="CB181" s="131"/>
      <c r="CC181" s="131"/>
      <c r="CD181" s="131"/>
      <c r="CE181" s="131"/>
      <c r="CF181" s="136"/>
      <c r="CG181" s="136"/>
      <c r="CH181" s="131"/>
      <c r="CI181" s="131"/>
      <c r="CJ181" s="136"/>
      <c r="CK181" s="136"/>
      <c r="CL181" s="136"/>
      <c r="CM181" s="131"/>
      <c r="CN181" s="131"/>
      <c r="CO181" s="136"/>
      <c r="CP181" s="136"/>
      <c r="CQ181" s="131"/>
      <c r="CR181" s="131"/>
      <c r="CS181" s="131"/>
      <c r="CT181" s="131"/>
      <c r="CU181" s="131"/>
      <c r="CV181" s="131"/>
      <c r="CW181" s="131"/>
      <c r="CX181" s="131"/>
      <c r="CY181" s="136"/>
      <c r="CZ181" s="136"/>
      <c r="DA181" s="131"/>
      <c r="DB181" s="136"/>
      <c r="DC181" s="136"/>
      <c r="DD181" s="131"/>
      <c r="DE181" s="131"/>
      <c r="DF181" s="131"/>
      <c r="DG181" s="136"/>
      <c r="DH181" s="131"/>
      <c r="DI181" s="131"/>
      <c r="DJ181" s="136"/>
      <c r="DK181" s="136"/>
      <c r="DL181" s="136"/>
      <c r="DM181" s="136"/>
      <c r="DN181" s="136"/>
      <c r="DO181" s="136"/>
      <c r="DP181" s="136"/>
      <c r="DQ181" s="136"/>
      <c r="DR181" s="136"/>
      <c r="DS181" s="131"/>
      <c r="DT181" s="136"/>
      <c r="DU181" s="131"/>
      <c r="DV181" s="131"/>
      <c r="DW181" s="131"/>
      <c r="DX181" s="131"/>
      <c r="DY181" s="131"/>
      <c r="DZ181" s="136"/>
      <c r="EA181" s="131"/>
      <c r="EB181" s="131"/>
      <c r="EC181" s="131"/>
      <c r="ED181" s="131"/>
      <c r="EE181" s="137"/>
      <c r="EF181" s="227"/>
      <c r="EG181" s="227"/>
      <c r="EH181" s="228"/>
      <c r="EI181" s="228"/>
      <c r="EJ181" s="228"/>
      <c r="EK181" s="228"/>
    </row>
    <row r="182" spans="1:141">
      <c r="A182" s="132"/>
      <c r="B182" s="18"/>
      <c r="C182" s="18"/>
      <c r="D182" s="220"/>
      <c r="E182" s="130"/>
      <c r="F182" s="126"/>
      <c r="G182" s="18"/>
      <c r="H182" s="189"/>
      <c r="I182" s="18"/>
      <c r="J182" s="18"/>
      <c r="K182" s="189"/>
      <c r="L182" s="18"/>
      <c r="M182" s="129"/>
      <c r="N182" s="189"/>
      <c r="O182" s="132"/>
      <c r="P182" s="127"/>
      <c r="Q182" s="127"/>
      <c r="R182" s="128"/>
      <c r="S182" s="130"/>
      <c r="T182" s="135"/>
      <c r="U182" s="127"/>
      <c r="V182" s="217"/>
      <c r="W182" s="191"/>
      <c r="X182" s="133"/>
      <c r="Y182" s="131"/>
      <c r="Z182" s="131"/>
      <c r="AA182" s="242"/>
      <c r="AB182" s="131"/>
      <c r="AC182" s="131"/>
      <c r="AD182" s="131"/>
      <c r="AE182" s="131"/>
      <c r="AF182" s="131"/>
      <c r="AG182" s="131"/>
      <c r="AH182" s="131"/>
      <c r="AI182" s="131"/>
      <c r="AJ182" s="131"/>
      <c r="AK182" s="131"/>
      <c r="AL182" s="131"/>
      <c r="AM182" s="131"/>
      <c r="AN182" s="131"/>
      <c r="AO182" s="131"/>
      <c r="AP182" s="131"/>
      <c r="AQ182" s="243"/>
      <c r="AR182" s="131"/>
      <c r="AS182" s="131"/>
      <c r="AT182" s="131"/>
      <c r="AU182" s="131"/>
      <c r="AV182" s="131"/>
      <c r="AW182" s="131"/>
      <c r="AX182" s="131"/>
      <c r="AY182" s="131"/>
      <c r="AZ182" s="131"/>
      <c r="BA182" s="131"/>
      <c r="BB182" s="131"/>
      <c r="BC182" s="131"/>
      <c r="BD182" s="131"/>
      <c r="BE182" s="131"/>
      <c r="BF182" s="131"/>
      <c r="BG182" s="131"/>
      <c r="BH182" s="131"/>
      <c r="BI182" s="131"/>
      <c r="BJ182" s="131"/>
      <c r="BK182" s="131"/>
      <c r="BL182" s="131"/>
      <c r="BM182" s="131"/>
      <c r="BN182" s="131"/>
      <c r="BO182" s="136"/>
      <c r="BP182" s="131"/>
      <c r="BQ182" s="131"/>
      <c r="BR182" s="131"/>
      <c r="BS182" s="131"/>
      <c r="BT182" s="131"/>
      <c r="BU182" s="131"/>
      <c r="BV182" s="131"/>
      <c r="BW182" s="131"/>
      <c r="BX182" s="131"/>
      <c r="BY182" s="131"/>
      <c r="BZ182" s="131"/>
      <c r="CA182" s="131"/>
      <c r="CB182" s="131"/>
      <c r="CC182" s="131"/>
      <c r="CD182" s="131"/>
      <c r="CE182" s="131"/>
      <c r="CF182" s="136"/>
      <c r="CG182" s="136"/>
      <c r="CH182" s="131"/>
      <c r="CI182" s="131"/>
      <c r="CJ182" s="136"/>
      <c r="CK182" s="136"/>
      <c r="CL182" s="136"/>
      <c r="CM182" s="131"/>
      <c r="CN182" s="131"/>
      <c r="CO182" s="136"/>
      <c r="CP182" s="136"/>
      <c r="CQ182" s="131"/>
      <c r="CR182" s="131"/>
      <c r="CS182" s="131"/>
      <c r="CT182" s="131"/>
      <c r="CU182" s="131"/>
      <c r="CV182" s="131"/>
      <c r="CW182" s="131"/>
      <c r="CX182" s="131"/>
      <c r="CY182" s="136"/>
      <c r="CZ182" s="136"/>
      <c r="DA182" s="131"/>
      <c r="DB182" s="136"/>
      <c r="DC182" s="136"/>
      <c r="DD182" s="131"/>
      <c r="DE182" s="131"/>
      <c r="DF182" s="131"/>
      <c r="DG182" s="136"/>
      <c r="DH182" s="131"/>
      <c r="DI182" s="131"/>
      <c r="DJ182" s="136"/>
      <c r="DK182" s="136"/>
      <c r="DL182" s="136"/>
      <c r="DM182" s="136"/>
      <c r="DN182" s="136"/>
      <c r="DO182" s="136"/>
      <c r="DP182" s="136"/>
      <c r="DQ182" s="136"/>
      <c r="DR182" s="136"/>
      <c r="DS182" s="131"/>
      <c r="DT182" s="136"/>
      <c r="DU182" s="131"/>
      <c r="DV182" s="131"/>
      <c r="DW182" s="131"/>
      <c r="DX182" s="131"/>
      <c r="DY182" s="131"/>
      <c r="DZ182" s="136"/>
      <c r="EA182" s="131"/>
      <c r="EB182" s="131"/>
      <c r="EC182" s="131"/>
      <c r="ED182" s="131"/>
      <c r="EE182" s="137"/>
      <c r="EF182" s="227"/>
      <c r="EG182" s="227"/>
      <c r="EH182" s="228"/>
      <c r="EI182" s="228"/>
      <c r="EJ182" s="228"/>
      <c r="EK182" s="228"/>
    </row>
    <row r="183" spans="1:141">
      <c r="A183" s="132"/>
      <c r="B183" s="18"/>
      <c r="C183" s="18"/>
      <c r="D183" s="220"/>
      <c r="E183" s="130"/>
      <c r="F183" s="126"/>
      <c r="G183" s="18"/>
      <c r="H183" s="189"/>
      <c r="I183" s="18"/>
      <c r="J183" s="18"/>
      <c r="K183" s="189"/>
      <c r="L183" s="18"/>
      <c r="M183" s="129"/>
      <c r="N183" s="189"/>
      <c r="O183" s="132"/>
      <c r="P183" s="127"/>
      <c r="Q183" s="127"/>
      <c r="R183" s="128"/>
      <c r="S183" s="130"/>
      <c r="T183" s="135"/>
      <c r="U183" s="127"/>
      <c r="V183" s="217"/>
      <c r="W183" s="191"/>
      <c r="X183" s="133"/>
      <c r="Y183" s="131"/>
      <c r="Z183" s="131"/>
      <c r="AA183" s="242"/>
      <c r="AB183" s="131"/>
      <c r="AC183" s="131"/>
      <c r="AD183" s="131"/>
      <c r="AE183" s="131"/>
      <c r="AF183" s="131"/>
      <c r="AG183" s="131"/>
      <c r="AH183" s="131"/>
      <c r="AI183" s="131"/>
      <c r="AJ183" s="131"/>
      <c r="AK183" s="131"/>
      <c r="AL183" s="131"/>
      <c r="AM183" s="131"/>
      <c r="AN183" s="131"/>
      <c r="AO183" s="131"/>
      <c r="AP183" s="131"/>
      <c r="AQ183" s="243"/>
      <c r="AR183" s="131"/>
      <c r="AS183" s="131"/>
      <c r="AT183" s="131"/>
      <c r="AU183" s="131"/>
      <c r="AV183" s="131"/>
      <c r="AW183" s="131"/>
      <c r="AX183" s="131"/>
      <c r="AY183" s="131"/>
      <c r="AZ183" s="131"/>
      <c r="BA183" s="131"/>
      <c r="BB183" s="131"/>
      <c r="BC183" s="131"/>
      <c r="BD183" s="131"/>
      <c r="BE183" s="131"/>
      <c r="BF183" s="131"/>
      <c r="BG183" s="131"/>
      <c r="BH183" s="131"/>
      <c r="BI183" s="131"/>
      <c r="BJ183" s="131"/>
      <c r="BK183" s="131"/>
      <c r="BL183" s="131"/>
      <c r="BM183" s="131"/>
      <c r="BN183" s="131"/>
      <c r="BO183" s="136"/>
      <c r="BP183" s="131"/>
      <c r="BQ183" s="131"/>
      <c r="BR183" s="131"/>
      <c r="BS183" s="131"/>
      <c r="BT183" s="131"/>
      <c r="BU183" s="131"/>
      <c r="BV183" s="131"/>
      <c r="BW183" s="131"/>
      <c r="BX183" s="131"/>
      <c r="BY183" s="131"/>
      <c r="BZ183" s="131"/>
      <c r="CA183" s="131"/>
      <c r="CB183" s="131"/>
      <c r="CC183" s="131"/>
      <c r="CD183" s="131"/>
      <c r="CE183" s="131"/>
      <c r="CF183" s="136"/>
      <c r="CG183" s="136"/>
      <c r="CH183" s="131"/>
      <c r="CI183" s="131"/>
      <c r="CJ183" s="136"/>
      <c r="CK183" s="136"/>
      <c r="CL183" s="136"/>
      <c r="CM183" s="131"/>
      <c r="CN183" s="131"/>
      <c r="CO183" s="136"/>
      <c r="CP183" s="136"/>
      <c r="CQ183" s="131"/>
      <c r="CR183" s="131"/>
      <c r="CS183" s="131"/>
      <c r="CT183" s="131"/>
      <c r="CU183" s="131"/>
      <c r="CV183" s="131"/>
      <c r="CW183" s="131"/>
      <c r="CX183" s="131"/>
      <c r="CY183" s="136"/>
      <c r="CZ183" s="136"/>
      <c r="DA183" s="131"/>
      <c r="DB183" s="136"/>
      <c r="DC183" s="136"/>
      <c r="DD183" s="131"/>
      <c r="DE183" s="131"/>
      <c r="DF183" s="131"/>
      <c r="DG183" s="136"/>
      <c r="DH183" s="131"/>
      <c r="DI183" s="131"/>
      <c r="DJ183" s="136"/>
      <c r="DK183" s="136"/>
      <c r="DL183" s="136"/>
      <c r="DM183" s="136"/>
      <c r="DN183" s="136"/>
      <c r="DO183" s="136"/>
      <c r="DP183" s="136"/>
      <c r="DQ183" s="136"/>
      <c r="DR183" s="136"/>
      <c r="DS183" s="131"/>
      <c r="DT183" s="136"/>
      <c r="DU183" s="131"/>
      <c r="DV183" s="131"/>
      <c r="DW183" s="131"/>
      <c r="DX183" s="131"/>
      <c r="DY183" s="131"/>
      <c r="DZ183" s="136"/>
      <c r="EA183" s="131"/>
      <c r="EB183" s="131"/>
      <c r="EC183" s="131"/>
      <c r="ED183" s="131"/>
      <c r="EE183" s="137"/>
      <c r="EF183" s="227"/>
      <c r="EG183" s="227"/>
      <c r="EH183" s="228"/>
      <c r="EI183" s="228"/>
      <c r="EJ183" s="228"/>
      <c r="EK183" s="228"/>
    </row>
    <row r="184" spans="1:141">
      <c r="A184" s="132"/>
      <c r="B184" s="18"/>
      <c r="C184" s="18"/>
      <c r="D184" s="220"/>
      <c r="E184" s="130"/>
      <c r="F184" s="126"/>
      <c r="G184" s="18"/>
      <c r="H184" s="189"/>
      <c r="I184" s="18"/>
      <c r="J184" s="18"/>
      <c r="K184" s="189"/>
      <c r="L184" s="18"/>
      <c r="M184" s="129"/>
      <c r="N184" s="189"/>
      <c r="O184" s="132"/>
      <c r="P184" s="127"/>
      <c r="Q184" s="127"/>
      <c r="R184" s="128"/>
      <c r="S184" s="130"/>
      <c r="T184" s="135"/>
      <c r="U184" s="127"/>
      <c r="V184" s="217"/>
      <c r="W184" s="191"/>
      <c r="X184" s="133"/>
      <c r="Y184" s="131"/>
      <c r="Z184" s="131"/>
      <c r="AA184" s="242"/>
      <c r="AB184" s="131"/>
      <c r="AC184" s="131"/>
      <c r="AD184" s="131"/>
      <c r="AE184" s="131"/>
      <c r="AF184" s="131"/>
      <c r="AG184" s="131"/>
      <c r="AH184" s="131"/>
      <c r="AI184" s="131"/>
      <c r="AJ184" s="131"/>
      <c r="AK184" s="131"/>
      <c r="AL184" s="131"/>
      <c r="AM184" s="131"/>
      <c r="AN184" s="131"/>
      <c r="AO184" s="131"/>
      <c r="AP184" s="131"/>
      <c r="AQ184" s="243"/>
      <c r="AR184" s="131"/>
      <c r="AS184" s="131"/>
      <c r="AT184" s="131"/>
      <c r="AU184" s="131"/>
      <c r="AV184" s="131"/>
      <c r="AW184" s="131"/>
      <c r="AX184" s="131"/>
      <c r="AY184" s="131"/>
      <c r="AZ184" s="131"/>
      <c r="BA184" s="131"/>
      <c r="BB184" s="131"/>
      <c r="BC184" s="131"/>
      <c r="BD184" s="131"/>
      <c r="BE184" s="131"/>
      <c r="BF184" s="131"/>
      <c r="BG184" s="131"/>
      <c r="BH184" s="131"/>
      <c r="BI184" s="131"/>
      <c r="BJ184" s="131"/>
      <c r="BK184" s="131"/>
      <c r="BL184" s="131"/>
      <c r="BM184" s="131"/>
      <c r="BN184" s="131"/>
      <c r="BO184" s="136"/>
      <c r="BP184" s="131"/>
      <c r="BQ184" s="131"/>
      <c r="BR184" s="131"/>
      <c r="BS184" s="131"/>
      <c r="BT184" s="131"/>
      <c r="BU184" s="131"/>
      <c r="BV184" s="131"/>
      <c r="BW184" s="131"/>
      <c r="BX184" s="131"/>
      <c r="BY184" s="131"/>
      <c r="BZ184" s="131"/>
      <c r="CA184" s="131"/>
      <c r="CB184" s="131"/>
      <c r="CC184" s="131"/>
      <c r="CD184" s="131"/>
      <c r="CE184" s="131"/>
      <c r="CF184" s="136"/>
      <c r="CG184" s="136"/>
      <c r="CH184" s="131"/>
      <c r="CI184" s="131"/>
      <c r="CJ184" s="136"/>
      <c r="CK184" s="136"/>
      <c r="CL184" s="136"/>
      <c r="CM184" s="131"/>
      <c r="CN184" s="131"/>
      <c r="CO184" s="136"/>
      <c r="CP184" s="136"/>
      <c r="CQ184" s="131"/>
      <c r="CR184" s="131"/>
      <c r="CS184" s="131"/>
      <c r="CT184" s="131"/>
      <c r="CU184" s="131"/>
      <c r="CV184" s="131"/>
      <c r="CW184" s="131"/>
      <c r="CX184" s="131"/>
      <c r="CY184" s="136"/>
      <c r="CZ184" s="136"/>
      <c r="DA184" s="131"/>
      <c r="DB184" s="136"/>
      <c r="DC184" s="136"/>
      <c r="DD184" s="131"/>
      <c r="DE184" s="131"/>
      <c r="DF184" s="131"/>
      <c r="DG184" s="136"/>
      <c r="DH184" s="131"/>
      <c r="DI184" s="131"/>
      <c r="DJ184" s="136"/>
      <c r="DK184" s="136"/>
      <c r="DL184" s="136"/>
      <c r="DM184" s="136"/>
      <c r="DN184" s="136"/>
      <c r="DO184" s="136"/>
      <c r="DP184" s="136"/>
      <c r="DQ184" s="136"/>
      <c r="DR184" s="136"/>
      <c r="DS184" s="131"/>
      <c r="DT184" s="136"/>
      <c r="DU184" s="131"/>
      <c r="DV184" s="131"/>
      <c r="DW184" s="131"/>
      <c r="DX184" s="131"/>
      <c r="DY184" s="131"/>
      <c r="DZ184" s="136"/>
      <c r="EA184" s="131"/>
      <c r="EB184" s="131"/>
      <c r="EC184" s="131"/>
      <c r="ED184" s="131"/>
      <c r="EE184" s="137"/>
      <c r="EF184" s="227"/>
      <c r="EG184" s="227"/>
      <c r="EH184" s="228"/>
      <c r="EI184" s="228"/>
      <c r="EJ184" s="228"/>
      <c r="EK184" s="228"/>
    </row>
    <row r="185" spans="1:141">
      <c r="A185" s="132"/>
      <c r="B185" s="18"/>
      <c r="C185" s="18"/>
      <c r="D185" s="220"/>
      <c r="E185" s="130"/>
      <c r="F185" s="126"/>
      <c r="G185" s="18"/>
      <c r="H185" s="189"/>
      <c r="I185" s="18"/>
      <c r="J185" s="18"/>
      <c r="K185" s="189"/>
      <c r="L185" s="18"/>
      <c r="M185" s="129"/>
      <c r="N185" s="189"/>
      <c r="O185" s="132"/>
      <c r="P185" s="127"/>
      <c r="Q185" s="127"/>
      <c r="R185" s="128"/>
      <c r="S185" s="130"/>
      <c r="T185" s="135"/>
      <c r="U185" s="127"/>
      <c r="V185" s="217"/>
      <c r="W185" s="191"/>
      <c r="X185" s="133"/>
      <c r="Y185" s="131"/>
      <c r="Z185" s="131"/>
      <c r="AA185" s="242"/>
      <c r="AB185" s="131"/>
      <c r="AC185" s="131"/>
      <c r="AD185" s="131"/>
      <c r="AE185" s="131"/>
      <c r="AF185" s="131"/>
      <c r="AG185" s="131"/>
      <c r="AH185" s="131"/>
      <c r="AI185" s="131"/>
      <c r="AJ185" s="131"/>
      <c r="AK185" s="131"/>
      <c r="AL185" s="131"/>
      <c r="AM185" s="131"/>
      <c r="AN185" s="131"/>
      <c r="AO185" s="131"/>
      <c r="AP185" s="131"/>
      <c r="AQ185" s="243"/>
      <c r="AR185" s="131"/>
      <c r="AS185" s="131"/>
      <c r="AT185" s="131"/>
      <c r="AU185" s="131"/>
      <c r="AV185" s="131"/>
      <c r="AW185" s="131"/>
      <c r="AX185" s="131"/>
      <c r="AY185" s="131"/>
      <c r="AZ185" s="131"/>
      <c r="BA185" s="131"/>
      <c r="BB185" s="131"/>
      <c r="BC185" s="131"/>
      <c r="BD185" s="131"/>
      <c r="BE185" s="131"/>
      <c r="BF185" s="131"/>
      <c r="BG185" s="131"/>
      <c r="BH185" s="131"/>
      <c r="BI185" s="131"/>
      <c r="BJ185" s="131"/>
      <c r="BK185" s="131"/>
      <c r="BL185" s="131"/>
      <c r="BM185" s="131"/>
      <c r="BN185" s="131"/>
      <c r="BO185" s="136"/>
      <c r="BP185" s="131"/>
      <c r="BQ185" s="131"/>
      <c r="BR185" s="131"/>
      <c r="BS185" s="131"/>
      <c r="BT185" s="131"/>
      <c r="BU185" s="131"/>
      <c r="BV185" s="131"/>
      <c r="BW185" s="131"/>
      <c r="BX185" s="131"/>
      <c r="BY185" s="131"/>
      <c r="BZ185" s="131"/>
      <c r="CA185" s="131"/>
      <c r="CB185" s="131"/>
      <c r="CC185" s="131"/>
      <c r="CD185" s="131"/>
      <c r="CE185" s="131"/>
      <c r="CF185" s="136"/>
      <c r="CG185" s="136"/>
      <c r="CH185" s="131"/>
      <c r="CI185" s="131"/>
      <c r="CJ185" s="136"/>
      <c r="CK185" s="136"/>
      <c r="CL185" s="136"/>
      <c r="CM185" s="131"/>
      <c r="CN185" s="131"/>
      <c r="CO185" s="136"/>
      <c r="CP185" s="136"/>
      <c r="CQ185" s="131"/>
      <c r="CR185" s="131"/>
      <c r="CS185" s="131"/>
      <c r="CT185" s="131"/>
      <c r="CU185" s="131"/>
      <c r="CV185" s="131"/>
      <c r="CW185" s="131"/>
      <c r="CX185" s="131"/>
      <c r="CY185" s="136"/>
      <c r="CZ185" s="136"/>
      <c r="DA185" s="131"/>
      <c r="DB185" s="136"/>
      <c r="DC185" s="136"/>
      <c r="DD185" s="131"/>
      <c r="DE185" s="131"/>
      <c r="DF185" s="131"/>
      <c r="DG185" s="136"/>
      <c r="DH185" s="131"/>
      <c r="DI185" s="131"/>
      <c r="DJ185" s="136"/>
      <c r="DK185" s="136"/>
      <c r="DL185" s="136"/>
      <c r="DM185" s="136"/>
      <c r="DN185" s="136"/>
      <c r="DO185" s="136"/>
      <c r="DP185" s="136"/>
      <c r="DQ185" s="136"/>
      <c r="DR185" s="136"/>
      <c r="DS185" s="131"/>
      <c r="DT185" s="136"/>
      <c r="DU185" s="131"/>
      <c r="DV185" s="131"/>
      <c r="DW185" s="131"/>
      <c r="DX185" s="131"/>
      <c r="DY185" s="131"/>
      <c r="DZ185" s="136"/>
      <c r="EA185" s="131"/>
      <c r="EB185" s="131"/>
      <c r="EC185" s="131"/>
      <c r="ED185" s="131"/>
      <c r="EE185" s="137"/>
      <c r="EF185" s="227"/>
      <c r="EG185" s="227"/>
      <c r="EH185" s="228"/>
      <c r="EI185" s="228"/>
      <c r="EJ185" s="228"/>
      <c r="EK185" s="228"/>
    </row>
    <row r="186" spans="1:141">
      <c r="A186" s="132"/>
      <c r="B186" s="18"/>
      <c r="C186" s="18"/>
      <c r="D186" s="220"/>
      <c r="E186" s="130"/>
      <c r="F186" s="126"/>
      <c r="G186" s="18"/>
      <c r="H186" s="189"/>
      <c r="I186" s="18"/>
      <c r="J186" s="18"/>
      <c r="K186" s="189"/>
      <c r="L186" s="18"/>
      <c r="M186" s="129"/>
      <c r="N186" s="189"/>
      <c r="O186" s="132"/>
      <c r="P186" s="127"/>
      <c r="Q186" s="127"/>
      <c r="R186" s="128"/>
      <c r="S186" s="130"/>
      <c r="T186" s="135"/>
      <c r="U186" s="127"/>
      <c r="V186" s="217"/>
      <c r="W186" s="191"/>
      <c r="X186" s="133"/>
      <c r="Y186" s="131"/>
      <c r="Z186" s="131"/>
      <c r="AA186" s="242"/>
      <c r="AB186" s="131"/>
      <c r="AC186" s="131"/>
      <c r="AD186" s="131"/>
      <c r="AE186" s="131"/>
      <c r="AF186" s="131"/>
      <c r="AG186" s="131"/>
      <c r="AH186" s="131"/>
      <c r="AI186" s="131"/>
      <c r="AJ186" s="131"/>
      <c r="AK186" s="131"/>
      <c r="AL186" s="131"/>
      <c r="AM186" s="131"/>
      <c r="AN186" s="131"/>
      <c r="AO186" s="131"/>
      <c r="AP186" s="131"/>
      <c r="AQ186" s="243"/>
      <c r="AR186" s="131"/>
      <c r="AS186" s="131"/>
      <c r="AT186" s="131"/>
      <c r="AU186" s="131"/>
      <c r="AV186" s="131"/>
      <c r="AW186" s="131"/>
      <c r="AX186" s="131"/>
      <c r="AY186" s="131"/>
      <c r="AZ186" s="131"/>
      <c r="BA186" s="131"/>
      <c r="BB186" s="131"/>
      <c r="BC186" s="131"/>
      <c r="BD186" s="131"/>
      <c r="BE186" s="131"/>
      <c r="BF186" s="131"/>
      <c r="BG186" s="131"/>
      <c r="BH186" s="131"/>
      <c r="BI186" s="131"/>
      <c r="BJ186" s="131"/>
      <c r="BK186" s="131"/>
      <c r="BL186" s="131"/>
      <c r="BM186" s="131"/>
      <c r="BN186" s="131"/>
      <c r="BO186" s="136"/>
      <c r="BP186" s="131"/>
      <c r="BQ186" s="131"/>
      <c r="BR186" s="131"/>
      <c r="BS186" s="131"/>
      <c r="BT186" s="131"/>
      <c r="BU186" s="131"/>
      <c r="BV186" s="131"/>
      <c r="BW186" s="131"/>
      <c r="BX186" s="131"/>
      <c r="BY186" s="131"/>
      <c r="BZ186" s="131"/>
      <c r="CA186" s="131"/>
      <c r="CB186" s="131"/>
      <c r="CC186" s="131"/>
      <c r="CD186" s="131"/>
      <c r="CE186" s="131"/>
      <c r="CF186" s="136"/>
      <c r="CG186" s="136"/>
      <c r="CH186" s="131"/>
      <c r="CI186" s="131"/>
      <c r="CJ186" s="136"/>
      <c r="CK186" s="136"/>
      <c r="CL186" s="136"/>
      <c r="CM186" s="131"/>
      <c r="CN186" s="131"/>
      <c r="CO186" s="136"/>
      <c r="CP186" s="136"/>
      <c r="CQ186" s="131"/>
      <c r="CR186" s="131"/>
      <c r="CS186" s="131"/>
      <c r="CT186" s="131"/>
      <c r="CU186" s="131"/>
      <c r="CV186" s="131"/>
      <c r="CW186" s="131"/>
      <c r="CX186" s="131"/>
      <c r="CY186" s="136"/>
      <c r="CZ186" s="136"/>
      <c r="DA186" s="131"/>
      <c r="DB186" s="136"/>
      <c r="DC186" s="136"/>
      <c r="DD186" s="131"/>
      <c r="DE186" s="131"/>
      <c r="DF186" s="131"/>
      <c r="DG186" s="136"/>
      <c r="DH186" s="131"/>
      <c r="DI186" s="131"/>
      <c r="DJ186" s="136"/>
      <c r="DK186" s="136"/>
      <c r="DL186" s="136"/>
      <c r="DM186" s="136"/>
      <c r="DN186" s="136"/>
      <c r="DO186" s="136"/>
      <c r="DP186" s="136"/>
      <c r="DQ186" s="136"/>
      <c r="DR186" s="136"/>
      <c r="DS186" s="131"/>
      <c r="DT186" s="136"/>
      <c r="DU186" s="131"/>
      <c r="DV186" s="131"/>
      <c r="DW186" s="131"/>
      <c r="DX186" s="131"/>
      <c r="DY186" s="131"/>
      <c r="DZ186" s="136"/>
      <c r="EA186" s="131"/>
      <c r="EB186" s="131"/>
      <c r="EC186" s="131"/>
      <c r="ED186" s="131"/>
      <c r="EE186" s="137"/>
      <c r="EF186" s="227"/>
      <c r="EG186" s="227"/>
      <c r="EH186" s="228"/>
      <c r="EI186" s="228"/>
      <c r="EJ186" s="228"/>
      <c r="EK186" s="228"/>
    </row>
    <row r="187" spans="1:141">
      <c r="A187" s="132"/>
      <c r="B187" s="18"/>
      <c r="C187" s="18"/>
      <c r="D187" s="220"/>
      <c r="E187" s="130"/>
      <c r="F187" s="126"/>
      <c r="G187" s="18"/>
      <c r="H187" s="189"/>
      <c r="I187" s="18"/>
      <c r="J187" s="18"/>
      <c r="K187" s="189"/>
      <c r="L187" s="18"/>
      <c r="M187" s="129"/>
      <c r="N187" s="189"/>
      <c r="O187" s="132"/>
      <c r="P187" s="127"/>
      <c r="Q187" s="127"/>
      <c r="R187" s="128"/>
      <c r="S187" s="130"/>
      <c r="T187" s="135"/>
      <c r="U187" s="127"/>
      <c r="V187" s="217"/>
      <c r="W187" s="191"/>
      <c r="X187" s="133"/>
      <c r="Y187" s="131"/>
      <c r="Z187" s="131"/>
      <c r="AA187" s="242"/>
      <c r="AB187" s="131"/>
      <c r="AC187" s="131"/>
      <c r="AD187" s="131"/>
      <c r="AE187" s="131"/>
      <c r="AF187" s="131"/>
      <c r="AG187" s="131"/>
      <c r="AH187" s="131"/>
      <c r="AI187" s="131"/>
      <c r="AJ187" s="131"/>
      <c r="AK187" s="131"/>
      <c r="AL187" s="131"/>
      <c r="AM187" s="131"/>
      <c r="AN187" s="131"/>
      <c r="AO187" s="131"/>
      <c r="AP187" s="131"/>
      <c r="AQ187" s="243"/>
      <c r="AR187" s="131"/>
      <c r="AS187" s="131"/>
      <c r="AT187" s="131"/>
      <c r="AU187" s="131"/>
      <c r="AV187" s="131"/>
      <c r="AW187" s="131"/>
      <c r="AX187" s="131"/>
      <c r="AY187" s="131"/>
      <c r="AZ187" s="131"/>
      <c r="BA187" s="131"/>
      <c r="BB187" s="131"/>
      <c r="BC187" s="131"/>
      <c r="BD187" s="131"/>
      <c r="BE187" s="131"/>
      <c r="BF187" s="131"/>
      <c r="BG187" s="131"/>
      <c r="BH187" s="131"/>
      <c r="BI187" s="131"/>
      <c r="BJ187" s="131"/>
      <c r="BK187" s="131"/>
      <c r="BL187" s="131"/>
      <c r="BM187" s="131"/>
      <c r="BN187" s="131"/>
      <c r="BO187" s="136"/>
      <c r="BP187" s="131"/>
      <c r="BQ187" s="131"/>
      <c r="BR187" s="131"/>
      <c r="BS187" s="131"/>
      <c r="BT187" s="131"/>
      <c r="BU187" s="131"/>
      <c r="BV187" s="131"/>
      <c r="BW187" s="131"/>
      <c r="BX187" s="131"/>
      <c r="BY187" s="131"/>
      <c r="BZ187" s="131"/>
      <c r="CA187" s="131"/>
      <c r="CB187" s="131"/>
      <c r="CC187" s="131"/>
      <c r="CD187" s="131"/>
      <c r="CE187" s="131"/>
      <c r="CF187" s="136"/>
      <c r="CG187" s="136"/>
      <c r="CH187" s="131"/>
      <c r="CI187" s="131"/>
      <c r="CJ187" s="136"/>
      <c r="CK187" s="136"/>
      <c r="CL187" s="136"/>
      <c r="CM187" s="131"/>
      <c r="CN187" s="131"/>
      <c r="CO187" s="136"/>
      <c r="CP187" s="136"/>
      <c r="CQ187" s="131"/>
      <c r="CR187" s="131"/>
      <c r="CS187" s="131"/>
      <c r="CT187" s="131"/>
      <c r="CU187" s="131"/>
      <c r="CV187" s="131"/>
      <c r="CW187" s="131"/>
      <c r="CX187" s="131"/>
      <c r="CY187" s="136"/>
      <c r="CZ187" s="136"/>
      <c r="DA187" s="131"/>
      <c r="DB187" s="136"/>
      <c r="DC187" s="136"/>
      <c r="DD187" s="131"/>
      <c r="DE187" s="131"/>
      <c r="DF187" s="131"/>
      <c r="DG187" s="136"/>
      <c r="DH187" s="131"/>
      <c r="DI187" s="131"/>
      <c r="DJ187" s="136"/>
      <c r="DK187" s="136"/>
      <c r="DL187" s="136"/>
      <c r="DM187" s="136"/>
      <c r="DN187" s="136"/>
      <c r="DO187" s="136"/>
      <c r="DP187" s="136"/>
      <c r="DQ187" s="136"/>
      <c r="DR187" s="136"/>
      <c r="DS187" s="131"/>
      <c r="DT187" s="136"/>
      <c r="DU187" s="131"/>
      <c r="DV187" s="131"/>
      <c r="DW187" s="131"/>
      <c r="DX187" s="131"/>
      <c r="DY187" s="131"/>
      <c r="DZ187" s="136"/>
      <c r="EA187" s="131"/>
      <c r="EB187" s="131"/>
      <c r="EC187" s="131"/>
      <c r="ED187" s="131"/>
      <c r="EE187" s="137"/>
      <c r="EF187" s="227"/>
      <c r="EG187" s="227"/>
      <c r="EH187" s="228"/>
      <c r="EI187" s="228"/>
      <c r="EJ187" s="228"/>
      <c r="EK187" s="228"/>
    </row>
    <row r="188" spans="1:141">
      <c r="A188" s="132"/>
      <c r="B188" s="18"/>
      <c r="C188" s="18"/>
      <c r="D188" s="220"/>
      <c r="E188" s="130"/>
      <c r="F188" s="126"/>
      <c r="G188" s="18"/>
      <c r="H188" s="189"/>
      <c r="I188" s="18"/>
      <c r="J188" s="18"/>
      <c r="K188" s="189"/>
      <c r="L188" s="18"/>
      <c r="M188" s="129"/>
      <c r="N188" s="189"/>
      <c r="O188" s="132"/>
      <c r="P188" s="127"/>
      <c r="Q188" s="127"/>
      <c r="R188" s="128"/>
      <c r="S188" s="130"/>
      <c r="T188" s="135"/>
      <c r="U188" s="127"/>
      <c r="V188" s="217"/>
      <c r="W188" s="191"/>
      <c r="X188" s="133"/>
      <c r="Y188" s="131"/>
      <c r="Z188" s="131"/>
      <c r="AA188" s="242"/>
      <c r="AB188" s="131"/>
      <c r="AC188" s="131"/>
      <c r="AD188" s="131"/>
      <c r="AE188" s="131"/>
      <c r="AF188" s="131"/>
      <c r="AG188" s="131"/>
      <c r="AH188" s="131"/>
      <c r="AI188" s="131"/>
      <c r="AJ188" s="131"/>
      <c r="AK188" s="131"/>
      <c r="AL188" s="131"/>
      <c r="AM188" s="131"/>
      <c r="AN188" s="131"/>
      <c r="AO188" s="131"/>
      <c r="AP188" s="131"/>
      <c r="AQ188" s="243"/>
      <c r="AR188" s="131"/>
      <c r="AS188" s="131"/>
      <c r="AT188" s="131"/>
      <c r="AU188" s="131"/>
      <c r="AV188" s="131"/>
      <c r="AW188" s="131"/>
      <c r="AX188" s="131"/>
      <c r="AY188" s="131"/>
      <c r="AZ188" s="131"/>
      <c r="BA188" s="131"/>
      <c r="BB188" s="131"/>
      <c r="BC188" s="131"/>
      <c r="BD188" s="131"/>
      <c r="BE188" s="131"/>
      <c r="BF188" s="131"/>
      <c r="BG188" s="131"/>
      <c r="BH188" s="131"/>
      <c r="BI188" s="131"/>
      <c r="BJ188" s="131"/>
      <c r="BK188" s="131"/>
      <c r="BL188" s="131"/>
      <c r="BM188" s="131"/>
      <c r="BN188" s="131"/>
      <c r="BO188" s="136"/>
      <c r="BP188" s="131"/>
      <c r="BQ188" s="131"/>
      <c r="BR188" s="131"/>
      <c r="BS188" s="131"/>
      <c r="BT188" s="131"/>
      <c r="BU188" s="131"/>
      <c r="BV188" s="131"/>
      <c r="BW188" s="131"/>
      <c r="BX188" s="131"/>
      <c r="BY188" s="131"/>
      <c r="BZ188" s="131"/>
      <c r="CA188" s="131"/>
      <c r="CB188" s="131"/>
      <c r="CC188" s="131"/>
      <c r="CD188" s="131"/>
      <c r="CE188" s="131"/>
      <c r="CF188" s="136"/>
      <c r="CG188" s="136"/>
      <c r="CH188" s="131"/>
      <c r="CI188" s="131"/>
      <c r="CJ188" s="136"/>
      <c r="CK188" s="136"/>
      <c r="CL188" s="136"/>
      <c r="CM188" s="131"/>
      <c r="CN188" s="131"/>
      <c r="CO188" s="136"/>
      <c r="CP188" s="136"/>
      <c r="CQ188" s="131"/>
      <c r="CR188" s="131"/>
      <c r="CS188" s="131"/>
      <c r="CT188" s="131"/>
      <c r="CU188" s="131"/>
      <c r="CV188" s="131"/>
      <c r="CW188" s="131"/>
      <c r="CX188" s="131"/>
      <c r="CY188" s="136"/>
      <c r="CZ188" s="136"/>
      <c r="DA188" s="131"/>
      <c r="DB188" s="136"/>
      <c r="DC188" s="136"/>
      <c r="DD188" s="131"/>
      <c r="DE188" s="131"/>
      <c r="DF188" s="131"/>
      <c r="DG188" s="136"/>
      <c r="DH188" s="131"/>
      <c r="DI188" s="131"/>
      <c r="DJ188" s="136"/>
      <c r="DK188" s="136"/>
      <c r="DL188" s="136"/>
      <c r="DM188" s="136"/>
      <c r="DN188" s="136"/>
      <c r="DO188" s="136"/>
      <c r="DP188" s="136"/>
      <c r="DQ188" s="136"/>
      <c r="DR188" s="136"/>
      <c r="DS188" s="131"/>
      <c r="DT188" s="136"/>
      <c r="DU188" s="131"/>
      <c r="DV188" s="131"/>
      <c r="DW188" s="131"/>
      <c r="DX188" s="131"/>
      <c r="DY188" s="131"/>
      <c r="DZ188" s="136"/>
      <c r="EA188" s="131"/>
      <c r="EB188" s="131"/>
      <c r="EC188" s="131"/>
      <c r="ED188" s="131"/>
      <c r="EE188" s="137"/>
      <c r="EF188" s="227"/>
      <c r="EG188" s="227"/>
      <c r="EH188" s="228"/>
      <c r="EI188" s="228"/>
      <c r="EJ188" s="228"/>
      <c r="EK188" s="228"/>
    </row>
    <row r="189" spans="1:141">
      <c r="A189" s="132"/>
      <c r="B189" s="18"/>
      <c r="C189" s="18"/>
      <c r="D189" s="220"/>
      <c r="E189" s="130"/>
      <c r="F189" s="126"/>
      <c r="G189" s="18"/>
      <c r="H189" s="189"/>
      <c r="I189" s="18"/>
      <c r="J189" s="18"/>
      <c r="K189" s="189"/>
      <c r="L189" s="18"/>
      <c r="M189" s="129"/>
      <c r="N189" s="189"/>
      <c r="O189" s="132"/>
      <c r="P189" s="127"/>
      <c r="Q189" s="127"/>
      <c r="R189" s="128"/>
      <c r="S189" s="130"/>
      <c r="T189" s="135"/>
      <c r="U189" s="127"/>
      <c r="V189" s="217"/>
      <c r="W189" s="191"/>
      <c r="X189" s="133"/>
      <c r="Y189" s="131"/>
      <c r="Z189" s="131"/>
      <c r="AA189" s="242"/>
      <c r="AB189" s="131"/>
      <c r="AC189" s="131"/>
      <c r="AD189" s="131"/>
      <c r="AE189" s="131"/>
      <c r="AF189" s="131"/>
      <c r="AG189" s="131"/>
      <c r="AH189" s="131"/>
      <c r="AI189" s="131"/>
      <c r="AJ189" s="131"/>
      <c r="AK189" s="131"/>
      <c r="AL189" s="131"/>
      <c r="AM189" s="131"/>
      <c r="AN189" s="131"/>
      <c r="AO189" s="131"/>
      <c r="AP189" s="131"/>
      <c r="AQ189" s="243"/>
      <c r="AR189" s="131"/>
      <c r="AS189" s="131"/>
      <c r="AT189" s="131"/>
      <c r="AU189" s="131"/>
      <c r="AV189" s="131"/>
      <c r="AW189" s="131"/>
      <c r="AX189" s="131"/>
      <c r="AY189" s="131"/>
      <c r="AZ189" s="131"/>
      <c r="BA189" s="131"/>
      <c r="BB189" s="131"/>
      <c r="BC189" s="131"/>
      <c r="BD189" s="131"/>
      <c r="BE189" s="131"/>
      <c r="BF189" s="131"/>
      <c r="BG189" s="131"/>
      <c r="BH189" s="131"/>
      <c r="BI189" s="131"/>
      <c r="BJ189" s="131"/>
      <c r="BK189" s="131"/>
      <c r="BL189" s="131"/>
      <c r="BM189" s="131"/>
      <c r="BN189" s="131"/>
      <c r="BO189" s="136"/>
      <c r="BP189" s="131"/>
      <c r="BQ189" s="131"/>
      <c r="BR189" s="131"/>
      <c r="BS189" s="131"/>
      <c r="BT189" s="131"/>
      <c r="BU189" s="131"/>
      <c r="BV189" s="131"/>
      <c r="BW189" s="131"/>
      <c r="BX189" s="131"/>
      <c r="BY189" s="131"/>
      <c r="BZ189" s="131"/>
      <c r="CA189" s="131"/>
      <c r="CB189" s="131"/>
      <c r="CC189" s="131"/>
      <c r="CD189" s="131"/>
      <c r="CE189" s="131"/>
      <c r="CF189" s="136"/>
      <c r="CG189" s="136"/>
      <c r="CH189" s="131"/>
      <c r="CI189" s="131"/>
      <c r="CJ189" s="136"/>
      <c r="CK189" s="136"/>
      <c r="CL189" s="136"/>
      <c r="CM189" s="131"/>
      <c r="CN189" s="131"/>
      <c r="CO189" s="136"/>
      <c r="CP189" s="136"/>
      <c r="CQ189" s="131"/>
      <c r="CR189" s="131"/>
      <c r="CS189" s="131"/>
      <c r="CT189" s="131"/>
      <c r="CU189" s="131"/>
      <c r="CV189" s="131"/>
      <c r="CW189" s="131"/>
      <c r="CX189" s="131"/>
      <c r="CY189" s="136"/>
      <c r="CZ189" s="136"/>
      <c r="DA189" s="131"/>
      <c r="DB189" s="136"/>
      <c r="DC189" s="136"/>
      <c r="DD189" s="131"/>
      <c r="DE189" s="131"/>
      <c r="DF189" s="131"/>
      <c r="DG189" s="136"/>
      <c r="DH189" s="131"/>
      <c r="DI189" s="131"/>
      <c r="DJ189" s="136"/>
      <c r="DK189" s="136"/>
      <c r="DL189" s="136"/>
      <c r="DM189" s="136"/>
      <c r="DN189" s="136"/>
      <c r="DO189" s="136"/>
      <c r="DP189" s="136"/>
      <c r="DQ189" s="136"/>
      <c r="DR189" s="136"/>
      <c r="DS189" s="131"/>
      <c r="DT189" s="136"/>
      <c r="DU189" s="131"/>
      <c r="DV189" s="131"/>
      <c r="DW189" s="131"/>
      <c r="DX189" s="131"/>
      <c r="DY189" s="131"/>
      <c r="DZ189" s="136"/>
      <c r="EA189" s="131"/>
      <c r="EB189" s="131"/>
      <c r="EC189" s="131"/>
      <c r="ED189" s="131"/>
      <c r="EE189" s="137"/>
      <c r="EF189" s="227"/>
      <c r="EG189" s="227"/>
      <c r="EH189" s="228"/>
      <c r="EI189" s="228"/>
      <c r="EJ189" s="228"/>
      <c r="EK189" s="228"/>
    </row>
    <row r="190" spans="1:141">
      <c r="A190" s="132"/>
      <c r="B190" s="18"/>
      <c r="C190" s="18"/>
      <c r="D190" s="220"/>
      <c r="E190" s="130"/>
      <c r="F190" s="126"/>
      <c r="G190" s="18"/>
      <c r="H190" s="189"/>
      <c r="I190" s="18"/>
      <c r="J190" s="18"/>
      <c r="K190" s="189"/>
      <c r="L190" s="18"/>
      <c r="M190" s="129"/>
      <c r="N190" s="189"/>
      <c r="O190" s="132"/>
      <c r="P190" s="127"/>
      <c r="Q190" s="127"/>
      <c r="R190" s="128"/>
      <c r="S190" s="130"/>
      <c r="T190" s="135"/>
      <c r="U190" s="127"/>
      <c r="V190" s="217"/>
      <c r="W190" s="191"/>
      <c r="X190" s="133"/>
      <c r="Y190" s="131"/>
      <c r="Z190" s="131"/>
      <c r="AA190" s="242"/>
      <c r="AB190" s="131"/>
      <c r="AC190" s="131"/>
      <c r="AD190" s="131"/>
      <c r="AE190" s="131"/>
      <c r="AF190" s="131"/>
      <c r="AG190" s="131"/>
      <c r="AH190" s="131"/>
      <c r="AI190" s="131"/>
      <c r="AJ190" s="131"/>
      <c r="AK190" s="131"/>
      <c r="AL190" s="131"/>
      <c r="AM190" s="131"/>
      <c r="AN190" s="131"/>
      <c r="AO190" s="131"/>
      <c r="AP190" s="131"/>
      <c r="AQ190" s="243"/>
      <c r="AR190" s="131"/>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6"/>
      <c r="BP190" s="131"/>
      <c r="BQ190" s="131"/>
      <c r="BR190" s="131"/>
      <c r="BS190" s="131"/>
      <c r="BT190" s="131"/>
      <c r="BU190" s="131"/>
      <c r="BV190" s="131"/>
      <c r="BW190" s="131"/>
      <c r="BX190" s="131"/>
      <c r="BY190" s="131"/>
      <c r="BZ190" s="131"/>
      <c r="CA190" s="131"/>
      <c r="CB190" s="131"/>
      <c r="CC190" s="131"/>
      <c r="CD190" s="131"/>
      <c r="CE190" s="131"/>
      <c r="CF190" s="136"/>
      <c r="CG190" s="136"/>
      <c r="CH190" s="131"/>
      <c r="CI190" s="131"/>
      <c r="CJ190" s="136"/>
      <c r="CK190" s="136"/>
      <c r="CL190" s="136"/>
      <c r="CM190" s="131"/>
      <c r="CN190" s="131"/>
      <c r="CO190" s="136"/>
      <c r="CP190" s="136"/>
      <c r="CQ190" s="131"/>
      <c r="CR190" s="131"/>
      <c r="CS190" s="131"/>
      <c r="CT190" s="131"/>
      <c r="CU190" s="131"/>
      <c r="CV190" s="131"/>
      <c r="CW190" s="131"/>
      <c r="CX190" s="131"/>
      <c r="CY190" s="136"/>
      <c r="CZ190" s="136"/>
      <c r="DA190" s="131"/>
      <c r="DB190" s="136"/>
      <c r="DC190" s="136"/>
      <c r="DD190" s="131"/>
      <c r="DE190" s="131"/>
      <c r="DF190" s="131"/>
      <c r="DG190" s="136"/>
      <c r="DH190" s="131"/>
      <c r="DI190" s="131"/>
      <c r="DJ190" s="136"/>
      <c r="DK190" s="136"/>
      <c r="DL190" s="136"/>
      <c r="DM190" s="136"/>
      <c r="DN190" s="136"/>
      <c r="DO190" s="136"/>
      <c r="DP190" s="136"/>
      <c r="DQ190" s="136"/>
      <c r="DR190" s="136"/>
      <c r="DS190" s="131"/>
      <c r="DT190" s="136"/>
      <c r="DU190" s="131"/>
      <c r="DV190" s="131"/>
      <c r="DW190" s="131"/>
      <c r="DX190" s="131"/>
      <c r="DY190" s="131"/>
      <c r="DZ190" s="136"/>
      <c r="EA190" s="131"/>
      <c r="EB190" s="131"/>
      <c r="EC190" s="131"/>
      <c r="ED190" s="131"/>
      <c r="EE190" s="137"/>
      <c r="EF190" s="227"/>
      <c r="EG190" s="227"/>
      <c r="EH190" s="228"/>
      <c r="EI190" s="228"/>
      <c r="EJ190" s="228"/>
      <c r="EK190" s="228"/>
    </row>
    <row r="191" spans="1:141">
      <c r="A191" s="132"/>
      <c r="B191" s="18"/>
      <c r="C191" s="18"/>
      <c r="D191" s="220"/>
      <c r="E191" s="130"/>
      <c r="F191" s="126"/>
      <c r="G191" s="18"/>
      <c r="H191" s="189"/>
      <c r="I191" s="18"/>
      <c r="J191" s="18"/>
      <c r="K191" s="189"/>
      <c r="L191" s="18"/>
      <c r="M191" s="129"/>
      <c r="N191" s="189"/>
      <c r="O191" s="132"/>
      <c r="P191" s="127"/>
      <c r="Q191" s="127"/>
      <c r="R191" s="128"/>
      <c r="S191" s="130"/>
      <c r="T191" s="135"/>
      <c r="U191" s="127"/>
      <c r="V191" s="217"/>
      <c r="W191" s="191"/>
      <c r="X191" s="133"/>
      <c r="Y191" s="131"/>
      <c r="Z191" s="131"/>
      <c r="AA191" s="242"/>
      <c r="AB191" s="131"/>
      <c r="AC191" s="131"/>
      <c r="AD191" s="131"/>
      <c r="AE191" s="131"/>
      <c r="AF191" s="131"/>
      <c r="AG191" s="131"/>
      <c r="AH191" s="131"/>
      <c r="AI191" s="131"/>
      <c r="AJ191" s="131"/>
      <c r="AK191" s="131"/>
      <c r="AL191" s="131"/>
      <c r="AM191" s="131"/>
      <c r="AN191" s="131"/>
      <c r="AO191" s="131"/>
      <c r="AP191" s="131"/>
      <c r="AQ191" s="243"/>
      <c r="AR191" s="131"/>
      <c r="AS191" s="131"/>
      <c r="AT191" s="131"/>
      <c r="AU191" s="131"/>
      <c r="AV191" s="131"/>
      <c r="AW191" s="131"/>
      <c r="AX191" s="131"/>
      <c r="AY191" s="131"/>
      <c r="AZ191" s="131"/>
      <c r="BA191" s="131"/>
      <c r="BB191" s="131"/>
      <c r="BC191" s="131"/>
      <c r="BD191" s="131"/>
      <c r="BE191" s="131"/>
      <c r="BF191" s="131"/>
      <c r="BG191" s="131"/>
      <c r="BH191" s="131"/>
      <c r="BI191" s="131"/>
      <c r="BJ191" s="131"/>
      <c r="BK191" s="131"/>
      <c r="BL191" s="131"/>
      <c r="BM191" s="131"/>
      <c r="BN191" s="131"/>
      <c r="BO191" s="136"/>
      <c r="BP191" s="131"/>
      <c r="BQ191" s="131"/>
      <c r="BR191" s="131"/>
      <c r="BS191" s="131"/>
      <c r="BT191" s="131"/>
      <c r="BU191" s="131"/>
      <c r="BV191" s="131"/>
      <c r="BW191" s="131"/>
      <c r="BX191" s="131"/>
      <c r="BY191" s="131"/>
      <c r="BZ191" s="131"/>
      <c r="CA191" s="131"/>
      <c r="CB191" s="131"/>
      <c r="CC191" s="131"/>
      <c r="CD191" s="131"/>
      <c r="CE191" s="131"/>
      <c r="CF191" s="136"/>
      <c r="CG191" s="136"/>
      <c r="CH191" s="131"/>
      <c r="CI191" s="131"/>
      <c r="CJ191" s="136"/>
      <c r="CK191" s="136"/>
      <c r="CL191" s="136"/>
      <c r="CM191" s="131"/>
      <c r="CN191" s="131"/>
      <c r="CO191" s="136"/>
      <c r="CP191" s="136"/>
      <c r="CQ191" s="131"/>
      <c r="CR191" s="131"/>
      <c r="CS191" s="131"/>
      <c r="CT191" s="131"/>
      <c r="CU191" s="131"/>
      <c r="CV191" s="131"/>
      <c r="CW191" s="131"/>
      <c r="CX191" s="131"/>
      <c r="CY191" s="136"/>
      <c r="CZ191" s="136"/>
      <c r="DA191" s="131"/>
      <c r="DB191" s="136"/>
      <c r="DC191" s="136"/>
      <c r="DD191" s="131"/>
      <c r="DE191" s="131"/>
      <c r="DF191" s="131"/>
      <c r="DG191" s="136"/>
      <c r="DH191" s="131"/>
      <c r="DI191" s="131"/>
      <c r="DJ191" s="136"/>
      <c r="DK191" s="136"/>
      <c r="DL191" s="136"/>
      <c r="DM191" s="136"/>
      <c r="DN191" s="136"/>
      <c r="DO191" s="136"/>
      <c r="DP191" s="136"/>
      <c r="DQ191" s="136"/>
      <c r="DR191" s="136"/>
      <c r="DS191" s="131"/>
      <c r="DT191" s="136"/>
      <c r="DU191" s="131"/>
      <c r="DV191" s="131"/>
      <c r="DW191" s="131"/>
      <c r="DX191" s="131"/>
      <c r="DY191" s="131"/>
      <c r="DZ191" s="136"/>
      <c r="EA191" s="131"/>
      <c r="EB191" s="131"/>
      <c r="EC191" s="131"/>
      <c r="ED191" s="131"/>
      <c r="EE191" s="137"/>
      <c r="EF191" s="227"/>
      <c r="EG191" s="227"/>
      <c r="EH191" s="228"/>
      <c r="EI191" s="228"/>
      <c r="EJ191" s="228"/>
      <c r="EK191" s="228"/>
    </row>
    <row r="192" spans="1:141">
      <c r="A192" s="132"/>
      <c r="B192" s="18"/>
      <c r="C192" s="18"/>
      <c r="D192" s="220"/>
      <c r="E192" s="130"/>
      <c r="F192" s="126"/>
      <c r="G192" s="18"/>
      <c r="H192" s="189"/>
      <c r="I192" s="18"/>
      <c r="J192" s="18"/>
      <c r="K192" s="189"/>
      <c r="L192" s="18"/>
      <c r="M192" s="129"/>
      <c r="N192" s="189"/>
      <c r="O192" s="132"/>
      <c r="P192" s="127"/>
      <c r="Q192" s="127"/>
      <c r="R192" s="128"/>
      <c r="S192" s="130"/>
      <c r="T192" s="135"/>
      <c r="U192" s="127"/>
      <c r="V192" s="217"/>
      <c r="W192" s="191"/>
      <c r="X192" s="133"/>
      <c r="Y192" s="131"/>
      <c r="Z192" s="131"/>
      <c r="AA192" s="242"/>
      <c r="AB192" s="131"/>
      <c r="AC192" s="131"/>
      <c r="AD192" s="131"/>
      <c r="AE192" s="131"/>
      <c r="AF192" s="131"/>
      <c r="AG192" s="131"/>
      <c r="AH192" s="131"/>
      <c r="AI192" s="131"/>
      <c r="AJ192" s="131"/>
      <c r="AK192" s="131"/>
      <c r="AL192" s="131"/>
      <c r="AM192" s="131"/>
      <c r="AN192" s="131"/>
      <c r="AO192" s="131"/>
      <c r="AP192" s="131"/>
      <c r="AQ192" s="243"/>
      <c r="AR192" s="131"/>
      <c r="AS192" s="131"/>
      <c r="AT192" s="131"/>
      <c r="AU192" s="131"/>
      <c r="AV192" s="131"/>
      <c r="AW192" s="131"/>
      <c r="AX192" s="131"/>
      <c r="AY192" s="131"/>
      <c r="AZ192" s="131"/>
      <c r="BA192" s="131"/>
      <c r="BB192" s="131"/>
      <c r="BC192" s="131"/>
      <c r="BD192" s="131"/>
      <c r="BE192" s="131"/>
      <c r="BF192" s="131"/>
      <c r="BG192" s="131"/>
      <c r="BH192" s="131"/>
      <c r="BI192" s="131"/>
      <c r="BJ192" s="131"/>
      <c r="BK192" s="131"/>
      <c r="BL192" s="131"/>
      <c r="BM192" s="131"/>
      <c r="BN192" s="131"/>
      <c r="BO192" s="136"/>
      <c r="BP192" s="131"/>
      <c r="BQ192" s="131"/>
      <c r="BR192" s="131"/>
      <c r="BS192" s="131"/>
      <c r="BT192" s="131"/>
      <c r="BU192" s="131"/>
      <c r="BV192" s="131"/>
      <c r="BW192" s="131"/>
      <c r="BX192" s="131"/>
      <c r="BY192" s="131"/>
      <c r="BZ192" s="131"/>
      <c r="CA192" s="131"/>
      <c r="CB192" s="131"/>
      <c r="CC192" s="131"/>
      <c r="CD192" s="131"/>
      <c r="CE192" s="131"/>
      <c r="CF192" s="136"/>
      <c r="CG192" s="136"/>
      <c r="CH192" s="131"/>
      <c r="CI192" s="131"/>
      <c r="CJ192" s="136"/>
      <c r="CK192" s="136"/>
      <c r="CL192" s="136"/>
      <c r="CM192" s="131"/>
      <c r="CN192" s="131"/>
      <c r="CO192" s="136"/>
      <c r="CP192" s="136"/>
      <c r="CQ192" s="131"/>
      <c r="CR192" s="131"/>
      <c r="CS192" s="131"/>
      <c r="CT192" s="131"/>
      <c r="CU192" s="131"/>
      <c r="CV192" s="131"/>
      <c r="CW192" s="131"/>
      <c r="CX192" s="131"/>
      <c r="CY192" s="136"/>
      <c r="CZ192" s="136"/>
      <c r="DA192" s="131"/>
      <c r="DB192" s="136"/>
      <c r="DC192" s="136"/>
      <c r="DD192" s="131"/>
      <c r="DE192" s="131"/>
      <c r="DF192" s="131"/>
      <c r="DG192" s="136"/>
      <c r="DH192" s="131"/>
      <c r="DI192" s="131"/>
      <c r="DJ192" s="136"/>
      <c r="DK192" s="136"/>
      <c r="DL192" s="136"/>
      <c r="DM192" s="136"/>
      <c r="DN192" s="136"/>
      <c r="DO192" s="136"/>
      <c r="DP192" s="136"/>
      <c r="DQ192" s="136"/>
      <c r="DR192" s="136"/>
      <c r="DS192" s="131"/>
      <c r="DT192" s="136"/>
      <c r="DU192" s="131"/>
      <c r="DV192" s="131"/>
      <c r="DW192" s="131"/>
      <c r="DX192" s="131"/>
      <c r="DY192" s="131"/>
      <c r="DZ192" s="136"/>
      <c r="EA192" s="131"/>
      <c r="EB192" s="131"/>
      <c r="EC192" s="131"/>
      <c r="ED192" s="131"/>
      <c r="EE192" s="137"/>
      <c r="EF192" s="227"/>
      <c r="EG192" s="227"/>
      <c r="EH192" s="228"/>
      <c r="EI192" s="228"/>
      <c r="EJ192" s="228"/>
      <c r="EK192" s="228"/>
    </row>
    <row r="193" spans="1:141">
      <c r="A193" s="132"/>
      <c r="B193" s="18"/>
      <c r="C193" s="18"/>
      <c r="D193" s="220"/>
      <c r="E193" s="130"/>
      <c r="F193" s="126"/>
      <c r="G193" s="18"/>
      <c r="H193" s="189"/>
      <c r="I193" s="18"/>
      <c r="J193" s="18"/>
      <c r="K193" s="189"/>
      <c r="L193" s="18"/>
      <c r="M193" s="129"/>
      <c r="N193" s="189"/>
      <c r="O193" s="132"/>
      <c r="P193" s="127"/>
      <c r="Q193" s="127"/>
      <c r="R193" s="128"/>
      <c r="S193" s="130"/>
      <c r="T193" s="135"/>
      <c r="U193" s="127"/>
      <c r="V193" s="217"/>
      <c r="W193" s="191"/>
      <c r="X193" s="133"/>
      <c r="Y193" s="131"/>
      <c r="Z193" s="131"/>
      <c r="AA193" s="242"/>
      <c r="AB193" s="131"/>
      <c r="AC193" s="131"/>
      <c r="AD193" s="131"/>
      <c r="AE193" s="131"/>
      <c r="AF193" s="131"/>
      <c r="AG193" s="131"/>
      <c r="AH193" s="131"/>
      <c r="AI193" s="131"/>
      <c r="AJ193" s="131"/>
      <c r="AK193" s="131"/>
      <c r="AL193" s="131"/>
      <c r="AM193" s="131"/>
      <c r="AN193" s="131"/>
      <c r="AO193" s="131"/>
      <c r="AP193" s="131"/>
      <c r="AQ193" s="243"/>
      <c r="AR193" s="131"/>
      <c r="AS193" s="131"/>
      <c r="AT193" s="131"/>
      <c r="AU193" s="131"/>
      <c r="AV193" s="131"/>
      <c r="AW193" s="131"/>
      <c r="AX193" s="131"/>
      <c r="AY193" s="131"/>
      <c r="AZ193" s="131"/>
      <c r="BA193" s="131"/>
      <c r="BB193" s="131"/>
      <c r="BC193" s="131"/>
      <c r="BD193" s="131"/>
      <c r="BE193" s="131"/>
      <c r="BF193" s="131"/>
      <c r="BG193" s="131"/>
      <c r="BH193" s="131"/>
      <c r="BI193" s="131"/>
      <c r="BJ193" s="131"/>
      <c r="BK193" s="131"/>
      <c r="BL193" s="131"/>
      <c r="BM193" s="131"/>
      <c r="BN193" s="131"/>
      <c r="BO193" s="136"/>
      <c r="BP193" s="131"/>
      <c r="BQ193" s="131"/>
      <c r="BR193" s="131"/>
      <c r="BS193" s="131"/>
      <c r="BT193" s="131"/>
      <c r="BU193" s="131"/>
      <c r="BV193" s="131"/>
      <c r="BW193" s="131"/>
      <c r="BX193" s="131"/>
      <c r="BY193" s="131"/>
      <c r="BZ193" s="131"/>
      <c r="CA193" s="131"/>
      <c r="CB193" s="131"/>
      <c r="CC193" s="131"/>
      <c r="CD193" s="131"/>
      <c r="CE193" s="131"/>
      <c r="CF193" s="136"/>
      <c r="CG193" s="136"/>
      <c r="CH193" s="131"/>
      <c r="CI193" s="131"/>
      <c r="CJ193" s="136"/>
      <c r="CK193" s="136"/>
      <c r="CL193" s="136"/>
      <c r="CM193" s="131"/>
      <c r="CN193" s="131"/>
      <c r="CO193" s="136"/>
      <c r="CP193" s="136"/>
      <c r="CQ193" s="131"/>
      <c r="CR193" s="131"/>
      <c r="CS193" s="131"/>
      <c r="CT193" s="131"/>
      <c r="CU193" s="131"/>
      <c r="CV193" s="131"/>
      <c r="CW193" s="131"/>
      <c r="CX193" s="131"/>
      <c r="CY193" s="136"/>
      <c r="CZ193" s="136"/>
      <c r="DA193" s="131"/>
      <c r="DB193" s="136"/>
      <c r="DC193" s="136"/>
      <c r="DD193" s="131"/>
      <c r="DE193" s="131"/>
      <c r="DF193" s="131"/>
      <c r="DG193" s="136"/>
      <c r="DH193" s="131"/>
      <c r="DI193" s="131"/>
      <c r="DJ193" s="136"/>
      <c r="DK193" s="136"/>
      <c r="DL193" s="136"/>
      <c r="DM193" s="136"/>
      <c r="DN193" s="136"/>
      <c r="DO193" s="136"/>
      <c r="DP193" s="136"/>
      <c r="DQ193" s="136"/>
      <c r="DR193" s="136"/>
      <c r="DS193" s="131"/>
      <c r="DT193" s="136"/>
      <c r="DU193" s="131"/>
      <c r="DV193" s="131"/>
      <c r="DW193" s="131"/>
      <c r="DX193" s="131"/>
      <c r="DY193" s="131"/>
      <c r="DZ193" s="136"/>
      <c r="EA193" s="131"/>
      <c r="EB193" s="131"/>
      <c r="EC193" s="131"/>
      <c r="ED193" s="131"/>
      <c r="EE193" s="137"/>
      <c r="EF193" s="227"/>
      <c r="EG193" s="227"/>
      <c r="EH193" s="228"/>
      <c r="EI193" s="228"/>
      <c r="EJ193" s="228"/>
      <c r="EK193" s="228"/>
    </row>
    <row r="194" spans="1:141">
      <c r="A194" s="132"/>
      <c r="B194" s="18"/>
      <c r="C194" s="18"/>
      <c r="D194" s="220"/>
      <c r="E194" s="130"/>
      <c r="F194" s="126"/>
      <c r="G194" s="18"/>
      <c r="H194" s="189"/>
      <c r="I194" s="18"/>
      <c r="J194" s="18"/>
      <c r="K194" s="189"/>
      <c r="L194" s="18"/>
      <c r="M194" s="129"/>
      <c r="N194" s="189"/>
      <c r="O194" s="132"/>
      <c r="P194" s="127"/>
      <c r="Q194" s="127"/>
      <c r="R194" s="128"/>
      <c r="S194" s="130"/>
      <c r="T194" s="135"/>
      <c r="U194" s="127"/>
      <c r="V194" s="217"/>
      <c r="W194" s="191"/>
      <c r="X194" s="133"/>
      <c r="Y194" s="131"/>
      <c r="Z194" s="131"/>
      <c r="AA194" s="242"/>
      <c r="AB194" s="131"/>
      <c r="AC194" s="131"/>
      <c r="AD194" s="131"/>
      <c r="AE194" s="131"/>
      <c r="AF194" s="131"/>
      <c r="AG194" s="131"/>
      <c r="AH194" s="131"/>
      <c r="AI194" s="131"/>
      <c r="AJ194" s="131"/>
      <c r="AK194" s="131"/>
      <c r="AL194" s="131"/>
      <c r="AM194" s="131"/>
      <c r="AN194" s="131"/>
      <c r="AO194" s="131"/>
      <c r="AP194" s="131"/>
      <c r="AQ194" s="243"/>
      <c r="AR194" s="131"/>
      <c r="AS194" s="131"/>
      <c r="AT194" s="131"/>
      <c r="AU194" s="131"/>
      <c r="AV194" s="131"/>
      <c r="AW194" s="131"/>
      <c r="AX194" s="131"/>
      <c r="AY194" s="131"/>
      <c r="AZ194" s="131"/>
      <c r="BA194" s="131"/>
      <c r="BB194" s="131"/>
      <c r="BC194" s="131"/>
      <c r="BD194" s="131"/>
      <c r="BE194" s="131"/>
      <c r="BF194" s="131"/>
      <c r="BG194" s="131"/>
      <c r="BH194" s="131"/>
      <c r="BI194" s="131"/>
      <c r="BJ194" s="131"/>
      <c r="BK194" s="131"/>
      <c r="BL194" s="131"/>
      <c r="BM194" s="131"/>
      <c r="BN194" s="131"/>
      <c r="BO194" s="136"/>
      <c r="BP194" s="131"/>
      <c r="BQ194" s="131"/>
      <c r="BR194" s="131"/>
      <c r="BS194" s="131"/>
      <c r="BT194" s="131"/>
      <c r="BU194" s="131"/>
      <c r="BV194" s="131"/>
      <c r="BW194" s="131"/>
      <c r="BX194" s="131"/>
      <c r="BY194" s="131"/>
      <c r="BZ194" s="131"/>
      <c r="CA194" s="131"/>
      <c r="CB194" s="131"/>
      <c r="CC194" s="131"/>
      <c r="CD194" s="131"/>
      <c r="CE194" s="131"/>
      <c r="CF194" s="136"/>
      <c r="CG194" s="136"/>
      <c r="CH194" s="131"/>
      <c r="CI194" s="131"/>
      <c r="CJ194" s="136"/>
      <c r="CK194" s="136"/>
      <c r="CL194" s="136"/>
      <c r="CM194" s="131"/>
      <c r="CN194" s="131"/>
      <c r="CO194" s="136"/>
      <c r="CP194" s="136"/>
      <c r="CQ194" s="131"/>
      <c r="CR194" s="131"/>
      <c r="CS194" s="131"/>
      <c r="CT194" s="131"/>
      <c r="CU194" s="131"/>
      <c r="CV194" s="131"/>
      <c r="CW194" s="131"/>
      <c r="CX194" s="131"/>
      <c r="CY194" s="136"/>
      <c r="CZ194" s="136"/>
      <c r="DA194" s="131"/>
      <c r="DB194" s="136"/>
      <c r="DC194" s="136"/>
      <c r="DD194" s="131"/>
      <c r="DE194" s="131"/>
      <c r="DF194" s="131"/>
      <c r="DG194" s="136"/>
      <c r="DH194" s="131"/>
      <c r="DI194" s="131"/>
      <c r="DJ194" s="136"/>
      <c r="DK194" s="136"/>
      <c r="DL194" s="136"/>
      <c r="DM194" s="136"/>
      <c r="DN194" s="136"/>
      <c r="DO194" s="136"/>
      <c r="DP194" s="136"/>
      <c r="DQ194" s="136"/>
      <c r="DR194" s="136"/>
      <c r="DS194" s="131"/>
      <c r="DT194" s="136"/>
      <c r="DU194" s="131"/>
      <c r="DV194" s="131"/>
      <c r="DW194" s="131"/>
      <c r="DX194" s="131"/>
      <c r="DY194" s="131"/>
      <c r="DZ194" s="136"/>
      <c r="EA194" s="131"/>
      <c r="EB194" s="131"/>
      <c r="EC194" s="131"/>
      <c r="ED194" s="131"/>
      <c r="EE194" s="137"/>
      <c r="EF194" s="227"/>
      <c r="EG194" s="227"/>
      <c r="EH194" s="228"/>
      <c r="EI194" s="228"/>
      <c r="EJ194" s="228"/>
      <c r="EK194" s="228"/>
    </row>
    <row r="195" spans="1:141">
      <c r="A195" s="132"/>
      <c r="B195" s="18"/>
      <c r="C195" s="18"/>
      <c r="D195" s="220"/>
      <c r="E195" s="130"/>
      <c r="F195" s="126"/>
      <c r="G195" s="18"/>
      <c r="H195" s="189"/>
      <c r="I195" s="18"/>
      <c r="J195" s="18"/>
      <c r="K195" s="189"/>
      <c r="L195" s="18"/>
      <c r="M195" s="129"/>
      <c r="N195" s="189"/>
      <c r="O195" s="132"/>
      <c r="P195" s="127"/>
      <c r="Q195" s="127"/>
      <c r="R195" s="128"/>
      <c r="S195" s="130"/>
      <c r="T195" s="135"/>
      <c r="U195" s="127"/>
      <c r="V195" s="217"/>
      <c r="W195" s="191"/>
      <c r="X195" s="133"/>
      <c r="Y195" s="131"/>
      <c r="Z195" s="131"/>
      <c r="AA195" s="242"/>
      <c r="AB195" s="131"/>
      <c r="AC195" s="131"/>
      <c r="AD195" s="131"/>
      <c r="AE195" s="131"/>
      <c r="AF195" s="131"/>
      <c r="AG195" s="131"/>
      <c r="AH195" s="131"/>
      <c r="AI195" s="131"/>
      <c r="AJ195" s="131"/>
      <c r="AK195" s="131"/>
      <c r="AL195" s="131"/>
      <c r="AM195" s="131"/>
      <c r="AN195" s="131"/>
      <c r="AO195" s="131"/>
      <c r="AP195" s="131"/>
      <c r="AQ195" s="243"/>
      <c r="AR195" s="131"/>
      <c r="AS195" s="131"/>
      <c r="AT195" s="131"/>
      <c r="AU195" s="131"/>
      <c r="AV195" s="131"/>
      <c r="AW195" s="131"/>
      <c r="AX195" s="131"/>
      <c r="AY195" s="131"/>
      <c r="AZ195" s="131"/>
      <c r="BA195" s="131"/>
      <c r="BB195" s="131"/>
      <c r="BC195" s="131"/>
      <c r="BD195" s="131"/>
      <c r="BE195" s="131"/>
      <c r="BF195" s="131"/>
      <c r="BG195" s="131"/>
      <c r="BH195" s="131"/>
      <c r="BI195" s="131"/>
      <c r="BJ195" s="131"/>
      <c r="BK195" s="131"/>
      <c r="BL195" s="131"/>
      <c r="BM195" s="131"/>
      <c r="BN195" s="131"/>
      <c r="BO195" s="136"/>
      <c r="BP195" s="131"/>
      <c r="BQ195" s="131"/>
      <c r="BR195" s="131"/>
      <c r="BS195" s="131"/>
      <c r="BT195" s="131"/>
      <c r="BU195" s="131"/>
      <c r="BV195" s="131"/>
      <c r="BW195" s="131"/>
      <c r="BX195" s="131"/>
      <c r="BY195" s="131"/>
      <c r="BZ195" s="131"/>
      <c r="CA195" s="131"/>
      <c r="CB195" s="131"/>
      <c r="CC195" s="131"/>
      <c r="CD195" s="131"/>
      <c r="CE195" s="131"/>
      <c r="CF195" s="136"/>
      <c r="CG195" s="136"/>
      <c r="CH195" s="131"/>
      <c r="CI195" s="131"/>
      <c r="CJ195" s="136"/>
      <c r="CK195" s="136"/>
      <c r="CL195" s="136"/>
      <c r="CM195" s="131"/>
      <c r="CN195" s="131"/>
      <c r="CO195" s="136"/>
      <c r="CP195" s="136"/>
      <c r="CQ195" s="131"/>
      <c r="CR195" s="131"/>
      <c r="CS195" s="131"/>
      <c r="CT195" s="131"/>
      <c r="CU195" s="131"/>
      <c r="CV195" s="131"/>
      <c r="CW195" s="131"/>
      <c r="CX195" s="131"/>
      <c r="CY195" s="136"/>
      <c r="CZ195" s="136"/>
      <c r="DA195" s="131"/>
      <c r="DB195" s="136"/>
      <c r="DC195" s="136"/>
      <c r="DD195" s="131"/>
      <c r="DE195" s="131"/>
      <c r="DF195" s="131"/>
      <c r="DG195" s="136"/>
      <c r="DH195" s="131"/>
      <c r="DI195" s="131"/>
      <c r="DJ195" s="136"/>
      <c r="DK195" s="136"/>
      <c r="DL195" s="136"/>
      <c r="DM195" s="136"/>
      <c r="DN195" s="136"/>
      <c r="DO195" s="136"/>
      <c r="DP195" s="136"/>
      <c r="DQ195" s="136"/>
      <c r="DR195" s="136"/>
      <c r="DS195" s="131"/>
      <c r="DT195" s="136"/>
      <c r="DU195" s="131"/>
      <c r="DV195" s="131"/>
      <c r="DW195" s="131"/>
      <c r="DX195" s="131"/>
      <c r="DY195" s="131"/>
      <c r="DZ195" s="136"/>
      <c r="EA195" s="131"/>
      <c r="EB195" s="131"/>
      <c r="EC195" s="131"/>
      <c r="ED195" s="131"/>
      <c r="EE195" s="137"/>
      <c r="EF195" s="227"/>
      <c r="EG195" s="227"/>
      <c r="EH195" s="228"/>
      <c r="EI195" s="228"/>
      <c r="EJ195" s="228"/>
      <c r="EK195" s="228"/>
    </row>
    <row r="196" spans="1:141">
      <c r="A196" s="132"/>
      <c r="B196" s="18"/>
      <c r="C196" s="18"/>
      <c r="D196" s="220"/>
      <c r="E196" s="130"/>
      <c r="F196" s="126"/>
      <c r="G196" s="18"/>
      <c r="H196" s="189"/>
      <c r="I196" s="18"/>
      <c r="J196" s="18"/>
      <c r="K196" s="189"/>
      <c r="L196" s="18"/>
      <c r="M196" s="129"/>
      <c r="N196" s="189"/>
      <c r="O196" s="132"/>
      <c r="P196" s="127"/>
      <c r="Q196" s="127"/>
      <c r="R196" s="128"/>
      <c r="S196" s="130"/>
      <c r="T196" s="135"/>
      <c r="U196" s="127"/>
      <c r="V196" s="217"/>
      <c r="W196" s="191"/>
      <c r="X196" s="133"/>
      <c r="Y196" s="131"/>
      <c r="Z196" s="131"/>
      <c r="AA196" s="242"/>
      <c r="AB196" s="131"/>
      <c r="AC196" s="131"/>
      <c r="AD196" s="131"/>
      <c r="AE196" s="131"/>
      <c r="AF196" s="131"/>
      <c r="AG196" s="131"/>
      <c r="AH196" s="131"/>
      <c r="AI196" s="131"/>
      <c r="AJ196" s="131"/>
      <c r="AK196" s="131"/>
      <c r="AL196" s="131"/>
      <c r="AM196" s="131"/>
      <c r="AN196" s="131"/>
      <c r="AO196" s="131"/>
      <c r="AP196" s="131"/>
      <c r="AQ196" s="243"/>
      <c r="AR196" s="131"/>
      <c r="AS196" s="131"/>
      <c r="AT196" s="131"/>
      <c r="AU196" s="131"/>
      <c r="AV196" s="131"/>
      <c r="AW196" s="131"/>
      <c r="AX196" s="131"/>
      <c r="AY196" s="131"/>
      <c r="AZ196" s="131"/>
      <c r="BA196" s="131"/>
      <c r="BB196" s="131"/>
      <c r="BC196" s="131"/>
      <c r="BD196" s="131"/>
      <c r="BE196" s="131"/>
      <c r="BF196" s="131"/>
      <c r="BG196" s="131"/>
      <c r="BH196" s="131"/>
      <c r="BI196" s="131"/>
      <c r="BJ196" s="131"/>
      <c r="BK196" s="131"/>
      <c r="BL196" s="131"/>
      <c r="BM196" s="131"/>
      <c r="BN196" s="131"/>
      <c r="BO196" s="136"/>
      <c r="BP196" s="131"/>
      <c r="BQ196" s="131"/>
      <c r="BR196" s="131"/>
      <c r="BS196" s="131"/>
      <c r="BT196" s="131"/>
      <c r="BU196" s="131"/>
      <c r="BV196" s="131"/>
      <c r="BW196" s="131"/>
      <c r="BX196" s="131"/>
      <c r="BY196" s="131"/>
      <c r="BZ196" s="131"/>
      <c r="CA196" s="131"/>
      <c r="CB196" s="131"/>
      <c r="CC196" s="131"/>
      <c r="CD196" s="131"/>
      <c r="CE196" s="131"/>
      <c r="CF196" s="136"/>
      <c r="CG196" s="136"/>
      <c r="CH196" s="131"/>
      <c r="CI196" s="131"/>
      <c r="CJ196" s="136"/>
      <c r="CK196" s="136"/>
      <c r="CL196" s="136"/>
      <c r="CM196" s="131"/>
      <c r="CN196" s="131"/>
      <c r="CO196" s="136"/>
      <c r="CP196" s="136"/>
      <c r="CQ196" s="131"/>
      <c r="CR196" s="131"/>
      <c r="CS196" s="131"/>
      <c r="CT196" s="131"/>
      <c r="CU196" s="131"/>
      <c r="CV196" s="131"/>
      <c r="CW196" s="131"/>
      <c r="CX196" s="131"/>
      <c r="CY196" s="136"/>
      <c r="CZ196" s="136"/>
      <c r="DA196" s="131"/>
      <c r="DB196" s="136"/>
      <c r="DC196" s="136"/>
      <c r="DD196" s="131"/>
      <c r="DE196" s="131"/>
      <c r="DF196" s="131"/>
      <c r="DG196" s="136"/>
      <c r="DH196" s="131"/>
      <c r="DI196" s="131"/>
      <c r="DJ196" s="136"/>
      <c r="DK196" s="136"/>
      <c r="DL196" s="136"/>
      <c r="DM196" s="136"/>
      <c r="DN196" s="136"/>
      <c r="DO196" s="136"/>
      <c r="DP196" s="136"/>
      <c r="DQ196" s="136"/>
      <c r="DR196" s="136"/>
      <c r="DS196" s="131"/>
      <c r="DT196" s="136"/>
      <c r="DU196" s="131"/>
      <c r="DV196" s="131"/>
      <c r="DW196" s="131"/>
      <c r="DX196" s="131"/>
      <c r="DY196" s="131"/>
      <c r="DZ196" s="136"/>
      <c r="EA196" s="131"/>
      <c r="EB196" s="131"/>
      <c r="EC196" s="131"/>
      <c r="ED196" s="131"/>
      <c r="EE196" s="137"/>
      <c r="EF196" s="227"/>
      <c r="EG196" s="227"/>
      <c r="EH196" s="228"/>
      <c r="EI196" s="228"/>
      <c r="EJ196" s="228"/>
      <c r="EK196" s="228"/>
    </row>
    <row r="197" spans="1:141">
      <c r="A197" s="132"/>
      <c r="B197" s="18"/>
      <c r="C197" s="18"/>
      <c r="D197" s="220"/>
      <c r="E197" s="130"/>
      <c r="F197" s="126"/>
      <c r="G197" s="18"/>
      <c r="H197" s="189"/>
      <c r="I197" s="18"/>
      <c r="J197" s="18"/>
      <c r="K197" s="189"/>
      <c r="L197" s="18"/>
      <c r="M197" s="129"/>
      <c r="N197" s="189"/>
      <c r="O197" s="132"/>
      <c r="P197" s="127"/>
      <c r="Q197" s="127"/>
      <c r="R197" s="128"/>
      <c r="S197" s="130"/>
      <c r="T197" s="135"/>
      <c r="U197" s="127"/>
      <c r="V197" s="217"/>
      <c r="W197" s="191"/>
      <c r="X197" s="133"/>
      <c r="Y197" s="131"/>
      <c r="Z197" s="131"/>
      <c r="AA197" s="242"/>
      <c r="AB197" s="131"/>
      <c r="AC197" s="131"/>
      <c r="AD197" s="131"/>
      <c r="AE197" s="131"/>
      <c r="AF197" s="131"/>
      <c r="AG197" s="131"/>
      <c r="AH197" s="131"/>
      <c r="AI197" s="131"/>
      <c r="AJ197" s="131"/>
      <c r="AK197" s="131"/>
      <c r="AL197" s="131"/>
      <c r="AM197" s="131"/>
      <c r="AN197" s="131"/>
      <c r="AO197" s="131"/>
      <c r="AP197" s="131"/>
      <c r="AQ197" s="243"/>
      <c r="AR197" s="131"/>
      <c r="AS197" s="131"/>
      <c r="AT197" s="131"/>
      <c r="AU197" s="131"/>
      <c r="AV197" s="131"/>
      <c r="AW197" s="131"/>
      <c r="AX197" s="131"/>
      <c r="AY197" s="131"/>
      <c r="AZ197" s="131"/>
      <c r="BA197" s="131"/>
      <c r="BB197" s="131"/>
      <c r="BC197" s="131"/>
      <c r="BD197" s="131"/>
      <c r="BE197" s="131"/>
      <c r="BF197" s="131"/>
      <c r="BG197" s="131"/>
      <c r="BH197" s="131"/>
      <c r="BI197" s="131"/>
      <c r="BJ197" s="131"/>
      <c r="BK197" s="131"/>
      <c r="BL197" s="131"/>
      <c r="BM197" s="131"/>
      <c r="BN197" s="131"/>
      <c r="BO197" s="136"/>
      <c r="BP197" s="131"/>
      <c r="BQ197" s="131"/>
      <c r="BR197" s="131"/>
      <c r="BS197" s="131"/>
      <c r="BT197" s="131"/>
      <c r="BU197" s="131"/>
      <c r="BV197" s="131"/>
      <c r="BW197" s="131"/>
      <c r="BX197" s="131"/>
      <c r="BY197" s="131"/>
      <c r="BZ197" s="131"/>
      <c r="CA197" s="131"/>
      <c r="CB197" s="131"/>
      <c r="CC197" s="131"/>
      <c r="CD197" s="131"/>
      <c r="CE197" s="131"/>
      <c r="CF197" s="136"/>
      <c r="CG197" s="136"/>
      <c r="CH197" s="131"/>
      <c r="CI197" s="131"/>
      <c r="CJ197" s="136"/>
      <c r="CK197" s="136"/>
      <c r="CL197" s="136"/>
      <c r="CM197" s="131"/>
      <c r="CN197" s="131"/>
      <c r="CO197" s="136"/>
      <c r="CP197" s="136"/>
      <c r="CQ197" s="131"/>
      <c r="CR197" s="131"/>
      <c r="CS197" s="131"/>
      <c r="CT197" s="131"/>
      <c r="CU197" s="131"/>
      <c r="CV197" s="131"/>
      <c r="CW197" s="131"/>
      <c r="CX197" s="131"/>
      <c r="CY197" s="136"/>
      <c r="CZ197" s="136"/>
      <c r="DA197" s="131"/>
      <c r="DB197" s="136"/>
      <c r="DC197" s="136"/>
      <c r="DD197" s="131"/>
      <c r="DE197" s="131"/>
      <c r="DF197" s="131"/>
      <c r="DG197" s="136"/>
      <c r="DH197" s="131"/>
      <c r="DI197" s="131"/>
      <c r="DJ197" s="136"/>
      <c r="DK197" s="136"/>
      <c r="DL197" s="136"/>
      <c r="DM197" s="136"/>
      <c r="DN197" s="136"/>
      <c r="DO197" s="136"/>
      <c r="DP197" s="136"/>
      <c r="DQ197" s="136"/>
      <c r="DR197" s="136"/>
      <c r="DS197" s="131"/>
      <c r="DT197" s="136"/>
      <c r="DU197" s="131"/>
      <c r="DV197" s="131"/>
      <c r="DW197" s="131"/>
      <c r="DX197" s="131"/>
      <c r="DY197" s="131"/>
      <c r="DZ197" s="136"/>
      <c r="EA197" s="131"/>
      <c r="EB197" s="131"/>
      <c r="EC197" s="131"/>
      <c r="ED197" s="131"/>
      <c r="EE197" s="137"/>
      <c r="EF197" s="227"/>
      <c r="EG197" s="227"/>
      <c r="EH197" s="228"/>
      <c r="EI197" s="228"/>
      <c r="EJ197" s="228"/>
      <c r="EK197" s="228"/>
    </row>
    <row r="198" spans="1:141">
      <c r="A198" s="132"/>
      <c r="B198" s="18"/>
      <c r="C198" s="18"/>
      <c r="D198" s="220"/>
      <c r="E198" s="130"/>
      <c r="F198" s="126"/>
      <c r="G198" s="18"/>
      <c r="H198" s="189"/>
      <c r="I198" s="18"/>
      <c r="J198" s="18"/>
      <c r="K198" s="189"/>
      <c r="L198" s="18"/>
      <c r="M198" s="129"/>
      <c r="N198" s="189"/>
      <c r="O198" s="132"/>
      <c r="P198" s="127"/>
      <c r="Q198" s="127"/>
      <c r="R198" s="128"/>
      <c r="S198" s="130"/>
      <c r="T198" s="135"/>
      <c r="U198" s="127"/>
      <c r="V198" s="217"/>
      <c r="W198" s="191"/>
      <c r="X198" s="133"/>
      <c r="Y198" s="131"/>
      <c r="Z198" s="131"/>
      <c r="AA198" s="242"/>
      <c r="AB198" s="131"/>
      <c r="AC198" s="131"/>
      <c r="AD198" s="131"/>
      <c r="AE198" s="131"/>
      <c r="AF198" s="131"/>
      <c r="AG198" s="131"/>
      <c r="AH198" s="131"/>
      <c r="AI198" s="131"/>
      <c r="AJ198" s="131"/>
      <c r="AK198" s="131"/>
      <c r="AL198" s="131"/>
      <c r="AM198" s="131"/>
      <c r="AN198" s="131"/>
      <c r="AO198" s="131"/>
      <c r="AP198" s="131"/>
      <c r="AQ198" s="243"/>
      <c r="AR198" s="131"/>
      <c r="AS198" s="131"/>
      <c r="AT198" s="131"/>
      <c r="AU198" s="131"/>
      <c r="AV198" s="131"/>
      <c r="AW198" s="131"/>
      <c r="AX198" s="131"/>
      <c r="AY198" s="131"/>
      <c r="AZ198" s="131"/>
      <c r="BA198" s="131"/>
      <c r="BB198" s="131"/>
      <c r="BC198" s="131"/>
      <c r="BD198" s="131"/>
      <c r="BE198" s="131"/>
      <c r="BF198" s="131"/>
      <c r="BG198" s="131"/>
      <c r="BH198" s="131"/>
      <c r="BI198" s="131"/>
      <c r="BJ198" s="131"/>
      <c r="BK198" s="131"/>
      <c r="BL198" s="131"/>
      <c r="BM198" s="131"/>
      <c r="BN198" s="131"/>
      <c r="BO198" s="136"/>
      <c r="BP198" s="131"/>
      <c r="BQ198" s="131"/>
      <c r="BR198" s="131"/>
      <c r="BS198" s="131"/>
      <c r="BT198" s="131"/>
      <c r="BU198" s="131"/>
      <c r="BV198" s="131"/>
      <c r="BW198" s="131"/>
      <c r="BX198" s="131"/>
      <c r="BY198" s="131"/>
      <c r="BZ198" s="131"/>
      <c r="CA198" s="131"/>
      <c r="CB198" s="131"/>
      <c r="CC198" s="131"/>
      <c r="CD198" s="131"/>
      <c r="CE198" s="131"/>
      <c r="CF198" s="136"/>
      <c r="CG198" s="136"/>
      <c r="CH198" s="131"/>
      <c r="CI198" s="131"/>
      <c r="CJ198" s="136"/>
      <c r="CK198" s="136"/>
      <c r="CL198" s="136"/>
      <c r="CM198" s="131"/>
      <c r="CN198" s="131"/>
      <c r="CO198" s="136"/>
      <c r="CP198" s="136"/>
      <c r="CQ198" s="131"/>
      <c r="CR198" s="131"/>
      <c r="CS198" s="131"/>
      <c r="CT198" s="131"/>
      <c r="CU198" s="131"/>
      <c r="CV198" s="131"/>
      <c r="CW198" s="131"/>
      <c r="CX198" s="131"/>
      <c r="CY198" s="136"/>
      <c r="CZ198" s="136"/>
      <c r="DA198" s="131"/>
      <c r="DB198" s="136"/>
      <c r="DC198" s="136"/>
      <c r="DD198" s="131"/>
      <c r="DE198" s="131"/>
      <c r="DF198" s="131"/>
      <c r="DG198" s="136"/>
      <c r="DH198" s="131"/>
      <c r="DI198" s="131"/>
      <c r="DJ198" s="136"/>
      <c r="DK198" s="136"/>
      <c r="DL198" s="136"/>
      <c r="DM198" s="136"/>
      <c r="DN198" s="136"/>
      <c r="DO198" s="136"/>
      <c r="DP198" s="136"/>
      <c r="DQ198" s="136"/>
      <c r="DR198" s="136"/>
      <c r="DS198" s="131"/>
      <c r="DT198" s="136"/>
      <c r="DU198" s="131"/>
      <c r="DV198" s="131"/>
      <c r="DW198" s="131"/>
      <c r="DX198" s="131"/>
      <c r="DY198" s="131"/>
      <c r="DZ198" s="136"/>
      <c r="EA198" s="131"/>
      <c r="EB198" s="131"/>
      <c r="EC198" s="131"/>
      <c r="ED198" s="131"/>
      <c r="EE198" s="137"/>
      <c r="EF198" s="227"/>
      <c r="EG198" s="227"/>
      <c r="EH198" s="228"/>
      <c r="EI198" s="228"/>
      <c r="EJ198" s="228"/>
      <c r="EK198" s="228"/>
    </row>
    <row r="199" spans="1:141">
      <c r="A199" s="132"/>
      <c r="B199" s="18"/>
      <c r="C199" s="18"/>
      <c r="D199" s="220"/>
      <c r="E199" s="130"/>
      <c r="F199" s="126"/>
      <c r="G199" s="18"/>
      <c r="H199" s="189"/>
      <c r="I199" s="18"/>
      <c r="J199" s="18"/>
      <c r="K199" s="189"/>
      <c r="L199" s="18"/>
      <c r="M199" s="129"/>
      <c r="N199" s="189"/>
      <c r="O199" s="132"/>
      <c r="P199" s="127"/>
      <c r="Q199" s="127"/>
      <c r="R199" s="128"/>
      <c r="S199" s="130"/>
      <c r="T199" s="135"/>
      <c r="U199" s="127"/>
      <c r="V199" s="217"/>
      <c r="W199" s="191"/>
      <c r="X199" s="133"/>
      <c r="Y199" s="131"/>
      <c r="Z199" s="131"/>
      <c r="AA199" s="242"/>
      <c r="AB199" s="131"/>
      <c r="AC199" s="131"/>
      <c r="AD199" s="131"/>
      <c r="AE199" s="131"/>
      <c r="AF199" s="131"/>
      <c r="AG199" s="131"/>
      <c r="AH199" s="131"/>
      <c r="AI199" s="131"/>
      <c r="AJ199" s="131"/>
      <c r="AK199" s="131"/>
      <c r="AL199" s="131"/>
      <c r="AM199" s="131"/>
      <c r="AN199" s="131"/>
      <c r="AO199" s="131"/>
      <c r="AP199" s="131"/>
      <c r="AQ199" s="243"/>
      <c r="AR199" s="131"/>
      <c r="AS199" s="131"/>
      <c r="AT199" s="131"/>
      <c r="AU199" s="131"/>
      <c r="AV199" s="131"/>
      <c r="AW199" s="131"/>
      <c r="AX199" s="131"/>
      <c r="AY199" s="131"/>
      <c r="AZ199" s="131"/>
      <c r="BA199" s="131"/>
      <c r="BB199" s="131"/>
      <c r="BC199" s="131"/>
      <c r="BD199" s="131"/>
      <c r="BE199" s="131"/>
      <c r="BF199" s="131"/>
      <c r="BG199" s="131"/>
      <c r="BH199" s="131"/>
      <c r="BI199" s="131"/>
      <c r="BJ199" s="131"/>
      <c r="BK199" s="131"/>
      <c r="BL199" s="131"/>
      <c r="BM199" s="131"/>
      <c r="BN199" s="131"/>
      <c r="BO199" s="136"/>
      <c r="BP199" s="131"/>
      <c r="BQ199" s="131"/>
      <c r="BR199" s="131"/>
      <c r="BS199" s="131"/>
      <c r="BT199" s="131"/>
      <c r="BU199" s="131"/>
      <c r="BV199" s="131"/>
      <c r="BW199" s="131"/>
      <c r="BX199" s="131"/>
      <c r="BY199" s="131"/>
      <c r="BZ199" s="131"/>
      <c r="CA199" s="131"/>
      <c r="CB199" s="131"/>
      <c r="CC199" s="131"/>
      <c r="CD199" s="131"/>
      <c r="CE199" s="131"/>
      <c r="CF199" s="136"/>
      <c r="CG199" s="136"/>
      <c r="CH199" s="131"/>
      <c r="CI199" s="131"/>
      <c r="CJ199" s="136"/>
      <c r="CK199" s="136"/>
      <c r="CL199" s="136"/>
      <c r="CM199" s="131"/>
      <c r="CN199" s="131"/>
      <c r="CO199" s="136"/>
      <c r="CP199" s="136"/>
      <c r="CQ199" s="131"/>
      <c r="CR199" s="131"/>
      <c r="CS199" s="131"/>
      <c r="CT199" s="131"/>
      <c r="CU199" s="131"/>
      <c r="CV199" s="131"/>
      <c r="CW199" s="131"/>
      <c r="CX199" s="131"/>
      <c r="CY199" s="136"/>
      <c r="CZ199" s="136"/>
      <c r="DA199" s="131"/>
      <c r="DB199" s="136"/>
      <c r="DC199" s="136"/>
      <c r="DD199" s="131"/>
      <c r="DE199" s="131"/>
      <c r="DF199" s="131"/>
      <c r="DG199" s="136"/>
      <c r="DH199" s="131"/>
      <c r="DI199" s="131"/>
      <c r="DJ199" s="136"/>
      <c r="DK199" s="136"/>
      <c r="DL199" s="136"/>
      <c r="DM199" s="136"/>
      <c r="DN199" s="136"/>
      <c r="DO199" s="136"/>
      <c r="DP199" s="136"/>
      <c r="DQ199" s="136"/>
      <c r="DR199" s="136"/>
      <c r="DS199" s="131"/>
      <c r="DT199" s="136"/>
      <c r="DU199" s="131"/>
      <c r="DV199" s="131"/>
      <c r="DW199" s="131"/>
      <c r="DX199" s="131"/>
      <c r="DY199" s="131"/>
      <c r="DZ199" s="136"/>
      <c r="EA199" s="131"/>
      <c r="EB199" s="131"/>
      <c r="EC199" s="131"/>
      <c r="ED199" s="131"/>
      <c r="EE199" s="137"/>
      <c r="EF199" s="227"/>
      <c r="EG199" s="227"/>
      <c r="EH199" s="228"/>
      <c r="EI199" s="228"/>
      <c r="EJ199" s="228"/>
      <c r="EK199" s="228"/>
    </row>
    <row r="200" spans="1:141">
      <c r="A200" s="132"/>
      <c r="B200" s="18"/>
      <c r="C200" s="18"/>
      <c r="D200" s="220"/>
      <c r="E200" s="130"/>
      <c r="F200" s="126"/>
      <c r="G200" s="18"/>
      <c r="H200" s="189"/>
      <c r="I200" s="18"/>
      <c r="J200" s="18"/>
      <c r="K200" s="189"/>
      <c r="L200" s="18"/>
      <c r="M200" s="129"/>
      <c r="N200" s="189"/>
      <c r="O200" s="132"/>
      <c r="P200" s="127"/>
      <c r="Q200" s="127"/>
      <c r="R200" s="128"/>
      <c r="S200" s="130"/>
      <c r="T200" s="135"/>
      <c r="U200" s="127"/>
      <c r="V200" s="217"/>
      <c r="W200" s="191"/>
      <c r="X200" s="133"/>
      <c r="Y200" s="131"/>
      <c r="Z200" s="131"/>
      <c r="AA200" s="242"/>
      <c r="AB200" s="131"/>
      <c r="AC200" s="131"/>
      <c r="AD200" s="131"/>
      <c r="AE200" s="131"/>
      <c r="AF200" s="131"/>
      <c r="AG200" s="131"/>
      <c r="AH200" s="131"/>
      <c r="AI200" s="131"/>
      <c r="AJ200" s="131"/>
      <c r="AK200" s="131"/>
      <c r="AL200" s="131"/>
      <c r="AM200" s="131"/>
      <c r="AN200" s="131"/>
      <c r="AO200" s="131"/>
      <c r="AP200" s="131"/>
      <c r="AQ200" s="243"/>
      <c r="AR200" s="131"/>
      <c r="AS200" s="131"/>
      <c r="AT200" s="131"/>
      <c r="AU200" s="131"/>
      <c r="AV200" s="131"/>
      <c r="AW200" s="131"/>
      <c r="AX200" s="131"/>
      <c r="AY200" s="131"/>
      <c r="AZ200" s="131"/>
      <c r="BA200" s="131"/>
      <c r="BB200" s="131"/>
      <c r="BC200" s="131"/>
      <c r="BD200" s="131"/>
      <c r="BE200" s="131"/>
      <c r="BF200" s="131"/>
      <c r="BG200" s="131"/>
      <c r="BH200" s="131"/>
      <c r="BI200" s="131"/>
      <c r="BJ200" s="131"/>
      <c r="BK200" s="131"/>
      <c r="BL200" s="131"/>
      <c r="BM200" s="131"/>
      <c r="BN200" s="131"/>
      <c r="BO200" s="136"/>
      <c r="BP200" s="131"/>
      <c r="BQ200" s="131"/>
      <c r="BR200" s="131"/>
      <c r="BS200" s="131"/>
      <c r="BT200" s="131"/>
      <c r="BU200" s="131"/>
      <c r="BV200" s="131"/>
      <c r="BW200" s="131"/>
      <c r="BX200" s="131"/>
      <c r="BY200" s="131"/>
      <c r="BZ200" s="131"/>
      <c r="CA200" s="131"/>
      <c r="CB200" s="131"/>
      <c r="CC200" s="131"/>
      <c r="CD200" s="131"/>
      <c r="CE200" s="131"/>
      <c r="CF200" s="136"/>
      <c r="CG200" s="136"/>
      <c r="CH200" s="131"/>
      <c r="CI200" s="131"/>
      <c r="CJ200" s="136"/>
      <c r="CK200" s="136"/>
      <c r="CL200" s="136"/>
      <c r="CM200" s="131"/>
      <c r="CN200" s="131"/>
      <c r="CO200" s="136"/>
      <c r="CP200" s="136"/>
      <c r="CQ200" s="131"/>
      <c r="CR200" s="131"/>
      <c r="CS200" s="131"/>
      <c r="CT200" s="131"/>
      <c r="CU200" s="131"/>
      <c r="CV200" s="131"/>
      <c r="CW200" s="131"/>
      <c r="CX200" s="131"/>
      <c r="CY200" s="136"/>
      <c r="CZ200" s="136"/>
      <c r="DA200" s="131"/>
      <c r="DB200" s="136"/>
      <c r="DC200" s="136"/>
      <c r="DD200" s="131"/>
      <c r="DE200" s="131"/>
      <c r="DF200" s="131"/>
      <c r="DG200" s="136"/>
      <c r="DH200" s="131"/>
      <c r="DI200" s="131"/>
      <c r="DJ200" s="136"/>
      <c r="DK200" s="136"/>
      <c r="DL200" s="136"/>
      <c r="DM200" s="136"/>
      <c r="DN200" s="136"/>
      <c r="DO200" s="136"/>
      <c r="DP200" s="136"/>
      <c r="DQ200" s="136"/>
      <c r="DR200" s="136"/>
      <c r="DS200" s="131"/>
      <c r="DT200" s="136"/>
      <c r="DU200" s="131"/>
      <c r="DV200" s="131"/>
      <c r="DW200" s="131"/>
      <c r="DX200" s="131"/>
      <c r="DY200" s="131"/>
      <c r="DZ200" s="136"/>
      <c r="EA200" s="131"/>
      <c r="EB200" s="131"/>
      <c r="EC200" s="131"/>
      <c r="ED200" s="131"/>
      <c r="EE200" s="137"/>
      <c r="EF200" s="227"/>
      <c r="EG200" s="227"/>
      <c r="EH200" s="228"/>
      <c r="EI200" s="228"/>
      <c r="EJ200" s="228"/>
      <c r="EK200" s="228"/>
    </row>
    <row r="201" spans="1:141">
      <c r="A201" s="132"/>
      <c r="B201" s="18"/>
      <c r="C201" s="18"/>
      <c r="D201" s="220"/>
      <c r="E201" s="130"/>
      <c r="F201" s="126"/>
      <c r="G201" s="18"/>
      <c r="H201" s="189"/>
      <c r="I201" s="18"/>
      <c r="J201" s="18"/>
      <c r="K201" s="189"/>
      <c r="L201" s="18"/>
      <c r="M201" s="129"/>
      <c r="N201" s="189"/>
      <c r="O201" s="132"/>
      <c r="P201" s="127"/>
      <c r="Q201" s="127"/>
      <c r="R201" s="128"/>
      <c r="S201" s="130"/>
      <c r="T201" s="135"/>
      <c r="U201" s="127"/>
      <c r="V201" s="217"/>
      <c r="W201" s="191"/>
      <c r="X201" s="133"/>
      <c r="Y201" s="131"/>
      <c r="Z201" s="131"/>
      <c r="AA201" s="242"/>
      <c r="AB201" s="131"/>
      <c r="AC201" s="131"/>
      <c r="AD201" s="131"/>
      <c r="AE201" s="131"/>
      <c r="AF201" s="131"/>
      <c r="AG201" s="131"/>
      <c r="AH201" s="131"/>
      <c r="AI201" s="131"/>
      <c r="AJ201" s="131"/>
      <c r="AK201" s="131"/>
      <c r="AL201" s="131"/>
      <c r="AM201" s="131"/>
      <c r="AN201" s="131"/>
      <c r="AO201" s="131"/>
      <c r="AP201" s="131"/>
      <c r="AQ201" s="243"/>
      <c r="AR201" s="131"/>
      <c r="AS201" s="131"/>
      <c r="AT201" s="131"/>
      <c r="AU201" s="131"/>
      <c r="AV201" s="131"/>
      <c r="AW201" s="131"/>
      <c r="AX201" s="131"/>
      <c r="AY201" s="131"/>
      <c r="AZ201" s="131"/>
      <c r="BA201" s="131"/>
      <c r="BB201" s="131"/>
      <c r="BC201" s="131"/>
      <c r="BD201" s="131"/>
      <c r="BE201" s="131"/>
      <c r="BF201" s="131"/>
      <c r="BG201" s="131"/>
      <c r="BH201" s="131"/>
      <c r="BI201" s="131"/>
      <c r="BJ201" s="131"/>
      <c r="BK201" s="131"/>
      <c r="BL201" s="131"/>
      <c r="BM201" s="131"/>
      <c r="BN201" s="131"/>
      <c r="BO201" s="136"/>
      <c r="BP201" s="131"/>
      <c r="BQ201" s="131"/>
      <c r="BR201" s="131"/>
      <c r="BS201" s="131"/>
      <c r="BT201" s="131"/>
      <c r="BU201" s="131"/>
      <c r="BV201" s="131"/>
      <c r="BW201" s="131"/>
      <c r="BX201" s="131"/>
      <c r="BY201" s="131"/>
      <c r="BZ201" s="131"/>
      <c r="CA201" s="131"/>
      <c r="CB201" s="131"/>
      <c r="CC201" s="131"/>
      <c r="CD201" s="131"/>
      <c r="CE201" s="131"/>
      <c r="CF201" s="136"/>
      <c r="CG201" s="136"/>
      <c r="CH201" s="131"/>
      <c r="CI201" s="131"/>
      <c r="CJ201" s="136"/>
      <c r="CK201" s="136"/>
      <c r="CL201" s="136"/>
      <c r="CM201" s="131"/>
      <c r="CN201" s="131"/>
      <c r="CO201" s="136"/>
      <c r="CP201" s="136"/>
      <c r="CQ201" s="131"/>
      <c r="CR201" s="131"/>
      <c r="CS201" s="131"/>
      <c r="CT201" s="131"/>
      <c r="CU201" s="131"/>
      <c r="CV201" s="131"/>
      <c r="CW201" s="131"/>
      <c r="CX201" s="131"/>
      <c r="CY201" s="136"/>
      <c r="CZ201" s="136"/>
      <c r="DA201" s="131"/>
      <c r="DB201" s="136"/>
      <c r="DC201" s="136"/>
      <c r="DD201" s="131"/>
      <c r="DE201" s="131"/>
      <c r="DF201" s="131"/>
      <c r="DG201" s="136"/>
      <c r="DH201" s="131"/>
      <c r="DI201" s="131"/>
      <c r="DJ201" s="136"/>
      <c r="DK201" s="136"/>
      <c r="DL201" s="136"/>
      <c r="DM201" s="136"/>
      <c r="DN201" s="136"/>
      <c r="DO201" s="136"/>
      <c r="DP201" s="136"/>
      <c r="DQ201" s="136"/>
      <c r="DR201" s="136"/>
      <c r="DS201" s="131"/>
      <c r="DT201" s="136"/>
      <c r="DU201" s="131"/>
      <c r="DV201" s="131"/>
      <c r="DW201" s="131"/>
      <c r="DX201" s="131"/>
      <c r="DY201" s="131"/>
      <c r="DZ201" s="136"/>
      <c r="EA201" s="131"/>
      <c r="EB201" s="131"/>
      <c r="EC201" s="131"/>
      <c r="ED201" s="131"/>
      <c r="EE201" s="137"/>
      <c r="EF201" s="227"/>
      <c r="EG201" s="227"/>
      <c r="EH201" s="228"/>
      <c r="EI201" s="228"/>
      <c r="EJ201" s="228"/>
      <c r="EK201" s="228"/>
    </row>
    <row r="202" spans="1:141">
      <c r="A202" s="132"/>
      <c r="B202" s="18"/>
      <c r="C202" s="18"/>
      <c r="D202" s="220"/>
      <c r="E202" s="130"/>
      <c r="F202" s="126"/>
      <c r="G202" s="18"/>
      <c r="H202" s="189"/>
      <c r="I202" s="18"/>
      <c r="J202" s="18"/>
      <c r="K202" s="189"/>
      <c r="L202" s="18"/>
      <c r="M202" s="129"/>
      <c r="N202" s="189"/>
      <c r="O202" s="132"/>
      <c r="P202" s="127"/>
      <c r="Q202" s="127"/>
      <c r="R202" s="128"/>
      <c r="S202" s="130"/>
      <c r="T202" s="135"/>
      <c r="U202" s="127"/>
      <c r="V202" s="217"/>
      <c r="W202" s="191"/>
      <c r="X202" s="133"/>
      <c r="Y202" s="131"/>
      <c r="Z202" s="131"/>
      <c r="AA202" s="242"/>
      <c r="AB202" s="131"/>
      <c r="AC202" s="131"/>
      <c r="AD202" s="131"/>
      <c r="AE202" s="131"/>
      <c r="AF202" s="131"/>
      <c r="AG202" s="131"/>
      <c r="AH202" s="131"/>
      <c r="AI202" s="131"/>
      <c r="AJ202" s="131"/>
      <c r="AK202" s="131"/>
      <c r="AL202" s="131"/>
      <c r="AM202" s="131"/>
      <c r="AN202" s="131"/>
      <c r="AO202" s="131"/>
      <c r="AP202" s="131"/>
      <c r="AQ202" s="243"/>
      <c r="AR202" s="131"/>
      <c r="AS202" s="131"/>
      <c r="AT202" s="131"/>
      <c r="AU202" s="131"/>
      <c r="AV202" s="131"/>
      <c r="AW202" s="131"/>
      <c r="AX202" s="131"/>
      <c r="AY202" s="131"/>
      <c r="AZ202" s="131"/>
      <c r="BA202" s="131"/>
      <c r="BB202" s="131"/>
      <c r="BC202" s="131"/>
      <c r="BD202" s="131"/>
      <c r="BE202" s="131"/>
      <c r="BF202" s="131"/>
      <c r="BG202" s="131"/>
      <c r="BH202" s="131"/>
      <c r="BI202" s="131"/>
      <c r="BJ202" s="131"/>
      <c r="BK202" s="131"/>
      <c r="BL202" s="131"/>
      <c r="BM202" s="131"/>
      <c r="BN202" s="131"/>
      <c r="BO202" s="136"/>
      <c r="BP202" s="131"/>
      <c r="BQ202" s="131"/>
      <c r="BR202" s="131"/>
      <c r="BS202" s="131"/>
      <c r="BT202" s="131"/>
      <c r="BU202" s="131"/>
      <c r="BV202" s="131"/>
      <c r="BW202" s="131"/>
      <c r="BX202" s="131"/>
      <c r="BY202" s="131"/>
      <c r="BZ202" s="131"/>
      <c r="CA202" s="131"/>
      <c r="CB202" s="131"/>
      <c r="CC202" s="131"/>
      <c r="CD202" s="131"/>
      <c r="CE202" s="131"/>
      <c r="CF202" s="136"/>
      <c r="CG202" s="136"/>
      <c r="CH202" s="131"/>
      <c r="CI202" s="131"/>
      <c r="CJ202" s="136"/>
      <c r="CK202" s="136"/>
      <c r="CL202" s="136"/>
      <c r="CM202" s="131"/>
      <c r="CN202" s="131"/>
      <c r="CO202" s="136"/>
      <c r="CP202" s="136"/>
      <c r="CQ202" s="131"/>
      <c r="CR202" s="131"/>
      <c r="CS202" s="131"/>
      <c r="CT202" s="131"/>
      <c r="CU202" s="131"/>
      <c r="CV202" s="131"/>
      <c r="CW202" s="131"/>
      <c r="CX202" s="131"/>
      <c r="CY202" s="136"/>
      <c r="CZ202" s="136"/>
      <c r="DA202" s="131"/>
      <c r="DB202" s="136"/>
      <c r="DC202" s="136"/>
      <c r="DD202" s="131"/>
      <c r="DE202" s="131"/>
      <c r="DF202" s="131"/>
      <c r="DG202" s="136"/>
      <c r="DH202" s="131"/>
      <c r="DI202" s="131"/>
      <c r="DJ202" s="136"/>
      <c r="DK202" s="136"/>
      <c r="DL202" s="136"/>
      <c r="DM202" s="136"/>
      <c r="DN202" s="136"/>
      <c r="DO202" s="136"/>
      <c r="DP202" s="136"/>
      <c r="DQ202" s="136"/>
      <c r="DR202" s="136"/>
      <c r="DS202" s="131"/>
      <c r="DT202" s="136"/>
      <c r="DU202" s="131"/>
      <c r="DV202" s="131"/>
      <c r="DW202" s="131"/>
      <c r="DX202" s="131"/>
      <c r="DY202" s="131"/>
      <c r="DZ202" s="136"/>
      <c r="EA202" s="131"/>
      <c r="EB202" s="131"/>
      <c r="EC202" s="131"/>
      <c r="ED202" s="131"/>
      <c r="EE202" s="137"/>
      <c r="EF202" s="227"/>
      <c r="EG202" s="227"/>
      <c r="EH202" s="228"/>
      <c r="EI202" s="228"/>
      <c r="EJ202" s="228"/>
      <c r="EK202" s="228"/>
    </row>
    <row r="203" spans="1:141">
      <c r="A203" s="132"/>
      <c r="B203" s="18"/>
      <c r="C203" s="18"/>
      <c r="D203" s="220"/>
      <c r="E203" s="130"/>
      <c r="F203" s="126"/>
      <c r="G203" s="18"/>
      <c r="H203" s="189"/>
      <c r="I203" s="18"/>
      <c r="J203" s="18"/>
      <c r="K203" s="189"/>
      <c r="L203" s="18"/>
      <c r="M203" s="129"/>
      <c r="N203" s="189"/>
      <c r="O203" s="132"/>
      <c r="P203" s="127"/>
      <c r="Q203" s="127"/>
      <c r="R203" s="128"/>
      <c r="S203" s="130"/>
      <c r="T203" s="135"/>
      <c r="U203" s="127"/>
      <c r="V203" s="217"/>
      <c r="W203" s="191"/>
      <c r="X203" s="133"/>
      <c r="Y203" s="131"/>
      <c r="Z203" s="131"/>
      <c r="AA203" s="242"/>
      <c r="AB203" s="131"/>
      <c r="AC203" s="131"/>
      <c r="AD203" s="131"/>
      <c r="AE203" s="131"/>
      <c r="AF203" s="131"/>
      <c r="AG203" s="131"/>
      <c r="AH203" s="131"/>
      <c r="AI203" s="131"/>
      <c r="AJ203" s="131"/>
      <c r="AK203" s="131"/>
      <c r="AL203" s="131"/>
      <c r="AM203" s="131"/>
      <c r="AN203" s="131"/>
      <c r="AO203" s="131"/>
      <c r="AP203" s="131"/>
      <c r="AQ203" s="243"/>
      <c r="AR203" s="131"/>
      <c r="AS203" s="131"/>
      <c r="AT203" s="131"/>
      <c r="AU203" s="131"/>
      <c r="AV203" s="131"/>
      <c r="AW203" s="131"/>
      <c r="AX203" s="131"/>
      <c r="AY203" s="131"/>
      <c r="AZ203" s="131"/>
      <c r="BA203" s="131"/>
      <c r="BB203" s="131"/>
      <c r="BC203" s="131"/>
      <c r="BD203" s="131"/>
      <c r="BE203" s="131"/>
      <c r="BF203" s="131"/>
      <c r="BG203" s="131"/>
      <c r="BH203" s="131"/>
      <c r="BI203" s="131"/>
      <c r="BJ203" s="131"/>
      <c r="BK203" s="131"/>
      <c r="BL203" s="131"/>
      <c r="BM203" s="131"/>
      <c r="BN203" s="131"/>
      <c r="BO203" s="136"/>
      <c r="BP203" s="131"/>
      <c r="BQ203" s="131"/>
      <c r="BR203" s="131"/>
      <c r="BS203" s="131"/>
      <c r="BT203" s="131"/>
      <c r="BU203" s="131"/>
      <c r="BV203" s="131"/>
      <c r="BW203" s="131"/>
      <c r="BX203" s="131"/>
      <c r="BY203" s="131"/>
      <c r="BZ203" s="131"/>
      <c r="CA203" s="131"/>
      <c r="CB203" s="131"/>
      <c r="CC203" s="131"/>
      <c r="CD203" s="131"/>
      <c r="CE203" s="131"/>
      <c r="CF203" s="136"/>
      <c r="CG203" s="136"/>
      <c r="CH203" s="131"/>
      <c r="CI203" s="131"/>
      <c r="CJ203" s="136"/>
      <c r="CK203" s="136"/>
      <c r="CL203" s="136"/>
      <c r="CM203" s="131"/>
      <c r="CN203" s="131"/>
      <c r="CO203" s="136"/>
      <c r="CP203" s="136"/>
      <c r="CQ203" s="131"/>
      <c r="CR203" s="131"/>
      <c r="CS203" s="131"/>
      <c r="CT203" s="131"/>
      <c r="CU203" s="131"/>
      <c r="CV203" s="131"/>
      <c r="CW203" s="131"/>
      <c r="CX203" s="131"/>
      <c r="CY203" s="136"/>
      <c r="CZ203" s="136"/>
      <c r="DA203" s="131"/>
      <c r="DB203" s="136"/>
      <c r="DC203" s="136"/>
      <c r="DD203" s="131"/>
      <c r="DE203" s="131"/>
      <c r="DF203" s="131"/>
      <c r="DG203" s="136"/>
      <c r="DH203" s="131"/>
      <c r="DI203" s="131"/>
      <c r="DJ203" s="136"/>
      <c r="DK203" s="136"/>
      <c r="DL203" s="136"/>
      <c r="DM203" s="136"/>
      <c r="DN203" s="136"/>
      <c r="DO203" s="136"/>
      <c r="DP203" s="136"/>
      <c r="DQ203" s="136"/>
      <c r="DR203" s="136"/>
      <c r="DS203" s="131"/>
      <c r="DT203" s="136"/>
      <c r="DU203" s="131"/>
      <c r="DV203" s="131"/>
      <c r="DW203" s="131"/>
      <c r="DX203" s="131"/>
      <c r="DY203" s="131"/>
      <c r="DZ203" s="136"/>
      <c r="EA203" s="131"/>
      <c r="EB203" s="131"/>
      <c r="EC203" s="131"/>
      <c r="ED203" s="131"/>
      <c r="EE203" s="137"/>
      <c r="EF203" s="227"/>
      <c r="EG203" s="227"/>
      <c r="EH203" s="228"/>
      <c r="EI203" s="228"/>
      <c r="EJ203" s="228"/>
      <c r="EK203" s="228"/>
    </row>
    <row r="204" spans="1:141">
      <c r="A204" s="132"/>
      <c r="B204" s="18"/>
      <c r="C204" s="18"/>
      <c r="D204" s="220"/>
      <c r="E204" s="130"/>
      <c r="F204" s="126"/>
      <c r="G204" s="18"/>
      <c r="H204" s="189"/>
      <c r="I204" s="18"/>
      <c r="J204" s="18"/>
      <c r="K204" s="189"/>
      <c r="L204" s="18"/>
      <c r="M204" s="129"/>
      <c r="N204" s="189"/>
      <c r="O204" s="132"/>
      <c r="P204" s="127"/>
      <c r="Q204" s="127"/>
      <c r="R204" s="128"/>
      <c r="S204" s="130"/>
      <c r="T204" s="135"/>
      <c r="U204" s="127"/>
      <c r="V204" s="217"/>
      <c r="W204" s="191"/>
      <c r="X204" s="133"/>
      <c r="Y204" s="131"/>
      <c r="Z204" s="131"/>
      <c r="AA204" s="242"/>
      <c r="AB204" s="131"/>
      <c r="AC204" s="131"/>
      <c r="AD204" s="131"/>
      <c r="AE204" s="131"/>
      <c r="AF204" s="131"/>
      <c r="AG204" s="131"/>
      <c r="AH204" s="131"/>
      <c r="AI204" s="131"/>
      <c r="AJ204" s="131"/>
      <c r="AK204" s="131"/>
      <c r="AL204" s="131"/>
      <c r="AM204" s="131"/>
      <c r="AN204" s="131"/>
      <c r="AO204" s="131"/>
      <c r="AP204" s="131"/>
      <c r="AQ204" s="243"/>
      <c r="AR204" s="131"/>
      <c r="AS204" s="131"/>
      <c r="AT204" s="131"/>
      <c r="AU204" s="131"/>
      <c r="AV204" s="131"/>
      <c r="AW204" s="131"/>
      <c r="AX204" s="131"/>
      <c r="AY204" s="131"/>
      <c r="AZ204" s="131"/>
      <c r="BA204" s="131"/>
      <c r="BB204" s="131"/>
      <c r="BC204" s="131"/>
      <c r="BD204" s="131"/>
      <c r="BE204" s="131"/>
      <c r="BF204" s="131"/>
      <c r="BG204" s="131"/>
      <c r="BH204" s="131"/>
      <c r="BI204" s="131"/>
      <c r="BJ204" s="131"/>
      <c r="BK204" s="131"/>
      <c r="BL204" s="131"/>
      <c r="BM204" s="131"/>
      <c r="BN204" s="131"/>
      <c r="BO204" s="136"/>
      <c r="BP204" s="131"/>
      <c r="BQ204" s="131"/>
      <c r="BR204" s="131"/>
      <c r="BS204" s="131"/>
      <c r="BT204" s="131"/>
      <c r="BU204" s="131"/>
      <c r="BV204" s="131"/>
      <c r="BW204" s="131"/>
      <c r="BX204" s="131"/>
      <c r="BY204" s="131"/>
      <c r="BZ204" s="131"/>
      <c r="CA204" s="131"/>
      <c r="CB204" s="131"/>
      <c r="CC204" s="131"/>
      <c r="CD204" s="131"/>
      <c r="CE204" s="131"/>
      <c r="CF204" s="136"/>
      <c r="CG204" s="136"/>
      <c r="CH204" s="131"/>
      <c r="CI204" s="131"/>
      <c r="CJ204" s="136"/>
      <c r="CK204" s="136"/>
      <c r="CL204" s="136"/>
      <c r="CM204" s="131"/>
      <c r="CN204" s="131"/>
      <c r="CO204" s="136"/>
      <c r="CP204" s="136"/>
      <c r="CQ204" s="131"/>
      <c r="CR204" s="131"/>
      <c r="CS204" s="131"/>
      <c r="CT204" s="131"/>
      <c r="CU204" s="131"/>
      <c r="CV204" s="131"/>
      <c r="CW204" s="131"/>
      <c r="CX204" s="131"/>
      <c r="CY204" s="136"/>
      <c r="CZ204" s="136"/>
      <c r="DA204" s="131"/>
      <c r="DB204" s="136"/>
      <c r="DC204" s="136"/>
      <c r="DD204" s="131"/>
      <c r="DE204" s="131"/>
      <c r="DF204" s="131"/>
      <c r="DG204" s="136"/>
      <c r="DH204" s="131"/>
      <c r="DI204" s="131"/>
      <c r="DJ204" s="136"/>
      <c r="DK204" s="136"/>
      <c r="DL204" s="136"/>
      <c r="DM204" s="136"/>
      <c r="DN204" s="136"/>
      <c r="DO204" s="136"/>
      <c r="DP204" s="136"/>
      <c r="DQ204" s="136"/>
      <c r="DR204" s="136"/>
      <c r="DS204" s="131"/>
      <c r="DT204" s="136"/>
      <c r="DU204" s="131"/>
      <c r="DV204" s="131"/>
      <c r="DW204" s="131"/>
      <c r="DX204" s="131"/>
      <c r="DY204" s="131"/>
      <c r="DZ204" s="136"/>
      <c r="EA204" s="131"/>
      <c r="EB204" s="131"/>
      <c r="EC204" s="131"/>
      <c r="ED204" s="131"/>
      <c r="EE204" s="137"/>
      <c r="EF204" s="227"/>
      <c r="EG204" s="227"/>
      <c r="EH204" s="228"/>
      <c r="EI204" s="228"/>
      <c r="EJ204" s="228"/>
      <c r="EK204" s="228"/>
    </row>
    <row r="205" spans="1:141">
      <c r="A205" s="132"/>
      <c r="B205" s="18"/>
      <c r="C205" s="18"/>
      <c r="D205" s="220"/>
      <c r="E205" s="130"/>
      <c r="F205" s="126"/>
      <c r="G205" s="18"/>
      <c r="H205" s="189"/>
      <c r="I205" s="18"/>
      <c r="J205" s="18"/>
      <c r="K205" s="189"/>
      <c r="L205" s="18"/>
      <c r="M205" s="129"/>
      <c r="N205" s="189"/>
      <c r="O205" s="132"/>
      <c r="P205" s="127"/>
      <c r="Q205" s="127"/>
      <c r="R205" s="128"/>
      <c r="S205" s="130"/>
      <c r="T205" s="135"/>
      <c r="U205" s="127"/>
      <c r="V205" s="217"/>
      <c r="W205" s="191"/>
      <c r="X205" s="133"/>
      <c r="Y205" s="131"/>
      <c r="Z205" s="131"/>
      <c r="AA205" s="242"/>
      <c r="AB205" s="131"/>
      <c r="AC205" s="131"/>
      <c r="AD205" s="131"/>
      <c r="AE205" s="131"/>
      <c r="AF205" s="131"/>
      <c r="AG205" s="131"/>
      <c r="AH205" s="131"/>
      <c r="AI205" s="131"/>
      <c r="AJ205" s="131"/>
      <c r="AK205" s="131"/>
      <c r="AL205" s="131"/>
      <c r="AM205" s="131"/>
      <c r="AN205" s="131"/>
      <c r="AO205" s="131"/>
      <c r="AP205" s="131"/>
      <c r="AQ205" s="243"/>
      <c r="AR205" s="131"/>
      <c r="AS205" s="131"/>
      <c r="AT205" s="131"/>
      <c r="AU205" s="131"/>
      <c r="AV205" s="131"/>
      <c r="AW205" s="131"/>
      <c r="AX205" s="131"/>
      <c r="AY205" s="131"/>
      <c r="AZ205" s="131"/>
      <c r="BA205" s="131"/>
      <c r="BB205" s="131"/>
      <c r="BC205" s="131"/>
      <c r="BD205" s="131"/>
      <c r="BE205" s="131"/>
      <c r="BF205" s="131"/>
      <c r="BG205" s="131"/>
      <c r="BH205" s="131"/>
      <c r="BI205" s="131"/>
      <c r="BJ205" s="131"/>
      <c r="BK205" s="131"/>
      <c r="BL205" s="131"/>
      <c r="BM205" s="131"/>
      <c r="BN205" s="131"/>
      <c r="BO205" s="136"/>
      <c r="BP205" s="131"/>
      <c r="BQ205" s="131"/>
      <c r="BR205" s="131"/>
      <c r="BS205" s="131"/>
      <c r="BT205" s="131"/>
      <c r="BU205" s="131"/>
      <c r="BV205" s="131"/>
      <c r="BW205" s="131"/>
      <c r="BX205" s="131"/>
      <c r="BY205" s="131"/>
      <c r="BZ205" s="131"/>
      <c r="CA205" s="131"/>
      <c r="CB205" s="131"/>
      <c r="CC205" s="131"/>
      <c r="CD205" s="131"/>
      <c r="CE205" s="131"/>
      <c r="CF205" s="136"/>
      <c r="CG205" s="136"/>
      <c r="CH205" s="131"/>
      <c r="CI205" s="131"/>
      <c r="CJ205" s="136"/>
      <c r="CK205" s="136"/>
      <c r="CL205" s="136"/>
      <c r="CM205" s="131"/>
      <c r="CN205" s="131"/>
      <c r="CO205" s="136"/>
      <c r="CP205" s="136"/>
      <c r="CQ205" s="131"/>
      <c r="CR205" s="131"/>
      <c r="CS205" s="131"/>
      <c r="CT205" s="131"/>
      <c r="CU205" s="131"/>
      <c r="CV205" s="131"/>
      <c r="CW205" s="131"/>
      <c r="CX205" s="131"/>
      <c r="CY205" s="136"/>
      <c r="CZ205" s="136"/>
      <c r="DA205" s="131"/>
      <c r="DB205" s="136"/>
      <c r="DC205" s="136"/>
      <c r="DD205" s="131"/>
      <c r="DE205" s="131"/>
      <c r="DF205" s="131"/>
      <c r="DG205" s="136"/>
      <c r="DH205" s="131"/>
      <c r="DI205" s="131"/>
      <c r="DJ205" s="136"/>
      <c r="DK205" s="136"/>
      <c r="DL205" s="136"/>
      <c r="DM205" s="136"/>
      <c r="DN205" s="136"/>
      <c r="DO205" s="136"/>
      <c r="DP205" s="136"/>
      <c r="DQ205" s="136"/>
      <c r="DR205" s="136"/>
      <c r="DS205" s="131"/>
      <c r="DT205" s="136"/>
      <c r="DU205" s="131"/>
      <c r="DV205" s="131"/>
      <c r="DW205" s="131"/>
      <c r="DX205" s="131"/>
      <c r="DY205" s="131"/>
      <c r="DZ205" s="136"/>
      <c r="EA205" s="131"/>
      <c r="EB205" s="131"/>
      <c r="EC205" s="131"/>
      <c r="ED205" s="131"/>
      <c r="EE205" s="137"/>
      <c r="EF205" s="227"/>
      <c r="EG205" s="227"/>
      <c r="EH205" s="228"/>
      <c r="EI205" s="228"/>
      <c r="EJ205" s="228"/>
      <c r="EK205" s="228"/>
    </row>
    <row r="206" spans="1:141">
      <c r="A206" s="132"/>
      <c r="B206" s="18"/>
      <c r="C206" s="18"/>
      <c r="D206" s="220"/>
      <c r="E206" s="130"/>
      <c r="F206" s="126"/>
      <c r="G206" s="18"/>
      <c r="H206" s="189"/>
      <c r="I206" s="18"/>
      <c r="J206" s="18"/>
      <c r="K206" s="189"/>
      <c r="L206" s="18"/>
      <c r="M206" s="129"/>
      <c r="N206" s="189"/>
      <c r="O206" s="132"/>
      <c r="P206" s="127"/>
      <c r="Q206" s="127"/>
      <c r="R206" s="128"/>
      <c r="S206" s="130"/>
      <c r="T206" s="135"/>
      <c r="U206" s="127"/>
      <c r="V206" s="217"/>
      <c r="W206" s="191"/>
      <c r="X206" s="133"/>
      <c r="Y206" s="131"/>
      <c r="Z206" s="131"/>
      <c r="AA206" s="242"/>
      <c r="AB206" s="131"/>
      <c r="AC206" s="131"/>
      <c r="AD206" s="131"/>
      <c r="AE206" s="131"/>
      <c r="AF206" s="131"/>
      <c r="AG206" s="131"/>
      <c r="AH206" s="131"/>
      <c r="AI206" s="131"/>
      <c r="AJ206" s="131"/>
      <c r="AK206" s="131"/>
      <c r="AL206" s="131"/>
      <c r="AM206" s="131"/>
      <c r="AN206" s="131"/>
      <c r="AO206" s="131"/>
      <c r="AP206" s="131"/>
      <c r="AQ206" s="243"/>
      <c r="AR206" s="131"/>
      <c r="AS206" s="131"/>
      <c r="AT206" s="131"/>
      <c r="AU206" s="131"/>
      <c r="AV206" s="131"/>
      <c r="AW206" s="131"/>
      <c r="AX206" s="131"/>
      <c r="AY206" s="131"/>
      <c r="AZ206" s="131"/>
      <c r="BA206" s="131"/>
      <c r="BB206" s="131"/>
      <c r="BC206" s="131"/>
      <c r="BD206" s="131"/>
      <c r="BE206" s="131"/>
      <c r="BF206" s="131"/>
      <c r="BG206" s="131"/>
      <c r="BH206" s="131"/>
      <c r="BI206" s="131"/>
      <c r="BJ206" s="131"/>
      <c r="BK206" s="131"/>
      <c r="BL206" s="131"/>
      <c r="BM206" s="131"/>
      <c r="BN206" s="131"/>
      <c r="BO206" s="136"/>
      <c r="BP206" s="131"/>
      <c r="BQ206" s="131"/>
      <c r="BR206" s="131"/>
      <c r="BS206" s="131"/>
      <c r="BT206" s="131"/>
      <c r="BU206" s="131"/>
      <c r="BV206" s="131"/>
      <c r="BW206" s="131"/>
      <c r="BX206" s="131"/>
      <c r="BY206" s="131"/>
      <c r="BZ206" s="131"/>
      <c r="CA206" s="131"/>
      <c r="CB206" s="131"/>
      <c r="CC206" s="131"/>
      <c r="CD206" s="131"/>
      <c r="CE206" s="131"/>
      <c r="CF206" s="136"/>
      <c r="CG206" s="136"/>
      <c r="CH206" s="131"/>
      <c r="CI206" s="131"/>
      <c r="CJ206" s="136"/>
      <c r="CK206" s="136"/>
      <c r="CL206" s="136"/>
      <c r="CM206" s="131"/>
      <c r="CN206" s="131"/>
      <c r="CO206" s="136"/>
      <c r="CP206" s="136"/>
      <c r="CQ206" s="131"/>
      <c r="CR206" s="131"/>
      <c r="CS206" s="131"/>
      <c r="CT206" s="131"/>
      <c r="CU206" s="131"/>
      <c r="CV206" s="131"/>
      <c r="CW206" s="131"/>
      <c r="CX206" s="131"/>
      <c r="CY206" s="136"/>
      <c r="CZ206" s="136"/>
      <c r="DA206" s="131"/>
      <c r="DB206" s="136"/>
      <c r="DC206" s="136"/>
      <c r="DD206" s="131"/>
      <c r="DE206" s="131"/>
      <c r="DF206" s="131"/>
      <c r="DG206" s="136"/>
      <c r="DH206" s="131"/>
      <c r="DI206" s="131"/>
      <c r="DJ206" s="136"/>
      <c r="DK206" s="136"/>
      <c r="DL206" s="136"/>
      <c r="DM206" s="136"/>
      <c r="DN206" s="136"/>
      <c r="DO206" s="136"/>
      <c r="DP206" s="136"/>
      <c r="DQ206" s="136"/>
      <c r="DR206" s="136"/>
      <c r="DS206" s="131"/>
      <c r="DT206" s="136"/>
      <c r="DU206" s="131"/>
      <c r="DV206" s="131"/>
      <c r="DW206" s="131"/>
      <c r="DX206" s="131"/>
      <c r="DY206" s="131"/>
      <c r="DZ206" s="136"/>
      <c r="EA206" s="131"/>
      <c r="EB206" s="131"/>
      <c r="EC206" s="131"/>
      <c r="ED206" s="131"/>
      <c r="EE206" s="137"/>
      <c r="EF206" s="227"/>
      <c r="EG206" s="227"/>
      <c r="EH206" s="228"/>
      <c r="EI206" s="228"/>
      <c r="EJ206" s="228"/>
      <c r="EK206" s="228"/>
    </row>
    <row r="207" spans="1:141">
      <c r="A207" s="132"/>
      <c r="B207" s="18"/>
      <c r="C207" s="18"/>
      <c r="D207" s="220"/>
      <c r="E207" s="130"/>
      <c r="F207" s="126"/>
      <c r="G207" s="18"/>
      <c r="H207" s="189"/>
      <c r="I207" s="18"/>
      <c r="J207" s="18"/>
      <c r="K207" s="189"/>
      <c r="L207" s="18"/>
      <c r="M207" s="129"/>
      <c r="N207" s="189"/>
      <c r="O207" s="132"/>
      <c r="P207" s="127"/>
      <c r="Q207" s="127"/>
      <c r="R207" s="128"/>
      <c r="S207" s="130"/>
      <c r="T207" s="135"/>
      <c r="U207" s="127"/>
      <c r="V207" s="217"/>
      <c r="W207" s="191"/>
      <c r="X207" s="133"/>
      <c r="Y207" s="131"/>
      <c r="Z207" s="131"/>
      <c r="AA207" s="242"/>
      <c r="AB207" s="131"/>
      <c r="AC207" s="131"/>
      <c r="AD207" s="131"/>
      <c r="AE207" s="131"/>
      <c r="AF207" s="131"/>
      <c r="AG207" s="131"/>
      <c r="AH207" s="131"/>
      <c r="AI207" s="131"/>
      <c r="AJ207" s="131"/>
      <c r="AK207" s="131"/>
      <c r="AL207" s="131"/>
      <c r="AM207" s="131"/>
      <c r="AN207" s="131"/>
      <c r="AO207" s="131"/>
      <c r="AP207" s="131"/>
      <c r="AQ207" s="243"/>
      <c r="AR207" s="131"/>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6"/>
      <c r="BP207" s="131"/>
      <c r="BQ207" s="131"/>
      <c r="BR207" s="131"/>
      <c r="BS207" s="131"/>
      <c r="BT207" s="131"/>
      <c r="BU207" s="131"/>
      <c r="BV207" s="131"/>
      <c r="BW207" s="131"/>
      <c r="BX207" s="131"/>
      <c r="BY207" s="131"/>
      <c r="BZ207" s="131"/>
      <c r="CA207" s="131"/>
      <c r="CB207" s="131"/>
      <c r="CC207" s="131"/>
      <c r="CD207" s="131"/>
      <c r="CE207" s="131"/>
      <c r="CF207" s="136"/>
      <c r="CG207" s="136"/>
      <c r="CH207" s="131"/>
      <c r="CI207" s="131"/>
      <c r="CJ207" s="136"/>
      <c r="CK207" s="136"/>
      <c r="CL207" s="136"/>
      <c r="CM207" s="131"/>
      <c r="CN207" s="131"/>
      <c r="CO207" s="136"/>
      <c r="CP207" s="136"/>
      <c r="CQ207" s="131"/>
      <c r="CR207" s="131"/>
      <c r="CS207" s="131"/>
      <c r="CT207" s="131"/>
      <c r="CU207" s="131"/>
      <c r="CV207" s="131"/>
      <c r="CW207" s="131"/>
      <c r="CX207" s="131"/>
      <c r="CY207" s="136"/>
      <c r="CZ207" s="136"/>
      <c r="DA207" s="131"/>
      <c r="DB207" s="136"/>
      <c r="DC207" s="136"/>
      <c r="DD207" s="131"/>
      <c r="DE207" s="131"/>
      <c r="DF207" s="131"/>
      <c r="DG207" s="136"/>
      <c r="DH207" s="131"/>
      <c r="DI207" s="131"/>
      <c r="DJ207" s="136"/>
      <c r="DK207" s="136"/>
      <c r="DL207" s="136"/>
      <c r="DM207" s="136"/>
      <c r="DN207" s="136"/>
      <c r="DO207" s="136"/>
      <c r="DP207" s="136"/>
      <c r="DQ207" s="136"/>
      <c r="DR207" s="136"/>
      <c r="DS207" s="131"/>
      <c r="DT207" s="136"/>
      <c r="DU207" s="131"/>
      <c r="DV207" s="131"/>
      <c r="DW207" s="131"/>
      <c r="DX207" s="131"/>
      <c r="DY207" s="131"/>
      <c r="DZ207" s="136"/>
      <c r="EA207" s="131"/>
      <c r="EB207" s="131"/>
      <c r="EC207" s="131"/>
      <c r="ED207" s="131"/>
      <c r="EE207" s="137"/>
      <c r="EF207" s="227"/>
      <c r="EG207" s="227"/>
      <c r="EH207" s="228"/>
      <c r="EI207" s="228"/>
      <c r="EJ207" s="228"/>
      <c r="EK207" s="228"/>
    </row>
    <row r="208" spans="1:141">
      <c r="A208" s="132"/>
      <c r="B208" s="18"/>
      <c r="C208" s="18"/>
      <c r="D208" s="220"/>
      <c r="E208" s="130"/>
      <c r="F208" s="126"/>
      <c r="G208" s="18"/>
      <c r="H208" s="189"/>
      <c r="I208" s="18"/>
      <c r="J208" s="18"/>
      <c r="K208" s="189"/>
      <c r="L208" s="18"/>
      <c r="M208" s="129"/>
      <c r="N208" s="189"/>
      <c r="O208" s="132"/>
      <c r="P208" s="127"/>
      <c r="Q208" s="127"/>
      <c r="R208" s="128"/>
      <c r="S208" s="130"/>
      <c r="T208" s="135"/>
      <c r="U208" s="127"/>
      <c r="V208" s="217"/>
      <c r="W208" s="191"/>
      <c r="X208" s="133"/>
      <c r="Y208" s="131"/>
      <c r="Z208" s="131"/>
      <c r="AA208" s="242"/>
      <c r="AB208" s="131"/>
      <c r="AC208" s="131"/>
      <c r="AD208" s="131"/>
      <c r="AE208" s="131"/>
      <c r="AF208" s="131"/>
      <c r="AG208" s="131"/>
      <c r="AH208" s="131"/>
      <c r="AI208" s="131"/>
      <c r="AJ208" s="131"/>
      <c r="AK208" s="131"/>
      <c r="AL208" s="131"/>
      <c r="AM208" s="131"/>
      <c r="AN208" s="131"/>
      <c r="AO208" s="131"/>
      <c r="AP208" s="131"/>
      <c r="AQ208" s="243"/>
      <c r="AR208" s="131"/>
      <c r="AS208" s="131"/>
      <c r="AT208" s="131"/>
      <c r="AU208" s="131"/>
      <c r="AV208" s="131"/>
      <c r="AW208" s="131"/>
      <c r="AX208" s="131"/>
      <c r="AY208" s="131"/>
      <c r="AZ208" s="131"/>
      <c r="BA208" s="131"/>
      <c r="BB208" s="131"/>
      <c r="BC208" s="131"/>
      <c r="BD208" s="131"/>
      <c r="BE208" s="131"/>
      <c r="BF208" s="131"/>
      <c r="BG208" s="131"/>
      <c r="BH208" s="131"/>
      <c r="BI208" s="131"/>
      <c r="BJ208" s="131"/>
      <c r="BK208" s="131"/>
      <c r="BL208" s="131"/>
      <c r="BM208" s="131"/>
      <c r="BN208" s="131"/>
      <c r="BO208" s="136"/>
      <c r="BP208" s="131"/>
      <c r="BQ208" s="131"/>
      <c r="BR208" s="131"/>
      <c r="BS208" s="131"/>
      <c r="BT208" s="131"/>
      <c r="BU208" s="131"/>
      <c r="BV208" s="131"/>
      <c r="BW208" s="131"/>
      <c r="BX208" s="131"/>
      <c r="BY208" s="131"/>
      <c r="BZ208" s="131"/>
      <c r="CA208" s="131"/>
      <c r="CB208" s="131"/>
      <c r="CC208" s="131"/>
      <c r="CD208" s="131"/>
      <c r="CE208" s="131"/>
      <c r="CF208" s="136"/>
      <c r="CG208" s="136"/>
      <c r="CH208" s="131"/>
      <c r="CI208" s="131"/>
      <c r="CJ208" s="136"/>
      <c r="CK208" s="136"/>
      <c r="CL208" s="136"/>
      <c r="CM208" s="131"/>
      <c r="CN208" s="131"/>
      <c r="CO208" s="136"/>
      <c r="CP208" s="136"/>
      <c r="CQ208" s="131"/>
      <c r="CR208" s="131"/>
      <c r="CS208" s="131"/>
      <c r="CT208" s="131"/>
      <c r="CU208" s="131"/>
      <c r="CV208" s="131"/>
      <c r="CW208" s="131"/>
      <c r="CX208" s="131"/>
      <c r="CY208" s="136"/>
      <c r="CZ208" s="136"/>
      <c r="DA208" s="131"/>
      <c r="DB208" s="136"/>
      <c r="DC208" s="136"/>
      <c r="DD208" s="131"/>
      <c r="DE208" s="131"/>
      <c r="DF208" s="131"/>
      <c r="DG208" s="136"/>
      <c r="DH208" s="131"/>
      <c r="DI208" s="131"/>
      <c r="DJ208" s="136"/>
      <c r="DK208" s="136"/>
      <c r="DL208" s="136"/>
      <c r="DM208" s="136"/>
      <c r="DN208" s="136"/>
      <c r="DO208" s="136"/>
      <c r="DP208" s="136"/>
      <c r="DQ208" s="136"/>
      <c r="DR208" s="136"/>
      <c r="DS208" s="131"/>
      <c r="DT208" s="136"/>
      <c r="DU208" s="131"/>
      <c r="DV208" s="131"/>
      <c r="DW208" s="131"/>
      <c r="DX208" s="131"/>
      <c r="DY208" s="131"/>
      <c r="DZ208" s="136"/>
      <c r="EA208" s="131"/>
      <c r="EB208" s="131"/>
      <c r="EC208" s="131"/>
      <c r="ED208" s="131"/>
      <c r="EE208" s="137"/>
      <c r="EF208" s="227"/>
      <c r="EG208" s="227"/>
      <c r="EH208" s="228"/>
      <c r="EI208" s="228"/>
      <c r="EJ208" s="228"/>
      <c r="EK208" s="228"/>
    </row>
    <row r="209" spans="1:141">
      <c r="A209" s="132"/>
      <c r="B209" s="18"/>
      <c r="C209" s="18"/>
      <c r="D209" s="220"/>
      <c r="E209" s="130"/>
      <c r="F209" s="126"/>
      <c r="G209" s="18"/>
      <c r="H209" s="189"/>
      <c r="I209" s="18"/>
      <c r="J209" s="18"/>
      <c r="K209" s="189"/>
      <c r="L209" s="18"/>
      <c r="M209" s="129"/>
      <c r="N209" s="189"/>
      <c r="O209" s="132"/>
      <c r="P209" s="127"/>
      <c r="Q209" s="127"/>
      <c r="R209" s="128"/>
      <c r="S209" s="130"/>
      <c r="T209" s="135"/>
      <c r="U209" s="127"/>
      <c r="V209" s="217"/>
      <c r="W209" s="191"/>
      <c r="X209" s="133"/>
      <c r="Y209" s="131"/>
      <c r="Z209" s="131"/>
      <c r="AA209" s="242"/>
      <c r="AB209" s="131"/>
      <c r="AC209" s="131"/>
      <c r="AD209" s="131"/>
      <c r="AE209" s="131"/>
      <c r="AF209" s="131"/>
      <c r="AG209" s="131"/>
      <c r="AH209" s="131"/>
      <c r="AI209" s="131"/>
      <c r="AJ209" s="131"/>
      <c r="AK209" s="131"/>
      <c r="AL209" s="131"/>
      <c r="AM209" s="131"/>
      <c r="AN209" s="131"/>
      <c r="AO209" s="131"/>
      <c r="AP209" s="131"/>
      <c r="AQ209" s="243"/>
      <c r="AR209" s="131"/>
      <c r="AS209" s="131"/>
      <c r="AT209" s="131"/>
      <c r="AU209" s="131"/>
      <c r="AV209" s="131"/>
      <c r="AW209" s="131"/>
      <c r="AX209" s="131"/>
      <c r="AY209" s="131"/>
      <c r="AZ209" s="131"/>
      <c r="BA209" s="131"/>
      <c r="BB209" s="131"/>
      <c r="BC209" s="131"/>
      <c r="BD209" s="131"/>
      <c r="BE209" s="131"/>
      <c r="BF209" s="131"/>
      <c r="BG209" s="131"/>
      <c r="BH209" s="131"/>
      <c r="BI209" s="131"/>
      <c r="BJ209" s="131"/>
      <c r="BK209" s="131"/>
      <c r="BL209" s="131"/>
      <c r="BM209" s="131"/>
      <c r="BN209" s="131"/>
      <c r="BO209" s="136"/>
      <c r="BP209" s="131"/>
      <c r="BQ209" s="131"/>
      <c r="BR209" s="131"/>
      <c r="BS209" s="131"/>
      <c r="BT209" s="131"/>
      <c r="BU209" s="131"/>
      <c r="BV209" s="131"/>
      <c r="BW209" s="131"/>
      <c r="BX209" s="131"/>
      <c r="BY209" s="131"/>
      <c r="BZ209" s="131"/>
      <c r="CA209" s="131"/>
      <c r="CB209" s="131"/>
      <c r="CC209" s="131"/>
      <c r="CD209" s="131"/>
      <c r="CE209" s="131"/>
      <c r="CF209" s="136"/>
      <c r="CG209" s="136"/>
      <c r="CH209" s="131"/>
      <c r="CI209" s="131"/>
      <c r="CJ209" s="136"/>
      <c r="CK209" s="136"/>
      <c r="CL209" s="136"/>
      <c r="CM209" s="131"/>
      <c r="CN209" s="131"/>
      <c r="CO209" s="136"/>
      <c r="CP209" s="136"/>
      <c r="CQ209" s="131"/>
      <c r="CR209" s="131"/>
      <c r="CS209" s="131"/>
      <c r="CT209" s="131"/>
      <c r="CU209" s="131"/>
      <c r="CV209" s="131"/>
      <c r="CW209" s="131"/>
      <c r="CX209" s="131"/>
      <c r="CY209" s="136"/>
      <c r="CZ209" s="136"/>
      <c r="DA209" s="131"/>
      <c r="DB209" s="136"/>
      <c r="DC209" s="136"/>
      <c r="DD209" s="131"/>
      <c r="DE209" s="131"/>
      <c r="DF209" s="131"/>
      <c r="DG209" s="136"/>
      <c r="DH209" s="131"/>
      <c r="DI209" s="131"/>
      <c r="DJ209" s="136"/>
      <c r="DK209" s="136"/>
      <c r="DL209" s="136"/>
      <c r="DM209" s="136"/>
      <c r="DN209" s="136"/>
      <c r="DO209" s="136"/>
      <c r="DP209" s="136"/>
      <c r="DQ209" s="136"/>
      <c r="DR209" s="136"/>
      <c r="DS209" s="131"/>
      <c r="DT209" s="136"/>
      <c r="DU209" s="131"/>
      <c r="DV209" s="131"/>
      <c r="DW209" s="131"/>
      <c r="DX209" s="131"/>
      <c r="DY209" s="131"/>
      <c r="DZ209" s="136"/>
      <c r="EA209" s="131"/>
      <c r="EB209" s="131"/>
      <c r="EC209" s="131"/>
      <c r="ED209" s="131"/>
      <c r="EE209" s="137"/>
      <c r="EF209" s="227"/>
      <c r="EG209" s="227"/>
      <c r="EH209" s="228"/>
      <c r="EI209" s="228"/>
      <c r="EJ209" s="228"/>
      <c r="EK209" s="228"/>
    </row>
    <row r="210" spans="1:141">
      <c r="A210" s="132"/>
      <c r="B210" s="18"/>
      <c r="C210" s="18"/>
      <c r="D210" s="220"/>
      <c r="E210" s="130"/>
      <c r="F210" s="126"/>
      <c r="G210" s="18"/>
      <c r="H210" s="189"/>
      <c r="I210" s="18"/>
      <c r="J210" s="18"/>
      <c r="K210" s="189"/>
      <c r="L210" s="18"/>
      <c r="M210" s="129"/>
      <c r="N210" s="189"/>
      <c r="O210" s="132"/>
      <c r="P210" s="127"/>
      <c r="Q210" s="127"/>
      <c r="R210" s="128"/>
      <c r="S210" s="130"/>
      <c r="T210" s="135"/>
      <c r="U210" s="127"/>
      <c r="V210" s="217"/>
      <c r="W210" s="191"/>
      <c r="X210" s="133"/>
      <c r="Y210" s="131"/>
      <c r="Z210" s="131"/>
      <c r="AA210" s="242"/>
      <c r="AB210" s="131"/>
      <c r="AC210" s="131"/>
      <c r="AD210" s="131"/>
      <c r="AE210" s="131"/>
      <c r="AF210" s="131"/>
      <c r="AG210" s="131"/>
      <c r="AH210" s="131"/>
      <c r="AI210" s="131"/>
      <c r="AJ210" s="131"/>
      <c r="AK210" s="131"/>
      <c r="AL210" s="131"/>
      <c r="AM210" s="131"/>
      <c r="AN210" s="131"/>
      <c r="AO210" s="131"/>
      <c r="AP210" s="131"/>
      <c r="AQ210" s="243"/>
      <c r="AR210" s="131"/>
      <c r="AS210" s="131"/>
      <c r="AT210" s="131"/>
      <c r="AU210" s="131"/>
      <c r="AV210" s="131"/>
      <c r="AW210" s="131"/>
      <c r="AX210" s="131"/>
      <c r="AY210" s="131"/>
      <c r="AZ210" s="131"/>
      <c r="BA210" s="131"/>
      <c r="BB210" s="131"/>
      <c r="BC210" s="131"/>
      <c r="BD210" s="131"/>
      <c r="BE210" s="131"/>
      <c r="BF210" s="131"/>
      <c r="BG210" s="131"/>
      <c r="BH210" s="131"/>
      <c r="BI210" s="131"/>
      <c r="BJ210" s="131"/>
      <c r="BK210" s="131"/>
      <c r="BL210" s="131"/>
      <c r="BM210" s="131"/>
      <c r="BN210" s="131"/>
      <c r="BO210" s="136"/>
      <c r="BP210" s="131"/>
      <c r="BQ210" s="131"/>
      <c r="BR210" s="131"/>
      <c r="BS210" s="131"/>
      <c r="BT210" s="131"/>
      <c r="BU210" s="131"/>
      <c r="BV210" s="131"/>
      <c r="BW210" s="131"/>
      <c r="BX210" s="131"/>
      <c r="BY210" s="131"/>
      <c r="BZ210" s="131"/>
      <c r="CA210" s="131"/>
      <c r="CB210" s="131"/>
      <c r="CC210" s="131"/>
      <c r="CD210" s="131"/>
      <c r="CE210" s="131"/>
      <c r="CF210" s="136"/>
      <c r="CG210" s="136"/>
      <c r="CH210" s="131"/>
      <c r="CI210" s="131"/>
      <c r="CJ210" s="136"/>
      <c r="CK210" s="136"/>
      <c r="CL210" s="136"/>
      <c r="CM210" s="131"/>
      <c r="CN210" s="131"/>
      <c r="CO210" s="136"/>
      <c r="CP210" s="136"/>
      <c r="CQ210" s="131"/>
      <c r="CR210" s="131"/>
      <c r="CS210" s="131"/>
      <c r="CT210" s="131"/>
      <c r="CU210" s="131"/>
      <c r="CV210" s="131"/>
      <c r="CW210" s="131"/>
      <c r="CX210" s="131"/>
      <c r="CY210" s="136"/>
      <c r="CZ210" s="136"/>
      <c r="DA210" s="131"/>
      <c r="DB210" s="136"/>
      <c r="DC210" s="136"/>
      <c r="DD210" s="131"/>
      <c r="DE210" s="131"/>
      <c r="DF210" s="131"/>
      <c r="DG210" s="136"/>
      <c r="DH210" s="131"/>
      <c r="DI210" s="131"/>
      <c r="DJ210" s="136"/>
      <c r="DK210" s="136"/>
      <c r="DL210" s="136"/>
      <c r="DM210" s="136"/>
      <c r="DN210" s="136"/>
      <c r="DO210" s="136"/>
      <c r="DP210" s="136"/>
      <c r="DQ210" s="136"/>
      <c r="DR210" s="136"/>
      <c r="DS210" s="131"/>
      <c r="DT210" s="136"/>
      <c r="DU210" s="131"/>
      <c r="DV210" s="131"/>
      <c r="DW210" s="131"/>
      <c r="DX210" s="131"/>
      <c r="DY210" s="131"/>
      <c r="DZ210" s="136"/>
      <c r="EA210" s="131"/>
      <c r="EB210" s="131"/>
      <c r="EC210" s="131"/>
      <c r="ED210" s="131"/>
      <c r="EE210" s="137"/>
      <c r="EF210" s="227"/>
      <c r="EG210" s="227"/>
      <c r="EH210" s="228"/>
      <c r="EI210" s="228"/>
      <c r="EJ210" s="228"/>
      <c r="EK210" s="228"/>
    </row>
    <row r="211" spans="1:141">
      <c r="A211" s="132"/>
      <c r="B211" s="18"/>
      <c r="C211" s="18"/>
      <c r="D211" s="220"/>
      <c r="E211" s="130"/>
      <c r="F211" s="126"/>
      <c r="G211" s="18"/>
      <c r="H211" s="189"/>
      <c r="I211" s="18"/>
      <c r="J211" s="18"/>
      <c r="K211" s="189"/>
      <c r="L211" s="18"/>
      <c r="M211" s="129"/>
      <c r="N211" s="189"/>
      <c r="O211" s="132"/>
      <c r="P211" s="127"/>
      <c r="Q211" s="127"/>
      <c r="R211" s="128"/>
      <c r="S211" s="130"/>
      <c r="T211" s="135"/>
      <c r="U211" s="127"/>
      <c r="V211" s="217"/>
      <c r="W211" s="191"/>
      <c r="X211" s="133"/>
      <c r="Y211" s="131"/>
      <c r="Z211" s="131"/>
      <c r="AA211" s="242"/>
      <c r="AB211" s="131"/>
      <c r="AC211" s="131"/>
      <c r="AD211" s="131"/>
      <c r="AE211" s="131"/>
      <c r="AF211" s="131"/>
      <c r="AG211" s="131"/>
      <c r="AH211" s="131"/>
      <c r="AI211" s="131"/>
      <c r="AJ211" s="131"/>
      <c r="AK211" s="131"/>
      <c r="AL211" s="131"/>
      <c r="AM211" s="131"/>
      <c r="AN211" s="131"/>
      <c r="AO211" s="131"/>
      <c r="AP211" s="131"/>
      <c r="AQ211" s="243"/>
      <c r="AR211" s="131"/>
      <c r="AS211" s="131"/>
      <c r="AT211" s="131"/>
      <c r="AU211" s="131"/>
      <c r="AV211" s="131"/>
      <c r="AW211" s="131"/>
      <c r="AX211" s="131"/>
      <c r="AY211" s="131"/>
      <c r="AZ211" s="131"/>
      <c r="BA211" s="131"/>
      <c r="BB211" s="131"/>
      <c r="BC211" s="131"/>
      <c r="BD211" s="131"/>
      <c r="BE211" s="131"/>
      <c r="BF211" s="131"/>
      <c r="BG211" s="131"/>
      <c r="BH211" s="131"/>
      <c r="BI211" s="131"/>
      <c r="BJ211" s="131"/>
      <c r="BK211" s="131"/>
      <c r="BL211" s="131"/>
      <c r="BM211" s="131"/>
      <c r="BN211" s="131"/>
      <c r="BO211" s="136"/>
      <c r="BP211" s="131"/>
      <c r="BQ211" s="131"/>
      <c r="BR211" s="131"/>
      <c r="BS211" s="131"/>
      <c r="BT211" s="131"/>
      <c r="BU211" s="131"/>
      <c r="BV211" s="131"/>
      <c r="BW211" s="131"/>
      <c r="BX211" s="131"/>
      <c r="BY211" s="131"/>
      <c r="BZ211" s="131"/>
      <c r="CA211" s="131"/>
      <c r="CB211" s="131"/>
      <c r="CC211" s="131"/>
      <c r="CD211" s="131"/>
      <c r="CE211" s="131"/>
      <c r="CF211" s="136"/>
      <c r="CG211" s="136"/>
      <c r="CH211" s="131"/>
      <c r="CI211" s="131"/>
      <c r="CJ211" s="136"/>
      <c r="CK211" s="136"/>
      <c r="CL211" s="136"/>
      <c r="CM211" s="131"/>
      <c r="CN211" s="131"/>
      <c r="CO211" s="136"/>
      <c r="CP211" s="136"/>
      <c r="CQ211" s="131"/>
      <c r="CR211" s="131"/>
      <c r="CS211" s="131"/>
      <c r="CT211" s="131"/>
      <c r="CU211" s="131"/>
      <c r="CV211" s="131"/>
      <c r="CW211" s="131"/>
      <c r="CX211" s="131"/>
      <c r="CY211" s="136"/>
      <c r="CZ211" s="136"/>
      <c r="DA211" s="131"/>
      <c r="DB211" s="136"/>
      <c r="DC211" s="136"/>
      <c r="DD211" s="131"/>
      <c r="DE211" s="131"/>
      <c r="DF211" s="131"/>
      <c r="DG211" s="136"/>
      <c r="DH211" s="131"/>
      <c r="DI211" s="131"/>
      <c r="DJ211" s="136"/>
      <c r="DK211" s="136"/>
      <c r="DL211" s="136"/>
      <c r="DM211" s="136"/>
      <c r="DN211" s="136"/>
      <c r="DO211" s="136"/>
      <c r="DP211" s="136"/>
      <c r="DQ211" s="136"/>
      <c r="DR211" s="136"/>
      <c r="DS211" s="131"/>
      <c r="DT211" s="136"/>
      <c r="DU211" s="131"/>
      <c r="DV211" s="131"/>
      <c r="DW211" s="131"/>
      <c r="DX211" s="131"/>
      <c r="DY211" s="131"/>
      <c r="DZ211" s="136"/>
      <c r="EA211" s="131"/>
      <c r="EB211" s="131"/>
      <c r="EC211" s="131"/>
      <c r="ED211" s="131"/>
      <c r="EE211" s="137"/>
      <c r="EF211" s="227"/>
      <c r="EG211" s="227"/>
      <c r="EH211" s="228"/>
      <c r="EI211" s="228"/>
      <c r="EJ211" s="228"/>
      <c r="EK211" s="228"/>
    </row>
    <row r="212" spans="1:141">
      <c r="A212" s="132"/>
      <c r="B212" s="18"/>
      <c r="C212" s="18"/>
      <c r="D212" s="220"/>
      <c r="E212" s="130"/>
      <c r="F212" s="126"/>
      <c r="G212" s="18"/>
      <c r="H212" s="189"/>
      <c r="I212" s="18"/>
      <c r="J212" s="18"/>
      <c r="K212" s="189"/>
      <c r="L212" s="18"/>
      <c r="M212" s="129"/>
      <c r="N212" s="189"/>
      <c r="O212" s="132"/>
      <c r="P212" s="127"/>
      <c r="Q212" s="127"/>
      <c r="R212" s="128"/>
      <c r="S212" s="130"/>
      <c r="T212" s="135"/>
      <c r="U212" s="127"/>
      <c r="V212" s="217"/>
      <c r="W212" s="191"/>
      <c r="X212" s="133"/>
      <c r="Y212" s="131"/>
      <c r="Z212" s="131"/>
      <c r="AA212" s="242"/>
      <c r="AB212" s="131"/>
      <c r="AC212" s="131"/>
      <c r="AD212" s="131"/>
      <c r="AE212" s="131"/>
      <c r="AF212" s="131"/>
      <c r="AG212" s="131"/>
      <c r="AH212" s="131"/>
      <c r="AI212" s="131"/>
      <c r="AJ212" s="131"/>
      <c r="AK212" s="131"/>
      <c r="AL212" s="131"/>
      <c r="AM212" s="131"/>
      <c r="AN212" s="131"/>
      <c r="AO212" s="131"/>
      <c r="AP212" s="131"/>
      <c r="AQ212" s="243"/>
      <c r="AR212" s="131"/>
      <c r="AS212" s="131"/>
      <c r="AT212" s="131"/>
      <c r="AU212" s="131"/>
      <c r="AV212" s="131"/>
      <c r="AW212" s="131"/>
      <c r="AX212" s="131"/>
      <c r="AY212" s="131"/>
      <c r="AZ212" s="131"/>
      <c r="BA212" s="131"/>
      <c r="BB212" s="131"/>
      <c r="BC212" s="131"/>
      <c r="BD212" s="131"/>
      <c r="BE212" s="131"/>
      <c r="BF212" s="131"/>
      <c r="BG212" s="131"/>
      <c r="BH212" s="131"/>
      <c r="BI212" s="131"/>
      <c r="BJ212" s="131"/>
      <c r="BK212" s="131"/>
      <c r="BL212" s="131"/>
      <c r="BM212" s="131"/>
      <c r="BN212" s="131"/>
      <c r="BO212" s="136"/>
      <c r="BP212" s="131"/>
      <c r="BQ212" s="131"/>
      <c r="BR212" s="131"/>
      <c r="BS212" s="131"/>
      <c r="BT212" s="131"/>
      <c r="BU212" s="131"/>
      <c r="BV212" s="131"/>
      <c r="BW212" s="131"/>
      <c r="BX212" s="131"/>
      <c r="BY212" s="131"/>
      <c r="BZ212" s="131"/>
      <c r="CA212" s="131"/>
      <c r="CB212" s="131"/>
      <c r="CC212" s="131"/>
      <c r="CD212" s="131"/>
      <c r="CE212" s="131"/>
      <c r="CF212" s="136"/>
      <c r="CG212" s="136"/>
      <c r="CH212" s="131"/>
      <c r="CI212" s="131"/>
      <c r="CJ212" s="136"/>
      <c r="CK212" s="136"/>
      <c r="CL212" s="136"/>
      <c r="CM212" s="131"/>
      <c r="CN212" s="131"/>
      <c r="CO212" s="136"/>
      <c r="CP212" s="136"/>
      <c r="CQ212" s="131"/>
      <c r="CR212" s="131"/>
      <c r="CS212" s="131"/>
      <c r="CT212" s="131"/>
      <c r="CU212" s="131"/>
      <c r="CV212" s="131"/>
      <c r="CW212" s="131"/>
      <c r="CX212" s="131"/>
      <c r="CY212" s="136"/>
      <c r="CZ212" s="136"/>
      <c r="DA212" s="131"/>
      <c r="DB212" s="136"/>
      <c r="DC212" s="136"/>
      <c r="DD212" s="131"/>
      <c r="DE212" s="131"/>
      <c r="DF212" s="131"/>
      <c r="DG212" s="136"/>
      <c r="DH212" s="131"/>
      <c r="DI212" s="131"/>
      <c r="DJ212" s="136"/>
      <c r="DK212" s="136"/>
      <c r="DL212" s="136"/>
      <c r="DM212" s="136"/>
      <c r="DN212" s="136"/>
      <c r="DO212" s="136"/>
      <c r="DP212" s="136"/>
      <c r="DQ212" s="136"/>
      <c r="DR212" s="136"/>
      <c r="DS212" s="131"/>
      <c r="DT212" s="136"/>
      <c r="DU212" s="131"/>
      <c r="DV212" s="131"/>
      <c r="DW212" s="131"/>
      <c r="DX212" s="131"/>
      <c r="DY212" s="131"/>
      <c r="DZ212" s="136"/>
      <c r="EA212" s="131"/>
      <c r="EB212" s="131"/>
      <c r="EC212" s="131"/>
      <c r="ED212" s="131"/>
      <c r="EE212" s="137"/>
      <c r="EF212" s="227"/>
      <c r="EG212" s="227"/>
      <c r="EH212" s="228"/>
      <c r="EI212" s="228"/>
      <c r="EJ212" s="228"/>
      <c r="EK212" s="228"/>
    </row>
    <row r="213" spans="1:141">
      <c r="A213" s="132"/>
      <c r="B213" s="18"/>
      <c r="C213" s="18"/>
      <c r="D213" s="220"/>
      <c r="E213" s="130"/>
      <c r="F213" s="126"/>
      <c r="G213" s="18"/>
      <c r="H213" s="189"/>
      <c r="I213" s="18"/>
      <c r="J213" s="18"/>
      <c r="K213" s="189"/>
      <c r="L213" s="18"/>
      <c r="M213" s="129"/>
      <c r="N213" s="189"/>
      <c r="O213" s="132"/>
      <c r="P213" s="127"/>
      <c r="Q213" s="127"/>
      <c r="R213" s="128"/>
      <c r="S213" s="130"/>
      <c r="T213" s="135"/>
      <c r="U213" s="127"/>
      <c r="V213" s="217"/>
      <c r="W213" s="191"/>
      <c r="X213" s="133"/>
      <c r="Y213" s="131"/>
      <c r="Z213" s="131"/>
      <c r="AA213" s="242"/>
      <c r="AB213" s="131"/>
      <c r="AC213" s="131"/>
      <c r="AD213" s="131"/>
      <c r="AE213" s="131"/>
      <c r="AF213" s="131"/>
      <c r="AG213" s="131"/>
      <c r="AH213" s="131"/>
      <c r="AI213" s="131"/>
      <c r="AJ213" s="131"/>
      <c r="AK213" s="131"/>
      <c r="AL213" s="131"/>
      <c r="AM213" s="131"/>
      <c r="AN213" s="131"/>
      <c r="AO213" s="131"/>
      <c r="AP213" s="131"/>
      <c r="AQ213" s="243"/>
      <c r="AR213" s="131"/>
      <c r="AS213" s="131"/>
      <c r="AT213" s="131"/>
      <c r="AU213" s="131"/>
      <c r="AV213" s="131"/>
      <c r="AW213" s="131"/>
      <c r="AX213" s="131"/>
      <c r="AY213" s="131"/>
      <c r="AZ213" s="131"/>
      <c r="BA213" s="131"/>
      <c r="BB213" s="131"/>
      <c r="BC213" s="131"/>
      <c r="BD213" s="131"/>
      <c r="BE213" s="131"/>
      <c r="BF213" s="131"/>
      <c r="BG213" s="131"/>
      <c r="BH213" s="131"/>
      <c r="BI213" s="131"/>
      <c r="BJ213" s="131"/>
      <c r="BK213" s="131"/>
      <c r="BL213" s="131"/>
      <c r="BM213" s="131"/>
      <c r="BN213" s="131"/>
      <c r="BO213" s="136"/>
      <c r="BP213" s="131"/>
      <c r="BQ213" s="131"/>
      <c r="BR213" s="131"/>
      <c r="BS213" s="131"/>
      <c r="BT213" s="131"/>
      <c r="BU213" s="131"/>
      <c r="BV213" s="131"/>
      <c r="BW213" s="131"/>
      <c r="BX213" s="131"/>
      <c r="BY213" s="131"/>
      <c r="BZ213" s="131"/>
      <c r="CA213" s="131"/>
      <c r="CB213" s="131"/>
      <c r="CC213" s="131"/>
      <c r="CD213" s="131"/>
      <c r="CE213" s="131"/>
      <c r="CF213" s="136"/>
      <c r="CG213" s="136"/>
      <c r="CH213" s="131"/>
      <c r="CI213" s="131"/>
      <c r="CJ213" s="136"/>
      <c r="CK213" s="136"/>
      <c r="CL213" s="136"/>
      <c r="CM213" s="131"/>
      <c r="CN213" s="131"/>
      <c r="CO213" s="136"/>
      <c r="CP213" s="136"/>
      <c r="CQ213" s="131"/>
      <c r="CR213" s="131"/>
      <c r="CS213" s="131"/>
      <c r="CT213" s="131"/>
      <c r="CU213" s="131"/>
      <c r="CV213" s="131"/>
      <c r="CW213" s="131"/>
      <c r="CX213" s="131"/>
      <c r="CY213" s="136"/>
      <c r="CZ213" s="136"/>
      <c r="DA213" s="131"/>
      <c r="DB213" s="136"/>
      <c r="DC213" s="136"/>
      <c r="DD213" s="131"/>
      <c r="DE213" s="131"/>
      <c r="DF213" s="131"/>
      <c r="DG213" s="136"/>
      <c r="DH213" s="131"/>
      <c r="DI213" s="131"/>
      <c r="DJ213" s="136"/>
      <c r="DK213" s="136"/>
      <c r="DL213" s="136"/>
      <c r="DM213" s="136"/>
      <c r="DN213" s="136"/>
      <c r="DO213" s="136"/>
      <c r="DP213" s="136"/>
      <c r="DQ213" s="136"/>
      <c r="DR213" s="136"/>
      <c r="DS213" s="131"/>
      <c r="DT213" s="136"/>
      <c r="DU213" s="131"/>
      <c r="DV213" s="131"/>
      <c r="DW213" s="131"/>
      <c r="DX213" s="131"/>
      <c r="DY213" s="131"/>
      <c r="DZ213" s="136"/>
      <c r="EA213" s="131"/>
      <c r="EB213" s="131"/>
      <c r="EC213" s="131"/>
      <c r="ED213" s="131"/>
      <c r="EE213" s="137"/>
      <c r="EF213" s="227"/>
      <c r="EG213" s="227"/>
      <c r="EH213" s="228"/>
      <c r="EI213" s="228"/>
      <c r="EJ213" s="228"/>
      <c r="EK213" s="228"/>
    </row>
    <row r="214" spans="1:141">
      <c r="A214" s="132"/>
      <c r="B214" s="18"/>
      <c r="C214" s="18"/>
      <c r="D214" s="220"/>
      <c r="E214" s="130"/>
      <c r="F214" s="126"/>
      <c r="G214" s="18"/>
      <c r="H214" s="189"/>
      <c r="I214" s="18"/>
      <c r="J214" s="18"/>
      <c r="K214" s="189"/>
      <c r="L214" s="18"/>
      <c r="M214" s="129"/>
      <c r="N214" s="189"/>
      <c r="O214" s="132"/>
      <c r="P214" s="127"/>
      <c r="Q214" s="127"/>
      <c r="R214" s="128"/>
      <c r="S214" s="130"/>
      <c r="T214" s="135"/>
      <c r="U214" s="127"/>
      <c r="V214" s="217"/>
      <c r="W214" s="191"/>
      <c r="X214" s="133"/>
      <c r="Y214" s="131"/>
      <c r="Z214" s="131"/>
      <c r="AA214" s="242"/>
      <c r="AB214" s="131"/>
      <c r="AC214" s="131"/>
      <c r="AD214" s="131"/>
      <c r="AE214" s="131"/>
      <c r="AF214" s="131"/>
      <c r="AG214" s="131"/>
      <c r="AH214" s="131"/>
      <c r="AI214" s="131"/>
      <c r="AJ214" s="131"/>
      <c r="AK214" s="131"/>
      <c r="AL214" s="131"/>
      <c r="AM214" s="131"/>
      <c r="AN214" s="131"/>
      <c r="AO214" s="131"/>
      <c r="AP214" s="131"/>
      <c r="AQ214" s="243"/>
      <c r="AR214" s="131"/>
      <c r="AS214" s="131"/>
      <c r="AT214" s="131"/>
      <c r="AU214" s="131"/>
      <c r="AV214" s="131"/>
      <c r="AW214" s="131"/>
      <c r="AX214" s="131"/>
      <c r="AY214" s="131"/>
      <c r="AZ214" s="131"/>
      <c r="BA214" s="131"/>
      <c r="BB214" s="131"/>
      <c r="BC214" s="131"/>
      <c r="BD214" s="131"/>
      <c r="BE214" s="131"/>
      <c r="BF214" s="131"/>
      <c r="BG214" s="131"/>
      <c r="BH214" s="131"/>
      <c r="BI214" s="131"/>
      <c r="BJ214" s="131"/>
      <c r="BK214" s="131"/>
      <c r="BL214" s="131"/>
      <c r="BM214" s="131"/>
      <c r="BN214" s="131"/>
      <c r="BO214" s="136"/>
      <c r="BP214" s="131"/>
      <c r="BQ214" s="131"/>
      <c r="BR214" s="131"/>
      <c r="BS214" s="131"/>
      <c r="BT214" s="131"/>
      <c r="BU214" s="131"/>
      <c r="BV214" s="131"/>
      <c r="BW214" s="131"/>
      <c r="BX214" s="131"/>
      <c r="BY214" s="131"/>
      <c r="BZ214" s="131"/>
      <c r="CA214" s="131"/>
      <c r="CB214" s="131"/>
      <c r="CC214" s="131"/>
      <c r="CD214" s="131"/>
      <c r="CE214" s="131"/>
      <c r="CF214" s="136"/>
      <c r="CG214" s="136"/>
      <c r="CH214" s="131"/>
      <c r="CI214" s="131"/>
      <c r="CJ214" s="136"/>
      <c r="CK214" s="136"/>
      <c r="CL214" s="136"/>
      <c r="CM214" s="131"/>
      <c r="CN214" s="131"/>
      <c r="CO214" s="136"/>
      <c r="CP214" s="136"/>
      <c r="CQ214" s="131"/>
      <c r="CR214" s="131"/>
      <c r="CS214" s="131"/>
      <c r="CT214" s="131"/>
      <c r="CU214" s="131"/>
      <c r="CV214" s="131"/>
      <c r="CW214" s="131"/>
      <c r="CX214" s="131"/>
      <c r="CY214" s="136"/>
      <c r="CZ214" s="136"/>
      <c r="DA214" s="131"/>
      <c r="DB214" s="136"/>
      <c r="DC214" s="136"/>
      <c r="DD214" s="131"/>
      <c r="DE214" s="131"/>
      <c r="DF214" s="131"/>
      <c r="DG214" s="136"/>
      <c r="DH214" s="131"/>
      <c r="DI214" s="131"/>
      <c r="DJ214" s="136"/>
      <c r="DK214" s="136"/>
      <c r="DL214" s="136"/>
      <c r="DM214" s="136"/>
      <c r="DN214" s="136"/>
      <c r="DO214" s="136"/>
      <c r="DP214" s="136"/>
      <c r="DQ214" s="136"/>
      <c r="DR214" s="136"/>
      <c r="DS214" s="131"/>
      <c r="DT214" s="136"/>
      <c r="DU214" s="131"/>
      <c r="DV214" s="131"/>
      <c r="DW214" s="131"/>
      <c r="DX214" s="131"/>
      <c r="DY214" s="131"/>
      <c r="DZ214" s="136"/>
      <c r="EA214" s="131"/>
      <c r="EB214" s="131"/>
      <c r="EC214" s="131"/>
      <c r="ED214" s="131"/>
      <c r="EE214" s="137"/>
      <c r="EF214" s="227"/>
      <c r="EG214" s="227"/>
      <c r="EH214" s="228"/>
      <c r="EI214" s="228"/>
      <c r="EJ214" s="228"/>
      <c r="EK214" s="228"/>
    </row>
    <row r="215" spans="1:141">
      <c r="A215" s="132"/>
      <c r="B215" s="18"/>
      <c r="C215" s="18"/>
      <c r="D215" s="220"/>
      <c r="E215" s="130"/>
      <c r="F215" s="126"/>
      <c r="G215" s="18"/>
      <c r="H215" s="189"/>
      <c r="I215" s="18"/>
      <c r="J215" s="18"/>
      <c r="K215" s="189"/>
      <c r="L215" s="18"/>
      <c r="M215" s="129"/>
      <c r="N215" s="189"/>
      <c r="O215" s="132"/>
      <c r="P215" s="127"/>
      <c r="Q215" s="127"/>
      <c r="R215" s="128"/>
      <c r="S215" s="130"/>
      <c r="T215" s="135"/>
      <c r="U215" s="127"/>
      <c r="V215" s="217"/>
      <c r="W215" s="191"/>
      <c r="X215" s="133"/>
      <c r="Y215" s="131"/>
      <c r="Z215" s="131"/>
      <c r="AA215" s="242"/>
      <c r="AB215" s="131"/>
      <c r="AC215" s="131"/>
      <c r="AD215" s="131"/>
      <c r="AE215" s="131"/>
      <c r="AF215" s="131"/>
      <c r="AG215" s="131"/>
      <c r="AH215" s="131"/>
      <c r="AI215" s="131"/>
      <c r="AJ215" s="131"/>
      <c r="AK215" s="131"/>
      <c r="AL215" s="131"/>
      <c r="AM215" s="131"/>
      <c r="AN215" s="131"/>
      <c r="AO215" s="131"/>
      <c r="AP215" s="131"/>
      <c r="AQ215" s="243"/>
      <c r="AR215" s="131"/>
      <c r="AS215" s="131"/>
      <c r="AT215" s="131"/>
      <c r="AU215" s="131"/>
      <c r="AV215" s="131"/>
      <c r="AW215" s="131"/>
      <c r="AX215" s="131"/>
      <c r="AY215" s="131"/>
      <c r="AZ215" s="131"/>
      <c r="BA215" s="131"/>
      <c r="BB215" s="131"/>
      <c r="BC215" s="131"/>
      <c r="BD215" s="131"/>
      <c r="BE215" s="131"/>
      <c r="BF215" s="131"/>
      <c r="BG215" s="131"/>
      <c r="BH215" s="131"/>
      <c r="BI215" s="131"/>
      <c r="BJ215" s="131"/>
      <c r="BK215" s="131"/>
      <c r="BL215" s="131"/>
      <c r="BM215" s="131"/>
      <c r="BN215" s="131"/>
      <c r="BO215" s="136"/>
      <c r="BP215" s="131"/>
      <c r="BQ215" s="131"/>
      <c r="BR215" s="131"/>
      <c r="BS215" s="131"/>
      <c r="BT215" s="131"/>
      <c r="BU215" s="131"/>
      <c r="BV215" s="131"/>
      <c r="BW215" s="131"/>
      <c r="BX215" s="131"/>
      <c r="BY215" s="131"/>
      <c r="BZ215" s="131"/>
      <c r="CA215" s="131"/>
      <c r="CB215" s="131"/>
      <c r="CC215" s="131"/>
      <c r="CD215" s="131"/>
      <c r="CE215" s="131"/>
      <c r="CF215" s="136"/>
      <c r="CG215" s="136"/>
      <c r="CH215" s="131"/>
      <c r="CI215" s="131"/>
      <c r="CJ215" s="136"/>
      <c r="CK215" s="136"/>
      <c r="CL215" s="136"/>
      <c r="CM215" s="131"/>
      <c r="CN215" s="131"/>
      <c r="CO215" s="136"/>
      <c r="CP215" s="136"/>
      <c r="CQ215" s="131"/>
      <c r="CR215" s="131"/>
      <c r="CS215" s="131"/>
      <c r="CT215" s="131"/>
      <c r="CU215" s="131"/>
      <c r="CV215" s="131"/>
      <c r="CW215" s="131"/>
      <c r="CX215" s="131"/>
      <c r="CY215" s="136"/>
      <c r="CZ215" s="136"/>
      <c r="DA215" s="131"/>
      <c r="DB215" s="136"/>
      <c r="DC215" s="136"/>
      <c r="DD215" s="131"/>
      <c r="DE215" s="131"/>
      <c r="DF215" s="131"/>
      <c r="DG215" s="136"/>
      <c r="DH215" s="131"/>
      <c r="DI215" s="131"/>
      <c r="DJ215" s="136"/>
      <c r="DK215" s="136"/>
      <c r="DL215" s="136"/>
      <c r="DM215" s="136"/>
      <c r="DN215" s="136"/>
      <c r="DO215" s="136"/>
      <c r="DP215" s="136"/>
      <c r="DQ215" s="136"/>
      <c r="DR215" s="136"/>
      <c r="DS215" s="131"/>
      <c r="DT215" s="136"/>
      <c r="DU215" s="131"/>
      <c r="DV215" s="131"/>
      <c r="DW215" s="131"/>
      <c r="DX215" s="131"/>
      <c r="DY215" s="131"/>
      <c r="DZ215" s="136"/>
      <c r="EA215" s="131"/>
      <c r="EB215" s="131"/>
      <c r="EC215" s="131"/>
      <c r="ED215" s="131"/>
      <c r="EE215" s="137"/>
      <c r="EF215" s="227"/>
      <c r="EG215" s="227"/>
      <c r="EH215" s="228"/>
      <c r="EI215" s="228"/>
      <c r="EJ215" s="228"/>
      <c r="EK215" s="228"/>
    </row>
    <row r="216" spans="1:141">
      <c r="A216" s="132"/>
      <c r="B216" s="18"/>
      <c r="C216" s="18"/>
      <c r="D216" s="220"/>
      <c r="E216" s="130"/>
      <c r="F216" s="126"/>
      <c r="G216" s="18"/>
      <c r="H216" s="189"/>
      <c r="I216" s="18"/>
      <c r="J216" s="18"/>
      <c r="K216" s="189"/>
      <c r="L216" s="18"/>
      <c r="M216" s="129"/>
      <c r="N216" s="189"/>
      <c r="O216" s="132"/>
      <c r="P216" s="127"/>
      <c r="Q216" s="127"/>
      <c r="R216" s="128"/>
      <c r="S216" s="130"/>
      <c r="T216" s="135"/>
      <c r="U216" s="127"/>
      <c r="V216" s="217"/>
      <c r="W216" s="191"/>
      <c r="X216" s="133"/>
      <c r="Y216" s="131"/>
      <c r="Z216" s="131"/>
      <c r="AA216" s="242"/>
      <c r="AB216" s="131"/>
      <c r="AC216" s="131"/>
      <c r="AD216" s="131"/>
      <c r="AE216" s="131"/>
      <c r="AF216" s="131"/>
      <c r="AG216" s="131"/>
      <c r="AH216" s="131"/>
      <c r="AI216" s="131"/>
      <c r="AJ216" s="131"/>
      <c r="AK216" s="131"/>
      <c r="AL216" s="131"/>
      <c r="AM216" s="131"/>
      <c r="AN216" s="131"/>
      <c r="AO216" s="131"/>
      <c r="AP216" s="131"/>
      <c r="AQ216" s="243"/>
      <c r="AR216" s="131"/>
      <c r="AS216" s="131"/>
      <c r="AT216" s="131"/>
      <c r="AU216" s="131"/>
      <c r="AV216" s="131"/>
      <c r="AW216" s="131"/>
      <c r="AX216" s="131"/>
      <c r="AY216" s="131"/>
      <c r="AZ216" s="131"/>
      <c r="BA216" s="131"/>
      <c r="BB216" s="131"/>
      <c r="BC216" s="131"/>
      <c r="BD216" s="131"/>
      <c r="BE216" s="131"/>
      <c r="BF216" s="131"/>
      <c r="BG216" s="131"/>
      <c r="BH216" s="131"/>
      <c r="BI216" s="131"/>
      <c r="BJ216" s="131"/>
      <c r="BK216" s="131"/>
      <c r="BL216" s="131"/>
      <c r="BM216" s="131"/>
      <c r="BN216" s="131"/>
      <c r="BO216" s="136"/>
      <c r="BP216" s="131"/>
      <c r="BQ216" s="131"/>
      <c r="BR216" s="131"/>
      <c r="BS216" s="131"/>
      <c r="BT216" s="131"/>
      <c r="BU216" s="131"/>
      <c r="BV216" s="131"/>
      <c r="BW216" s="131"/>
      <c r="BX216" s="131"/>
      <c r="BY216" s="131"/>
      <c r="BZ216" s="131"/>
      <c r="CA216" s="131"/>
      <c r="CB216" s="131"/>
      <c r="CC216" s="131"/>
      <c r="CD216" s="131"/>
      <c r="CE216" s="131"/>
      <c r="CF216" s="136"/>
      <c r="CG216" s="136"/>
      <c r="CH216" s="131"/>
      <c r="CI216" s="131"/>
      <c r="CJ216" s="136"/>
      <c r="CK216" s="136"/>
      <c r="CL216" s="136"/>
      <c r="CM216" s="131"/>
      <c r="CN216" s="131"/>
      <c r="CO216" s="136"/>
      <c r="CP216" s="136"/>
      <c r="CQ216" s="131"/>
      <c r="CR216" s="131"/>
      <c r="CS216" s="131"/>
      <c r="CT216" s="131"/>
      <c r="CU216" s="131"/>
      <c r="CV216" s="131"/>
      <c r="CW216" s="131"/>
      <c r="CX216" s="131"/>
      <c r="CY216" s="136"/>
      <c r="CZ216" s="136"/>
      <c r="DA216" s="131"/>
      <c r="DB216" s="136"/>
      <c r="DC216" s="136"/>
      <c r="DD216" s="131"/>
      <c r="DE216" s="131"/>
      <c r="DF216" s="131"/>
      <c r="DG216" s="136"/>
      <c r="DH216" s="131"/>
      <c r="DI216" s="131"/>
      <c r="DJ216" s="136"/>
      <c r="DK216" s="136"/>
      <c r="DL216" s="136"/>
      <c r="DM216" s="136"/>
      <c r="DN216" s="136"/>
      <c r="DO216" s="136"/>
      <c r="DP216" s="136"/>
      <c r="DQ216" s="136"/>
      <c r="DR216" s="136"/>
      <c r="DS216" s="131"/>
      <c r="DT216" s="136"/>
      <c r="DU216" s="131"/>
      <c r="DV216" s="131"/>
      <c r="DW216" s="131"/>
      <c r="DX216" s="131"/>
      <c r="DY216" s="131"/>
      <c r="DZ216" s="136"/>
      <c r="EA216" s="131"/>
      <c r="EB216" s="131"/>
      <c r="EC216" s="131"/>
      <c r="ED216" s="131"/>
      <c r="EE216" s="137"/>
      <c r="EF216" s="227"/>
      <c r="EG216" s="227"/>
      <c r="EH216" s="228"/>
      <c r="EI216" s="228"/>
      <c r="EJ216" s="228"/>
      <c r="EK216" s="228"/>
    </row>
    <row r="217" spans="1:141">
      <c r="A217" s="132"/>
      <c r="B217" s="18"/>
      <c r="C217" s="18"/>
      <c r="D217" s="220"/>
      <c r="E217" s="130"/>
      <c r="F217" s="126"/>
      <c r="G217" s="18"/>
      <c r="H217" s="189"/>
      <c r="I217" s="18"/>
      <c r="J217" s="18"/>
      <c r="K217" s="189"/>
      <c r="L217" s="18"/>
      <c r="M217" s="129"/>
      <c r="N217" s="189"/>
      <c r="O217" s="132"/>
      <c r="P217" s="127"/>
      <c r="Q217" s="127"/>
      <c r="R217" s="128"/>
      <c r="S217" s="130"/>
      <c r="T217" s="135"/>
      <c r="U217" s="127"/>
      <c r="V217" s="217"/>
      <c r="W217" s="191"/>
      <c r="X217" s="133"/>
      <c r="Y217" s="131"/>
      <c r="Z217" s="131"/>
      <c r="AA217" s="242"/>
      <c r="AB217" s="131"/>
      <c r="AC217" s="131"/>
      <c r="AD217" s="131"/>
      <c r="AE217" s="131"/>
      <c r="AF217" s="131"/>
      <c r="AG217" s="131"/>
      <c r="AH217" s="131"/>
      <c r="AI217" s="131"/>
      <c r="AJ217" s="131"/>
      <c r="AK217" s="131"/>
      <c r="AL217" s="131"/>
      <c r="AM217" s="131"/>
      <c r="AN217" s="131"/>
      <c r="AO217" s="131"/>
      <c r="AP217" s="131"/>
      <c r="AQ217" s="243"/>
      <c r="AR217" s="131"/>
      <c r="AS217" s="131"/>
      <c r="AT217" s="131"/>
      <c r="AU217" s="131"/>
      <c r="AV217" s="131"/>
      <c r="AW217" s="131"/>
      <c r="AX217" s="131"/>
      <c r="AY217" s="131"/>
      <c r="AZ217" s="131"/>
      <c r="BA217" s="131"/>
      <c r="BB217" s="131"/>
      <c r="BC217" s="131"/>
      <c r="BD217" s="131"/>
      <c r="BE217" s="131"/>
      <c r="BF217" s="131"/>
      <c r="BG217" s="131"/>
      <c r="BH217" s="131"/>
      <c r="BI217" s="131"/>
      <c r="BJ217" s="131"/>
      <c r="BK217" s="131"/>
      <c r="BL217" s="131"/>
      <c r="BM217" s="131"/>
      <c r="BN217" s="131"/>
      <c r="BO217" s="136"/>
      <c r="BP217" s="131"/>
      <c r="BQ217" s="131"/>
      <c r="BR217" s="131"/>
      <c r="BS217" s="131"/>
      <c r="BT217" s="131"/>
      <c r="BU217" s="131"/>
      <c r="BV217" s="131"/>
      <c r="BW217" s="131"/>
      <c r="BX217" s="131"/>
      <c r="BY217" s="131"/>
      <c r="BZ217" s="131"/>
      <c r="CA217" s="131"/>
      <c r="CB217" s="131"/>
      <c r="CC217" s="131"/>
      <c r="CD217" s="131"/>
      <c r="CE217" s="131"/>
      <c r="CF217" s="136"/>
      <c r="CG217" s="136"/>
      <c r="CH217" s="131"/>
      <c r="CI217" s="131"/>
      <c r="CJ217" s="136"/>
      <c r="CK217" s="136"/>
      <c r="CL217" s="136"/>
      <c r="CM217" s="131"/>
      <c r="CN217" s="131"/>
      <c r="CO217" s="136"/>
      <c r="CP217" s="136"/>
      <c r="CQ217" s="131"/>
      <c r="CR217" s="131"/>
      <c r="CS217" s="131"/>
      <c r="CT217" s="131"/>
      <c r="CU217" s="131"/>
      <c r="CV217" s="131"/>
      <c r="CW217" s="131"/>
      <c r="CX217" s="131"/>
      <c r="CY217" s="136"/>
      <c r="CZ217" s="136"/>
      <c r="DA217" s="131"/>
      <c r="DB217" s="136"/>
      <c r="DC217" s="136"/>
      <c r="DD217" s="131"/>
      <c r="DE217" s="131"/>
      <c r="DF217" s="131"/>
      <c r="DG217" s="136"/>
      <c r="DH217" s="131"/>
      <c r="DI217" s="131"/>
      <c r="DJ217" s="136"/>
      <c r="DK217" s="136"/>
      <c r="DL217" s="136"/>
      <c r="DM217" s="136"/>
      <c r="DN217" s="136"/>
      <c r="DO217" s="136"/>
      <c r="DP217" s="136"/>
      <c r="DQ217" s="136"/>
      <c r="DR217" s="136"/>
      <c r="DS217" s="131"/>
      <c r="DT217" s="136"/>
      <c r="DU217" s="131"/>
      <c r="DV217" s="131"/>
      <c r="DW217" s="131"/>
      <c r="DX217" s="131"/>
      <c r="DY217" s="131"/>
      <c r="DZ217" s="136"/>
      <c r="EA217" s="131"/>
      <c r="EB217" s="131"/>
      <c r="EC217" s="131"/>
      <c r="ED217" s="131"/>
      <c r="EE217" s="137"/>
      <c r="EF217" s="227"/>
      <c r="EG217" s="227"/>
      <c r="EH217" s="228"/>
      <c r="EI217" s="228"/>
      <c r="EJ217" s="228"/>
      <c r="EK217" s="228"/>
    </row>
    <row r="218" spans="1:141">
      <c r="A218" s="132"/>
      <c r="B218" s="18"/>
      <c r="C218" s="18"/>
      <c r="D218" s="220"/>
      <c r="E218" s="130"/>
      <c r="F218" s="126"/>
      <c r="G218" s="18"/>
      <c r="H218" s="189"/>
      <c r="I218" s="18"/>
      <c r="J218" s="18"/>
      <c r="K218" s="189"/>
      <c r="L218" s="18"/>
      <c r="M218" s="129"/>
      <c r="N218" s="189"/>
      <c r="O218" s="132"/>
      <c r="P218" s="127"/>
      <c r="Q218" s="127"/>
      <c r="R218" s="128"/>
      <c r="S218" s="130"/>
      <c r="T218" s="135"/>
      <c r="U218" s="127"/>
      <c r="V218" s="217"/>
      <c r="W218" s="191"/>
      <c r="X218" s="133"/>
      <c r="Y218" s="131"/>
      <c r="Z218" s="131"/>
      <c r="AA218" s="242"/>
      <c r="AB218" s="131"/>
      <c r="AC218" s="131"/>
      <c r="AD218" s="131"/>
      <c r="AE218" s="131"/>
      <c r="AF218" s="131"/>
      <c r="AG218" s="131"/>
      <c r="AH218" s="131"/>
      <c r="AI218" s="131"/>
      <c r="AJ218" s="131"/>
      <c r="AK218" s="131"/>
      <c r="AL218" s="131"/>
      <c r="AM218" s="131"/>
      <c r="AN218" s="131"/>
      <c r="AO218" s="131"/>
      <c r="AP218" s="131"/>
      <c r="AQ218" s="243"/>
      <c r="AR218" s="131"/>
      <c r="AS218" s="131"/>
      <c r="AT218" s="131"/>
      <c r="AU218" s="131"/>
      <c r="AV218" s="131"/>
      <c r="AW218" s="131"/>
      <c r="AX218" s="131"/>
      <c r="AY218" s="131"/>
      <c r="AZ218" s="131"/>
      <c r="BA218" s="131"/>
      <c r="BB218" s="131"/>
      <c r="BC218" s="131"/>
      <c r="BD218" s="131"/>
      <c r="BE218" s="131"/>
      <c r="BF218" s="131"/>
      <c r="BG218" s="131"/>
      <c r="BH218" s="131"/>
      <c r="BI218" s="131"/>
      <c r="BJ218" s="131"/>
      <c r="BK218" s="131"/>
      <c r="BL218" s="131"/>
      <c r="BM218" s="131"/>
      <c r="BN218" s="131"/>
      <c r="BO218" s="136"/>
      <c r="BP218" s="131"/>
      <c r="BQ218" s="131"/>
      <c r="BR218" s="131"/>
      <c r="BS218" s="131"/>
      <c r="BT218" s="131"/>
      <c r="BU218" s="131"/>
      <c r="BV218" s="131"/>
      <c r="BW218" s="131"/>
      <c r="BX218" s="131"/>
      <c r="BY218" s="131"/>
      <c r="BZ218" s="131"/>
      <c r="CA218" s="131"/>
      <c r="CB218" s="131"/>
      <c r="CC218" s="131"/>
      <c r="CD218" s="131"/>
      <c r="CE218" s="131"/>
      <c r="CF218" s="136"/>
      <c r="CG218" s="136"/>
      <c r="CH218" s="131"/>
      <c r="CI218" s="131"/>
      <c r="CJ218" s="136"/>
      <c r="CK218" s="136"/>
      <c r="CL218" s="136"/>
      <c r="CM218" s="131"/>
      <c r="CN218" s="131"/>
      <c r="CO218" s="136"/>
      <c r="CP218" s="136"/>
      <c r="CQ218" s="131"/>
      <c r="CR218" s="131"/>
      <c r="CS218" s="131"/>
      <c r="CT218" s="131"/>
      <c r="CU218" s="131"/>
      <c r="CV218" s="131"/>
      <c r="CW218" s="131"/>
      <c r="CX218" s="131"/>
      <c r="CY218" s="136"/>
      <c r="CZ218" s="136"/>
      <c r="DA218" s="131"/>
      <c r="DB218" s="136"/>
      <c r="DC218" s="136"/>
      <c r="DD218" s="131"/>
      <c r="DE218" s="131"/>
      <c r="DF218" s="131"/>
      <c r="DG218" s="136"/>
      <c r="DH218" s="131"/>
      <c r="DI218" s="131"/>
      <c r="DJ218" s="136"/>
      <c r="DK218" s="136"/>
      <c r="DL218" s="136"/>
      <c r="DM218" s="136"/>
      <c r="DN218" s="136"/>
      <c r="DO218" s="136"/>
      <c r="DP218" s="136"/>
      <c r="DQ218" s="136"/>
      <c r="DR218" s="136"/>
      <c r="DS218" s="131"/>
      <c r="DT218" s="136"/>
      <c r="DU218" s="131"/>
      <c r="DV218" s="131"/>
      <c r="DW218" s="131"/>
      <c r="DX218" s="131"/>
      <c r="DY218" s="131"/>
      <c r="DZ218" s="136"/>
      <c r="EA218" s="131"/>
      <c r="EB218" s="131"/>
      <c r="EC218" s="131"/>
      <c r="ED218" s="131"/>
      <c r="EE218" s="137"/>
      <c r="EF218" s="227"/>
      <c r="EG218" s="227"/>
      <c r="EH218" s="228"/>
      <c r="EI218" s="228"/>
      <c r="EJ218" s="228"/>
      <c r="EK218" s="228"/>
    </row>
    <row r="219" spans="1:141">
      <c r="A219" s="132"/>
      <c r="B219" s="18"/>
      <c r="C219" s="18"/>
      <c r="D219" s="220"/>
      <c r="E219" s="130"/>
      <c r="F219" s="126"/>
      <c r="G219" s="18"/>
      <c r="H219" s="189"/>
      <c r="I219" s="18"/>
      <c r="J219" s="18"/>
      <c r="K219" s="189"/>
      <c r="L219" s="18"/>
      <c r="M219" s="129"/>
      <c r="N219" s="189"/>
      <c r="O219" s="132"/>
      <c r="P219" s="127"/>
      <c r="Q219" s="127"/>
      <c r="R219" s="128"/>
      <c r="S219" s="130"/>
      <c r="T219" s="135"/>
      <c r="U219" s="127"/>
      <c r="V219" s="217"/>
      <c r="W219" s="191"/>
      <c r="X219" s="133"/>
      <c r="Y219" s="131"/>
      <c r="Z219" s="131"/>
      <c r="AA219" s="242"/>
      <c r="AB219" s="131"/>
      <c r="AC219" s="131"/>
      <c r="AD219" s="131"/>
      <c r="AE219" s="131"/>
      <c r="AF219" s="131"/>
      <c r="AG219" s="131"/>
      <c r="AH219" s="131"/>
      <c r="AI219" s="131"/>
      <c r="AJ219" s="131"/>
      <c r="AK219" s="131"/>
      <c r="AL219" s="131"/>
      <c r="AM219" s="131"/>
      <c r="AN219" s="131"/>
      <c r="AO219" s="131"/>
      <c r="AP219" s="131"/>
      <c r="AQ219" s="243"/>
      <c r="AR219" s="131"/>
      <c r="AS219" s="131"/>
      <c r="AT219" s="131"/>
      <c r="AU219" s="131"/>
      <c r="AV219" s="131"/>
      <c r="AW219" s="131"/>
      <c r="AX219" s="131"/>
      <c r="AY219" s="131"/>
      <c r="AZ219" s="131"/>
      <c r="BA219" s="131"/>
      <c r="BB219" s="131"/>
      <c r="BC219" s="131"/>
      <c r="BD219" s="131"/>
      <c r="BE219" s="131"/>
      <c r="BF219" s="131"/>
      <c r="BG219" s="131"/>
      <c r="BH219" s="131"/>
      <c r="BI219" s="131"/>
      <c r="BJ219" s="131"/>
      <c r="BK219" s="131"/>
      <c r="BL219" s="131"/>
      <c r="BM219" s="131"/>
      <c r="BN219" s="131"/>
      <c r="BO219" s="136"/>
      <c r="BP219" s="131"/>
      <c r="BQ219" s="131"/>
      <c r="BR219" s="131"/>
      <c r="BS219" s="131"/>
      <c r="BT219" s="131"/>
      <c r="BU219" s="131"/>
      <c r="BV219" s="131"/>
      <c r="BW219" s="131"/>
      <c r="BX219" s="131"/>
      <c r="BY219" s="131"/>
      <c r="BZ219" s="131"/>
      <c r="CA219" s="131"/>
      <c r="CB219" s="131"/>
      <c r="CC219" s="131"/>
      <c r="CD219" s="131"/>
      <c r="CE219" s="131"/>
      <c r="CF219" s="136"/>
      <c r="CG219" s="136"/>
      <c r="CH219" s="131"/>
      <c r="CI219" s="131"/>
      <c r="CJ219" s="136"/>
      <c r="CK219" s="136"/>
      <c r="CL219" s="136"/>
      <c r="CM219" s="131"/>
      <c r="CN219" s="131"/>
      <c r="CO219" s="136"/>
      <c r="CP219" s="136"/>
      <c r="CQ219" s="131"/>
      <c r="CR219" s="131"/>
      <c r="CS219" s="131"/>
      <c r="CT219" s="131"/>
      <c r="CU219" s="131"/>
      <c r="CV219" s="131"/>
      <c r="CW219" s="131"/>
      <c r="CX219" s="131"/>
      <c r="CY219" s="136"/>
      <c r="CZ219" s="136"/>
      <c r="DA219" s="131"/>
      <c r="DB219" s="136"/>
      <c r="DC219" s="136"/>
      <c r="DD219" s="131"/>
      <c r="DE219" s="131"/>
      <c r="DF219" s="131"/>
      <c r="DG219" s="136"/>
      <c r="DH219" s="131"/>
      <c r="DI219" s="131"/>
      <c r="DJ219" s="136"/>
      <c r="DK219" s="136"/>
      <c r="DL219" s="136"/>
      <c r="DM219" s="136"/>
      <c r="DN219" s="136"/>
      <c r="DO219" s="136"/>
      <c r="DP219" s="136"/>
      <c r="DQ219" s="136"/>
      <c r="DR219" s="136"/>
      <c r="DS219" s="131"/>
      <c r="DT219" s="136"/>
      <c r="DU219" s="131"/>
      <c r="DV219" s="131"/>
      <c r="DW219" s="131"/>
      <c r="DX219" s="131"/>
      <c r="DY219" s="131"/>
      <c r="DZ219" s="136"/>
      <c r="EA219" s="131"/>
      <c r="EB219" s="131"/>
      <c r="EC219" s="131"/>
      <c r="ED219" s="131"/>
      <c r="EE219" s="137"/>
      <c r="EF219" s="227"/>
      <c r="EG219" s="227"/>
      <c r="EH219" s="228"/>
      <c r="EI219" s="228"/>
      <c r="EJ219" s="228"/>
      <c r="EK219" s="228"/>
    </row>
    <row r="220" spans="1:141">
      <c r="A220" s="132"/>
      <c r="B220" s="18"/>
      <c r="C220" s="18"/>
      <c r="D220" s="220"/>
      <c r="E220" s="130"/>
      <c r="F220" s="126"/>
      <c r="G220" s="18"/>
      <c r="H220" s="189"/>
      <c r="I220" s="18"/>
      <c r="J220" s="18"/>
      <c r="K220" s="189"/>
      <c r="L220" s="18"/>
      <c r="M220" s="129"/>
      <c r="N220" s="189"/>
      <c r="O220" s="132"/>
      <c r="P220" s="127"/>
      <c r="Q220" s="127"/>
      <c r="R220" s="128"/>
      <c r="S220" s="130"/>
      <c r="T220" s="135"/>
      <c r="U220" s="127"/>
      <c r="V220" s="217"/>
      <c r="W220" s="191"/>
      <c r="X220" s="133"/>
      <c r="Y220" s="131"/>
      <c r="Z220" s="131"/>
      <c r="AA220" s="242"/>
      <c r="AB220" s="131"/>
      <c r="AC220" s="131"/>
      <c r="AD220" s="131"/>
      <c r="AE220" s="131"/>
      <c r="AF220" s="131"/>
      <c r="AG220" s="131"/>
      <c r="AH220" s="131"/>
      <c r="AI220" s="131"/>
      <c r="AJ220" s="131"/>
      <c r="AK220" s="131"/>
      <c r="AL220" s="131"/>
      <c r="AM220" s="131"/>
      <c r="AN220" s="131"/>
      <c r="AO220" s="131"/>
      <c r="AP220" s="131"/>
      <c r="AQ220" s="243"/>
      <c r="AR220" s="131"/>
      <c r="AS220" s="131"/>
      <c r="AT220" s="131"/>
      <c r="AU220" s="131"/>
      <c r="AV220" s="131"/>
      <c r="AW220" s="131"/>
      <c r="AX220" s="131"/>
      <c r="AY220" s="131"/>
      <c r="AZ220" s="131"/>
      <c r="BA220" s="131"/>
      <c r="BB220" s="131"/>
      <c r="BC220" s="131"/>
      <c r="BD220" s="131"/>
      <c r="BE220" s="131"/>
      <c r="BF220" s="131"/>
      <c r="BG220" s="131"/>
      <c r="BH220" s="131"/>
      <c r="BI220" s="131"/>
      <c r="BJ220" s="131"/>
      <c r="BK220" s="131"/>
      <c r="BL220" s="131"/>
      <c r="BM220" s="131"/>
      <c r="BN220" s="131"/>
      <c r="BO220" s="136"/>
      <c r="BP220" s="131"/>
      <c r="BQ220" s="131"/>
      <c r="BR220" s="131"/>
      <c r="BS220" s="131"/>
      <c r="BT220" s="131"/>
      <c r="BU220" s="131"/>
      <c r="BV220" s="131"/>
      <c r="BW220" s="131"/>
      <c r="BX220" s="131"/>
      <c r="BY220" s="131"/>
      <c r="BZ220" s="131"/>
      <c r="CA220" s="131"/>
      <c r="CB220" s="131"/>
      <c r="CC220" s="131"/>
      <c r="CD220" s="131"/>
      <c r="CE220" s="131"/>
      <c r="CF220" s="136"/>
      <c r="CG220" s="136"/>
      <c r="CH220" s="131"/>
      <c r="CI220" s="131"/>
      <c r="CJ220" s="136"/>
      <c r="CK220" s="136"/>
      <c r="CL220" s="136"/>
      <c r="CM220" s="131"/>
      <c r="CN220" s="131"/>
      <c r="CO220" s="136"/>
      <c r="CP220" s="136"/>
      <c r="CQ220" s="131"/>
      <c r="CR220" s="131"/>
      <c r="CS220" s="131"/>
      <c r="CT220" s="131"/>
      <c r="CU220" s="131"/>
      <c r="CV220" s="131"/>
      <c r="CW220" s="131"/>
      <c r="CX220" s="131"/>
      <c r="CY220" s="136"/>
      <c r="CZ220" s="136"/>
      <c r="DA220" s="131"/>
      <c r="DB220" s="136"/>
      <c r="DC220" s="136"/>
      <c r="DD220" s="131"/>
      <c r="DE220" s="131"/>
      <c r="DF220" s="131"/>
      <c r="DG220" s="136"/>
      <c r="DH220" s="131"/>
      <c r="DI220" s="131"/>
      <c r="DJ220" s="136"/>
      <c r="DK220" s="136"/>
      <c r="DL220" s="136"/>
      <c r="DM220" s="136"/>
      <c r="DN220" s="136"/>
      <c r="DO220" s="136"/>
      <c r="DP220" s="136"/>
      <c r="DQ220" s="136"/>
      <c r="DR220" s="136"/>
      <c r="DS220" s="131"/>
      <c r="DT220" s="136"/>
      <c r="DU220" s="131"/>
      <c r="DV220" s="131"/>
      <c r="DW220" s="131"/>
      <c r="DX220" s="131"/>
      <c r="DY220" s="131"/>
      <c r="DZ220" s="136"/>
      <c r="EA220" s="131"/>
      <c r="EB220" s="131"/>
      <c r="EC220" s="131"/>
      <c r="ED220" s="131"/>
      <c r="EE220" s="137"/>
      <c r="EF220" s="227"/>
      <c r="EG220" s="227"/>
      <c r="EH220" s="228"/>
      <c r="EI220" s="228"/>
      <c r="EJ220" s="228"/>
      <c r="EK220" s="228"/>
    </row>
    <row r="221" spans="1:141">
      <c r="A221" s="132"/>
      <c r="B221" s="18"/>
      <c r="C221" s="18"/>
      <c r="D221" s="220"/>
      <c r="E221" s="130"/>
      <c r="F221" s="126"/>
      <c r="G221" s="18"/>
      <c r="H221" s="189"/>
      <c r="I221" s="18"/>
      <c r="J221" s="18"/>
      <c r="K221" s="189"/>
      <c r="L221" s="18"/>
      <c r="M221" s="129"/>
      <c r="N221" s="189"/>
      <c r="O221" s="132"/>
      <c r="P221" s="127"/>
      <c r="Q221" s="127"/>
      <c r="R221" s="128"/>
      <c r="S221" s="130"/>
      <c r="T221" s="135"/>
      <c r="U221" s="127"/>
      <c r="V221" s="217"/>
      <c r="W221" s="191"/>
      <c r="X221" s="133"/>
      <c r="Y221" s="131"/>
      <c r="Z221" s="131"/>
      <c r="AA221" s="242"/>
      <c r="AB221" s="131"/>
      <c r="AC221" s="131"/>
      <c r="AD221" s="131"/>
      <c r="AE221" s="131"/>
      <c r="AF221" s="131"/>
      <c r="AG221" s="131"/>
      <c r="AH221" s="131"/>
      <c r="AI221" s="131"/>
      <c r="AJ221" s="131"/>
      <c r="AK221" s="131"/>
      <c r="AL221" s="131"/>
      <c r="AM221" s="131"/>
      <c r="AN221" s="131"/>
      <c r="AO221" s="131"/>
      <c r="AP221" s="131"/>
      <c r="AQ221" s="243"/>
      <c r="AR221" s="131"/>
      <c r="AS221" s="131"/>
      <c r="AT221" s="131"/>
      <c r="AU221" s="131"/>
      <c r="AV221" s="131"/>
      <c r="AW221" s="131"/>
      <c r="AX221" s="131"/>
      <c r="AY221" s="131"/>
      <c r="AZ221" s="131"/>
      <c r="BA221" s="131"/>
      <c r="BB221" s="131"/>
      <c r="BC221" s="131"/>
      <c r="BD221" s="131"/>
      <c r="BE221" s="131"/>
      <c r="BF221" s="131"/>
      <c r="BG221" s="131"/>
      <c r="BH221" s="131"/>
      <c r="BI221" s="131"/>
      <c r="BJ221" s="131"/>
      <c r="BK221" s="131"/>
      <c r="BL221" s="131"/>
      <c r="BM221" s="131"/>
      <c r="BN221" s="131"/>
      <c r="BO221" s="136"/>
      <c r="BP221" s="131"/>
      <c r="BQ221" s="131"/>
      <c r="BR221" s="131"/>
      <c r="BS221" s="131"/>
      <c r="BT221" s="131"/>
      <c r="BU221" s="131"/>
      <c r="BV221" s="131"/>
      <c r="BW221" s="131"/>
      <c r="BX221" s="131"/>
      <c r="BY221" s="131"/>
      <c r="BZ221" s="131"/>
      <c r="CA221" s="131"/>
      <c r="CB221" s="131"/>
      <c r="CC221" s="131"/>
      <c r="CD221" s="131"/>
      <c r="CE221" s="131"/>
      <c r="CF221" s="136"/>
      <c r="CG221" s="136"/>
      <c r="CH221" s="131"/>
      <c r="CI221" s="131"/>
      <c r="CJ221" s="136"/>
      <c r="CK221" s="136"/>
      <c r="CL221" s="136"/>
      <c r="CM221" s="131"/>
      <c r="CN221" s="131"/>
      <c r="CO221" s="136"/>
      <c r="CP221" s="136"/>
      <c r="CQ221" s="131"/>
      <c r="CR221" s="131"/>
      <c r="CS221" s="131"/>
      <c r="CT221" s="131"/>
      <c r="CU221" s="131"/>
      <c r="CV221" s="131"/>
      <c r="CW221" s="131"/>
      <c r="CX221" s="131"/>
      <c r="CY221" s="136"/>
      <c r="CZ221" s="136"/>
      <c r="DA221" s="131"/>
      <c r="DB221" s="136"/>
      <c r="DC221" s="136"/>
      <c r="DD221" s="131"/>
      <c r="DE221" s="131"/>
      <c r="DF221" s="131"/>
      <c r="DG221" s="136"/>
      <c r="DH221" s="131"/>
      <c r="DI221" s="131"/>
      <c r="DJ221" s="136"/>
      <c r="DK221" s="136"/>
      <c r="DL221" s="136"/>
      <c r="DM221" s="136"/>
      <c r="DN221" s="136"/>
      <c r="DO221" s="136"/>
      <c r="DP221" s="136"/>
      <c r="DQ221" s="136"/>
      <c r="DR221" s="136"/>
      <c r="DS221" s="131"/>
      <c r="DT221" s="136"/>
      <c r="DU221" s="131"/>
      <c r="DV221" s="131"/>
      <c r="DW221" s="131"/>
      <c r="DX221" s="131"/>
      <c r="DY221" s="131"/>
      <c r="DZ221" s="136"/>
      <c r="EA221" s="131"/>
      <c r="EB221" s="131"/>
      <c r="EC221" s="131"/>
      <c r="ED221" s="131"/>
      <c r="EE221" s="137"/>
      <c r="EF221" s="227"/>
      <c r="EG221" s="227"/>
      <c r="EH221" s="228"/>
      <c r="EI221" s="228"/>
      <c r="EJ221" s="228"/>
      <c r="EK221" s="228"/>
    </row>
    <row r="222" spans="1:141">
      <c r="A222" s="132"/>
      <c r="B222" s="18"/>
      <c r="C222" s="18"/>
      <c r="D222" s="220"/>
      <c r="E222" s="130"/>
      <c r="F222" s="126"/>
      <c r="G222" s="18"/>
      <c r="H222" s="189"/>
      <c r="I222" s="18"/>
      <c r="J222" s="18"/>
      <c r="K222" s="189"/>
      <c r="L222" s="18"/>
      <c r="M222" s="129"/>
      <c r="N222" s="189"/>
      <c r="O222" s="132"/>
      <c r="P222" s="127"/>
      <c r="Q222" s="127"/>
      <c r="R222" s="128"/>
      <c r="S222" s="130"/>
      <c r="T222" s="135"/>
      <c r="U222" s="127"/>
      <c r="V222" s="217"/>
      <c r="W222" s="191"/>
      <c r="X222" s="133"/>
      <c r="Y222" s="131"/>
      <c r="Z222" s="131"/>
      <c r="AA222" s="242"/>
      <c r="AB222" s="131"/>
      <c r="AC222" s="131"/>
      <c r="AD222" s="131"/>
      <c r="AE222" s="131"/>
      <c r="AF222" s="131"/>
      <c r="AG222" s="131"/>
      <c r="AH222" s="131"/>
      <c r="AI222" s="131"/>
      <c r="AJ222" s="131"/>
      <c r="AK222" s="131"/>
      <c r="AL222" s="131"/>
      <c r="AM222" s="131"/>
      <c r="AN222" s="131"/>
      <c r="AO222" s="131"/>
      <c r="AP222" s="131"/>
      <c r="AQ222" s="243"/>
      <c r="AR222" s="131"/>
      <c r="AS222" s="131"/>
      <c r="AT222" s="131"/>
      <c r="AU222" s="131"/>
      <c r="AV222" s="131"/>
      <c r="AW222" s="131"/>
      <c r="AX222" s="131"/>
      <c r="AY222" s="131"/>
      <c r="AZ222" s="131"/>
      <c r="BA222" s="131"/>
      <c r="BB222" s="131"/>
      <c r="BC222" s="131"/>
      <c r="BD222" s="131"/>
      <c r="BE222" s="131"/>
      <c r="BF222" s="131"/>
      <c r="BG222" s="131"/>
      <c r="BH222" s="131"/>
      <c r="BI222" s="131"/>
      <c r="BJ222" s="131"/>
      <c r="BK222" s="131"/>
      <c r="BL222" s="131"/>
      <c r="BM222" s="131"/>
      <c r="BN222" s="131"/>
      <c r="BO222" s="136"/>
      <c r="BP222" s="131"/>
      <c r="BQ222" s="131"/>
      <c r="BR222" s="131"/>
      <c r="BS222" s="131"/>
      <c r="BT222" s="131"/>
      <c r="BU222" s="131"/>
      <c r="BV222" s="131"/>
      <c r="BW222" s="131"/>
      <c r="BX222" s="131"/>
      <c r="BY222" s="131"/>
      <c r="BZ222" s="131"/>
      <c r="CA222" s="131"/>
      <c r="CB222" s="131"/>
      <c r="CC222" s="131"/>
      <c r="CD222" s="131"/>
      <c r="CE222" s="131"/>
      <c r="CF222" s="136"/>
      <c r="CG222" s="136"/>
      <c r="CH222" s="131"/>
      <c r="CI222" s="131"/>
      <c r="CJ222" s="136"/>
      <c r="CK222" s="136"/>
      <c r="CL222" s="136"/>
      <c r="CM222" s="131"/>
      <c r="CN222" s="131"/>
      <c r="CO222" s="136"/>
      <c r="CP222" s="136"/>
      <c r="CQ222" s="131"/>
      <c r="CR222" s="131"/>
      <c r="CS222" s="131"/>
      <c r="CT222" s="131"/>
      <c r="CU222" s="131"/>
      <c r="CV222" s="131"/>
      <c r="CW222" s="131"/>
      <c r="CX222" s="131"/>
      <c r="CY222" s="136"/>
      <c r="CZ222" s="136"/>
      <c r="DA222" s="131"/>
      <c r="DB222" s="136"/>
      <c r="DC222" s="136"/>
      <c r="DD222" s="131"/>
      <c r="DE222" s="131"/>
      <c r="DF222" s="131"/>
      <c r="DG222" s="136"/>
      <c r="DH222" s="131"/>
      <c r="DI222" s="131"/>
      <c r="DJ222" s="136"/>
      <c r="DK222" s="136"/>
      <c r="DL222" s="136"/>
      <c r="DM222" s="136"/>
      <c r="DN222" s="136"/>
      <c r="DO222" s="136"/>
      <c r="DP222" s="136"/>
      <c r="DQ222" s="136"/>
      <c r="DR222" s="136"/>
      <c r="DS222" s="131"/>
      <c r="DT222" s="136"/>
      <c r="DU222" s="131"/>
      <c r="DV222" s="131"/>
      <c r="DW222" s="131"/>
      <c r="DX222" s="131"/>
      <c r="DY222" s="131"/>
      <c r="DZ222" s="136"/>
      <c r="EA222" s="131"/>
      <c r="EB222" s="131"/>
      <c r="EC222" s="131"/>
      <c r="ED222" s="131"/>
      <c r="EE222" s="137"/>
      <c r="EF222" s="227"/>
      <c r="EG222" s="227"/>
      <c r="EH222" s="228"/>
      <c r="EI222" s="228"/>
      <c r="EJ222" s="228"/>
      <c r="EK222" s="228"/>
    </row>
    <row r="223" spans="1:141">
      <c r="A223" s="132"/>
      <c r="B223" s="18"/>
      <c r="C223" s="18"/>
      <c r="D223" s="220"/>
      <c r="E223" s="130"/>
      <c r="F223" s="126"/>
      <c r="G223" s="18"/>
      <c r="H223" s="189"/>
      <c r="I223" s="18"/>
      <c r="J223" s="18"/>
      <c r="K223" s="189"/>
      <c r="L223" s="18"/>
      <c r="M223" s="129"/>
      <c r="N223" s="189"/>
      <c r="O223" s="132"/>
      <c r="P223" s="127"/>
      <c r="Q223" s="127"/>
      <c r="R223" s="128"/>
      <c r="S223" s="130"/>
      <c r="T223" s="135"/>
      <c r="U223" s="127"/>
      <c r="V223" s="217"/>
      <c r="W223" s="191"/>
      <c r="X223" s="133"/>
      <c r="Y223" s="131"/>
      <c r="Z223" s="131"/>
      <c r="AA223" s="242"/>
      <c r="AB223" s="131"/>
      <c r="AC223" s="131"/>
      <c r="AD223" s="131"/>
      <c r="AE223" s="131"/>
      <c r="AF223" s="131"/>
      <c r="AG223" s="131"/>
      <c r="AH223" s="131"/>
      <c r="AI223" s="131"/>
      <c r="AJ223" s="131"/>
      <c r="AK223" s="131"/>
      <c r="AL223" s="131"/>
      <c r="AM223" s="131"/>
      <c r="AN223" s="131"/>
      <c r="AO223" s="131"/>
      <c r="AP223" s="131"/>
      <c r="AQ223" s="243"/>
      <c r="AR223" s="131"/>
      <c r="AS223" s="131"/>
      <c r="AT223" s="131"/>
      <c r="AU223" s="131"/>
      <c r="AV223" s="131"/>
      <c r="AW223" s="131"/>
      <c r="AX223" s="131"/>
      <c r="AY223" s="131"/>
      <c r="AZ223" s="131"/>
      <c r="BA223" s="131"/>
      <c r="BB223" s="131"/>
      <c r="BC223" s="131"/>
      <c r="BD223" s="131"/>
      <c r="BE223" s="131"/>
      <c r="BF223" s="131"/>
      <c r="BG223" s="131"/>
      <c r="BH223" s="131"/>
      <c r="BI223" s="131"/>
      <c r="BJ223" s="131"/>
      <c r="BK223" s="131"/>
      <c r="BL223" s="131"/>
      <c r="BM223" s="131"/>
      <c r="BN223" s="131"/>
      <c r="BO223" s="136"/>
      <c r="BP223" s="131"/>
      <c r="BQ223" s="131"/>
      <c r="BR223" s="131"/>
      <c r="BS223" s="131"/>
      <c r="BT223" s="131"/>
      <c r="BU223" s="131"/>
      <c r="BV223" s="131"/>
      <c r="BW223" s="131"/>
      <c r="BX223" s="131"/>
      <c r="BY223" s="131"/>
      <c r="BZ223" s="131"/>
      <c r="CA223" s="131"/>
      <c r="CB223" s="131"/>
      <c r="CC223" s="131"/>
      <c r="CD223" s="131"/>
      <c r="CE223" s="131"/>
      <c r="CF223" s="136"/>
      <c r="CG223" s="136"/>
      <c r="CH223" s="131"/>
      <c r="CI223" s="131"/>
      <c r="CJ223" s="136"/>
      <c r="CK223" s="136"/>
      <c r="CL223" s="136"/>
      <c r="CM223" s="131"/>
      <c r="CN223" s="131"/>
      <c r="CO223" s="136"/>
      <c r="CP223" s="136"/>
      <c r="CQ223" s="131"/>
      <c r="CR223" s="131"/>
      <c r="CS223" s="131"/>
      <c r="CT223" s="131"/>
      <c r="CU223" s="131"/>
      <c r="CV223" s="131"/>
      <c r="CW223" s="131"/>
      <c r="CX223" s="131"/>
      <c r="CY223" s="136"/>
      <c r="CZ223" s="136"/>
      <c r="DA223" s="131"/>
      <c r="DB223" s="136"/>
      <c r="DC223" s="136"/>
      <c r="DD223" s="131"/>
      <c r="DE223" s="131"/>
      <c r="DF223" s="131"/>
      <c r="DG223" s="136"/>
      <c r="DH223" s="131"/>
      <c r="DI223" s="131"/>
      <c r="DJ223" s="136"/>
      <c r="DK223" s="136"/>
      <c r="DL223" s="136"/>
      <c r="DM223" s="136"/>
      <c r="DN223" s="136"/>
      <c r="DO223" s="136"/>
      <c r="DP223" s="136"/>
      <c r="DQ223" s="136"/>
      <c r="DR223" s="136"/>
      <c r="DS223" s="131"/>
      <c r="DT223" s="136"/>
      <c r="DU223" s="131"/>
      <c r="DV223" s="131"/>
      <c r="DW223" s="131"/>
      <c r="DX223" s="131"/>
      <c r="DY223" s="131"/>
      <c r="DZ223" s="136"/>
      <c r="EA223" s="131"/>
      <c r="EB223" s="131"/>
      <c r="EC223" s="131"/>
      <c r="ED223" s="131"/>
      <c r="EE223" s="137"/>
      <c r="EF223" s="227"/>
      <c r="EG223" s="227"/>
      <c r="EH223" s="228"/>
      <c r="EI223" s="228"/>
      <c r="EJ223" s="228"/>
      <c r="EK223" s="228"/>
    </row>
    <row r="224" spans="1:141">
      <c r="A224" s="132"/>
      <c r="B224" s="18"/>
      <c r="C224" s="18"/>
      <c r="D224" s="220"/>
      <c r="E224" s="130"/>
      <c r="F224" s="126"/>
      <c r="G224" s="18"/>
      <c r="H224" s="189"/>
      <c r="I224" s="18"/>
      <c r="J224" s="18"/>
      <c r="K224" s="189"/>
      <c r="L224" s="18"/>
      <c r="M224" s="129"/>
      <c r="N224" s="189"/>
      <c r="O224" s="132"/>
      <c r="P224" s="127"/>
      <c r="Q224" s="127"/>
      <c r="R224" s="128"/>
      <c r="S224" s="130"/>
      <c r="T224" s="135"/>
      <c r="U224" s="127"/>
      <c r="V224" s="217"/>
      <c r="W224" s="191"/>
      <c r="X224" s="133"/>
      <c r="Y224" s="131"/>
      <c r="Z224" s="131"/>
      <c r="AA224" s="242"/>
      <c r="AB224" s="131"/>
      <c r="AC224" s="131"/>
      <c r="AD224" s="131"/>
      <c r="AE224" s="131"/>
      <c r="AF224" s="131"/>
      <c r="AG224" s="131"/>
      <c r="AH224" s="131"/>
      <c r="AI224" s="131"/>
      <c r="AJ224" s="131"/>
      <c r="AK224" s="131"/>
      <c r="AL224" s="131"/>
      <c r="AM224" s="131"/>
      <c r="AN224" s="131"/>
      <c r="AO224" s="131"/>
      <c r="AP224" s="131"/>
      <c r="AQ224" s="243"/>
      <c r="AR224" s="131"/>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6"/>
      <c r="BP224" s="131"/>
      <c r="BQ224" s="131"/>
      <c r="BR224" s="131"/>
      <c r="BS224" s="131"/>
      <c r="BT224" s="131"/>
      <c r="BU224" s="131"/>
      <c r="BV224" s="131"/>
      <c r="BW224" s="131"/>
      <c r="BX224" s="131"/>
      <c r="BY224" s="131"/>
      <c r="BZ224" s="131"/>
      <c r="CA224" s="131"/>
      <c r="CB224" s="131"/>
      <c r="CC224" s="131"/>
      <c r="CD224" s="131"/>
      <c r="CE224" s="131"/>
      <c r="CF224" s="136"/>
      <c r="CG224" s="136"/>
      <c r="CH224" s="131"/>
      <c r="CI224" s="131"/>
      <c r="CJ224" s="136"/>
      <c r="CK224" s="136"/>
      <c r="CL224" s="136"/>
      <c r="CM224" s="131"/>
      <c r="CN224" s="131"/>
      <c r="CO224" s="136"/>
      <c r="CP224" s="136"/>
      <c r="CQ224" s="131"/>
      <c r="CR224" s="131"/>
      <c r="CS224" s="131"/>
      <c r="CT224" s="131"/>
      <c r="CU224" s="131"/>
      <c r="CV224" s="131"/>
      <c r="CW224" s="131"/>
      <c r="CX224" s="131"/>
      <c r="CY224" s="136"/>
      <c r="CZ224" s="136"/>
      <c r="DA224" s="131"/>
      <c r="DB224" s="136"/>
      <c r="DC224" s="136"/>
      <c r="DD224" s="131"/>
      <c r="DE224" s="131"/>
      <c r="DF224" s="131"/>
      <c r="DG224" s="136"/>
      <c r="DH224" s="131"/>
      <c r="DI224" s="131"/>
      <c r="DJ224" s="136"/>
      <c r="DK224" s="136"/>
      <c r="DL224" s="136"/>
      <c r="DM224" s="136"/>
      <c r="DN224" s="136"/>
      <c r="DO224" s="136"/>
      <c r="DP224" s="136"/>
      <c r="DQ224" s="136"/>
      <c r="DR224" s="136"/>
      <c r="DS224" s="131"/>
      <c r="DT224" s="136"/>
      <c r="DU224" s="131"/>
      <c r="DV224" s="131"/>
      <c r="DW224" s="131"/>
      <c r="DX224" s="131"/>
      <c r="DY224" s="131"/>
      <c r="DZ224" s="136"/>
      <c r="EA224" s="131"/>
      <c r="EB224" s="131"/>
      <c r="EC224" s="131"/>
      <c r="ED224" s="131"/>
      <c r="EE224" s="137"/>
      <c r="EF224" s="227"/>
      <c r="EG224" s="227"/>
      <c r="EH224" s="228"/>
      <c r="EI224" s="228"/>
      <c r="EJ224" s="228"/>
      <c r="EK224" s="228"/>
    </row>
    <row r="225" spans="1:141">
      <c r="A225" s="132"/>
      <c r="B225" s="18"/>
      <c r="C225" s="18"/>
      <c r="D225" s="220"/>
      <c r="E225" s="130"/>
      <c r="F225" s="126"/>
      <c r="G225" s="18"/>
      <c r="H225" s="189"/>
      <c r="I225" s="18"/>
      <c r="J225" s="18"/>
      <c r="K225" s="189"/>
      <c r="L225" s="18"/>
      <c r="M225" s="129"/>
      <c r="N225" s="189"/>
      <c r="O225" s="132"/>
      <c r="P225" s="127"/>
      <c r="Q225" s="127"/>
      <c r="R225" s="128"/>
      <c r="S225" s="130"/>
      <c r="T225" s="135"/>
      <c r="U225" s="127"/>
      <c r="V225" s="217"/>
      <c r="W225" s="191"/>
      <c r="X225" s="133"/>
      <c r="Y225" s="131"/>
      <c r="Z225" s="131"/>
      <c r="AA225" s="242"/>
      <c r="AB225" s="131"/>
      <c r="AC225" s="131"/>
      <c r="AD225" s="131"/>
      <c r="AE225" s="131"/>
      <c r="AF225" s="131"/>
      <c r="AG225" s="131"/>
      <c r="AH225" s="131"/>
      <c r="AI225" s="131"/>
      <c r="AJ225" s="131"/>
      <c r="AK225" s="131"/>
      <c r="AL225" s="131"/>
      <c r="AM225" s="131"/>
      <c r="AN225" s="131"/>
      <c r="AO225" s="131"/>
      <c r="AP225" s="131"/>
      <c r="AQ225" s="243"/>
      <c r="AR225" s="131"/>
      <c r="AS225" s="131"/>
      <c r="AT225" s="131"/>
      <c r="AU225" s="131"/>
      <c r="AV225" s="131"/>
      <c r="AW225" s="131"/>
      <c r="AX225" s="131"/>
      <c r="AY225" s="131"/>
      <c r="AZ225" s="131"/>
      <c r="BA225" s="131"/>
      <c r="BB225" s="131"/>
      <c r="BC225" s="131"/>
      <c r="BD225" s="131"/>
      <c r="BE225" s="131"/>
      <c r="BF225" s="131"/>
      <c r="BG225" s="131"/>
      <c r="BH225" s="131"/>
      <c r="BI225" s="131"/>
      <c r="BJ225" s="131"/>
      <c r="BK225" s="131"/>
      <c r="BL225" s="131"/>
      <c r="BM225" s="131"/>
      <c r="BN225" s="131"/>
      <c r="BO225" s="136"/>
      <c r="BP225" s="131"/>
      <c r="BQ225" s="131"/>
      <c r="BR225" s="131"/>
      <c r="BS225" s="131"/>
      <c r="BT225" s="131"/>
      <c r="BU225" s="131"/>
      <c r="BV225" s="131"/>
      <c r="BW225" s="131"/>
      <c r="BX225" s="131"/>
      <c r="BY225" s="131"/>
      <c r="BZ225" s="131"/>
      <c r="CA225" s="131"/>
      <c r="CB225" s="131"/>
      <c r="CC225" s="131"/>
      <c r="CD225" s="131"/>
      <c r="CE225" s="131"/>
      <c r="CF225" s="136"/>
      <c r="CG225" s="136"/>
      <c r="CH225" s="131"/>
      <c r="CI225" s="131"/>
      <c r="CJ225" s="136"/>
      <c r="CK225" s="136"/>
      <c r="CL225" s="136"/>
      <c r="CM225" s="131"/>
      <c r="CN225" s="131"/>
      <c r="CO225" s="136"/>
      <c r="CP225" s="136"/>
      <c r="CQ225" s="131"/>
      <c r="CR225" s="131"/>
      <c r="CS225" s="131"/>
      <c r="CT225" s="131"/>
      <c r="CU225" s="131"/>
      <c r="CV225" s="131"/>
      <c r="CW225" s="131"/>
      <c r="CX225" s="131"/>
      <c r="CY225" s="136"/>
      <c r="CZ225" s="136"/>
      <c r="DA225" s="131"/>
      <c r="DB225" s="136"/>
      <c r="DC225" s="136"/>
      <c r="DD225" s="131"/>
      <c r="DE225" s="131"/>
      <c r="DF225" s="131"/>
      <c r="DG225" s="136"/>
      <c r="DH225" s="131"/>
      <c r="DI225" s="131"/>
      <c r="DJ225" s="136"/>
      <c r="DK225" s="136"/>
      <c r="DL225" s="136"/>
      <c r="DM225" s="136"/>
      <c r="DN225" s="136"/>
      <c r="DO225" s="136"/>
      <c r="DP225" s="136"/>
      <c r="DQ225" s="136"/>
      <c r="DR225" s="136"/>
      <c r="DS225" s="131"/>
      <c r="DT225" s="136"/>
      <c r="DU225" s="131"/>
      <c r="DV225" s="131"/>
      <c r="DW225" s="131"/>
      <c r="DX225" s="131"/>
      <c r="DY225" s="131"/>
      <c r="DZ225" s="136"/>
      <c r="EA225" s="131"/>
      <c r="EB225" s="131"/>
      <c r="EC225" s="131"/>
      <c r="ED225" s="131"/>
      <c r="EE225" s="137"/>
      <c r="EF225" s="227"/>
      <c r="EG225" s="227"/>
      <c r="EH225" s="228"/>
      <c r="EI225" s="228"/>
      <c r="EJ225" s="228"/>
      <c r="EK225" s="228"/>
    </row>
    <row r="226" spans="1:141">
      <c r="A226" s="132"/>
      <c r="B226" s="18"/>
      <c r="C226" s="18"/>
      <c r="D226" s="220"/>
      <c r="E226" s="130"/>
      <c r="F226" s="126"/>
      <c r="G226" s="18"/>
      <c r="H226" s="189"/>
      <c r="I226" s="18"/>
      <c r="J226" s="18"/>
      <c r="K226" s="189"/>
      <c r="L226" s="18"/>
      <c r="M226" s="129"/>
      <c r="N226" s="189"/>
      <c r="O226" s="132"/>
      <c r="P226" s="127"/>
      <c r="Q226" s="127"/>
      <c r="R226" s="128"/>
      <c r="S226" s="130"/>
      <c r="T226" s="135"/>
      <c r="U226" s="127"/>
      <c r="V226" s="217"/>
      <c r="W226" s="191"/>
      <c r="X226" s="133"/>
      <c r="Y226" s="131"/>
      <c r="Z226" s="131"/>
      <c r="AA226" s="242"/>
      <c r="AB226" s="131"/>
      <c r="AC226" s="131"/>
      <c r="AD226" s="131"/>
      <c r="AE226" s="131"/>
      <c r="AF226" s="131"/>
      <c r="AG226" s="131"/>
      <c r="AH226" s="131"/>
      <c r="AI226" s="131"/>
      <c r="AJ226" s="131"/>
      <c r="AK226" s="131"/>
      <c r="AL226" s="131"/>
      <c r="AM226" s="131"/>
      <c r="AN226" s="131"/>
      <c r="AO226" s="131"/>
      <c r="AP226" s="131"/>
      <c r="AQ226" s="243"/>
      <c r="AR226" s="131"/>
      <c r="AS226" s="131"/>
      <c r="AT226" s="131"/>
      <c r="AU226" s="131"/>
      <c r="AV226" s="131"/>
      <c r="AW226" s="131"/>
      <c r="AX226" s="131"/>
      <c r="AY226" s="131"/>
      <c r="AZ226" s="131"/>
      <c r="BA226" s="131"/>
      <c r="BB226" s="131"/>
      <c r="BC226" s="131"/>
      <c r="BD226" s="131"/>
      <c r="BE226" s="131"/>
      <c r="BF226" s="131"/>
      <c r="BG226" s="131"/>
      <c r="BH226" s="131"/>
      <c r="BI226" s="131"/>
      <c r="BJ226" s="131"/>
      <c r="BK226" s="131"/>
      <c r="BL226" s="131"/>
      <c r="BM226" s="131"/>
      <c r="BN226" s="131"/>
      <c r="BO226" s="136"/>
      <c r="BP226" s="131"/>
      <c r="BQ226" s="131"/>
      <c r="BR226" s="131"/>
      <c r="BS226" s="131"/>
      <c r="BT226" s="131"/>
      <c r="BU226" s="131"/>
      <c r="BV226" s="131"/>
      <c r="BW226" s="131"/>
      <c r="BX226" s="131"/>
      <c r="BY226" s="131"/>
      <c r="BZ226" s="131"/>
      <c r="CA226" s="131"/>
      <c r="CB226" s="131"/>
      <c r="CC226" s="131"/>
      <c r="CD226" s="131"/>
      <c r="CE226" s="131"/>
      <c r="CF226" s="136"/>
      <c r="CG226" s="136"/>
      <c r="CH226" s="131"/>
      <c r="CI226" s="131"/>
      <c r="CJ226" s="136"/>
      <c r="CK226" s="136"/>
      <c r="CL226" s="136"/>
      <c r="CM226" s="131"/>
      <c r="CN226" s="131"/>
      <c r="CO226" s="136"/>
      <c r="CP226" s="136"/>
      <c r="CQ226" s="131"/>
      <c r="CR226" s="131"/>
      <c r="CS226" s="131"/>
      <c r="CT226" s="131"/>
      <c r="CU226" s="131"/>
      <c r="CV226" s="131"/>
      <c r="CW226" s="131"/>
      <c r="CX226" s="131"/>
      <c r="CY226" s="136"/>
      <c r="CZ226" s="136"/>
      <c r="DA226" s="131"/>
      <c r="DB226" s="136"/>
      <c r="DC226" s="136"/>
      <c r="DD226" s="131"/>
      <c r="DE226" s="131"/>
      <c r="DF226" s="131"/>
      <c r="DG226" s="136"/>
      <c r="DH226" s="131"/>
      <c r="DI226" s="131"/>
      <c r="DJ226" s="136"/>
      <c r="DK226" s="136"/>
      <c r="DL226" s="136"/>
      <c r="DM226" s="136"/>
      <c r="DN226" s="136"/>
      <c r="DO226" s="136"/>
      <c r="DP226" s="136"/>
      <c r="DQ226" s="136"/>
      <c r="DR226" s="136"/>
      <c r="DS226" s="131"/>
      <c r="DT226" s="136"/>
      <c r="DU226" s="131"/>
      <c r="DV226" s="131"/>
      <c r="DW226" s="131"/>
      <c r="DX226" s="131"/>
      <c r="DY226" s="131"/>
      <c r="DZ226" s="136"/>
      <c r="EA226" s="131"/>
      <c r="EB226" s="131"/>
      <c r="EC226" s="131"/>
      <c r="ED226" s="131"/>
      <c r="EE226" s="137"/>
      <c r="EF226" s="227"/>
      <c r="EG226" s="227"/>
      <c r="EH226" s="228"/>
      <c r="EI226" s="228"/>
      <c r="EJ226" s="228"/>
      <c r="EK226" s="228"/>
    </row>
  </sheetData>
  <pageMargins left="0.70866141732283472" right="0.70866141732283472" top="0.74803149606299213" bottom="0.74803149606299213" header="0.31496062992125984" footer="0.31496062992125984"/>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8973B-1059-4EE2-A55B-9331F8CB889E}">
  <sheetPr codeName="גיליון4"/>
  <dimension ref="A1:EB234"/>
  <sheetViews>
    <sheetView rightToLeft="1" topLeftCell="A2" workbookViewId="0">
      <pane xSplit="13512" ySplit="2052" topLeftCell="W1" activePane="bottomRight"/>
      <selection activeCell="E1" sqref="E1"/>
      <selection pane="topRight" activeCell="AA2" sqref="AA1:AA1048576"/>
      <selection pane="bottomLeft" activeCell="AW2" sqref="AW2"/>
      <selection pane="bottomRight" activeCell="AA3" sqref="AA3"/>
    </sheetView>
  </sheetViews>
  <sheetFormatPr defaultRowHeight="14.4"/>
  <cols>
    <col min="1" max="1" width="4" bestFit="1" customWidth="1"/>
    <col min="2" max="2" width="10.109375" bestFit="1" customWidth="1"/>
    <col min="3" max="3" width="6" bestFit="1" customWidth="1"/>
    <col min="7" max="7" width="11.88671875" bestFit="1" customWidth="1"/>
    <col min="9" max="9" width="8.88671875" style="248"/>
    <col min="12" max="12" width="9.33203125" bestFit="1" customWidth="1"/>
    <col min="15" max="15" width="9.33203125" bestFit="1" customWidth="1"/>
    <col min="16" max="16" width="9.33203125" customWidth="1"/>
    <col min="17" max="17" width="9.33203125" bestFit="1" customWidth="1"/>
    <col min="19" max="19" width="8.88671875" style="434"/>
    <col min="22" max="23" width="9.33203125" customWidth="1"/>
    <col min="28" max="29" width="9.33203125" bestFit="1" customWidth="1"/>
    <col min="33" max="38" width="10.77734375" customWidth="1"/>
    <col min="42" max="42" width="10.6640625" style="434" bestFit="1" customWidth="1"/>
    <col min="43" max="43" width="10.6640625" style="434" customWidth="1"/>
    <col min="45" max="47" width="9.33203125" customWidth="1"/>
    <col min="48" max="50" width="10" customWidth="1"/>
    <col min="51" max="51" width="9.33203125" customWidth="1"/>
    <col min="52" max="52" width="12.77734375" customWidth="1"/>
    <col min="54" max="54" width="9.33203125" style="476" bestFit="1" customWidth="1"/>
    <col min="55" max="55" width="9.33203125" bestFit="1" customWidth="1"/>
    <col min="56" max="56" width="10.77734375" bestFit="1" customWidth="1"/>
    <col min="57" max="57" width="9.33203125" style="476" customWidth="1"/>
    <col min="58" max="59" width="8.88671875" style="476"/>
    <col min="60" max="60" width="10.77734375" style="476" bestFit="1" customWidth="1"/>
    <col min="61" max="63" width="10.77734375" style="476" customWidth="1"/>
    <col min="64" max="64" width="9.33203125" style="476" bestFit="1" customWidth="1"/>
    <col min="65" max="65" width="9.33203125" bestFit="1" customWidth="1"/>
    <col min="66" max="66" width="10.77734375" bestFit="1" customWidth="1"/>
    <col min="67" max="67" width="17.21875" style="476" customWidth="1"/>
    <col min="68" max="68" width="10" bestFit="1" customWidth="1"/>
    <col min="69" max="69" width="10" customWidth="1"/>
    <col min="70" max="70" width="10" style="476" customWidth="1"/>
    <col min="71" max="71" width="10" customWidth="1"/>
    <col min="72" max="73" width="9.33203125" customWidth="1"/>
    <col min="74" max="74" width="9.33203125" bestFit="1" customWidth="1"/>
    <col min="75" max="75" width="10" bestFit="1" customWidth="1"/>
    <col min="76" max="76" width="9.33203125" bestFit="1" customWidth="1"/>
    <col min="77" max="78" width="9.33203125" customWidth="1"/>
    <col min="80" max="81" width="9.33203125" bestFit="1" customWidth="1"/>
    <col min="82" max="82" width="10.77734375" customWidth="1"/>
    <col min="83" max="84" width="9.33203125" customWidth="1"/>
    <col min="85" max="85" width="10.77734375" bestFit="1" customWidth="1"/>
    <col min="86" max="86" width="10.6640625" bestFit="1" customWidth="1"/>
    <col min="87" max="87" width="10" bestFit="1" customWidth="1"/>
    <col min="88" max="88" width="10" customWidth="1"/>
    <col min="89" max="89" width="9.33203125" customWidth="1"/>
    <col min="90" max="90" width="10.6640625" bestFit="1" customWidth="1"/>
    <col min="91" max="91" width="10.77734375" customWidth="1"/>
    <col min="92" max="92" width="10.5546875" customWidth="1"/>
    <col min="95" max="96" width="9.33203125" customWidth="1"/>
    <col min="97" max="97" width="10.77734375" bestFit="1" customWidth="1"/>
    <col min="98" max="98" width="10.77734375" customWidth="1"/>
    <col min="99" max="99" width="9.33203125" bestFit="1" customWidth="1"/>
    <col min="100" max="100" width="9.44140625" bestFit="1" customWidth="1"/>
    <col min="101" max="103" width="9.33203125" customWidth="1"/>
    <col min="104" max="104" width="10.77734375" bestFit="1" customWidth="1"/>
    <col min="105" max="106" width="9.33203125" customWidth="1"/>
    <col min="107" max="107" width="10.77734375" bestFit="1" customWidth="1"/>
    <col min="108" max="108" width="9.33203125" customWidth="1"/>
    <col min="109" max="109" width="10" customWidth="1"/>
    <col min="110" max="110" width="9.33203125" bestFit="1" customWidth="1"/>
    <col min="111" max="113" width="9.33203125" customWidth="1"/>
    <col min="115" max="116" width="10.6640625" customWidth="1"/>
    <col min="122" max="122" width="9.33203125" bestFit="1" customWidth="1"/>
    <col min="124" max="124" width="9.33203125" customWidth="1"/>
    <col min="125" max="125" width="10" customWidth="1"/>
    <col min="126" max="126" width="11" bestFit="1" customWidth="1"/>
    <col min="127" max="127" width="11.88671875" bestFit="1" customWidth="1"/>
    <col min="128" max="128" width="11.88671875" customWidth="1"/>
    <col min="129" max="129" width="9.33203125" customWidth="1"/>
    <col min="130" max="130" width="8.88671875" customWidth="1"/>
    <col min="131" max="131" width="10.6640625" bestFit="1" customWidth="1"/>
  </cols>
  <sheetData>
    <row r="1" spans="1:132">
      <c r="B1" s="18" t="s">
        <v>53</v>
      </c>
      <c r="C1" s="189">
        <f>VLOOKUP('Netunei Gimlai'!$B$9,DERUG!$C$3:$D$64,2,0)</f>
        <v>1</v>
      </c>
      <c r="D1" s="18" t="s">
        <v>51</v>
      </c>
      <c r="E1" s="18">
        <f>VLOOKUP('Netunei Gimlai'!B4,MISRAD!C5:D81,2,0)</f>
        <v>107</v>
      </c>
      <c r="O1" s="326"/>
      <c r="P1" s="326"/>
      <c r="Q1" s="326"/>
      <c r="R1" s="326"/>
      <c r="S1" s="434">
        <v>1</v>
      </c>
      <c r="T1" s="434">
        <v>2</v>
      </c>
      <c r="U1" s="434">
        <v>3</v>
      </c>
      <c r="V1" s="434">
        <v>4</v>
      </c>
      <c r="W1" s="434">
        <v>5</v>
      </c>
      <c r="X1" s="434">
        <v>6</v>
      </c>
      <c r="Y1" s="434">
        <v>7</v>
      </c>
      <c r="Z1" s="434">
        <v>8</v>
      </c>
      <c r="AA1" s="434">
        <v>9</v>
      </c>
      <c r="AB1" s="434">
        <v>10</v>
      </c>
      <c r="AC1" s="434">
        <v>11</v>
      </c>
      <c r="AD1" s="434">
        <v>12</v>
      </c>
      <c r="AE1" s="434">
        <v>13</v>
      </c>
      <c r="AF1" s="434">
        <v>14</v>
      </c>
      <c r="AG1" s="434">
        <v>15</v>
      </c>
      <c r="AH1" s="434">
        <v>16</v>
      </c>
      <c r="AI1" s="434">
        <v>17</v>
      </c>
      <c r="AJ1" s="434">
        <v>18</v>
      </c>
      <c r="AK1" s="434">
        <v>19</v>
      </c>
      <c r="AL1" s="434">
        <v>20</v>
      </c>
      <c r="AM1" s="434">
        <v>21</v>
      </c>
      <c r="AN1" s="434">
        <v>22</v>
      </c>
      <c r="AO1" s="434">
        <v>23</v>
      </c>
      <c r="AP1" s="434">
        <v>24</v>
      </c>
      <c r="AQ1" s="434">
        <v>25</v>
      </c>
      <c r="AR1" s="476">
        <v>1</v>
      </c>
      <c r="AS1" s="476">
        <v>2</v>
      </c>
      <c r="AT1" s="476">
        <v>3</v>
      </c>
      <c r="AU1" s="476">
        <v>4</v>
      </c>
      <c r="AV1" s="476">
        <v>5</v>
      </c>
      <c r="AW1" s="476">
        <v>6</v>
      </c>
      <c r="AX1" s="476">
        <v>7</v>
      </c>
      <c r="AY1" s="476">
        <v>8</v>
      </c>
      <c r="AZ1" s="476">
        <v>9</v>
      </c>
      <c r="BA1" s="476">
        <v>10</v>
      </c>
      <c r="BB1" s="476">
        <v>11</v>
      </c>
      <c r="BC1" s="476">
        <v>12</v>
      </c>
      <c r="BD1" s="476">
        <v>13</v>
      </c>
      <c r="BE1" s="476">
        <v>14</v>
      </c>
      <c r="BF1" s="476">
        <v>15</v>
      </c>
      <c r="BG1" s="476">
        <v>16</v>
      </c>
      <c r="BH1" s="476">
        <v>17</v>
      </c>
      <c r="BI1" s="476">
        <v>18</v>
      </c>
      <c r="BJ1" s="476">
        <v>19</v>
      </c>
      <c r="BK1" s="476">
        <v>20</v>
      </c>
      <c r="BL1" s="476">
        <v>21</v>
      </c>
      <c r="BM1" s="476">
        <v>22</v>
      </c>
      <c r="BN1" s="476">
        <v>23</v>
      </c>
      <c r="BO1" s="476">
        <v>24</v>
      </c>
      <c r="BP1" s="476">
        <v>25</v>
      </c>
      <c r="BQ1" s="476">
        <v>26</v>
      </c>
      <c r="BR1" s="476">
        <v>27</v>
      </c>
      <c r="BS1" s="476">
        <v>28</v>
      </c>
      <c r="BT1" s="476">
        <v>29</v>
      </c>
      <c r="BU1" s="485">
        <v>1</v>
      </c>
      <c r="BV1" s="485">
        <v>2</v>
      </c>
      <c r="BW1" s="485">
        <v>3</v>
      </c>
      <c r="BX1" s="485">
        <v>4</v>
      </c>
      <c r="BY1" s="485">
        <v>5</v>
      </c>
      <c r="BZ1" s="485">
        <v>6</v>
      </c>
      <c r="CA1" s="485">
        <v>7</v>
      </c>
      <c r="CB1" s="485">
        <v>8</v>
      </c>
      <c r="CC1" s="485">
        <v>9</v>
      </c>
      <c r="CD1" s="485"/>
      <c r="CE1" s="485"/>
      <c r="CF1" s="485"/>
      <c r="CG1" s="485"/>
      <c r="CH1" s="485"/>
      <c r="CI1" s="485"/>
      <c r="CJ1" s="485"/>
      <c r="CK1" s="485"/>
      <c r="CL1" s="485"/>
      <c r="CU1" s="425"/>
      <c r="CV1" s="421"/>
      <c r="CW1" s="427"/>
    </row>
    <row r="2" spans="1:132">
      <c r="B2" s="126" t="s">
        <v>56</v>
      </c>
      <c r="C2" s="189">
        <f>+'Netunei Gimlai'!$B$10</f>
        <v>11</v>
      </c>
      <c r="F2" s="67"/>
      <c r="G2" s="67"/>
      <c r="H2" s="67"/>
      <c r="I2" s="295"/>
      <c r="J2" s="67"/>
      <c r="K2" s="67"/>
      <c r="L2" s="260">
        <f>IF('Netunei Gimlai'!B4=63,L3,0)</f>
        <v>0</v>
      </c>
      <c r="M2" s="263">
        <f>VLOOKUP($C$3,'tos kibutzi'!$F$6:$G$195,2,0)</f>
        <v>0.04</v>
      </c>
      <c r="N2" s="263">
        <f>VLOOKUP('hashlamat sachar 4643'!B2,'tos kibutzi'!$F$6:$G$195,2,0)</f>
        <v>0.04</v>
      </c>
      <c r="O2" s="464">
        <f>IF('Netunei Gimlai'!G5=TRUE,VLOOKUP(C4,$C$7:$O$234,13,0),0)</f>
        <v>0</v>
      </c>
      <c r="P2" s="326"/>
      <c r="Q2" s="465">
        <f>IF('Netunei Gimlai'!B9=1,0,IF('Netunei Gimlai'!G6=TRUE,IF(C2&lt;47,P3,IF(C2&lt;53,Q3,R3)),0))</f>
        <v>0</v>
      </c>
      <c r="R2" s="466"/>
      <c r="T2" s="443">
        <f>IF(MISRAD!Z2=1,IF('Netunei Gimlai'!G31=TRUE,T3,0),0)</f>
        <v>75.260000000000005</v>
      </c>
      <c r="U2" s="443">
        <f>IF(MISRAD!AA2=1,IF('Netunei Gimlai'!G32=TRUE,U3,0),0)</f>
        <v>0</v>
      </c>
      <c r="V2" s="443">
        <f>IF(MISRAD!AB2=1,IF('Netunei Gimlai'!G33=TRUE,V3,0),0)</f>
        <v>0</v>
      </c>
      <c r="W2" s="531">
        <f>IF(MISRAD!AC2=1,IF('Netunei Gimlai'!G34=TRUE,W3,0),0)</f>
        <v>0</v>
      </c>
      <c r="X2" s="443">
        <f>IF(MISRAD!AD2=1,IF('Netunei Gimlai'!G35=TRUE,X3,0),0)</f>
        <v>0</v>
      </c>
      <c r="Y2" s="443">
        <f>IF(MISRAD!AE2=1,IF('Netunei Gimlai'!G36=TRUE,Y3,0),0)</f>
        <v>0</v>
      </c>
      <c r="Z2" s="443">
        <f>IF(MISRAD!AF2=1,IF('Netunei Gimlai'!G37=TRUE,Z3,0),0)</f>
        <v>0</v>
      </c>
      <c r="AA2" s="443">
        <f>IF(MISRAD!AG2=1,IF('Netunei Gimlai'!G38=TRUE,AA3,0),0)</f>
        <v>10.26</v>
      </c>
      <c r="AB2" s="443">
        <f>IF(MISRAD!AH2=1,IF('Netunei Gimlai'!G39=TRUE,AB3,0),0)</f>
        <v>0</v>
      </c>
      <c r="AC2" s="449">
        <f>IF(MISRAD!AI2=1,IF('Netunei Gimlai'!G40=TRUE,AC3,0),0)</f>
        <v>353.75</v>
      </c>
      <c r="AD2" s="446">
        <f>IF(MISRAD!AJ2=1,IF('Netunei Gimlai'!G41=TRUE,AD3,0),0)</f>
        <v>0.3</v>
      </c>
      <c r="AE2" s="451">
        <f>IF(MISRAD!AK2=1,IF('Netunei Gimlai'!G42=TRUE,AE3,0),0)</f>
        <v>0</v>
      </c>
      <c r="AF2" s="451">
        <f>IF(MISRAD!AL2=1,IF('Netunei Gimlai'!G43=TRUE,AF3,0),0)</f>
        <v>0</v>
      </c>
      <c r="AG2" s="451">
        <f>IF(MISRAD!AM2=1,IF('Netunei Gimlai'!G44=TRUE,AG3,0),0)</f>
        <v>0</v>
      </c>
      <c r="AH2" s="451">
        <f>IF(MISRAD!AN2=1,IF('Netunei Gimlai'!G46=TRUE,AH3,0),0)</f>
        <v>0</v>
      </c>
      <c r="AI2" s="451">
        <f>IF(MISRAD!AO2=1,IF('Netunei Gimlai'!G47=TRUE,AI3,0),0)</f>
        <v>0</v>
      </c>
      <c r="AJ2" s="451">
        <f>IF(MISRAD!AP2=1,IF('Netunei Gimlai'!G48=TRUE,AJ3,0),0)</f>
        <v>0</v>
      </c>
      <c r="AK2" s="451">
        <f>IF(MISRAD!AR2=1,IF('Netunei Gimlai'!G45=TRUE,AK3,0),0)</f>
        <v>0</v>
      </c>
      <c r="AL2" s="451">
        <f>IF('Netunei Gimlai'!G49=TRUE,'Netunei Gimlai'!J49,0)</f>
        <v>0</v>
      </c>
      <c r="AM2" s="455">
        <f>IF(MISRAD!AR2=1,IF('Netunei Gimlai'!G50=TRUE,AM3,0),0)</f>
        <v>0</v>
      </c>
      <c r="AN2" s="456"/>
      <c r="AO2" s="456"/>
      <c r="AP2" s="443">
        <f>IF(MISRAD!AS2=1,IF('Netunei Gimlai'!G51=TRUE,AP3,0),0)</f>
        <v>0</v>
      </c>
      <c r="AQ2" s="443">
        <f>IF(MISRAD!AT2=1,IF('Netunei Gimlai'!G52=TRUE,AQ3,0),0)</f>
        <v>0</v>
      </c>
      <c r="AR2" s="504"/>
      <c r="AS2" s="477">
        <f>IF(MISRAD!AW2=1,IF('Netunei Gimlai'!G53=TRUE,AS3,0),0)</f>
        <v>0</v>
      </c>
      <c r="AT2" s="477">
        <f>IF('Netunei Gimlai'!G54=TRUE,AT3,0)</f>
        <v>0</v>
      </c>
      <c r="AU2" s="512">
        <f>IF(MISRAD!AX2=1,IF('Netunei Gimlai'!G55=TRUE,6%,0),0)</f>
        <v>0</v>
      </c>
      <c r="AV2" s="477">
        <f>IF('Netunei Gimlai'!G56=TRUE,AV3,0)</f>
        <v>0</v>
      </c>
      <c r="AW2" s="477">
        <f>IF(MISRAD!AY2=1,IF('Netunei Gimlai'!G57=TRUE,'Netunei Gimlai'!J57,0),0)</f>
        <v>0</v>
      </c>
      <c r="AX2" s="477">
        <f>IF(MISRAD!AZ2=1,IF('Netunei Gimlai'!G58=TRUE,'Netunei Gimlai'!J58,0),0)</f>
        <v>0</v>
      </c>
      <c r="AY2" s="477">
        <f>IF(MISRAD!BA2=1,IF('Netunei Gimlai'!G59=TRUE,AY3,0),0)</f>
        <v>0</v>
      </c>
      <c r="AZ2" s="498">
        <f>IF(MISRAD!BC2=1,IF('Netunei Gimlai'!G61=TRUE,IF(E1=104,30%,IF(E1=109,7.5%,IF(E1=111,15%,IF(E1=180,15%,IF(E1=170,8%,IF(E1=122,15%,0))))))),0)</f>
        <v>0</v>
      </c>
      <c r="BA2" s="500">
        <f>IF(MISRAD!BD2=1,IF('Netunei Gimlai'!G62=TRUE,BA3,0),0)</f>
        <v>0</v>
      </c>
      <c r="BB2" s="500">
        <f>IF(MISRAD!BE2=1,IF('Netunei Gimlai'!G63=TRUE,VLOOKUP($C$4,$AR$7:$BB$234,8,0),0),0)</f>
        <v>0</v>
      </c>
      <c r="BC2" s="500">
        <f>IF(MISRAD!BF2=1,IF('Netunei Gimlai'!G64=TRUE,BC3,0),0)</f>
        <v>0</v>
      </c>
      <c r="BD2" s="500">
        <f>IF('Netunei Gimlai'!G65=TRUE,BD3,0)</f>
        <v>0</v>
      </c>
      <c r="BE2" s="498">
        <f>IF(MISRAD!BG2=1,IF('Netunei Gimlai'!G66=TRUE,20%,IF('Netunei Gimlai'!G67=TRUE,15%,0)),0)</f>
        <v>0</v>
      </c>
      <c r="BF2" s="498">
        <f>IF(MISRAD!BH2=1,IF('Netunei Gimlai'!G68=TRUE,'BATEI MISHPAT 875'!B2,IF('Netunei Gimlai'!G69=TRUE,'BATEI MISHPAT 875'!B3,IF('Netunei Gimlai'!G70=TRUE,'BATEI MISHPAT 875'!B4,IF('Netunei Gimlai'!G71=TRUE,'BATEI MISHPAT 875'!B5,0)))),0)</f>
        <v>0</v>
      </c>
      <c r="BG2" s="500">
        <f>IF(MISRAD!BI2=1,IF('Netunei Gimlai'!G72=TRUE,BG3,0),0)</f>
        <v>0</v>
      </c>
      <c r="BH2" s="500">
        <f>IF(MISRAD!BJ2=1,IF('Netunei Gimlai'!G73=TRUE,BH3,0),0)</f>
        <v>0</v>
      </c>
      <c r="BI2" s="500">
        <f>IF(MISRAD!BK2=1,IF('Netunei Gimlai'!G74=TRUE,BI3,0),0)</f>
        <v>0</v>
      </c>
      <c r="BJ2" s="498">
        <f>IF(MISRAD!BL2=1,IF('Netunei Gimlai'!G75=TRUE,BJ3,0),0)</f>
        <v>0</v>
      </c>
      <c r="BK2" s="526">
        <f>IF(MISRAD!BM2=1,IF('Netunei Gimlai'!G76=TRUE,BK3,0),0)</f>
        <v>0</v>
      </c>
      <c r="BL2" s="500">
        <f>IF(MISRAD!BN2=1,IF('Netunei Gimlai'!G77=TRUE,VLOOKUP($C$4,$AR$7:$BL$12,BL1,0),0),0)</f>
        <v>0</v>
      </c>
      <c r="BM2" s="517">
        <f>IF('Netunei Gimlai'!G78=TRUE,BM3,0)</f>
        <v>0</v>
      </c>
      <c r="BN2" s="500">
        <f>IF('Netunei Gimlai'!G79=TRUE,'Netunei Gimlai'!J79,0)</f>
        <v>0</v>
      </c>
      <c r="BO2" s="498">
        <f>IF(MISRAD!BS2=1,IF('Netunei Gimlai'!G81=TRUE,VLOOKUP('Netunei Gimlai'!H81,parameter!K20:L22,2,0)),0)</f>
        <v>0</v>
      </c>
      <c r="BP2" s="500">
        <f>IF('Netunei Gimlai'!G82=TRUE,VLOOKUP($C$4,$AR$7:$BP$234,BP1,0),0)</f>
        <v>0</v>
      </c>
      <c r="BQ2" s="498">
        <f>IF(MISRAD!BW2=1,IF('Netunei Gimlai'!G84=TRUE,VLOOKUP($C$4,$AR$7:$BQ$234,26,0),0),0)</f>
        <v>0</v>
      </c>
      <c r="BR2" s="498">
        <f>IF(MISRAD!BX2=1,IF('Netunei Gimlai'!G85=TRUE,BR3,0),0)</f>
        <v>0</v>
      </c>
      <c r="BS2" s="500">
        <f>IF('Netunei Gimlai'!G86=TRUE,'Netunei Gimlai'!J86,0)</f>
        <v>0</v>
      </c>
      <c r="BT2" s="478">
        <f>IF(MISRAD!BY2=1,IF('Netunei Gimlai'!G90=TRUE,BT3,0),0)</f>
        <v>0</v>
      </c>
      <c r="BU2" s="485"/>
      <c r="BV2" s="486">
        <f>IF(MISRAD!F2=1,IF('Netunei Gimlai'!G8=TRUE,BV3,0),0)</f>
        <v>0</v>
      </c>
      <c r="BW2" s="490">
        <f>IF(MISRAD!G2=1,IF('Netunei Gimlai'!G9=TRUE,BW3,0),0)</f>
        <v>0</v>
      </c>
      <c r="BX2" s="486">
        <f>IF(MISRAD!H2=1,IF('Netunei Gimlai'!G10=TRUE,BX3,0),0)</f>
        <v>0</v>
      </c>
      <c r="BY2" s="84">
        <f>IF(MISRAD!I2=1,IF('Netunei Gimlai'!G11=TRUE,BY3,0),0)</f>
        <v>0</v>
      </c>
      <c r="BZ2" s="492">
        <f>IF(MISRAD!BB2=1,IF('Netunei Gimlai'!G60=TRUE,BZ3,0),0)</f>
        <v>0</v>
      </c>
      <c r="CA2" s="495">
        <f>IF(MISRAD!J2=1,IF('Netunei Gimlai'!G12=TRUE,CA3,0),0)</f>
        <v>0</v>
      </c>
      <c r="CB2" s="492">
        <f>IF(MISRAD!K2=1,IF('Netunei Gimlai'!G13=TRUE,VLOOKUP($C$4,$BU$7:$CB$234,CB1,0),0),0)</f>
        <v>0</v>
      </c>
      <c r="CC2" s="492">
        <f>IF(MISRAD!L2=1,IF('Netunei Gimlai'!G14=TRUE,CC3,0),0)</f>
        <v>0</v>
      </c>
      <c r="CD2" s="492"/>
      <c r="CE2" s="486">
        <f>IF(MISRAD!N2=1,IF('Netunei Gimlai'!G17=TRUE,VLOOKUP(C4,CD7:CE234,2,0),0),0)</f>
        <v>0</v>
      </c>
      <c r="CF2" s="486">
        <f>IF(MISRAD!O2=1,IF('Netunei Gimlai'!G18=TRUE,CF3,0),0)</f>
        <v>0</v>
      </c>
      <c r="CG2" s="486">
        <f>IF(MISRAD!P2=1,IF('Netunei Gimlai'!G19=TRUE,CG3,0),0)</f>
        <v>0</v>
      </c>
      <c r="CH2" s="506">
        <f>IF(MISRAD!Q2=1,IF('Netunei Gimlai'!G20=TRUE,CH3,0),0)</f>
        <v>0</v>
      </c>
      <c r="CI2" s="506">
        <f>IF(MISRAD!R2=1,IF('Netunei Gimlai'!G21=TRUE,CI3,0),0)</f>
        <v>0</v>
      </c>
      <c r="CJ2" s="506">
        <f>IF(MISRAD!S2=1,IF('Netunei Gimlai'!G24=TRUE,CJ3,0),0)</f>
        <v>0</v>
      </c>
      <c r="CK2" s="487">
        <f>IF(MISRAD!T2=1,IF('Netunei Gimlai'!G25=TRUE,CK3,0),0)</f>
        <v>0</v>
      </c>
      <c r="CL2" s="487">
        <f>IF(MISRAD!U2,IF('Netunei Gimlai'!G26=TRUE,CL6,0),0)</f>
        <v>0</v>
      </c>
      <c r="CM2" s="209">
        <f>IF('Netunei Gimlai'!G98=TRUE,CM3,0)</f>
        <v>0</v>
      </c>
      <c r="CO2" s="106">
        <f>IF('Netunei Gimlai'!G106=TRUE,CO3,0)</f>
        <v>0</v>
      </c>
      <c r="CQ2" s="106">
        <f>IF('Netunei Gimlai'!G99=TRUE,CQ3,0)</f>
        <v>0</v>
      </c>
      <c r="CR2" s="209">
        <f>IF('Netunei Gimlai'!G100=TRUE,CR3,0)</f>
        <v>0</v>
      </c>
      <c r="CS2" s="209">
        <f>IF(MISRAD!M2=1,IF('Netunei Gimlai'!G15=TRUE,CS3,0),0)</f>
        <v>0</v>
      </c>
      <c r="CT2" s="209">
        <f>IF('Netunei Gimlai'!G101=TRUE,CT3,0)</f>
        <v>0</v>
      </c>
      <c r="CU2" s="429">
        <f>IF(MISRAD!W2=1,IF('Netunei Gimlai'!G28=TRUE,CU3,IF('Netunei Gimlai'!G29=TRUE,CV3,IF('Netunei Gimlai'!G30=TRUE,CW3,0))),0)</f>
        <v>0</v>
      </c>
      <c r="CV2" s="428"/>
      <c r="CW2" s="430"/>
      <c r="CX2" s="419">
        <f>IF(MISRAD!BO2=1,IF('Netunei Gimlai'!G80=TRUE,CX6,0),0)</f>
        <v>0</v>
      </c>
      <c r="CY2" s="209">
        <f>IF('Netunei Gimlai'!G102=TRUE,CY6,0)</f>
        <v>0</v>
      </c>
      <c r="DA2" s="12">
        <f>IF(MISRAD!BQ2=1,IF('Netunei Gimlai'!G94=TRUE,'פומ נתיב 4319'!C2,0),0)</f>
        <v>0</v>
      </c>
      <c r="DB2" s="12">
        <f>IF(MISRAD!BT2=1,IF('Netunei Gimlai'!G95=TRUE,'שרות נתיב 4427'!C2,0),0)</f>
        <v>0</v>
      </c>
      <c r="DC2" s="84">
        <f>IF(MISRAD!BU2=1,IF('Netunei Gimlai'!G96=TRUE,DC3,0),0)</f>
        <v>0</v>
      </c>
      <c r="DD2" s="84">
        <f>IF(MISRAD!BR2=1,IF('Netunei Gimlai'!G97=TRUE,DD3,0),0)</f>
        <v>0</v>
      </c>
      <c r="DE2" s="84">
        <f>IF('Netunei Gimlai'!G103=TRUE,DE3,0)</f>
        <v>0</v>
      </c>
      <c r="DF2" s="2">
        <f>+DF3</f>
        <v>0</v>
      </c>
      <c r="DG2" s="2">
        <f>+DG3</f>
        <v>0</v>
      </c>
      <c r="DH2" s="261">
        <f>IF('Netunei Gimlai'!G27=TRUE,DH6,0)</f>
        <v>0</v>
      </c>
      <c r="DI2" s="400">
        <f>IF('Netunei Gimlai'!G105=TRUE,DI3,0)</f>
        <v>0</v>
      </c>
      <c r="DK2" s="2">
        <f>IF('Netunei Gimlai'!G91=TRUE,DK3,0)</f>
        <v>0</v>
      </c>
      <c r="DL2" s="2">
        <f>IF('Netunei Gimlai'!G92=TRUE,DL3,0)</f>
        <v>0</v>
      </c>
      <c r="DQ2" s="2">
        <f>IF('Netunei Gimlai'!G16=TRUE,DQ3,0)</f>
        <v>0</v>
      </c>
      <c r="DR2" s="2">
        <f>IF('Netunei Gimlai'!G26=TRUE,DR3,0)</f>
        <v>0</v>
      </c>
      <c r="DT2" s="2"/>
      <c r="DU2" s="2">
        <f>IF('Netunei Gimlai'!G83,'Netunei Gimlai'!J83,0)</f>
        <v>0</v>
      </c>
      <c r="DV2" s="2">
        <f>IF('Netunei Gimlai'!G107=TRUE,DV3,0)</f>
        <v>0</v>
      </c>
      <c r="DY2" s="2">
        <f>IF('Netunei Gimlai'!G22=TRUE,DY3,0)</f>
        <v>0</v>
      </c>
      <c r="DZ2" s="2">
        <f>IF('Netunei Gimlai'!G23=TRUE,DZ3,0)</f>
        <v>0</v>
      </c>
    </row>
    <row r="3" spans="1:132">
      <c r="B3" s="126" t="s">
        <v>58</v>
      </c>
      <c r="C3" s="189" cm="1">
        <f t="array" ref="C3">INDEX(kodderugdarga!$AJ$3:$AT$112,$C$2,$C$1)</f>
        <v>1011</v>
      </c>
      <c r="F3" s="67"/>
      <c r="G3" s="67"/>
      <c r="H3" s="67"/>
      <c r="I3" s="295"/>
      <c r="J3" s="67"/>
      <c r="K3" s="67"/>
      <c r="L3" s="261">
        <f>VLOOKUP(C4,$C$7:$L$234,10,0)</f>
        <v>300</v>
      </c>
      <c r="O3" s="467"/>
      <c r="P3" s="468">
        <f>VLOOKUP(C4,'tosafot '!$C$7:$P$234,14,0)</f>
        <v>328.76</v>
      </c>
      <c r="Q3" s="468">
        <f>VLOOKUP(C4,'tosafot '!$C$7:$Q$234,15,0)</f>
        <v>430.86</v>
      </c>
      <c r="R3" s="469">
        <f>VLOOKUP(C4,'tosafot '!$C$7:$R$234,16,0)</f>
        <v>0.09</v>
      </c>
      <c r="S3" s="532"/>
      <c r="T3" s="444">
        <v>75.260000000000005</v>
      </c>
      <c r="U3" s="444">
        <v>10.56</v>
      </c>
      <c r="V3" s="444">
        <v>353.75</v>
      </c>
      <c r="W3" s="453">
        <v>0.2</v>
      </c>
      <c r="X3" s="444">
        <v>51.09</v>
      </c>
      <c r="Y3" s="453">
        <v>7.4999999999999997E-2</v>
      </c>
      <c r="Z3" s="444">
        <v>22.5</v>
      </c>
      <c r="AA3" s="444">
        <v>10.26</v>
      </c>
      <c r="AB3" s="452">
        <f>VLOOKUP($C$4,$S$7:$AJ$234,AB1,0)</f>
        <v>437.73</v>
      </c>
      <c r="AC3" s="449">
        <v>353.75</v>
      </c>
      <c r="AD3" s="447">
        <v>0.3</v>
      </c>
      <c r="AE3" s="452">
        <v>40.83</v>
      </c>
      <c r="AF3" s="452">
        <v>61.32</v>
      </c>
      <c r="AG3" s="452">
        <v>20.62</v>
      </c>
      <c r="AH3" s="452">
        <f>+'MANMASH 2022'!E1</f>
        <v>0</v>
      </c>
      <c r="AI3" s="452">
        <f>VLOOKUP($C$4,$S$7:$AJ$234,AI1,0)</f>
        <v>0</v>
      </c>
      <c r="AJ3" s="452">
        <f>VLOOKUP($C$4,$S$7:$AJ$234,AJ1,0)</f>
        <v>0</v>
      </c>
      <c r="AK3" s="452">
        <f>VLOOKUP($C$4,$S$7:$AK$234,AK1,0)</f>
        <v>0</v>
      </c>
      <c r="AL3" s="452"/>
      <c r="AM3" s="455">
        <f>+'MANMASH 2010'!G2</f>
        <v>0</v>
      </c>
      <c r="AN3" s="456"/>
      <c r="AO3" s="456">
        <v>0.1</v>
      </c>
      <c r="AP3" s="443">
        <v>480.1</v>
      </c>
      <c r="AQ3" s="443">
        <f>+'5539 MEMUNE'!P4</f>
        <v>0</v>
      </c>
      <c r="AR3" s="504"/>
      <c r="AS3" s="478">
        <v>257.37</v>
      </c>
      <c r="AT3" s="478">
        <v>191.57</v>
      </c>
      <c r="AU3" s="478"/>
      <c r="AV3" s="477">
        <v>0</v>
      </c>
      <c r="AW3" s="477"/>
      <c r="AX3" s="477"/>
      <c r="AY3" s="478">
        <v>303.18</v>
      </c>
      <c r="AZ3" s="476"/>
      <c r="BA3" s="501">
        <v>23.57</v>
      </c>
      <c r="BB3" s="501"/>
      <c r="BC3" s="501">
        <v>237.16</v>
      </c>
      <c r="BD3" s="501">
        <v>1222.49</v>
      </c>
      <c r="BE3" s="512">
        <v>0.2</v>
      </c>
      <c r="BF3" s="504"/>
      <c r="BG3" s="501">
        <v>16.66</v>
      </c>
      <c r="BH3" s="501">
        <v>1414.05</v>
      </c>
      <c r="BI3" s="501">
        <v>19.170000000000002</v>
      </c>
      <c r="BJ3" s="498">
        <v>7.4999999999999997E-2</v>
      </c>
      <c r="BK3" s="526">
        <v>5.5</v>
      </c>
      <c r="BL3" s="501"/>
      <c r="BM3" s="517">
        <v>0.16200000000000001</v>
      </c>
      <c r="BN3" s="517"/>
      <c r="BO3" s="498"/>
      <c r="BP3" s="500"/>
      <c r="BQ3" s="500"/>
      <c r="BR3" s="498">
        <v>0.22</v>
      </c>
      <c r="BS3" s="498"/>
      <c r="BT3" s="477">
        <f>+'5268 LIVUI ORHIM'!P4</f>
        <v>0</v>
      </c>
      <c r="BU3" s="485"/>
      <c r="BV3" s="487">
        <v>158.63</v>
      </c>
      <c r="BW3" s="491">
        <v>4.4999999999999998E-2</v>
      </c>
      <c r="BX3" s="487">
        <v>405.18</v>
      </c>
      <c r="BY3" s="78">
        <f>IF(C4&lt;109,0,IF(C4&lt;121,0.94%,IF(C4&lt;132,2.44%,3.94%)))</f>
        <v>0</v>
      </c>
      <c r="BZ3" s="493">
        <v>19.170000000000002</v>
      </c>
      <c r="CA3" s="496">
        <v>0.3</v>
      </c>
      <c r="CB3" s="496"/>
      <c r="CC3" s="486">
        <v>424</v>
      </c>
      <c r="CD3" s="507"/>
      <c r="CE3" s="486"/>
      <c r="CF3" s="486">
        <v>490.8</v>
      </c>
      <c r="CG3" s="486">
        <f>+'tos reforma 4147'!F2</f>
        <v>576</v>
      </c>
      <c r="CH3" s="506">
        <f>VLOOKUP(C4,CD7:CH234,5,0)</f>
        <v>0</v>
      </c>
      <c r="CI3" s="506">
        <f>VLOOKUP(C4,CD7:CX234,6,0)</f>
        <v>0</v>
      </c>
      <c r="CJ3" s="506">
        <v>0.08</v>
      </c>
      <c r="CK3" s="486">
        <v>286.63</v>
      </c>
      <c r="CL3" s="486">
        <f>+CL6</f>
        <v>546.33000000000004</v>
      </c>
      <c r="CM3" s="209" t="b">
        <f>IF('Netunei Gimlai'!G98=TRUE,IF(C2=43,180,IF(C2=44,135,IF(C2=45,90,IF(C2=46,45,0)))))</f>
        <v>0</v>
      </c>
      <c r="CN3" s="6">
        <f>+'tos kibutzi'!H4</f>
        <v>3.5999999999999997E-2</v>
      </c>
      <c r="CO3" s="5">
        <f>+CO6</f>
        <v>0.08</v>
      </c>
      <c r="CP3" s="6">
        <f>+'tos kibutzi'!K1</f>
        <v>0</v>
      </c>
      <c r="CQ3" s="106">
        <v>0.1</v>
      </c>
      <c r="CR3" s="192">
        <v>442.28</v>
      </c>
      <c r="CS3" s="192">
        <v>1414</v>
      </c>
      <c r="CT3" s="192">
        <v>328.76</v>
      </c>
      <c r="CU3" s="429">
        <v>181</v>
      </c>
      <c r="CV3" s="428">
        <v>362</v>
      </c>
      <c r="CW3" s="430">
        <v>904.99</v>
      </c>
      <c r="CX3" s="419">
        <f>IF('Netunei Gimlai'!G80=TRUE,'Netunei Gimlai'!H80,0)</f>
        <v>0</v>
      </c>
      <c r="CY3" s="209">
        <v>203.92</v>
      </c>
      <c r="CZ3" s="209">
        <f>IF(MISRAD!BP2=1,IF('Netunei Gimlai'!G93=TRUE,'Netunei Gimlai'!J93,0),0)</f>
        <v>0</v>
      </c>
      <c r="DA3" s="12"/>
      <c r="DB3" s="12"/>
      <c r="DC3" s="12">
        <v>0.1</v>
      </c>
      <c r="DD3" s="84">
        <v>0.08</v>
      </c>
      <c r="DE3" s="106">
        <v>0.1</v>
      </c>
      <c r="DF3" s="2">
        <f>IF('Netunei Gimlai'!G87=TRUE,'GMUL MINHAL'!D4,IF('Netunei Gimlai'!G88=TRUE,'GMUL MINHAL'!D5,IF('Netunei Gimlai'!G89=TRUE,'GMUL MINHAL'!D6,0)))</f>
        <v>0</v>
      </c>
      <c r="DG3" s="209">
        <f>IF('Netunei Gimlai'!G104=TRUE,MAOF!C1,0)</f>
        <v>0</v>
      </c>
      <c r="DH3" s="2"/>
      <c r="DI3" s="106">
        <v>0.15</v>
      </c>
      <c r="DK3" s="2">
        <v>500</v>
      </c>
      <c r="DL3" s="2">
        <v>300</v>
      </c>
      <c r="DP3" s="6">
        <f>+'tos kibutzi'!L4</f>
        <v>2.2499999999999999E-2</v>
      </c>
      <c r="DQ3" s="2">
        <v>39.42</v>
      </c>
      <c r="DR3" s="2">
        <v>546.33000000000004</v>
      </c>
      <c r="DT3" s="2"/>
      <c r="DU3" s="84"/>
      <c r="DV3" s="2">
        <v>720</v>
      </c>
      <c r="DY3" s="265">
        <v>405.18</v>
      </c>
      <c r="DZ3" s="6">
        <v>3.9399999999999998E-2</v>
      </c>
      <c r="EA3" s="2">
        <f>+'heskem 2023'!C6</f>
        <v>0</v>
      </c>
      <c r="EB3" s="6">
        <f>VLOOKUP($C$4,DT7:EB234,9,0)</f>
        <v>0</v>
      </c>
    </row>
    <row r="4" spans="1:132" ht="15" thickBot="1">
      <c r="B4" s="126" t="s">
        <v>9</v>
      </c>
      <c r="C4" s="18">
        <f>+'Netunei Gimlai'!$B$6</f>
        <v>1</v>
      </c>
      <c r="D4" s="9"/>
      <c r="F4" s="290"/>
      <c r="G4" s="290"/>
      <c r="H4" s="290"/>
      <c r="I4" s="291"/>
      <c r="J4" s="290"/>
      <c r="K4" s="290"/>
      <c r="L4">
        <v>31</v>
      </c>
      <c r="M4">
        <v>4624</v>
      </c>
      <c r="N4">
        <v>4643</v>
      </c>
      <c r="O4" s="467">
        <v>667</v>
      </c>
      <c r="P4" s="326">
        <v>897</v>
      </c>
      <c r="Q4" s="326">
        <v>897</v>
      </c>
      <c r="R4" s="466">
        <v>897</v>
      </c>
      <c r="T4" s="434">
        <v>600</v>
      </c>
      <c r="U4" s="434">
        <v>626</v>
      </c>
      <c r="V4" s="434">
        <v>636</v>
      </c>
      <c r="W4" s="434">
        <v>659</v>
      </c>
      <c r="X4" s="434">
        <v>669</v>
      </c>
      <c r="Y4" s="434">
        <v>697</v>
      </c>
      <c r="Z4" s="434">
        <v>728</v>
      </c>
      <c r="AA4" s="434">
        <v>733</v>
      </c>
      <c r="AB4" s="434">
        <v>736</v>
      </c>
      <c r="AC4" s="448">
        <v>764</v>
      </c>
      <c r="AD4" s="434">
        <v>798</v>
      </c>
      <c r="AE4" s="434">
        <v>956</v>
      </c>
      <c r="AF4" s="434">
        <v>957</v>
      </c>
      <c r="AG4" s="434">
        <v>959</v>
      </c>
      <c r="AH4" s="434">
        <v>1063</v>
      </c>
      <c r="AI4" s="434">
        <v>1082</v>
      </c>
      <c r="AJ4" s="434">
        <v>1096</v>
      </c>
      <c r="AK4" s="434">
        <v>1233</v>
      </c>
      <c r="AL4" s="434">
        <v>4120</v>
      </c>
      <c r="AM4" s="457">
        <v>5216</v>
      </c>
      <c r="AN4" s="458"/>
      <c r="AO4" s="454">
        <v>5216</v>
      </c>
      <c r="AP4" s="535">
        <v>5340</v>
      </c>
      <c r="AQ4" s="535">
        <v>5539</v>
      </c>
      <c r="AR4" s="476"/>
      <c r="AS4" s="476">
        <v>628</v>
      </c>
      <c r="AT4" s="476">
        <v>630</v>
      </c>
      <c r="AU4" s="476">
        <v>642</v>
      </c>
      <c r="AV4" s="476">
        <v>657</v>
      </c>
      <c r="AW4" s="476">
        <v>658</v>
      </c>
      <c r="AX4" s="476">
        <v>678</v>
      </c>
      <c r="AY4" s="476">
        <v>681</v>
      </c>
      <c r="AZ4" s="476">
        <v>756</v>
      </c>
      <c r="BA4" s="476">
        <v>768</v>
      </c>
      <c r="BB4" s="476">
        <v>805</v>
      </c>
      <c r="BC4" s="476">
        <v>809</v>
      </c>
      <c r="BD4" s="476">
        <v>853</v>
      </c>
      <c r="BE4" s="476">
        <v>858</v>
      </c>
      <c r="BF4" s="476">
        <v>875</v>
      </c>
      <c r="BG4" s="476">
        <v>883</v>
      </c>
      <c r="BH4" s="476">
        <v>907</v>
      </c>
      <c r="BI4" s="476">
        <v>918</v>
      </c>
      <c r="BJ4" s="476">
        <v>920</v>
      </c>
      <c r="BK4" s="476">
        <v>1297</v>
      </c>
      <c r="BL4" s="476">
        <v>1358</v>
      </c>
      <c r="BM4" s="476">
        <v>4169</v>
      </c>
      <c r="BN4" s="476">
        <v>4173</v>
      </c>
      <c r="BO4" s="476">
        <v>4406</v>
      </c>
      <c r="BP4" s="476">
        <v>4453</v>
      </c>
      <c r="BQ4" s="476">
        <v>4651</v>
      </c>
      <c r="BR4" s="476">
        <v>4687</v>
      </c>
      <c r="BS4" s="476">
        <v>4935</v>
      </c>
      <c r="BT4" s="476">
        <v>5268</v>
      </c>
      <c r="BU4" s="485"/>
      <c r="BV4" s="485">
        <v>705</v>
      </c>
      <c r="BW4" s="485">
        <v>735</v>
      </c>
      <c r="BX4" s="485">
        <v>737</v>
      </c>
      <c r="BY4">
        <v>738</v>
      </c>
      <c r="BZ4" s="485">
        <v>739</v>
      </c>
      <c r="CA4" s="485">
        <v>741</v>
      </c>
      <c r="CB4" s="485">
        <v>808</v>
      </c>
      <c r="CC4" s="485">
        <v>1389</v>
      </c>
      <c r="CD4" s="485"/>
      <c r="CE4" s="485">
        <v>1961</v>
      </c>
      <c r="CF4" s="485">
        <v>1967</v>
      </c>
      <c r="CG4" s="485">
        <v>4147</v>
      </c>
      <c r="CH4" s="508">
        <v>4220</v>
      </c>
      <c r="CI4" s="485">
        <v>4221</v>
      </c>
      <c r="CJ4" s="485">
        <v>4932</v>
      </c>
      <c r="CK4" s="508">
        <v>5251</v>
      </c>
      <c r="CL4" s="509" t="s">
        <v>1433</v>
      </c>
      <c r="CM4">
        <v>955</v>
      </c>
      <c r="CN4">
        <v>4544</v>
      </c>
      <c r="CO4">
        <v>1053</v>
      </c>
      <c r="CP4">
        <v>1054</v>
      </c>
      <c r="CQ4">
        <v>1615</v>
      </c>
      <c r="CR4">
        <v>1619</v>
      </c>
      <c r="CS4">
        <v>1657</v>
      </c>
      <c r="CT4">
        <v>1951</v>
      </c>
      <c r="CU4" s="425">
        <v>5270</v>
      </c>
      <c r="CV4" s="421"/>
      <c r="CW4" s="427"/>
      <c r="CX4">
        <v>4180</v>
      </c>
      <c r="CY4">
        <v>4244</v>
      </c>
      <c r="CZ4">
        <v>4318</v>
      </c>
      <c r="DA4">
        <v>4319</v>
      </c>
      <c r="DB4">
        <v>4427</v>
      </c>
      <c r="DC4">
        <v>4428</v>
      </c>
      <c r="DD4">
        <v>4374</v>
      </c>
      <c r="DE4">
        <v>4658</v>
      </c>
      <c r="DF4" s="372" t="s">
        <v>5092</v>
      </c>
      <c r="DG4" s="372">
        <v>5244</v>
      </c>
      <c r="DH4">
        <v>5254</v>
      </c>
      <c r="DI4">
        <v>5287</v>
      </c>
      <c r="DK4" s="372">
        <v>5536</v>
      </c>
      <c r="DL4" s="372">
        <v>5548</v>
      </c>
      <c r="DP4">
        <v>1057</v>
      </c>
      <c r="DQ4">
        <v>927</v>
      </c>
      <c r="DR4">
        <v>1062</v>
      </c>
      <c r="DU4">
        <v>4634</v>
      </c>
      <c r="DV4">
        <v>2086</v>
      </c>
      <c r="DW4" s="1" t="s">
        <v>1435</v>
      </c>
      <c r="DX4" t="s">
        <v>1436</v>
      </c>
      <c r="DY4">
        <v>2028</v>
      </c>
      <c r="DZ4">
        <v>2029</v>
      </c>
      <c r="EA4" t="s">
        <v>1428</v>
      </c>
      <c r="EB4">
        <v>5533</v>
      </c>
    </row>
    <row r="5" spans="1:132" s="3" customFormat="1" ht="44.4" thickTop="1" thickBot="1">
      <c r="A5" s="3" t="s">
        <v>651</v>
      </c>
      <c r="B5" s="256" t="s">
        <v>9</v>
      </c>
      <c r="C5" s="3" t="s">
        <v>49</v>
      </c>
      <c r="D5" s="256" t="s">
        <v>652</v>
      </c>
      <c r="E5" s="3" t="s">
        <v>653</v>
      </c>
      <c r="F5" s="292" t="s">
        <v>654</v>
      </c>
      <c r="G5" s="293" t="s">
        <v>655</v>
      </c>
      <c r="H5" s="293" t="s">
        <v>656</v>
      </c>
      <c r="I5" s="294" t="s">
        <v>657</v>
      </c>
      <c r="J5" s="294" t="s">
        <v>1188</v>
      </c>
      <c r="K5" s="296" t="s">
        <v>1221</v>
      </c>
      <c r="L5" s="140" t="s">
        <v>69</v>
      </c>
      <c r="M5" s="140" t="s">
        <v>70</v>
      </c>
      <c r="N5" s="140" t="s">
        <v>1016</v>
      </c>
      <c r="O5" s="470" t="s">
        <v>71</v>
      </c>
      <c r="P5" s="471" t="s">
        <v>5259</v>
      </c>
      <c r="Q5" s="471" t="s">
        <v>1189</v>
      </c>
      <c r="R5" s="472" t="s">
        <v>5260</v>
      </c>
      <c r="S5" s="445" t="s">
        <v>49</v>
      </c>
      <c r="T5" s="445" t="s">
        <v>803</v>
      </c>
      <c r="U5" s="445" t="s">
        <v>1200</v>
      </c>
      <c r="V5" s="445" t="s">
        <v>94</v>
      </c>
      <c r="W5" s="445" t="s">
        <v>5342</v>
      </c>
      <c r="X5" s="445" t="s">
        <v>1199</v>
      </c>
      <c r="Y5" s="445" t="s">
        <v>1420</v>
      </c>
      <c r="Z5" s="445" t="s">
        <v>1201</v>
      </c>
      <c r="AA5" s="445" t="s">
        <v>5797</v>
      </c>
      <c r="AB5" s="445" t="s">
        <v>5353</v>
      </c>
      <c r="AC5" s="450" t="s">
        <v>20</v>
      </c>
      <c r="AD5" s="445" t="s">
        <v>11</v>
      </c>
      <c r="AE5" s="445" t="s">
        <v>5196</v>
      </c>
      <c r="AF5" s="445" t="s">
        <v>1557</v>
      </c>
      <c r="AG5" s="445" t="s">
        <v>5196</v>
      </c>
      <c r="AH5" s="445" t="s">
        <v>23</v>
      </c>
      <c r="AI5" s="445" t="s">
        <v>5783</v>
      </c>
      <c r="AJ5" s="445" t="s">
        <v>5345</v>
      </c>
      <c r="AK5" s="445" t="s">
        <v>5782</v>
      </c>
      <c r="AL5" s="445" t="s">
        <v>1016</v>
      </c>
      <c r="AM5" s="450" t="s">
        <v>1205</v>
      </c>
      <c r="AN5" s="459" t="s">
        <v>1206</v>
      </c>
      <c r="AO5" s="459" t="s">
        <v>20</v>
      </c>
      <c r="AP5" s="445" t="s">
        <v>73</v>
      </c>
      <c r="AQ5" s="445" t="s">
        <v>3232</v>
      </c>
      <c r="AR5" s="479" t="s">
        <v>49</v>
      </c>
      <c r="AS5" s="479" t="s">
        <v>807</v>
      </c>
      <c r="AT5" s="479" t="s">
        <v>1408</v>
      </c>
      <c r="AU5" s="479" t="s">
        <v>5791</v>
      </c>
      <c r="AV5" s="479" t="s">
        <v>5161</v>
      </c>
      <c r="AW5" s="479" t="s">
        <v>68</v>
      </c>
      <c r="AX5" s="479" t="s">
        <v>1294</v>
      </c>
      <c r="AY5" s="479" t="s">
        <v>5164</v>
      </c>
      <c r="AZ5" s="479" t="s">
        <v>5070</v>
      </c>
      <c r="BA5" s="479" t="s">
        <v>3398</v>
      </c>
      <c r="BB5" s="479" t="s">
        <v>868</v>
      </c>
      <c r="BC5" s="479" t="s">
        <v>5167</v>
      </c>
      <c r="BD5" s="479" t="s">
        <v>5173</v>
      </c>
      <c r="BE5" s="479" t="s">
        <v>855</v>
      </c>
      <c r="BF5" s="479" t="s">
        <v>879</v>
      </c>
      <c r="BG5" s="479" t="s">
        <v>1536</v>
      </c>
      <c r="BH5" s="479" t="s">
        <v>5176</v>
      </c>
      <c r="BI5" s="479" t="s">
        <v>1332</v>
      </c>
      <c r="BJ5" s="479" t="s">
        <v>896</v>
      </c>
      <c r="BK5" s="479" t="s">
        <v>4385</v>
      </c>
      <c r="BL5" s="479" t="s">
        <v>5140</v>
      </c>
      <c r="BM5" s="479" t="s">
        <v>5206</v>
      </c>
      <c r="BN5" s="479" t="s">
        <v>1294</v>
      </c>
      <c r="BO5" s="479" t="s">
        <v>5209</v>
      </c>
      <c r="BP5" s="479" t="s">
        <v>989</v>
      </c>
      <c r="BQ5" s="479" t="s">
        <v>954</v>
      </c>
      <c r="BR5" s="479" t="s">
        <v>5212</v>
      </c>
      <c r="BS5" s="479" t="s">
        <v>1030</v>
      </c>
      <c r="BT5" s="479" t="s">
        <v>5149</v>
      </c>
      <c r="BU5" s="488" t="s">
        <v>49</v>
      </c>
      <c r="BV5" s="488" t="s">
        <v>25</v>
      </c>
      <c r="BW5" s="488" t="s">
        <v>5086</v>
      </c>
      <c r="BX5" s="488" t="s">
        <v>1364</v>
      </c>
      <c r="BY5" s="140" t="s">
        <v>1376</v>
      </c>
      <c r="BZ5" s="488" t="s">
        <v>1332</v>
      </c>
      <c r="CA5" s="488" t="s">
        <v>27</v>
      </c>
      <c r="CB5" s="488" t="s">
        <v>1319</v>
      </c>
      <c r="CC5" s="488" t="s">
        <v>1588</v>
      </c>
      <c r="CD5" s="488" t="s">
        <v>49</v>
      </c>
      <c r="CE5" s="488" t="s">
        <v>36</v>
      </c>
      <c r="CF5" s="488" t="s">
        <v>36</v>
      </c>
      <c r="CG5" s="488" t="s">
        <v>35</v>
      </c>
      <c r="CH5" s="488" t="s">
        <v>5068</v>
      </c>
      <c r="CI5" s="488" t="s">
        <v>5069</v>
      </c>
      <c r="CJ5" s="488" t="s">
        <v>5213</v>
      </c>
      <c r="CK5" s="488" t="s">
        <v>1718</v>
      </c>
      <c r="CL5" s="488" t="s">
        <v>78</v>
      </c>
      <c r="CM5" s="140" t="s">
        <v>5275</v>
      </c>
      <c r="CN5" s="140" t="s">
        <v>75</v>
      </c>
      <c r="CO5" s="140" t="s">
        <v>38</v>
      </c>
      <c r="CP5" s="140" t="s">
        <v>76</v>
      </c>
      <c r="CQ5" s="140" t="s">
        <v>2380</v>
      </c>
      <c r="CR5" s="140" t="s">
        <v>931</v>
      </c>
      <c r="CS5" s="140" t="s">
        <v>985</v>
      </c>
      <c r="CT5" s="140" t="s">
        <v>1629</v>
      </c>
      <c r="CU5" s="432" t="s">
        <v>1190</v>
      </c>
      <c r="CV5" s="431" t="s">
        <v>1191</v>
      </c>
      <c r="CW5" s="433" t="s">
        <v>1192</v>
      </c>
      <c r="CX5" s="140" t="s">
        <v>961</v>
      </c>
      <c r="CY5" s="140" t="s">
        <v>5274</v>
      </c>
      <c r="CZ5" s="140" t="s">
        <v>5266</v>
      </c>
      <c r="DA5" s="140" t="s">
        <v>5262</v>
      </c>
      <c r="DB5" s="140" t="s">
        <v>5269</v>
      </c>
      <c r="DC5" s="140" t="s">
        <v>2625</v>
      </c>
      <c r="DD5" s="140" t="s">
        <v>973</v>
      </c>
      <c r="DE5" s="140" t="s">
        <v>1661</v>
      </c>
      <c r="DF5" s="140" t="s">
        <v>74</v>
      </c>
      <c r="DG5" s="140" t="s">
        <v>1717</v>
      </c>
      <c r="DH5" s="140" t="s">
        <v>78</v>
      </c>
      <c r="DI5" s="140" t="s">
        <v>1724</v>
      </c>
      <c r="DK5" s="140" t="s">
        <v>5153</v>
      </c>
      <c r="DL5" s="140" t="s">
        <v>5155</v>
      </c>
      <c r="DM5" s="140" t="s">
        <v>8</v>
      </c>
      <c r="DN5" s="140" t="s">
        <v>10</v>
      </c>
      <c r="DO5" s="140" t="s">
        <v>19</v>
      </c>
      <c r="DP5" s="140" t="s">
        <v>77</v>
      </c>
      <c r="DQ5" s="140" t="s">
        <v>34</v>
      </c>
      <c r="DR5" s="140" t="s">
        <v>78</v>
      </c>
      <c r="DT5" s="140" t="s">
        <v>49</v>
      </c>
      <c r="DU5" s="140" t="s">
        <v>1016</v>
      </c>
      <c r="DV5" s="140" t="s">
        <v>23</v>
      </c>
      <c r="DW5" s="140" t="s">
        <v>79</v>
      </c>
      <c r="DX5" s="140" t="s">
        <v>80</v>
      </c>
      <c r="DY5" s="140" t="s">
        <v>30</v>
      </c>
      <c r="DZ5" s="140" t="s">
        <v>81</v>
      </c>
      <c r="EA5" s="139" t="s">
        <v>82</v>
      </c>
      <c r="EB5" s="139" t="s">
        <v>1366</v>
      </c>
    </row>
    <row r="6" spans="1:132" s="3" customFormat="1" ht="15" thickTop="1">
      <c r="B6" s="256">
        <v>12.200699999999999</v>
      </c>
      <c r="D6" s="256"/>
      <c r="F6"/>
      <c r="G6"/>
      <c r="H6"/>
      <c r="I6" s="248">
        <v>102.5</v>
      </c>
      <c r="J6" s="257"/>
      <c r="K6" s="297"/>
      <c r="L6" s="252">
        <v>300</v>
      </c>
      <c r="M6" s="263"/>
      <c r="N6" s="263"/>
      <c r="O6" s="473">
        <v>328.76</v>
      </c>
      <c r="P6" s="474">
        <v>328.76</v>
      </c>
      <c r="Q6" s="474">
        <v>430.86</v>
      </c>
      <c r="R6" s="475">
        <v>0.09</v>
      </c>
      <c r="S6" s="463"/>
      <c r="T6" s="460">
        <v>75.260000000000005</v>
      </c>
      <c r="U6" s="460">
        <v>10.56</v>
      </c>
      <c r="V6" s="460">
        <v>353.76</v>
      </c>
      <c r="W6" s="460"/>
      <c r="X6" s="254">
        <v>51.09</v>
      </c>
      <c r="Y6" s="461">
        <v>7.4999999999999997E-2</v>
      </c>
      <c r="Z6" s="460">
        <v>22.5</v>
      </c>
      <c r="AA6" s="460">
        <v>10.26</v>
      </c>
      <c r="AB6" s="460">
        <v>437.73</v>
      </c>
      <c r="AC6" s="462">
        <v>353.75</v>
      </c>
      <c r="AD6" s="463">
        <v>0.3</v>
      </c>
      <c r="AE6" s="460">
        <v>40.83</v>
      </c>
      <c r="AF6" s="460">
        <v>61.32</v>
      </c>
      <c r="AG6" s="460">
        <v>20.62</v>
      </c>
      <c r="AH6" s="460"/>
      <c r="AI6" s="460"/>
      <c r="AJ6" s="460"/>
      <c r="AK6" s="460"/>
      <c r="AL6" s="253"/>
      <c r="AM6" s="273">
        <v>0</v>
      </c>
      <c r="AN6" s="255">
        <v>0</v>
      </c>
      <c r="AO6" s="160">
        <v>0</v>
      </c>
      <c r="AP6" s="536">
        <v>480.1</v>
      </c>
      <c r="AQ6" s="536"/>
      <c r="AR6" s="504"/>
      <c r="AS6" s="480"/>
      <c r="AT6" s="480"/>
      <c r="AU6" s="480"/>
      <c r="AV6" s="480"/>
      <c r="AW6" s="480"/>
      <c r="AX6" s="480"/>
      <c r="AY6" s="480"/>
      <c r="AZ6" s="499"/>
      <c r="BA6" s="502"/>
      <c r="BB6" s="502"/>
      <c r="BC6" s="510"/>
      <c r="BD6" s="503"/>
      <c r="BE6" s="503"/>
      <c r="BF6" s="503">
        <v>0.22</v>
      </c>
      <c r="BG6" s="503"/>
      <c r="BH6" s="503"/>
      <c r="BI6" s="503"/>
      <c r="BJ6" s="503"/>
      <c r="BK6" s="503"/>
      <c r="BL6" s="499"/>
      <c r="BM6" s="511"/>
      <c r="BN6" s="511"/>
      <c r="BO6" s="511"/>
      <c r="BP6" s="511"/>
      <c r="BQ6" s="511"/>
      <c r="BR6" s="511"/>
      <c r="BS6" s="391"/>
      <c r="BT6" s="252"/>
      <c r="BU6" s="524"/>
      <c r="BV6" s="489"/>
      <c r="BW6" s="254"/>
      <c r="BX6" s="254"/>
      <c r="BY6" s="254"/>
      <c r="BZ6" s="494"/>
      <c r="CA6" s="497"/>
      <c r="CB6" s="497"/>
      <c r="CC6" s="497"/>
      <c r="CD6" s="241">
        <f t="shared" ref="CD6:CD69" si="0">+C6</f>
        <v>0</v>
      </c>
      <c r="CE6" s="2"/>
      <c r="CF6" s="2">
        <v>490.8</v>
      </c>
      <c r="CG6" s="2"/>
      <c r="CH6" s="2"/>
      <c r="CI6" s="2"/>
      <c r="CJ6" s="391"/>
      <c r="CK6" s="252"/>
      <c r="CL6" s="252">
        <v>546.33000000000004</v>
      </c>
      <c r="CN6" s="264"/>
      <c r="CO6" s="253">
        <v>0.08</v>
      </c>
      <c r="CU6" s="266">
        <f t="shared" ref="CU6:CU69" si="1">+$CU$3</f>
        <v>181</v>
      </c>
      <c r="CV6" s="267">
        <f t="shared" ref="CV6:CV69" si="2">+$CV$3</f>
        <v>362</v>
      </c>
      <c r="CW6" s="268">
        <f t="shared" ref="CW6:CW69" si="3">+$CW$3</f>
        <v>904.99</v>
      </c>
      <c r="CX6" s="418">
        <v>184</v>
      </c>
      <c r="CY6" s="398">
        <v>203.92</v>
      </c>
      <c r="CZ6" s="398"/>
      <c r="DA6" s="391"/>
      <c r="DB6" s="391"/>
      <c r="DC6" s="262"/>
      <c r="DD6" s="391"/>
      <c r="DE6" s="391"/>
      <c r="DF6" s="252">
        <f>+DF3</f>
        <v>0</v>
      </c>
      <c r="DG6" s="252"/>
      <c r="DH6" s="252">
        <v>489.06</v>
      </c>
      <c r="DI6" s="252"/>
      <c r="DK6" s="252"/>
      <c r="DL6" s="252"/>
      <c r="DP6" s="262">
        <v>0</v>
      </c>
      <c r="DQ6" s="252">
        <v>39.42</v>
      </c>
      <c r="DR6" s="3">
        <v>546.33000000000004</v>
      </c>
      <c r="DT6" s="241">
        <f t="shared" ref="DT6:DT69" si="4">+C6</f>
        <v>0</v>
      </c>
      <c r="DU6" s="2"/>
      <c r="DV6" s="252">
        <v>720</v>
      </c>
      <c r="DY6" s="252">
        <v>405.18</v>
      </c>
      <c r="DZ6" s="264">
        <v>3.9399999999999998E-2</v>
      </c>
      <c r="EA6" s="252">
        <v>0</v>
      </c>
      <c r="EB6" s="253">
        <v>0</v>
      </c>
    </row>
    <row r="7" spans="1:132">
      <c r="A7">
        <v>1</v>
      </c>
      <c r="B7" s="9">
        <v>1.2008000000000001</v>
      </c>
      <c r="C7">
        <v>1</v>
      </c>
      <c r="D7" s="9"/>
      <c r="I7" s="248">
        <v>102.5</v>
      </c>
      <c r="J7" s="258">
        <f t="shared" ref="J7:J70" si="5">+I7/I6-1</f>
        <v>0</v>
      </c>
      <c r="K7" s="298"/>
      <c r="L7" s="252">
        <v>300</v>
      </c>
      <c r="O7" s="473">
        <v>328.76</v>
      </c>
      <c r="P7" s="474">
        <v>328.76</v>
      </c>
      <c r="Q7" s="474">
        <v>430.86</v>
      </c>
      <c r="R7" s="475">
        <v>0.09</v>
      </c>
      <c r="S7" s="533">
        <f>+C7</f>
        <v>1</v>
      </c>
      <c r="T7" s="460">
        <v>75.260000000000005</v>
      </c>
      <c r="U7" s="460">
        <v>10.56</v>
      </c>
      <c r="V7" s="460">
        <v>353.76</v>
      </c>
      <c r="W7" s="460"/>
      <c r="X7" s="254">
        <v>51.09</v>
      </c>
      <c r="Y7" s="461">
        <v>7.4999999999999997E-2</v>
      </c>
      <c r="Z7" s="460">
        <v>22.5</v>
      </c>
      <c r="AA7" s="460">
        <v>10.26</v>
      </c>
      <c r="AB7" s="460">
        <v>437.73</v>
      </c>
      <c r="AC7" s="462">
        <v>353.75</v>
      </c>
      <c r="AD7" s="463">
        <v>0.3</v>
      </c>
      <c r="AE7" s="460">
        <v>40.83</v>
      </c>
      <c r="AF7" s="460">
        <v>61.32</v>
      </c>
      <c r="AG7" s="460">
        <v>20.62</v>
      </c>
      <c r="AH7" s="460"/>
      <c r="AI7" s="460"/>
      <c r="AJ7" s="460"/>
      <c r="AK7" s="460"/>
      <c r="AL7" s="253"/>
      <c r="AM7" s="273">
        <v>0</v>
      </c>
      <c r="AN7" s="255">
        <v>0</v>
      </c>
      <c r="AO7" s="160">
        <v>0</v>
      </c>
      <c r="AP7" s="536">
        <v>480.1</v>
      </c>
      <c r="AQ7" s="536"/>
      <c r="AR7" s="505">
        <f>+C7</f>
        <v>1</v>
      </c>
      <c r="AS7" s="480">
        <v>257.37</v>
      </c>
      <c r="AT7" s="480">
        <v>191.57</v>
      </c>
      <c r="AU7" s="480"/>
      <c r="AV7" s="480"/>
      <c r="AW7" s="480"/>
      <c r="AX7" s="480"/>
      <c r="AY7" s="480">
        <v>303.18</v>
      </c>
      <c r="AZ7" s="499" t="s">
        <v>5323</v>
      </c>
      <c r="BA7" s="502">
        <v>23.57</v>
      </c>
      <c r="BB7" s="502">
        <v>95.8</v>
      </c>
      <c r="BC7" s="510">
        <v>237.16</v>
      </c>
      <c r="BD7" s="510">
        <v>1222.49</v>
      </c>
      <c r="BE7" s="504">
        <v>0.2</v>
      </c>
      <c r="BF7" s="503">
        <v>0.22</v>
      </c>
      <c r="BG7" s="502">
        <v>16.66</v>
      </c>
      <c r="BH7" s="502">
        <v>1414.05</v>
      </c>
      <c r="BI7" s="502">
        <v>19.170000000000002</v>
      </c>
      <c r="BJ7" s="516">
        <v>7.4999999999999997E-2</v>
      </c>
      <c r="BK7" s="525">
        <v>5.5</v>
      </c>
      <c r="BL7" s="510">
        <v>152.94999999999999</v>
      </c>
      <c r="BM7" s="511">
        <v>0.16200000000000001</v>
      </c>
      <c r="BN7" s="511"/>
      <c r="BO7" s="511" t="s">
        <v>5340</v>
      </c>
      <c r="BP7" s="510">
        <v>383</v>
      </c>
      <c r="BQ7" s="511">
        <v>0.15</v>
      </c>
      <c r="BR7" s="511">
        <v>0.22</v>
      </c>
      <c r="BS7" s="252"/>
      <c r="BT7" s="252"/>
      <c r="BU7" s="524">
        <f>+C7</f>
        <v>1</v>
      </c>
      <c r="BV7" s="489">
        <v>158.63</v>
      </c>
      <c r="BW7" s="254"/>
      <c r="BX7" s="254"/>
      <c r="BY7" s="254"/>
      <c r="BZ7" s="494">
        <v>19.170000000000002</v>
      </c>
      <c r="CA7" s="497">
        <v>0.3</v>
      </c>
      <c r="CB7" s="494">
        <v>198.46</v>
      </c>
      <c r="CC7" s="494">
        <v>424</v>
      </c>
      <c r="CD7" s="241">
        <f t="shared" si="0"/>
        <v>1</v>
      </c>
      <c r="CE7" s="2"/>
      <c r="CF7" s="2">
        <v>490.8</v>
      </c>
      <c r="CG7" s="2"/>
      <c r="CH7" s="2"/>
      <c r="CI7" s="2"/>
      <c r="CJ7" s="252"/>
      <c r="CK7" s="252"/>
      <c r="CL7" s="252">
        <v>546.33000000000004</v>
      </c>
      <c r="CM7" s="253"/>
      <c r="CN7" s="6"/>
      <c r="CO7" s="5">
        <v>0.08</v>
      </c>
      <c r="CU7" s="266">
        <f t="shared" si="1"/>
        <v>181</v>
      </c>
      <c r="CV7" s="267">
        <f t="shared" si="2"/>
        <v>362</v>
      </c>
      <c r="CW7" s="268">
        <f t="shared" si="3"/>
        <v>904.99</v>
      </c>
      <c r="CX7" s="418">
        <v>184</v>
      </c>
      <c r="CY7" s="252"/>
      <c r="CZ7" s="252"/>
      <c r="DA7" s="252"/>
      <c r="DB7" s="252"/>
      <c r="DC7" s="252"/>
      <c r="DD7" s="252"/>
      <c r="DE7" s="252"/>
      <c r="DF7" s="252">
        <f>+DF6</f>
        <v>0</v>
      </c>
      <c r="DG7" s="252"/>
      <c r="DH7" s="252">
        <v>489.06</v>
      </c>
      <c r="DI7" s="252"/>
      <c r="DK7" s="252"/>
      <c r="DL7" s="252"/>
      <c r="DP7" s="106">
        <v>0</v>
      </c>
      <c r="DQ7" s="252">
        <v>39.42</v>
      </c>
      <c r="DR7" s="3">
        <v>546.33000000000004</v>
      </c>
      <c r="DT7" s="241">
        <f t="shared" si="4"/>
        <v>1</v>
      </c>
      <c r="DU7" s="2"/>
      <c r="DV7" s="252">
        <v>720</v>
      </c>
      <c r="DY7" s="252">
        <v>405.18</v>
      </c>
      <c r="DZ7" s="264">
        <v>3.9399999999999998E-2</v>
      </c>
      <c r="EA7" s="252">
        <v>0</v>
      </c>
      <c r="EB7" s="253">
        <v>0</v>
      </c>
    </row>
    <row r="8" spans="1:132">
      <c r="A8">
        <v>2</v>
      </c>
      <c r="B8" s="9">
        <v>2.2008000000000001</v>
      </c>
      <c r="C8">
        <v>2</v>
      </c>
      <c r="D8" s="9"/>
      <c r="I8" s="248">
        <v>102.3</v>
      </c>
      <c r="J8" s="258">
        <f t="shared" si="5"/>
        <v>-1.9512195121951237E-3</v>
      </c>
      <c r="K8" s="298"/>
      <c r="L8" s="252">
        <v>300</v>
      </c>
      <c r="M8" s="263"/>
      <c r="N8" s="263"/>
      <c r="O8" s="473">
        <v>328.76</v>
      </c>
      <c r="P8" s="474">
        <v>328.76</v>
      </c>
      <c r="Q8" s="474">
        <v>430.86</v>
      </c>
      <c r="R8" s="475">
        <v>0.09</v>
      </c>
      <c r="S8" s="533">
        <f t="shared" ref="S8:S71" si="6">+C8</f>
        <v>2</v>
      </c>
      <c r="T8" s="460">
        <v>75.260000000000005</v>
      </c>
      <c r="U8" s="460">
        <v>10.56</v>
      </c>
      <c r="V8" s="460">
        <v>353.76</v>
      </c>
      <c r="W8" s="460"/>
      <c r="X8" s="254">
        <v>51.09</v>
      </c>
      <c r="Y8" s="461">
        <v>7.4999999999999997E-2</v>
      </c>
      <c r="Z8" s="460">
        <v>22.5</v>
      </c>
      <c r="AA8" s="460">
        <v>10.26</v>
      </c>
      <c r="AB8" s="460">
        <v>437.73</v>
      </c>
      <c r="AC8" s="462">
        <v>353.75</v>
      </c>
      <c r="AD8" s="463">
        <v>0.3</v>
      </c>
      <c r="AE8" s="460">
        <v>40.83</v>
      </c>
      <c r="AF8" s="460">
        <v>61.32</v>
      </c>
      <c r="AG8" s="460">
        <v>20.62</v>
      </c>
      <c r="AH8" s="460"/>
      <c r="AI8" s="460"/>
      <c r="AJ8" s="460"/>
      <c r="AK8" s="460"/>
      <c r="AL8" s="253"/>
      <c r="AM8" s="273">
        <v>0</v>
      </c>
      <c r="AN8" s="255">
        <v>0</v>
      </c>
      <c r="AO8" s="160">
        <v>0</v>
      </c>
      <c r="AP8" s="536">
        <v>480.1</v>
      </c>
      <c r="AQ8" s="536"/>
      <c r="AR8" s="505">
        <f t="shared" ref="AR8:AR71" si="7">+C8</f>
        <v>2</v>
      </c>
      <c r="AS8" s="480">
        <v>257.37</v>
      </c>
      <c r="AT8" s="480">
        <v>191.57</v>
      </c>
      <c r="AU8" s="480"/>
      <c r="AV8" s="480"/>
      <c r="AW8" s="480"/>
      <c r="AX8" s="480"/>
      <c r="AY8" s="480">
        <v>303.18</v>
      </c>
      <c r="AZ8" s="499" t="s">
        <v>5323</v>
      </c>
      <c r="BA8" s="502">
        <v>23.57</v>
      </c>
      <c r="BB8" s="502">
        <v>95.8</v>
      </c>
      <c r="BC8" s="510">
        <v>237.16</v>
      </c>
      <c r="BD8" s="510">
        <v>1222.49</v>
      </c>
      <c r="BE8" s="504">
        <v>0.2</v>
      </c>
      <c r="BF8" s="503">
        <v>0.22</v>
      </c>
      <c r="BG8" s="502">
        <v>16.66</v>
      </c>
      <c r="BH8" s="502">
        <v>1414.05</v>
      </c>
      <c r="BI8" s="502">
        <v>19.170000000000002</v>
      </c>
      <c r="BJ8" s="516">
        <v>7.4999999999999997E-2</v>
      </c>
      <c r="BK8" s="516"/>
      <c r="BL8" s="510"/>
      <c r="BM8" s="511">
        <v>0.16200000000000001</v>
      </c>
      <c r="BN8" s="511"/>
      <c r="BO8" s="511" t="s">
        <v>5340</v>
      </c>
      <c r="BP8" s="510"/>
      <c r="BQ8" s="511">
        <v>0.15</v>
      </c>
      <c r="BR8" s="511">
        <v>0.22</v>
      </c>
      <c r="BS8" s="252"/>
      <c r="BT8" s="252"/>
      <c r="BU8" s="524">
        <f t="shared" ref="BU8:BU71" si="8">+C8</f>
        <v>2</v>
      </c>
      <c r="BV8" s="489">
        <v>158.63</v>
      </c>
      <c r="BW8" s="254"/>
      <c r="BX8" s="254"/>
      <c r="BY8" s="254"/>
      <c r="BZ8" s="494">
        <v>19.170000000000002</v>
      </c>
      <c r="CA8" s="497">
        <v>0.3</v>
      </c>
      <c r="CB8" s="494">
        <v>198.46</v>
      </c>
      <c r="CC8" s="494">
        <v>424</v>
      </c>
      <c r="CD8" s="241">
        <f t="shared" si="0"/>
        <v>2</v>
      </c>
      <c r="CE8" s="2"/>
      <c r="CF8" s="2">
        <v>490.8</v>
      </c>
      <c r="CG8" s="2"/>
      <c r="CH8" s="2"/>
      <c r="CI8" s="2"/>
      <c r="CJ8" s="252"/>
      <c r="CK8" s="252"/>
      <c r="CL8" s="252">
        <v>546.33000000000004</v>
      </c>
      <c r="CM8" s="253"/>
      <c r="CO8" s="253">
        <v>0.08</v>
      </c>
      <c r="CU8" s="266">
        <f t="shared" si="1"/>
        <v>181</v>
      </c>
      <c r="CV8" s="267">
        <f t="shared" si="2"/>
        <v>362</v>
      </c>
      <c r="CW8" s="268">
        <f t="shared" si="3"/>
        <v>904.99</v>
      </c>
      <c r="CX8" s="418">
        <v>184</v>
      </c>
      <c r="CY8" s="252"/>
      <c r="CZ8" s="252"/>
      <c r="DA8" s="252"/>
      <c r="DB8" s="252"/>
      <c r="DC8" s="252"/>
      <c r="DD8" s="252"/>
      <c r="DE8" s="252"/>
      <c r="DF8" s="252">
        <f t="shared" ref="DF8:DF71" si="9">+DF7</f>
        <v>0</v>
      </c>
      <c r="DG8" s="252"/>
      <c r="DH8" s="252">
        <v>489.06</v>
      </c>
      <c r="DI8" s="252"/>
      <c r="DK8" s="252"/>
      <c r="DL8" s="252"/>
      <c r="DP8" s="262">
        <v>0</v>
      </c>
      <c r="DQ8" s="252">
        <v>39.42</v>
      </c>
      <c r="DR8" s="3">
        <v>546.33000000000004</v>
      </c>
      <c r="DT8" s="241">
        <f t="shared" si="4"/>
        <v>2</v>
      </c>
      <c r="DU8" s="2"/>
      <c r="DV8" s="252">
        <v>720</v>
      </c>
      <c r="DY8" s="252">
        <v>405.18</v>
      </c>
      <c r="DZ8" s="264">
        <v>3.9399999999999998E-2</v>
      </c>
      <c r="EA8" s="252">
        <v>0</v>
      </c>
      <c r="EB8" s="253">
        <v>0</v>
      </c>
    </row>
    <row r="9" spans="1:132">
      <c r="A9">
        <v>3</v>
      </c>
      <c r="B9" s="9">
        <v>3.2008000000000001</v>
      </c>
      <c r="C9">
        <v>3</v>
      </c>
      <c r="D9" s="9"/>
      <c r="I9" s="248">
        <v>102.6</v>
      </c>
      <c r="J9" s="258">
        <f t="shared" si="5"/>
        <v>2.9325513196480912E-3</v>
      </c>
      <c r="K9" s="298"/>
      <c r="L9" s="252">
        <v>300</v>
      </c>
      <c r="M9" s="263"/>
      <c r="N9" s="263"/>
      <c r="O9" s="473">
        <v>328.76</v>
      </c>
      <c r="P9" s="474">
        <v>328.76</v>
      </c>
      <c r="Q9" s="474">
        <v>430.86</v>
      </c>
      <c r="R9" s="475">
        <v>0.09</v>
      </c>
      <c r="S9" s="533">
        <f t="shared" si="6"/>
        <v>3</v>
      </c>
      <c r="T9" s="460">
        <v>75.260000000000005</v>
      </c>
      <c r="U9" s="460">
        <v>10.56</v>
      </c>
      <c r="V9" s="460">
        <v>353.76</v>
      </c>
      <c r="W9" s="460"/>
      <c r="X9" s="254">
        <v>51.09</v>
      </c>
      <c r="Y9" s="461">
        <v>7.4999999999999997E-2</v>
      </c>
      <c r="Z9" s="460">
        <v>22.5</v>
      </c>
      <c r="AA9" s="460">
        <v>10.26</v>
      </c>
      <c r="AB9" s="460">
        <v>437.73</v>
      </c>
      <c r="AC9" s="462">
        <v>353.75</v>
      </c>
      <c r="AD9" s="463">
        <v>0.3</v>
      </c>
      <c r="AE9" s="460">
        <v>40.83</v>
      </c>
      <c r="AF9" s="460">
        <v>61.32</v>
      </c>
      <c r="AG9" s="460">
        <v>20.62</v>
      </c>
      <c r="AH9" s="460"/>
      <c r="AI9" s="460"/>
      <c r="AJ9" s="460"/>
      <c r="AK9" s="460"/>
      <c r="AL9" s="253"/>
      <c r="AM9" s="273">
        <v>0</v>
      </c>
      <c r="AN9" s="255">
        <v>0</v>
      </c>
      <c r="AO9" s="160">
        <v>0</v>
      </c>
      <c r="AP9" s="536">
        <v>480.1</v>
      </c>
      <c r="AQ9" s="536"/>
      <c r="AR9" s="505">
        <f t="shared" si="7"/>
        <v>3</v>
      </c>
      <c r="AS9" s="480">
        <v>257.37</v>
      </c>
      <c r="AT9" s="480">
        <v>191.57</v>
      </c>
      <c r="AU9" s="480"/>
      <c r="AV9" s="480"/>
      <c r="AW9" s="480"/>
      <c r="AX9" s="480"/>
      <c r="AY9" s="480">
        <v>303.18</v>
      </c>
      <c r="AZ9" s="499" t="s">
        <v>5323</v>
      </c>
      <c r="BA9" s="502">
        <v>23.57</v>
      </c>
      <c r="BB9" s="502">
        <v>95.8</v>
      </c>
      <c r="BC9" s="510">
        <v>237.16</v>
      </c>
      <c r="BD9" s="510">
        <v>1222.49</v>
      </c>
      <c r="BE9" s="504">
        <v>0.2</v>
      </c>
      <c r="BF9" s="503">
        <v>0.22</v>
      </c>
      <c r="BG9" s="502">
        <v>16.66</v>
      </c>
      <c r="BH9" s="502">
        <v>1414.05</v>
      </c>
      <c r="BI9" s="502">
        <v>19.170000000000002</v>
      </c>
      <c r="BJ9" s="516">
        <v>7.4999999999999997E-2</v>
      </c>
      <c r="BK9" s="516"/>
      <c r="BL9" s="510"/>
      <c r="BM9" s="511">
        <v>0.16200000000000001</v>
      </c>
      <c r="BN9" s="511"/>
      <c r="BO9" s="511" t="s">
        <v>5340</v>
      </c>
      <c r="BP9" s="510"/>
      <c r="BQ9" s="511">
        <v>0.15</v>
      </c>
      <c r="BR9" s="511">
        <v>0.22</v>
      </c>
      <c r="BS9" s="252"/>
      <c r="BT9" s="252"/>
      <c r="BU9" s="524">
        <f t="shared" si="8"/>
        <v>3</v>
      </c>
      <c r="BV9" s="489">
        <v>158.63</v>
      </c>
      <c r="BW9" s="254"/>
      <c r="BX9" s="254"/>
      <c r="BY9" s="254"/>
      <c r="BZ9" s="494">
        <v>19.170000000000002</v>
      </c>
      <c r="CA9" s="497">
        <v>0.3</v>
      </c>
      <c r="CB9" s="494">
        <v>198.46</v>
      </c>
      <c r="CC9" s="494">
        <v>424</v>
      </c>
      <c r="CD9" s="241">
        <f t="shared" si="0"/>
        <v>3</v>
      </c>
      <c r="CE9" s="2"/>
      <c r="CF9" s="2">
        <v>490.8</v>
      </c>
      <c r="CG9" s="2"/>
      <c r="CH9" s="2"/>
      <c r="CI9" s="2"/>
      <c r="CJ9" s="252"/>
      <c r="CK9" s="252"/>
      <c r="CL9" s="252">
        <v>546.33000000000004</v>
      </c>
      <c r="CM9" s="253"/>
      <c r="CO9" s="5">
        <v>0.08</v>
      </c>
      <c r="CU9" s="266">
        <f t="shared" si="1"/>
        <v>181</v>
      </c>
      <c r="CV9" s="267">
        <f t="shared" si="2"/>
        <v>362</v>
      </c>
      <c r="CW9" s="268">
        <f t="shared" si="3"/>
        <v>904.99</v>
      </c>
      <c r="CX9" s="418">
        <v>184</v>
      </c>
      <c r="CY9" s="252"/>
      <c r="CZ9" s="252"/>
      <c r="DA9" s="252"/>
      <c r="DB9" s="252"/>
      <c r="DC9" s="252"/>
      <c r="DD9" s="252"/>
      <c r="DE9" s="252"/>
      <c r="DF9" s="252">
        <f t="shared" si="9"/>
        <v>0</v>
      </c>
      <c r="DG9" s="252"/>
      <c r="DH9" s="252">
        <v>489.06</v>
      </c>
      <c r="DI9" s="252"/>
      <c r="DK9" s="252"/>
      <c r="DL9" s="252"/>
      <c r="DP9" s="106">
        <v>0</v>
      </c>
      <c r="DQ9" s="252">
        <v>39.42</v>
      </c>
      <c r="DR9" s="3">
        <v>546.33000000000004</v>
      </c>
      <c r="DT9" s="241">
        <f t="shared" si="4"/>
        <v>3</v>
      </c>
      <c r="DU9" s="2"/>
      <c r="DV9" s="252">
        <v>720</v>
      </c>
      <c r="DY9" s="252">
        <v>405.18</v>
      </c>
      <c r="DZ9" s="264">
        <v>3.9399999999999998E-2</v>
      </c>
      <c r="EA9" s="252">
        <v>0</v>
      </c>
      <c r="EB9" s="253">
        <v>0</v>
      </c>
    </row>
    <row r="10" spans="1:132">
      <c r="A10">
        <v>4</v>
      </c>
      <c r="B10" s="9">
        <v>4.2008000000000001</v>
      </c>
      <c r="C10">
        <v>4</v>
      </c>
      <c r="D10" s="9"/>
      <c r="I10" s="248">
        <v>104.1</v>
      </c>
      <c r="J10" s="258">
        <f t="shared" si="5"/>
        <v>1.4619883040935644E-2</v>
      </c>
      <c r="K10" s="298"/>
      <c r="L10" s="252">
        <v>300</v>
      </c>
      <c r="M10" s="263"/>
      <c r="N10" s="263"/>
      <c r="O10" s="473">
        <v>328.76</v>
      </c>
      <c r="P10" s="474">
        <v>328.76</v>
      </c>
      <c r="Q10" s="474">
        <v>430.86</v>
      </c>
      <c r="R10" s="475">
        <v>0.09</v>
      </c>
      <c r="S10" s="533">
        <f t="shared" si="6"/>
        <v>4</v>
      </c>
      <c r="T10" s="460">
        <v>75.260000000000005</v>
      </c>
      <c r="U10" s="460">
        <v>10.56</v>
      </c>
      <c r="V10" s="460">
        <v>353.76</v>
      </c>
      <c r="W10" s="460"/>
      <c r="X10" s="254">
        <v>51.09</v>
      </c>
      <c r="Y10" s="461">
        <v>7.4999999999999997E-2</v>
      </c>
      <c r="Z10" s="460">
        <v>22.5</v>
      </c>
      <c r="AA10" s="460">
        <v>10.26</v>
      </c>
      <c r="AB10" s="460">
        <v>437.73</v>
      </c>
      <c r="AC10" s="462">
        <v>353.75</v>
      </c>
      <c r="AD10" s="463">
        <v>0.3</v>
      </c>
      <c r="AE10" s="460">
        <v>40.83</v>
      </c>
      <c r="AF10" s="460">
        <v>61.32</v>
      </c>
      <c r="AG10" s="460">
        <v>20.62</v>
      </c>
      <c r="AH10" s="460"/>
      <c r="AI10" s="460"/>
      <c r="AJ10" s="460"/>
      <c r="AK10" s="460"/>
      <c r="AL10" s="253"/>
      <c r="AM10" s="273">
        <v>0</v>
      </c>
      <c r="AN10" s="255">
        <v>0</v>
      </c>
      <c r="AO10" s="160">
        <v>0</v>
      </c>
      <c r="AP10" s="536">
        <v>480.1</v>
      </c>
      <c r="AQ10" s="536"/>
      <c r="AR10" s="505">
        <f t="shared" si="7"/>
        <v>4</v>
      </c>
      <c r="AS10" s="480">
        <v>257.37</v>
      </c>
      <c r="AT10" s="480">
        <v>191.57</v>
      </c>
      <c r="AU10" s="480"/>
      <c r="AV10" s="480"/>
      <c r="AW10" s="480"/>
      <c r="AX10" s="480"/>
      <c r="AY10" s="480">
        <v>303.18</v>
      </c>
      <c r="AZ10" s="499" t="s">
        <v>5323</v>
      </c>
      <c r="BA10" s="502">
        <v>23.57</v>
      </c>
      <c r="BB10" s="502">
        <v>95.8</v>
      </c>
      <c r="BC10" s="510">
        <v>237.16</v>
      </c>
      <c r="BD10" s="510">
        <v>1222.49</v>
      </c>
      <c r="BE10" s="504">
        <v>0.2</v>
      </c>
      <c r="BF10" s="503">
        <v>0.22</v>
      </c>
      <c r="BG10" s="502">
        <v>16.66</v>
      </c>
      <c r="BH10" s="502">
        <v>1414.05</v>
      </c>
      <c r="BI10" s="502">
        <v>19.170000000000002</v>
      </c>
      <c r="BJ10" s="516">
        <v>7.4999999999999997E-2</v>
      </c>
      <c r="BK10" s="516"/>
      <c r="BL10" s="510"/>
      <c r="BM10" s="511">
        <v>0.16200000000000001</v>
      </c>
      <c r="BN10" s="511"/>
      <c r="BO10" s="511" t="s">
        <v>5340</v>
      </c>
      <c r="BP10" s="510"/>
      <c r="BQ10" s="511">
        <v>0.15</v>
      </c>
      <c r="BR10" s="511">
        <v>0.22</v>
      </c>
      <c r="BS10" s="252"/>
      <c r="BT10" s="252"/>
      <c r="BU10" s="524">
        <f t="shared" si="8"/>
        <v>4</v>
      </c>
      <c r="BV10" s="489">
        <v>158.63</v>
      </c>
      <c r="BW10" s="254"/>
      <c r="BX10" s="254"/>
      <c r="BY10" s="254"/>
      <c r="BZ10" s="494">
        <v>19.170000000000002</v>
      </c>
      <c r="CA10" s="497">
        <v>0.3</v>
      </c>
      <c r="CB10" s="494">
        <v>198.46</v>
      </c>
      <c r="CC10" s="494">
        <v>424</v>
      </c>
      <c r="CD10" s="241">
        <f t="shared" si="0"/>
        <v>4</v>
      </c>
      <c r="CE10" s="2"/>
      <c r="CF10" s="2">
        <v>490.8</v>
      </c>
      <c r="CG10" s="2"/>
      <c r="CH10" s="2"/>
      <c r="CI10" s="2"/>
      <c r="CJ10" s="252"/>
      <c r="CK10" s="252"/>
      <c r="CL10" s="252">
        <v>546.33000000000004</v>
      </c>
      <c r="CM10" s="253"/>
      <c r="CO10" s="253">
        <v>0.08</v>
      </c>
      <c r="CU10" s="266">
        <f t="shared" si="1"/>
        <v>181</v>
      </c>
      <c r="CV10" s="267">
        <f t="shared" si="2"/>
        <v>362</v>
      </c>
      <c r="CW10" s="268">
        <f t="shared" si="3"/>
        <v>904.99</v>
      </c>
      <c r="CX10" s="418">
        <v>184</v>
      </c>
      <c r="CY10" s="252"/>
      <c r="CZ10" s="252"/>
      <c r="DA10" s="252"/>
      <c r="DB10" s="252"/>
      <c r="DC10" s="252"/>
      <c r="DD10" s="252"/>
      <c r="DE10" s="252"/>
      <c r="DF10" s="252">
        <f t="shared" si="9"/>
        <v>0</v>
      </c>
      <c r="DG10" s="252"/>
      <c r="DH10" s="252">
        <v>489.06</v>
      </c>
      <c r="DI10" s="252"/>
      <c r="DK10" s="252"/>
      <c r="DL10" s="252"/>
      <c r="DP10" s="262">
        <v>0</v>
      </c>
      <c r="DQ10" s="252">
        <v>39.42</v>
      </c>
      <c r="DR10" s="3">
        <v>546.33000000000004</v>
      </c>
      <c r="DT10" s="241">
        <f t="shared" si="4"/>
        <v>4</v>
      </c>
      <c r="DU10" s="2"/>
      <c r="DV10" s="252">
        <v>720</v>
      </c>
      <c r="DY10" s="252">
        <v>405.18</v>
      </c>
      <c r="DZ10" s="264">
        <v>3.9399999999999998E-2</v>
      </c>
      <c r="EA10" s="252">
        <v>0</v>
      </c>
      <c r="EB10" s="253">
        <v>0</v>
      </c>
    </row>
    <row r="11" spans="1:132">
      <c r="A11">
        <v>5</v>
      </c>
      <c r="B11" s="9">
        <v>5.2008000000000001</v>
      </c>
      <c r="C11">
        <v>5</v>
      </c>
      <c r="D11" s="9"/>
      <c r="I11" s="248">
        <v>104.8</v>
      </c>
      <c r="J11" s="258">
        <f t="shared" si="5"/>
        <v>6.7243035542747798E-3</v>
      </c>
      <c r="K11" s="298"/>
      <c r="L11" s="252">
        <v>300</v>
      </c>
      <c r="M11" s="263"/>
      <c r="N11" s="263"/>
      <c r="O11" s="473">
        <v>328.76</v>
      </c>
      <c r="P11" s="474">
        <v>328.76</v>
      </c>
      <c r="Q11" s="474">
        <v>430.86</v>
      </c>
      <c r="R11" s="475">
        <v>0.09</v>
      </c>
      <c r="S11" s="533">
        <f t="shared" si="6"/>
        <v>5</v>
      </c>
      <c r="T11" s="460">
        <v>75.260000000000005</v>
      </c>
      <c r="U11" s="460">
        <v>10.56</v>
      </c>
      <c r="V11" s="460">
        <v>353.76</v>
      </c>
      <c r="W11" s="460"/>
      <c r="X11" s="254">
        <v>51.09</v>
      </c>
      <c r="Y11" s="461">
        <v>7.4999999999999997E-2</v>
      </c>
      <c r="Z11" s="460">
        <v>22.5</v>
      </c>
      <c r="AA11" s="460">
        <v>10.26</v>
      </c>
      <c r="AB11" s="460">
        <v>437.73</v>
      </c>
      <c r="AC11" s="462">
        <v>353.75</v>
      </c>
      <c r="AD11" s="463">
        <v>0.3</v>
      </c>
      <c r="AE11" s="460">
        <v>40.83</v>
      </c>
      <c r="AF11" s="460">
        <v>61.32</v>
      </c>
      <c r="AG11" s="460">
        <v>20.62</v>
      </c>
      <c r="AH11" s="460"/>
      <c r="AI11" s="460"/>
      <c r="AJ11" s="460"/>
      <c r="AK11" s="460"/>
      <c r="AL11" s="253"/>
      <c r="AM11" s="273">
        <v>0</v>
      </c>
      <c r="AN11" s="255">
        <v>0</v>
      </c>
      <c r="AO11" s="160">
        <v>0</v>
      </c>
      <c r="AP11" s="536">
        <v>480.1</v>
      </c>
      <c r="AQ11" s="536"/>
      <c r="AR11" s="505">
        <f t="shared" si="7"/>
        <v>5</v>
      </c>
      <c r="AS11" s="480">
        <v>257.37</v>
      </c>
      <c r="AT11" s="480">
        <v>191.57</v>
      </c>
      <c r="AU11" s="480"/>
      <c r="AV11" s="480"/>
      <c r="AW11" s="480"/>
      <c r="AX11" s="480"/>
      <c r="AY11" s="480">
        <v>303.18</v>
      </c>
      <c r="AZ11" s="499" t="s">
        <v>5323</v>
      </c>
      <c r="BA11" s="502">
        <v>23.57</v>
      </c>
      <c r="BB11" s="502">
        <v>95.8</v>
      </c>
      <c r="BC11" s="510">
        <v>237.16</v>
      </c>
      <c r="BD11" s="510">
        <v>1222.49</v>
      </c>
      <c r="BE11" s="504">
        <v>0.2</v>
      </c>
      <c r="BF11" s="503">
        <v>0.22</v>
      </c>
      <c r="BG11" s="502">
        <v>16.66</v>
      </c>
      <c r="BH11" s="502">
        <v>1414.05</v>
      </c>
      <c r="BI11" s="502">
        <v>19.170000000000002</v>
      </c>
      <c r="BJ11" s="516">
        <v>7.4999999999999997E-2</v>
      </c>
      <c r="BK11" s="516"/>
      <c r="BL11" s="510"/>
      <c r="BM11" s="511">
        <v>0.16200000000000001</v>
      </c>
      <c r="BN11" s="511"/>
      <c r="BO11" s="511" t="s">
        <v>5340</v>
      </c>
      <c r="BP11" s="510"/>
      <c r="BQ11" s="511">
        <v>0.15</v>
      </c>
      <c r="BR11" s="511">
        <v>0.22</v>
      </c>
      <c r="BS11" s="252"/>
      <c r="BT11" s="252"/>
      <c r="BU11" s="524">
        <f t="shared" si="8"/>
        <v>5</v>
      </c>
      <c r="BV11" s="489">
        <v>158.63</v>
      </c>
      <c r="BW11" s="254"/>
      <c r="BX11" s="254"/>
      <c r="BY11" s="254"/>
      <c r="BZ11" s="494">
        <v>19.170000000000002</v>
      </c>
      <c r="CA11" s="497">
        <v>0.3</v>
      </c>
      <c r="CB11" s="494">
        <v>198.46</v>
      </c>
      <c r="CC11" s="494">
        <v>424</v>
      </c>
      <c r="CD11" s="241">
        <f t="shared" si="0"/>
        <v>5</v>
      </c>
      <c r="CE11" s="2"/>
      <c r="CF11" s="2">
        <v>490.8</v>
      </c>
      <c r="CG11" s="2"/>
      <c r="CH11" s="2"/>
      <c r="CI11" s="2"/>
      <c r="CJ11" s="252"/>
      <c r="CK11" s="252"/>
      <c r="CL11" s="252">
        <v>546.33000000000004</v>
      </c>
      <c r="CM11" s="253"/>
      <c r="CO11" s="5">
        <v>0.08</v>
      </c>
      <c r="CU11" s="266">
        <f t="shared" si="1"/>
        <v>181</v>
      </c>
      <c r="CV11" s="267">
        <f t="shared" si="2"/>
        <v>362</v>
      </c>
      <c r="CW11" s="268">
        <f t="shared" si="3"/>
        <v>904.99</v>
      </c>
      <c r="CX11" s="418">
        <v>184</v>
      </c>
      <c r="CY11" s="252"/>
      <c r="CZ11" s="252"/>
      <c r="DA11" s="252"/>
      <c r="DB11" s="252"/>
      <c r="DC11" s="252"/>
      <c r="DD11" s="252"/>
      <c r="DE11" s="252"/>
      <c r="DF11" s="252">
        <f t="shared" si="9"/>
        <v>0</v>
      </c>
      <c r="DG11" s="252"/>
      <c r="DH11" s="252">
        <v>489.06</v>
      </c>
      <c r="DI11" s="252"/>
      <c r="DK11" s="252"/>
      <c r="DL11" s="252"/>
      <c r="DP11" s="106">
        <v>0</v>
      </c>
      <c r="DQ11" s="252">
        <v>39.42</v>
      </c>
      <c r="DR11" s="3">
        <v>546.33000000000004</v>
      </c>
      <c r="DT11" s="241">
        <f t="shared" si="4"/>
        <v>5</v>
      </c>
      <c r="DU11" s="2"/>
      <c r="DV11" s="252">
        <v>720</v>
      </c>
      <c r="DY11" s="252">
        <v>405.18</v>
      </c>
      <c r="DZ11" s="264">
        <v>3.9399999999999998E-2</v>
      </c>
      <c r="EA11" s="252">
        <v>0</v>
      </c>
      <c r="EB11" s="253">
        <v>0</v>
      </c>
    </row>
    <row r="12" spans="1:132">
      <c r="A12">
        <v>6</v>
      </c>
      <c r="B12" s="9">
        <v>6.2008000000000001</v>
      </c>
      <c r="C12">
        <v>6</v>
      </c>
      <c r="D12" s="9"/>
      <c r="I12" s="248">
        <v>104.9</v>
      </c>
      <c r="J12" s="258">
        <f t="shared" si="5"/>
        <v>9.5419847328259699E-4</v>
      </c>
      <c r="K12" s="298"/>
      <c r="L12" s="252">
        <v>300</v>
      </c>
      <c r="M12" s="263"/>
      <c r="N12" s="263"/>
      <c r="O12" s="473">
        <v>328.76</v>
      </c>
      <c r="P12" s="474">
        <v>328.76</v>
      </c>
      <c r="Q12" s="474">
        <v>430.86</v>
      </c>
      <c r="R12" s="475">
        <v>0.09</v>
      </c>
      <c r="S12" s="533">
        <f t="shared" si="6"/>
        <v>6</v>
      </c>
      <c r="T12" s="460">
        <v>75.260000000000005</v>
      </c>
      <c r="U12" s="460">
        <v>10.56</v>
      </c>
      <c r="V12" s="460">
        <v>353.76</v>
      </c>
      <c r="W12" s="460"/>
      <c r="X12" s="254">
        <v>51.09</v>
      </c>
      <c r="Y12" s="461">
        <v>7.4999999999999997E-2</v>
      </c>
      <c r="Z12" s="460">
        <v>22.5</v>
      </c>
      <c r="AA12" s="460">
        <v>10.26</v>
      </c>
      <c r="AB12" s="460">
        <v>437.73</v>
      </c>
      <c r="AC12" s="462">
        <v>353.75</v>
      </c>
      <c r="AD12" s="463">
        <v>0.3</v>
      </c>
      <c r="AE12" s="460">
        <v>40.83</v>
      </c>
      <c r="AF12" s="460">
        <v>61.32</v>
      </c>
      <c r="AG12" s="460">
        <v>20.62</v>
      </c>
      <c r="AH12" s="460"/>
      <c r="AI12" s="460"/>
      <c r="AJ12" s="460"/>
      <c r="AK12" s="460"/>
      <c r="AL12" s="253"/>
      <c r="AM12" s="273">
        <v>0</v>
      </c>
      <c r="AN12" s="255">
        <v>0</v>
      </c>
      <c r="AO12" s="160">
        <v>0</v>
      </c>
      <c r="AP12" s="536">
        <v>480.1</v>
      </c>
      <c r="AQ12" s="536"/>
      <c r="AR12" s="505">
        <f t="shared" si="7"/>
        <v>6</v>
      </c>
      <c r="AS12" s="480">
        <v>257.37</v>
      </c>
      <c r="AT12" s="480">
        <v>191.57</v>
      </c>
      <c r="AU12" s="480"/>
      <c r="AV12" s="480"/>
      <c r="AW12" s="480"/>
      <c r="AX12" s="480"/>
      <c r="AY12" s="480">
        <v>303.18</v>
      </c>
      <c r="AZ12" s="499" t="s">
        <v>5323</v>
      </c>
      <c r="BA12" s="502">
        <v>23.57</v>
      </c>
      <c r="BB12" s="502">
        <v>95.8</v>
      </c>
      <c r="BC12" s="510">
        <v>237.16</v>
      </c>
      <c r="BD12" s="510">
        <v>1222.49</v>
      </c>
      <c r="BE12" s="504">
        <v>0.2</v>
      </c>
      <c r="BF12" s="503">
        <v>0.22</v>
      </c>
      <c r="BG12" s="502">
        <v>16.66</v>
      </c>
      <c r="BH12" s="502">
        <v>1414.05</v>
      </c>
      <c r="BI12" s="502">
        <v>19.170000000000002</v>
      </c>
      <c r="BJ12" s="516">
        <v>7.4999999999999997E-2</v>
      </c>
      <c r="BK12" s="516"/>
      <c r="BL12" s="510"/>
      <c r="BM12" s="511">
        <v>0.16200000000000001</v>
      </c>
      <c r="BN12" s="511"/>
      <c r="BO12" s="511" t="s">
        <v>5340</v>
      </c>
      <c r="BP12" s="510"/>
      <c r="BQ12" s="511">
        <v>0.15</v>
      </c>
      <c r="BR12" s="511">
        <v>0.22</v>
      </c>
      <c r="BS12" s="252"/>
      <c r="BT12" s="252"/>
      <c r="BU12" s="524">
        <f t="shared" si="8"/>
        <v>6</v>
      </c>
      <c r="BV12" s="489">
        <v>158.63</v>
      </c>
      <c r="BW12" s="254"/>
      <c r="BX12" s="254"/>
      <c r="BY12" s="254"/>
      <c r="BZ12" s="494">
        <v>19.170000000000002</v>
      </c>
      <c r="CA12" s="497">
        <v>0.3</v>
      </c>
      <c r="CB12" s="494">
        <v>198.46</v>
      </c>
      <c r="CC12" s="494">
        <v>424</v>
      </c>
      <c r="CD12" s="241">
        <f t="shared" si="0"/>
        <v>6</v>
      </c>
      <c r="CE12" s="2"/>
      <c r="CF12" s="2">
        <v>490.8</v>
      </c>
      <c r="CG12" s="2"/>
      <c r="CH12" s="2"/>
      <c r="CI12" s="2"/>
      <c r="CJ12" s="252"/>
      <c r="CK12" s="252"/>
      <c r="CL12" s="252">
        <v>546.33000000000004</v>
      </c>
      <c r="CM12" s="253"/>
      <c r="CO12" s="253">
        <v>0.08</v>
      </c>
      <c r="CU12" s="266">
        <f t="shared" si="1"/>
        <v>181</v>
      </c>
      <c r="CV12" s="267">
        <f t="shared" si="2"/>
        <v>362</v>
      </c>
      <c r="CW12" s="268">
        <f t="shared" si="3"/>
        <v>904.99</v>
      </c>
      <c r="CX12" s="418">
        <v>184</v>
      </c>
      <c r="CY12" s="252"/>
      <c r="CZ12" s="252"/>
      <c r="DA12" s="252"/>
      <c r="DB12" s="252"/>
      <c r="DC12" s="252"/>
      <c r="DD12" s="252"/>
      <c r="DE12" s="252"/>
      <c r="DF12" s="252">
        <f t="shared" si="9"/>
        <v>0</v>
      </c>
      <c r="DG12" s="252"/>
      <c r="DH12" s="252">
        <v>489.06</v>
      </c>
      <c r="DI12" s="252"/>
      <c r="DK12" s="252"/>
      <c r="DL12" s="252"/>
      <c r="DP12" s="262">
        <v>0</v>
      </c>
      <c r="DQ12" s="252">
        <v>39.42</v>
      </c>
      <c r="DR12" s="3">
        <v>546.33000000000004</v>
      </c>
      <c r="DT12" s="241">
        <f t="shared" si="4"/>
        <v>6</v>
      </c>
      <c r="DU12" s="2"/>
      <c r="DV12" s="252">
        <v>720</v>
      </c>
      <c r="DY12" s="252">
        <v>405.18</v>
      </c>
      <c r="DZ12" s="264">
        <v>3.9399999999999998E-2</v>
      </c>
      <c r="EA12" s="252">
        <v>0</v>
      </c>
      <c r="EB12" s="253">
        <v>0</v>
      </c>
    </row>
    <row r="13" spans="1:132">
      <c r="A13">
        <v>7</v>
      </c>
      <c r="B13" s="9">
        <v>7.2008000000000001</v>
      </c>
      <c r="C13">
        <v>7</v>
      </c>
      <c r="D13" s="9"/>
      <c r="I13" s="248">
        <v>106.1</v>
      </c>
      <c r="J13" s="258">
        <f t="shared" si="5"/>
        <v>1.1439466158245759E-2</v>
      </c>
      <c r="K13" s="298"/>
      <c r="L13" s="252">
        <v>300</v>
      </c>
      <c r="M13" s="263"/>
      <c r="N13" s="263"/>
      <c r="O13" s="473">
        <v>328.76</v>
      </c>
      <c r="P13" s="474">
        <v>328.76</v>
      </c>
      <c r="Q13" s="474">
        <v>430.86</v>
      </c>
      <c r="R13" s="475">
        <v>0.09</v>
      </c>
      <c r="S13" s="533">
        <f t="shared" si="6"/>
        <v>7</v>
      </c>
      <c r="T13" s="460">
        <v>75.260000000000005</v>
      </c>
      <c r="U13" s="460">
        <v>10.56</v>
      </c>
      <c r="V13" s="460">
        <v>353.76</v>
      </c>
      <c r="W13" s="460"/>
      <c r="X13" s="254">
        <v>51.09</v>
      </c>
      <c r="Y13" s="461">
        <v>7.4999999999999997E-2</v>
      </c>
      <c r="Z13" s="460">
        <v>22.5</v>
      </c>
      <c r="AA13" s="460">
        <v>10.26</v>
      </c>
      <c r="AB13" s="460">
        <v>437.73</v>
      </c>
      <c r="AC13" s="462">
        <v>353.75</v>
      </c>
      <c r="AD13" s="463">
        <v>0.3</v>
      </c>
      <c r="AE13" s="460">
        <v>40.83</v>
      </c>
      <c r="AF13" s="460">
        <v>61.32</v>
      </c>
      <c r="AG13" s="460">
        <v>20.62</v>
      </c>
      <c r="AH13" s="460"/>
      <c r="AI13" s="460"/>
      <c r="AJ13" s="460"/>
      <c r="AK13" s="460"/>
      <c r="AL13" s="253"/>
      <c r="AM13" s="273">
        <v>0</v>
      </c>
      <c r="AN13" s="255">
        <v>0</v>
      </c>
      <c r="AO13" s="160">
        <v>0</v>
      </c>
      <c r="AP13" s="536">
        <v>480.1</v>
      </c>
      <c r="AQ13" s="536"/>
      <c r="AR13" s="505">
        <f t="shared" si="7"/>
        <v>7</v>
      </c>
      <c r="AS13" s="480">
        <v>257.37</v>
      </c>
      <c r="AT13" s="480">
        <v>191.57</v>
      </c>
      <c r="AU13" s="480"/>
      <c r="AV13" s="480"/>
      <c r="AW13" s="480"/>
      <c r="AX13" s="480"/>
      <c r="AY13" s="480">
        <v>303.18</v>
      </c>
      <c r="AZ13" s="499" t="s">
        <v>5323</v>
      </c>
      <c r="BA13" s="502">
        <v>23.57</v>
      </c>
      <c r="BB13" s="502">
        <v>95.8</v>
      </c>
      <c r="BC13" s="510">
        <v>237.16</v>
      </c>
      <c r="BD13" s="510">
        <v>1222.49</v>
      </c>
      <c r="BE13" s="504">
        <v>0.2</v>
      </c>
      <c r="BF13" s="503">
        <v>0.22</v>
      </c>
      <c r="BG13" s="502">
        <v>16.66</v>
      </c>
      <c r="BH13" s="502">
        <v>1414.05</v>
      </c>
      <c r="BI13" s="502">
        <v>19.170000000000002</v>
      </c>
      <c r="BJ13" s="516">
        <v>7.4999999999999997E-2</v>
      </c>
      <c r="BK13" s="516"/>
      <c r="BL13" s="510"/>
      <c r="BM13" s="511">
        <v>0.16200000000000001</v>
      </c>
      <c r="BN13" s="511"/>
      <c r="BO13" s="511" t="s">
        <v>5340</v>
      </c>
      <c r="BP13" s="510"/>
      <c r="BQ13" s="511">
        <v>0.15</v>
      </c>
      <c r="BR13" s="511">
        <v>0.22</v>
      </c>
      <c r="BS13" s="252"/>
      <c r="BT13" s="252"/>
      <c r="BU13" s="524">
        <f t="shared" si="8"/>
        <v>7</v>
      </c>
      <c r="BV13" s="489">
        <v>158.63</v>
      </c>
      <c r="BW13" s="254"/>
      <c r="BX13" s="254"/>
      <c r="BY13" s="254"/>
      <c r="BZ13" s="494">
        <v>19.170000000000002</v>
      </c>
      <c r="CA13" s="497">
        <v>0.3</v>
      </c>
      <c r="CB13" s="494">
        <v>198.46</v>
      </c>
      <c r="CC13" s="494">
        <v>424</v>
      </c>
      <c r="CD13" s="241">
        <f t="shared" si="0"/>
        <v>7</v>
      </c>
      <c r="CE13" s="2"/>
      <c r="CF13" s="2">
        <v>490.8</v>
      </c>
      <c r="CG13" s="2"/>
      <c r="CH13" s="2"/>
      <c r="CI13" s="2"/>
      <c r="CJ13" s="252"/>
      <c r="CK13" s="252"/>
      <c r="CL13" s="252">
        <v>546.33000000000004</v>
      </c>
      <c r="CM13" s="253"/>
      <c r="CO13" s="5">
        <v>0.08</v>
      </c>
      <c r="CU13" s="266">
        <f t="shared" si="1"/>
        <v>181</v>
      </c>
      <c r="CV13" s="267">
        <f t="shared" si="2"/>
        <v>362</v>
      </c>
      <c r="CW13" s="268">
        <f t="shared" si="3"/>
        <v>904.99</v>
      </c>
      <c r="CX13" s="418">
        <v>184</v>
      </c>
      <c r="CY13" s="252"/>
      <c r="CZ13" s="252"/>
      <c r="DA13" s="252"/>
      <c r="DB13" s="252"/>
      <c r="DC13" s="252"/>
      <c r="DD13" s="252"/>
      <c r="DE13" s="252"/>
      <c r="DF13" s="252">
        <f t="shared" si="9"/>
        <v>0</v>
      </c>
      <c r="DG13" s="252"/>
      <c r="DH13" s="252">
        <v>489.06</v>
      </c>
      <c r="DI13" s="252"/>
      <c r="DK13" s="252"/>
      <c r="DL13" s="252"/>
      <c r="DP13" s="106">
        <v>0</v>
      </c>
      <c r="DQ13" s="252">
        <v>39.42</v>
      </c>
      <c r="DR13" s="3">
        <v>546.33000000000004</v>
      </c>
      <c r="DT13" s="241">
        <f t="shared" si="4"/>
        <v>7</v>
      </c>
      <c r="DU13" s="2"/>
      <c r="DV13" s="252">
        <v>720</v>
      </c>
      <c r="DY13" s="252">
        <v>405.18</v>
      </c>
      <c r="DZ13" s="264">
        <v>3.9399999999999998E-2</v>
      </c>
      <c r="EA13" s="252">
        <v>0</v>
      </c>
      <c r="EB13" s="253">
        <v>0</v>
      </c>
    </row>
    <row r="14" spans="1:132">
      <c r="A14">
        <v>8</v>
      </c>
      <c r="B14" s="9">
        <v>8.2007999999999992</v>
      </c>
      <c r="C14">
        <v>8</v>
      </c>
      <c r="D14" s="9"/>
      <c r="I14" s="248">
        <v>107</v>
      </c>
      <c r="J14" s="258">
        <f t="shared" si="5"/>
        <v>8.4825636192271681E-3</v>
      </c>
      <c r="K14" s="298"/>
      <c r="L14" s="252">
        <v>300</v>
      </c>
      <c r="M14" s="263"/>
      <c r="N14" s="263"/>
      <c r="O14" s="473">
        <v>328.76</v>
      </c>
      <c r="P14" s="474">
        <v>328.76</v>
      </c>
      <c r="Q14" s="474">
        <v>430.86</v>
      </c>
      <c r="R14" s="475">
        <v>0.09</v>
      </c>
      <c r="S14" s="533">
        <f t="shared" si="6"/>
        <v>8</v>
      </c>
      <c r="T14" s="460">
        <v>75.260000000000005</v>
      </c>
      <c r="U14" s="460">
        <v>10.56</v>
      </c>
      <c r="V14" s="460">
        <v>353.76</v>
      </c>
      <c r="W14" s="460"/>
      <c r="X14" s="254">
        <v>51.09</v>
      </c>
      <c r="Y14" s="461">
        <v>7.4999999999999997E-2</v>
      </c>
      <c r="Z14" s="460">
        <v>22.5</v>
      </c>
      <c r="AA14" s="460">
        <v>10.26</v>
      </c>
      <c r="AB14" s="460">
        <v>437.73</v>
      </c>
      <c r="AC14" s="462">
        <v>353.75</v>
      </c>
      <c r="AD14" s="463">
        <v>0.3</v>
      </c>
      <c r="AE14" s="460">
        <v>40.83</v>
      </c>
      <c r="AF14" s="460">
        <v>61.32</v>
      </c>
      <c r="AG14" s="460">
        <v>20.62</v>
      </c>
      <c r="AH14" s="460"/>
      <c r="AI14" s="460"/>
      <c r="AJ14" s="460"/>
      <c r="AK14" s="460"/>
      <c r="AL14" s="253"/>
      <c r="AM14" s="273">
        <v>0</v>
      </c>
      <c r="AN14" s="255">
        <v>0</v>
      </c>
      <c r="AO14" s="160">
        <v>0</v>
      </c>
      <c r="AP14" s="536">
        <v>480.1</v>
      </c>
      <c r="AQ14" s="536"/>
      <c r="AR14" s="505">
        <f t="shared" si="7"/>
        <v>8</v>
      </c>
      <c r="AS14" s="480">
        <v>257.37</v>
      </c>
      <c r="AT14" s="480">
        <v>191.57</v>
      </c>
      <c r="AU14" s="480"/>
      <c r="AV14" s="480"/>
      <c r="AW14" s="480"/>
      <c r="AX14" s="480"/>
      <c r="AY14" s="480">
        <v>303.18</v>
      </c>
      <c r="AZ14" s="499" t="s">
        <v>5323</v>
      </c>
      <c r="BA14" s="502">
        <v>23.57</v>
      </c>
      <c r="BB14" s="502">
        <v>95.8</v>
      </c>
      <c r="BC14" s="510">
        <v>237.16</v>
      </c>
      <c r="BD14" s="510">
        <v>1222.49</v>
      </c>
      <c r="BE14" s="504">
        <v>0.2</v>
      </c>
      <c r="BF14" s="503">
        <v>0.22</v>
      </c>
      <c r="BG14" s="502">
        <v>16.66</v>
      </c>
      <c r="BH14" s="502">
        <v>1414.05</v>
      </c>
      <c r="BI14" s="502">
        <v>19.170000000000002</v>
      </c>
      <c r="BJ14" s="516">
        <v>7.4999999999999997E-2</v>
      </c>
      <c r="BK14" s="516"/>
      <c r="BL14" s="510"/>
      <c r="BM14" s="511">
        <v>0.16200000000000001</v>
      </c>
      <c r="BN14" s="511"/>
      <c r="BO14" s="511" t="s">
        <v>5340</v>
      </c>
      <c r="BP14" s="510"/>
      <c r="BQ14" s="511">
        <v>0.15</v>
      </c>
      <c r="BR14" s="511">
        <v>0.22</v>
      </c>
      <c r="BS14" s="252"/>
      <c r="BT14" s="252"/>
      <c r="BU14" s="524">
        <f t="shared" si="8"/>
        <v>8</v>
      </c>
      <c r="BV14" s="489">
        <v>158.63</v>
      </c>
      <c r="BW14" s="254"/>
      <c r="BX14" s="254"/>
      <c r="BY14" s="254"/>
      <c r="BZ14" s="494">
        <v>19.170000000000002</v>
      </c>
      <c r="CA14" s="497">
        <v>0.3</v>
      </c>
      <c r="CB14" s="494">
        <v>198.46</v>
      </c>
      <c r="CC14" s="494">
        <v>424</v>
      </c>
      <c r="CD14" s="241">
        <f t="shared" si="0"/>
        <v>8</v>
      </c>
      <c r="CE14" s="2"/>
      <c r="CF14" s="2">
        <v>490.8</v>
      </c>
      <c r="CG14" s="2"/>
      <c r="CH14" s="2"/>
      <c r="CI14" s="2"/>
      <c r="CJ14" s="252"/>
      <c r="CK14" s="252"/>
      <c r="CL14" s="252">
        <v>546.33000000000004</v>
      </c>
      <c r="CM14" s="253"/>
      <c r="CO14" s="253">
        <v>0.08</v>
      </c>
      <c r="CU14" s="266">
        <f t="shared" si="1"/>
        <v>181</v>
      </c>
      <c r="CV14" s="267">
        <f t="shared" si="2"/>
        <v>362</v>
      </c>
      <c r="CW14" s="268">
        <f t="shared" si="3"/>
        <v>904.99</v>
      </c>
      <c r="CX14" s="418">
        <v>184</v>
      </c>
      <c r="CY14" s="252"/>
      <c r="CZ14" s="252"/>
      <c r="DA14" s="252"/>
      <c r="DB14" s="252"/>
      <c r="DC14" s="252"/>
      <c r="DD14" s="252"/>
      <c r="DE14" s="252"/>
      <c r="DF14" s="252">
        <f t="shared" si="9"/>
        <v>0</v>
      </c>
      <c r="DG14" s="252"/>
      <c r="DH14" s="252">
        <v>489.06</v>
      </c>
      <c r="DI14" s="252"/>
      <c r="DK14" s="252"/>
      <c r="DL14" s="252"/>
      <c r="DP14" s="262">
        <v>0</v>
      </c>
      <c r="DQ14" s="252">
        <v>39.42</v>
      </c>
      <c r="DR14" s="3">
        <v>546.33000000000004</v>
      </c>
      <c r="DT14" s="241">
        <f t="shared" si="4"/>
        <v>8</v>
      </c>
      <c r="DU14" s="2"/>
      <c r="DV14" s="252">
        <v>720</v>
      </c>
      <c r="DY14" s="252">
        <v>405.18</v>
      </c>
      <c r="DZ14" s="264">
        <v>3.9399999999999998E-2</v>
      </c>
      <c r="EA14" s="252">
        <v>0</v>
      </c>
      <c r="EB14" s="253">
        <v>0</v>
      </c>
    </row>
    <row r="15" spans="1:132">
      <c r="A15">
        <v>9</v>
      </c>
      <c r="B15" s="9">
        <v>9.2007999999999992</v>
      </c>
      <c r="C15">
        <v>9</v>
      </c>
      <c r="D15" s="9"/>
      <c r="I15" s="248">
        <v>107</v>
      </c>
      <c r="J15" s="258">
        <f t="shared" si="5"/>
        <v>0</v>
      </c>
      <c r="K15" s="298"/>
      <c r="L15" s="252">
        <v>300</v>
      </c>
      <c r="M15" s="263"/>
      <c r="N15" s="263"/>
      <c r="O15" s="473">
        <v>328.76</v>
      </c>
      <c r="P15" s="474">
        <v>328.76</v>
      </c>
      <c r="Q15" s="474">
        <v>430.86</v>
      </c>
      <c r="R15" s="475">
        <v>0.09</v>
      </c>
      <c r="S15" s="533">
        <f t="shared" si="6"/>
        <v>9</v>
      </c>
      <c r="T15" s="460">
        <v>75.260000000000005</v>
      </c>
      <c r="U15" s="460">
        <v>10.56</v>
      </c>
      <c r="V15" s="460">
        <v>353.76</v>
      </c>
      <c r="W15" s="460"/>
      <c r="X15" s="254">
        <v>51.09</v>
      </c>
      <c r="Y15" s="461">
        <v>7.4999999999999997E-2</v>
      </c>
      <c r="Z15" s="460">
        <v>22.5</v>
      </c>
      <c r="AA15" s="460">
        <v>10.26</v>
      </c>
      <c r="AB15" s="460">
        <v>437.73</v>
      </c>
      <c r="AC15" s="462">
        <v>353.75</v>
      </c>
      <c r="AD15" s="463">
        <v>0.3</v>
      </c>
      <c r="AE15" s="460">
        <v>40.83</v>
      </c>
      <c r="AF15" s="460">
        <v>61.32</v>
      </c>
      <c r="AG15" s="460">
        <v>20.62</v>
      </c>
      <c r="AH15" s="460"/>
      <c r="AI15" s="460"/>
      <c r="AJ15" s="460"/>
      <c r="AK15" s="460"/>
      <c r="AL15" s="253"/>
      <c r="AM15" s="273">
        <v>0</v>
      </c>
      <c r="AN15" s="255">
        <v>0</v>
      </c>
      <c r="AO15" s="160">
        <v>0</v>
      </c>
      <c r="AP15" s="536">
        <v>480.1</v>
      </c>
      <c r="AQ15" s="536"/>
      <c r="AR15" s="505">
        <f t="shared" si="7"/>
        <v>9</v>
      </c>
      <c r="AS15" s="480">
        <v>257.37</v>
      </c>
      <c r="AT15" s="480">
        <v>191.57</v>
      </c>
      <c r="AU15" s="480"/>
      <c r="AV15" s="480"/>
      <c r="AW15" s="480"/>
      <c r="AX15" s="480"/>
      <c r="AY15" s="480">
        <v>303.18</v>
      </c>
      <c r="AZ15" s="499" t="s">
        <v>5323</v>
      </c>
      <c r="BA15" s="502">
        <v>23.57</v>
      </c>
      <c r="BB15" s="502">
        <v>95.8</v>
      </c>
      <c r="BC15" s="510">
        <v>237.16</v>
      </c>
      <c r="BD15" s="510">
        <v>1222.49</v>
      </c>
      <c r="BE15" s="504">
        <v>0.2</v>
      </c>
      <c r="BF15" s="503">
        <v>0.22</v>
      </c>
      <c r="BG15" s="502">
        <v>16.66</v>
      </c>
      <c r="BH15" s="502">
        <v>1414.05</v>
      </c>
      <c r="BI15" s="502">
        <v>19.170000000000002</v>
      </c>
      <c r="BJ15" s="516">
        <v>7.4999999999999997E-2</v>
      </c>
      <c r="BK15" s="516"/>
      <c r="BL15" s="510"/>
      <c r="BM15" s="511">
        <v>0.16200000000000001</v>
      </c>
      <c r="BN15" s="511"/>
      <c r="BO15" s="511" t="s">
        <v>5340</v>
      </c>
      <c r="BP15" s="510"/>
      <c r="BQ15" s="511">
        <v>0.15</v>
      </c>
      <c r="BR15" s="511">
        <v>0.22</v>
      </c>
      <c r="BS15" s="252"/>
      <c r="BT15" s="252"/>
      <c r="BU15" s="524">
        <f t="shared" si="8"/>
        <v>9</v>
      </c>
      <c r="BV15" s="489">
        <v>158.63</v>
      </c>
      <c r="BW15" s="254"/>
      <c r="BX15" s="254"/>
      <c r="BY15" s="254"/>
      <c r="BZ15" s="494">
        <v>19.170000000000002</v>
      </c>
      <c r="CA15" s="497">
        <v>0.3</v>
      </c>
      <c r="CB15" s="494">
        <v>198.46</v>
      </c>
      <c r="CC15" s="494">
        <v>424</v>
      </c>
      <c r="CD15" s="241">
        <f t="shared" si="0"/>
        <v>9</v>
      </c>
      <c r="CE15" s="2"/>
      <c r="CF15" s="2">
        <v>490.8</v>
      </c>
      <c r="CG15" s="2"/>
      <c r="CH15" s="2"/>
      <c r="CI15" s="2"/>
      <c r="CJ15" s="252"/>
      <c r="CK15" s="252"/>
      <c r="CL15" s="252">
        <v>546.33000000000004</v>
      </c>
      <c r="CM15" s="253"/>
      <c r="CO15" s="5">
        <v>0.08</v>
      </c>
      <c r="CU15" s="266">
        <f t="shared" si="1"/>
        <v>181</v>
      </c>
      <c r="CV15" s="267">
        <f t="shared" si="2"/>
        <v>362</v>
      </c>
      <c r="CW15" s="268">
        <f t="shared" si="3"/>
        <v>904.99</v>
      </c>
      <c r="CX15" s="418">
        <v>184</v>
      </c>
      <c r="CY15" s="252"/>
      <c r="CZ15" s="252"/>
      <c r="DA15" s="252"/>
      <c r="DB15" s="252"/>
      <c r="DC15" s="252"/>
      <c r="DD15" s="252"/>
      <c r="DE15" s="252"/>
      <c r="DF15" s="252">
        <f t="shared" si="9"/>
        <v>0</v>
      </c>
      <c r="DG15" s="252"/>
      <c r="DH15" s="252">
        <v>489.06</v>
      </c>
      <c r="DI15" s="252"/>
      <c r="DK15" s="252"/>
      <c r="DL15" s="252"/>
      <c r="DP15" s="106">
        <v>0</v>
      </c>
      <c r="DQ15" s="252">
        <v>39.42</v>
      </c>
      <c r="DR15" s="3">
        <v>546.33000000000004</v>
      </c>
      <c r="DT15" s="241">
        <f t="shared" si="4"/>
        <v>9</v>
      </c>
      <c r="DU15" s="2"/>
      <c r="DV15" s="252">
        <v>720</v>
      </c>
      <c r="DY15" s="252">
        <v>405.18</v>
      </c>
      <c r="DZ15" s="264">
        <v>3.9399999999999998E-2</v>
      </c>
      <c r="EA15" s="252">
        <v>0</v>
      </c>
      <c r="EB15" s="253">
        <v>0</v>
      </c>
    </row>
    <row r="16" spans="1:132">
      <c r="A16">
        <v>10</v>
      </c>
      <c r="B16" s="9">
        <v>10.200799999999999</v>
      </c>
      <c r="C16">
        <v>10</v>
      </c>
      <c r="D16" s="9"/>
      <c r="I16" s="248">
        <v>107.1</v>
      </c>
      <c r="J16" s="258">
        <f t="shared" si="5"/>
        <v>9.3457943925234765E-4</v>
      </c>
      <c r="K16" s="298"/>
      <c r="L16" s="252">
        <v>300</v>
      </c>
      <c r="M16" s="263"/>
      <c r="N16" s="263"/>
      <c r="O16" s="473">
        <v>328.76</v>
      </c>
      <c r="P16" s="474">
        <v>328.76</v>
      </c>
      <c r="Q16" s="474">
        <v>430.86</v>
      </c>
      <c r="R16" s="475">
        <v>0.09</v>
      </c>
      <c r="S16" s="533">
        <f t="shared" si="6"/>
        <v>10</v>
      </c>
      <c r="T16" s="460">
        <v>75.260000000000005</v>
      </c>
      <c r="U16" s="460">
        <v>10.56</v>
      </c>
      <c r="V16" s="460">
        <v>353.76</v>
      </c>
      <c r="W16" s="460"/>
      <c r="X16" s="254">
        <v>51.09</v>
      </c>
      <c r="Y16" s="461">
        <v>7.4999999999999997E-2</v>
      </c>
      <c r="Z16" s="460">
        <v>22.5</v>
      </c>
      <c r="AA16" s="460">
        <v>10.26</v>
      </c>
      <c r="AB16" s="460">
        <v>437.73</v>
      </c>
      <c r="AC16" s="462">
        <v>353.75</v>
      </c>
      <c r="AD16" s="463">
        <v>0.3</v>
      </c>
      <c r="AE16" s="460">
        <v>40.83</v>
      </c>
      <c r="AF16" s="460">
        <v>61.32</v>
      </c>
      <c r="AG16" s="460">
        <v>20.62</v>
      </c>
      <c r="AH16" s="460"/>
      <c r="AI16" s="460"/>
      <c r="AJ16" s="460"/>
      <c r="AK16" s="460"/>
      <c r="AL16" s="253"/>
      <c r="AM16" s="273">
        <v>0</v>
      </c>
      <c r="AN16" s="255">
        <v>0</v>
      </c>
      <c r="AO16" s="160">
        <v>0</v>
      </c>
      <c r="AP16" s="536">
        <v>480.1</v>
      </c>
      <c r="AQ16" s="536"/>
      <c r="AR16" s="505">
        <f t="shared" si="7"/>
        <v>10</v>
      </c>
      <c r="AS16" s="480">
        <v>257.37</v>
      </c>
      <c r="AT16" s="480">
        <v>191.57</v>
      </c>
      <c r="AU16" s="480"/>
      <c r="AV16" s="480"/>
      <c r="AW16" s="480"/>
      <c r="AX16" s="480"/>
      <c r="AY16" s="480">
        <v>303.18</v>
      </c>
      <c r="AZ16" s="499" t="s">
        <v>5323</v>
      </c>
      <c r="BA16" s="502">
        <v>23.57</v>
      </c>
      <c r="BB16" s="502">
        <v>95.8</v>
      </c>
      <c r="BC16" s="510">
        <v>237.16</v>
      </c>
      <c r="BD16" s="510">
        <v>1222.49</v>
      </c>
      <c r="BE16" s="504">
        <v>0.2</v>
      </c>
      <c r="BF16" s="503">
        <v>0.22</v>
      </c>
      <c r="BG16" s="502">
        <v>16.66</v>
      </c>
      <c r="BH16" s="502">
        <v>1414.05</v>
      </c>
      <c r="BI16" s="502">
        <v>19.170000000000002</v>
      </c>
      <c r="BJ16" s="516">
        <v>7.4999999999999997E-2</v>
      </c>
      <c r="BK16" s="516"/>
      <c r="BL16" s="510"/>
      <c r="BM16" s="511">
        <v>0.16200000000000001</v>
      </c>
      <c r="BN16" s="511"/>
      <c r="BO16" s="511" t="s">
        <v>5340</v>
      </c>
      <c r="BP16" s="510"/>
      <c r="BQ16" s="511">
        <v>0.15</v>
      </c>
      <c r="BR16" s="511">
        <v>0.22</v>
      </c>
      <c r="BS16" s="252"/>
      <c r="BT16" s="252"/>
      <c r="BU16" s="524">
        <f t="shared" si="8"/>
        <v>10</v>
      </c>
      <c r="BV16" s="489">
        <v>158.63</v>
      </c>
      <c r="BW16" s="254"/>
      <c r="BX16" s="254"/>
      <c r="BY16" s="254"/>
      <c r="BZ16" s="494">
        <v>19.170000000000002</v>
      </c>
      <c r="CA16" s="497">
        <v>0.3</v>
      </c>
      <c r="CB16" s="494">
        <v>198.46</v>
      </c>
      <c r="CC16" s="494">
        <v>424</v>
      </c>
      <c r="CD16" s="241">
        <f t="shared" si="0"/>
        <v>10</v>
      </c>
      <c r="CE16" s="2"/>
      <c r="CF16" s="2">
        <v>490.8</v>
      </c>
      <c r="CG16" s="2"/>
      <c r="CH16" s="2"/>
      <c r="CI16" s="2"/>
      <c r="CJ16" s="252"/>
      <c r="CK16" s="252"/>
      <c r="CL16" s="252">
        <v>546.33000000000004</v>
      </c>
      <c r="CM16" s="253"/>
      <c r="CO16" s="253">
        <v>0.08</v>
      </c>
      <c r="CU16" s="266">
        <f t="shared" si="1"/>
        <v>181</v>
      </c>
      <c r="CV16" s="267">
        <f t="shared" si="2"/>
        <v>362</v>
      </c>
      <c r="CW16" s="268">
        <f t="shared" si="3"/>
        <v>904.99</v>
      </c>
      <c r="CX16" s="418">
        <v>184</v>
      </c>
      <c r="CY16" s="252"/>
      <c r="CZ16" s="252"/>
      <c r="DA16" s="252"/>
      <c r="DB16" s="252"/>
      <c r="DC16" s="252"/>
      <c r="DD16" s="252"/>
      <c r="DE16" s="252"/>
      <c r="DF16" s="252">
        <f t="shared" si="9"/>
        <v>0</v>
      </c>
      <c r="DG16" s="252"/>
      <c r="DH16" s="252">
        <v>489.06</v>
      </c>
      <c r="DI16" s="252"/>
      <c r="DK16" s="252"/>
      <c r="DL16" s="252"/>
      <c r="DP16" s="262">
        <v>0</v>
      </c>
      <c r="DQ16" s="252">
        <v>39.42</v>
      </c>
      <c r="DR16" s="3">
        <v>546.33000000000004</v>
      </c>
      <c r="DT16" s="241">
        <f t="shared" si="4"/>
        <v>10</v>
      </c>
      <c r="DU16" s="2"/>
      <c r="DV16" s="252">
        <v>720</v>
      </c>
      <c r="DY16" s="252">
        <v>405.18</v>
      </c>
      <c r="DZ16" s="264">
        <v>3.9399999999999998E-2</v>
      </c>
      <c r="EA16" s="252">
        <v>0</v>
      </c>
      <c r="EB16" s="253">
        <v>0</v>
      </c>
    </row>
    <row r="17" spans="1:132">
      <c r="A17">
        <v>11</v>
      </c>
      <c r="B17" s="9">
        <v>11.200799999999999</v>
      </c>
      <c r="C17">
        <v>11</v>
      </c>
      <c r="D17" s="9"/>
      <c r="I17" s="248">
        <v>106.5</v>
      </c>
      <c r="J17" s="258">
        <f t="shared" si="5"/>
        <v>-5.6022408963585235E-3</v>
      </c>
      <c r="K17" s="298"/>
      <c r="L17" s="252">
        <v>300</v>
      </c>
      <c r="M17" s="263"/>
      <c r="N17" s="263"/>
      <c r="O17" s="473">
        <v>328.76</v>
      </c>
      <c r="P17" s="474">
        <v>328.76</v>
      </c>
      <c r="Q17" s="474">
        <v>430.86</v>
      </c>
      <c r="R17" s="475">
        <v>0.09</v>
      </c>
      <c r="S17" s="533">
        <f t="shared" si="6"/>
        <v>11</v>
      </c>
      <c r="T17" s="460">
        <v>75.260000000000005</v>
      </c>
      <c r="U17" s="460">
        <v>10.56</v>
      </c>
      <c r="V17" s="460">
        <v>353.76</v>
      </c>
      <c r="W17" s="460"/>
      <c r="X17" s="254">
        <v>51.09</v>
      </c>
      <c r="Y17" s="461">
        <v>7.4999999999999997E-2</v>
      </c>
      <c r="Z17" s="460">
        <v>22.5</v>
      </c>
      <c r="AA17" s="460">
        <v>10.26</v>
      </c>
      <c r="AB17" s="460">
        <v>437.73</v>
      </c>
      <c r="AC17" s="462">
        <v>353.75</v>
      </c>
      <c r="AD17" s="463">
        <v>0.3</v>
      </c>
      <c r="AE17" s="460">
        <v>40.83</v>
      </c>
      <c r="AF17" s="460">
        <v>61.32</v>
      </c>
      <c r="AG17" s="460">
        <v>20.62</v>
      </c>
      <c r="AH17" s="460"/>
      <c r="AI17" s="460"/>
      <c r="AJ17" s="460"/>
      <c r="AK17" s="460"/>
      <c r="AL17" s="253"/>
      <c r="AM17" s="273">
        <v>0</v>
      </c>
      <c r="AN17" s="255">
        <v>0</v>
      </c>
      <c r="AO17" s="160">
        <v>0</v>
      </c>
      <c r="AP17" s="536">
        <v>480.1</v>
      </c>
      <c r="AQ17" s="536"/>
      <c r="AR17" s="505">
        <f t="shared" si="7"/>
        <v>11</v>
      </c>
      <c r="AS17" s="480">
        <v>257.37</v>
      </c>
      <c r="AT17" s="480">
        <v>191.57</v>
      </c>
      <c r="AU17" s="480"/>
      <c r="AV17" s="480"/>
      <c r="AW17" s="480"/>
      <c r="AX17" s="480"/>
      <c r="AY17" s="480">
        <v>303.18</v>
      </c>
      <c r="AZ17" s="499" t="s">
        <v>5323</v>
      </c>
      <c r="BA17" s="502">
        <v>23.57</v>
      </c>
      <c r="BB17" s="502">
        <v>95.8</v>
      </c>
      <c r="BC17" s="510">
        <v>237.16</v>
      </c>
      <c r="BD17" s="510">
        <v>1222.49</v>
      </c>
      <c r="BE17" s="504">
        <v>0.2</v>
      </c>
      <c r="BF17" s="503">
        <v>0.22</v>
      </c>
      <c r="BG17" s="502">
        <v>16.66</v>
      </c>
      <c r="BH17" s="502">
        <v>1414.05</v>
      </c>
      <c r="BI17" s="502">
        <v>19.170000000000002</v>
      </c>
      <c r="BJ17" s="516">
        <v>7.4999999999999997E-2</v>
      </c>
      <c r="BK17" s="516"/>
      <c r="BL17" s="510"/>
      <c r="BM17" s="511">
        <v>0.16200000000000001</v>
      </c>
      <c r="BN17" s="511"/>
      <c r="BO17" s="511" t="s">
        <v>5340</v>
      </c>
      <c r="BP17" s="510"/>
      <c r="BQ17" s="511">
        <v>0.15</v>
      </c>
      <c r="BR17" s="511">
        <v>0.22</v>
      </c>
      <c r="BS17" s="252"/>
      <c r="BT17" s="252"/>
      <c r="BU17" s="524">
        <f t="shared" si="8"/>
        <v>11</v>
      </c>
      <c r="BV17" s="489">
        <v>158.63</v>
      </c>
      <c r="BW17" s="254"/>
      <c r="BX17" s="254"/>
      <c r="BY17" s="254"/>
      <c r="BZ17" s="494">
        <v>19.170000000000002</v>
      </c>
      <c r="CA17" s="497">
        <v>0.3</v>
      </c>
      <c r="CB17" s="494">
        <v>198.46</v>
      </c>
      <c r="CC17" s="494">
        <v>424</v>
      </c>
      <c r="CD17" s="241">
        <f t="shared" si="0"/>
        <v>11</v>
      </c>
      <c r="CE17" s="2"/>
      <c r="CF17" s="2">
        <v>490.8</v>
      </c>
      <c r="CG17" s="2"/>
      <c r="CH17" s="2"/>
      <c r="CI17" s="2"/>
      <c r="CJ17" s="252"/>
      <c r="CK17" s="252"/>
      <c r="CL17" s="252">
        <v>546.33000000000004</v>
      </c>
      <c r="CM17" s="253"/>
      <c r="CO17" s="5">
        <v>0.08</v>
      </c>
      <c r="CU17" s="266">
        <f t="shared" si="1"/>
        <v>181</v>
      </c>
      <c r="CV17" s="267">
        <f t="shared" si="2"/>
        <v>362</v>
      </c>
      <c r="CW17" s="268">
        <f t="shared" si="3"/>
        <v>904.99</v>
      </c>
      <c r="CX17" s="418">
        <v>184</v>
      </c>
      <c r="CY17" s="252"/>
      <c r="CZ17" s="252"/>
      <c r="DA17" s="252"/>
      <c r="DB17" s="252"/>
      <c r="DC17" s="252"/>
      <c r="DD17" s="252"/>
      <c r="DE17" s="252"/>
      <c r="DF17" s="252">
        <f t="shared" si="9"/>
        <v>0</v>
      </c>
      <c r="DG17" s="252"/>
      <c r="DH17" s="252">
        <v>489.06</v>
      </c>
      <c r="DI17" s="252"/>
      <c r="DK17" s="252"/>
      <c r="DL17" s="252"/>
      <c r="DP17" s="106">
        <v>0</v>
      </c>
      <c r="DQ17" s="252">
        <v>39.42</v>
      </c>
      <c r="DR17" s="3">
        <v>546.33000000000004</v>
      </c>
      <c r="DT17" s="241">
        <f t="shared" si="4"/>
        <v>11</v>
      </c>
      <c r="DU17" s="2"/>
      <c r="DV17" s="252">
        <v>720</v>
      </c>
      <c r="DY17" s="252">
        <v>405.18</v>
      </c>
      <c r="DZ17" s="264">
        <v>3.9399999999999998E-2</v>
      </c>
      <c r="EA17" s="252">
        <v>0</v>
      </c>
      <c r="EB17" s="253">
        <v>0</v>
      </c>
    </row>
    <row r="18" spans="1:132">
      <c r="A18">
        <v>12</v>
      </c>
      <c r="B18" s="9">
        <v>12.200799999999999</v>
      </c>
      <c r="C18">
        <v>12</v>
      </c>
      <c r="D18" s="9"/>
      <c r="I18" s="248">
        <v>106.4</v>
      </c>
      <c r="J18" s="258">
        <f t="shared" si="5"/>
        <v>-9.3896713615015948E-4</v>
      </c>
      <c r="K18" s="298"/>
      <c r="L18" s="252">
        <v>300</v>
      </c>
      <c r="M18" s="263"/>
      <c r="N18" s="263"/>
      <c r="O18" s="473">
        <v>328.76</v>
      </c>
      <c r="P18" s="474">
        <v>328.76</v>
      </c>
      <c r="Q18" s="474">
        <v>430.86</v>
      </c>
      <c r="R18" s="475">
        <v>0.09</v>
      </c>
      <c r="S18" s="533">
        <f t="shared" si="6"/>
        <v>12</v>
      </c>
      <c r="T18" s="460">
        <v>75.260000000000005</v>
      </c>
      <c r="U18" s="460">
        <v>10.56</v>
      </c>
      <c r="V18" s="460">
        <v>353.76</v>
      </c>
      <c r="W18" s="460"/>
      <c r="X18" s="254">
        <v>51.09</v>
      </c>
      <c r="Y18" s="461">
        <v>7.4999999999999997E-2</v>
      </c>
      <c r="Z18" s="460">
        <v>22.5</v>
      </c>
      <c r="AA18" s="460">
        <v>10.26</v>
      </c>
      <c r="AB18" s="460">
        <v>437.73</v>
      </c>
      <c r="AC18" s="462">
        <v>353.75</v>
      </c>
      <c r="AD18" s="463">
        <v>0.3</v>
      </c>
      <c r="AE18" s="460">
        <v>40.83</v>
      </c>
      <c r="AF18" s="460">
        <v>61.32</v>
      </c>
      <c r="AG18" s="460">
        <v>20.62</v>
      </c>
      <c r="AH18" s="460"/>
      <c r="AI18" s="460"/>
      <c r="AJ18" s="460"/>
      <c r="AK18" s="460"/>
      <c r="AL18" s="253"/>
      <c r="AM18" s="273">
        <v>0</v>
      </c>
      <c r="AN18" s="255">
        <v>0</v>
      </c>
      <c r="AO18" s="160">
        <v>0</v>
      </c>
      <c r="AP18" s="536">
        <v>480.1</v>
      </c>
      <c r="AQ18" s="536"/>
      <c r="AR18" s="505">
        <f t="shared" si="7"/>
        <v>12</v>
      </c>
      <c r="AS18" s="480">
        <v>257.37</v>
      </c>
      <c r="AT18" s="480">
        <v>191.57</v>
      </c>
      <c r="AU18" s="480"/>
      <c r="AV18" s="480"/>
      <c r="AW18" s="480"/>
      <c r="AX18" s="480"/>
      <c r="AY18" s="480">
        <v>303.18</v>
      </c>
      <c r="AZ18" s="499" t="s">
        <v>5323</v>
      </c>
      <c r="BA18" s="502">
        <v>23.57</v>
      </c>
      <c r="BB18" s="502">
        <v>95.8</v>
      </c>
      <c r="BC18" s="510">
        <v>237.16</v>
      </c>
      <c r="BD18" s="510">
        <v>1222.49</v>
      </c>
      <c r="BE18" s="504">
        <v>0.2</v>
      </c>
      <c r="BF18" s="503">
        <v>0.22</v>
      </c>
      <c r="BG18" s="502">
        <v>16.66</v>
      </c>
      <c r="BH18" s="502">
        <v>1414.05</v>
      </c>
      <c r="BI18" s="502">
        <v>19.170000000000002</v>
      </c>
      <c r="BJ18" s="516">
        <v>7.4999999999999997E-2</v>
      </c>
      <c r="BK18" s="516"/>
      <c r="BL18" s="510"/>
      <c r="BM18" s="511">
        <v>0.16200000000000001</v>
      </c>
      <c r="BN18" s="511"/>
      <c r="BO18" s="511" t="s">
        <v>5340</v>
      </c>
      <c r="BP18" s="510">
        <v>533</v>
      </c>
      <c r="BQ18" s="511">
        <v>0.15</v>
      </c>
      <c r="BR18" s="511">
        <v>0.22</v>
      </c>
      <c r="BS18" s="252"/>
      <c r="BT18" s="252"/>
      <c r="BU18" s="524">
        <f t="shared" si="8"/>
        <v>12</v>
      </c>
      <c r="BV18" s="489">
        <v>158.63</v>
      </c>
      <c r="BW18" s="254"/>
      <c r="BX18" s="254"/>
      <c r="BY18" s="254"/>
      <c r="BZ18" s="494">
        <v>19.170000000000002</v>
      </c>
      <c r="CA18" s="497">
        <v>0.3</v>
      </c>
      <c r="CB18" s="494">
        <v>198.46</v>
      </c>
      <c r="CC18" s="494">
        <v>424</v>
      </c>
      <c r="CD18" s="241">
        <f t="shared" si="0"/>
        <v>12</v>
      </c>
      <c r="CE18" s="2"/>
      <c r="CF18" s="2">
        <v>490.8</v>
      </c>
      <c r="CG18" s="2"/>
      <c r="CH18" s="2"/>
      <c r="CI18" s="2"/>
      <c r="CJ18" s="252"/>
      <c r="CK18" s="252"/>
      <c r="CL18" s="252">
        <v>546.33000000000004</v>
      </c>
      <c r="CM18" s="253"/>
      <c r="CO18" s="253">
        <v>0.08</v>
      </c>
      <c r="CU18" s="266">
        <f t="shared" si="1"/>
        <v>181</v>
      </c>
      <c r="CV18" s="267">
        <f t="shared" si="2"/>
        <v>362</v>
      </c>
      <c r="CW18" s="268">
        <f t="shared" si="3"/>
        <v>904.99</v>
      </c>
      <c r="CX18" s="418">
        <v>184</v>
      </c>
      <c r="CY18" s="252"/>
      <c r="CZ18" s="252"/>
      <c r="DA18" s="252"/>
      <c r="DB18" s="252"/>
      <c r="DC18" s="252"/>
      <c r="DD18" s="252"/>
      <c r="DE18" s="252"/>
      <c r="DF18" s="252">
        <f t="shared" si="9"/>
        <v>0</v>
      </c>
      <c r="DG18" s="252"/>
      <c r="DH18" s="252">
        <v>489.06</v>
      </c>
      <c r="DI18" s="252"/>
      <c r="DK18" s="252"/>
      <c r="DL18" s="252"/>
      <c r="DP18" s="262">
        <v>0</v>
      </c>
      <c r="DQ18" s="252">
        <v>39.42</v>
      </c>
      <c r="DR18" s="3">
        <v>546.33000000000004</v>
      </c>
      <c r="DT18" s="241">
        <f t="shared" si="4"/>
        <v>12</v>
      </c>
      <c r="DU18" s="2"/>
      <c r="DV18" s="252">
        <v>720</v>
      </c>
      <c r="DY18" s="252">
        <v>405.18</v>
      </c>
      <c r="DZ18" s="264">
        <v>3.9399999999999998E-2</v>
      </c>
      <c r="EA18" s="252">
        <v>0</v>
      </c>
      <c r="EB18" s="253">
        <v>0</v>
      </c>
    </row>
    <row r="19" spans="1:132">
      <c r="A19">
        <v>13</v>
      </c>
      <c r="B19" s="9">
        <v>1.2009000000000001</v>
      </c>
      <c r="C19">
        <v>13</v>
      </c>
      <c r="D19" s="9"/>
      <c r="I19" s="248">
        <v>105.8</v>
      </c>
      <c r="J19" s="258">
        <f t="shared" si="5"/>
        <v>-5.6390977443609991E-3</v>
      </c>
      <c r="K19" s="298"/>
      <c r="L19" s="252">
        <v>300</v>
      </c>
      <c r="M19" s="263"/>
      <c r="N19" s="263"/>
      <c r="O19" s="473">
        <v>328.76</v>
      </c>
      <c r="P19" s="474">
        <v>328.76</v>
      </c>
      <c r="Q19" s="474">
        <v>430.86</v>
      </c>
      <c r="R19" s="475">
        <v>0.09</v>
      </c>
      <c r="S19" s="533">
        <f t="shared" si="6"/>
        <v>13</v>
      </c>
      <c r="T19" s="460">
        <v>75.260000000000005</v>
      </c>
      <c r="U19" s="460">
        <v>10.56</v>
      </c>
      <c r="V19" s="460">
        <v>353.76</v>
      </c>
      <c r="W19" s="460"/>
      <c r="X19" s="254">
        <v>51.09</v>
      </c>
      <c r="Y19" s="461">
        <v>7.4999999999999997E-2</v>
      </c>
      <c r="Z19" s="460">
        <v>22.5</v>
      </c>
      <c r="AA19" s="460">
        <v>10.26</v>
      </c>
      <c r="AB19" s="460">
        <v>437.73</v>
      </c>
      <c r="AC19" s="462">
        <v>353.75</v>
      </c>
      <c r="AD19" s="463">
        <v>0.3</v>
      </c>
      <c r="AE19" s="460">
        <v>40.83</v>
      </c>
      <c r="AF19" s="460">
        <v>61.32</v>
      </c>
      <c r="AG19" s="460">
        <v>20.62</v>
      </c>
      <c r="AH19" s="460"/>
      <c r="AI19" s="460"/>
      <c r="AJ19" s="460"/>
      <c r="AK19" s="460"/>
      <c r="AL19" s="253"/>
      <c r="AM19" s="273">
        <v>0</v>
      </c>
      <c r="AN19" s="255">
        <v>0</v>
      </c>
      <c r="AO19" s="160">
        <v>0</v>
      </c>
      <c r="AP19" s="536">
        <v>480.1</v>
      </c>
      <c r="AQ19" s="536"/>
      <c r="AR19" s="505">
        <f t="shared" si="7"/>
        <v>13</v>
      </c>
      <c r="AS19" s="480">
        <v>257.37</v>
      </c>
      <c r="AT19" s="480">
        <v>191.57</v>
      </c>
      <c r="AU19" s="480"/>
      <c r="AV19" s="480"/>
      <c r="AW19" s="480"/>
      <c r="AX19" s="480"/>
      <c r="AY19" s="480">
        <v>303.18</v>
      </c>
      <c r="AZ19" s="499" t="s">
        <v>5323</v>
      </c>
      <c r="BA19" s="502">
        <v>23.57</v>
      </c>
      <c r="BB19" s="501"/>
      <c r="BC19" s="510">
        <v>237.16</v>
      </c>
      <c r="BD19" s="510">
        <v>1222.49</v>
      </c>
      <c r="BE19" s="504">
        <v>0.2</v>
      </c>
      <c r="BF19" s="503">
        <v>0.22</v>
      </c>
      <c r="BG19" s="502">
        <v>16.66</v>
      </c>
      <c r="BH19" s="502">
        <v>1414.05</v>
      </c>
      <c r="BI19" s="502">
        <v>19.170000000000002</v>
      </c>
      <c r="BJ19" s="502"/>
      <c r="BK19" s="502"/>
      <c r="BL19" s="510"/>
      <c r="BM19" s="511">
        <v>0.16200000000000001</v>
      </c>
      <c r="BN19" s="511"/>
      <c r="BO19" s="511" t="s">
        <v>5340</v>
      </c>
      <c r="BP19" s="252"/>
      <c r="BQ19" s="252"/>
      <c r="BR19" s="511">
        <v>0.22</v>
      </c>
      <c r="BS19" s="252"/>
      <c r="BT19" s="252"/>
      <c r="BU19" s="524">
        <f t="shared" si="8"/>
        <v>13</v>
      </c>
      <c r="BV19" s="489">
        <v>158.63</v>
      </c>
      <c r="BW19" s="254"/>
      <c r="BX19" s="254"/>
      <c r="BY19" s="254"/>
      <c r="BZ19" s="494">
        <v>19.170000000000002</v>
      </c>
      <c r="CA19" s="497">
        <v>0.3</v>
      </c>
      <c r="CB19" s="497"/>
      <c r="CC19" s="494">
        <v>424</v>
      </c>
      <c r="CD19" s="241">
        <f t="shared" si="0"/>
        <v>13</v>
      </c>
      <c r="CE19" s="2"/>
      <c r="CF19" s="2">
        <v>490.8</v>
      </c>
      <c r="CG19" s="2"/>
      <c r="CH19" s="2"/>
      <c r="CI19" s="2"/>
      <c r="CJ19" s="252"/>
      <c r="CK19" s="252"/>
      <c r="CL19" s="252">
        <v>546.33000000000004</v>
      </c>
      <c r="CM19" s="253"/>
      <c r="CO19" s="5">
        <v>0.08</v>
      </c>
      <c r="CU19" s="266">
        <f t="shared" si="1"/>
        <v>181</v>
      </c>
      <c r="CV19" s="267">
        <f t="shared" si="2"/>
        <v>362</v>
      </c>
      <c r="CW19" s="268">
        <f t="shared" si="3"/>
        <v>904.99</v>
      </c>
      <c r="CX19" s="418">
        <v>184</v>
      </c>
      <c r="CY19" s="252"/>
      <c r="CZ19" s="252"/>
      <c r="DA19" s="252"/>
      <c r="DB19" s="252"/>
      <c r="DC19" s="252"/>
      <c r="DD19" s="252"/>
      <c r="DE19" s="252"/>
      <c r="DF19" s="252">
        <f t="shared" si="9"/>
        <v>0</v>
      </c>
      <c r="DG19" s="252"/>
      <c r="DH19" s="252">
        <v>489.06</v>
      </c>
      <c r="DI19" s="252"/>
      <c r="DK19" s="252"/>
      <c r="DL19" s="252"/>
      <c r="DP19" s="106">
        <v>0</v>
      </c>
      <c r="DQ19" s="252">
        <v>39.42</v>
      </c>
      <c r="DR19" s="3">
        <v>546.33000000000004</v>
      </c>
      <c r="DT19" s="241">
        <f t="shared" si="4"/>
        <v>13</v>
      </c>
      <c r="DU19" s="2"/>
      <c r="DV19" s="252">
        <v>720</v>
      </c>
      <c r="DY19" s="252">
        <v>405.18</v>
      </c>
      <c r="DZ19" s="264">
        <v>3.9399999999999998E-2</v>
      </c>
      <c r="EA19" s="252">
        <v>0</v>
      </c>
      <c r="EB19" s="253">
        <v>0</v>
      </c>
    </row>
    <row r="20" spans="1:132">
      <c r="A20">
        <v>14</v>
      </c>
      <c r="B20" s="9">
        <v>2.2008999999999999</v>
      </c>
      <c r="C20">
        <v>14</v>
      </c>
      <c r="D20" s="9"/>
      <c r="I20" s="248">
        <v>105.7</v>
      </c>
      <c r="J20" s="258">
        <f t="shared" si="5"/>
        <v>-9.4517958412088099E-4</v>
      </c>
      <c r="K20" s="298"/>
      <c r="L20" s="252">
        <v>300</v>
      </c>
      <c r="M20" s="263"/>
      <c r="N20" s="263"/>
      <c r="O20" s="473">
        <v>328.76</v>
      </c>
      <c r="P20" s="474">
        <v>328.76</v>
      </c>
      <c r="Q20" s="474">
        <v>430.86</v>
      </c>
      <c r="R20" s="475">
        <v>0.09</v>
      </c>
      <c r="S20" s="533">
        <f t="shared" si="6"/>
        <v>14</v>
      </c>
      <c r="T20" s="460">
        <v>75.260000000000005</v>
      </c>
      <c r="U20" s="460">
        <v>10.56</v>
      </c>
      <c r="V20" s="460">
        <v>353.76</v>
      </c>
      <c r="W20" s="460"/>
      <c r="X20" s="254">
        <v>51.09</v>
      </c>
      <c r="Y20" s="461">
        <v>7.4999999999999997E-2</v>
      </c>
      <c r="Z20" s="460">
        <v>22.5</v>
      </c>
      <c r="AA20" s="460">
        <v>10.26</v>
      </c>
      <c r="AB20" s="460">
        <v>437.73</v>
      </c>
      <c r="AC20" s="462">
        <v>353.75</v>
      </c>
      <c r="AD20" s="463">
        <v>0.3</v>
      </c>
      <c r="AE20" s="460">
        <v>40.83</v>
      </c>
      <c r="AF20" s="460">
        <v>61.32</v>
      </c>
      <c r="AG20" s="460">
        <v>20.62</v>
      </c>
      <c r="AH20" s="460"/>
      <c r="AI20" s="460"/>
      <c r="AJ20" s="460"/>
      <c r="AK20" s="460"/>
      <c r="AL20" s="253"/>
      <c r="AM20" s="273">
        <v>0</v>
      </c>
      <c r="AN20" s="255">
        <v>0</v>
      </c>
      <c r="AO20" s="160">
        <v>0</v>
      </c>
      <c r="AP20" s="536">
        <v>480.1</v>
      </c>
      <c r="AQ20" s="536"/>
      <c r="AR20" s="505">
        <f t="shared" si="7"/>
        <v>14</v>
      </c>
      <c r="AS20" s="480">
        <v>257.37</v>
      </c>
      <c r="AT20" s="480">
        <v>191.57</v>
      </c>
      <c r="AU20" s="480"/>
      <c r="AV20" s="480"/>
      <c r="AW20" s="480"/>
      <c r="AX20" s="480"/>
      <c r="AY20" s="480">
        <v>303.18</v>
      </c>
      <c r="AZ20" s="499" t="s">
        <v>5323</v>
      </c>
      <c r="BA20" s="502">
        <v>23.57</v>
      </c>
      <c r="BB20" s="502"/>
      <c r="BC20" s="510">
        <v>237.16</v>
      </c>
      <c r="BD20" s="510">
        <v>1222.49</v>
      </c>
      <c r="BE20" s="504">
        <v>0.2</v>
      </c>
      <c r="BF20" s="503">
        <v>0.22</v>
      </c>
      <c r="BG20" s="502">
        <v>16.66</v>
      </c>
      <c r="BH20" s="502">
        <v>1414.05</v>
      </c>
      <c r="BI20" s="502">
        <v>19.170000000000002</v>
      </c>
      <c r="BJ20" s="502"/>
      <c r="BK20" s="502"/>
      <c r="BL20" s="510"/>
      <c r="BM20" s="511">
        <v>0.16200000000000001</v>
      </c>
      <c r="BN20" s="511"/>
      <c r="BO20" s="511" t="s">
        <v>5340</v>
      </c>
      <c r="BP20" s="252"/>
      <c r="BQ20" s="252"/>
      <c r="BR20" s="511">
        <v>0.22</v>
      </c>
      <c r="BS20" s="252"/>
      <c r="BT20" s="252"/>
      <c r="BU20" s="524">
        <f t="shared" si="8"/>
        <v>14</v>
      </c>
      <c r="BV20" s="489">
        <v>158.63</v>
      </c>
      <c r="BW20" s="254"/>
      <c r="BX20" s="254"/>
      <c r="BY20" s="254"/>
      <c r="BZ20" s="494">
        <v>19.170000000000002</v>
      </c>
      <c r="CA20" s="497">
        <v>0.3</v>
      </c>
      <c r="CB20" s="497"/>
      <c r="CC20" s="494">
        <v>424</v>
      </c>
      <c r="CD20" s="241">
        <f t="shared" si="0"/>
        <v>14</v>
      </c>
      <c r="CE20" s="2"/>
      <c r="CF20" s="2">
        <v>490.8</v>
      </c>
      <c r="CG20" s="2"/>
      <c r="CH20" s="2"/>
      <c r="CI20" s="2"/>
      <c r="CJ20" s="252"/>
      <c r="CK20" s="252"/>
      <c r="CL20" s="252">
        <v>546.33000000000004</v>
      </c>
      <c r="CM20" s="253"/>
      <c r="CO20" s="253">
        <v>0.08</v>
      </c>
      <c r="CU20" s="266">
        <f t="shared" si="1"/>
        <v>181</v>
      </c>
      <c r="CV20" s="267">
        <f t="shared" si="2"/>
        <v>362</v>
      </c>
      <c r="CW20" s="268">
        <f t="shared" si="3"/>
        <v>904.99</v>
      </c>
      <c r="CX20" s="418">
        <v>184</v>
      </c>
      <c r="CY20" s="252"/>
      <c r="CZ20" s="252"/>
      <c r="DA20" s="252"/>
      <c r="DB20" s="252"/>
      <c r="DC20" s="252"/>
      <c r="DD20" s="252"/>
      <c r="DE20" s="252"/>
      <c r="DF20" s="252">
        <f t="shared" si="9"/>
        <v>0</v>
      </c>
      <c r="DG20" s="252"/>
      <c r="DH20" s="252">
        <v>489.06</v>
      </c>
      <c r="DI20" s="252"/>
      <c r="DK20" s="252"/>
      <c r="DL20" s="252"/>
      <c r="DP20" s="262">
        <v>0</v>
      </c>
      <c r="DQ20" s="252">
        <v>39.42</v>
      </c>
      <c r="DR20" s="3">
        <v>546.33000000000004</v>
      </c>
      <c r="DT20" s="241">
        <f t="shared" si="4"/>
        <v>14</v>
      </c>
      <c r="DU20" s="2"/>
      <c r="DV20" s="252">
        <v>720</v>
      </c>
      <c r="DY20" s="252">
        <v>405.18</v>
      </c>
      <c r="DZ20" s="264">
        <v>3.9399999999999998E-2</v>
      </c>
      <c r="EA20" s="252">
        <v>0</v>
      </c>
      <c r="EB20" s="253">
        <v>0</v>
      </c>
    </row>
    <row r="21" spans="1:132">
      <c r="A21">
        <v>15</v>
      </c>
      <c r="B21" s="9">
        <v>3.2008999999999999</v>
      </c>
      <c r="C21">
        <v>15</v>
      </c>
      <c r="D21" s="9"/>
      <c r="I21" s="248">
        <v>106.3</v>
      </c>
      <c r="J21" s="258">
        <f t="shared" si="5"/>
        <v>5.6764427625353164E-3</v>
      </c>
      <c r="K21" s="298"/>
      <c r="L21" s="252">
        <v>300</v>
      </c>
      <c r="M21" s="263"/>
      <c r="N21" s="263"/>
      <c r="O21" s="473">
        <v>328.76</v>
      </c>
      <c r="P21" s="474">
        <v>328.76</v>
      </c>
      <c r="Q21" s="474">
        <v>430.86</v>
      </c>
      <c r="R21" s="475">
        <v>0.09</v>
      </c>
      <c r="S21" s="533">
        <f t="shared" si="6"/>
        <v>15</v>
      </c>
      <c r="T21" s="460">
        <v>75.260000000000005</v>
      </c>
      <c r="U21" s="460">
        <v>10.56</v>
      </c>
      <c r="V21" s="460">
        <v>353.76</v>
      </c>
      <c r="W21" s="460"/>
      <c r="X21" s="254">
        <v>51.09</v>
      </c>
      <c r="Y21" s="461">
        <v>7.4999999999999997E-2</v>
      </c>
      <c r="Z21" s="460">
        <v>22.5</v>
      </c>
      <c r="AA21" s="460">
        <v>10.26</v>
      </c>
      <c r="AB21" s="460">
        <v>437.73</v>
      </c>
      <c r="AC21" s="462">
        <v>353.75</v>
      </c>
      <c r="AD21" s="463">
        <v>0.3</v>
      </c>
      <c r="AE21" s="460">
        <v>40.83</v>
      </c>
      <c r="AF21" s="460">
        <v>61.32</v>
      </c>
      <c r="AG21" s="460">
        <v>20.62</v>
      </c>
      <c r="AH21" s="460"/>
      <c r="AI21" s="460"/>
      <c r="AJ21" s="460"/>
      <c r="AK21" s="460"/>
      <c r="AL21" s="253"/>
      <c r="AM21" s="273">
        <v>0</v>
      </c>
      <c r="AN21" s="255">
        <v>0</v>
      </c>
      <c r="AO21" s="160">
        <v>0</v>
      </c>
      <c r="AP21" s="536">
        <v>480.1</v>
      </c>
      <c r="AQ21" s="536"/>
      <c r="AR21" s="505">
        <f t="shared" si="7"/>
        <v>15</v>
      </c>
      <c r="AS21" s="480">
        <v>257.37</v>
      </c>
      <c r="AT21" s="480">
        <v>191.57</v>
      </c>
      <c r="AU21" s="480"/>
      <c r="AV21" s="480"/>
      <c r="AW21" s="480"/>
      <c r="AX21" s="480"/>
      <c r="AY21" s="480">
        <v>303.18</v>
      </c>
      <c r="AZ21" s="499" t="s">
        <v>5323</v>
      </c>
      <c r="BA21" s="502">
        <v>23.57</v>
      </c>
      <c r="BB21" s="501"/>
      <c r="BC21" s="510">
        <v>237.16</v>
      </c>
      <c r="BD21" s="510">
        <v>1222.49</v>
      </c>
      <c r="BE21" s="504">
        <v>0.2</v>
      </c>
      <c r="BF21" s="503">
        <v>0.22</v>
      </c>
      <c r="BG21" s="502">
        <v>16.66</v>
      </c>
      <c r="BH21" s="502">
        <v>1414.05</v>
      </c>
      <c r="BI21" s="502">
        <v>19.170000000000002</v>
      </c>
      <c r="BJ21" s="502"/>
      <c r="BK21" s="502"/>
      <c r="BL21" s="510"/>
      <c r="BM21" s="511">
        <v>0.16200000000000001</v>
      </c>
      <c r="BN21" s="511"/>
      <c r="BO21" s="511" t="s">
        <v>5340</v>
      </c>
      <c r="BP21" s="252"/>
      <c r="BQ21" s="252"/>
      <c r="BR21" s="511">
        <v>0.22</v>
      </c>
      <c r="BS21" s="252"/>
      <c r="BT21" s="252"/>
      <c r="BU21" s="524">
        <f t="shared" si="8"/>
        <v>15</v>
      </c>
      <c r="BV21" s="489">
        <v>158.63</v>
      </c>
      <c r="BW21" s="254"/>
      <c r="BX21" s="254"/>
      <c r="BY21" s="254"/>
      <c r="BZ21" s="494">
        <v>19.170000000000002</v>
      </c>
      <c r="CA21" s="497">
        <v>0.3</v>
      </c>
      <c r="CB21" s="497"/>
      <c r="CC21" s="494">
        <v>424</v>
      </c>
      <c r="CD21" s="241">
        <f t="shared" si="0"/>
        <v>15</v>
      </c>
      <c r="CE21" s="2"/>
      <c r="CF21" s="2">
        <v>490.8</v>
      </c>
      <c r="CG21" s="2"/>
      <c r="CH21" s="2"/>
      <c r="CI21" s="2"/>
      <c r="CJ21" s="252"/>
      <c r="CK21" s="252"/>
      <c r="CL21" s="252">
        <v>546.33000000000004</v>
      </c>
      <c r="CM21" s="253"/>
      <c r="CO21" s="5">
        <v>0.08</v>
      </c>
      <c r="CU21" s="266">
        <f t="shared" si="1"/>
        <v>181</v>
      </c>
      <c r="CV21" s="267">
        <f t="shared" si="2"/>
        <v>362</v>
      </c>
      <c r="CW21" s="268">
        <f t="shared" si="3"/>
        <v>904.99</v>
      </c>
      <c r="CX21" s="418">
        <v>184</v>
      </c>
      <c r="CY21" s="252"/>
      <c r="CZ21" s="252"/>
      <c r="DA21" s="252"/>
      <c r="DB21" s="252"/>
      <c r="DC21" s="252"/>
      <c r="DD21" s="252"/>
      <c r="DE21" s="252"/>
      <c r="DF21" s="252">
        <f t="shared" si="9"/>
        <v>0</v>
      </c>
      <c r="DG21" s="252"/>
      <c r="DH21" s="252">
        <v>489.06</v>
      </c>
      <c r="DI21" s="252"/>
      <c r="DK21" s="252"/>
      <c r="DL21" s="252"/>
      <c r="DP21" s="106">
        <v>0</v>
      </c>
      <c r="DQ21" s="252">
        <v>39.42</v>
      </c>
      <c r="DR21" s="3">
        <v>546.33000000000004</v>
      </c>
      <c r="DT21" s="241">
        <f t="shared" si="4"/>
        <v>15</v>
      </c>
      <c r="DU21" s="2"/>
      <c r="DV21" s="252">
        <v>720</v>
      </c>
      <c r="DY21" s="252">
        <v>405.18</v>
      </c>
      <c r="DZ21" s="264">
        <v>3.9399999999999998E-2</v>
      </c>
      <c r="EA21" s="252">
        <v>0</v>
      </c>
      <c r="EB21" s="253">
        <v>0</v>
      </c>
    </row>
    <row r="22" spans="1:132">
      <c r="A22">
        <v>16</v>
      </c>
      <c r="B22" s="9">
        <v>4.2008999999999999</v>
      </c>
      <c r="C22">
        <v>16</v>
      </c>
      <c r="D22" s="9"/>
      <c r="I22" s="248">
        <v>107.3</v>
      </c>
      <c r="J22" s="258">
        <f t="shared" si="5"/>
        <v>9.4073377234242805E-3</v>
      </c>
      <c r="K22" s="298"/>
      <c r="L22" s="252">
        <v>300</v>
      </c>
      <c r="M22" s="263"/>
      <c r="N22" s="263"/>
      <c r="O22" s="473">
        <v>328.76</v>
      </c>
      <c r="P22" s="474">
        <v>328.76</v>
      </c>
      <c r="Q22" s="474">
        <v>430.86</v>
      </c>
      <c r="R22" s="475">
        <v>0.09</v>
      </c>
      <c r="S22" s="533">
        <f t="shared" si="6"/>
        <v>16</v>
      </c>
      <c r="T22" s="460">
        <v>75.260000000000005</v>
      </c>
      <c r="U22" s="460">
        <v>10.56</v>
      </c>
      <c r="V22" s="460">
        <v>353.76</v>
      </c>
      <c r="W22" s="460"/>
      <c r="X22" s="254">
        <v>51.09</v>
      </c>
      <c r="Y22" s="461">
        <v>7.4999999999999997E-2</v>
      </c>
      <c r="Z22" s="460">
        <v>22.5</v>
      </c>
      <c r="AA22" s="460">
        <v>10.26</v>
      </c>
      <c r="AB22" s="460">
        <v>437.73</v>
      </c>
      <c r="AC22" s="462">
        <v>353.75</v>
      </c>
      <c r="AD22" s="463">
        <v>0.3</v>
      </c>
      <c r="AE22" s="460">
        <v>40.83</v>
      </c>
      <c r="AF22" s="460">
        <v>61.32</v>
      </c>
      <c r="AG22" s="460">
        <v>20.62</v>
      </c>
      <c r="AH22" s="460"/>
      <c r="AI22" s="460"/>
      <c r="AJ22" s="460"/>
      <c r="AK22" s="460"/>
      <c r="AL22" s="253"/>
      <c r="AM22" s="273">
        <v>0</v>
      </c>
      <c r="AN22" s="255">
        <v>0</v>
      </c>
      <c r="AO22" s="160">
        <v>0</v>
      </c>
      <c r="AP22" s="536">
        <v>480.1</v>
      </c>
      <c r="AQ22" s="536"/>
      <c r="AR22" s="505">
        <f t="shared" si="7"/>
        <v>16</v>
      </c>
      <c r="AS22" s="480">
        <v>257.37</v>
      </c>
      <c r="AT22" s="480">
        <v>191.57</v>
      </c>
      <c r="AU22" s="480"/>
      <c r="AV22" s="480"/>
      <c r="AW22" s="480"/>
      <c r="AX22" s="480"/>
      <c r="AY22" s="480">
        <v>303.18</v>
      </c>
      <c r="AZ22" s="499" t="s">
        <v>5323</v>
      </c>
      <c r="BA22" s="502">
        <v>23.57</v>
      </c>
      <c r="BB22" s="502"/>
      <c r="BC22" s="510">
        <v>237.16</v>
      </c>
      <c r="BD22" s="510">
        <v>1222.49</v>
      </c>
      <c r="BE22" s="504">
        <v>0.2</v>
      </c>
      <c r="BF22" s="503">
        <v>0.22</v>
      </c>
      <c r="BG22" s="502">
        <v>16.66</v>
      </c>
      <c r="BH22" s="502">
        <v>1414.05</v>
      </c>
      <c r="BI22" s="502">
        <v>19.170000000000002</v>
      </c>
      <c r="BJ22" s="502"/>
      <c r="BK22" s="502"/>
      <c r="BL22" s="510"/>
      <c r="BM22" s="511">
        <v>0.16200000000000001</v>
      </c>
      <c r="BN22" s="511"/>
      <c r="BO22" s="511" t="s">
        <v>5340</v>
      </c>
      <c r="BP22" s="252"/>
      <c r="BQ22" s="252"/>
      <c r="BR22" s="511">
        <v>0.22</v>
      </c>
      <c r="BS22" s="252"/>
      <c r="BT22" s="252"/>
      <c r="BU22" s="524">
        <f t="shared" si="8"/>
        <v>16</v>
      </c>
      <c r="BV22" s="489">
        <v>158.63</v>
      </c>
      <c r="BW22" s="254"/>
      <c r="BX22" s="254"/>
      <c r="BY22" s="254"/>
      <c r="BZ22" s="494">
        <v>19.170000000000002</v>
      </c>
      <c r="CA22" s="497">
        <v>0.3</v>
      </c>
      <c r="CB22" s="497"/>
      <c r="CC22" s="494">
        <v>424</v>
      </c>
      <c r="CD22" s="241">
        <f t="shared" si="0"/>
        <v>16</v>
      </c>
      <c r="CE22" s="2"/>
      <c r="CF22" s="2">
        <v>490.8</v>
      </c>
      <c r="CG22" s="2"/>
      <c r="CH22" s="2"/>
      <c r="CI22" s="2"/>
      <c r="CJ22" s="252"/>
      <c r="CK22" s="252"/>
      <c r="CL22" s="252">
        <v>546.33000000000004</v>
      </c>
      <c r="CM22" s="253"/>
      <c r="CO22" s="253">
        <v>0.08</v>
      </c>
      <c r="CU22" s="266">
        <f t="shared" si="1"/>
        <v>181</v>
      </c>
      <c r="CV22" s="267">
        <f t="shared" si="2"/>
        <v>362</v>
      </c>
      <c r="CW22" s="268">
        <f t="shared" si="3"/>
        <v>904.99</v>
      </c>
      <c r="CX22" s="418">
        <v>184</v>
      </c>
      <c r="CY22" s="252"/>
      <c r="CZ22" s="252"/>
      <c r="DA22" s="252"/>
      <c r="DB22" s="252"/>
      <c r="DC22" s="252"/>
      <c r="DD22" s="252"/>
      <c r="DE22" s="252"/>
      <c r="DF22" s="252">
        <f t="shared" si="9"/>
        <v>0</v>
      </c>
      <c r="DG22" s="252"/>
      <c r="DH22" s="252">
        <v>489.06</v>
      </c>
      <c r="DI22" s="252"/>
      <c r="DK22" s="252"/>
      <c r="DL22" s="252"/>
      <c r="DP22" s="262">
        <v>0</v>
      </c>
      <c r="DQ22" s="252">
        <v>39.42</v>
      </c>
      <c r="DR22" s="3">
        <v>546.33000000000004</v>
      </c>
      <c r="DT22" s="241">
        <f t="shared" si="4"/>
        <v>16</v>
      </c>
      <c r="DU22" s="2"/>
      <c r="DV22" s="252">
        <v>720</v>
      </c>
      <c r="DY22" s="252">
        <v>405.18</v>
      </c>
      <c r="DZ22" s="264">
        <v>3.9399999999999998E-2</v>
      </c>
      <c r="EA22" s="252">
        <v>0</v>
      </c>
      <c r="EB22" s="253">
        <v>0</v>
      </c>
    </row>
    <row r="23" spans="1:132">
      <c r="A23">
        <v>17</v>
      </c>
      <c r="B23" s="9">
        <v>5.2008999999999999</v>
      </c>
      <c r="C23">
        <v>17</v>
      </c>
      <c r="D23" s="9"/>
      <c r="I23" s="248">
        <v>107.7</v>
      </c>
      <c r="J23" s="258">
        <f t="shared" si="5"/>
        <v>3.7278657968313755E-3</v>
      </c>
      <c r="K23" s="298"/>
      <c r="L23" s="252">
        <v>300</v>
      </c>
      <c r="M23" s="263"/>
      <c r="N23" s="263"/>
      <c r="O23" s="473">
        <v>328.76</v>
      </c>
      <c r="P23" s="474">
        <v>328.76</v>
      </c>
      <c r="Q23" s="474">
        <v>430.86</v>
      </c>
      <c r="R23" s="475">
        <v>0.09</v>
      </c>
      <c r="S23" s="533">
        <f t="shared" si="6"/>
        <v>17</v>
      </c>
      <c r="T23" s="460">
        <v>75.260000000000005</v>
      </c>
      <c r="U23" s="460">
        <v>10.56</v>
      </c>
      <c r="V23" s="460">
        <v>353.76</v>
      </c>
      <c r="W23" s="460"/>
      <c r="X23" s="254">
        <v>51.09</v>
      </c>
      <c r="Y23" s="461">
        <v>7.4999999999999997E-2</v>
      </c>
      <c r="Z23" s="460">
        <v>22.5</v>
      </c>
      <c r="AA23" s="460">
        <v>10.26</v>
      </c>
      <c r="AB23" s="460">
        <v>437.73</v>
      </c>
      <c r="AC23" s="462">
        <v>353.75</v>
      </c>
      <c r="AD23" s="463">
        <v>0.3</v>
      </c>
      <c r="AE23" s="460">
        <v>40.83</v>
      </c>
      <c r="AF23" s="460">
        <v>61.32</v>
      </c>
      <c r="AG23" s="460">
        <v>20.62</v>
      </c>
      <c r="AH23" s="460"/>
      <c r="AI23" s="460"/>
      <c r="AJ23" s="460"/>
      <c r="AK23" s="460"/>
      <c r="AL23" s="253"/>
      <c r="AM23" s="273">
        <v>0</v>
      </c>
      <c r="AN23" s="255">
        <v>0</v>
      </c>
      <c r="AO23" s="160">
        <v>0</v>
      </c>
      <c r="AP23" s="536">
        <v>480.1</v>
      </c>
      <c r="AQ23" s="536"/>
      <c r="AR23" s="505">
        <f t="shared" si="7"/>
        <v>17</v>
      </c>
      <c r="AS23" s="480">
        <v>257.37</v>
      </c>
      <c r="AT23" s="480">
        <v>191.57</v>
      </c>
      <c r="AU23" s="480"/>
      <c r="AV23" s="480"/>
      <c r="AW23" s="480"/>
      <c r="AX23" s="480"/>
      <c r="AY23" s="480">
        <v>303.18</v>
      </c>
      <c r="AZ23" s="499" t="s">
        <v>5323</v>
      </c>
      <c r="BA23" s="502">
        <v>23.57</v>
      </c>
      <c r="BB23" s="501"/>
      <c r="BC23" s="510">
        <v>237.16</v>
      </c>
      <c r="BD23" s="510">
        <v>1222.49</v>
      </c>
      <c r="BE23" s="504">
        <v>0.2</v>
      </c>
      <c r="BF23" s="503">
        <v>0.22</v>
      </c>
      <c r="BG23" s="502">
        <v>16.66</v>
      </c>
      <c r="BH23" s="502">
        <v>1414.05</v>
      </c>
      <c r="BI23" s="502">
        <v>19.170000000000002</v>
      </c>
      <c r="BJ23" s="502"/>
      <c r="BK23" s="502"/>
      <c r="BL23" s="510"/>
      <c r="BM23" s="511">
        <v>0.16200000000000001</v>
      </c>
      <c r="BN23" s="511"/>
      <c r="BO23" s="511" t="s">
        <v>5340</v>
      </c>
      <c r="BP23" s="252"/>
      <c r="BQ23" s="252"/>
      <c r="BR23" s="511">
        <v>0.22</v>
      </c>
      <c r="BS23" s="252"/>
      <c r="BT23" s="252"/>
      <c r="BU23" s="524">
        <f t="shared" si="8"/>
        <v>17</v>
      </c>
      <c r="BV23" s="489">
        <v>158.63</v>
      </c>
      <c r="BW23" s="254"/>
      <c r="BX23" s="254"/>
      <c r="BY23" s="254"/>
      <c r="BZ23" s="494">
        <v>19.170000000000002</v>
      </c>
      <c r="CA23" s="497">
        <v>0.3</v>
      </c>
      <c r="CB23" s="497"/>
      <c r="CC23" s="494">
        <v>424</v>
      </c>
      <c r="CD23" s="241">
        <f t="shared" si="0"/>
        <v>17</v>
      </c>
      <c r="CE23" s="2"/>
      <c r="CF23" s="2">
        <v>490.8</v>
      </c>
      <c r="CG23" s="2"/>
      <c r="CH23" s="2"/>
      <c r="CI23" s="2"/>
      <c r="CJ23" s="252"/>
      <c r="CK23" s="252"/>
      <c r="CL23" s="252">
        <v>546.33000000000004</v>
      </c>
      <c r="CM23" s="253"/>
      <c r="CO23" s="5">
        <v>0.08</v>
      </c>
      <c r="CU23" s="266">
        <f t="shared" si="1"/>
        <v>181</v>
      </c>
      <c r="CV23" s="267">
        <f t="shared" si="2"/>
        <v>362</v>
      </c>
      <c r="CW23" s="268">
        <f t="shared" si="3"/>
        <v>904.99</v>
      </c>
      <c r="CX23" s="418">
        <v>184</v>
      </c>
      <c r="CY23" s="252"/>
      <c r="CZ23" s="252"/>
      <c r="DA23" s="252"/>
      <c r="DB23" s="252"/>
      <c r="DC23" s="252"/>
      <c r="DD23" s="252"/>
      <c r="DE23" s="252"/>
      <c r="DF23" s="252">
        <f t="shared" si="9"/>
        <v>0</v>
      </c>
      <c r="DG23" s="252"/>
      <c r="DH23" s="252">
        <v>489.06</v>
      </c>
      <c r="DI23" s="252"/>
      <c r="DK23" s="252"/>
      <c r="DL23" s="252"/>
      <c r="DP23" s="106">
        <v>0</v>
      </c>
      <c r="DQ23" s="252">
        <v>39.42</v>
      </c>
      <c r="DR23" s="3">
        <v>546.33000000000004</v>
      </c>
      <c r="DT23" s="241">
        <f t="shared" si="4"/>
        <v>17</v>
      </c>
      <c r="DU23" s="2"/>
      <c r="DV23" s="252">
        <v>720</v>
      </c>
      <c r="DY23" s="252">
        <v>405.18</v>
      </c>
      <c r="DZ23" s="264">
        <v>3.9399999999999998E-2</v>
      </c>
      <c r="EA23" s="252">
        <v>0</v>
      </c>
      <c r="EB23" s="253">
        <v>0</v>
      </c>
    </row>
    <row r="24" spans="1:132">
      <c r="A24">
        <v>18</v>
      </c>
      <c r="B24" s="9">
        <v>6.2008999999999999</v>
      </c>
      <c r="C24">
        <v>18</v>
      </c>
      <c r="D24" s="9"/>
      <c r="I24" s="248">
        <v>108.7</v>
      </c>
      <c r="J24" s="258">
        <f t="shared" si="5"/>
        <v>9.2850510677808806E-3</v>
      </c>
      <c r="K24" s="298"/>
      <c r="L24" s="252">
        <v>300</v>
      </c>
      <c r="M24" s="263"/>
      <c r="N24" s="263"/>
      <c r="O24" s="473">
        <v>328.76</v>
      </c>
      <c r="P24" s="474">
        <v>328.76</v>
      </c>
      <c r="Q24" s="474">
        <v>430.86</v>
      </c>
      <c r="R24" s="475">
        <v>0.09</v>
      </c>
      <c r="S24" s="533">
        <f t="shared" si="6"/>
        <v>18</v>
      </c>
      <c r="T24" s="460">
        <v>75.260000000000005</v>
      </c>
      <c r="U24" s="460">
        <v>10.56</v>
      </c>
      <c r="V24" s="460">
        <v>353.76</v>
      </c>
      <c r="W24" s="460"/>
      <c r="X24" s="254">
        <v>51.09</v>
      </c>
      <c r="Y24" s="461">
        <v>7.4999999999999997E-2</v>
      </c>
      <c r="Z24" s="460">
        <v>22.5</v>
      </c>
      <c r="AA24" s="460">
        <v>10.26</v>
      </c>
      <c r="AB24" s="460">
        <v>437.73</v>
      </c>
      <c r="AC24" s="462">
        <v>353.75</v>
      </c>
      <c r="AD24" s="463">
        <v>0.3</v>
      </c>
      <c r="AE24" s="460">
        <v>40.83</v>
      </c>
      <c r="AF24" s="460">
        <v>61.32</v>
      </c>
      <c r="AG24" s="460">
        <v>20.62</v>
      </c>
      <c r="AH24" s="460"/>
      <c r="AI24" s="460"/>
      <c r="AJ24" s="460"/>
      <c r="AK24" s="460"/>
      <c r="AL24" s="253"/>
      <c r="AM24" s="273">
        <v>0</v>
      </c>
      <c r="AN24" s="255">
        <v>0</v>
      </c>
      <c r="AO24" s="160">
        <v>0</v>
      </c>
      <c r="AP24" s="536">
        <v>480.1</v>
      </c>
      <c r="AQ24" s="536"/>
      <c r="AR24" s="505">
        <f t="shared" si="7"/>
        <v>18</v>
      </c>
      <c r="AS24" s="480">
        <v>257.37</v>
      </c>
      <c r="AT24" s="480">
        <v>191.57</v>
      </c>
      <c r="AU24" s="480"/>
      <c r="AV24" s="480"/>
      <c r="AW24" s="480"/>
      <c r="AX24" s="480"/>
      <c r="AY24" s="480">
        <v>303.18</v>
      </c>
      <c r="AZ24" s="499" t="s">
        <v>5323</v>
      </c>
      <c r="BA24" s="502">
        <v>23.57</v>
      </c>
      <c r="BB24" s="502"/>
      <c r="BC24" s="510">
        <v>237.16</v>
      </c>
      <c r="BD24" s="510">
        <v>1222.49</v>
      </c>
      <c r="BE24" s="504">
        <v>0.2</v>
      </c>
      <c r="BF24" s="503">
        <v>0.22</v>
      </c>
      <c r="BG24" s="502">
        <v>16.66</v>
      </c>
      <c r="BH24" s="502">
        <v>1414.05</v>
      </c>
      <c r="BI24" s="502">
        <v>19.170000000000002</v>
      </c>
      <c r="BJ24" s="502"/>
      <c r="BK24" s="502"/>
      <c r="BL24" s="510"/>
      <c r="BM24" s="511">
        <v>0.16200000000000001</v>
      </c>
      <c r="BN24" s="511"/>
      <c r="BO24" s="511" t="s">
        <v>5340</v>
      </c>
      <c r="BP24" s="252"/>
      <c r="BQ24" s="252"/>
      <c r="BR24" s="511">
        <v>0.22</v>
      </c>
      <c r="BS24" s="252"/>
      <c r="BT24" s="252"/>
      <c r="BU24" s="524">
        <f t="shared" si="8"/>
        <v>18</v>
      </c>
      <c r="BV24" s="489">
        <v>158.63</v>
      </c>
      <c r="BW24" s="254"/>
      <c r="BX24" s="254"/>
      <c r="BY24" s="254"/>
      <c r="BZ24" s="494">
        <v>19.170000000000002</v>
      </c>
      <c r="CA24" s="497">
        <v>0.3</v>
      </c>
      <c r="CB24" s="497"/>
      <c r="CC24" s="494">
        <v>424</v>
      </c>
      <c r="CD24" s="241">
        <f t="shared" si="0"/>
        <v>18</v>
      </c>
      <c r="CE24" s="2"/>
      <c r="CF24" s="2">
        <v>490.8</v>
      </c>
      <c r="CG24" s="2"/>
      <c r="CH24" s="2"/>
      <c r="CI24" s="2"/>
      <c r="CJ24" s="252"/>
      <c r="CK24" s="252"/>
      <c r="CL24" s="252">
        <v>546.33000000000004</v>
      </c>
      <c r="CM24" s="253"/>
      <c r="CO24" s="253">
        <v>0.08</v>
      </c>
      <c r="CU24" s="266">
        <f t="shared" si="1"/>
        <v>181</v>
      </c>
      <c r="CV24" s="267">
        <f t="shared" si="2"/>
        <v>362</v>
      </c>
      <c r="CW24" s="268">
        <f t="shared" si="3"/>
        <v>904.99</v>
      </c>
      <c r="CX24" s="418">
        <v>184</v>
      </c>
      <c r="CY24" s="252"/>
      <c r="CZ24" s="252"/>
      <c r="DA24" s="252"/>
      <c r="DB24" s="252"/>
      <c r="DC24" s="252"/>
      <c r="DD24" s="252"/>
      <c r="DE24" s="252"/>
      <c r="DF24" s="252">
        <f t="shared" si="9"/>
        <v>0</v>
      </c>
      <c r="DG24" s="252"/>
      <c r="DH24" s="252">
        <v>489.06</v>
      </c>
      <c r="DI24" s="252"/>
      <c r="DK24" s="252"/>
      <c r="DL24" s="252"/>
      <c r="DP24" s="262">
        <v>0</v>
      </c>
      <c r="DQ24" s="252">
        <v>39.42</v>
      </c>
      <c r="DR24" s="3">
        <v>546.33000000000004</v>
      </c>
      <c r="DT24" s="241">
        <f t="shared" si="4"/>
        <v>18</v>
      </c>
      <c r="DU24" s="2"/>
      <c r="DV24" s="252">
        <v>720</v>
      </c>
      <c r="DY24" s="252">
        <v>405.18</v>
      </c>
      <c r="DZ24" s="264">
        <v>3.9399999999999998E-2</v>
      </c>
      <c r="EA24" s="252">
        <v>0</v>
      </c>
      <c r="EB24" s="253">
        <v>0</v>
      </c>
    </row>
    <row r="25" spans="1:132">
      <c r="A25">
        <v>19</v>
      </c>
      <c r="B25" s="9">
        <v>7.2008999999999999</v>
      </c>
      <c r="C25">
        <v>19</v>
      </c>
      <c r="D25" s="9"/>
      <c r="I25" s="248">
        <v>109.8</v>
      </c>
      <c r="J25" s="258">
        <f t="shared" si="5"/>
        <v>1.0119595216191213E-2</v>
      </c>
      <c r="K25" s="298"/>
      <c r="L25" s="252">
        <v>300</v>
      </c>
      <c r="M25" s="263"/>
      <c r="N25" s="263"/>
      <c r="O25" s="473">
        <v>328.76</v>
      </c>
      <c r="P25" s="474">
        <v>328.76</v>
      </c>
      <c r="Q25" s="474">
        <v>430.86</v>
      </c>
      <c r="R25" s="475">
        <v>0.09</v>
      </c>
      <c r="S25" s="533">
        <f t="shared" si="6"/>
        <v>19</v>
      </c>
      <c r="T25" s="460">
        <v>75.260000000000005</v>
      </c>
      <c r="U25" s="460">
        <v>10.56</v>
      </c>
      <c r="V25" s="460">
        <v>353.76</v>
      </c>
      <c r="W25" s="460"/>
      <c r="X25" s="254">
        <v>51.09</v>
      </c>
      <c r="Y25" s="461">
        <v>7.4999999999999997E-2</v>
      </c>
      <c r="Z25" s="460">
        <v>22.5</v>
      </c>
      <c r="AA25" s="460">
        <v>10.26</v>
      </c>
      <c r="AB25" s="460">
        <v>437.73</v>
      </c>
      <c r="AC25" s="462">
        <v>353.75</v>
      </c>
      <c r="AD25" s="463">
        <v>0.3</v>
      </c>
      <c r="AE25" s="460">
        <v>40.83</v>
      </c>
      <c r="AF25" s="460">
        <v>61.32</v>
      </c>
      <c r="AG25" s="460">
        <v>20.62</v>
      </c>
      <c r="AH25" s="460"/>
      <c r="AI25" s="460"/>
      <c r="AJ25" s="460"/>
      <c r="AK25" s="460"/>
      <c r="AL25" s="253"/>
      <c r="AM25" s="273">
        <v>0</v>
      </c>
      <c r="AN25" s="255">
        <v>0</v>
      </c>
      <c r="AO25" s="160">
        <v>0</v>
      </c>
      <c r="AP25" s="536">
        <v>480.1</v>
      </c>
      <c r="AQ25" s="536"/>
      <c r="AR25" s="505">
        <f t="shared" si="7"/>
        <v>19</v>
      </c>
      <c r="AS25" s="480">
        <v>257.37</v>
      </c>
      <c r="AT25" s="480">
        <v>191.57</v>
      </c>
      <c r="AU25" s="480"/>
      <c r="AV25" s="480"/>
      <c r="AW25" s="480"/>
      <c r="AX25" s="480"/>
      <c r="AY25" s="480">
        <v>303.18</v>
      </c>
      <c r="AZ25" s="499" t="s">
        <v>5323</v>
      </c>
      <c r="BA25" s="502">
        <v>23.57</v>
      </c>
      <c r="BB25" s="501"/>
      <c r="BC25" s="510">
        <v>237.16</v>
      </c>
      <c r="BD25" s="510">
        <v>1222.49</v>
      </c>
      <c r="BE25" s="504">
        <v>0.2</v>
      </c>
      <c r="BF25" s="503">
        <v>0.22</v>
      </c>
      <c r="BG25" s="502">
        <v>16.66</v>
      </c>
      <c r="BH25" s="502">
        <v>1414.05</v>
      </c>
      <c r="BI25" s="502">
        <v>19.170000000000002</v>
      </c>
      <c r="BJ25" s="502"/>
      <c r="BK25" s="502"/>
      <c r="BL25" s="510"/>
      <c r="BM25" s="511">
        <v>0.16200000000000001</v>
      </c>
      <c r="BN25" s="511"/>
      <c r="BO25" s="511" t="s">
        <v>5340</v>
      </c>
      <c r="BP25" s="252"/>
      <c r="BQ25" s="252"/>
      <c r="BR25" s="511">
        <v>0.22</v>
      </c>
      <c r="BS25" s="252"/>
      <c r="BT25" s="252"/>
      <c r="BU25" s="524">
        <f t="shared" si="8"/>
        <v>19</v>
      </c>
      <c r="BV25" s="489">
        <v>158.63</v>
      </c>
      <c r="BW25" s="254"/>
      <c r="BX25" s="254"/>
      <c r="BY25" s="254"/>
      <c r="BZ25" s="494">
        <v>19.170000000000002</v>
      </c>
      <c r="CA25" s="497">
        <v>0.3</v>
      </c>
      <c r="CB25" s="497"/>
      <c r="CC25" s="494">
        <v>424</v>
      </c>
      <c r="CD25" s="241">
        <f t="shared" si="0"/>
        <v>19</v>
      </c>
      <c r="CE25" s="2"/>
      <c r="CF25" s="2">
        <v>490.8</v>
      </c>
      <c r="CG25" s="2"/>
      <c r="CH25" s="2"/>
      <c r="CI25" s="2"/>
      <c r="CJ25" s="252"/>
      <c r="CK25" s="252"/>
      <c r="CL25" s="252">
        <v>546.33000000000004</v>
      </c>
      <c r="CM25" s="253"/>
      <c r="CO25" s="5">
        <v>0.08</v>
      </c>
      <c r="CU25" s="266">
        <f t="shared" si="1"/>
        <v>181</v>
      </c>
      <c r="CV25" s="267">
        <f t="shared" si="2"/>
        <v>362</v>
      </c>
      <c r="CW25" s="268">
        <f t="shared" si="3"/>
        <v>904.99</v>
      </c>
      <c r="CX25" s="418">
        <v>184</v>
      </c>
      <c r="CY25" s="252"/>
      <c r="CZ25" s="252"/>
      <c r="DA25" s="252"/>
      <c r="DB25" s="252"/>
      <c r="DC25" s="252"/>
      <c r="DD25" s="252"/>
      <c r="DE25" s="252"/>
      <c r="DF25" s="252">
        <f t="shared" si="9"/>
        <v>0</v>
      </c>
      <c r="DG25" s="252"/>
      <c r="DH25" s="252">
        <v>489.06</v>
      </c>
      <c r="DI25" s="252"/>
      <c r="DK25" s="252"/>
      <c r="DL25" s="252"/>
      <c r="DP25" s="106">
        <v>0</v>
      </c>
      <c r="DQ25" s="252">
        <v>39.42</v>
      </c>
      <c r="DR25" s="3">
        <v>546.33000000000004</v>
      </c>
      <c r="DT25" s="241">
        <f t="shared" si="4"/>
        <v>19</v>
      </c>
      <c r="DU25" s="2"/>
      <c r="DV25" s="252">
        <v>720</v>
      </c>
      <c r="DY25" s="252">
        <v>405.18</v>
      </c>
      <c r="DZ25" s="264">
        <v>3.9399999999999998E-2</v>
      </c>
      <c r="EA25" s="252">
        <v>0</v>
      </c>
      <c r="EB25" s="253">
        <v>0</v>
      </c>
    </row>
    <row r="26" spans="1:132">
      <c r="A26">
        <v>20</v>
      </c>
      <c r="B26" s="9">
        <v>8.2009000000000007</v>
      </c>
      <c r="C26">
        <v>20</v>
      </c>
      <c r="D26" s="9"/>
      <c r="I26" s="248">
        <v>110.4</v>
      </c>
      <c r="J26" s="258">
        <f t="shared" si="5"/>
        <v>5.464480874316946E-3</v>
      </c>
      <c r="K26" s="298"/>
      <c r="L26" s="252">
        <v>300</v>
      </c>
      <c r="M26" s="263"/>
      <c r="N26" s="263"/>
      <c r="O26" s="473">
        <v>328.76</v>
      </c>
      <c r="P26" s="474">
        <v>328.76</v>
      </c>
      <c r="Q26" s="474">
        <v>430.86</v>
      </c>
      <c r="R26" s="475">
        <v>0.09</v>
      </c>
      <c r="S26" s="533">
        <f t="shared" si="6"/>
        <v>20</v>
      </c>
      <c r="T26" s="460">
        <v>75.260000000000005</v>
      </c>
      <c r="U26" s="460">
        <v>10.56</v>
      </c>
      <c r="V26" s="460">
        <v>353.76</v>
      </c>
      <c r="W26" s="460"/>
      <c r="X26" s="254">
        <v>51.09</v>
      </c>
      <c r="Y26" s="461">
        <v>7.4999999999999997E-2</v>
      </c>
      <c r="Z26" s="460">
        <v>22.5</v>
      </c>
      <c r="AA26" s="460">
        <v>10.26</v>
      </c>
      <c r="AB26" s="460">
        <v>437.73</v>
      </c>
      <c r="AC26" s="462">
        <v>353.75</v>
      </c>
      <c r="AD26" s="463">
        <v>0.3</v>
      </c>
      <c r="AE26" s="460">
        <v>40.83</v>
      </c>
      <c r="AF26" s="460">
        <v>61.32</v>
      </c>
      <c r="AG26" s="460">
        <v>20.62</v>
      </c>
      <c r="AH26" s="460"/>
      <c r="AI26" s="460"/>
      <c r="AJ26" s="460"/>
      <c r="AK26" s="460"/>
      <c r="AL26" s="253"/>
      <c r="AM26" s="273">
        <v>0</v>
      </c>
      <c r="AN26" s="255">
        <v>0</v>
      </c>
      <c r="AO26" s="160">
        <v>0</v>
      </c>
      <c r="AP26" s="536">
        <v>480.1</v>
      </c>
      <c r="AQ26" s="536"/>
      <c r="AR26" s="505">
        <f t="shared" si="7"/>
        <v>20</v>
      </c>
      <c r="AS26" s="480">
        <v>257.37</v>
      </c>
      <c r="AT26" s="480">
        <v>191.57</v>
      </c>
      <c r="AU26" s="480"/>
      <c r="AV26" s="480"/>
      <c r="AW26" s="480"/>
      <c r="AX26" s="480"/>
      <c r="AY26" s="480">
        <v>303.18</v>
      </c>
      <c r="AZ26" s="499" t="s">
        <v>5323</v>
      </c>
      <c r="BA26" s="502">
        <v>23.57</v>
      </c>
      <c r="BB26" s="502"/>
      <c r="BC26" s="510">
        <v>237.16</v>
      </c>
      <c r="BD26" s="510">
        <v>1222.49</v>
      </c>
      <c r="BE26" s="504">
        <v>0.2</v>
      </c>
      <c r="BF26" s="503">
        <v>0.22</v>
      </c>
      <c r="BG26" s="502">
        <v>16.66</v>
      </c>
      <c r="BH26" s="502">
        <v>1414.05</v>
      </c>
      <c r="BI26" s="502">
        <v>19.170000000000002</v>
      </c>
      <c r="BJ26" s="502"/>
      <c r="BK26" s="502"/>
      <c r="BL26" s="510"/>
      <c r="BM26" s="511">
        <v>0.16200000000000001</v>
      </c>
      <c r="BN26" s="511"/>
      <c r="BO26" s="511" t="s">
        <v>5340</v>
      </c>
      <c r="BP26" s="252"/>
      <c r="BQ26" s="252"/>
      <c r="BR26" s="511">
        <v>0.22</v>
      </c>
      <c r="BS26" s="252"/>
      <c r="BT26" s="252"/>
      <c r="BU26" s="524">
        <f t="shared" si="8"/>
        <v>20</v>
      </c>
      <c r="BV26" s="489">
        <v>158.63</v>
      </c>
      <c r="BW26" s="254"/>
      <c r="BX26" s="254"/>
      <c r="BY26" s="254"/>
      <c r="BZ26" s="494">
        <v>19.170000000000002</v>
      </c>
      <c r="CA26" s="497">
        <v>0.3</v>
      </c>
      <c r="CB26" s="497"/>
      <c r="CC26" s="494">
        <v>424</v>
      </c>
      <c r="CD26" s="241">
        <f t="shared" si="0"/>
        <v>20</v>
      </c>
      <c r="CE26" s="2"/>
      <c r="CF26" s="2">
        <v>490.8</v>
      </c>
      <c r="CG26" s="2"/>
      <c r="CH26" s="2"/>
      <c r="CI26" s="2"/>
      <c r="CJ26" s="252"/>
      <c r="CK26" s="252"/>
      <c r="CL26" s="252">
        <v>546.33000000000004</v>
      </c>
      <c r="CM26" s="253"/>
      <c r="CO26" s="253">
        <v>0.08</v>
      </c>
      <c r="CU26" s="266">
        <f t="shared" si="1"/>
        <v>181</v>
      </c>
      <c r="CV26" s="267">
        <f t="shared" si="2"/>
        <v>362</v>
      </c>
      <c r="CW26" s="268">
        <f t="shared" si="3"/>
        <v>904.99</v>
      </c>
      <c r="CX26" s="418">
        <v>184</v>
      </c>
      <c r="CY26" s="252"/>
      <c r="CZ26" s="252"/>
      <c r="DA26" s="252"/>
      <c r="DB26" s="252"/>
      <c r="DC26" s="252"/>
      <c r="DD26" s="252"/>
      <c r="DE26" s="252"/>
      <c r="DF26" s="252">
        <f t="shared" si="9"/>
        <v>0</v>
      </c>
      <c r="DG26" s="252"/>
      <c r="DH26" s="252">
        <v>489.06</v>
      </c>
      <c r="DI26" s="252"/>
      <c r="DK26" s="252"/>
      <c r="DL26" s="252"/>
      <c r="DP26" s="262">
        <v>0</v>
      </c>
      <c r="DQ26" s="252">
        <v>39.42</v>
      </c>
      <c r="DR26" s="3">
        <v>546.33000000000004</v>
      </c>
      <c r="DT26" s="241">
        <f t="shared" si="4"/>
        <v>20</v>
      </c>
      <c r="DU26" s="2"/>
      <c r="DV26" s="252">
        <v>720</v>
      </c>
      <c r="DY26" s="252">
        <v>405.18</v>
      </c>
      <c r="DZ26" s="264">
        <v>3.9399999999999998E-2</v>
      </c>
      <c r="EA26" s="252">
        <v>0</v>
      </c>
      <c r="EB26" s="253">
        <v>0</v>
      </c>
    </row>
    <row r="27" spans="1:132">
      <c r="A27">
        <v>21</v>
      </c>
      <c r="B27" s="9">
        <v>9.2009000000000007</v>
      </c>
      <c r="C27">
        <v>21</v>
      </c>
      <c r="D27" s="9"/>
      <c r="I27" s="248">
        <v>110</v>
      </c>
      <c r="J27" s="258">
        <f t="shared" si="5"/>
        <v>-3.6231884057971175E-3</v>
      </c>
      <c r="K27" s="298"/>
      <c r="L27" s="252">
        <v>300</v>
      </c>
      <c r="M27" s="263"/>
      <c r="N27" s="263"/>
      <c r="O27" s="473">
        <v>328.76</v>
      </c>
      <c r="P27" s="474">
        <v>328.76</v>
      </c>
      <c r="Q27" s="474">
        <v>430.86</v>
      </c>
      <c r="R27" s="475">
        <v>0.09</v>
      </c>
      <c r="S27" s="533">
        <f t="shared" si="6"/>
        <v>21</v>
      </c>
      <c r="T27" s="460">
        <v>75.260000000000005</v>
      </c>
      <c r="U27" s="460">
        <v>10.56</v>
      </c>
      <c r="V27" s="460">
        <v>353.76</v>
      </c>
      <c r="W27" s="460"/>
      <c r="X27" s="254">
        <v>51.09</v>
      </c>
      <c r="Y27" s="461">
        <v>7.4999999999999997E-2</v>
      </c>
      <c r="Z27" s="460">
        <v>22.5</v>
      </c>
      <c r="AA27" s="460">
        <v>10.26</v>
      </c>
      <c r="AB27" s="460">
        <v>437.73</v>
      </c>
      <c r="AC27" s="462">
        <v>353.75</v>
      </c>
      <c r="AD27" s="463">
        <v>0.3</v>
      </c>
      <c r="AE27" s="460">
        <v>40.83</v>
      </c>
      <c r="AF27" s="460">
        <v>61.32</v>
      </c>
      <c r="AG27" s="460">
        <v>20.62</v>
      </c>
      <c r="AH27" s="460"/>
      <c r="AI27" s="460"/>
      <c r="AJ27" s="460"/>
      <c r="AK27" s="460"/>
      <c r="AL27" s="253"/>
      <c r="AM27" s="273">
        <v>0</v>
      </c>
      <c r="AN27" s="255">
        <v>0</v>
      </c>
      <c r="AO27" s="160">
        <v>0</v>
      </c>
      <c r="AP27" s="536">
        <v>480.1</v>
      </c>
      <c r="AQ27" s="536"/>
      <c r="AR27" s="505">
        <f t="shared" si="7"/>
        <v>21</v>
      </c>
      <c r="AS27" s="480">
        <v>257.37</v>
      </c>
      <c r="AT27" s="480">
        <v>191.57</v>
      </c>
      <c r="AU27" s="480"/>
      <c r="AV27" s="480"/>
      <c r="AW27" s="480"/>
      <c r="AX27" s="480"/>
      <c r="AY27" s="480">
        <v>303.18</v>
      </c>
      <c r="AZ27" s="499" t="s">
        <v>5323</v>
      </c>
      <c r="BA27" s="502">
        <v>23.57</v>
      </c>
      <c r="BB27" s="501"/>
      <c r="BC27" s="510">
        <v>237.16</v>
      </c>
      <c r="BD27" s="510">
        <v>1222.49</v>
      </c>
      <c r="BE27" s="504">
        <v>0.2</v>
      </c>
      <c r="BF27" s="503">
        <v>0.22</v>
      </c>
      <c r="BG27" s="502">
        <v>16.66</v>
      </c>
      <c r="BH27" s="502">
        <v>1414.05</v>
      </c>
      <c r="BI27" s="502">
        <v>19.170000000000002</v>
      </c>
      <c r="BJ27" s="502"/>
      <c r="BK27" s="502"/>
      <c r="BL27" s="510"/>
      <c r="BM27" s="511">
        <v>0.16200000000000001</v>
      </c>
      <c r="BN27" s="511"/>
      <c r="BO27" s="511" t="s">
        <v>5340</v>
      </c>
      <c r="BP27" s="252"/>
      <c r="BQ27" s="252"/>
      <c r="BR27" s="511">
        <v>0.22</v>
      </c>
      <c r="BS27" s="252"/>
      <c r="BT27" s="252"/>
      <c r="BU27" s="524">
        <f t="shared" si="8"/>
        <v>21</v>
      </c>
      <c r="BV27" s="489">
        <v>158.63</v>
      </c>
      <c r="BW27" s="254"/>
      <c r="BX27" s="254"/>
      <c r="BY27" s="254"/>
      <c r="BZ27" s="494">
        <v>19.170000000000002</v>
      </c>
      <c r="CA27" s="497">
        <v>0.3</v>
      </c>
      <c r="CB27" s="497"/>
      <c r="CC27" s="494">
        <v>424</v>
      </c>
      <c r="CD27" s="241">
        <f t="shared" si="0"/>
        <v>21</v>
      </c>
      <c r="CE27" s="2"/>
      <c r="CF27" s="2">
        <v>490.8</v>
      </c>
      <c r="CG27" s="2"/>
      <c r="CH27" s="2"/>
      <c r="CI27" s="2"/>
      <c r="CJ27" s="252"/>
      <c r="CK27" s="252"/>
      <c r="CL27" s="252">
        <v>546.33000000000004</v>
      </c>
      <c r="CM27" s="253"/>
      <c r="CO27" s="5">
        <v>0.08</v>
      </c>
      <c r="CU27" s="266">
        <f t="shared" si="1"/>
        <v>181</v>
      </c>
      <c r="CV27" s="267">
        <f t="shared" si="2"/>
        <v>362</v>
      </c>
      <c r="CW27" s="268">
        <f t="shared" si="3"/>
        <v>904.99</v>
      </c>
      <c r="CX27" s="418">
        <v>184</v>
      </c>
      <c r="CY27" s="252"/>
      <c r="CZ27" s="252"/>
      <c r="DA27" s="252"/>
      <c r="DB27" s="252"/>
      <c r="DC27" s="252"/>
      <c r="DD27" s="252"/>
      <c r="DE27" s="252"/>
      <c r="DF27" s="252">
        <f t="shared" si="9"/>
        <v>0</v>
      </c>
      <c r="DG27" s="252"/>
      <c r="DH27" s="252">
        <v>489.06</v>
      </c>
      <c r="DI27" s="252"/>
      <c r="DK27" s="252"/>
      <c r="DL27" s="252"/>
      <c r="DP27" s="106">
        <v>0</v>
      </c>
      <c r="DQ27" s="252">
        <v>39.42</v>
      </c>
      <c r="DR27" s="3">
        <v>546.33000000000004</v>
      </c>
      <c r="DT27" s="241">
        <f t="shared" si="4"/>
        <v>21</v>
      </c>
      <c r="DU27" s="2"/>
      <c r="DV27" s="252">
        <v>720</v>
      </c>
      <c r="DY27" s="252">
        <v>405.18</v>
      </c>
      <c r="DZ27" s="264">
        <v>3.9399999999999998E-2</v>
      </c>
      <c r="EA27" s="252">
        <v>0</v>
      </c>
      <c r="EB27" s="253">
        <v>0</v>
      </c>
    </row>
    <row r="28" spans="1:132">
      <c r="A28">
        <v>22</v>
      </c>
      <c r="B28" s="9">
        <v>10.200900000000001</v>
      </c>
      <c r="C28">
        <v>22</v>
      </c>
      <c r="D28" s="9"/>
      <c r="I28" s="248">
        <v>110.2</v>
      </c>
      <c r="J28" s="258">
        <f t="shared" si="5"/>
        <v>1.8181818181819409E-3</v>
      </c>
      <c r="K28" s="298"/>
      <c r="L28" s="252">
        <v>300</v>
      </c>
      <c r="M28" s="263"/>
      <c r="N28" s="263"/>
      <c r="O28" s="473">
        <v>328.76</v>
      </c>
      <c r="P28" s="474">
        <v>328.76</v>
      </c>
      <c r="Q28" s="474">
        <v>430.86</v>
      </c>
      <c r="R28" s="475">
        <v>0.09</v>
      </c>
      <c r="S28" s="533">
        <f t="shared" si="6"/>
        <v>22</v>
      </c>
      <c r="T28" s="460">
        <v>75.260000000000005</v>
      </c>
      <c r="U28" s="460">
        <v>10.56</v>
      </c>
      <c r="V28" s="460">
        <v>353.76</v>
      </c>
      <c r="W28" s="460"/>
      <c r="X28" s="254">
        <v>51.09</v>
      </c>
      <c r="Y28" s="461">
        <v>7.4999999999999997E-2</v>
      </c>
      <c r="Z28" s="460">
        <v>22.5</v>
      </c>
      <c r="AA28" s="460">
        <v>10.26</v>
      </c>
      <c r="AB28" s="460">
        <v>437.73</v>
      </c>
      <c r="AC28" s="462">
        <v>353.75</v>
      </c>
      <c r="AD28" s="463">
        <v>0.3</v>
      </c>
      <c r="AE28" s="460">
        <v>40.83</v>
      </c>
      <c r="AF28" s="460">
        <v>61.32</v>
      </c>
      <c r="AG28" s="460">
        <v>20.62</v>
      </c>
      <c r="AH28" s="460"/>
      <c r="AI28" s="460"/>
      <c r="AJ28" s="460"/>
      <c r="AK28" s="460"/>
      <c r="AL28" s="253"/>
      <c r="AM28" s="273">
        <v>0</v>
      </c>
      <c r="AN28" s="255">
        <v>0</v>
      </c>
      <c r="AO28" s="160">
        <v>0</v>
      </c>
      <c r="AP28" s="536">
        <v>480.1</v>
      </c>
      <c r="AQ28" s="536"/>
      <c r="AR28" s="505">
        <f t="shared" si="7"/>
        <v>22</v>
      </c>
      <c r="AS28" s="480">
        <v>257.37</v>
      </c>
      <c r="AT28" s="480">
        <v>191.57</v>
      </c>
      <c r="AU28" s="480"/>
      <c r="AV28" s="480"/>
      <c r="AW28" s="480"/>
      <c r="AX28" s="480"/>
      <c r="AY28" s="480">
        <v>303.18</v>
      </c>
      <c r="AZ28" s="499" t="s">
        <v>5323</v>
      </c>
      <c r="BA28" s="502">
        <v>23.57</v>
      </c>
      <c r="BB28" s="502"/>
      <c r="BC28" s="510">
        <v>237.16</v>
      </c>
      <c r="BD28" s="510">
        <v>1222.49</v>
      </c>
      <c r="BE28" s="504">
        <v>0.2</v>
      </c>
      <c r="BF28" s="503">
        <v>0.22</v>
      </c>
      <c r="BG28" s="502">
        <v>16.66</v>
      </c>
      <c r="BH28" s="502">
        <v>1414.05</v>
      </c>
      <c r="BI28" s="502">
        <v>19.170000000000002</v>
      </c>
      <c r="BJ28" s="502"/>
      <c r="BK28" s="502"/>
      <c r="BL28" s="510"/>
      <c r="BM28" s="511">
        <v>0.16200000000000001</v>
      </c>
      <c r="BN28" s="511"/>
      <c r="BO28" s="511" t="s">
        <v>5340</v>
      </c>
      <c r="BP28" s="252"/>
      <c r="BQ28" s="252"/>
      <c r="BR28" s="511">
        <v>0.22</v>
      </c>
      <c r="BS28" s="252"/>
      <c r="BT28" s="252"/>
      <c r="BU28" s="524">
        <f t="shared" si="8"/>
        <v>22</v>
      </c>
      <c r="BV28" s="489">
        <v>158.63</v>
      </c>
      <c r="BW28" s="254"/>
      <c r="BX28" s="254"/>
      <c r="BY28" s="254"/>
      <c r="BZ28" s="494">
        <v>19.170000000000002</v>
      </c>
      <c r="CA28" s="497">
        <v>0.3</v>
      </c>
      <c r="CB28" s="497"/>
      <c r="CC28" s="494">
        <v>424</v>
      </c>
      <c r="CD28" s="241">
        <f t="shared" si="0"/>
        <v>22</v>
      </c>
      <c r="CE28" s="2"/>
      <c r="CF28" s="2">
        <v>490.8</v>
      </c>
      <c r="CG28" s="2"/>
      <c r="CH28" s="2"/>
      <c r="CI28" s="2"/>
      <c r="CJ28" s="252"/>
      <c r="CK28" s="252"/>
      <c r="CL28" s="252">
        <v>546.33000000000004</v>
      </c>
      <c r="CM28" s="253"/>
      <c r="CO28" s="253">
        <v>0.08</v>
      </c>
      <c r="CU28" s="266">
        <f t="shared" si="1"/>
        <v>181</v>
      </c>
      <c r="CV28" s="267">
        <f t="shared" si="2"/>
        <v>362</v>
      </c>
      <c r="CW28" s="268">
        <f t="shared" si="3"/>
        <v>904.99</v>
      </c>
      <c r="CX28" s="418">
        <v>184</v>
      </c>
      <c r="CY28" s="252"/>
      <c r="CZ28" s="252"/>
      <c r="DA28" s="252"/>
      <c r="DB28" s="252"/>
      <c r="DC28" s="252"/>
      <c r="DD28" s="252"/>
      <c r="DE28" s="252"/>
      <c r="DF28" s="252">
        <f t="shared" si="9"/>
        <v>0</v>
      </c>
      <c r="DG28" s="252"/>
      <c r="DH28" s="252">
        <v>489.06</v>
      </c>
      <c r="DI28" s="252"/>
      <c r="DK28" s="252"/>
      <c r="DL28" s="252"/>
      <c r="DP28" s="262">
        <v>0</v>
      </c>
      <c r="DQ28" s="252">
        <v>39.42</v>
      </c>
      <c r="DR28" s="3">
        <v>546.33000000000004</v>
      </c>
      <c r="DT28" s="241">
        <f t="shared" si="4"/>
        <v>22</v>
      </c>
      <c r="DU28" s="2"/>
      <c r="DV28" s="252">
        <v>720</v>
      </c>
      <c r="DY28" s="252">
        <v>405.18</v>
      </c>
      <c r="DZ28" s="264">
        <v>3.9399999999999998E-2</v>
      </c>
      <c r="EA28" s="252">
        <v>0</v>
      </c>
      <c r="EB28" s="253">
        <v>0</v>
      </c>
    </row>
    <row r="29" spans="1:132">
      <c r="A29">
        <v>23</v>
      </c>
      <c r="B29" s="9">
        <v>11.200900000000001</v>
      </c>
      <c r="C29">
        <v>23</v>
      </c>
      <c r="D29" s="9"/>
      <c r="I29" s="248">
        <v>110.6</v>
      </c>
      <c r="J29" s="258">
        <f t="shared" si="5"/>
        <v>3.6297640653357721E-3</v>
      </c>
      <c r="K29" s="298"/>
      <c r="L29" s="252">
        <v>300</v>
      </c>
      <c r="M29" s="263"/>
      <c r="N29" s="263"/>
      <c r="O29" s="473">
        <v>328.76</v>
      </c>
      <c r="P29" s="474">
        <v>328.76</v>
      </c>
      <c r="Q29" s="474">
        <v>430.86</v>
      </c>
      <c r="R29" s="475">
        <v>0.09</v>
      </c>
      <c r="S29" s="533">
        <f t="shared" si="6"/>
        <v>23</v>
      </c>
      <c r="T29" s="460">
        <v>75.260000000000005</v>
      </c>
      <c r="U29" s="460">
        <v>10.56</v>
      </c>
      <c r="V29" s="460">
        <v>353.76</v>
      </c>
      <c r="W29" s="460"/>
      <c r="X29" s="254">
        <v>51.09</v>
      </c>
      <c r="Y29" s="461">
        <v>7.4999999999999997E-2</v>
      </c>
      <c r="Z29" s="460">
        <v>22.5</v>
      </c>
      <c r="AA29" s="460">
        <v>10.26</v>
      </c>
      <c r="AB29" s="460">
        <v>437.73</v>
      </c>
      <c r="AC29" s="462">
        <v>353.75</v>
      </c>
      <c r="AD29" s="463">
        <v>0.3</v>
      </c>
      <c r="AE29" s="460">
        <v>40.83</v>
      </c>
      <c r="AF29" s="460">
        <v>61.32</v>
      </c>
      <c r="AG29" s="460">
        <v>20.62</v>
      </c>
      <c r="AH29" s="460"/>
      <c r="AI29" s="460"/>
      <c r="AJ29" s="460"/>
      <c r="AK29" s="460"/>
      <c r="AL29" s="253"/>
      <c r="AM29" s="273">
        <v>0</v>
      </c>
      <c r="AN29" s="255">
        <v>0</v>
      </c>
      <c r="AO29" s="160">
        <v>0</v>
      </c>
      <c r="AP29" s="536">
        <v>480.1</v>
      </c>
      <c r="AQ29" s="536"/>
      <c r="AR29" s="505">
        <f t="shared" si="7"/>
        <v>23</v>
      </c>
      <c r="AS29" s="480">
        <v>257.37</v>
      </c>
      <c r="AT29" s="480">
        <v>191.57</v>
      </c>
      <c r="AU29" s="480"/>
      <c r="AV29" s="480"/>
      <c r="AW29" s="480"/>
      <c r="AX29" s="480"/>
      <c r="AY29" s="480">
        <v>303.18</v>
      </c>
      <c r="AZ29" s="499" t="s">
        <v>5323</v>
      </c>
      <c r="BA29" s="502">
        <v>23.57</v>
      </c>
      <c r="BB29" s="501"/>
      <c r="BC29" s="510">
        <v>237.16</v>
      </c>
      <c r="BD29" s="510">
        <v>1222.49</v>
      </c>
      <c r="BE29" s="504">
        <v>0.2</v>
      </c>
      <c r="BF29" s="503">
        <v>0.22</v>
      </c>
      <c r="BG29" s="502">
        <v>16.66</v>
      </c>
      <c r="BH29" s="502">
        <v>1414.05</v>
      </c>
      <c r="BI29" s="502">
        <v>19.170000000000002</v>
      </c>
      <c r="BJ29" s="502"/>
      <c r="BK29" s="502"/>
      <c r="BL29" s="510"/>
      <c r="BM29" s="511">
        <v>0.16200000000000001</v>
      </c>
      <c r="BN29" s="511"/>
      <c r="BO29" s="511" t="s">
        <v>5340</v>
      </c>
      <c r="BP29" s="252"/>
      <c r="BQ29" s="252"/>
      <c r="BR29" s="511">
        <v>0.22</v>
      </c>
      <c r="BS29" s="252"/>
      <c r="BT29" s="252"/>
      <c r="BU29" s="524">
        <f t="shared" si="8"/>
        <v>23</v>
      </c>
      <c r="BV29" s="489">
        <v>158.63</v>
      </c>
      <c r="BW29" s="254"/>
      <c r="BX29" s="254"/>
      <c r="BY29" s="254"/>
      <c r="BZ29" s="494">
        <v>19.170000000000002</v>
      </c>
      <c r="CA29" s="497">
        <v>0.3</v>
      </c>
      <c r="CB29" s="497"/>
      <c r="CC29" s="494">
        <v>424</v>
      </c>
      <c r="CD29" s="241">
        <f t="shared" si="0"/>
        <v>23</v>
      </c>
      <c r="CE29" s="2"/>
      <c r="CF29" s="2">
        <v>490.8</v>
      </c>
      <c r="CG29" s="2"/>
      <c r="CH29" s="2"/>
      <c r="CI29" s="2"/>
      <c r="CJ29" s="252"/>
      <c r="CK29" s="252"/>
      <c r="CL29" s="252">
        <v>546.33000000000004</v>
      </c>
      <c r="CM29" s="253"/>
      <c r="CO29" s="5">
        <v>0.08</v>
      </c>
      <c r="CU29" s="266">
        <f t="shared" si="1"/>
        <v>181</v>
      </c>
      <c r="CV29" s="267">
        <f t="shared" si="2"/>
        <v>362</v>
      </c>
      <c r="CW29" s="268">
        <f t="shared" si="3"/>
        <v>904.99</v>
      </c>
      <c r="CX29" s="418">
        <v>184</v>
      </c>
      <c r="CY29" s="252"/>
      <c r="CZ29" s="252"/>
      <c r="DA29" s="252"/>
      <c r="DB29" s="252"/>
      <c r="DC29" s="252"/>
      <c r="DD29" s="252"/>
      <c r="DE29" s="252"/>
      <c r="DF29" s="252">
        <f t="shared" si="9"/>
        <v>0</v>
      </c>
      <c r="DG29" s="252"/>
      <c r="DH29" s="252">
        <v>489.06</v>
      </c>
      <c r="DI29" s="252"/>
      <c r="DK29" s="252"/>
      <c r="DL29" s="252"/>
      <c r="DP29" s="106">
        <v>0</v>
      </c>
      <c r="DQ29" s="252">
        <v>39.42</v>
      </c>
      <c r="DR29" s="3">
        <v>546.33000000000004</v>
      </c>
      <c r="DT29" s="241">
        <f t="shared" si="4"/>
        <v>23</v>
      </c>
      <c r="DU29" s="2"/>
      <c r="DV29" s="252">
        <v>720</v>
      </c>
      <c r="DY29" s="252">
        <v>405.18</v>
      </c>
      <c r="DZ29" s="264">
        <v>3.9399999999999998E-2</v>
      </c>
      <c r="EA29" s="252">
        <v>0</v>
      </c>
      <c r="EB29" s="253">
        <v>0</v>
      </c>
    </row>
    <row r="30" spans="1:132">
      <c r="A30">
        <v>24</v>
      </c>
      <c r="B30" s="9">
        <v>12.200900000000001</v>
      </c>
      <c r="C30">
        <v>24</v>
      </c>
      <c r="D30" s="9"/>
      <c r="I30" s="248">
        <v>110.6</v>
      </c>
      <c r="J30" s="258">
        <f t="shared" si="5"/>
        <v>0</v>
      </c>
      <c r="K30" s="298"/>
      <c r="L30" s="252">
        <v>300</v>
      </c>
      <c r="M30" s="263"/>
      <c r="N30" s="263"/>
      <c r="O30" s="473">
        <v>328.76</v>
      </c>
      <c r="P30" s="474">
        <v>328.76</v>
      </c>
      <c r="Q30" s="474">
        <v>430.86</v>
      </c>
      <c r="R30" s="475">
        <v>0.09</v>
      </c>
      <c r="S30" s="533">
        <f t="shared" si="6"/>
        <v>24</v>
      </c>
      <c r="T30" s="460">
        <v>75.260000000000005</v>
      </c>
      <c r="U30" s="460">
        <v>10.56</v>
      </c>
      <c r="V30" s="460">
        <v>353.76</v>
      </c>
      <c r="W30" s="460"/>
      <c r="X30" s="254">
        <v>51.09</v>
      </c>
      <c r="Y30" s="461">
        <v>7.4999999999999997E-2</v>
      </c>
      <c r="Z30" s="460">
        <v>22.5</v>
      </c>
      <c r="AA30" s="460">
        <v>10.26</v>
      </c>
      <c r="AB30" s="460">
        <v>437.73</v>
      </c>
      <c r="AC30" s="462">
        <v>353.75</v>
      </c>
      <c r="AD30" s="463">
        <v>0.3</v>
      </c>
      <c r="AE30" s="460">
        <v>40.83</v>
      </c>
      <c r="AF30" s="460">
        <v>61.32</v>
      </c>
      <c r="AG30" s="460">
        <v>20.62</v>
      </c>
      <c r="AH30" s="460"/>
      <c r="AI30" s="460"/>
      <c r="AJ30" s="460"/>
      <c r="AK30" s="460"/>
      <c r="AL30" s="253"/>
      <c r="AM30" s="273">
        <v>0</v>
      </c>
      <c r="AN30" s="255">
        <v>0</v>
      </c>
      <c r="AO30" s="160">
        <v>0</v>
      </c>
      <c r="AP30" s="536">
        <v>480.1</v>
      </c>
      <c r="AQ30" s="536"/>
      <c r="AR30" s="505">
        <f t="shared" si="7"/>
        <v>24</v>
      </c>
      <c r="AS30" s="480">
        <v>257.37</v>
      </c>
      <c r="AT30" s="480">
        <v>191.57</v>
      </c>
      <c r="AU30" s="480"/>
      <c r="AV30" s="480"/>
      <c r="AW30" s="480"/>
      <c r="AX30" s="480"/>
      <c r="AY30" s="480">
        <v>303.18</v>
      </c>
      <c r="AZ30" s="499" t="s">
        <v>5323</v>
      </c>
      <c r="BA30" s="502">
        <v>23.57</v>
      </c>
      <c r="BB30" s="502"/>
      <c r="BC30" s="510">
        <v>237.16</v>
      </c>
      <c r="BD30" s="510">
        <v>1222.49</v>
      </c>
      <c r="BE30" s="504">
        <v>0.2</v>
      </c>
      <c r="BF30" s="503">
        <v>0.22</v>
      </c>
      <c r="BG30" s="502">
        <v>16.66</v>
      </c>
      <c r="BH30" s="502">
        <v>1414.05</v>
      </c>
      <c r="BI30" s="502">
        <v>19.170000000000002</v>
      </c>
      <c r="BJ30" s="502"/>
      <c r="BK30" s="502"/>
      <c r="BL30" s="510"/>
      <c r="BM30" s="511">
        <v>0.16200000000000001</v>
      </c>
      <c r="BN30" s="511"/>
      <c r="BO30" s="511" t="s">
        <v>5340</v>
      </c>
      <c r="BP30" s="252"/>
      <c r="BQ30" s="252"/>
      <c r="BR30" s="511">
        <v>0.22</v>
      </c>
      <c r="BS30" s="252"/>
      <c r="BT30" s="252"/>
      <c r="BU30" s="524">
        <f t="shared" si="8"/>
        <v>24</v>
      </c>
      <c r="BV30" s="489">
        <v>158.63</v>
      </c>
      <c r="BW30" s="254"/>
      <c r="BX30" s="254"/>
      <c r="BY30" s="254"/>
      <c r="BZ30" s="494">
        <v>19.170000000000002</v>
      </c>
      <c r="CA30" s="497">
        <v>0.3</v>
      </c>
      <c r="CB30" s="497"/>
      <c r="CC30" s="494">
        <v>424</v>
      </c>
      <c r="CD30" s="241">
        <f t="shared" si="0"/>
        <v>24</v>
      </c>
      <c r="CE30" s="2"/>
      <c r="CF30" s="2">
        <v>490.8</v>
      </c>
      <c r="CG30" s="2"/>
      <c r="CH30" s="2"/>
      <c r="CI30" s="2"/>
      <c r="CJ30" s="252"/>
      <c r="CK30" s="252"/>
      <c r="CL30" s="252">
        <v>546.33000000000004</v>
      </c>
      <c r="CM30" s="253"/>
      <c r="CO30" s="253">
        <v>0.08</v>
      </c>
      <c r="CU30" s="266">
        <f t="shared" si="1"/>
        <v>181</v>
      </c>
      <c r="CV30" s="267">
        <f t="shared" si="2"/>
        <v>362</v>
      </c>
      <c r="CW30" s="268">
        <f t="shared" si="3"/>
        <v>904.99</v>
      </c>
      <c r="CX30" s="418">
        <v>184</v>
      </c>
      <c r="CY30" s="252"/>
      <c r="CZ30" s="252"/>
      <c r="DA30" s="252"/>
      <c r="DB30" s="252"/>
      <c r="DC30" s="252"/>
      <c r="DD30" s="252"/>
      <c r="DE30" s="252"/>
      <c r="DF30" s="252">
        <f t="shared" si="9"/>
        <v>0</v>
      </c>
      <c r="DG30" s="252"/>
      <c r="DH30" s="252">
        <v>489.06</v>
      </c>
      <c r="DI30" s="252"/>
      <c r="DK30" s="252"/>
      <c r="DL30" s="252"/>
      <c r="DP30" s="262">
        <v>0</v>
      </c>
      <c r="DQ30" s="252">
        <v>39.42</v>
      </c>
      <c r="DR30" s="3">
        <v>546.33000000000004</v>
      </c>
      <c r="DT30" s="241">
        <f t="shared" si="4"/>
        <v>24</v>
      </c>
      <c r="DU30" s="2"/>
      <c r="DV30" s="252">
        <v>720</v>
      </c>
      <c r="DY30" s="252">
        <v>405.18</v>
      </c>
      <c r="DZ30" s="264">
        <v>3.9399999999999998E-2</v>
      </c>
      <c r="EA30" s="252">
        <v>0</v>
      </c>
      <c r="EB30" s="253">
        <v>0</v>
      </c>
    </row>
    <row r="31" spans="1:132">
      <c r="A31">
        <v>25</v>
      </c>
      <c r="B31" s="259">
        <v>1.2010000000000001</v>
      </c>
      <c r="C31">
        <v>25</v>
      </c>
      <c r="D31" s="9"/>
      <c r="G31">
        <f>+I30/I18-1</f>
        <v>3.9473684210526105E-2</v>
      </c>
      <c r="I31" s="248">
        <v>109.8</v>
      </c>
      <c r="J31" s="258">
        <f t="shared" si="5"/>
        <v>-7.2332730560578096E-3</v>
      </c>
      <c r="K31" s="298">
        <v>3.9100000000000003E-2</v>
      </c>
      <c r="L31" s="252">
        <v>300</v>
      </c>
      <c r="M31" s="263"/>
      <c r="N31" s="263"/>
      <c r="O31" s="473">
        <v>328.76</v>
      </c>
      <c r="P31" s="474">
        <v>328.76</v>
      </c>
      <c r="Q31" s="474">
        <v>430.86</v>
      </c>
      <c r="R31" s="475">
        <v>0.09</v>
      </c>
      <c r="S31" s="533">
        <f t="shared" si="6"/>
        <v>25</v>
      </c>
      <c r="T31" s="460">
        <v>75.260000000000005</v>
      </c>
      <c r="U31" s="460">
        <v>10.56</v>
      </c>
      <c r="V31" s="460">
        <v>353.76</v>
      </c>
      <c r="W31" s="460"/>
      <c r="X31" s="254">
        <v>51.09</v>
      </c>
      <c r="Y31" s="461">
        <v>7.4999999999999997E-2</v>
      </c>
      <c r="Z31" s="460">
        <v>22.5</v>
      </c>
      <c r="AA31" s="460">
        <v>10.26</v>
      </c>
      <c r="AB31" s="460">
        <v>437.73</v>
      </c>
      <c r="AC31" s="462">
        <v>353.75</v>
      </c>
      <c r="AD31" s="463">
        <v>0.3</v>
      </c>
      <c r="AE31" s="460">
        <v>40.83</v>
      </c>
      <c r="AF31" s="460">
        <v>61.32</v>
      </c>
      <c r="AG31" s="460">
        <v>20.62</v>
      </c>
      <c r="AH31" s="460"/>
      <c r="AI31" s="460"/>
      <c r="AJ31" s="460"/>
      <c r="AK31" s="460"/>
      <c r="AL31" s="253"/>
      <c r="AM31" s="273">
        <v>0</v>
      </c>
      <c r="AN31" s="255">
        <v>0</v>
      </c>
      <c r="AO31" s="160">
        <v>0</v>
      </c>
      <c r="AP31" s="536">
        <v>480.1</v>
      </c>
      <c r="AQ31" s="536"/>
      <c r="AR31" s="505">
        <f t="shared" si="7"/>
        <v>25</v>
      </c>
      <c r="AS31" s="480">
        <v>257.37</v>
      </c>
      <c r="AT31" s="480">
        <v>191.57</v>
      </c>
      <c r="AU31" s="480"/>
      <c r="AV31" s="480"/>
      <c r="AW31" s="480"/>
      <c r="AX31" s="480"/>
      <c r="AY31" s="480">
        <v>303.18</v>
      </c>
      <c r="AZ31" s="499" t="s">
        <v>5323</v>
      </c>
      <c r="BA31" s="502">
        <v>23.57</v>
      </c>
      <c r="BB31" s="501"/>
      <c r="BC31" s="510">
        <v>237.16</v>
      </c>
      <c r="BD31" s="510">
        <v>1222.49</v>
      </c>
      <c r="BE31" s="504">
        <v>0.2</v>
      </c>
      <c r="BF31" s="503">
        <v>0.22</v>
      </c>
      <c r="BG31" s="502">
        <v>16.66</v>
      </c>
      <c r="BH31" s="502">
        <v>1414.05</v>
      </c>
      <c r="BI31" s="502">
        <v>19.170000000000002</v>
      </c>
      <c r="BJ31" s="502"/>
      <c r="BK31" s="502"/>
      <c r="BL31" s="510"/>
      <c r="BM31" s="511">
        <v>0.16200000000000001</v>
      </c>
      <c r="BN31" s="511"/>
      <c r="BO31" s="511" t="s">
        <v>5340</v>
      </c>
      <c r="BP31" s="252"/>
      <c r="BQ31" s="252"/>
      <c r="BR31" s="511">
        <v>0.22</v>
      </c>
      <c r="BS31" s="252"/>
      <c r="BT31" s="252"/>
      <c r="BU31" s="524">
        <f t="shared" si="8"/>
        <v>25</v>
      </c>
      <c r="BV31" s="489">
        <v>158.63</v>
      </c>
      <c r="BW31" s="254"/>
      <c r="BX31" s="254"/>
      <c r="BY31" s="254"/>
      <c r="BZ31" s="494">
        <v>19.170000000000002</v>
      </c>
      <c r="CA31" s="497">
        <v>0.3</v>
      </c>
      <c r="CB31" s="497"/>
      <c r="CC31" s="494">
        <v>424</v>
      </c>
      <c r="CD31" s="241">
        <f t="shared" si="0"/>
        <v>25</v>
      </c>
      <c r="CE31" s="2"/>
      <c r="CF31" s="2">
        <v>490.8</v>
      </c>
      <c r="CG31" s="2"/>
      <c r="CH31" s="2"/>
      <c r="CI31" s="2"/>
      <c r="CJ31" s="252"/>
      <c r="CK31" s="252"/>
      <c r="CL31" s="252">
        <v>546.33000000000004</v>
      </c>
      <c r="CM31" s="253"/>
      <c r="CO31" s="5">
        <v>0.08</v>
      </c>
      <c r="CU31" s="266">
        <f t="shared" si="1"/>
        <v>181</v>
      </c>
      <c r="CV31" s="267">
        <f t="shared" si="2"/>
        <v>362</v>
      </c>
      <c r="CW31" s="268">
        <f t="shared" si="3"/>
        <v>904.99</v>
      </c>
      <c r="CX31" s="418">
        <v>184</v>
      </c>
      <c r="CY31" s="252"/>
      <c r="CZ31" s="252"/>
      <c r="DA31" s="252"/>
      <c r="DB31" s="252"/>
      <c r="DC31" s="252"/>
      <c r="DD31" s="252"/>
      <c r="DE31" s="252"/>
      <c r="DF31" s="252">
        <f t="shared" si="9"/>
        <v>0</v>
      </c>
      <c r="DG31" s="252"/>
      <c r="DH31" s="252">
        <v>489.06</v>
      </c>
      <c r="DI31" s="252"/>
      <c r="DK31" s="252"/>
      <c r="DL31" s="252"/>
      <c r="DP31" s="106">
        <v>0</v>
      </c>
      <c r="DQ31" s="252">
        <v>39.42</v>
      </c>
      <c r="DR31" s="3">
        <v>546.33000000000004</v>
      </c>
      <c r="DT31" s="241">
        <f t="shared" si="4"/>
        <v>25</v>
      </c>
      <c r="DU31" s="2"/>
      <c r="DV31" s="252">
        <v>720</v>
      </c>
      <c r="DY31" s="252">
        <v>405.18</v>
      </c>
      <c r="DZ31" s="264">
        <v>3.9399999999999998E-2</v>
      </c>
      <c r="EA31" s="252">
        <v>0</v>
      </c>
      <c r="EB31" s="253">
        <v>0</v>
      </c>
    </row>
    <row r="32" spans="1:132">
      <c r="A32">
        <v>26</v>
      </c>
      <c r="B32" s="259">
        <v>2.2010000000000001</v>
      </c>
      <c r="C32">
        <v>26</v>
      </c>
      <c r="D32" s="9"/>
      <c r="I32" s="248">
        <v>109.5</v>
      </c>
      <c r="J32" s="258">
        <f t="shared" si="5"/>
        <v>-2.732240437158473E-3</v>
      </c>
      <c r="K32" s="298"/>
      <c r="L32" s="252">
        <v>300</v>
      </c>
      <c r="M32" s="263"/>
      <c r="N32" s="263"/>
      <c r="O32" s="473">
        <v>328.76</v>
      </c>
      <c r="P32" s="474">
        <v>328.76</v>
      </c>
      <c r="Q32" s="474">
        <v>430.86</v>
      </c>
      <c r="R32" s="475">
        <v>0.09</v>
      </c>
      <c r="S32" s="533">
        <f t="shared" si="6"/>
        <v>26</v>
      </c>
      <c r="T32" s="460">
        <v>75.260000000000005</v>
      </c>
      <c r="U32" s="460">
        <v>10.56</v>
      </c>
      <c r="V32" s="460">
        <v>353.76</v>
      </c>
      <c r="W32" s="460"/>
      <c r="X32" s="254">
        <v>51.09</v>
      </c>
      <c r="Y32" s="461">
        <v>7.4999999999999997E-2</v>
      </c>
      <c r="Z32" s="460">
        <v>22.5</v>
      </c>
      <c r="AA32" s="460">
        <v>10.26</v>
      </c>
      <c r="AB32" s="460">
        <v>437.73</v>
      </c>
      <c r="AC32" s="462">
        <v>353.75</v>
      </c>
      <c r="AD32" s="463">
        <v>0.3</v>
      </c>
      <c r="AE32" s="460">
        <v>40.83</v>
      </c>
      <c r="AF32" s="460">
        <v>61.32</v>
      </c>
      <c r="AG32" s="460">
        <v>20.62</v>
      </c>
      <c r="AH32" s="460"/>
      <c r="AI32" s="460"/>
      <c r="AJ32" s="460"/>
      <c r="AK32" s="460"/>
      <c r="AL32" s="253"/>
      <c r="AM32" s="273">
        <v>0</v>
      </c>
      <c r="AN32" s="255">
        <v>0</v>
      </c>
      <c r="AO32" s="160">
        <v>0</v>
      </c>
      <c r="AP32" s="536">
        <v>480.1</v>
      </c>
      <c r="AQ32" s="536"/>
      <c r="AR32" s="505">
        <f t="shared" si="7"/>
        <v>26</v>
      </c>
      <c r="AS32" s="480">
        <v>257.37</v>
      </c>
      <c r="AT32" s="480">
        <v>191.57</v>
      </c>
      <c r="AU32" s="480"/>
      <c r="AV32" s="480"/>
      <c r="AW32" s="480"/>
      <c r="AX32" s="480"/>
      <c r="AY32" s="480">
        <v>303.18</v>
      </c>
      <c r="AZ32" s="499" t="s">
        <v>5323</v>
      </c>
      <c r="BA32" s="502">
        <v>23.57</v>
      </c>
      <c r="BB32" s="502"/>
      <c r="BC32" s="510">
        <v>237.16</v>
      </c>
      <c r="BD32" s="510">
        <v>1222.49</v>
      </c>
      <c r="BE32" s="504">
        <v>0.2</v>
      </c>
      <c r="BF32" s="503">
        <v>0.22</v>
      </c>
      <c r="BG32" s="502">
        <v>16.66</v>
      </c>
      <c r="BH32" s="502">
        <v>1414.05</v>
      </c>
      <c r="BI32" s="502">
        <v>19.170000000000002</v>
      </c>
      <c r="BJ32" s="502"/>
      <c r="BK32" s="502"/>
      <c r="BL32" s="510"/>
      <c r="BM32" s="511">
        <v>0.16200000000000001</v>
      </c>
      <c r="BN32" s="511"/>
      <c r="BO32" s="511" t="s">
        <v>5340</v>
      </c>
      <c r="BP32" s="252"/>
      <c r="BQ32" s="252"/>
      <c r="BR32" s="511">
        <v>0.22</v>
      </c>
      <c r="BS32" s="252"/>
      <c r="BT32" s="252"/>
      <c r="BU32" s="524">
        <f t="shared" si="8"/>
        <v>26</v>
      </c>
      <c r="BV32" s="489">
        <v>158.63</v>
      </c>
      <c r="BW32" s="254"/>
      <c r="BX32" s="254"/>
      <c r="BY32" s="254"/>
      <c r="BZ32" s="494">
        <v>19.170000000000002</v>
      </c>
      <c r="CA32" s="497">
        <v>0.3</v>
      </c>
      <c r="CB32" s="497"/>
      <c r="CC32" s="494">
        <v>424</v>
      </c>
      <c r="CD32" s="241">
        <f t="shared" si="0"/>
        <v>26</v>
      </c>
      <c r="CE32" s="2"/>
      <c r="CF32" s="2">
        <v>490.8</v>
      </c>
      <c r="CG32" s="2"/>
      <c r="CH32" s="2"/>
      <c r="CI32" s="2"/>
      <c r="CJ32" s="252"/>
      <c r="CK32" s="252"/>
      <c r="CL32" s="252">
        <v>546.33000000000004</v>
      </c>
      <c r="CM32" s="253"/>
      <c r="CO32" s="253">
        <v>0.08</v>
      </c>
      <c r="CU32" s="266">
        <f t="shared" si="1"/>
        <v>181</v>
      </c>
      <c r="CV32" s="267">
        <f t="shared" si="2"/>
        <v>362</v>
      </c>
      <c r="CW32" s="268">
        <f t="shared" si="3"/>
        <v>904.99</v>
      </c>
      <c r="CX32" s="418">
        <v>184</v>
      </c>
      <c r="CY32" s="252"/>
      <c r="CZ32" s="252"/>
      <c r="DA32" s="252"/>
      <c r="DB32" s="252"/>
      <c r="DC32" s="252"/>
      <c r="DD32" s="252"/>
      <c r="DE32" s="252"/>
      <c r="DF32" s="252">
        <f t="shared" si="9"/>
        <v>0</v>
      </c>
      <c r="DG32" s="252"/>
      <c r="DH32" s="252">
        <v>489.06</v>
      </c>
      <c r="DI32" s="252"/>
      <c r="DK32" s="252"/>
      <c r="DL32" s="252"/>
      <c r="DP32" s="262">
        <v>0</v>
      </c>
      <c r="DQ32" s="252">
        <v>39.42</v>
      </c>
      <c r="DR32" s="3">
        <v>546.33000000000004</v>
      </c>
      <c r="DT32" s="241">
        <f t="shared" si="4"/>
        <v>26</v>
      </c>
      <c r="DU32" s="2"/>
      <c r="DV32" s="252">
        <v>720</v>
      </c>
      <c r="DY32" s="252">
        <v>405.18</v>
      </c>
      <c r="DZ32" s="264">
        <v>3.9399999999999998E-2</v>
      </c>
      <c r="EA32" s="252">
        <v>0</v>
      </c>
      <c r="EB32" s="253">
        <v>0</v>
      </c>
    </row>
    <row r="33" spans="1:132">
      <c r="A33">
        <v>27</v>
      </c>
      <c r="B33" s="259">
        <v>3.2010000000000001</v>
      </c>
      <c r="C33">
        <v>27</v>
      </c>
      <c r="D33" s="9"/>
      <c r="I33" s="248">
        <v>109.6</v>
      </c>
      <c r="J33" s="258">
        <f t="shared" si="5"/>
        <v>9.1324200913245335E-4</v>
      </c>
      <c r="K33" s="298"/>
      <c r="L33" s="252">
        <v>300</v>
      </c>
      <c r="M33" s="263"/>
      <c r="N33" s="263"/>
      <c r="O33" s="473">
        <v>328.76</v>
      </c>
      <c r="P33" s="474">
        <v>328.76</v>
      </c>
      <c r="Q33" s="474">
        <v>430.86</v>
      </c>
      <c r="R33" s="475">
        <v>0.09</v>
      </c>
      <c r="S33" s="533">
        <f t="shared" si="6"/>
        <v>27</v>
      </c>
      <c r="T33" s="460">
        <v>75.260000000000005</v>
      </c>
      <c r="U33" s="460">
        <v>10.56</v>
      </c>
      <c r="V33" s="460">
        <v>353.76</v>
      </c>
      <c r="W33" s="460"/>
      <c r="X33" s="254">
        <v>51.09</v>
      </c>
      <c r="Y33" s="461">
        <v>7.4999999999999997E-2</v>
      </c>
      <c r="Z33" s="460">
        <v>22.5</v>
      </c>
      <c r="AA33" s="460">
        <v>10.26</v>
      </c>
      <c r="AB33" s="460">
        <v>437.73</v>
      </c>
      <c r="AC33" s="462">
        <v>353.75</v>
      </c>
      <c r="AD33" s="463">
        <v>0.3</v>
      </c>
      <c r="AE33" s="460">
        <v>40.83</v>
      </c>
      <c r="AF33" s="460">
        <v>61.32</v>
      </c>
      <c r="AG33" s="460">
        <v>20.62</v>
      </c>
      <c r="AH33" s="460"/>
      <c r="AI33" s="460"/>
      <c r="AJ33" s="460"/>
      <c r="AK33" s="460"/>
      <c r="AL33" s="253"/>
      <c r="AM33" s="273">
        <v>0</v>
      </c>
      <c r="AN33" s="255">
        <v>0</v>
      </c>
      <c r="AO33" s="160">
        <v>0</v>
      </c>
      <c r="AP33" s="536">
        <v>480.1</v>
      </c>
      <c r="AQ33" s="536"/>
      <c r="AR33" s="505">
        <f t="shared" si="7"/>
        <v>27</v>
      </c>
      <c r="AS33" s="480">
        <v>257.37</v>
      </c>
      <c r="AT33" s="480">
        <v>191.57</v>
      </c>
      <c r="AU33" s="480"/>
      <c r="AV33" s="480"/>
      <c r="AW33" s="480"/>
      <c r="AX33" s="480"/>
      <c r="AY33" s="480">
        <v>303.18</v>
      </c>
      <c r="AZ33" s="499" t="s">
        <v>5323</v>
      </c>
      <c r="BA33" s="502">
        <v>23.57</v>
      </c>
      <c r="BB33" s="501"/>
      <c r="BC33" s="510">
        <v>237.16</v>
      </c>
      <c r="BD33" s="510">
        <v>1222.49</v>
      </c>
      <c r="BE33" s="504">
        <v>0.2</v>
      </c>
      <c r="BF33" s="503">
        <v>0.22</v>
      </c>
      <c r="BG33" s="502">
        <v>16.66</v>
      </c>
      <c r="BH33" s="502">
        <v>1414.05</v>
      </c>
      <c r="BI33" s="502">
        <v>19.170000000000002</v>
      </c>
      <c r="BJ33" s="502"/>
      <c r="BK33" s="502"/>
      <c r="BL33" s="510"/>
      <c r="BM33" s="511">
        <v>0.16200000000000001</v>
      </c>
      <c r="BN33" s="511"/>
      <c r="BO33" s="511" t="s">
        <v>5340</v>
      </c>
      <c r="BP33" s="252"/>
      <c r="BQ33" s="252"/>
      <c r="BR33" s="511">
        <v>0.22</v>
      </c>
      <c r="BS33" s="252"/>
      <c r="BT33" s="252"/>
      <c r="BU33" s="524">
        <f t="shared" si="8"/>
        <v>27</v>
      </c>
      <c r="BV33" s="489">
        <v>158.63</v>
      </c>
      <c r="BW33" s="254"/>
      <c r="BX33" s="254"/>
      <c r="BY33" s="254"/>
      <c r="BZ33" s="494">
        <v>19.170000000000002</v>
      </c>
      <c r="CA33" s="497">
        <v>0.3</v>
      </c>
      <c r="CB33" s="497"/>
      <c r="CC33" s="494">
        <v>424</v>
      </c>
      <c r="CD33" s="241">
        <f t="shared" si="0"/>
        <v>27</v>
      </c>
      <c r="CE33" s="2"/>
      <c r="CF33" s="2">
        <v>490.8</v>
      </c>
      <c r="CG33" s="2"/>
      <c r="CH33" s="2"/>
      <c r="CI33" s="2"/>
      <c r="CJ33" s="252"/>
      <c r="CK33" s="252"/>
      <c r="CL33" s="252">
        <v>546.33000000000004</v>
      </c>
      <c r="CM33" s="253"/>
      <c r="CO33" s="5">
        <v>0.08</v>
      </c>
      <c r="CU33" s="266">
        <f t="shared" si="1"/>
        <v>181</v>
      </c>
      <c r="CV33" s="267">
        <f t="shared" si="2"/>
        <v>362</v>
      </c>
      <c r="CW33" s="268">
        <f t="shared" si="3"/>
        <v>904.99</v>
      </c>
      <c r="CX33" s="418">
        <v>184</v>
      </c>
      <c r="CY33" s="252"/>
      <c r="CZ33" s="252"/>
      <c r="DA33" s="252"/>
      <c r="DB33" s="252"/>
      <c r="DC33" s="252"/>
      <c r="DD33" s="252"/>
      <c r="DE33" s="252"/>
      <c r="DF33" s="252">
        <f t="shared" si="9"/>
        <v>0</v>
      </c>
      <c r="DG33" s="252"/>
      <c r="DH33" s="252">
        <v>489.06</v>
      </c>
      <c r="DI33" s="252"/>
      <c r="DK33" s="252"/>
      <c r="DL33" s="252"/>
      <c r="DP33" s="106">
        <v>0</v>
      </c>
      <c r="DQ33" s="252">
        <v>39.42</v>
      </c>
      <c r="DR33" s="3">
        <v>546.33000000000004</v>
      </c>
      <c r="DT33" s="241">
        <f t="shared" si="4"/>
        <v>27</v>
      </c>
      <c r="DU33" s="2"/>
      <c r="DV33" s="252">
        <v>720</v>
      </c>
      <c r="DY33" s="252">
        <v>405.18</v>
      </c>
      <c r="DZ33" s="264">
        <v>3.9399999999999998E-2</v>
      </c>
      <c r="EA33" s="252">
        <v>0</v>
      </c>
      <c r="EB33" s="253">
        <v>0</v>
      </c>
    </row>
    <row r="34" spans="1:132">
      <c r="A34">
        <v>28</v>
      </c>
      <c r="B34" s="259">
        <v>4.2009999999999996</v>
      </c>
      <c r="C34">
        <v>28</v>
      </c>
      <c r="D34" s="9"/>
      <c r="I34" s="248">
        <v>110.6</v>
      </c>
      <c r="J34" s="258">
        <f t="shared" si="5"/>
        <v>9.124087591240837E-3</v>
      </c>
      <c r="K34" s="298"/>
      <c r="L34" s="252">
        <v>300</v>
      </c>
      <c r="M34" s="263"/>
      <c r="N34" s="263"/>
      <c r="O34" s="473">
        <v>328.76</v>
      </c>
      <c r="P34" s="474">
        <v>328.76</v>
      </c>
      <c r="Q34" s="474">
        <v>430.86</v>
      </c>
      <c r="R34" s="475">
        <v>0.09</v>
      </c>
      <c r="S34" s="533">
        <f t="shared" si="6"/>
        <v>28</v>
      </c>
      <c r="T34" s="460">
        <v>75.260000000000005</v>
      </c>
      <c r="U34" s="460">
        <v>10.56</v>
      </c>
      <c r="V34" s="460">
        <v>353.76</v>
      </c>
      <c r="W34" s="460"/>
      <c r="X34" s="254">
        <v>51.09</v>
      </c>
      <c r="Y34" s="461">
        <v>7.4999999999999997E-2</v>
      </c>
      <c r="Z34" s="460">
        <v>22.5</v>
      </c>
      <c r="AA34" s="460">
        <v>10.26</v>
      </c>
      <c r="AB34" s="460">
        <v>437.73</v>
      </c>
      <c r="AC34" s="462">
        <v>353.75</v>
      </c>
      <c r="AD34" s="463">
        <v>0.3</v>
      </c>
      <c r="AE34" s="460">
        <v>40.83</v>
      </c>
      <c r="AF34" s="460">
        <v>61.32</v>
      </c>
      <c r="AG34" s="460">
        <v>20.62</v>
      </c>
      <c r="AH34" s="460"/>
      <c r="AI34" s="460"/>
      <c r="AJ34" s="460"/>
      <c r="AK34" s="460"/>
      <c r="AL34" s="253"/>
      <c r="AM34" s="273">
        <v>0</v>
      </c>
      <c r="AN34" s="255">
        <v>0</v>
      </c>
      <c r="AO34" s="160">
        <v>0</v>
      </c>
      <c r="AP34" s="536">
        <v>480.1</v>
      </c>
      <c r="AQ34" s="536"/>
      <c r="AR34" s="505">
        <f t="shared" si="7"/>
        <v>28</v>
      </c>
      <c r="AS34" s="480">
        <v>257.37</v>
      </c>
      <c r="AT34" s="480">
        <v>191.57</v>
      </c>
      <c r="AU34" s="480"/>
      <c r="AV34" s="480"/>
      <c r="AW34" s="480"/>
      <c r="AX34" s="480"/>
      <c r="AY34" s="480">
        <v>303.18</v>
      </c>
      <c r="AZ34" s="499" t="s">
        <v>5323</v>
      </c>
      <c r="BA34" s="502">
        <v>23.57</v>
      </c>
      <c r="BB34" s="502"/>
      <c r="BC34" s="510">
        <v>237.16</v>
      </c>
      <c r="BD34" s="510">
        <v>1222.49</v>
      </c>
      <c r="BE34" s="504">
        <v>0.2</v>
      </c>
      <c r="BF34" s="503">
        <v>0.22</v>
      </c>
      <c r="BG34" s="502">
        <v>16.66</v>
      </c>
      <c r="BH34" s="502">
        <v>1414.05</v>
      </c>
      <c r="BI34" s="502">
        <v>19.170000000000002</v>
      </c>
      <c r="BJ34" s="502"/>
      <c r="BK34" s="502"/>
      <c r="BL34" s="510"/>
      <c r="BM34" s="511">
        <v>0.16200000000000001</v>
      </c>
      <c r="BN34" s="511"/>
      <c r="BO34" s="511" t="s">
        <v>5340</v>
      </c>
      <c r="BP34" s="252"/>
      <c r="BQ34" s="252"/>
      <c r="BR34" s="511">
        <v>0.22</v>
      </c>
      <c r="BS34" s="252"/>
      <c r="BT34" s="252"/>
      <c r="BU34" s="524">
        <f t="shared" si="8"/>
        <v>28</v>
      </c>
      <c r="BV34" s="489">
        <v>158.63</v>
      </c>
      <c r="BW34" s="254"/>
      <c r="BX34" s="254"/>
      <c r="BY34" s="254"/>
      <c r="BZ34" s="494">
        <v>19.170000000000002</v>
      </c>
      <c r="CA34" s="497">
        <v>0.3</v>
      </c>
      <c r="CB34" s="497"/>
      <c r="CC34" s="494">
        <v>424</v>
      </c>
      <c r="CD34" s="241">
        <f t="shared" si="0"/>
        <v>28</v>
      </c>
      <c r="CE34" s="2"/>
      <c r="CF34" s="2">
        <v>490.8</v>
      </c>
      <c r="CG34" s="2"/>
      <c r="CH34" s="2"/>
      <c r="CI34" s="2"/>
      <c r="CJ34" s="252"/>
      <c r="CK34" s="252"/>
      <c r="CL34" s="252">
        <v>546.33000000000004</v>
      </c>
      <c r="CM34" s="253"/>
      <c r="CO34" s="253">
        <v>0.08</v>
      </c>
      <c r="CU34" s="266">
        <f t="shared" si="1"/>
        <v>181</v>
      </c>
      <c r="CV34" s="267">
        <f t="shared" si="2"/>
        <v>362</v>
      </c>
      <c r="CW34" s="268">
        <f t="shared" si="3"/>
        <v>904.99</v>
      </c>
      <c r="CX34" s="418">
        <v>184</v>
      </c>
      <c r="CY34" s="252"/>
      <c r="CZ34" s="252"/>
      <c r="DA34" s="252"/>
      <c r="DB34" s="252"/>
      <c r="DC34" s="252"/>
      <c r="DD34" s="252"/>
      <c r="DE34" s="252"/>
      <c r="DF34" s="252">
        <f t="shared" si="9"/>
        <v>0</v>
      </c>
      <c r="DG34" s="252"/>
      <c r="DH34" s="252">
        <v>489.06</v>
      </c>
      <c r="DI34" s="252"/>
      <c r="DK34" s="252"/>
      <c r="DL34" s="252"/>
      <c r="DP34" s="262">
        <v>0</v>
      </c>
      <c r="DQ34" s="252">
        <v>39.42</v>
      </c>
      <c r="DR34" s="3">
        <v>546.33000000000004</v>
      </c>
      <c r="DT34" s="241">
        <f t="shared" si="4"/>
        <v>28</v>
      </c>
      <c r="DU34" s="2"/>
      <c r="DV34" s="252">
        <v>720</v>
      </c>
      <c r="DY34" s="252">
        <v>405.18</v>
      </c>
      <c r="DZ34" s="264">
        <v>3.9399999999999998E-2</v>
      </c>
      <c r="EA34" s="252">
        <v>0</v>
      </c>
      <c r="EB34" s="253">
        <v>0</v>
      </c>
    </row>
    <row r="35" spans="1:132">
      <c r="A35">
        <v>29</v>
      </c>
      <c r="B35" s="259">
        <v>5.2009999999999996</v>
      </c>
      <c r="C35">
        <v>29</v>
      </c>
      <c r="D35" s="9"/>
      <c r="I35" s="248">
        <v>111</v>
      </c>
      <c r="J35" s="258">
        <f t="shared" si="5"/>
        <v>3.6166365280290158E-3</v>
      </c>
      <c r="K35" s="298"/>
      <c r="L35" s="252">
        <v>300</v>
      </c>
      <c r="M35" s="263"/>
      <c r="N35" s="263"/>
      <c r="O35" s="473">
        <v>328.76</v>
      </c>
      <c r="P35" s="474">
        <v>328.76</v>
      </c>
      <c r="Q35" s="474">
        <v>430.86</v>
      </c>
      <c r="R35" s="475">
        <v>0.09</v>
      </c>
      <c r="S35" s="533">
        <f t="shared" si="6"/>
        <v>29</v>
      </c>
      <c r="T35" s="460">
        <v>75.260000000000005</v>
      </c>
      <c r="U35" s="460">
        <v>10.56</v>
      </c>
      <c r="V35" s="460">
        <v>353.76</v>
      </c>
      <c r="W35" s="460"/>
      <c r="X35" s="254">
        <v>51.09</v>
      </c>
      <c r="Y35" s="461">
        <v>7.4999999999999997E-2</v>
      </c>
      <c r="Z35" s="460">
        <v>22.5</v>
      </c>
      <c r="AA35" s="460">
        <v>10.26</v>
      </c>
      <c r="AB35" s="460">
        <v>437.73</v>
      </c>
      <c r="AC35" s="462">
        <v>353.75</v>
      </c>
      <c r="AD35" s="463">
        <v>0.3</v>
      </c>
      <c r="AE35" s="460">
        <v>40.83</v>
      </c>
      <c r="AF35" s="460">
        <v>61.32</v>
      </c>
      <c r="AG35" s="460">
        <v>20.62</v>
      </c>
      <c r="AH35" s="460"/>
      <c r="AI35" s="460"/>
      <c r="AJ35" s="460"/>
      <c r="AK35" s="460"/>
      <c r="AL35" s="253"/>
      <c r="AM35" s="273">
        <v>0</v>
      </c>
      <c r="AN35" s="255">
        <v>0</v>
      </c>
      <c r="AO35" s="160">
        <v>0</v>
      </c>
      <c r="AP35" s="536">
        <v>480.1</v>
      </c>
      <c r="AQ35" s="536"/>
      <c r="AR35" s="505">
        <f t="shared" si="7"/>
        <v>29</v>
      </c>
      <c r="AS35" s="480">
        <v>257.37</v>
      </c>
      <c r="AT35" s="480">
        <v>191.57</v>
      </c>
      <c r="AU35" s="480"/>
      <c r="AV35" s="480"/>
      <c r="AW35" s="480"/>
      <c r="AX35" s="480"/>
      <c r="AY35" s="480">
        <v>303.18</v>
      </c>
      <c r="AZ35" s="499" t="s">
        <v>5323</v>
      </c>
      <c r="BA35" s="502">
        <v>23.57</v>
      </c>
      <c r="BB35" s="501"/>
      <c r="BC35" s="510">
        <v>237.16</v>
      </c>
      <c r="BD35" s="510">
        <v>1222.49</v>
      </c>
      <c r="BE35" s="504">
        <v>0.2</v>
      </c>
      <c r="BF35" s="503">
        <v>0.22</v>
      </c>
      <c r="BG35" s="502">
        <v>16.66</v>
      </c>
      <c r="BH35" s="502">
        <v>1414.05</v>
      </c>
      <c r="BI35" s="502">
        <v>19.170000000000002</v>
      </c>
      <c r="BJ35" s="502"/>
      <c r="BK35" s="502"/>
      <c r="BL35" s="510"/>
      <c r="BM35" s="511">
        <v>0.16200000000000001</v>
      </c>
      <c r="BN35" s="511"/>
      <c r="BO35" s="511" t="s">
        <v>5340</v>
      </c>
      <c r="BP35" s="252"/>
      <c r="BQ35" s="252"/>
      <c r="BR35" s="511">
        <v>0.22</v>
      </c>
      <c r="BS35" s="252"/>
      <c r="BT35" s="252"/>
      <c r="BU35" s="524">
        <f t="shared" si="8"/>
        <v>29</v>
      </c>
      <c r="BV35" s="489">
        <v>158.63</v>
      </c>
      <c r="BW35" s="254"/>
      <c r="BX35" s="254"/>
      <c r="BY35" s="254"/>
      <c r="BZ35" s="494">
        <v>19.170000000000002</v>
      </c>
      <c r="CA35" s="497">
        <v>0.3</v>
      </c>
      <c r="CB35" s="497"/>
      <c r="CC35" s="494">
        <v>424</v>
      </c>
      <c r="CD35" s="241">
        <f t="shared" si="0"/>
        <v>29</v>
      </c>
      <c r="CE35" s="2"/>
      <c r="CF35" s="2">
        <v>490.8</v>
      </c>
      <c r="CG35" s="2"/>
      <c r="CH35" s="2"/>
      <c r="CI35" s="2"/>
      <c r="CJ35" s="252"/>
      <c r="CK35" s="252"/>
      <c r="CL35" s="252">
        <v>546.33000000000004</v>
      </c>
      <c r="CM35" s="253"/>
      <c r="CO35" s="5">
        <v>0.08</v>
      </c>
      <c r="CU35" s="266">
        <f t="shared" si="1"/>
        <v>181</v>
      </c>
      <c r="CV35" s="267">
        <f t="shared" si="2"/>
        <v>362</v>
      </c>
      <c r="CW35" s="268">
        <f t="shared" si="3"/>
        <v>904.99</v>
      </c>
      <c r="CX35" s="418">
        <v>184</v>
      </c>
      <c r="CY35" s="252"/>
      <c r="CZ35" s="252"/>
      <c r="DA35" s="252"/>
      <c r="DB35" s="252"/>
      <c r="DC35" s="252"/>
      <c r="DD35" s="252"/>
      <c r="DE35" s="252"/>
      <c r="DF35" s="252">
        <f t="shared" si="9"/>
        <v>0</v>
      </c>
      <c r="DG35" s="252"/>
      <c r="DH35" s="252">
        <v>489.06</v>
      </c>
      <c r="DI35" s="252"/>
      <c r="DK35" s="252"/>
      <c r="DL35" s="252"/>
      <c r="DP35" s="106">
        <v>0</v>
      </c>
      <c r="DQ35" s="252">
        <v>39.42</v>
      </c>
      <c r="DR35" s="3">
        <v>546.33000000000004</v>
      </c>
      <c r="DT35" s="241">
        <f t="shared" si="4"/>
        <v>29</v>
      </c>
      <c r="DU35" s="2"/>
      <c r="DV35" s="252">
        <v>720</v>
      </c>
      <c r="DY35" s="252">
        <v>405.18</v>
      </c>
      <c r="DZ35" s="264">
        <v>3.9399999999999998E-2</v>
      </c>
      <c r="EA35" s="252">
        <v>0</v>
      </c>
      <c r="EB35" s="253">
        <v>0</v>
      </c>
    </row>
    <row r="36" spans="1:132">
      <c r="A36">
        <v>30</v>
      </c>
      <c r="B36" s="259">
        <v>6.2009999999999996</v>
      </c>
      <c r="C36">
        <v>30</v>
      </c>
      <c r="D36" s="9"/>
      <c r="I36" s="248">
        <v>111.3</v>
      </c>
      <c r="J36" s="258">
        <f t="shared" si="5"/>
        <v>2.7027027027026751E-3</v>
      </c>
      <c r="K36" s="298"/>
      <c r="L36" s="252">
        <v>300</v>
      </c>
      <c r="M36" s="263"/>
      <c r="N36" s="263"/>
      <c r="O36" s="473">
        <v>328.76</v>
      </c>
      <c r="P36" s="474">
        <v>328.76</v>
      </c>
      <c r="Q36" s="474">
        <v>430.86</v>
      </c>
      <c r="R36" s="475">
        <v>0.09</v>
      </c>
      <c r="S36" s="533">
        <f t="shared" si="6"/>
        <v>30</v>
      </c>
      <c r="T36" s="460">
        <v>75.260000000000005</v>
      </c>
      <c r="U36" s="460">
        <v>10.56</v>
      </c>
      <c r="V36" s="460">
        <v>353.76</v>
      </c>
      <c r="W36" s="460"/>
      <c r="X36" s="254">
        <v>51.09</v>
      </c>
      <c r="Y36" s="461">
        <v>7.4999999999999997E-2</v>
      </c>
      <c r="Z36" s="460">
        <v>22.5</v>
      </c>
      <c r="AA36" s="460">
        <v>10.26</v>
      </c>
      <c r="AB36" s="460">
        <v>437.73</v>
      </c>
      <c r="AC36" s="462">
        <v>353.75</v>
      </c>
      <c r="AD36" s="463">
        <v>0.3</v>
      </c>
      <c r="AE36" s="460">
        <v>40.83</v>
      </c>
      <c r="AF36" s="460">
        <v>61.32</v>
      </c>
      <c r="AG36" s="460">
        <v>20.62</v>
      </c>
      <c r="AH36" s="460"/>
      <c r="AI36" s="460"/>
      <c r="AJ36" s="460"/>
      <c r="AK36" s="460"/>
      <c r="AL36" s="253"/>
      <c r="AM36" s="273">
        <v>0</v>
      </c>
      <c r="AN36" s="255">
        <v>0</v>
      </c>
      <c r="AO36" s="160">
        <v>0</v>
      </c>
      <c r="AP36" s="536">
        <v>480.1</v>
      </c>
      <c r="AQ36" s="536"/>
      <c r="AR36" s="505">
        <f t="shared" si="7"/>
        <v>30</v>
      </c>
      <c r="AS36" s="480">
        <v>257.37</v>
      </c>
      <c r="AT36" s="480">
        <v>191.57</v>
      </c>
      <c r="AU36" s="480"/>
      <c r="AV36" s="480"/>
      <c r="AW36" s="480"/>
      <c r="AX36" s="480"/>
      <c r="AY36" s="480">
        <v>303.18</v>
      </c>
      <c r="AZ36" s="499" t="s">
        <v>5323</v>
      </c>
      <c r="BA36" s="502">
        <v>23.57</v>
      </c>
      <c r="BB36" s="502"/>
      <c r="BC36" s="510">
        <v>237.16</v>
      </c>
      <c r="BD36" s="510">
        <v>1222.49</v>
      </c>
      <c r="BE36" s="504">
        <v>0.2</v>
      </c>
      <c r="BF36" s="503">
        <v>0.22</v>
      </c>
      <c r="BG36" s="502">
        <v>16.66</v>
      </c>
      <c r="BH36" s="502">
        <v>1414.05</v>
      </c>
      <c r="BI36" s="502">
        <v>19.170000000000002</v>
      </c>
      <c r="BJ36" s="502"/>
      <c r="BK36" s="502"/>
      <c r="BL36" s="510"/>
      <c r="BM36" s="511">
        <v>0.16200000000000001</v>
      </c>
      <c r="BN36" s="511"/>
      <c r="BO36" s="511" t="s">
        <v>5340</v>
      </c>
      <c r="BP36" s="252"/>
      <c r="BQ36" s="252"/>
      <c r="BR36" s="511">
        <v>0.22</v>
      </c>
      <c r="BS36" s="252"/>
      <c r="BT36" s="252"/>
      <c r="BU36" s="524">
        <f t="shared" si="8"/>
        <v>30</v>
      </c>
      <c r="BV36" s="489">
        <v>158.63</v>
      </c>
      <c r="BW36" s="254"/>
      <c r="BX36" s="254"/>
      <c r="BY36" s="254"/>
      <c r="BZ36" s="494">
        <v>19.170000000000002</v>
      </c>
      <c r="CA36" s="497">
        <v>0.3</v>
      </c>
      <c r="CB36" s="497"/>
      <c r="CC36" s="494">
        <v>424</v>
      </c>
      <c r="CD36" s="241">
        <f t="shared" si="0"/>
        <v>30</v>
      </c>
      <c r="CE36" s="2"/>
      <c r="CF36" s="2">
        <v>490.8</v>
      </c>
      <c r="CG36" s="2"/>
      <c r="CH36" s="2"/>
      <c r="CI36" s="2"/>
      <c r="CJ36" s="252"/>
      <c r="CK36" s="252"/>
      <c r="CL36" s="252">
        <v>546.33000000000004</v>
      </c>
      <c r="CM36" s="253"/>
      <c r="CO36" s="253">
        <v>0.08</v>
      </c>
      <c r="CU36" s="266">
        <f t="shared" si="1"/>
        <v>181</v>
      </c>
      <c r="CV36" s="267">
        <f t="shared" si="2"/>
        <v>362</v>
      </c>
      <c r="CW36" s="268">
        <f t="shared" si="3"/>
        <v>904.99</v>
      </c>
      <c r="CX36" s="418">
        <v>184</v>
      </c>
      <c r="CY36" s="252"/>
      <c r="CZ36" s="252"/>
      <c r="DA36" s="252"/>
      <c r="DB36" s="252"/>
      <c r="DC36" s="252"/>
      <c r="DD36" s="252"/>
      <c r="DE36" s="252"/>
      <c r="DF36" s="252">
        <f t="shared" si="9"/>
        <v>0</v>
      </c>
      <c r="DG36" s="252"/>
      <c r="DH36" s="252">
        <v>489.06</v>
      </c>
      <c r="DI36" s="252"/>
      <c r="DK36" s="252"/>
      <c r="DL36" s="252"/>
      <c r="DP36" s="262">
        <v>0</v>
      </c>
      <c r="DQ36" s="252">
        <v>39.42</v>
      </c>
      <c r="DR36" s="3">
        <v>546.33000000000004</v>
      </c>
      <c r="DT36" s="241">
        <f t="shared" si="4"/>
        <v>30</v>
      </c>
      <c r="DU36" s="2"/>
      <c r="DV36" s="252">
        <v>720</v>
      </c>
      <c r="DY36" s="252">
        <v>405.18</v>
      </c>
      <c r="DZ36" s="264">
        <v>3.9399999999999998E-2</v>
      </c>
      <c r="EA36" s="252">
        <v>0</v>
      </c>
      <c r="EB36" s="253">
        <v>0</v>
      </c>
    </row>
    <row r="37" spans="1:132">
      <c r="A37">
        <v>31</v>
      </c>
      <c r="B37" s="259">
        <v>7.2009999999999996</v>
      </c>
      <c r="C37">
        <v>31</v>
      </c>
      <c r="D37" s="9"/>
      <c r="E37" s="246">
        <v>40360</v>
      </c>
      <c r="F37" s="186">
        <v>0.47</v>
      </c>
      <c r="G37" s="247">
        <v>201633.23</v>
      </c>
      <c r="H37" s="247">
        <v>504.87189999999998</v>
      </c>
      <c r="I37" s="248">
        <v>111.8</v>
      </c>
      <c r="J37" s="258">
        <f t="shared" si="5"/>
        <v>4.4923629829289879E-3</v>
      </c>
      <c r="K37" s="298"/>
      <c r="L37" s="252">
        <v>300</v>
      </c>
      <c r="M37" s="263"/>
      <c r="N37" s="263"/>
      <c r="O37" s="473">
        <v>328.76</v>
      </c>
      <c r="P37" s="474">
        <v>328.76</v>
      </c>
      <c r="Q37" s="474">
        <v>430.86</v>
      </c>
      <c r="R37" s="475">
        <v>0.09</v>
      </c>
      <c r="S37" s="533">
        <f t="shared" si="6"/>
        <v>31</v>
      </c>
      <c r="T37" s="460">
        <v>75.260000000000005</v>
      </c>
      <c r="U37" s="460">
        <v>10.56</v>
      </c>
      <c r="V37" s="460">
        <v>353.76</v>
      </c>
      <c r="W37" s="460"/>
      <c r="X37" s="254">
        <v>51.09</v>
      </c>
      <c r="Y37" s="461">
        <v>7.4999999999999997E-2</v>
      </c>
      <c r="Z37" s="460">
        <v>22.5</v>
      </c>
      <c r="AA37" s="460">
        <v>10.26</v>
      </c>
      <c r="AB37" s="460">
        <v>437.73</v>
      </c>
      <c r="AC37" s="462">
        <v>353.75</v>
      </c>
      <c r="AD37" s="463">
        <v>0.3</v>
      </c>
      <c r="AE37" s="460">
        <v>40.83</v>
      </c>
      <c r="AF37" s="460">
        <v>61.32</v>
      </c>
      <c r="AG37" s="460">
        <v>20.62</v>
      </c>
      <c r="AH37" s="460"/>
      <c r="AI37" s="460"/>
      <c r="AJ37" s="460"/>
      <c r="AK37" s="460"/>
      <c r="AL37" s="253"/>
      <c r="AM37" s="273">
        <v>0</v>
      </c>
      <c r="AN37" s="255">
        <v>0</v>
      </c>
      <c r="AO37" s="160">
        <v>0</v>
      </c>
      <c r="AP37" s="536">
        <v>480.1</v>
      </c>
      <c r="AQ37" s="536"/>
      <c r="AR37" s="505">
        <f t="shared" si="7"/>
        <v>31</v>
      </c>
      <c r="AS37" s="480">
        <v>257.37</v>
      </c>
      <c r="AT37" s="480">
        <v>191.57</v>
      </c>
      <c r="AU37" s="480"/>
      <c r="AV37" s="480"/>
      <c r="AW37" s="480"/>
      <c r="AX37" s="480"/>
      <c r="AY37" s="480">
        <v>303.18</v>
      </c>
      <c r="AZ37" s="499" t="s">
        <v>5323</v>
      </c>
      <c r="BA37" s="502">
        <v>23.57</v>
      </c>
      <c r="BB37" s="501"/>
      <c r="BC37" s="510">
        <v>237.16</v>
      </c>
      <c r="BD37" s="510">
        <v>1222.49</v>
      </c>
      <c r="BE37" s="504">
        <v>0.2</v>
      </c>
      <c r="BF37" s="503">
        <v>0.22</v>
      </c>
      <c r="BG37" s="502">
        <v>16.66</v>
      </c>
      <c r="BH37" s="502">
        <v>1414.05</v>
      </c>
      <c r="BI37" s="502">
        <v>19.170000000000002</v>
      </c>
      <c r="BJ37" s="502"/>
      <c r="BK37" s="502"/>
      <c r="BL37" s="510"/>
      <c r="BM37" s="511">
        <v>0.16200000000000001</v>
      </c>
      <c r="BN37" s="511"/>
      <c r="BO37" s="511" t="s">
        <v>5340</v>
      </c>
      <c r="BP37" s="252"/>
      <c r="BQ37" s="252"/>
      <c r="BR37" s="511">
        <v>0.22</v>
      </c>
      <c r="BS37" s="252"/>
      <c r="BT37" s="252"/>
      <c r="BU37" s="524">
        <f t="shared" si="8"/>
        <v>31</v>
      </c>
      <c r="BV37" s="489">
        <v>158.63</v>
      </c>
      <c r="BW37" s="254"/>
      <c r="BX37" s="254"/>
      <c r="BY37" s="254"/>
      <c r="BZ37" s="494">
        <v>19.170000000000002</v>
      </c>
      <c r="CA37" s="497">
        <v>0.3</v>
      </c>
      <c r="CB37" s="497"/>
      <c r="CC37" s="494">
        <v>424</v>
      </c>
      <c r="CD37" s="241">
        <f t="shared" si="0"/>
        <v>31</v>
      </c>
      <c r="CE37" s="2"/>
      <c r="CF37" s="2">
        <v>490.8</v>
      </c>
      <c r="CG37" s="2"/>
      <c r="CH37" s="2"/>
      <c r="CI37" s="2"/>
      <c r="CJ37" s="252"/>
      <c r="CK37" s="252"/>
      <c r="CL37" s="252">
        <v>546.33000000000004</v>
      </c>
      <c r="CM37" s="253"/>
      <c r="CO37" s="5">
        <v>0.08</v>
      </c>
      <c r="CU37" s="266">
        <f t="shared" si="1"/>
        <v>181</v>
      </c>
      <c r="CV37" s="267">
        <f t="shared" si="2"/>
        <v>362</v>
      </c>
      <c r="CW37" s="268">
        <f t="shared" si="3"/>
        <v>904.99</v>
      </c>
      <c r="CX37" s="418">
        <v>184</v>
      </c>
      <c r="CY37" s="252"/>
      <c r="CZ37" s="252"/>
      <c r="DA37" s="252"/>
      <c r="DB37" s="252"/>
      <c r="DC37" s="252"/>
      <c r="DD37" s="252"/>
      <c r="DE37" s="252"/>
      <c r="DF37" s="252">
        <f t="shared" si="9"/>
        <v>0</v>
      </c>
      <c r="DG37" s="252"/>
      <c r="DH37" s="252">
        <v>489.06</v>
      </c>
      <c r="DI37" s="252"/>
      <c r="DK37" s="252"/>
      <c r="DL37" s="252"/>
      <c r="DP37" s="106">
        <v>0</v>
      </c>
      <c r="DQ37" s="252">
        <v>39.42</v>
      </c>
      <c r="DR37" s="3">
        <v>546.33000000000004</v>
      </c>
      <c r="DT37" s="241">
        <f t="shared" si="4"/>
        <v>31</v>
      </c>
      <c r="DU37" s="2"/>
      <c r="DV37" s="252">
        <v>720</v>
      </c>
      <c r="DY37" s="252">
        <v>405.18</v>
      </c>
      <c r="DZ37" s="264">
        <v>3.9399999999999998E-2</v>
      </c>
      <c r="EA37" s="252">
        <v>0</v>
      </c>
      <c r="EB37" s="253">
        <v>0</v>
      </c>
    </row>
    <row r="38" spans="1:132">
      <c r="A38">
        <v>32</v>
      </c>
      <c r="B38" s="259">
        <v>8.2010000000000005</v>
      </c>
      <c r="C38">
        <v>32</v>
      </c>
      <c r="D38" s="168">
        <f>+G38/G37-1</f>
        <v>4.699275015333626E-3</v>
      </c>
      <c r="E38" s="246">
        <v>40391</v>
      </c>
      <c r="F38" s="186">
        <v>0.46</v>
      </c>
      <c r="G38" s="247">
        <v>202580.76</v>
      </c>
      <c r="H38" s="247">
        <v>507.24450000000002</v>
      </c>
      <c r="I38" s="248">
        <v>112.4</v>
      </c>
      <c r="J38" s="258">
        <f t="shared" si="5"/>
        <v>5.3667262969590013E-3</v>
      </c>
      <c r="K38" s="298"/>
      <c r="L38" s="252">
        <v>300</v>
      </c>
      <c r="M38" s="263"/>
      <c r="N38" s="263"/>
      <c r="O38" s="473">
        <v>328.76</v>
      </c>
      <c r="P38" s="474">
        <v>328.76</v>
      </c>
      <c r="Q38" s="474">
        <v>430.86</v>
      </c>
      <c r="R38" s="475">
        <v>0.09</v>
      </c>
      <c r="S38" s="533">
        <f t="shared" si="6"/>
        <v>32</v>
      </c>
      <c r="T38" s="460">
        <v>75.260000000000005</v>
      </c>
      <c r="U38" s="460">
        <v>10.56</v>
      </c>
      <c r="V38" s="460">
        <v>353.76</v>
      </c>
      <c r="W38" s="460"/>
      <c r="X38" s="254">
        <v>51.09</v>
      </c>
      <c r="Y38" s="461">
        <v>7.4999999999999997E-2</v>
      </c>
      <c r="Z38" s="460">
        <v>22.5</v>
      </c>
      <c r="AA38" s="460">
        <v>10.26</v>
      </c>
      <c r="AB38" s="460">
        <v>437.73</v>
      </c>
      <c r="AC38" s="462">
        <v>353.75</v>
      </c>
      <c r="AD38" s="463">
        <v>0.3</v>
      </c>
      <c r="AE38" s="460">
        <v>40.83</v>
      </c>
      <c r="AF38" s="460">
        <v>61.32</v>
      </c>
      <c r="AG38" s="460">
        <v>20.62</v>
      </c>
      <c r="AH38" s="460"/>
      <c r="AI38" s="460"/>
      <c r="AJ38" s="460"/>
      <c r="AK38" s="460"/>
      <c r="AL38" s="253"/>
      <c r="AM38" s="273">
        <v>7.0000000000000007E-2</v>
      </c>
      <c r="AN38" s="255">
        <v>0.05</v>
      </c>
      <c r="AO38" s="160">
        <v>0.1</v>
      </c>
      <c r="AP38" s="536">
        <v>480.1</v>
      </c>
      <c r="AQ38" s="536"/>
      <c r="AR38" s="505">
        <f t="shared" si="7"/>
        <v>32</v>
      </c>
      <c r="AS38" s="480">
        <v>257.37</v>
      </c>
      <c r="AT38" s="480">
        <v>191.57</v>
      </c>
      <c r="AU38" s="480"/>
      <c r="AV38" s="480"/>
      <c r="AW38" s="480"/>
      <c r="AX38" s="480"/>
      <c r="AY38" s="480">
        <v>303.18</v>
      </c>
      <c r="AZ38" s="499" t="s">
        <v>5323</v>
      </c>
      <c r="BA38" s="502">
        <v>23.57</v>
      </c>
      <c r="BB38" s="502"/>
      <c r="BC38" s="510">
        <v>237.16</v>
      </c>
      <c r="BD38" s="510">
        <v>1222.49</v>
      </c>
      <c r="BE38" s="504">
        <v>0.2</v>
      </c>
      <c r="BF38" s="503">
        <v>0.22</v>
      </c>
      <c r="BG38" s="502">
        <v>16.66</v>
      </c>
      <c r="BH38" s="502">
        <v>1414.05</v>
      </c>
      <c r="BI38" s="502">
        <v>19.170000000000002</v>
      </c>
      <c r="BJ38" s="502"/>
      <c r="BK38" s="502"/>
      <c r="BL38" s="510"/>
      <c r="BM38" s="511">
        <v>0.16200000000000001</v>
      </c>
      <c r="BN38" s="511"/>
      <c r="BO38" s="511" t="s">
        <v>5340</v>
      </c>
      <c r="BP38" s="252"/>
      <c r="BQ38" s="252"/>
      <c r="BR38" s="511">
        <v>0.22</v>
      </c>
      <c r="BS38" s="252"/>
      <c r="BT38" s="252"/>
      <c r="BU38" s="524">
        <f t="shared" si="8"/>
        <v>32</v>
      </c>
      <c r="BV38" s="489">
        <v>158.63</v>
      </c>
      <c r="BW38" s="254"/>
      <c r="BX38" s="254"/>
      <c r="BY38" s="254"/>
      <c r="BZ38" s="494">
        <v>19.170000000000002</v>
      </c>
      <c r="CA38" s="497">
        <v>0.3</v>
      </c>
      <c r="CB38" s="497"/>
      <c r="CC38" s="494">
        <v>424</v>
      </c>
      <c r="CD38" s="241">
        <f t="shared" si="0"/>
        <v>32</v>
      </c>
      <c r="CE38" s="2"/>
      <c r="CF38" s="2">
        <v>490.8</v>
      </c>
      <c r="CG38" s="2"/>
      <c r="CH38" s="2"/>
      <c r="CI38" s="2"/>
      <c r="CJ38" s="252"/>
      <c r="CK38" s="252"/>
      <c r="CL38" s="252">
        <v>546.33000000000004</v>
      </c>
      <c r="CM38" s="253"/>
      <c r="CO38" s="253">
        <v>0.08</v>
      </c>
      <c r="CU38" s="266">
        <f t="shared" si="1"/>
        <v>181</v>
      </c>
      <c r="CV38" s="267">
        <f t="shared" si="2"/>
        <v>362</v>
      </c>
      <c r="CW38" s="268">
        <f t="shared" si="3"/>
        <v>904.99</v>
      </c>
      <c r="CX38" s="418">
        <v>184</v>
      </c>
      <c r="CY38" s="252"/>
      <c r="CZ38" s="252"/>
      <c r="DA38" s="252"/>
      <c r="DB38" s="252"/>
      <c r="DC38" s="252"/>
      <c r="DD38" s="252"/>
      <c r="DE38" s="252"/>
      <c r="DF38" s="252">
        <f t="shared" si="9"/>
        <v>0</v>
      </c>
      <c r="DG38" s="252"/>
      <c r="DH38" s="252">
        <v>489.06</v>
      </c>
      <c r="DI38" s="252"/>
      <c r="DK38" s="252"/>
      <c r="DL38" s="252"/>
      <c r="DP38" s="262">
        <v>0</v>
      </c>
      <c r="DQ38" s="252">
        <v>39.42</v>
      </c>
      <c r="DR38" s="3">
        <v>546.33000000000004</v>
      </c>
      <c r="DT38" s="241">
        <f t="shared" si="4"/>
        <v>32</v>
      </c>
      <c r="DU38" s="2"/>
      <c r="DV38" s="252">
        <v>720</v>
      </c>
      <c r="DY38" s="252">
        <v>405.18</v>
      </c>
      <c r="DZ38" s="264">
        <v>3.9399999999999998E-2</v>
      </c>
      <c r="EA38" s="252">
        <v>0</v>
      </c>
      <c r="EB38" s="253">
        <v>0</v>
      </c>
    </row>
    <row r="39" spans="1:132">
      <c r="A39">
        <v>33</v>
      </c>
      <c r="B39" s="259">
        <v>9.2010000000000005</v>
      </c>
      <c r="C39">
        <v>33</v>
      </c>
      <c r="D39" s="168">
        <f t="shared" ref="D39:D102" si="10">+G39/G38-1</f>
        <v>2.8063375811206992E-3</v>
      </c>
      <c r="E39" s="246">
        <v>40422</v>
      </c>
      <c r="F39" s="186">
        <v>0.28000000000000003</v>
      </c>
      <c r="G39" s="247">
        <v>203149.27</v>
      </c>
      <c r="H39" s="247">
        <v>508.66800000000001</v>
      </c>
      <c r="I39" s="248">
        <v>112.7</v>
      </c>
      <c r="J39" s="258">
        <f t="shared" si="5"/>
        <v>2.669039145907437E-3</v>
      </c>
      <c r="K39" s="298"/>
      <c r="L39" s="252">
        <v>300</v>
      </c>
      <c r="M39" s="263"/>
      <c r="N39" s="263"/>
      <c r="O39" s="473">
        <v>328.76</v>
      </c>
      <c r="P39" s="474">
        <v>328.76</v>
      </c>
      <c r="Q39" s="474">
        <v>430.86</v>
      </c>
      <c r="R39" s="475">
        <v>0.09</v>
      </c>
      <c r="S39" s="533">
        <f t="shared" si="6"/>
        <v>33</v>
      </c>
      <c r="T39" s="460">
        <v>75.260000000000005</v>
      </c>
      <c r="U39" s="460">
        <v>10.56</v>
      </c>
      <c r="V39" s="460">
        <v>353.76</v>
      </c>
      <c r="W39" s="460"/>
      <c r="X39" s="254">
        <v>51.09</v>
      </c>
      <c r="Y39" s="461">
        <v>7.4999999999999997E-2</v>
      </c>
      <c r="Z39" s="460">
        <v>22.5</v>
      </c>
      <c r="AA39" s="460">
        <v>10.26</v>
      </c>
      <c r="AB39" s="460">
        <v>437.73</v>
      </c>
      <c r="AC39" s="462">
        <v>353.75</v>
      </c>
      <c r="AD39" s="463">
        <v>0.3</v>
      </c>
      <c r="AE39" s="460">
        <v>40.83</v>
      </c>
      <c r="AF39" s="460">
        <v>61.32</v>
      </c>
      <c r="AG39" s="460">
        <v>20.62</v>
      </c>
      <c r="AH39" s="460"/>
      <c r="AI39" s="460"/>
      <c r="AJ39" s="460"/>
      <c r="AK39" s="460"/>
      <c r="AL39" s="253"/>
      <c r="AM39" s="273">
        <v>7.0000000000000007E-2</v>
      </c>
      <c r="AN39" s="255">
        <v>0.05</v>
      </c>
      <c r="AO39" s="160">
        <v>0.1</v>
      </c>
      <c r="AP39" s="536">
        <v>480.1</v>
      </c>
      <c r="AQ39" s="536"/>
      <c r="AR39" s="505">
        <f t="shared" si="7"/>
        <v>33</v>
      </c>
      <c r="AS39" s="480">
        <v>257.37</v>
      </c>
      <c r="AT39" s="480">
        <v>191.57</v>
      </c>
      <c r="AU39" s="480"/>
      <c r="AV39" s="480"/>
      <c r="AW39" s="480"/>
      <c r="AX39" s="480"/>
      <c r="AY39" s="480">
        <v>303.18</v>
      </c>
      <c r="AZ39" s="499" t="s">
        <v>5323</v>
      </c>
      <c r="BA39" s="502">
        <v>23.57</v>
      </c>
      <c r="BB39" s="501"/>
      <c r="BC39" s="510">
        <v>237.16</v>
      </c>
      <c r="BD39" s="510">
        <v>1222.49</v>
      </c>
      <c r="BE39" s="504">
        <v>0.2</v>
      </c>
      <c r="BF39" s="503">
        <v>0.22</v>
      </c>
      <c r="BG39" s="502">
        <v>16.66</v>
      </c>
      <c r="BH39" s="502">
        <v>1414.05</v>
      </c>
      <c r="BI39" s="502">
        <v>19.170000000000002</v>
      </c>
      <c r="BJ39" s="502"/>
      <c r="BK39" s="502"/>
      <c r="BL39" s="510"/>
      <c r="BM39" s="511">
        <v>0.16200000000000001</v>
      </c>
      <c r="BN39" s="511"/>
      <c r="BO39" s="511" t="s">
        <v>5340</v>
      </c>
      <c r="BP39" s="252"/>
      <c r="BQ39" s="252"/>
      <c r="BR39" s="511">
        <v>0.22</v>
      </c>
      <c r="BS39" s="252"/>
      <c r="BT39" s="252"/>
      <c r="BU39" s="524">
        <f t="shared" si="8"/>
        <v>33</v>
      </c>
      <c r="BV39" s="489">
        <v>158.63</v>
      </c>
      <c r="BW39" s="254"/>
      <c r="BX39" s="254"/>
      <c r="BY39" s="254"/>
      <c r="BZ39" s="494">
        <v>19.170000000000002</v>
      </c>
      <c r="CA39" s="497">
        <v>0.3</v>
      </c>
      <c r="CB39" s="497"/>
      <c r="CC39" s="494">
        <v>424</v>
      </c>
      <c r="CD39" s="241">
        <f t="shared" si="0"/>
        <v>33</v>
      </c>
      <c r="CE39" s="2"/>
      <c r="CF39" s="2">
        <v>490.8</v>
      </c>
      <c r="CG39" s="2"/>
      <c r="CH39" s="2"/>
      <c r="CI39" s="2"/>
      <c r="CJ39" s="252"/>
      <c r="CK39" s="252"/>
      <c r="CL39" s="252">
        <v>546.33000000000004</v>
      </c>
      <c r="CM39" s="253"/>
      <c r="CO39" s="5">
        <v>0.08</v>
      </c>
      <c r="CU39" s="266">
        <f t="shared" si="1"/>
        <v>181</v>
      </c>
      <c r="CV39" s="267">
        <f t="shared" si="2"/>
        <v>362</v>
      </c>
      <c r="CW39" s="268">
        <f t="shared" si="3"/>
        <v>904.99</v>
      </c>
      <c r="CX39" s="418">
        <v>184</v>
      </c>
      <c r="CY39" s="252"/>
      <c r="CZ39" s="252"/>
      <c r="DA39" s="252"/>
      <c r="DB39" s="252"/>
      <c r="DC39" s="252"/>
      <c r="DD39" s="252"/>
      <c r="DE39" s="252"/>
      <c r="DF39" s="252">
        <f t="shared" si="9"/>
        <v>0</v>
      </c>
      <c r="DG39" s="252"/>
      <c r="DH39" s="252">
        <v>489.06</v>
      </c>
      <c r="DI39" s="252"/>
      <c r="DK39" s="252"/>
      <c r="DL39" s="252"/>
      <c r="DP39" s="106">
        <v>0</v>
      </c>
      <c r="DQ39" s="252">
        <v>39.42</v>
      </c>
      <c r="DR39" s="3">
        <v>546.33000000000004</v>
      </c>
      <c r="DT39" s="241">
        <f t="shared" si="4"/>
        <v>33</v>
      </c>
      <c r="DU39" s="2"/>
      <c r="DV39" s="252">
        <v>720</v>
      </c>
      <c r="DY39" s="252">
        <v>405.18</v>
      </c>
      <c r="DZ39" s="264">
        <v>3.9399999999999998E-2</v>
      </c>
      <c r="EA39" s="252">
        <v>0</v>
      </c>
      <c r="EB39" s="253">
        <v>0</v>
      </c>
    </row>
    <row r="40" spans="1:132">
      <c r="A40">
        <v>34</v>
      </c>
      <c r="B40" s="259">
        <v>10.201000000000001</v>
      </c>
      <c r="C40">
        <v>34</v>
      </c>
      <c r="D40" s="168">
        <f t="shared" si="10"/>
        <v>2.7985333149365132E-3</v>
      </c>
      <c r="E40" s="246">
        <v>40452</v>
      </c>
      <c r="F40" s="186">
        <v>0.27</v>
      </c>
      <c r="G40" s="247">
        <v>203717.79</v>
      </c>
      <c r="H40" s="247">
        <v>510.0915</v>
      </c>
      <c r="I40" s="248">
        <v>113</v>
      </c>
      <c r="J40" s="258">
        <f t="shared" si="5"/>
        <v>2.6619343389528982E-3</v>
      </c>
      <c r="K40" s="298"/>
      <c r="L40" s="252">
        <v>300</v>
      </c>
      <c r="M40" s="263"/>
      <c r="N40" s="263"/>
      <c r="O40" s="473">
        <v>328.76</v>
      </c>
      <c r="P40" s="474">
        <v>328.76</v>
      </c>
      <c r="Q40" s="474">
        <v>430.86</v>
      </c>
      <c r="R40" s="475">
        <v>0.09</v>
      </c>
      <c r="S40" s="533">
        <f t="shared" si="6"/>
        <v>34</v>
      </c>
      <c r="T40" s="460">
        <v>75.260000000000005</v>
      </c>
      <c r="U40" s="460">
        <v>10.56</v>
      </c>
      <c r="V40" s="460">
        <v>353.76</v>
      </c>
      <c r="W40" s="460"/>
      <c r="X40" s="254">
        <v>51.09</v>
      </c>
      <c r="Y40" s="461">
        <v>7.4999999999999997E-2</v>
      </c>
      <c r="Z40" s="460">
        <v>22.5</v>
      </c>
      <c r="AA40" s="460">
        <v>10.26</v>
      </c>
      <c r="AB40" s="460">
        <v>437.73</v>
      </c>
      <c r="AC40" s="462">
        <v>353.75</v>
      </c>
      <c r="AD40" s="463">
        <v>0.3</v>
      </c>
      <c r="AE40" s="460">
        <v>40.83</v>
      </c>
      <c r="AF40" s="460">
        <v>61.32</v>
      </c>
      <c r="AG40" s="460">
        <v>20.62</v>
      </c>
      <c r="AH40" s="460"/>
      <c r="AI40" s="460"/>
      <c r="AJ40" s="460"/>
      <c r="AK40" s="460"/>
      <c r="AL40" s="253"/>
      <c r="AM40" s="273">
        <v>7.0000000000000007E-2</v>
      </c>
      <c r="AN40" s="255">
        <v>0.05</v>
      </c>
      <c r="AO40" s="160">
        <v>0.1</v>
      </c>
      <c r="AP40" s="536">
        <v>480.1</v>
      </c>
      <c r="AQ40" s="536"/>
      <c r="AR40" s="505">
        <f t="shared" si="7"/>
        <v>34</v>
      </c>
      <c r="AS40" s="480">
        <v>257.37</v>
      </c>
      <c r="AT40" s="480">
        <v>191.57</v>
      </c>
      <c r="AU40" s="480"/>
      <c r="AV40" s="480"/>
      <c r="AW40" s="480"/>
      <c r="AX40" s="480"/>
      <c r="AY40" s="480">
        <v>303.18</v>
      </c>
      <c r="AZ40" s="499" t="s">
        <v>5323</v>
      </c>
      <c r="BA40" s="502">
        <v>23.57</v>
      </c>
      <c r="BB40" s="502"/>
      <c r="BC40" s="510">
        <v>237.16</v>
      </c>
      <c r="BD40" s="510">
        <v>1222.49</v>
      </c>
      <c r="BE40" s="504">
        <v>0.2</v>
      </c>
      <c r="BF40" s="503">
        <v>0.22</v>
      </c>
      <c r="BG40" s="502">
        <v>16.66</v>
      </c>
      <c r="BH40" s="502">
        <v>1414.05</v>
      </c>
      <c r="BI40" s="502">
        <v>19.170000000000002</v>
      </c>
      <c r="BJ40" s="502"/>
      <c r="BK40" s="502"/>
      <c r="BL40" s="510"/>
      <c r="BM40" s="511">
        <v>0.16200000000000001</v>
      </c>
      <c r="BN40" s="511"/>
      <c r="BO40" s="511" t="s">
        <v>5340</v>
      </c>
      <c r="BP40" s="252"/>
      <c r="BQ40" s="252"/>
      <c r="BR40" s="511">
        <v>0.22</v>
      </c>
      <c r="BS40" s="252"/>
      <c r="BT40" s="252"/>
      <c r="BU40" s="524">
        <f t="shared" si="8"/>
        <v>34</v>
      </c>
      <c r="BV40" s="489">
        <v>158.63</v>
      </c>
      <c r="BW40" s="254"/>
      <c r="BX40" s="254"/>
      <c r="BY40" s="254"/>
      <c r="BZ40" s="494">
        <v>19.170000000000002</v>
      </c>
      <c r="CA40" s="497">
        <v>0.3</v>
      </c>
      <c r="CB40" s="497"/>
      <c r="CC40" s="494">
        <v>424</v>
      </c>
      <c r="CD40" s="241">
        <f t="shared" si="0"/>
        <v>34</v>
      </c>
      <c r="CE40" s="2"/>
      <c r="CF40" s="2">
        <v>490.8</v>
      </c>
      <c r="CG40" s="2"/>
      <c r="CH40" s="2"/>
      <c r="CI40" s="2"/>
      <c r="CJ40" s="252"/>
      <c r="CK40" s="252"/>
      <c r="CL40" s="252">
        <v>546.33000000000004</v>
      </c>
      <c r="CM40" s="253"/>
      <c r="CO40" s="253">
        <v>0.08</v>
      </c>
      <c r="CU40" s="266">
        <f t="shared" si="1"/>
        <v>181</v>
      </c>
      <c r="CV40" s="267">
        <f t="shared" si="2"/>
        <v>362</v>
      </c>
      <c r="CW40" s="268">
        <f t="shared" si="3"/>
        <v>904.99</v>
      </c>
      <c r="CX40" s="418">
        <v>184</v>
      </c>
      <c r="CY40" s="252"/>
      <c r="CZ40" s="252"/>
      <c r="DA40" s="252"/>
      <c r="DB40" s="252"/>
      <c r="DC40" s="252"/>
      <c r="DD40" s="252"/>
      <c r="DE40" s="252"/>
      <c r="DF40" s="252">
        <f t="shared" si="9"/>
        <v>0</v>
      </c>
      <c r="DG40" s="252"/>
      <c r="DH40" s="252">
        <v>489.06</v>
      </c>
      <c r="DI40" s="252"/>
      <c r="DK40" s="252"/>
      <c r="DL40" s="252"/>
      <c r="DP40" s="262">
        <v>0</v>
      </c>
      <c r="DQ40" s="252">
        <v>39.42</v>
      </c>
      <c r="DR40" s="3">
        <v>546.33000000000004</v>
      </c>
      <c r="DT40" s="241">
        <f t="shared" si="4"/>
        <v>34</v>
      </c>
      <c r="DU40" s="2"/>
      <c r="DV40" s="252">
        <v>720</v>
      </c>
      <c r="DY40" s="252">
        <v>405.18</v>
      </c>
      <c r="DZ40" s="264">
        <v>3.9399999999999998E-2</v>
      </c>
      <c r="EA40" s="252">
        <v>0</v>
      </c>
      <c r="EB40" s="253">
        <v>0</v>
      </c>
    </row>
    <row r="41" spans="1:132">
      <c r="A41">
        <v>35</v>
      </c>
      <c r="B41" s="259">
        <v>11.201000000000001</v>
      </c>
      <c r="C41">
        <v>35</v>
      </c>
      <c r="D41" s="168">
        <f t="shared" si="10"/>
        <v>9.3020840251600845E-4</v>
      </c>
      <c r="E41" s="246">
        <v>40483</v>
      </c>
      <c r="F41" s="186">
        <v>0.09</v>
      </c>
      <c r="G41" s="247">
        <v>203907.29</v>
      </c>
      <c r="H41" s="247">
        <v>510.56599999999997</v>
      </c>
      <c r="I41" s="248">
        <v>113.1</v>
      </c>
      <c r="J41" s="258">
        <f t="shared" si="5"/>
        <v>8.8495575221236855E-4</v>
      </c>
      <c r="K41" s="298"/>
      <c r="L41" s="252">
        <v>300</v>
      </c>
      <c r="M41" s="263"/>
      <c r="N41" s="263"/>
      <c r="O41" s="473">
        <v>328.76</v>
      </c>
      <c r="P41" s="474">
        <v>328.76</v>
      </c>
      <c r="Q41" s="474">
        <v>430.86</v>
      </c>
      <c r="R41" s="475">
        <v>0.09</v>
      </c>
      <c r="S41" s="533">
        <f t="shared" si="6"/>
        <v>35</v>
      </c>
      <c r="T41" s="460">
        <v>75.260000000000005</v>
      </c>
      <c r="U41" s="460">
        <v>10.56</v>
      </c>
      <c r="V41" s="460">
        <v>353.76</v>
      </c>
      <c r="W41" s="460"/>
      <c r="X41" s="254">
        <v>51.09</v>
      </c>
      <c r="Y41" s="461">
        <v>7.4999999999999997E-2</v>
      </c>
      <c r="Z41" s="460">
        <v>22.5</v>
      </c>
      <c r="AA41" s="460">
        <v>10.26</v>
      </c>
      <c r="AB41" s="460">
        <v>437.73</v>
      </c>
      <c r="AC41" s="462">
        <v>353.75</v>
      </c>
      <c r="AD41" s="463">
        <v>0.3</v>
      </c>
      <c r="AE41" s="460">
        <v>40.83</v>
      </c>
      <c r="AF41" s="460">
        <v>61.32</v>
      </c>
      <c r="AG41" s="460">
        <v>20.62</v>
      </c>
      <c r="AH41" s="460"/>
      <c r="AI41" s="460"/>
      <c r="AJ41" s="460"/>
      <c r="AK41" s="460"/>
      <c r="AL41" s="253"/>
      <c r="AM41" s="273">
        <v>7.0000000000000007E-2</v>
      </c>
      <c r="AN41" s="255">
        <v>0.05</v>
      </c>
      <c r="AO41" s="160">
        <v>0.1</v>
      </c>
      <c r="AP41" s="536">
        <v>480.1</v>
      </c>
      <c r="AQ41" s="536"/>
      <c r="AR41" s="505">
        <f t="shared" si="7"/>
        <v>35</v>
      </c>
      <c r="AS41" s="480">
        <v>257.37</v>
      </c>
      <c r="AT41" s="480">
        <v>191.57</v>
      </c>
      <c r="AU41" s="480"/>
      <c r="AV41" s="480"/>
      <c r="AW41" s="480"/>
      <c r="AX41" s="480"/>
      <c r="AY41" s="480">
        <v>303.18</v>
      </c>
      <c r="AZ41" s="499" t="s">
        <v>5323</v>
      </c>
      <c r="BA41" s="502">
        <v>23.57</v>
      </c>
      <c r="BB41" s="501"/>
      <c r="BC41" s="510">
        <v>237.16</v>
      </c>
      <c r="BD41" s="510">
        <v>1222.49</v>
      </c>
      <c r="BE41" s="504">
        <v>0.2</v>
      </c>
      <c r="BF41" s="503">
        <v>0.22</v>
      </c>
      <c r="BG41" s="502">
        <v>16.66</v>
      </c>
      <c r="BH41" s="502">
        <v>1414.05</v>
      </c>
      <c r="BI41" s="502">
        <v>19.170000000000002</v>
      </c>
      <c r="BJ41" s="502"/>
      <c r="BK41" s="502"/>
      <c r="BL41" s="510"/>
      <c r="BM41" s="511">
        <v>0.16200000000000001</v>
      </c>
      <c r="BN41" s="511"/>
      <c r="BO41" s="511" t="s">
        <v>5340</v>
      </c>
      <c r="BP41" s="252"/>
      <c r="BQ41" s="252"/>
      <c r="BR41" s="511">
        <v>0.22</v>
      </c>
      <c r="BS41" s="252"/>
      <c r="BT41" s="252"/>
      <c r="BU41" s="524">
        <f t="shared" si="8"/>
        <v>35</v>
      </c>
      <c r="BV41" s="489">
        <v>158.63</v>
      </c>
      <c r="BW41" s="254"/>
      <c r="BX41" s="254"/>
      <c r="BY41" s="254"/>
      <c r="BZ41" s="494">
        <v>19.170000000000002</v>
      </c>
      <c r="CA41" s="497">
        <v>0.3</v>
      </c>
      <c r="CB41" s="497"/>
      <c r="CC41" s="494">
        <v>424</v>
      </c>
      <c r="CD41" s="241">
        <f t="shared" si="0"/>
        <v>35</v>
      </c>
      <c r="CE41" s="2"/>
      <c r="CF41" s="2">
        <v>490.8</v>
      </c>
      <c r="CG41" s="2"/>
      <c r="CH41" s="2"/>
      <c r="CI41" s="2"/>
      <c r="CJ41" s="252"/>
      <c r="CK41" s="252"/>
      <c r="CL41" s="252">
        <v>546.33000000000004</v>
      </c>
      <c r="CM41" s="253"/>
      <c r="CO41" s="5">
        <v>0.08</v>
      </c>
      <c r="CU41" s="266">
        <f t="shared" si="1"/>
        <v>181</v>
      </c>
      <c r="CV41" s="267">
        <f t="shared" si="2"/>
        <v>362</v>
      </c>
      <c r="CW41" s="268">
        <f t="shared" si="3"/>
        <v>904.99</v>
      </c>
      <c r="CX41" s="418">
        <v>184</v>
      </c>
      <c r="CY41" s="252"/>
      <c r="CZ41" s="252"/>
      <c r="DA41" s="252"/>
      <c r="DB41" s="252"/>
      <c r="DC41" s="252"/>
      <c r="DD41" s="252"/>
      <c r="DE41" s="252"/>
      <c r="DF41" s="252">
        <f t="shared" si="9"/>
        <v>0</v>
      </c>
      <c r="DG41" s="252"/>
      <c r="DH41" s="252">
        <v>489.06</v>
      </c>
      <c r="DI41" s="252"/>
      <c r="DK41" s="252"/>
      <c r="DL41" s="252"/>
      <c r="DP41" s="106">
        <v>0</v>
      </c>
      <c r="DQ41" s="252">
        <v>39.42</v>
      </c>
      <c r="DR41" s="3">
        <v>546.33000000000004</v>
      </c>
      <c r="DT41" s="241">
        <f t="shared" si="4"/>
        <v>35</v>
      </c>
      <c r="DU41" s="2"/>
      <c r="DV41" s="252">
        <v>720</v>
      </c>
      <c r="DY41" s="252">
        <v>405.18</v>
      </c>
      <c r="DZ41" s="264">
        <v>3.9399999999999998E-2</v>
      </c>
      <c r="EA41" s="252">
        <v>0</v>
      </c>
      <c r="EB41" s="253">
        <v>0</v>
      </c>
    </row>
    <row r="42" spans="1:132">
      <c r="A42">
        <v>36</v>
      </c>
      <c r="B42" s="259">
        <v>12.201000000000001</v>
      </c>
      <c r="C42">
        <v>36</v>
      </c>
      <c r="D42" s="168">
        <f t="shared" si="10"/>
        <v>3.7174737597660545E-3</v>
      </c>
      <c r="E42" s="246">
        <v>40513</v>
      </c>
      <c r="F42" s="186">
        <v>0.37</v>
      </c>
      <c r="G42" s="247">
        <v>204665.31</v>
      </c>
      <c r="H42" s="247">
        <v>512.46400000000006</v>
      </c>
      <c r="I42" s="248">
        <v>113.5</v>
      </c>
      <c r="J42" s="258">
        <f t="shared" si="5"/>
        <v>3.5366931918656697E-3</v>
      </c>
      <c r="K42" s="298"/>
      <c r="L42" s="252">
        <v>300</v>
      </c>
      <c r="M42" s="263"/>
      <c r="N42" s="263"/>
      <c r="O42" s="473">
        <v>328.76</v>
      </c>
      <c r="P42" s="474">
        <v>328.76</v>
      </c>
      <c r="Q42" s="474">
        <v>430.86</v>
      </c>
      <c r="R42" s="475">
        <v>0.09</v>
      </c>
      <c r="S42" s="533">
        <f t="shared" si="6"/>
        <v>36</v>
      </c>
      <c r="T42" s="460">
        <v>75.260000000000005</v>
      </c>
      <c r="U42" s="460">
        <v>10.56</v>
      </c>
      <c r="V42" s="460">
        <v>353.76</v>
      </c>
      <c r="W42" s="460"/>
      <c r="X42" s="254">
        <v>51.09</v>
      </c>
      <c r="Y42" s="461">
        <v>7.4999999999999997E-2</v>
      </c>
      <c r="Z42" s="460">
        <v>22.5</v>
      </c>
      <c r="AA42" s="460">
        <v>10.26</v>
      </c>
      <c r="AB42" s="460">
        <v>437.73</v>
      </c>
      <c r="AC42" s="462">
        <v>353.75</v>
      </c>
      <c r="AD42" s="463">
        <v>0.3</v>
      </c>
      <c r="AE42" s="460">
        <v>40.83</v>
      </c>
      <c r="AF42" s="460">
        <v>61.32</v>
      </c>
      <c r="AG42" s="460">
        <v>20.62</v>
      </c>
      <c r="AH42" s="460"/>
      <c r="AI42" s="460"/>
      <c r="AJ42" s="460"/>
      <c r="AK42" s="460"/>
      <c r="AL42" s="253"/>
      <c r="AM42" s="273">
        <v>7.0000000000000007E-2</v>
      </c>
      <c r="AN42" s="255">
        <v>0.05</v>
      </c>
      <c r="AO42" s="160">
        <v>0.1</v>
      </c>
      <c r="AP42" s="536">
        <v>480.1</v>
      </c>
      <c r="AQ42" s="536"/>
      <c r="AR42" s="505">
        <f t="shared" si="7"/>
        <v>36</v>
      </c>
      <c r="AS42" s="480">
        <v>257.37</v>
      </c>
      <c r="AT42" s="480">
        <v>191.57</v>
      </c>
      <c r="AU42" s="480"/>
      <c r="AV42" s="480"/>
      <c r="AW42" s="480"/>
      <c r="AX42" s="480"/>
      <c r="AY42" s="480">
        <v>303.18</v>
      </c>
      <c r="AZ42" s="499" t="s">
        <v>5323</v>
      </c>
      <c r="BA42" s="502">
        <v>23.57</v>
      </c>
      <c r="BB42" s="502"/>
      <c r="BC42" s="510">
        <v>237.16</v>
      </c>
      <c r="BD42" s="510">
        <v>1222.49</v>
      </c>
      <c r="BE42" s="504">
        <v>0.2</v>
      </c>
      <c r="BF42" s="503">
        <v>0.22</v>
      </c>
      <c r="BG42" s="502">
        <v>16.66</v>
      </c>
      <c r="BH42" s="502">
        <v>1414.05</v>
      </c>
      <c r="BI42" s="502">
        <v>19.170000000000002</v>
      </c>
      <c r="BJ42" s="502"/>
      <c r="BK42" s="502"/>
      <c r="BL42" s="510"/>
      <c r="BM42" s="511">
        <v>0.16200000000000001</v>
      </c>
      <c r="BN42" s="511"/>
      <c r="BO42" s="511" t="s">
        <v>5340</v>
      </c>
      <c r="BP42" s="252"/>
      <c r="BQ42" s="252"/>
      <c r="BR42" s="511">
        <v>0.22</v>
      </c>
      <c r="BS42" s="252"/>
      <c r="BT42" s="252"/>
      <c r="BU42" s="524">
        <f t="shared" si="8"/>
        <v>36</v>
      </c>
      <c r="BV42" s="489">
        <v>158.63</v>
      </c>
      <c r="BW42" s="254"/>
      <c r="BX42" s="254"/>
      <c r="BY42" s="254"/>
      <c r="BZ42" s="494">
        <v>19.170000000000002</v>
      </c>
      <c r="CA42" s="497">
        <v>0.3</v>
      </c>
      <c r="CB42" s="497"/>
      <c r="CC42" s="494">
        <v>424</v>
      </c>
      <c r="CD42" s="241">
        <f t="shared" si="0"/>
        <v>36</v>
      </c>
      <c r="CE42" s="2"/>
      <c r="CF42" s="2">
        <v>490.8</v>
      </c>
      <c r="CG42" s="2"/>
      <c r="CH42" s="2"/>
      <c r="CI42" s="2"/>
      <c r="CJ42" s="252"/>
      <c r="CK42" s="252"/>
      <c r="CL42" s="252">
        <v>546.33000000000004</v>
      </c>
      <c r="CM42" s="253"/>
      <c r="CO42" s="253">
        <v>0.08</v>
      </c>
      <c r="CU42" s="266">
        <f t="shared" si="1"/>
        <v>181</v>
      </c>
      <c r="CV42" s="267">
        <f t="shared" si="2"/>
        <v>362</v>
      </c>
      <c r="CW42" s="268">
        <f t="shared" si="3"/>
        <v>904.99</v>
      </c>
      <c r="CX42" s="418">
        <v>184</v>
      </c>
      <c r="CY42" s="252"/>
      <c r="CZ42" s="252"/>
      <c r="DA42" s="252"/>
      <c r="DB42" s="252"/>
      <c r="DC42" s="252"/>
      <c r="DD42" s="252"/>
      <c r="DE42" s="252"/>
      <c r="DF42" s="252">
        <f t="shared" si="9"/>
        <v>0</v>
      </c>
      <c r="DG42" s="252"/>
      <c r="DH42" s="252">
        <v>489.06</v>
      </c>
      <c r="DI42" s="252"/>
      <c r="DK42" s="252"/>
      <c r="DL42" s="252"/>
      <c r="DP42" s="262">
        <v>0</v>
      </c>
      <c r="DQ42" s="252">
        <v>39.42</v>
      </c>
      <c r="DR42" s="3">
        <v>546.33000000000004</v>
      </c>
      <c r="DT42" s="241">
        <f t="shared" si="4"/>
        <v>36</v>
      </c>
      <c r="DU42" s="2"/>
      <c r="DV42" s="252">
        <v>720</v>
      </c>
      <c r="DY42" s="252">
        <v>405.18</v>
      </c>
      <c r="DZ42" s="264">
        <v>3.9399999999999998E-2</v>
      </c>
      <c r="EA42" s="252">
        <v>0</v>
      </c>
      <c r="EB42" s="253">
        <v>0</v>
      </c>
    </row>
    <row r="43" spans="1:132">
      <c r="A43">
        <v>37</v>
      </c>
      <c r="B43" s="259">
        <v>1.2011000000000001</v>
      </c>
      <c r="C43">
        <v>37</v>
      </c>
      <c r="D43" s="168">
        <f t="shared" si="10"/>
        <v>2.0555510848419001E-3</v>
      </c>
      <c r="E43" s="246">
        <v>40544</v>
      </c>
      <c r="F43" s="186">
        <v>0.2</v>
      </c>
      <c r="G43" s="247">
        <v>205086.01</v>
      </c>
      <c r="H43" s="247">
        <v>513.51739999999995</v>
      </c>
      <c r="I43" s="248">
        <v>113.7</v>
      </c>
      <c r="J43" s="258">
        <f t="shared" si="5"/>
        <v>1.7621145374449032E-3</v>
      </c>
      <c r="K43" s="298">
        <v>2.6599999999999999E-2</v>
      </c>
      <c r="L43" s="252">
        <v>300</v>
      </c>
      <c r="M43" s="263"/>
      <c r="N43" s="263"/>
      <c r="O43" s="473">
        <v>328.76</v>
      </c>
      <c r="P43" s="474">
        <v>328.76</v>
      </c>
      <c r="Q43" s="474">
        <v>430.86</v>
      </c>
      <c r="R43" s="475">
        <v>0.09</v>
      </c>
      <c r="S43" s="533">
        <f t="shared" si="6"/>
        <v>37</v>
      </c>
      <c r="T43" s="460">
        <v>75.260000000000005</v>
      </c>
      <c r="U43" s="460">
        <v>10.56</v>
      </c>
      <c r="V43" s="460">
        <v>353.76</v>
      </c>
      <c r="W43" s="460"/>
      <c r="X43" s="254">
        <v>51.09</v>
      </c>
      <c r="Y43" s="461">
        <v>7.4999999999999997E-2</v>
      </c>
      <c r="Z43" s="460">
        <v>22.5</v>
      </c>
      <c r="AA43" s="460">
        <v>10.26</v>
      </c>
      <c r="AB43" s="460">
        <v>437.73</v>
      </c>
      <c r="AC43" s="462">
        <v>353.75</v>
      </c>
      <c r="AD43" s="463">
        <v>0.3</v>
      </c>
      <c r="AE43" s="460">
        <v>40.83</v>
      </c>
      <c r="AF43" s="460">
        <v>61.32</v>
      </c>
      <c r="AG43" s="460">
        <v>20.62</v>
      </c>
      <c r="AH43" s="460"/>
      <c r="AI43" s="460"/>
      <c r="AJ43" s="460"/>
      <c r="AK43" s="460"/>
      <c r="AL43" s="253"/>
      <c r="AM43" s="273">
        <v>7.0000000000000007E-2</v>
      </c>
      <c r="AN43" s="255">
        <v>0.05</v>
      </c>
      <c r="AO43" s="160">
        <v>0.1</v>
      </c>
      <c r="AP43" s="536">
        <v>480.1</v>
      </c>
      <c r="AQ43" s="536"/>
      <c r="AR43" s="505">
        <f t="shared" si="7"/>
        <v>37</v>
      </c>
      <c r="AS43" s="480">
        <v>257.37</v>
      </c>
      <c r="AT43" s="480">
        <v>191.57</v>
      </c>
      <c r="AU43" s="480"/>
      <c r="AV43" s="480"/>
      <c r="AW43" s="480"/>
      <c r="AX43" s="480"/>
      <c r="AY43" s="480">
        <v>303.18</v>
      </c>
      <c r="AZ43" s="499" t="s">
        <v>5323</v>
      </c>
      <c r="BA43" s="502">
        <v>23.57</v>
      </c>
      <c r="BB43" s="480">
        <v>102.85</v>
      </c>
      <c r="BC43" s="510">
        <v>237.16</v>
      </c>
      <c r="BD43" s="510">
        <v>1222.49</v>
      </c>
      <c r="BE43" s="504">
        <v>0.2</v>
      </c>
      <c r="BF43" s="503">
        <v>0.22</v>
      </c>
      <c r="BG43" s="502">
        <v>16.66</v>
      </c>
      <c r="BH43" s="502">
        <v>1414.05</v>
      </c>
      <c r="BI43" s="502">
        <v>19.170000000000002</v>
      </c>
      <c r="BJ43" s="502"/>
      <c r="BK43" s="502"/>
      <c r="BL43" s="510"/>
      <c r="BM43" s="511">
        <v>0.16200000000000001</v>
      </c>
      <c r="BN43" s="511"/>
      <c r="BO43" s="511" t="s">
        <v>5340</v>
      </c>
      <c r="BP43" s="252"/>
      <c r="BQ43" s="252"/>
      <c r="BR43" s="511">
        <v>0.22</v>
      </c>
      <c r="BS43" s="252"/>
      <c r="BT43" s="252"/>
      <c r="BU43" s="524">
        <f t="shared" si="8"/>
        <v>37</v>
      </c>
      <c r="BV43" s="489">
        <v>158.63</v>
      </c>
      <c r="BW43" s="254"/>
      <c r="BX43" s="254"/>
      <c r="BY43" s="254"/>
      <c r="BZ43" s="494">
        <v>19.170000000000002</v>
      </c>
      <c r="CA43" s="497">
        <v>0.3</v>
      </c>
      <c r="CB43" s="497"/>
      <c r="CC43" s="494">
        <v>424</v>
      </c>
      <c r="CD43" s="241">
        <f t="shared" si="0"/>
        <v>37</v>
      </c>
      <c r="CE43" s="2"/>
      <c r="CF43" s="2">
        <v>490.8</v>
      </c>
      <c r="CG43" s="2"/>
      <c r="CH43" s="2"/>
      <c r="CI43" s="2"/>
      <c r="CJ43" s="252"/>
      <c r="CK43" s="252"/>
      <c r="CL43" s="252">
        <v>546.33000000000004</v>
      </c>
      <c r="CM43" s="253"/>
      <c r="CO43" s="5">
        <v>0.08</v>
      </c>
      <c r="CU43" s="266">
        <f t="shared" si="1"/>
        <v>181</v>
      </c>
      <c r="CV43" s="267">
        <f t="shared" si="2"/>
        <v>362</v>
      </c>
      <c r="CW43" s="268">
        <f t="shared" si="3"/>
        <v>904.99</v>
      </c>
      <c r="CX43" s="418">
        <v>184</v>
      </c>
      <c r="CY43" s="252"/>
      <c r="CZ43" s="252"/>
      <c r="DA43" s="252"/>
      <c r="DB43" s="252"/>
      <c r="DC43" s="252"/>
      <c r="DD43" s="252"/>
      <c r="DE43" s="252"/>
      <c r="DF43" s="252">
        <f t="shared" si="9"/>
        <v>0</v>
      </c>
      <c r="DG43" s="252"/>
      <c r="DH43" s="252">
        <v>489.06</v>
      </c>
      <c r="DI43" s="252"/>
      <c r="DK43" s="252"/>
      <c r="DL43" s="252"/>
      <c r="DP43" s="6">
        <v>7.2499999999999995E-2</v>
      </c>
      <c r="DQ43" s="252">
        <v>39.42</v>
      </c>
      <c r="DR43" s="3">
        <v>546.33000000000004</v>
      </c>
      <c r="DT43" s="241">
        <f t="shared" si="4"/>
        <v>37</v>
      </c>
      <c r="DU43" s="2"/>
      <c r="DV43" s="252">
        <v>720</v>
      </c>
      <c r="DY43" s="252">
        <v>405.18</v>
      </c>
      <c r="DZ43" s="264">
        <v>3.9399999999999998E-2</v>
      </c>
      <c r="EA43" s="252">
        <v>0</v>
      </c>
      <c r="EB43" s="253">
        <v>0</v>
      </c>
    </row>
    <row r="44" spans="1:132">
      <c r="A44">
        <v>38</v>
      </c>
      <c r="B44" s="259">
        <v>2.2010999999999998</v>
      </c>
      <c r="C44">
        <v>38</v>
      </c>
      <c r="D44" s="168">
        <f t="shared" si="10"/>
        <v>2.9412050095469766E-3</v>
      </c>
      <c r="E44" s="246">
        <v>40575</v>
      </c>
      <c r="F44" s="186">
        <v>0.28999999999999998</v>
      </c>
      <c r="G44" s="247">
        <v>205689.21</v>
      </c>
      <c r="H44" s="247">
        <v>515.02779999999996</v>
      </c>
      <c r="I44" s="248">
        <v>114.1</v>
      </c>
      <c r="J44" s="258">
        <f t="shared" si="5"/>
        <v>3.5180299032540052E-3</v>
      </c>
      <c r="K44" s="298"/>
      <c r="L44" s="252">
        <v>300</v>
      </c>
      <c r="M44" s="263"/>
      <c r="N44" s="263"/>
      <c r="O44" s="473">
        <v>328.76</v>
      </c>
      <c r="P44" s="474">
        <v>328.76</v>
      </c>
      <c r="Q44" s="474">
        <v>430.86</v>
      </c>
      <c r="R44" s="475">
        <v>0.09</v>
      </c>
      <c r="S44" s="533">
        <f t="shared" si="6"/>
        <v>38</v>
      </c>
      <c r="T44" s="460">
        <v>75.260000000000005</v>
      </c>
      <c r="U44" s="460">
        <v>10.56</v>
      </c>
      <c r="V44" s="460">
        <v>353.76</v>
      </c>
      <c r="W44" s="460"/>
      <c r="X44" s="254">
        <v>51.09</v>
      </c>
      <c r="Y44" s="461">
        <v>7.4999999999999997E-2</v>
      </c>
      <c r="Z44" s="460">
        <v>22.5</v>
      </c>
      <c r="AA44" s="460">
        <v>10.26</v>
      </c>
      <c r="AB44" s="460">
        <v>437.73</v>
      </c>
      <c r="AC44" s="462">
        <v>353.75</v>
      </c>
      <c r="AD44" s="463">
        <v>0.3</v>
      </c>
      <c r="AE44" s="460">
        <v>40.83</v>
      </c>
      <c r="AF44" s="460">
        <v>61.32</v>
      </c>
      <c r="AG44" s="460">
        <v>20.62</v>
      </c>
      <c r="AH44" s="460"/>
      <c r="AI44" s="460"/>
      <c r="AJ44" s="460"/>
      <c r="AK44" s="460"/>
      <c r="AL44" s="253"/>
      <c r="AM44" s="273">
        <v>7.0000000000000007E-2</v>
      </c>
      <c r="AN44" s="255">
        <v>0.05</v>
      </c>
      <c r="AO44" s="160">
        <v>0.1</v>
      </c>
      <c r="AP44" s="536">
        <v>480.1</v>
      </c>
      <c r="AQ44" s="536"/>
      <c r="AR44" s="505">
        <f t="shared" si="7"/>
        <v>38</v>
      </c>
      <c r="AS44" s="480">
        <v>257.37</v>
      </c>
      <c r="AT44" s="480">
        <v>191.57</v>
      </c>
      <c r="AU44" s="480"/>
      <c r="AV44" s="480"/>
      <c r="AW44" s="480"/>
      <c r="AX44" s="480"/>
      <c r="AY44" s="480">
        <v>303.18</v>
      </c>
      <c r="AZ44" s="499" t="s">
        <v>5323</v>
      </c>
      <c r="BA44" s="502">
        <v>23.57</v>
      </c>
      <c r="BB44" s="480">
        <v>102.85</v>
      </c>
      <c r="BC44" s="510">
        <v>237.16</v>
      </c>
      <c r="BD44" s="510">
        <v>1222.49</v>
      </c>
      <c r="BE44" s="504">
        <v>0.2</v>
      </c>
      <c r="BF44" s="503">
        <v>0.22</v>
      </c>
      <c r="BG44" s="502">
        <v>16.66</v>
      </c>
      <c r="BH44" s="502">
        <v>1414.05</v>
      </c>
      <c r="BI44" s="502">
        <v>19.170000000000002</v>
      </c>
      <c r="BJ44" s="502"/>
      <c r="BK44" s="502"/>
      <c r="BL44" s="510"/>
      <c r="BM44" s="511">
        <v>0.16200000000000001</v>
      </c>
      <c r="BN44" s="511"/>
      <c r="BO44" s="511" t="s">
        <v>5340</v>
      </c>
      <c r="BP44" s="252"/>
      <c r="BQ44" s="252"/>
      <c r="BR44" s="511">
        <v>0.22</v>
      </c>
      <c r="BS44" s="252"/>
      <c r="BT44" s="252"/>
      <c r="BU44" s="524">
        <f t="shared" si="8"/>
        <v>38</v>
      </c>
      <c r="BV44" s="489">
        <v>158.63</v>
      </c>
      <c r="BW44" s="254"/>
      <c r="BX44" s="254"/>
      <c r="BY44" s="254"/>
      <c r="BZ44" s="494">
        <v>19.170000000000002</v>
      </c>
      <c r="CA44" s="497">
        <v>0.3</v>
      </c>
      <c r="CB44" s="497"/>
      <c r="CC44" s="494">
        <v>424</v>
      </c>
      <c r="CD44" s="241">
        <f t="shared" si="0"/>
        <v>38</v>
      </c>
      <c r="CE44" s="2"/>
      <c r="CF44" s="2">
        <v>490.8</v>
      </c>
      <c r="CG44" s="2"/>
      <c r="CH44" s="2"/>
      <c r="CI44" s="2"/>
      <c r="CJ44" s="252"/>
      <c r="CK44" s="252"/>
      <c r="CL44" s="252">
        <v>546.33000000000004</v>
      </c>
      <c r="CM44" s="253"/>
      <c r="CO44" s="253">
        <v>0.08</v>
      </c>
      <c r="CU44" s="266">
        <f t="shared" si="1"/>
        <v>181</v>
      </c>
      <c r="CV44" s="267">
        <f t="shared" si="2"/>
        <v>362</v>
      </c>
      <c r="CW44" s="268">
        <f t="shared" si="3"/>
        <v>904.99</v>
      </c>
      <c r="CX44" s="418">
        <v>184</v>
      </c>
      <c r="CY44" s="252"/>
      <c r="CZ44" s="252"/>
      <c r="DA44" s="252"/>
      <c r="DB44" s="252"/>
      <c r="DC44" s="252"/>
      <c r="DD44" s="252"/>
      <c r="DE44" s="252"/>
      <c r="DF44" s="252">
        <f t="shared" si="9"/>
        <v>0</v>
      </c>
      <c r="DG44" s="252"/>
      <c r="DH44" s="252">
        <v>489.06</v>
      </c>
      <c r="DI44" s="252"/>
      <c r="DK44" s="252"/>
      <c r="DL44" s="252"/>
      <c r="DP44" s="6">
        <v>7.2499999999999995E-2</v>
      </c>
      <c r="DQ44" s="252">
        <v>39.42</v>
      </c>
      <c r="DR44" s="3">
        <v>546.33000000000004</v>
      </c>
      <c r="DT44" s="241">
        <f t="shared" si="4"/>
        <v>38</v>
      </c>
      <c r="DU44" s="2"/>
      <c r="DV44" s="252">
        <v>720</v>
      </c>
      <c r="DY44" s="252">
        <v>405.18</v>
      </c>
      <c r="DZ44" s="264">
        <v>3.9399999999999998E-2</v>
      </c>
      <c r="EA44" s="252">
        <v>0</v>
      </c>
      <c r="EB44" s="253">
        <v>0</v>
      </c>
    </row>
    <row r="45" spans="1:132">
      <c r="A45">
        <v>39</v>
      </c>
      <c r="B45" s="259">
        <v>3.2010999999999998</v>
      </c>
      <c r="C45">
        <v>39</v>
      </c>
      <c r="D45" s="168">
        <f t="shared" si="10"/>
        <v>1.9550369219658581E-3</v>
      </c>
      <c r="E45" s="246">
        <v>40603</v>
      </c>
      <c r="F45" s="186">
        <v>0.19</v>
      </c>
      <c r="G45" s="247">
        <v>206091.34</v>
      </c>
      <c r="H45" s="247">
        <v>516.03470000000004</v>
      </c>
      <c r="I45" s="248">
        <v>114.3</v>
      </c>
      <c r="J45" s="258">
        <f t="shared" si="5"/>
        <v>1.7528483786153348E-3</v>
      </c>
      <c r="K45" s="298"/>
      <c r="L45" s="252">
        <v>300</v>
      </c>
      <c r="M45" s="263"/>
      <c r="N45" s="263"/>
      <c r="O45" s="473">
        <v>328.76</v>
      </c>
      <c r="P45" s="474">
        <v>328.76</v>
      </c>
      <c r="Q45" s="474">
        <v>430.86</v>
      </c>
      <c r="R45" s="475">
        <v>0.09</v>
      </c>
      <c r="S45" s="533">
        <f t="shared" si="6"/>
        <v>39</v>
      </c>
      <c r="T45" s="460">
        <v>75.260000000000005</v>
      </c>
      <c r="U45" s="460">
        <v>10.56</v>
      </c>
      <c r="V45" s="460">
        <v>353.76</v>
      </c>
      <c r="W45" s="460"/>
      <c r="X45" s="254">
        <v>51.09</v>
      </c>
      <c r="Y45" s="461">
        <v>7.4999999999999997E-2</v>
      </c>
      <c r="Z45" s="460">
        <v>22.5</v>
      </c>
      <c r="AA45" s="460">
        <v>10.26</v>
      </c>
      <c r="AB45" s="460">
        <v>437.73</v>
      </c>
      <c r="AC45" s="462">
        <v>353.75</v>
      </c>
      <c r="AD45" s="463">
        <v>0.3</v>
      </c>
      <c r="AE45" s="460">
        <v>40.83</v>
      </c>
      <c r="AF45" s="460">
        <v>61.32</v>
      </c>
      <c r="AG45" s="460">
        <v>20.62</v>
      </c>
      <c r="AH45" s="460"/>
      <c r="AI45" s="460"/>
      <c r="AJ45" s="460"/>
      <c r="AK45" s="460"/>
      <c r="AL45" s="253"/>
      <c r="AM45" s="273">
        <v>7.0000000000000007E-2</v>
      </c>
      <c r="AN45" s="255">
        <v>0.05</v>
      </c>
      <c r="AO45" s="160">
        <v>0.1</v>
      </c>
      <c r="AP45" s="536">
        <v>480.1</v>
      </c>
      <c r="AQ45" s="536"/>
      <c r="AR45" s="505">
        <f t="shared" si="7"/>
        <v>39</v>
      </c>
      <c r="AS45" s="480">
        <v>257.37</v>
      </c>
      <c r="AT45" s="480">
        <v>191.57</v>
      </c>
      <c r="AU45" s="480"/>
      <c r="AV45" s="480"/>
      <c r="AW45" s="480"/>
      <c r="AX45" s="480"/>
      <c r="AY45" s="480">
        <v>303.18</v>
      </c>
      <c r="AZ45" s="499" t="s">
        <v>5323</v>
      </c>
      <c r="BA45" s="502">
        <v>23.57</v>
      </c>
      <c r="BB45" s="480">
        <v>102.85</v>
      </c>
      <c r="BC45" s="510">
        <v>237.16</v>
      </c>
      <c r="BD45" s="510">
        <v>1222.49</v>
      </c>
      <c r="BE45" s="504">
        <v>0.2</v>
      </c>
      <c r="BF45" s="503">
        <v>0.22</v>
      </c>
      <c r="BG45" s="502">
        <v>16.66</v>
      </c>
      <c r="BH45" s="502">
        <v>1414.05</v>
      </c>
      <c r="BI45" s="502">
        <v>19.170000000000002</v>
      </c>
      <c r="BJ45" s="502"/>
      <c r="BK45" s="502"/>
      <c r="BL45" s="510"/>
      <c r="BM45" s="511">
        <v>0.16200000000000001</v>
      </c>
      <c r="BN45" s="511"/>
      <c r="BO45" s="511" t="s">
        <v>5340</v>
      </c>
      <c r="BP45" s="252"/>
      <c r="BQ45" s="252"/>
      <c r="BR45" s="511">
        <v>0.22</v>
      </c>
      <c r="BS45" s="252"/>
      <c r="BT45" s="252"/>
      <c r="BU45" s="524">
        <f t="shared" si="8"/>
        <v>39</v>
      </c>
      <c r="BV45" s="489">
        <v>158.63</v>
      </c>
      <c r="BW45" s="254"/>
      <c r="BX45" s="254"/>
      <c r="BY45" s="254"/>
      <c r="BZ45" s="494">
        <v>19.170000000000002</v>
      </c>
      <c r="CA45" s="497">
        <v>0.3</v>
      </c>
      <c r="CB45" s="497"/>
      <c r="CC45" s="494">
        <v>424</v>
      </c>
      <c r="CD45" s="241">
        <f t="shared" si="0"/>
        <v>39</v>
      </c>
      <c r="CE45" s="2"/>
      <c r="CF45" s="2">
        <v>490.8</v>
      </c>
      <c r="CG45" s="2"/>
      <c r="CH45" s="2"/>
      <c r="CI45" s="2"/>
      <c r="CJ45" s="252"/>
      <c r="CK45" s="252"/>
      <c r="CL45" s="252">
        <v>546.33000000000004</v>
      </c>
      <c r="CM45" s="253"/>
      <c r="CO45" s="5">
        <v>0.08</v>
      </c>
      <c r="CU45" s="266">
        <f t="shared" si="1"/>
        <v>181</v>
      </c>
      <c r="CV45" s="267">
        <f t="shared" si="2"/>
        <v>362</v>
      </c>
      <c r="CW45" s="268">
        <f t="shared" si="3"/>
        <v>904.99</v>
      </c>
      <c r="CX45" s="418">
        <v>184</v>
      </c>
      <c r="CY45" s="252"/>
      <c r="CZ45" s="252"/>
      <c r="DA45" s="252"/>
      <c r="DB45" s="252"/>
      <c r="DC45" s="252"/>
      <c r="DD45" s="252"/>
      <c r="DE45" s="252"/>
      <c r="DF45" s="252">
        <f t="shared" si="9"/>
        <v>0</v>
      </c>
      <c r="DG45" s="252"/>
      <c r="DH45" s="252">
        <v>489.06</v>
      </c>
      <c r="DI45" s="252"/>
      <c r="DK45" s="252"/>
      <c r="DL45" s="252"/>
      <c r="DP45" s="6">
        <v>7.2499999999999995E-2</v>
      </c>
      <c r="DQ45" s="252">
        <v>39.42</v>
      </c>
      <c r="DR45" s="3">
        <v>546.33000000000004</v>
      </c>
      <c r="DT45" s="241">
        <f t="shared" si="4"/>
        <v>39</v>
      </c>
      <c r="DU45" s="2"/>
      <c r="DV45" s="252">
        <v>720</v>
      </c>
      <c r="DY45" s="252">
        <v>405.18</v>
      </c>
      <c r="DZ45" s="264">
        <v>3.9399999999999998E-2</v>
      </c>
      <c r="EA45" s="252">
        <v>0</v>
      </c>
      <c r="EB45" s="253">
        <v>0</v>
      </c>
    </row>
    <row r="46" spans="1:132">
      <c r="A46">
        <v>40</v>
      </c>
      <c r="B46" s="259">
        <v>4.2011000000000003</v>
      </c>
      <c r="C46">
        <v>40</v>
      </c>
      <c r="D46" s="168">
        <f t="shared" si="10"/>
        <v>5.8536181093296058E-3</v>
      </c>
      <c r="E46" s="246">
        <v>40634</v>
      </c>
      <c r="F46" s="186">
        <v>0.57999999999999996</v>
      </c>
      <c r="G46" s="247">
        <v>207297.72</v>
      </c>
      <c r="H46" s="247">
        <v>519.05529999999999</v>
      </c>
      <c r="I46" s="248">
        <v>115</v>
      </c>
      <c r="J46" s="258">
        <f t="shared" si="5"/>
        <v>6.1242344706911034E-3</v>
      </c>
      <c r="K46" s="298"/>
      <c r="L46" s="252">
        <v>300</v>
      </c>
      <c r="M46" s="263"/>
      <c r="N46" s="263"/>
      <c r="O46" s="473">
        <v>328.76</v>
      </c>
      <c r="P46" s="474">
        <v>328.76</v>
      </c>
      <c r="Q46" s="474">
        <v>430.86</v>
      </c>
      <c r="R46" s="475">
        <v>0.09</v>
      </c>
      <c r="S46" s="533">
        <f t="shared" si="6"/>
        <v>40</v>
      </c>
      <c r="T46" s="460">
        <v>75.260000000000005</v>
      </c>
      <c r="U46" s="460">
        <v>10.56</v>
      </c>
      <c r="V46" s="460">
        <v>353.76</v>
      </c>
      <c r="W46" s="460"/>
      <c r="X46" s="254">
        <v>51.09</v>
      </c>
      <c r="Y46" s="461">
        <v>7.4999999999999997E-2</v>
      </c>
      <c r="Z46" s="460">
        <v>22.5</v>
      </c>
      <c r="AA46" s="460">
        <v>10.26</v>
      </c>
      <c r="AB46" s="460">
        <v>437.73</v>
      </c>
      <c r="AC46" s="462">
        <v>353.75</v>
      </c>
      <c r="AD46" s="463">
        <v>0.3</v>
      </c>
      <c r="AE46" s="460">
        <v>40.83</v>
      </c>
      <c r="AF46" s="460">
        <v>61.32</v>
      </c>
      <c r="AG46" s="460">
        <v>20.62</v>
      </c>
      <c r="AH46" s="460"/>
      <c r="AI46" s="460"/>
      <c r="AJ46" s="460"/>
      <c r="AK46" s="460"/>
      <c r="AL46" s="253"/>
      <c r="AM46" s="273">
        <v>7.0000000000000007E-2</v>
      </c>
      <c r="AN46" s="255">
        <v>0.05</v>
      </c>
      <c r="AO46" s="160">
        <v>0.1</v>
      </c>
      <c r="AP46" s="536">
        <v>480.1</v>
      </c>
      <c r="AQ46" s="536"/>
      <c r="AR46" s="505">
        <f t="shared" si="7"/>
        <v>40</v>
      </c>
      <c r="AS46" s="480">
        <v>257.37</v>
      </c>
      <c r="AT46" s="480">
        <v>191.57</v>
      </c>
      <c r="AU46" s="480"/>
      <c r="AV46" s="480"/>
      <c r="AW46" s="480"/>
      <c r="AX46" s="480"/>
      <c r="AY46" s="480">
        <v>303.18</v>
      </c>
      <c r="AZ46" s="499" t="s">
        <v>5323</v>
      </c>
      <c r="BA46" s="502">
        <v>23.57</v>
      </c>
      <c r="BB46" s="480">
        <v>102.85</v>
      </c>
      <c r="BC46" s="510">
        <v>237.16</v>
      </c>
      <c r="BD46" s="510">
        <v>1222.49</v>
      </c>
      <c r="BE46" s="504">
        <v>0.2</v>
      </c>
      <c r="BF46" s="503">
        <v>0.22</v>
      </c>
      <c r="BG46" s="502">
        <v>16.66</v>
      </c>
      <c r="BH46" s="502">
        <v>1414.05</v>
      </c>
      <c r="BI46" s="502">
        <v>19.170000000000002</v>
      </c>
      <c r="BJ46" s="502"/>
      <c r="BK46" s="502"/>
      <c r="BL46" s="510"/>
      <c r="BM46" s="511">
        <v>0.16200000000000001</v>
      </c>
      <c r="BN46" s="511"/>
      <c r="BO46" s="511" t="s">
        <v>5340</v>
      </c>
      <c r="BP46" s="252"/>
      <c r="BQ46" s="252"/>
      <c r="BR46" s="511">
        <v>0.22</v>
      </c>
      <c r="BS46" s="252"/>
      <c r="BT46" s="252"/>
      <c r="BU46" s="524">
        <f t="shared" si="8"/>
        <v>40</v>
      </c>
      <c r="BV46" s="489">
        <v>158.63</v>
      </c>
      <c r="BW46" s="254"/>
      <c r="BX46" s="254"/>
      <c r="BY46" s="254"/>
      <c r="BZ46" s="494">
        <v>19.170000000000002</v>
      </c>
      <c r="CA46" s="497">
        <v>0.3</v>
      </c>
      <c r="CB46" s="497"/>
      <c r="CC46" s="494">
        <v>424</v>
      </c>
      <c r="CD46" s="241">
        <f t="shared" si="0"/>
        <v>40</v>
      </c>
      <c r="CE46" s="2"/>
      <c r="CF46" s="2">
        <v>490.8</v>
      </c>
      <c r="CG46" s="2"/>
      <c r="CH46" s="2"/>
      <c r="CI46" s="2"/>
      <c r="CJ46" s="252"/>
      <c r="CK46" s="252"/>
      <c r="CL46" s="252">
        <v>546.33000000000004</v>
      </c>
      <c r="CM46" s="253"/>
      <c r="CO46" s="253">
        <v>0.08</v>
      </c>
      <c r="CU46" s="266">
        <f t="shared" si="1"/>
        <v>181</v>
      </c>
      <c r="CV46" s="267">
        <f t="shared" si="2"/>
        <v>362</v>
      </c>
      <c r="CW46" s="268">
        <f t="shared" si="3"/>
        <v>904.99</v>
      </c>
      <c r="CX46" s="418">
        <v>184</v>
      </c>
      <c r="CY46" s="252"/>
      <c r="CZ46" s="252"/>
      <c r="DA46" s="252"/>
      <c r="DB46" s="252"/>
      <c r="DC46" s="252"/>
      <c r="DD46" s="252"/>
      <c r="DE46" s="252"/>
      <c r="DF46" s="252">
        <f t="shared" si="9"/>
        <v>0</v>
      </c>
      <c r="DG46" s="252"/>
      <c r="DH46" s="252">
        <v>489.06</v>
      </c>
      <c r="DI46" s="252"/>
      <c r="DK46" s="252"/>
      <c r="DL46" s="252"/>
      <c r="DP46" s="6">
        <v>7.2499999999999995E-2</v>
      </c>
      <c r="DQ46" s="252">
        <v>39.42</v>
      </c>
      <c r="DR46" s="3">
        <v>546.33000000000004</v>
      </c>
      <c r="DT46" s="241">
        <f t="shared" si="4"/>
        <v>40</v>
      </c>
      <c r="DU46" s="2"/>
      <c r="DV46" s="252">
        <v>720</v>
      </c>
      <c r="DY46" s="252">
        <v>405.18</v>
      </c>
      <c r="DZ46" s="264">
        <v>3.9399999999999998E-2</v>
      </c>
      <c r="EA46" s="252">
        <v>0</v>
      </c>
      <c r="EB46" s="253">
        <v>0</v>
      </c>
    </row>
    <row r="47" spans="1:132">
      <c r="A47">
        <v>41</v>
      </c>
      <c r="B47" s="259">
        <v>5.2011000000000003</v>
      </c>
      <c r="C47">
        <v>41</v>
      </c>
      <c r="D47" s="168">
        <f t="shared" si="10"/>
        <v>4.849691545087742E-3</v>
      </c>
      <c r="E47" s="246">
        <v>40664</v>
      </c>
      <c r="F47" s="186">
        <v>0.48</v>
      </c>
      <c r="G47" s="247">
        <v>208303.05</v>
      </c>
      <c r="H47" s="247">
        <v>521.57259999999997</v>
      </c>
      <c r="I47" s="248">
        <v>115.5</v>
      </c>
      <c r="J47" s="258">
        <f t="shared" si="5"/>
        <v>4.3478260869564966E-3</v>
      </c>
      <c r="K47" s="298"/>
      <c r="L47" s="252">
        <v>300</v>
      </c>
      <c r="M47" s="263"/>
      <c r="N47" s="263"/>
      <c r="O47" s="473">
        <v>328.76</v>
      </c>
      <c r="P47" s="474">
        <v>328.76</v>
      </c>
      <c r="Q47" s="474">
        <v>430.86</v>
      </c>
      <c r="R47" s="475">
        <v>0.09</v>
      </c>
      <c r="S47" s="533">
        <f t="shared" si="6"/>
        <v>41</v>
      </c>
      <c r="T47" s="460">
        <v>75.260000000000005</v>
      </c>
      <c r="U47" s="460">
        <v>10.56</v>
      </c>
      <c r="V47" s="460">
        <v>353.76</v>
      </c>
      <c r="W47" s="460"/>
      <c r="X47" s="254">
        <v>51.09</v>
      </c>
      <c r="Y47" s="461">
        <v>7.4999999999999997E-2</v>
      </c>
      <c r="Z47" s="460">
        <v>22.5</v>
      </c>
      <c r="AA47" s="460">
        <v>10.26</v>
      </c>
      <c r="AB47" s="460">
        <v>437.73</v>
      </c>
      <c r="AC47" s="462">
        <v>353.75</v>
      </c>
      <c r="AD47" s="463">
        <v>0.3</v>
      </c>
      <c r="AE47" s="460">
        <v>40.83</v>
      </c>
      <c r="AF47" s="460">
        <v>61.32</v>
      </c>
      <c r="AG47" s="460">
        <v>20.62</v>
      </c>
      <c r="AH47" s="460"/>
      <c r="AI47" s="460"/>
      <c r="AJ47" s="460"/>
      <c r="AK47" s="460"/>
      <c r="AL47" s="253"/>
      <c r="AM47" s="273">
        <v>7.0000000000000007E-2</v>
      </c>
      <c r="AN47" s="255">
        <v>0.05</v>
      </c>
      <c r="AO47" s="160">
        <v>0.1</v>
      </c>
      <c r="AP47" s="536">
        <v>480.1</v>
      </c>
      <c r="AQ47" s="536"/>
      <c r="AR47" s="505">
        <f t="shared" si="7"/>
        <v>41</v>
      </c>
      <c r="AS47" s="480">
        <v>257.37</v>
      </c>
      <c r="AT47" s="480">
        <v>191.57</v>
      </c>
      <c r="AU47" s="480"/>
      <c r="AV47" s="480"/>
      <c r="AW47" s="480"/>
      <c r="AX47" s="480"/>
      <c r="AY47" s="480">
        <v>303.18</v>
      </c>
      <c r="AZ47" s="499" t="s">
        <v>5323</v>
      </c>
      <c r="BA47" s="502">
        <v>23.57</v>
      </c>
      <c r="BB47" s="480">
        <v>102.85</v>
      </c>
      <c r="BC47" s="510">
        <v>237.16</v>
      </c>
      <c r="BD47" s="510">
        <v>1222.49</v>
      </c>
      <c r="BE47" s="504">
        <v>0.2</v>
      </c>
      <c r="BF47" s="503">
        <v>0.22</v>
      </c>
      <c r="BG47" s="502">
        <v>16.66</v>
      </c>
      <c r="BH47" s="502">
        <v>1414.05</v>
      </c>
      <c r="BI47" s="502">
        <v>19.170000000000002</v>
      </c>
      <c r="BJ47" s="502"/>
      <c r="BK47" s="502"/>
      <c r="BL47" s="510"/>
      <c r="BM47" s="511">
        <v>0.16200000000000001</v>
      </c>
      <c r="BN47" s="511"/>
      <c r="BO47" s="511" t="s">
        <v>5340</v>
      </c>
      <c r="BP47" s="252"/>
      <c r="BQ47" s="252"/>
      <c r="BR47" s="511">
        <v>0.22</v>
      </c>
      <c r="BS47" s="252"/>
      <c r="BT47" s="252"/>
      <c r="BU47" s="524">
        <f t="shared" si="8"/>
        <v>41</v>
      </c>
      <c r="BV47" s="489">
        <v>158.63</v>
      </c>
      <c r="BW47" s="254"/>
      <c r="BX47" s="254"/>
      <c r="BY47" s="254"/>
      <c r="BZ47" s="494">
        <v>19.170000000000002</v>
      </c>
      <c r="CA47" s="497">
        <v>0.3</v>
      </c>
      <c r="CB47" s="497"/>
      <c r="CC47" s="494">
        <v>424</v>
      </c>
      <c r="CD47" s="241">
        <f t="shared" si="0"/>
        <v>41</v>
      </c>
      <c r="CE47" s="2"/>
      <c r="CF47" s="2">
        <v>490.8</v>
      </c>
      <c r="CG47" s="2"/>
      <c r="CH47" s="2"/>
      <c r="CI47" s="2"/>
      <c r="CJ47" s="252"/>
      <c r="CK47" s="252"/>
      <c r="CL47" s="252">
        <v>546.33000000000004</v>
      </c>
      <c r="CM47" s="253"/>
      <c r="CO47" s="5">
        <v>0.08</v>
      </c>
      <c r="CU47" s="266">
        <f t="shared" si="1"/>
        <v>181</v>
      </c>
      <c r="CV47" s="267">
        <f t="shared" si="2"/>
        <v>362</v>
      </c>
      <c r="CW47" s="268">
        <f t="shared" si="3"/>
        <v>904.99</v>
      </c>
      <c r="CX47" s="418">
        <v>184</v>
      </c>
      <c r="CY47" s="252"/>
      <c r="CZ47" s="252"/>
      <c r="DA47" s="252"/>
      <c r="DB47" s="252"/>
      <c r="DC47" s="252"/>
      <c r="DD47" s="252"/>
      <c r="DE47" s="252"/>
      <c r="DF47" s="252">
        <f t="shared" si="9"/>
        <v>0</v>
      </c>
      <c r="DG47" s="252"/>
      <c r="DH47" s="252">
        <v>489.06</v>
      </c>
      <c r="DI47" s="252"/>
      <c r="DK47" s="252"/>
      <c r="DL47" s="252"/>
      <c r="DP47" s="6">
        <v>7.2499999999999995E-2</v>
      </c>
      <c r="DQ47" s="252">
        <v>39.42</v>
      </c>
      <c r="DR47" s="3">
        <v>546.33000000000004</v>
      </c>
      <c r="DT47" s="241">
        <f t="shared" si="4"/>
        <v>41</v>
      </c>
      <c r="DU47" s="2"/>
      <c r="DV47" s="252">
        <v>720</v>
      </c>
      <c r="DY47" s="252">
        <v>405.18</v>
      </c>
      <c r="DZ47" s="264">
        <v>3.9399999999999998E-2</v>
      </c>
      <c r="EA47" s="252">
        <v>0</v>
      </c>
      <c r="EB47" s="253">
        <v>0</v>
      </c>
    </row>
    <row r="48" spans="1:132">
      <c r="A48">
        <v>42</v>
      </c>
      <c r="B48" s="259">
        <v>6.2011000000000003</v>
      </c>
      <c r="C48">
        <v>42</v>
      </c>
      <c r="D48" s="168">
        <f t="shared" si="10"/>
        <v>3.861009236302726E-3</v>
      </c>
      <c r="E48" s="246">
        <v>40695</v>
      </c>
      <c r="F48" s="186">
        <v>0.38</v>
      </c>
      <c r="G48" s="247">
        <v>209107.31</v>
      </c>
      <c r="H48" s="247">
        <v>523.58640000000003</v>
      </c>
      <c r="I48" s="248">
        <v>116</v>
      </c>
      <c r="J48" s="258">
        <f t="shared" si="5"/>
        <v>4.3290043290042934E-3</v>
      </c>
      <c r="K48" s="298"/>
      <c r="L48" s="252">
        <v>300</v>
      </c>
      <c r="M48" s="263"/>
      <c r="N48" s="263"/>
      <c r="O48" s="473">
        <v>328.76</v>
      </c>
      <c r="P48" s="474">
        <v>328.76</v>
      </c>
      <c r="Q48" s="474">
        <v>430.86</v>
      </c>
      <c r="R48" s="475">
        <v>0.09</v>
      </c>
      <c r="S48" s="533">
        <f t="shared" si="6"/>
        <v>42</v>
      </c>
      <c r="T48" s="460">
        <v>75.260000000000005</v>
      </c>
      <c r="U48" s="460">
        <v>10.56</v>
      </c>
      <c r="V48" s="460">
        <v>353.76</v>
      </c>
      <c r="W48" s="460"/>
      <c r="X48" s="254">
        <v>51.09</v>
      </c>
      <c r="Y48" s="461">
        <v>7.4999999999999997E-2</v>
      </c>
      <c r="Z48" s="460">
        <v>22.5</v>
      </c>
      <c r="AA48" s="460">
        <v>10.26</v>
      </c>
      <c r="AB48" s="460">
        <v>437.73</v>
      </c>
      <c r="AC48" s="462">
        <v>353.75</v>
      </c>
      <c r="AD48" s="463">
        <v>0.3</v>
      </c>
      <c r="AE48" s="460">
        <v>40.83</v>
      </c>
      <c r="AF48" s="460">
        <v>61.32</v>
      </c>
      <c r="AG48" s="460">
        <v>20.62</v>
      </c>
      <c r="AH48" s="460"/>
      <c r="AI48" s="460"/>
      <c r="AJ48" s="460"/>
      <c r="AK48" s="460"/>
      <c r="AL48" s="253"/>
      <c r="AM48" s="273">
        <v>7.0000000000000007E-2</v>
      </c>
      <c r="AN48" s="255">
        <v>0.05</v>
      </c>
      <c r="AO48" s="160">
        <v>0.1</v>
      </c>
      <c r="AP48" s="536">
        <v>480.1</v>
      </c>
      <c r="AQ48" s="536"/>
      <c r="AR48" s="505">
        <f t="shared" si="7"/>
        <v>42</v>
      </c>
      <c r="AS48" s="480">
        <v>257.37</v>
      </c>
      <c r="AT48" s="480">
        <v>191.57</v>
      </c>
      <c r="AU48" s="480"/>
      <c r="AV48" s="480"/>
      <c r="AW48" s="480"/>
      <c r="AX48" s="480"/>
      <c r="AY48" s="480">
        <v>303.18</v>
      </c>
      <c r="AZ48" s="499" t="s">
        <v>5323</v>
      </c>
      <c r="BA48" s="502">
        <v>23.57</v>
      </c>
      <c r="BB48" s="480">
        <v>102.85</v>
      </c>
      <c r="BC48" s="510">
        <v>237.16</v>
      </c>
      <c r="BD48" s="510">
        <v>1222.49</v>
      </c>
      <c r="BE48" s="504">
        <v>0.2</v>
      </c>
      <c r="BF48" s="503">
        <v>0.22</v>
      </c>
      <c r="BG48" s="502">
        <v>16.66</v>
      </c>
      <c r="BH48" s="502">
        <v>1414.05</v>
      </c>
      <c r="BI48" s="502">
        <v>19.170000000000002</v>
      </c>
      <c r="BJ48" s="502"/>
      <c r="BK48" s="502"/>
      <c r="BL48" s="510"/>
      <c r="BM48" s="511">
        <v>0.16200000000000001</v>
      </c>
      <c r="BN48" s="511"/>
      <c r="BO48" s="511" t="s">
        <v>5340</v>
      </c>
      <c r="BP48" s="252"/>
      <c r="BQ48" s="252"/>
      <c r="BR48" s="511">
        <v>0.22</v>
      </c>
      <c r="BS48" s="252"/>
      <c r="BT48" s="252"/>
      <c r="BU48" s="524">
        <f t="shared" si="8"/>
        <v>42</v>
      </c>
      <c r="BV48" s="489">
        <v>158.63</v>
      </c>
      <c r="BW48" s="254"/>
      <c r="BX48" s="254"/>
      <c r="BY48" s="254"/>
      <c r="BZ48" s="494">
        <v>19.170000000000002</v>
      </c>
      <c r="CA48" s="497">
        <v>0.3</v>
      </c>
      <c r="CB48" s="497"/>
      <c r="CC48" s="494">
        <v>424</v>
      </c>
      <c r="CD48" s="241">
        <f t="shared" si="0"/>
        <v>42</v>
      </c>
      <c r="CE48" s="2"/>
      <c r="CF48" s="2">
        <v>490.8</v>
      </c>
      <c r="CG48" s="2"/>
      <c r="CH48" s="2"/>
      <c r="CI48" s="2"/>
      <c r="CJ48" s="252"/>
      <c r="CK48" s="252"/>
      <c r="CL48" s="252">
        <v>546.33000000000004</v>
      </c>
      <c r="CM48" s="253"/>
      <c r="CO48" s="253">
        <v>0.08</v>
      </c>
      <c r="CU48" s="266">
        <f t="shared" si="1"/>
        <v>181</v>
      </c>
      <c r="CV48" s="267">
        <f t="shared" si="2"/>
        <v>362</v>
      </c>
      <c r="CW48" s="268">
        <f t="shared" si="3"/>
        <v>904.99</v>
      </c>
      <c r="CX48" s="418">
        <v>184</v>
      </c>
      <c r="CY48" s="252"/>
      <c r="CZ48" s="252"/>
      <c r="DA48" s="252"/>
      <c r="DB48" s="252"/>
      <c r="DC48" s="252"/>
      <c r="DD48" s="252"/>
      <c r="DE48" s="252"/>
      <c r="DF48" s="252">
        <f t="shared" si="9"/>
        <v>0</v>
      </c>
      <c r="DG48" s="252"/>
      <c r="DH48" s="252">
        <v>489.06</v>
      </c>
      <c r="DI48" s="252"/>
      <c r="DK48" s="252"/>
      <c r="DL48" s="252"/>
      <c r="DP48" s="6">
        <v>7.2499999999999995E-2</v>
      </c>
      <c r="DQ48" s="252">
        <v>39.42</v>
      </c>
      <c r="DR48" s="3">
        <v>546.33000000000004</v>
      </c>
      <c r="DT48" s="241">
        <f t="shared" si="4"/>
        <v>42</v>
      </c>
      <c r="DU48" s="2"/>
      <c r="DV48" s="252">
        <v>720</v>
      </c>
      <c r="DY48" s="252">
        <v>405.18</v>
      </c>
      <c r="DZ48" s="264">
        <v>3.9399999999999998E-2</v>
      </c>
      <c r="EA48" s="252">
        <v>0</v>
      </c>
      <c r="EB48" s="253">
        <v>0</v>
      </c>
    </row>
    <row r="49" spans="1:132">
      <c r="A49">
        <v>43</v>
      </c>
      <c r="B49" s="259">
        <v>7.2011000000000003</v>
      </c>
      <c r="C49">
        <v>43</v>
      </c>
      <c r="D49" s="168">
        <f t="shared" si="10"/>
        <v>-2.8846432963056667E-3</v>
      </c>
      <c r="E49" s="246">
        <v>40725</v>
      </c>
      <c r="F49" s="186">
        <v>-0.28999999999999998</v>
      </c>
      <c r="G49" s="247">
        <v>208504.11</v>
      </c>
      <c r="H49" s="247">
        <v>522.07600000000002</v>
      </c>
      <c r="I49" s="248">
        <v>115.6</v>
      </c>
      <c r="J49" s="258">
        <f t="shared" si="5"/>
        <v>-3.4482758620689724E-3</v>
      </c>
      <c r="K49" s="298"/>
      <c r="L49" s="252">
        <v>300</v>
      </c>
      <c r="M49" s="263"/>
      <c r="N49" s="263"/>
      <c r="O49" s="473">
        <v>328.76</v>
      </c>
      <c r="P49" s="474">
        <v>328.76</v>
      </c>
      <c r="Q49" s="474">
        <v>430.86</v>
      </c>
      <c r="R49" s="475">
        <v>0.09</v>
      </c>
      <c r="S49" s="533">
        <f t="shared" si="6"/>
        <v>43</v>
      </c>
      <c r="T49" s="460">
        <v>75.260000000000005</v>
      </c>
      <c r="U49" s="460">
        <v>10.56</v>
      </c>
      <c r="V49" s="460">
        <v>353.76</v>
      </c>
      <c r="W49" s="460"/>
      <c r="X49" s="254">
        <v>51.09</v>
      </c>
      <c r="Y49" s="461">
        <v>7.4999999999999997E-2</v>
      </c>
      <c r="Z49" s="460">
        <v>22.5</v>
      </c>
      <c r="AA49" s="460">
        <v>10.26</v>
      </c>
      <c r="AB49" s="460">
        <v>437.73</v>
      </c>
      <c r="AC49" s="462">
        <v>353.75</v>
      </c>
      <c r="AD49" s="463">
        <v>0.3</v>
      </c>
      <c r="AE49" s="460">
        <v>40.83</v>
      </c>
      <c r="AF49" s="460">
        <v>61.32</v>
      </c>
      <c r="AG49" s="460">
        <v>20.62</v>
      </c>
      <c r="AH49" s="460"/>
      <c r="AI49" s="460"/>
      <c r="AJ49" s="460"/>
      <c r="AK49" s="460"/>
      <c r="AL49" s="253"/>
      <c r="AM49" s="273">
        <v>7.0000000000000007E-2</v>
      </c>
      <c r="AN49" s="255">
        <v>0.05</v>
      </c>
      <c r="AO49" s="160">
        <v>0.1</v>
      </c>
      <c r="AP49" s="536">
        <v>480.1</v>
      </c>
      <c r="AQ49" s="536"/>
      <c r="AR49" s="505">
        <f t="shared" si="7"/>
        <v>43</v>
      </c>
      <c r="AS49" s="480">
        <v>257.37</v>
      </c>
      <c r="AT49" s="480">
        <v>191.57</v>
      </c>
      <c r="AU49" s="480"/>
      <c r="AV49" s="480"/>
      <c r="AW49" s="480"/>
      <c r="AX49" s="480"/>
      <c r="AY49" s="480">
        <v>303.18</v>
      </c>
      <c r="AZ49" s="499" t="s">
        <v>5323</v>
      </c>
      <c r="BA49" s="502">
        <v>23.57</v>
      </c>
      <c r="BB49" s="480">
        <v>102.85</v>
      </c>
      <c r="BC49" s="510">
        <v>237.16</v>
      </c>
      <c r="BD49" s="510">
        <v>1222.49</v>
      </c>
      <c r="BE49" s="504">
        <v>0.2</v>
      </c>
      <c r="BF49" s="503">
        <v>0.22</v>
      </c>
      <c r="BG49" s="502">
        <v>16.66</v>
      </c>
      <c r="BH49" s="502">
        <v>1414.05</v>
      </c>
      <c r="BI49" s="502">
        <v>19.170000000000002</v>
      </c>
      <c r="BJ49" s="502"/>
      <c r="BK49" s="502"/>
      <c r="BL49" s="510"/>
      <c r="BM49" s="511">
        <v>0.16200000000000001</v>
      </c>
      <c r="BN49" s="511"/>
      <c r="BO49" s="511" t="s">
        <v>5340</v>
      </c>
      <c r="BP49" s="252"/>
      <c r="BQ49" s="252"/>
      <c r="BR49" s="511">
        <v>0.22</v>
      </c>
      <c r="BS49" s="252"/>
      <c r="BT49" s="252"/>
      <c r="BU49" s="524">
        <f t="shared" si="8"/>
        <v>43</v>
      </c>
      <c r="BV49" s="489">
        <v>158.63</v>
      </c>
      <c r="BW49" s="254"/>
      <c r="BX49" s="254"/>
      <c r="BY49" s="254"/>
      <c r="BZ49" s="494">
        <v>19.170000000000002</v>
      </c>
      <c r="CA49" s="497">
        <v>0.3</v>
      </c>
      <c r="CB49" s="497"/>
      <c r="CC49" s="494">
        <v>424</v>
      </c>
      <c r="CD49" s="241">
        <f t="shared" si="0"/>
        <v>43</v>
      </c>
      <c r="CE49" s="2"/>
      <c r="CF49" s="2">
        <v>490.8</v>
      </c>
      <c r="CG49" s="2"/>
      <c r="CH49" s="2"/>
      <c r="CI49" s="2"/>
      <c r="CJ49" s="252"/>
      <c r="CK49" s="252"/>
      <c r="CL49" s="252">
        <v>546.33000000000004</v>
      </c>
      <c r="CM49" s="253"/>
      <c r="CO49" s="5">
        <v>0.08</v>
      </c>
      <c r="CU49" s="266">
        <f t="shared" si="1"/>
        <v>181</v>
      </c>
      <c r="CV49" s="267">
        <f t="shared" si="2"/>
        <v>362</v>
      </c>
      <c r="CW49" s="268">
        <f t="shared" si="3"/>
        <v>904.99</v>
      </c>
      <c r="CX49" s="418">
        <v>184</v>
      </c>
      <c r="CY49" s="252"/>
      <c r="CZ49" s="252"/>
      <c r="DA49" s="252"/>
      <c r="DB49" s="252"/>
      <c r="DC49" s="252"/>
      <c r="DD49" s="252"/>
      <c r="DE49" s="252"/>
      <c r="DF49" s="252">
        <f t="shared" si="9"/>
        <v>0</v>
      </c>
      <c r="DG49" s="252"/>
      <c r="DH49" s="252">
        <v>489.06</v>
      </c>
      <c r="DI49" s="252"/>
      <c r="DK49" s="252"/>
      <c r="DL49" s="252"/>
      <c r="DP49" s="6">
        <v>7.2499999999999995E-2</v>
      </c>
      <c r="DQ49" s="252">
        <v>39.42</v>
      </c>
      <c r="DR49" s="3">
        <v>546.33000000000004</v>
      </c>
      <c r="DT49" s="241">
        <f t="shared" si="4"/>
        <v>43</v>
      </c>
      <c r="DU49" s="2"/>
      <c r="DV49" s="252">
        <v>720</v>
      </c>
      <c r="DY49" s="252">
        <v>405.18</v>
      </c>
      <c r="DZ49" s="264">
        <v>3.9399999999999998E-2</v>
      </c>
      <c r="EA49" s="252">
        <v>0</v>
      </c>
      <c r="EB49" s="253">
        <v>0</v>
      </c>
    </row>
    <row r="50" spans="1:132">
      <c r="A50">
        <v>44</v>
      </c>
      <c r="B50" s="259">
        <v>8.2011000000000003</v>
      </c>
      <c r="C50">
        <v>44</v>
      </c>
      <c r="D50" s="168">
        <f t="shared" si="10"/>
        <v>4.8216315735936099E-3</v>
      </c>
      <c r="E50" s="246">
        <v>40756</v>
      </c>
      <c r="F50" s="186">
        <v>0.48</v>
      </c>
      <c r="G50" s="247">
        <v>209509.44</v>
      </c>
      <c r="H50" s="247">
        <v>524.5933</v>
      </c>
      <c r="I50" s="248">
        <v>116.2</v>
      </c>
      <c r="J50" s="258">
        <f t="shared" si="5"/>
        <v>5.1903114186850896E-3</v>
      </c>
      <c r="K50" s="298"/>
      <c r="L50" s="252">
        <v>300</v>
      </c>
      <c r="M50" s="263"/>
      <c r="N50" s="263"/>
      <c r="O50" s="473">
        <v>328.76</v>
      </c>
      <c r="P50" s="474">
        <v>328.76</v>
      </c>
      <c r="Q50" s="474">
        <v>430.86</v>
      </c>
      <c r="R50" s="475">
        <v>0.09</v>
      </c>
      <c r="S50" s="533">
        <f t="shared" si="6"/>
        <v>44</v>
      </c>
      <c r="T50" s="460">
        <v>75.260000000000005</v>
      </c>
      <c r="U50" s="460">
        <v>10.56</v>
      </c>
      <c r="V50" s="460">
        <v>353.76</v>
      </c>
      <c r="W50" s="460"/>
      <c r="X50" s="254">
        <v>51.09</v>
      </c>
      <c r="Y50" s="461">
        <v>7.4999999999999997E-2</v>
      </c>
      <c r="Z50" s="460">
        <v>22.5</v>
      </c>
      <c r="AA50" s="460">
        <v>10.26</v>
      </c>
      <c r="AB50" s="460">
        <v>437.73</v>
      </c>
      <c r="AC50" s="462">
        <v>353.75</v>
      </c>
      <c r="AD50" s="463">
        <v>0.3</v>
      </c>
      <c r="AE50" s="460">
        <v>40.83</v>
      </c>
      <c r="AF50" s="460">
        <v>61.32</v>
      </c>
      <c r="AG50" s="460">
        <v>20.62</v>
      </c>
      <c r="AH50" s="460"/>
      <c r="AI50" s="460"/>
      <c r="AJ50" s="460"/>
      <c r="AK50" s="460"/>
      <c r="AL50" s="253"/>
      <c r="AM50" s="273">
        <v>0.1</v>
      </c>
      <c r="AN50" s="255">
        <v>0.08</v>
      </c>
      <c r="AO50" s="160">
        <v>0.1</v>
      </c>
      <c r="AP50" s="536">
        <v>480.1</v>
      </c>
      <c r="AQ50" s="536"/>
      <c r="AR50" s="505">
        <f t="shared" si="7"/>
        <v>44</v>
      </c>
      <c r="AS50" s="480">
        <v>257.37</v>
      </c>
      <c r="AT50" s="480">
        <v>191.57</v>
      </c>
      <c r="AU50" s="480"/>
      <c r="AV50" s="480"/>
      <c r="AW50" s="480"/>
      <c r="AX50" s="480"/>
      <c r="AY50" s="480">
        <v>303.18</v>
      </c>
      <c r="AZ50" s="499" t="s">
        <v>5323</v>
      </c>
      <c r="BA50" s="502">
        <v>23.57</v>
      </c>
      <c r="BB50" s="480">
        <v>102.85</v>
      </c>
      <c r="BC50" s="510">
        <v>237.16</v>
      </c>
      <c r="BD50" s="510">
        <v>1222.49</v>
      </c>
      <c r="BE50" s="504">
        <v>0.2</v>
      </c>
      <c r="BF50" s="503">
        <v>0.22</v>
      </c>
      <c r="BG50" s="502">
        <v>16.66</v>
      </c>
      <c r="BH50" s="502">
        <v>1414.05</v>
      </c>
      <c r="BI50" s="502">
        <v>19.170000000000002</v>
      </c>
      <c r="BJ50" s="502"/>
      <c r="BK50" s="502"/>
      <c r="BL50" s="510"/>
      <c r="BM50" s="511">
        <v>0.16200000000000001</v>
      </c>
      <c r="BN50" s="511"/>
      <c r="BO50" s="511" t="s">
        <v>5340</v>
      </c>
      <c r="BP50" s="252"/>
      <c r="BQ50" s="252"/>
      <c r="BR50" s="511">
        <v>0.22</v>
      </c>
      <c r="BS50" s="252"/>
      <c r="BT50" s="252"/>
      <c r="BU50" s="524">
        <f t="shared" si="8"/>
        <v>44</v>
      </c>
      <c r="BV50" s="489">
        <v>158.63</v>
      </c>
      <c r="BW50" s="254"/>
      <c r="BX50" s="254"/>
      <c r="BY50" s="254"/>
      <c r="BZ50" s="494">
        <v>19.170000000000002</v>
      </c>
      <c r="CA50" s="497">
        <v>0.3</v>
      </c>
      <c r="CB50" s="497"/>
      <c r="CC50" s="494">
        <v>424</v>
      </c>
      <c r="CD50" s="241">
        <f t="shared" si="0"/>
        <v>44</v>
      </c>
      <c r="CE50" s="2"/>
      <c r="CF50" s="2">
        <v>490.8</v>
      </c>
      <c r="CG50" s="2"/>
      <c r="CH50" s="2"/>
      <c r="CI50" s="2"/>
      <c r="CJ50" s="252"/>
      <c r="CK50" s="252"/>
      <c r="CL50" s="252">
        <v>546.33000000000004</v>
      </c>
      <c r="CM50" s="253"/>
      <c r="CO50" s="253">
        <v>0.08</v>
      </c>
      <c r="CU50" s="266">
        <f t="shared" si="1"/>
        <v>181</v>
      </c>
      <c r="CV50" s="267">
        <f t="shared" si="2"/>
        <v>362</v>
      </c>
      <c r="CW50" s="268">
        <f t="shared" si="3"/>
        <v>904.99</v>
      </c>
      <c r="CX50" s="418">
        <v>184</v>
      </c>
      <c r="CY50" s="252"/>
      <c r="CZ50" s="252"/>
      <c r="DA50" s="252"/>
      <c r="DB50" s="252"/>
      <c r="DC50" s="252"/>
      <c r="DD50" s="252"/>
      <c r="DE50" s="252"/>
      <c r="DF50" s="252">
        <f t="shared" si="9"/>
        <v>0</v>
      </c>
      <c r="DG50" s="252"/>
      <c r="DH50" s="252">
        <v>489.06</v>
      </c>
      <c r="DI50" s="252"/>
      <c r="DK50" s="252"/>
      <c r="DL50" s="252"/>
      <c r="DP50" s="6">
        <v>7.2499999999999995E-2</v>
      </c>
      <c r="DQ50" s="252">
        <v>39.42</v>
      </c>
      <c r="DR50" s="3">
        <v>546.33000000000004</v>
      </c>
      <c r="DT50" s="241">
        <f t="shared" si="4"/>
        <v>44</v>
      </c>
      <c r="DU50" s="2"/>
      <c r="DV50" s="252">
        <v>720</v>
      </c>
      <c r="DY50" s="252">
        <v>405.18</v>
      </c>
      <c r="DZ50" s="264">
        <v>3.9399999999999998E-2</v>
      </c>
      <c r="EA50" s="252">
        <v>0</v>
      </c>
      <c r="EB50" s="253">
        <v>0</v>
      </c>
    </row>
    <row r="51" spans="1:132">
      <c r="A51">
        <v>45</v>
      </c>
      <c r="B51" s="259">
        <v>9.2011000000000003</v>
      </c>
      <c r="C51">
        <v>45</v>
      </c>
      <c r="D51" s="168">
        <f t="shared" si="10"/>
        <v>-1.9193884533317274E-3</v>
      </c>
      <c r="E51" s="246">
        <v>40787</v>
      </c>
      <c r="F51" s="186">
        <v>-0.2</v>
      </c>
      <c r="G51" s="247">
        <v>209107.31</v>
      </c>
      <c r="H51" s="247">
        <v>523.58640000000003</v>
      </c>
      <c r="I51" s="248">
        <v>116</v>
      </c>
      <c r="J51" s="258">
        <f t="shared" si="5"/>
        <v>-1.7211703958691649E-3</v>
      </c>
      <c r="K51" s="298"/>
      <c r="L51" s="252">
        <v>300</v>
      </c>
      <c r="M51" s="263"/>
      <c r="N51" s="263"/>
      <c r="O51" s="473">
        <v>328.76</v>
      </c>
      <c r="P51" s="474">
        <v>328.76</v>
      </c>
      <c r="Q51" s="474">
        <v>430.86</v>
      </c>
      <c r="R51" s="475">
        <v>0.09</v>
      </c>
      <c r="S51" s="533">
        <f t="shared" si="6"/>
        <v>45</v>
      </c>
      <c r="T51" s="460">
        <v>75.260000000000005</v>
      </c>
      <c r="U51" s="460">
        <v>10.56</v>
      </c>
      <c r="V51" s="460">
        <v>353.76</v>
      </c>
      <c r="W51" s="460"/>
      <c r="X51" s="254">
        <v>51.09</v>
      </c>
      <c r="Y51" s="461">
        <v>7.4999999999999997E-2</v>
      </c>
      <c r="Z51" s="460">
        <v>22.5</v>
      </c>
      <c r="AA51" s="460">
        <v>10.26</v>
      </c>
      <c r="AB51" s="460">
        <v>437.73</v>
      </c>
      <c r="AC51" s="462">
        <v>353.75</v>
      </c>
      <c r="AD51" s="463">
        <v>0.3</v>
      </c>
      <c r="AE51" s="460">
        <v>40.83</v>
      </c>
      <c r="AF51" s="460">
        <v>61.32</v>
      </c>
      <c r="AG51" s="460">
        <v>20.62</v>
      </c>
      <c r="AH51" s="460"/>
      <c r="AI51" s="460"/>
      <c r="AJ51" s="460"/>
      <c r="AK51" s="460"/>
      <c r="AL51" s="253"/>
      <c r="AM51" s="273">
        <v>0.1</v>
      </c>
      <c r="AN51" s="255">
        <v>0.08</v>
      </c>
      <c r="AO51" s="160">
        <v>0.1</v>
      </c>
      <c r="AP51" s="536">
        <v>480.1</v>
      </c>
      <c r="AQ51" s="536"/>
      <c r="AR51" s="505">
        <f t="shared" si="7"/>
        <v>45</v>
      </c>
      <c r="AS51" s="480">
        <v>257.37</v>
      </c>
      <c r="AT51" s="480">
        <v>191.57</v>
      </c>
      <c r="AU51" s="480"/>
      <c r="AV51" s="480"/>
      <c r="AW51" s="480"/>
      <c r="AX51" s="480"/>
      <c r="AY51" s="480">
        <v>303.18</v>
      </c>
      <c r="AZ51" s="499" t="s">
        <v>5323</v>
      </c>
      <c r="BA51" s="502">
        <v>23.57</v>
      </c>
      <c r="BB51" s="480">
        <v>102.85</v>
      </c>
      <c r="BC51" s="510">
        <v>237.16</v>
      </c>
      <c r="BD51" s="510">
        <v>1222.49</v>
      </c>
      <c r="BE51" s="504">
        <v>0.2</v>
      </c>
      <c r="BF51" s="503">
        <v>0.22</v>
      </c>
      <c r="BG51" s="502">
        <v>16.66</v>
      </c>
      <c r="BH51" s="502">
        <v>1414.05</v>
      </c>
      <c r="BI51" s="502">
        <v>19.170000000000002</v>
      </c>
      <c r="BJ51" s="502"/>
      <c r="BK51" s="502"/>
      <c r="BL51" s="510"/>
      <c r="BM51" s="511">
        <v>0.16200000000000001</v>
      </c>
      <c r="BN51" s="511"/>
      <c r="BO51" s="511" t="s">
        <v>5340</v>
      </c>
      <c r="BP51" s="252"/>
      <c r="BQ51" s="252"/>
      <c r="BR51" s="511">
        <v>0.22</v>
      </c>
      <c r="BS51" s="252"/>
      <c r="BT51" s="252"/>
      <c r="BU51" s="524">
        <f t="shared" si="8"/>
        <v>45</v>
      </c>
      <c r="BV51" s="489">
        <v>158.63</v>
      </c>
      <c r="BW51" s="254"/>
      <c r="BX51" s="254"/>
      <c r="BY51" s="254"/>
      <c r="BZ51" s="494">
        <v>19.170000000000002</v>
      </c>
      <c r="CA51" s="497">
        <v>0.3</v>
      </c>
      <c r="CB51" s="497"/>
      <c r="CC51" s="494">
        <v>424</v>
      </c>
      <c r="CD51" s="241">
        <f t="shared" si="0"/>
        <v>45</v>
      </c>
      <c r="CE51" s="2"/>
      <c r="CF51" s="2">
        <v>490.8</v>
      </c>
      <c r="CG51" s="2"/>
      <c r="CH51" s="2"/>
      <c r="CI51" s="2"/>
      <c r="CJ51" s="252"/>
      <c r="CK51" s="252"/>
      <c r="CL51" s="252">
        <v>546.33000000000004</v>
      </c>
      <c r="CM51" s="253"/>
      <c r="CO51" s="5">
        <v>0.08</v>
      </c>
      <c r="CU51" s="266">
        <f t="shared" si="1"/>
        <v>181</v>
      </c>
      <c r="CV51" s="267">
        <f t="shared" si="2"/>
        <v>362</v>
      </c>
      <c r="CW51" s="268">
        <f t="shared" si="3"/>
        <v>904.99</v>
      </c>
      <c r="CX51" s="418">
        <v>184</v>
      </c>
      <c r="CY51" s="252"/>
      <c r="CZ51" s="252"/>
      <c r="DA51" s="252"/>
      <c r="DB51" s="252"/>
      <c r="DC51" s="252"/>
      <c r="DD51" s="252"/>
      <c r="DE51" s="252"/>
      <c r="DF51" s="252">
        <f t="shared" si="9"/>
        <v>0</v>
      </c>
      <c r="DG51" s="252"/>
      <c r="DH51" s="252">
        <v>489.06</v>
      </c>
      <c r="DI51" s="252"/>
      <c r="DK51" s="252"/>
      <c r="DL51" s="252"/>
      <c r="DP51" s="6">
        <v>7.2499999999999995E-2</v>
      </c>
      <c r="DQ51" s="252">
        <v>39.42</v>
      </c>
      <c r="DR51" s="3">
        <v>546.33000000000004</v>
      </c>
      <c r="DT51" s="241">
        <f t="shared" si="4"/>
        <v>45</v>
      </c>
      <c r="DU51" s="2"/>
      <c r="DV51" s="252">
        <v>720</v>
      </c>
      <c r="DY51" s="252">
        <v>405.18</v>
      </c>
      <c r="DZ51" s="264">
        <v>3.9399999999999998E-2</v>
      </c>
      <c r="EA51" s="252">
        <v>0</v>
      </c>
      <c r="EB51" s="253">
        <v>0</v>
      </c>
    </row>
    <row r="52" spans="1:132">
      <c r="A52">
        <v>46</v>
      </c>
      <c r="B52" s="259">
        <v>10.2011</v>
      </c>
      <c r="C52">
        <v>46</v>
      </c>
      <c r="D52" s="168">
        <f t="shared" si="10"/>
        <v>9.615158838780502E-4</v>
      </c>
      <c r="E52" s="246">
        <v>40817</v>
      </c>
      <c r="F52" s="186">
        <v>0.09</v>
      </c>
      <c r="G52" s="247">
        <v>209308.37</v>
      </c>
      <c r="H52" s="247">
        <v>524.08979999999997</v>
      </c>
      <c r="I52" s="248">
        <v>116.1</v>
      </c>
      <c r="J52" s="258">
        <f t="shared" si="5"/>
        <v>8.6206896551721535E-4</v>
      </c>
      <c r="K52" s="298"/>
      <c r="L52" s="252">
        <v>300</v>
      </c>
      <c r="M52" s="263"/>
      <c r="N52" s="263"/>
      <c r="O52" s="473">
        <v>328.76</v>
      </c>
      <c r="P52" s="474">
        <v>328.76</v>
      </c>
      <c r="Q52" s="474">
        <v>430.86</v>
      </c>
      <c r="R52" s="475">
        <v>0.09</v>
      </c>
      <c r="S52" s="533">
        <f t="shared" si="6"/>
        <v>46</v>
      </c>
      <c r="T52" s="460">
        <v>75.260000000000005</v>
      </c>
      <c r="U52" s="460">
        <v>10.56</v>
      </c>
      <c r="V52" s="460">
        <v>353.76</v>
      </c>
      <c r="W52" s="460"/>
      <c r="X52" s="254">
        <v>51.09</v>
      </c>
      <c r="Y52" s="461">
        <v>7.4999999999999997E-2</v>
      </c>
      <c r="Z52" s="460">
        <v>22.5</v>
      </c>
      <c r="AA52" s="460">
        <v>10.26</v>
      </c>
      <c r="AB52" s="460">
        <v>437.73</v>
      </c>
      <c r="AC52" s="462">
        <v>353.75</v>
      </c>
      <c r="AD52" s="463">
        <v>0.3</v>
      </c>
      <c r="AE52" s="460">
        <v>40.83</v>
      </c>
      <c r="AF52" s="460">
        <v>61.32</v>
      </c>
      <c r="AG52" s="460">
        <v>20.62</v>
      </c>
      <c r="AH52" s="460"/>
      <c r="AI52" s="460"/>
      <c r="AJ52" s="460"/>
      <c r="AK52" s="460"/>
      <c r="AL52" s="253"/>
      <c r="AM52" s="273">
        <v>0.1</v>
      </c>
      <c r="AN52" s="255">
        <v>0.08</v>
      </c>
      <c r="AO52" s="160">
        <v>0.1</v>
      </c>
      <c r="AP52" s="536">
        <v>480.1</v>
      </c>
      <c r="AQ52" s="536"/>
      <c r="AR52" s="505">
        <f t="shared" si="7"/>
        <v>46</v>
      </c>
      <c r="AS52" s="480">
        <v>257.37</v>
      </c>
      <c r="AT52" s="480">
        <v>191.57</v>
      </c>
      <c r="AU52" s="480"/>
      <c r="AV52" s="480"/>
      <c r="AW52" s="480"/>
      <c r="AX52" s="480"/>
      <c r="AY52" s="480">
        <v>303.18</v>
      </c>
      <c r="AZ52" s="499" t="s">
        <v>5323</v>
      </c>
      <c r="BA52" s="502">
        <v>23.57</v>
      </c>
      <c r="BB52" s="480">
        <v>102.85</v>
      </c>
      <c r="BC52" s="510">
        <v>237.16</v>
      </c>
      <c r="BD52" s="510">
        <v>1222.49</v>
      </c>
      <c r="BE52" s="504">
        <v>0.2</v>
      </c>
      <c r="BF52" s="503">
        <v>0.22</v>
      </c>
      <c r="BG52" s="502">
        <v>16.66</v>
      </c>
      <c r="BH52" s="502">
        <v>1414.05</v>
      </c>
      <c r="BI52" s="502">
        <v>19.170000000000002</v>
      </c>
      <c r="BJ52" s="502"/>
      <c r="BK52" s="502"/>
      <c r="BL52" s="510"/>
      <c r="BM52" s="511">
        <v>0.16200000000000001</v>
      </c>
      <c r="BN52" s="511"/>
      <c r="BO52" s="511" t="s">
        <v>5340</v>
      </c>
      <c r="BP52" s="252"/>
      <c r="BQ52" s="252"/>
      <c r="BR52" s="511">
        <v>0.22</v>
      </c>
      <c r="BS52" s="252"/>
      <c r="BT52" s="252"/>
      <c r="BU52" s="524">
        <f t="shared" si="8"/>
        <v>46</v>
      </c>
      <c r="BV52" s="489">
        <v>158.63</v>
      </c>
      <c r="BW52" s="254"/>
      <c r="BX52" s="254"/>
      <c r="BY52" s="254"/>
      <c r="BZ52" s="494">
        <v>19.170000000000002</v>
      </c>
      <c r="CA52" s="497">
        <v>0.3</v>
      </c>
      <c r="CB52" s="497"/>
      <c r="CC52" s="494">
        <v>424</v>
      </c>
      <c r="CD52" s="241">
        <f t="shared" si="0"/>
        <v>46</v>
      </c>
      <c r="CE52" s="2"/>
      <c r="CF52" s="2">
        <v>490.8</v>
      </c>
      <c r="CG52" s="2"/>
      <c r="CH52" s="2"/>
      <c r="CI52" s="2"/>
      <c r="CJ52" s="252"/>
      <c r="CK52" s="252"/>
      <c r="CL52" s="252">
        <v>546.33000000000004</v>
      </c>
      <c r="CM52" s="253"/>
      <c r="CO52" s="253">
        <v>0.08</v>
      </c>
      <c r="CU52" s="266">
        <f t="shared" si="1"/>
        <v>181</v>
      </c>
      <c r="CV52" s="267">
        <f t="shared" si="2"/>
        <v>362</v>
      </c>
      <c r="CW52" s="268">
        <f t="shared" si="3"/>
        <v>904.99</v>
      </c>
      <c r="CX52" s="418">
        <v>184</v>
      </c>
      <c r="CY52" s="252"/>
      <c r="CZ52" s="252"/>
      <c r="DA52" s="252"/>
      <c r="DB52" s="252"/>
      <c r="DC52" s="252"/>
      <c r="DD52" s="252"/>
      <c r="DE52" s="252"/>
      <c r="DF52" s="252">
        <f t="shared" si="9"/>
        <v>0</v>
      </c>
      <c r="DG52" s="252"/>
      <c r="DH52" s="252">
        <v>489.06</v>
      </c>
      <c r="DI52" s="252"/>
      <c r="DK52" s="252"/>
      <c r="DL52" s="252"/>
      <c r="DP52" s="6">
        <v>7.2499999999999995E-2</v>
      </c>
      <c r="DQ52" s="252">
        <v>39.42</v>
      </c>
      <c r="DR52" s="3">
        <v>546.33000000000004</v>
      </c>
      <c r="DT52" s="241">
        <f t="shared" si="4"/>
        <v>46</v>
      </c>
      <c r="DU52" s="2"/>
      <c r="DV52" s="252">
        <v>720</v>
      </c>
      <c r="DY52" s="252">
        <v>405.18</v>
      </c>
      <c r="DZ52" s="264">
        <v>3.9399999999999998E-2</v>
      </c>
      <c r="EA52" s="252">
        <v>0</v>
      </c>
      <c r="EB52" s="253">
        <v>0</v>
      </c>
    </row>
    <row r="53" spans="1:132">
      <c r="A53">
        <v>47</v>
      </c>
      <c r="B53" s="259">
        <v>11.2011</v>
      </c>
      <c r="C53">
        <v>47</v>
      </c>
      <c r="D53" s="168">
        <f t="shared" si="10"/>
        <v>-9.605922591628957E-4</v>
      </c>
      <c r="E53" s="246">
        <v>40848</v>
      </c>
      <c r="F53" s="186">
        <v>-0.1</v>
      </c>
      <c r="G53" s="247">
        <v>209107.31</v>
      </c>
      <c r="H53" s="247">
        <v>523.58640000000003</v>
      </c>
      <c r="I53" s="248">
        <v>116</v>
      </c>
      <c r="J53" s="258">
        <f t="shared" si="5"/>
        <v>-8.6132644272174375E-4</v>
      </c>
      <c r="K53" s="298"/>
      <c r="L53" s="252">
        <v>300</v>
      </c>
      <c r="M53" s="263"/>
      <c r="N53" s="263"/>
      <c r="O53" s="473">
        <v>328.76</v>
      </c>
      <c r="P53" s="474">
        <v>328.76</v>
      </c>
      <c r="Q53" s="474">
        <v>430.86</v>
      </c>
      <c r="R53" s="475">
        <v>0.09</v>
      </c>
      <c r="S53" s="533">
        <f t="shared" si="6"/>
        <v>47</v>
      </c>
      <c r="T53" s="460">
        <v>75.260000000000005</v>
      </c>
      <c r="U53" s="460">
        <v>10.56</v>
      </c>
      <c r="V53" s="460">
        <v>353.76</v>
      </c>
      <c r="W53" s="460"/>
      <c r="X53" s="254">
        <v>51.09</v>
      </c>
      <c r="Y53" s="461">
        <v>7.4999999999999997E-2</v>
      </c>
      <c r="Z53" s="460">
        <v>22.5</v>
      </c>
      <c r="AA53" s="460">
        <v>10.26</v>
      </c>
      <c r="AB53" s="460">
        <v>437.73</v>
      </c>
      <c r="AC53" s="462">
        <v>353.75</v>
      </c>
      <c r="AD53" s="463">
        <v>0.3</v>
      </c>
      <c r="AE53" s="460">
        <v>40.83</v>
      </c>
      <c r="AF53" s="460">
        <v>61.32</v>
      </c>
      <c r="AG53" s="460">
        <v>20.62</v>
      </c>
      <c r="AH53" s="460"/>
      <c r="AI53" s="460"/>
      <c r="AJ53" s="460"/>
      <c r="AK53" s="460"/>
      <c r="AL53" s="253"/>
      <c r="AM53" s="273">
        <v>0.1</v>
      </c>
      <c r="AN53" s="255">
        <v>0.08</v>
      </c>
      <c r="AO53" s="160">
        <v>0.1</v>
      </c>
      <c r="AP53" s="536">
        <v>480.1</v>
      </c>
      <c r="AQ53" s="536"/>
      <c r="AR53" s="505">
        <f t="shared" si="7"/>
        <v>47</v>
      </c>
      <c r="AS53" s="480">
        <v>257.37</v>
      </c>
      <c r="AT53" s="480">
        <v>191.57</v>
      </c>
      <c r="AU53" s="480"/>
      <c r="AV53" s="480"/>
      <c r="AW53" s="480"/>
      <c r="AX53" s="480"/>
      <c r="AY53" s="480">
        <v>303.18</v>
      </c>
      <c r="AZ53" s="499" t="s">
        <v>5323</v>
      </c>
      <c r="BA53" s="502">
        <v>23.57</v>
      </c>
      <c r="BB53" s="480">
        <v>102.85</v>
      </c>
      <c r="BC53" s="510">
        <v>237.16</v>
      </c>
      <c r="BD53" s="510">
        <v>1222.49</v>
      </c>
      <c r="BE53" s="504">
        <v>0.2</v>
      </c>
      <c r="BF53" s="503">
        <v>0.22</v>
      </c>
      <c r="BG53" s="502">
        <v>16.66</v>
      </c>
      <c r="BH53" s="502">
        <v>1414.05</v>
      </c>
      <c r="BI53" s="502">
        <v>19.170000000000002</v>
      </c>
      <c r="BJ53" s="502"/>
      <c r="BK53" s="502"/>
      <c r="BL53" s="510"/>
      <c r="BM53" s="511">
        <v>0.16200000000000001</v>
      </c>
      <c r="BN53" s="511"/>
      <c r="BO53" s="511" t="s">
        <v>5340</v>
      </c>
      <c r="BP53" s="252"/>
      <c r="BQ53" s="252"/>
      <c r="BR53" s="511">
        <v>0.22</v>
      </c>
      <c r="BS53" s="252"/>
      <c r="BT53" s="252"/>
      <c r="BU53" s="524">
        <f t="shared" si="8"/>
        <v>47</v>
      </c>
      <c r="BV53" s="489">
        <v>158.63</v>
      </c>
      <c r="BW53" s="254"/>
      <c r="BX53" s="254"/>
      <c r="BY53" s="254"/>
      <c r="BZ53" s="494">
        <v>19.170000000000002</v>
      </c>
      <c r="CA53" s="497">
        <v>0.3</v>
      </c>
      <c r="CB53" s="497"/>
      <c r="CC53" s="494">
        <v>424</v>
      </c>
      <c r="CD53" s="241">
        <f t="shared" si="0"/>
        <v>47</v>
      </c>
      <c r="CE53" s="2"/>
      <c r="CF53" s="2">
        <v>490.8</v>
      </c>
      <c r="CG53" s="2"/>
      <c r="CH53" s="2"/>
      <c r="CI53" s="2"/>
      <c r="CJ53" s="252"/>
      <c r="CK53" s="252"/>
      <c r="CL53" s="252">
        <v>546.33000000000004</v>
      </c>
      <c r="CM53" s="253"/>
      <c r="CO53" s="5">
        <v>0.08</v>
      </c>
      <c r="CU53" s="266">
        <f t="shared" si="1"/>
        <v>181</v>
      </c>
      <c r="CV53" s="267">
        <f t="shared" si="2"/>
        <v>362</v>
      </c>
      <c r="CW53" s="268">
        <f t="shared" si="3"/>
        <v>904.99</v>
      </c>
      <c r="CX53" s="418">
        <v>184</v>
      </c>
      <c r="CY53" s="252"/>
      <c r="CZ53" s="252"/>
      <c r="DA53" s="252"/>
      <c r="DB53" s="252"/>
      <c r="DC53" s="252"/>
      <c r="DD53" s="252"/>
      <c r="DE53" s="252"/>
      <c r="DF53" s="252">
        <f t="shared" si="9"/>
        <v>0</v>
      </c>
      <c r="DG53" s="252"/>
      <c r="DH53" s="252">
        <v>489.06</v>
      </c>
      <c r="DI53" s="252"/>
      <c r="DK53" s="252"/>
      <c r="DL53" s="252"/>
      <c r="DP53" s="6">
        <v>7.2499999999999995E-2</v>
      </c>
      <c r="DQ53" s="252">
        <v>39.42</v>
      </c>
      <c r="DR53" s="3">
        <v>546.33000000000004</v>
      </c>
      <c r="DT53" s="241">
        <f t="shared" si="4"/>
        <v>47</v>
      </c>
      <c r="DU53" s="2"/>
      <c r="DV53" s="252">
        <v>720</v>
      </c>
      <c r="DY53" s="252">
        <v>405.18</v>
      </c>
      <c r="DZ53" s="264">
        <v>3.9399999999999998E-2</v>
      </c>
      <c r="EA53" s="252">
        <v>0</v>
      </c>
      <c r="EB53" s="253">
        <v>0</v>
      </c>
    </row>
    <row r="54" spans="1:132">
      <c r="A54">
        <v>48</v>
      </c>
      <c r="B54" s="259">
        <v>12.2011</v>
      </c>
      <c r="C54">
        <v>48</v>
      </c>
      <c r="D54" s="168">
        <f t="shared" si="10"/>
        <v>0</v>
      </c>
      <c r="E54" s="246">
        <v>40878</v>
      </c>
      <c r="F54" s="186">
        <v>0</v>
      </c>
      <c r="G54" s="247">
        <v>209107.31</v>
      </c>
      <c r="H54" s="247">
        <v>523.58640000000003</v>
      </c>
      <c r="I54" s="248">
        <v>116</v>
      </c>
      <c r="J54" s="258">
        <f t="shared" si="5"/>
        <v>0</v>
      </c>
      <c r="K54" s="298"/>
      <c r="L54" s="252">
        <v>300</v>
      </c>
      <c r="M54" s="263"/>
      <c r="N54" s="263"/>
      <c r="O54" s="473">
        <v>328.76</v>
      </c>
      <c r="P54" s="474">
        <v>328.76</v>
      </c>
      <c r="Q54" s="474">
        <v>430.86</v>
      </c>
      <c r="R54" s="475">
        <v>0.09</v>
      </c>
      <c r="S54" s="533">
        <f t="shared" si="6"/>
        <v>48</v>
      </c>
      <c r="T54" s="460">
        <v>75.260000000000005</v>
      </c>
      <c r="U54" s="460">
        <v>10.56</v>
      </c>
      <c r="V54" s="460">
        <v>353.76</v>
      </c>
      <c r="W54" s="460"/>
      <c r="X54" s="254">
        <v>51.09</v>
      </c>
      <c r="Y54" s="461">
        <v>7.4999999999999997E-2</v>
      </c>
      <c r="Z54" s="460">
        <v>22.5</v>
      </c>
      <c r="AA54" s="460">
        <v>10.26</v>
      </c>
      <c r="AB54" s="460">
        <v>437.73</v>
      </c>
      <c r="AC54" s="462">
        <v>353.75</v>
      </c>
      <c r="AD54" s="463">
        <v>0.3</v>
      </c>
      <c r="AE54" s="460">
        <v>40.83</v>
      </c>
      <c r="AF54" s="460">
        <v>61.32</v>
      </c>
      <c r="AG54" s="460">
        <v>20.62</v>
      </c>
      <c r="AH54" s="460"/>
      <c r="AI54" s="460"/>
      <c r="AJ54" s="460"/>
      <c r="AK54" s="460"/>
      <c r="AL54" s="253"/>
      <c r="AM54" s="273">
        <v>0.1</v>
      </c>
      <c r="AN54" s="255">
        <v>0.08</v>
      </c>
      <c r="AO54" s="160">
        <v>0.1</v>
      </c>
      <c r="AP54" s="536">
        <v>480.1</v>
      </c>
      <c r="AQ54" s="536"/>
      <c r="AR54" s="505">
        <f t="shared" si="7"/>
        <v>48</v>
      </c>
      <c r="AS54" s="480">
        <v>257.37</v>
      </c>
      <c r="AT54" s="480">
        <v>191.57</v>
      </c>
      <c r="AU54" s="480"/>
      <c r="AV54" s="480"/>
      <c r="AW54" s="480"/>
      <c r="AX54" s="480"/>
      <c r="AY54" s="480">
        <v>303.18</v>
      </c>
      <c r="AZ54" s="499" t="s">
        <v>5323</v>
      </c>
      <c r="BA54" s="502">
        <v>23.57</v>
      </c>
      <c r="BB54" s="480">
        <v>102.85</v>
      </c>
      <c r="BC54" s="510">
        <v>237.16</v>
      </c>
      <c r="BD54" s="510">
        <v>1222.49</v>
      </c>
      <c r="BE54" s="504">
        <v>0.2</v>
      </c>
      <c r="BF54" s="503">
        <v>0.22</v>
      </c>
      <c r="BG54" s="502">
        <v>16.66</v>
      </c>
      <c r="BH54" s="502">
        <v>1414.05</v>
      </c>
      <c r="BI54" s="502">
        <v>19.170000000000002</v>
      </c>
      <c r="BJ54" s="502"/>
      <c r="BK54" s="502"/>
      <c r="BL54" s="510"/>
      <c r="BM54" s="511">
        <v>0.16200000000000001</v>
      </c>
      <c r="BN54" s="511"/>
      <c r="BO54" s="511" t="s">
        <v>5340</v>
      </c>
      <c r="BP54" s="252"/>
      <c r="BQ54" s="252"/>
      <c r="BR54" s="511">
        <v>0.22</v>
      </c>
      <c r="BS54" s="252"/>
      <c r="BT54" s="252"/>
      <c r="BU54" s="524">
        <f t="shared" si="8"/>
        <v>48</v>
      </c>
      <c r="BV54" s="489">
        <v>158.63</v>
      </c>
      <c r="BW54" s="254"/>
      <c r="BX54" s="254"/>
      <c r="BY54" s="254"/>
      <c r="BZ54" s="494">
        <v>19.170000000000002</v>
      </c>
      <c r="CA54" s="497">
        <v>0.3</v>
      </c>
      <c r="CB54" s="497"/>
      <c r="CC54" s="494">
        <v>424</v>
      </c>
      <c r="CD54" s="241">
        <f t="shared" si="0"/>
        <v>48</v>
      </c>
      <c r="CE54" s="2"/>
      <c r="CF54" s="2">
        <v>490.8</v>
      </c>
      <c r="CG54" s="2"/>
      <c r="CH54" s="2"/>
      <c r="CI54" s="2"/>
      <c r="CJ54" s="252"/>
      <c r="CK54" s="252"/>
      <c r="CL54" s="252">
        <v>546.33000000000004</v>
      </c>
      <c r="CM54" s="253"/>
      <c r="CO54" s="253">
        <v>0.08</v>
      </c>
      <c r="CU54" s="266">
        <f t="shared" si="1"/>
        <v>181</v>
      </c>
      <c r="CV54" s="267">
        <f t="shared" si="2"/>
        <v>362</v>
      </c>
      <c r="CW54" s="268">
        <f t="shared" si="3"/>
        <v>904.99</v>
      </c>
      <c r="CX54" s="418">
        <v>184</v>
      </c>
      <c r="CY54" s="252"/>
      <c r="CZ54" s="252"/>
      <c r="DA54" s="252"/>
      <c r="DB54" s="252"/>
      <c r="DC54" s="252"/>
      <c r="DD54" s="252"/>
      <c r="DE54" s="252"/>
      <c r="DF54" s="252">
        <f t="shared" si="9"/>
        <v>0</v>
      </c>
      <c r="DG54" s="252"/>
      <c r="DH54" s="252">
        <v>489.06</v>
      </c>
      <c r="DI54" s="252"/>
      <c r="DK54" s="252"/>
      <c r="DL54" s="252"/>
      <c r="DP54" s="6">
        <v>7.2499999999999995E-2</v>
      </c>
      <c r="DQ54" s="252">
        <v>39.42</v>
      </c>
      <c r="DR54" s="3">
        <v>546.33000000000004</v>
      </c>
      <c r="DT54" s="241">
        <f t="shared" si="4"/>
        <v>48</v>
      </c>
      <c r="DU54" s="2"/>
      <c r="DV54" s="252">
        <v>720</v>
      </c>
      <c r="DY54" s="252">
        <v>405.18</v>
      </c>
      <c r="DZ54" s="264">
        <v>3.9399999999999998E-2</v>
      </c>
      <c r="EA54" s="252">
        <v>0</v>
      </c>
      <c r="EB54" s="253">
        <v>0</v>
      </c>
    </row>
    <row r="55" spans="1:132">
      <c r="A55">
        <v>49</v>
      </c>
      <c r="B55" s="259">
        <v>1.2012</v>
      </c>
      <c r="C55">
        <v>49</v>
      </c>
      <c r="D55" s="168">
        <f t="shared" si="10"/>
        <v>0</v>
      </c>
      <c r="E55" s="246">
        <v>40909</v>
      </c>
      <c r="F55" s="186">
        <v>0</v>
      </c>
      <c r="G55" s="247">
        <v>209107.31</v>
      </c>
      <c r="H55" s="247">
        <v>523.58640000000003</v>
      </c>
      <c r="I55" s="248">
        <v>116</v>
      </c>
      <c r="J55" s="258">
        <f t="shared" si="5"/>
        <v>0</v>
      </c>
      <c r="K55" s="298">
        <v>2.1700000000000001E-2</v>
      </c>
      <c r="L55" s="252">
        <v>300</v>
      </c>
      <c r="M55" s="263"/>
      <c r="N55" s="263"/>
      <c r="O55" s="473">
        <v>328.76</v>
      </c>
      <c r="P55" s="474">
        <v>328.76</v>
      </c>
      <c r="Q55" s="474">
        <v>430.86</v>
      </c>
      <c r="R55" s="475">
        <v>0.09</v>
      </c>
      <c r="S55" s="533">
        <f t="shared" si="6"/>
        <v>49</v>
      </c>
      <c r="T55" s="460">
        <v>75.260000000000005</v>
      </c>
      <c r="U55" s="460">
        <v>10.56</v>
      </c>
      <c r="V55" s="460">
        <v>353.76</v>
      </c>
      <c r="W55" s="460"/>
      <c r="X55" s="254">
        <v>51.09</v>
      </c>
      <c r="Y55" s="461">
        <v>7.4999999999999997E-2</v>
      </c>
      <c r="Z55" s="460">
        <v>22.5</v>
      </c>
      <c r="AA55" s="460">
        <v>10.26</v>
      </c>
      <c r="AB55" s="460">
        <v>437.73</v>
      </c>
      <c r="AC55" s="462">
        <v>353.75</v>
      </c>
      <c r="AD55" s="463">
        <v>0.3</v>
      </c>
      <c r="AE55" s="460">
        <v>40.83</v>
      </c>
      <c r="AF55" s="460">
        <v>61.32</v>
      </c>
      <c r="AG55" s="460">
        <v>20.62</v>
      </c>
      <c r="AH55" s="460"/>
      <c r="AI55" s="460"/>
      <c r="AJ55" s="460"/>
      <c r="AK55" s="460"/>
      <c r="AL55" s="253"/>
      <c r="AM55" s="273">
        <v>0.1</v>
      </c>
      <c r="AN55" s="255">
        <v>0.08</v>
      </c>
      <c r="AO55" s="160">
        <v>0.1</v>
      </c>
      <c r="AP55" s="536">
        <v>480.1</v>
      </c>
      <c r="AQ55" s="536"/>
      <c r="AR55" s="505">
        <f t="shared" si="7"/>
        <v>49</v>
      </c>
      <c r="AS55" s="480">
        <v>257.37</v>
      </c>
      <c r="AT55" s="480">
        <v>191.57</v>
      </c>
      <c r="AU55" s="480"/>
      <c r="AV55" s="480"/>
      <c r="AW55" s="480"/>
      <c r="AX55" s="480"/>
      <c r="AY55" s="480">
        <v>303.18</v>
      </c>
      <c r="AZ55" s="499" t="s">
        <v>5323</v>
      </c>
      <c r="BA55" s="502">
        <v>23.57</v>
      </c>
      <c r="BC55" s="510">
        <v>237.16</v>
      </c>
      <c r="BD55" s="510">
        <v>1222.49</v>
      </c>
      <c r="BE55" s="504">
        <v>0.2</v>
      </c>
      <c r="BF55" s="503">
        <v>0.22</v>
      </c>
      <c r="BG55" s="502">
        <v>16.66</v>
      </c>
      <c r="BH55" s="502">
        <v>1414.05</v>
      </c>
      <c r="BI55" s="502">
        <v>19.170000000000002</v>
      </c>
      <c r="BJ55" s="502"/>
      <c r="BK55" s="502"/>
      <c r="BL55" s="510"/>
      <c r="BM55" s="511">
        <v>0.16200000000000001</v>
      </c>
      <c r="BN55" s="511"/>
      <c r="BO55" s="511" t="s">
        <v>5340</v>
      </c>
      <c r="BP55" s="252"/>
      <c r="BQ55" s="252"/>
      <c r="BR55" s="511">
        <v>0.22</v>
      </c>
      <c r="BS55" s="252"/>
      <c r="BT55" s="252"/>
      <c r="BU55" s="524">
        <f t="shared" si="8"/>
        <v>49</v>
      </c>
      <c r="BV55" s="489">
        <v>158.63</v>
      </c>
      <c r="BW55" s="254"/>
      <c r="BX55" s="254"/>
      <c r="BY55" s="254"/>
      <c r="BZ55" s="494">
        <v>19.170000000000002</v>
      </c>
      <c r="CA55" s="497">
        <v>0.3</v>
      </c>
      <c r="CB55" s="497"/>
      <c r="CC55" s="494">
        <v>424</v>
      </c>
      <c r="CD55" s="241">
        <f t="shared" si="0"/>
        <v>49</v>
      </c>
      <c r="CE55" s="2"/>
      <c r="CF55" s="2">
        <v>490.8</v>
      </c>
      <c r="CG55" s="2"/>
      <c r="CH55" s="2"/>
      <c r="CI55" s="2"/>
      <c r="CJ55" s="252"/>
      <c r="CK55" s="252"/>
      <c r="CL55" s="252">
        <v>546.33000000000004</v>
      </c>
      <c r="CM55" s="253"/>
      <c r="CO55" s="5">
        <v>0.08</v>
      </c>
      <c r="CU55" s="266">
        <f t="shared" si="1"/>
        <v>181</v>
      </c>
      <c r="CV55" s="267">
        <f t="shared" si="2"/>
        <v>362</v>
      </c>
      <c r="CW55" s="268">
        <f t="shared" si="3"/>
        <v>904.99</v>
      </c>
      <c r="CX55" s="418">
        <v>184</v>
      </c>
      <c r="CY55" s="252"/>
      <c r="CZ55" s="252"/>
      <c r="DA55" s="252"/>
      <c r="DB55" s="252"/>
      <c r="DC55" s="252"/>
      <c r="DD55" s="252"/>
      <c r="DE55" s="252"/>
      <c r="DF55" s="252">
        <f t="shared" si="9"/>
        <v>0</v>
      </c>
      <c r="DG55" s="252"/>
      <c r="DH55" s="252">
        <v>489.06</v>
      </c>
      <c r="DI55" s="252"/>
      <c r="DK55" s="252"/>
      <c r="DL55" s="252"/>
      <c r="DP55" s="6">
        <v>7.2499999999999995E-2</v>
      </c>
      <c r="DQ55" s="252">
        <v>39.42</v>
      </c>
      <c r="DR55" s="3">
        <v>546.33000000000004</v>
      </c>
      <c r="DT55" s="241">
        <f t="shared" si="4"/>
        <v>49</v>
      </c>
      <c r="DU55" s="2"/>
      <c r="DV55" s="252">
        <v>720</v>
      </c>
      <c r="DY55" s="252">
        <v>405.18</v>
      </c>
      <c r="DZ55" s="264">
        <v>3.9399999999999998E-2</v>
      </c>
      <c r="EA55" s="252">
        <v>0</v>
      </c>
      <c r="EB55" s="253">
        <v>0</v>
      </c>
    </row>
    <row r="56" spans="1:132">
      <c r="A56">
        <v>50</v>
      </c>
      <c r="B56" s="259">
        <v>2.2012</v>
      </c>
      <c r="C56">
        <v>50</v>
      </c>
      <c r="D56" s="168">
        <f t="shared" si="10"/>
        <v>0</v>
      </c>
      <c r="E56" s="246">
        <v>40940</v>
      </c>
      <c r="F56" s="186">
        <v>0</v>
      </c>
      <c r="G56" s="247">
        <v>209107.31</v>
      </c>
      <c r="H56" s="247">
        <v>523.58640000000003</v>
      </c>
      <c r="I56" s="248">
        <v>116</v>
      </c>
      <c r="J56" s="258">
        <f t="shared" si="5"/>
        <v>0</v>
      </c>
      <c r="K56" s="298"/>
      <c r="L56" s="252">
        <v>300</v>
      </c>
      <c r="M56" s="263"/>
      <c r="N56" s="263"/>
      <c r="O56" s="473">
        <v>328.76</v>
      </c>
      <c r="P56" s="474">
        <v>328.76</v>
      </c>
      <c r="Q56" s="474">
        <v>430.86</v>
      </c>
      <c r="R56" s="475">
        <v>0.09</v>
      </c>
      <c r="S56" s="533">
        <f t="shared" si="6"/>
        <v>50</v>
      </c>
      <c r="T56" s="460">
        <v>75.260000000000005</v>
      </c>
      <c r="U56" s="460">
        <v>10.56</v>
      </c>
      <c r="V56" s="460">
        <v>353.76</v>
      </c>
      <c r="W56" s="460"/>
      <c r="X56" s="254">
        <v>51.09</v>
      </c>
      <c r="Y56" s="461">
        <v>7.4999999999999997E-2</v>
      </c>
      <c r="Z56" s="460">
        <v>22.5</v>
      </c>
      <c r="AA56" s="460">
        <v>10.26</v>
      </c>
      <c r="AB56" s="460">
        <v>437.73</v>
      </c>
      <c r="AC56" s="462">
        <v>353.75</v>
      </c>
      <c r="AD56" s="463">
        <v>0.3</v>
      </c>
      <c r="AE56" s="460">
        <v>40.83</v>
      </c>
      <c r="AF56" s="460">
        <v>61.32</v>
      </c>
      <c r="AG56" s="460">
        <v>20.62</v>
      </c>
      <c r="AH56" s="460"/>
      <c r="AI56" s="460"/>
      <c r="AJ56" s="460"/>
      <c r="AK56" s="460"/>
      <c r="AL56" s="253"/>
      <c r="AM56" s="273">
        <v>0.1</v>
      </c>
      <c r="AN56" s="255">
        <v>0.08</v>
      </c>
      <c r="AO56" s="160">
        <v>0.1</v>
      </c>
      <c r="AP56" s="536">
        <v>480.1</v>
      </c>
      <c r="AQ56" s="536"/>
      <c r="AR56" s="505">
        <f t="shared" si="7"/>
        <v>50</v>
      </c>
      <c r="AS56" s="480">
        <v>257.37</v>
      </c>
      <c r="AT56" s="480">
        <v>191.57</v>
      </c>
      <c r="AU56" s="480"/>
      <c r="AV56" s="480"/>
      <c r="AW56" s="480"/>
      <c r="AX56" s="480"/>
      <c r="AY56" s="480">
        <v>303.18</v>
      </c>
      <c r="AZ56" s="499" t="s">
        <v>5323</v>
      </c>
      <c r="BA56" s="502">
        <v>23.57</v>
      </c>
      <c r="BB56" s="502"/>
      <c r="BC56" s="510">
        <v>237.16</v>
      </c>
      <c r="BD56" s="510">
        <v>1222.49</v>
      </c>
      <c r="BE56" s="504">
        <v>0.2</v>
      </c>
      <c r="BF56" s="503">
        <v>0.22</v>
      </c>
      <c r="BG56" s="502">
        <v>16.66</v>
      </c>
      <c r="BH56" s="502">
        <v>1414.05</v>
      </c>
      <c r="BI56" s="502">
        <v>19.170000000000002</v>
      </c>
      <c r="BJ56" s="502"/>
      <c r="BK56" s="502"/>
      <c r="BL56" s="510"/>
      <c r="BM56" s="511">
        <v>0.16200000000000001</v>
      </c>
      <c r="BN56" s="511"/>
      <c r="BO56" s="511" t="s">
        <v>5340</v>
      </c>
      <c r="BP56" s="252"/>
      <c r="BQ56" s="252"/>
      <c r="BR56" s="511">
        <v>0.22</v>
      </c>
      <c r="BS56" s="252"/>
      <c r="BT56" s="252"/>
      <c r="BU56" s="524">
        <f t="shared" si="8"/>
        <v>50</v>
      </c>
      <c r="BV56" s="489">
        <v>158.63</v>
      </c>
      <c r="BW56" s="254"/>
      <c r="BX56" s="254"/>
      <c r="BY56" s="254"/>
      <c r="BZ56" s="494">
        <v>19.170000000000002</v>
      </c>
      <c r="CA56" s="497">
        <v>0.3</v>
      </c>
      <c r="CB56" s="497"/>
      <c r="CC56" s="494">
        <v>424</v>
      </c>
      <c r="CD56" s="241">
        <f t="shared" si="0"/>
        <v>50</v>
      </c>
      <c r="CE56" s="2"/>
      <c r="CF56" s="2">
        <v>490.8</v>
      </c>
      <c r="CG56" s="2"/>
      <c r="CH56" s="2"/>
      <c r="CI56" s="2"/>
      <c r="CJ56" s="252"/>
      <c r="CK56" s="252"/>
      <c r="CL56" s="252">
        <v>546.33000000000004</v>
      </c>
      <c r="CM56" s="253"/>
      <c r="CO56" s="253">
        <v>0.08</v>
      </c>
      <c r="CU56" s="266">
        <f t="shared" si="1"/>
        <v>181</v>
      </c>
      <c r="CV56" s="267">
        <f t="shared" si="2"/>
        <v>362</v>
      </c>
      <c r="CW56" s="268">
        <f t="shared" si="3"/>
        <v>904.99</v>
      </c>
      <c r="CX56" s="418">
        <v>184</v>
      </c>
      <c r="CY56" s="252"/>
      <c r="CZ56" s="252"/>
      <c r="DA56" s="252"/>
      <c r="DB56" s="252"/>
      <c r="DC56" s="252"/>
      <c r="DD56" s="252"/>
      <c r="DE56" s="252"/>
      <c r="DF56" s="252">
        <f t="shared" si="9"/>
        <v>0</v>
      </c>
      <c r="DG56" s="252"/>
      <c r="DH56" s="252">
        <v>489.06</v>
      </c>
      <c r="DI56" s="252"/>
      <c r="DK56" s="252"/>
      <c r="DL56" s="252"/>
      <c r="DP56" s="6">
        <v>7.2499999999999995E-2</v>
      </c>
      <c r="DQ56" s="252">
        <v>39.42</v>
      </c>
      <c r="DR56" s="3">
        <v>546.33000000000004</v>
      </c>
      <c r="DT56" s="241">
        <f t="shared" si="4"/>
        <v>50</v>
      </c>
      <c r="DU56" s="2"/>
      <c r="DV56" s="252">
        <v>720</v>
      </c>
      <c r="DY56" s="252">
        <v>405.18</v>
      </c>
      <c r="DZ56" s="264">
        <v>3.9399999999999998E-2</v>
      </c>
      <c r="EA56" s="252">
        <v>0</v>
      </c>
      <c r="EB56" s="253">
        <v>0</v>
      </c>
    </row>
    <row r="57" spans="1:132">
      <c r="A57">
        <v>51</v>
      </c>
      <c r="B57" s="259">
        <v>3.2012</v>
      </c>
      <c r="C57">
        <v>51</v>
      </c>
      <c r="D57" s="168">
        <f t="shared" si="10"/>
        <v>3.8461591801837169E-3</v>
      </c>
      <c r="E57" s="246">
        <v>40969</v>
      </c>
      <c r="F57" s="186">
        <v>0.38</v>
      </c>
      <c r="G57" s="247">
        <v>209911.57</v>
      </c>
      <c r="H57" s="247">
        <v>525.60019999999997</v>
      </c>
      <c r="I57" s="248">
        <v>116.4</v>
      </c>
      <c r="J57" s="258">
        <f t="shared" si="5"/>
        <v>3.4482758620690834E-3</v>
      </c>
      <c r="K57" s="298"/>
      <c r="L57" s="252">
        <v>300</v>
      </c>
      <c r="M57" s="263"/>
      <c r="N57" s="263"/>
      <c r="O57" s="473">
        <v>328.76</v>
      </c>
      <c r="P57" s="474">
        <v>328.76</v>
      </c>
      <c r="Q57" s="474">
        <v>430.86</v>
      </c>
      <c r="R57" s="475">
        <v>0.09</v>
      </c>
      <c r="S57" s="533">
        <f t="shared" si="6"/>
        <v>51</v>
      </c>
      <c r="T57" s="460">
        <v>75.260000000000005</v>
      </c>
      <c r="U57" s="460">
        <v>10.56</v>
      </c>
      <c r="V57" s="460">
        <v>353.76</v>
      </c>
      <c r="W57" s="460"/>
      <c r="X57" s="254">
        <v>51.09</v>
      </c>
      <c r="Y57" s="461">
        <v>7.4999999999999997E-2</v>
      </c>
      <c r="Z57" s="460">
        <v>22.5</v>
      </c>
      <c r="AA57" s="460">
        <v>10.26</v>
      </c>
      <c r="AB57" s="460">
        <v>437.73</v>
      </c>
      <c r="AC57" s="462">
        <v>353.75</v>
      </c>
      <c r="AD57" s="463">
        <v>0.3</v>
      </c>
      <c r="AE57" s="460">
        <v>40.83</v>
      </c>
      <c r="AF57" s="460">
        <v>61.32</v>
      </c>
      <c r="AG57" s="460">
        <v>20.62</v>
      </c>
      <c r="AH57" s="460"/>
      <c r="AI57" s="460"/>
      <c r="AJ57" s="460"/>
      <c r="AK57" s="460"/>
      <c r="AL57" s="253"/>
      <c r="AM57" s="273">
        <v>0.1</v>
      </c>
      <c r="AN57" s="255">
        <v>0.08</v>
      </c>
      <c r="AO57" s="160">
        <v>0.1</v>
      </c>
      <c r="AP57" s="536">
        <v>480.1</v>
      </c>
      <c r="AQ57" s="536"/>
      <c r="AR57" s="505">
        <f t="shared" si="7"/>
        <v>51</v>
      </c>
      <c r="AS57" s="480">
        <v>257.37</v>
      </c>
      <c r="AT57" s="480">
        <v>191.57</v>
      </c>
      <c r="AU57" s="480"/>
      <c r="AV57" s="480"/>
      <c r="AW57" s="480"/>
      <c r="AX57" s="480"/>
      <c r="AY57" s="480">
        <v>303.18</v>
      </c>
      <c r="AZ57" s="499" t="s">
        <v>5323</v>
      </c>
      <c r="BA57" s="502">
        <v>23.57</v>
      </c>
      <c r="BB57" s="501"/>
      <c r="BC57" s="510">
        <v>237.16</v>
      </c>
      <c r="BD57" s="510">
        <v>1222.49</v>
      </c>
      <c r="BE57" s="504">
        <v>0.2</v>
      </c>
      <c r="BF57" s="503">
        <v>0.22</v>
      </c>
      <c r="BG57" s="502">
        <v>16.66</v>
      </c>
      <c r="BH57" s="502">
        <v>1414.05</v>
      </c>
      <c r="BI57" s="502">
        <v>19.170000000000002</v>
      </c>
      <c r="BJ57" s="502"/>
      <c r="BK57" s="502"/>
      <c r="BL57" s="510"/>
      <c r="BM57" s="511">
        <v>0.16200000000000001</v>
      </c>
      <c r="BN57" s="511"/>
      <c r="BO57" s="511" t="s">
        <v>5340</v>
      </c>
      <c r="BP57" s="252"/>
      <c r="BQ57" s="252"/>
      <c r="BR57" s="511">
        <v>0.22</v>
      </c>
      <c r="BS57" s="252"/>
      <c r="BT57" s="252"/>
      <c r="BU57" s="524">
        <f t="shared" si="8"/>
        <v>51</v>
      </c>
      <c r="BV57" s="489">
        <v>158.63</v>
      </c>
      <c r="BW57" s="254"/>
      <c r="BX57" s="254"/>
      <c r="BY57" s="254"/>
      <c r="BZ57" s="494">
        <v>19.170000000000002</v>
      </c>
      <c r="CA57" s="497">
        <v>0.3</v>
      </c>
      <c r="CB57" s="497"/>
      <c r="CC57" s="494">
        <v>424</v>
      </c>
      <c r="CD57" s="241">
        <f t="shared" si="0"/>
        <v>51</v>
      </c>
      <c r="CE57" s="2"/>
      <c r="CF57" s="2">
        <v>490.8</v>
      </c>
      <c r="CG57" s="2"/>
      <c r="CH57" s="2"/>
      <c r="CI57" s="2"/>
      <c r="CJ57" s="252"/>
      <c r="CK57" s="252"/>
      <c r="CL57" s="252">
        <v>546.33000000000004</v>
      </c>
      <c r="CM57" s="253"/>
      <c r="CO57" s="5">
        <v>0.08</v>
      </c>
      <c r="CU57" s="266">
        <f t="shared" si="1"/>
        <v>181</v>
      </c>
      <c r="CV57" s="267">
        <f t="shared" si="2"/>
        <v>362</v>
      </c>
      <c r="CW57" s="268">
        <f t="shared" si="3"/>
        <v>904.99</v>
      </c>
      <c r="CX57" s="418">
        <v>184</v>
      </c>
      <c r="CY57" s="252"/>
      <c r="CZ57" s="252"/>
      <c r="DA57" s="252"/>
      <c r="DB57" s="252"/>
      <c r="DC57" s="252"/>
      <c r="DD57" s="252"/>
      <c r="DE57" s="252"/>
      <c r="DF57" s="252">
        <f t="shared" si="9"/>
        <v>0</v>
      </c>
      <c r="DG57" s="252"/>
      <c r="DH57" s="252">
        <v>489.06</v>
      </c>
      <c r="DI57" s="252"/>
      <c r="DK57" s="252"/>
      <c r="DL57" s="252"/>
      <c r="DP57" s="6">
        <v>7.2499999999999995E-2</v>
      </c>
      <c r="DQ57" s="252">
        <v>39.42</v>
      </c>
      <c r="DR57" s="3">
        <v>546.33000000000004</v>
      </c>
      <c r="DT57" s="241">
        <f t="shared" si="4"/>
        <v>51</v>
      </c>
      <c r="DU57" s="2"/>
      <c r="DV57" s="252">
        <v>720</v>
      </c>
      <c r="DY57" s="252">
        <v>405.18</v>
      </c>
      <c r="DZ57" s="264">
        <v>3.9399999999999998E-2</v>
      </c>
      <c r="EA57" s="252">
        <v>0</v>
      </c>
      <c r="EB57" s="253">
        <v>0</v>
      </c>
    </row>
    <row r="58" spans="1:132">
      <c r="A58">
        <v>52</v>
      </c>
      <c r="B58" s="259">
        <v>4.2012</v>
      </c>
      <c r="C58">
        <v>52</v>
      </c>
      <c r="D58" s="168">
        <f t="shared" si="10"/>
        <v>8.620677745395211E-3</v>
      </c>
      <c r="E58" s="246">
        <v>41000</v>
      </c>
      <c r="F58" s="186">
        <v>0.86</v>
      </c>
      <c r="G58" s="247">
        <v>211721.15</v>
      </c>
      <c r="H58" s="247">
        <v>530.13120000000004</v>
      </c>
      <c r="I58" s="248">
        <v>117.4</v>
      </c>
      <c r="J58" s="258">
        <f t="shared" si="5"/>
        <v>8.5910652920961894E-3</v>
      </c>
      <c r="K58" s="298"/>
      <c r="L58" s="252">
        <v>300</v>
      </c>
      <c r="M58" s="263"/>
      <c r="N58" s="263"/>
      <c r="O58" s="473">
        <v>328.76</v>
      </c>
      <c r="P58" s="474">
        <v>328.76</v>
      </c>
      <c r="Q58" s="474">
        <v>430.86</v>
      </c>
      <c r="R58" s="475">
        <v>0.09</v>
      </c>
      <c r="S58" s="533">
        <f t="shared" si="6"/>
        <v>52</v>
      </c>
      <c r="T58" s="460">
        <v>75.260000000000005</v>
      </c>
      <c r="U58" s="460">
        <v>10.56</v>
      </c>
      <c r="V58" s="460">
        <v>353.76</v>
      </c>
      <c r="W58" s="460"/>
      <c r="X58" s="254">
        <v>51.09</v>
      </c>
      <c r="Y58" s="461">
        <v>7.4999999999999997E-2</v>
      </c>
      <c r="Z58" s="460">
        <v>22.5</v>
      </c>
      <c r="AA58" s="460">
        <v>10.26</v>
      </c>
      <c r="AB58" s="460">
        <v>437.73</v>
      </c>
      <c r="AC58" s="462">
        <v>353.75</v>
      </c>
      <c r="AD58" s="463">
        <v>0.3</v>
      </c>
      <c r="AE58" s="460">
        <v>40.83</v>
      </c>
      <c r="AF58" s="460">
        <v>61.32</v>
      </c>
      <c r="AG58" s="460">
        <v>20.62</v>
      </c>
      <c r="AH58" s="460"/>
      <c r="AI58" s="460"/>
      <c r="AJ58" s="460"/>
      <c r="AK58" s="460"/>
      <c r="AL58" s="253"/>
      <c r="AM58" s="273">
        <v>0.1</v>
      </c>
      <c r="AN58" s="255">
        <v>0.08</v>
      </c>
      <c r="AO58" s="160">
        <v>0.1</v>
      </c>
      <c r="AP58" s="536">
        <v>480.1</v>
      </c>
      <c r="AQ58" s="536"/>
      <c r="AR58" s="505">
        <f t="shared" si="7"/>
        <v>52</v>
      </c>
      <c r="AS58" s="480">
        <v>257.37</v>
      </c>
      <c r="AT58" s="480">
        <v>191.57</v>
      </c>
      <c r="AU58" s="480"/>
      <c r="AV58" s="480"/>
      <c r="AW58" s="480"/>
      <c r="AX58" s="480"/>
      <c r="AY58" s="480">
        <v>303.18</v>
      </c>
      <c r="AZ58" s="499" t="s">
        <v>5323</v>
      </c>
      <c r="BA58" s="502">
        <v>23.57</v>
      </c>
      <c r="BB58" s="502"/>
      <c r="BC58" s="510">
        <v>237.16</v>
      </c>
      <c r="BD58" s="510">
        <v>1222.49</v>
      </c>
      <c r="BE58" s="504">
        <v>0.2</v>
      </c>
      <c r="BF58" s="503">
        <v>0.22</v>
      </c>
      <c r="BG58" s="502">
        <v>16.66</v>
      </c>
      <c r="BH58" s="502">
        <v>1414.05</v>
      </c>
      <c r="BI58" s="502">
        <v>19.170000000000002</v>
      </c>
      <c r="BJ58" s="502"/>
      <c r="BK58" s="502"/>
      <c r="BL58" s="510"/>
      <c r="BM58" s="511">
        <v>0.16200000000000001</v>
      </c>
      <c r="BN58" s="511"/>
      <c r="BO58" s="511" t="s">
        <v>5340</v>
      </c>
      <c r="BP58" s="252"/>
      <c r="BQ58" s="252"/>
      <c r="BR58" s="511">
        <v>0.22</v>
      </c>
      <c r="BS58" s="252"/>
      <c r="BT58" s="252"/>
      <c r="BU58" s="524">
        <f t="shared" si="8"/>
        <v>52</v>
      </c>
      <c r="BV58" s="489">
        <v>158.63</v>
      </c>
      <c r="BW58" s="254"/>
      <c r="BX58" s="254"/>
      <c r="BY58" s="254"/>
      <c r="BZ58" s="494">
        <v>19.170000000000002</v>
      </c>
      <c r="CA58" s="497">
        <v>0.3</v>
      </c>
      <c r="CB58" s="497"/>
      <c r="CC58" s="494">
        <v>424</v>
      </c>
      <c r="CD58" s="241">
        <f t="shared" si="0"/>
        <v>52</v>
      </c>
      <c r="CE58" s="2"/>
      <c r="CF58" s="2">
        <v>490.8</v>
      </c>
      <c r="CG58" s="2"/>
      <c r="CH58" s="2"/>
      <c r="CI58" s="2"/>
      <c r="CJ58" s="252"/>
      <c r="CK58" s="252"/>
      <c r="CL58" s="252">
        <v>546.33000000000004</v>
      </c>
      <c r="CM58" s="253"/>
      <c r="CO58" s="253">
        <v>0.08</v>
      </c>
      <c r="CU58" s="266">
        <f t="shared" si="1"/>
        <v>181</v>
      </c>
      <c r="CV58" s="267">
        <f t="shared" si="2"/>
        <v>362</v>
      </c>
      <c r="CW58" s="268">
        <f t="shared" si="3"/>
        <v>904.99</v>
      </c>
      <c r="CX58" s="418">
        <v>184</v>
      </c>
      <c r="CY58" s="252"/>
      <c r="CZ58" s="252"/>
      <c r="DA58" s="252"/>
      <c r="DB58" s="252"/>
      <c r="DC58" s="252"/>
      <c r="DD58" s="252"/>
      <c r="DE58" s="252"/>
      <c r="DF58" s="252">
        <f t="shared" si="9"/>
        <v>0</v>
      </c>
      <c r="DG58" s="252"/>
      <c r="DH58" s="252">
        <v>489.06</v>
      </c>
      <c r="DI58" s="252"/>
      <c r="DK58" s="252"/>
      <c r="DL58" s="252"/>
      <c r="DP58" s="6">
        <v>7.2499999999999995E-2</v>
      </c>
      <c r="DQ58" s="252">
        <v>39.42</v>
      </c>
      <c r="DR58" s="3">
        <v>546.33000000000004</v>
      </c>
      <c r="DT58" s="241">
        <f t="shared" si="4"/>
        <v>52</v>
      </c>
      <c r="DU58" s="2"/>
      <c r="DV58" s="252">
        <v>720</v>
      </c>
      <c r="DY58" s="252">
        <v>405.18</v>
      </c>
      <c r="DZ58" s="264">
        <v>3.9399999999999998E-2</v>
      </c>
      <c r="EA58" s="252">
        <v>0</v>
      </c>
      <c r="EB58" s="253">
        <v>0</v>
      </c>
    </row>
    <row r="59" spans="1:132">
      <c r="A59">
        <v>53</v>
      </c>
      <c r="B59" s="259">
        <v>5.2012</v>
      </c>
      <c r="C59">
        <v>53</v>
      </c>
      <c r="D59" s="168">
        <f t="shared" si="10"/>
        <v>0</v>
      </c>
      <c r="E59" s="246">
        <v>41030</v>
      </c>
      <c r="F59" s="186">
        <v>0</v>
      </c>
      <c r="G59" s="247">
        <v>211721.15</v>
      </c>
      <c r="H59" s="247">
        <v>530.13120000000004</v>
      </c>
      <c r="I59" s="248">
        <v>117.4</v>
      </c>
      <c r="J59" s="258">
        <f t="shared" si="5"/>
        <v>0</v>
      </c>
      <c r="K59" s="298"/>
      <c r="L59" s="252">
        <v>300</v>
      </c>
      <c r="M59" s="263"/>
      <c r="N59" s="263"/>
      <c r="O59" s="473">
        <v>328.76</v>
      </c>
      <c r="P59" s="474">
        <v>328.76</v>
      </c>
      <c r="Q59" s="474">
        <v>430.86</v>
      </c>
      <c r="R59" s="475">
        <v>0.09</v>
      </c>
      <c r="S59" s="533">
        <f t="shared" si="6"/>
        <v>53</v>
      </c>
      <c r="T59" s="460">
        <v>75.260000000000005</v>
      </c>
      <c r="U59" s="460">
        <v>10.56</v>
      </c>
      <c r="V59" s="460">
        <v>353.76</v>
      </c>
      <c r="W59" s="460"/>
      <c r="X59" s="254">
        <v>51.09</v>
      </c>
      <c r="Y59" s="461">
        <v>7.4999999999999997E-2</v>
      </c>
      <c r="Z59" s="460">
        <v>22.5</v>
      </c>
      <c r="AA59" s="460">
        <v>10.26</v>
      </c>
      <c r="AB59" s="460">
        <v>437.73</v>
      </c>
      <c r="AC59" s="462">
        <v>353.75</v>
      </c>
      <c r="AD59" s="463">
        <v>0.3</v>
      </c>
      <c r="AE59" s="460">
        <v>40.83</v>
      </c>
      <c r="AF59" s="460">
        <v>61.32</v>
      </c>
      <c r="AG59" s="460">
        <v>20.62</v>
      </c>
      <c r="AH59" s="460"/>
      <c r="AI59" s="460"/>
      <c r="AJ59" s="460"/>
      <c r="AK59" s="460"/>
      <c r="AL59" s="253"/>
      <c r="AM59" s="273">
        <v>0.1</v>
      </c>
      <c r="AN59" s="255">
        <v>0.08</v>
      </c>
      <c r="AO59" s="160">
        <v>0.1</v>
      </c>
      <c r="AP59" s="536">
        <v>480.1</v>
      </c>
      <c r="AQ59" s="536"/>
      <c r="AR59" s="505">
        <f t="shared" si="7"/>
        <v>53</v>
      </c>
      <c r="AS59" s="480">
        <v>257.37</v>
      </c>
      <c r="AT59" s="480">
        <v>191.57</v>
      </c>
      <c r="AU59" s="480"/>
      <c r="AV59" s="480"/>
      <c r="AW59" s="480"/>
      <c r="AX59" s="480"/>
      <c r="AY59" s="480">
        <v>303.18</v>
      </c>
      <c r="AZ59" s="499" t="s">
        <v>5323</v>
      </c>
      <c r="BA59" s="502">
        <v>23.57</v>
      </c>
      <c r="BB59" s="501"/>
      <c r="BC59" s="510">
        <v>237.16</v>
      </c>
      <c r="BD59" s="510">
        <v>1222.49</v>
      </c>
      <c r="BE59" s="504">
        <v>0.2</v>
      </c>
      <c r="BF59" s="503">
        <v>0.22</v>
      </c>
      <c r="BG59" s="502">
        <v>16.66</v>
      </c>
      <c r="BH59" s="502">
        <v>1414.05</v>
      </c>
      <c r="BI59" s="502">
        <v>19.170000000000002</v>
      </c>
      <c r="BJ59" s="502"/>
      <c r="BK59" s="502"/>
      <c r="BL59" s="510"/>
      <c r="BM59" s="511">
        <v>0.16200000000000001</v>
      </c>
      <c r="BN59" s="511"/>
      <c r="BO59" s="511" t="s">
        <v>5340</v>
      </c>
      <c r="BP59" s="252"/>
      <c r="BQ59" s="252"/>
      <c r="BR59" s="511">
        <v>0.22</v>
      </c>
      <c r="BS59" s="252"/>
      <c r="BT59" s="252"/>
      <c r="BU59" s="524">
        <f t="shared" si="8"/>
        <v>53</v>
      </c>
      <c r="BV59" s="489">
        <v>158.63</v>
      </c>
      <c r="BW59" s="254"/>
      <c r="BX59" s="254"/>
      <c r="BY59" s="254"/>
      <c r="BZ59" s="494">
        <v>19.170000000000002</v>
      </c>
      <c r="CA59" s="497">
        <v>0.3</v>
      </c>
      <c r="CB59" s="497"/>
      <c r="CC59" s="494">
        <v>424</v>
      </c>
      <c r="CD59" s="241">
        <f t="shared" si="0"/>
        <v>53</v>
      </c>
      <c r="CE59" s="2"/>
      <c r="CF59" s="2">
        <v>490.8</v>
      </c>
      <c r="CG59" s="2"/>
      <c r="CH59" s="2"/>
      <c r="CI59" s="2"/>
      <c r="CJ59" s="252"/>
      <c r="CK59" s="252"/>
      <c r="CL59" s="252">
        <v>546.33000000000004</v>
      </c>
      <c r="CM59" s="253"/>
      <c r="CO59" s="5">
        <v>0.08</v>
      </c>
      <c r="CU59" s="266">
        <f t="shared" si="1"/>
        <v>181</v>
      </c>
      <c r="CV59" s="267">
        <f t="shared" si="2"/>
        <v>362</v>
      </c>
      <c r="CW59" s="268">
        <f t="shared" si="3"/>
        <v>904.99</v>
      </c>
      <c r="CX59" s="418">
        <v>184</v>
      </c>
      <c r="CY59" s="252"/>
      <c r="CZ59" s="252"/>
      <c r="DA59" s="252"/>
      <c r="DB59" s="252"/>
      <c r="DC59" s="252"/>
      <c r="DD59" s="252"/>
      <c r="DE59" s="252"/>
      <c r="DF59" s="252">
        <f t="shared" si="9"/>
        <v>0</v>
      </c>
      <c r="DG59" s="252"/>
      <c r="DH59" s="252">
        <v>489.06</v>
      </c>
      <c r="DI59" s="252"/>
      <c r="DK59" s="252"/>
      <c r="DL59" s="252"/>
      <c r="DP59" s="6">
        <v>7.2499999999999995E-2</v>
      </c>
      <c r="DQ59" s="252">
        <v>39.42</v>
      </c>
      <c r="DR59" s="3">
        <v>546.33000000000004</v>
      </c>
      <c r="DT59" s="241">
        <f t="shared" si="4"/>
        <v>53</v>
      </c>
      <c r="DU59" s="2"/>
      <c r="DV59" s="252">
        <v>720</v>
      </c>
      <c r="DY59" s="252">
        <v>405.18</v>
      </c>
      <c r="DZ59" s="264">
        <v>3.9399999999999998E-2</v>
      </c>
      <c r="EA59" s="252">
        <v>0</v>
      </c>
      <c r="EB59" s="253">
        <v>0</v>
      </c>
    </row>
    <row r="60" spans="1:132">
      <c r="A60">
        <v>54</v>
      </c>
      <c r="B60" s="259">
        <v>6.2012</v>
      </c>
      <c r="C60">
        <v>54</v>
      </c>
      <c r="D60" s="168">
        <f t="shared" si="10"/>
        <v>-2.8490304346069362E-3</v>
      </c>
      <c r="E60" s="246">
        <v>41061</v>
      </c>
      <c r="F60" s="186">
        <v>-0.28999999999999998</v>
      </c>
      <c r="G60" s="247">
        <v>211117.95</v>
      </c>
      <c r="H60" s="247">
        <v>528.62080000000003</v>
      </c>
      <c r="I60" s="248">
        <v>117.1</v>
      </c>
      <c r="J60" s="258">
        <f t="shared" si="5"/>
        <v>-2.5553662691653045E-3</v>
      </c>
      <c r="K60" s="298"/>
      <c r="L60" s="252">
        <v>300</v>
      </c>
      <c r="M60" s="263"/>
      <c r="N60" s="263"/>
      <c r="O60" s="473">
        <v>328.76</v>
      </c>
      <c r="P60" s="474">
        <v>328.76</v>
      </c>
      <c r="Q60" s="474">
        <v>430.86</v>
      </c>
      <c r="R60" s="475">
        <v>0.09</v>
      </c>
      <c r="S60" s="533">
        <f t="shared" si="6"/>
        <v>54</v>
      </c>
      <c r="T60" s="460">
        <v>75.260000000000005</v>
      </c>
      <c r="U60" s="460">
        <v>10.56</v>
      </c>
      <c r="V60" s="460">
        <v>353.76</v>
      </c>
      <c r="W60" s="460"/>
      <c r="X60" s="254">
        <v>51.09</v>
      </c>
      <c r="Y60" s="461">
        <v>7.4999999999999997E-2</v>
      </c>
      <c r="Z60" s="460">
        <v>22.5</v>
      </c>
      <c r="AA60" s="460">
        <v>10.26</v>
      </c>
      <c r="AB60" s="460">
        <v>437.73</v>
      </c>
      <c r="AC60" s="462">
        <v>353.75</v>
      </c>
      <c r="AD60" s="463">
        <v>0.3</v>
      </c>
      <c r="AE60" s="460">
        <v>40.83</v>
      </c>
      <c r="AF60" s="460">
        <v>61.32</v>
      </c>
      <c r="AG60" s="460">
        <v>20.62</v>
      </c>
      <c r="AH60" s="460"/>
      <c r="AI60" s="460"/>
      <c r="AJ60" s="460"/>
      <c r="AK60" s="460"/>
      <c r="AL60" s="253"/>
      <c r="AM60" s="273">
        <v>0.1</v>
      </c>
      <c r="AN60" s="255">
        <v>0.08</v>
      </c>
      <c r="AO60" s="160">
        <v>0.1</v>
      </c>
      <c r="AP60" s="536">
        <v>480.1</v>
      </c>
      <c r="AQ60" s="536"/>
      <c r="AR60" s="505">
        <f t="shared" si="7"/>
        <v>54</v>
      </c>
      <c r="AS60" s="480">
        <v>257.37</v>
      </c>
      <c r="AT60" s="480">
        <v>191.57</v>
      </c>
      <c r="AU60" s="480"/>
      <c r="AV60" s="480"/>
      <c r="AW60" s="480"/>
      <c r="AX60" s="480"/>
      <c r="AY60" s="480">
        <v>303.18</v>
      </c>
      <c r="AZ60" s="499" t="s">
        <v>5323</v>
      </c>
      <c r="BA60" s="502">
        <v>23.57</v>
      </c>
      <c r="BB60" s="502"/>
      <c r="BC60" s="510">
        <v>237.16</v>
      </c>
      <c r="BD60" s="510">
        <v>1222.49</v>
      </c>
      <c r="BE60" s="504">
        <v>0.2</v>
      </c>
      <c r="BF60" s="503">
        <v>0.22</v>
      </c>
      <c r="BG60" s="502">
        <v>16.66</v>
      </c>
      <c r="BH60" s="502">
        <v>1414.05</v>
      </c>
      <c r="BI60" s="502">
        <v>19.170000000000002</v>
      </c>
      <c r="BJ60" s="502"/>
      <c r="BK60" s="502"/>
      <c r="BL60" s="510"/>
      <c r="BM60" s="511">
        <v>0.16200000000000001</v>
      </c>
      <c r="BN60" s="511"/>
      <c r="BO60" s="511" t="s">
        <v>5340</v>
      </c>
      <c r="BP60" s="252"/>
      <c r="BQ60" s="252"/>
      <c r="BR60" s="511">
        <v>0.22</v>
      </c>
      <c r="BS60" s="252"/>
      <c r="BT60" s="252"/>
      <c r="BU60" s="524">
        <f t="shared" si="8"/>
        <v>54</v>
      </c>
      <c r="BV60" s="489">
        <v>158.63</v>
      </c>
      <c r="BW60" s="254"/>
      <c r="BX60" s="254"/>
      <c r="BY60" s="254"/>
      <c r="BZ60" s="494">
        <v>19.170000000000002</v>
      </c>
      <c r="CA60" s="497">
        <v>0.3</v>
      </c>
      <c r="CB60" s="497"/>
      <c r="CC60" s="494">
        <v>424</v>
      </c>
      <c r="CD60" s="241">
        <f t="shared" si="0"/>
        <v>54</v>
      </c>
      <c r="CE60" s="2"/>
      <c r="CF60" s="2">
        <v>490.8</v>
      </c>
      <c r="CG60" s="2"/>
      <c r="CH60" s="2"/>
      <c r="CI60" s="2"/>
      <c r="CJ60" s="252"/>
      <c r="CK60" s="252"/>
      <c r="CL60" s="252">
        <v>546.33000000000004</v>
      </c>
      <c r="CM60" s="253"/>
      <c r="CO60" s="253">
        <v>0.08</v>
      </c>
      <c r="CU60" s="266">
        <f t="shared" si="1"/>
        <v>181</v>
      </c>
      <c r="CV60" s="267">
        <f t="shared" si="2"/>
        <v>362</v>
      </c>
      <c r="CW60" s="268">
        <f t="shared" si="3"/>
        <v>904.99</v>
      </c>
      <c r="CX60" s="418">
        <v>184</v>
      </c>
      <c r="CY60" s="252"/>
      <c r="CZ60" s="252"/>
      <c r="DA60" s="252"/>
      <c r="DB60" s="252"/>
      <c r="DC60" s="252"/>
      <c r="DD60" s="252"/>
      <c r="DE60" s="252"/>
      <c r="DF60" s="252">
        <f t="shared" si="9"/>
        <v>0</v>
      </c>
      <c r="DG60" s="252"/>
      <c r="DH60" s="252">
        <v>489.06</v>
      </c>
      <c r="DI60" s="252"/>
      <c r="DK60" s="252"/>
      <c r="DL60" s="252"/>
      <c r="DP60" s="6">
        <v>7.2499999999999995E-2</v>
      </c>
      <c r="DQ60" s="252">
        <v>39.42</v>
      </c>
      <c r="DR60" s="3">
        <v>546.33000000000004</v>
      </c>
      <c r="DT60" s="241">
        <f t="shared" si="4"/>
        <v>54</v>
      </c>
      <c r="DU60" s="2"/>
      <c r="DV60" s="252">
        <v>720</v>
      </c>
      <c r="DY60" s="252">
        <v>405.18</v>
      </c>
      <c r="DZ60" s="264">
        <v>3.9399999999999998E-2</v>
      </c>
      <c r="EA60" s="252">
        <v>0</v>
      </c>
      <c r="EB60" s="253">
        <v>0</v>
      </c>
    </row>
    <row r="61" spans="1:132">
      <c r="A61">
        <v>55</v>
      </c>
      <c r="B61" s="259">
        <v>7.2012</v>
      </c>
      <c r="C61">
        <v>55</v>
      </c>
      <c r="D61" s="168">
        <f t="shared" si="10"/>
        <v>9.5240598916368491E-4</v>
      </c>
      <c r="E61" s="246">
        <v>41091</v>
      </c>
      <c r="F61" s="186">
        <v>0.09</v>
      </c>
      <c r="G61" s="247">
        <v>211319.02</v>
      </c>
      <c r="H61" s="247">
        <v>529.12429999999995</v>
      </c>
      <c r="I61" s="248">
        <v>117.2</v>
      </c>
      <c r="J61" s="258">
        <f t="shared" si="5"/>
        <v>8.5397096498729397E-4</v>
      </c>
      <c r="K61" s="298"/>
      <c r="L61" s="252">
        <v>300</v>
      </c>
      <c r="M61" s="263"/>
      <c r="N61" s="263"/>
      <c r="O61" s="473">
        <v>328.76</v>
      </c>
      <c r="P61" s="474">
        <v>328.76</v>
      </c>
      <c r="Q61" s="474">
        <v>430.86</v>
      </c>
      <c r="R61" s="475">
        <v>0.09</v>
      </c>
      <c r="S61" s="533">
        <f t="shared" si="6"/>
        <v>55</v>
      </c>
      <c r="T61" s="460">
        <v>75.260000000000005</v>
      </c>
      <c r="U61" s="460">
        <v>10.56</v>
      </c>
      <c r="V61" s="460">
        <v>353.76</v>
      </c>
      <c r="W61" s="460"/>
      <c r="X61" s="254">
        <v>51.09</v>
      </c>
      <c r="Y61" s="461">
        <v>7.4999999999999997E-2</v>
      </c>
      <c r="Z61" s="460">
        <v>22.5</v>
      </c>
      <c r="AA61" s="460">
        <v>10.26</v>
      </c>
      <c r="AB61" s="460">
        <v>437.73</v>
      </c>
      <c r="AC61" s="462">
        <v>353.75</v>
      </c>
      <c r="AD61" s="463">
        <v>0.3</v>
      </c>
      <c r="AE61" s="460">
        <v>40.83</v>
      </c>
      <c r="AF61" s="460">
        <v>61.32</v>
      </c>
      <c r="AG61" s="460">
        <v>20.62</v>
      </c>
      <c r="AH61" s="460"/>
      <c r="AI61" s="460"/>
      <c r="AJ61" s="460"/>
      <c r="AK61" s="460"/>
      <c r="AL61" s="253"/>
      <c r="AM61" s="273">
        <v>0.1</v>
      </c>
      <c r="AN61" s="255">
        <v>0.08</v>
      </c>
      <c r="AO61" s="160">
        <v>0.1</v>
      </c>
      <c r="AP61" s="536">
        <v>480.1</v>
      </c>
      <c r="AQ61" s="536"/>
      <c r="AR61" s="505">
        <f t="shared" si="7"/>
        <v>55</v>
      </c>
      <c r="AS61" s="480">
        <v>257.37</v>
      </c>
      <c r="AT61" s="480">
        <v>191.57</v>
      </c>
      <c r="AU61" s="480"/>
      <c r="AV61" s="480"/>
      <c r="AW61" s="480"/>
      <c r="AX61" s="480"/>
      <c r="AY61" s="480">
        <v>303.18</v>
      </c>
      <c r="AZ61" s="499" t="s">
        <v>5323</v>
      </c>
      <c r="BA61" s="502">
        <v>23.57</v>
      </c>
      <c r="BB61" s="501"/>
      <c r="BC61" s="510">
        <v>237.16</v>
      </c>
      <c r="BD61" s="510">
        <v>1222.49</v>
      </c>
      <c r="BE61" s="504">
        <v>0.2</v>
      </c>
      <c r="BF61" s="503">
        <v>0.22</v>
      </c>
      <c r="BG61" s="502">
        <v>16.66</v>
      </c>
      <c r="BH61" s="502">
        <v>1414.05</v>
      </c>
      <c r="BI61" s="502">
        <v>19.170000000000002</v>
      </c>
      <c r="BJ61" s="502"/>
      <c r="BK61" s="502"/>
      <c r="BL61" s="510"/>
      <c r="BM61" s="511">
        <v>0.16200000000000001</v>
      </c>
      <c r="BN61" s="511"/>
      <c r="BO61" s="511" t="s">
        <v>5340</v>
      </c>
      <c r="BP61" s="252"/>
      <c r="BQ61" s="252"/>
      <c r="BR61" s="511">
        <v>0.22</v>
      </c>
      <c r="BS61" s="252"/>
      <c r="BT61" s="252"/>
      <c r="BU61" s="524">
        <f t="shared" si="8"/>
        <v>55</v>
      </c>
      <c r="BV61" s="489">
        <v>158.63</v>
      </c>
      <c r="BW61" s="254"/>
      <c r="BX61" s="254"/>
      <c r="BY61" s="254"/>
      <c r="BZ61" s="494">
        <v>19.170000000000002</v>
      </c>
      <c r="CA61" s="497">
        <v>0.3</v>
      </c>
      <c r="CB61" s="497"/>
      <c r="CC61" s="494">
        <v>424</v>
      </c>
      <c r="CD61" s="241">
        <f t="shared" si="0"/>
        <v>55</v>
      </c>
      <c r="CE61" s="2"/>
      <c r="CF61" s="2">
        <v>490.8</v>
      </c>
      <c r="CG61" s="2"/>
      <c r="CH61" s="2"/>
      <c r="CI61" s="2"/>
      <c r="CJ61" s="252"/>
      <c r="CK61" s="252"/>
      <c r="CL61" s="252">
        <v>546.33000000000004</v>
      </c>
      <c r="CM61" s="253"/>
      <c r="CO61" s="5">
        <v>0.08</v>
      </c>
      <c r="CU61" s="266">
        <f t="shared" si="1"/>
        <v>181</v>
      </c>
      <c r="CV61" s="267">
        <f t="shared" si="2"/>
        <v>362</v>
      </c>
      <c r="CW61" s="268">
        <f t="shared" si="3"/>
        <v>904.99</v>
      </c>
      <c r="CX61" s="418">
        <v>184</v>
      </c>
      <c r="CY61" s="252"/>
      <c r="CZ61" s="252"/>
      <c r="DA61" s="252"/>
      <c r="DB61" s="252"/>
      <c r="DC61" s="252"/>
      <c r="DD61" s="252"/>
      <c r="DE61" s="252"/>
      <c r="DF61" s="252">
        <f t="shared" si="9"/>
        <v>0</v>
      </c>
      <c r="DG61" s="252"/>
      <c r="DH61" s="252">
        <v>489.06</v>
      </c>
      <c r="DI61" s="252"/>
      <c r="DK61" s="252"/>
      <c r="DL61" s="252"/>
      <c r="DP61" s="6">
        <v>7.2499999999999995E-2</v>
      </c>
      <c r="DQ61" s="252">
        <v>39.42</v>
      </c>
      <c r="DR61" s="3">
        <v>546.33000000000004</v>
      </c>
      <c r="DT61" s="241">
        <f t="shared" si="4"/>
        <v>55</v>
      </c>
      <c r="DU61" s="2"/>
      <c r="DV61" s="252">
        <v>720</v>
      </c>
      <c r="DY61" s="252">
        <v>405.18</v>
      </c>
      <c r="DZ61" s="264">
        <v>3.9399999999999998E-2</v>
      </c>
      <c r="EA61" s="252">
        <v>0</v>
      </c>
      <c r="EB61" s="253">
        <v>0</v>
      </c>
    </row>
    <row r="62" spans="1:132">
      <c r="A62">
        <v>56</v>
      </c>
      <c r="B62" s="259">
        <v>8.2012</v>
      </c>
      <c r="C62">
        <v>56</v>
      </c>
      <c r="D62" s="168">
        <f t="shared" si="10"/>
        <v>1.0466213594971352E-2</v>
      </c>
      <c r="E62" s="246">
        <v>41122</v>
      </c>
      <c r="F62" s="186">
        <v>1.04</v>
      </c>
      <c r="G62" s="247">
        <v>213530.73</v>
      </c>
      <c r="H62" s="247">
        <v>534.66219999999998</v>
      </c>
      <c r="I62" s="248">
        <v>118.4</v>
      </c>
      <c r="J62" s="258">
        <f t="shared" si="5"/>
        <v>1.0238907849829282E-2</v>
      </c>
      <c r="K62" s="298"/>
      <c r="L62" s="252">
        <v>300</v>
      </c>
      <c r="M62" s="263"/>
      <c r="N62" s="263"/>
      <c r="O62" s="473">
        <v>328.76</v>
      </c>
      <c r="P62" s="474">
        <v>328.76</v>
      </c>
      <c r="Q62" s="474">
        <v>430.86</v>
      </c>
      <c r="R62" s="475">
        <v>0.09</v>
      </c>
      <c r="S62" s="533">
        <f t="shared" si="6"/>
        <v>56</v>
      </c>
      <c r="T62" s="460">
        <v>75.260000000000005</v>
      </c>
      <c r="U62" s="460">
        <v>10.56</v>
      </c>
      <c r="V62" s="460">
        <v>353.76</v>
      </c>
      <c r="W62" s="460"/>
      <c r="X62" s="254">
        <v>51.09</v>
      </c>
      <c r="Y62" s="461">
        <v>7.4999999999999997E-2</v>
      </c>
      <c r="Z62" s="460">
        <v>22.5</v>
      </c>
      <c r="AA62" s="460">
        <v>10.26</v>
      </c>
      <c r="AB62" s="460">
        <v>437.73</v>
      </c>
      <c r="AC62" s="462">
        <v>353.75</v>
      </c>
      <c r="AD62" s="463">
        <v>0.3</v>
      </c>
      <c r="AE62" s="460">
        <v>40.83</v>
      </c>
      <c r="AF62" s="460">
        <v>61.32</v>
      </c>
      <c r="AG62" s="460">
        <v>20.62</v>
      </c>
      <c r="AH62" s="460"/>
      <c r="AI62" s="460"/>
      <c r="AJ62" s="460"/>
      <c r="AK62" s="460"/>
      <c r="AL62" s="253"/>
      <c r="AM62" s="273">
        <v>0.1</v>
      </c>
      <c r="AN62" s="255">
        <v>0.08</v>
      </c>
      <c r="AO62" s="160">
        <v>0.1</v>
      </c>
      <c r="AP62" s="536">
        <v>480.1</v>
      </c>
      <c r="AQ62" s="536"/>
      <c r="AR62" s="505">
        <f t="shared" si="7"/>
        <v>56</v>
      </c>
      <c r="AS62" s="480">
        <v>257.37</v>
      </c>
      <c r="AT62" s="480">
        <v>191.57</v>
      </c>
      <c r="AU62" s="480"/>
      <c r="AV62" s="480"/>
      <c r="AW62" s="480"/>
      <c r="AX62" s="480"/>
      <c r="AY62" s="480">
        <v>303.18</v>
      </c>
      <c r="AZ62" s="499" t="s">
        <v>5323</v>
      </c>
      <c r="BA62" s="502">
        <v>23.57</v>
      </c>
      <c r="BB62" s="502"/>
      <c r="BC62" s="510">
        <v>237.16</v>
      </c>
      <c r="BD62" s="510">
        <v>1222.49</v>
      </c>
      <c r="BE62" s="504">
        <v>0.2</v>
      </c>
      <c r="BF62" s="503">
        <v>0.22</v>
      </c>
      <c r="BG62" s="502">
        <v>16.66</v>
      </c>
      <c r="BH62" s="502">
        <v>1414.05</v>
      </c>
      <c r="BI62" s="502">
        <v>19.170000000000002</v>
      </c>
      <c r="BJ62" s="502"/>
      <c r="BK62" s="502"/>
      <c r="BL62" s="510"/>
      <c r="BM62" s="511">
        <v>0.16200000000000001</v>
      </c>
      <c r="BN62" s="511"/>
      <c r="BO62" s="511" t="s">
        <v>5340</v>
      </c>
      <c r="BP62" s="252"/>
      <c r="BQ62" s="252"/>
      <c r="BR62" s="511">
        <v>0.22</v>
      </c>
      <c r="BS62" s="252"/>
      <c r="BT62" s="252"/>
      <c r="BU62" s="524">
        <f t="shared" si="8"/>
        <v>56</v>
      </c>
      <c r="BV62" s="489">
        <v>158.63</v>
      </c>
      <c r="BW62" s="254"/>
      <c r="BX62" s="254"/>
      <c r="BY62" s="254"/>
      <c r="BZ62" s="494">
        <v>19.170000000000002</v>
      </c>
      <c r="CA62" s="497">
        <v>0.3</v>
      </c>
      <c r="CB62" s="497"/>
      <c r="CC62" s="494">
        <v>424</v>
      </c>
      <c r="CD62" s="241">
        <f t="shared" si="0"/>
        <v>56</v>
      </c>
      <c r="CE62" s="2"/>
      <c r="CF62" s="2">
        <v>490.8</v>
      </c>
      <c r="CG62" s="2"/>
      <c r="CH62" s="2"/>
      <c r="CI62" s="2"/>
      <c r="CJ62" s="252"/>
      <c r="CK62" s="252"/>
      <c r="CL62" s="252">
        <v>546.33000000000004</v>
      </c>
      <c r="CM62" s="253"/>
      <c r="CO62" s="253">
        <v>0.08</v>
      </c>
      <c r="CU62" s="266">
        <f t="shared" si="1"/>
        <v>181</v>
      </c>
      <c r="CV62" s="267">
        <f t="shared" si="2"/>
        <v>362</v>
      </c>
      <c r="CW62" s="268">
        <f t="shared" si="3"/>
        <v>904.99</v>
      </c>
      <c r="CX62" s="418">
        <v>184</v>
      </c>
      <c r="CY62" s="252"/>
      <c r="CZ62" s="252"/>
      <c r="DA62" s="252"/>
      <c r="DB62" s="252"/>
      <c r="DC62" s="252"/>
      <c r="DD62" s="252"/>
      <c r="DE62" s="252"/>
      <c r="DF62" s="252">
        <f t="shared" si="9"/>
        <v>0</v>
      </c>
      <c r="DG62" s="252"/>
      <c r="DH62" s="252">
        <v>489.06</v>
      </c>
      <c r="DI62" s="252"/>
      <c r="DK62" s="252"/>
      <c r="DL62" s="252"/>
      <c r="DP62" s="6">
        <v>7.2499999999999995E-2</v>
      </c>
      <c r="DQ62" s="252">
        <v>39.42</v>
      </c>
      <c r="DR62" s="3">
        <v>546.33000000000004</v>
      </c>
      <c r="DT62" s="241">
        <f t="shared" si="4"/>
        <v>56</v>
      </c>
      <c r="DU62" s="2"/>
      <c r="DV62" s="252">
        <v>720</v>
      </c>
      <c r="DY62" s="252">
        <v>405.18</v>
      </c>
      <c r="DZ62" s="264">
        <v>3.9399999999999998E-2</v>
      </c>
      <c r="EA62" s="252">
        <v>0</v>
      </c>
      <c r="EB62" s="253">
        <v>0</v>
      </c>
    </row>
    <row r="63" spans="1:132">
      <c r="A63">
        <v>57</v>
      </c>
      <c r="B63" s="259">
        <v>9.2012</v>
      </c>
      <c r="C63">
        <v>57</v>
      </c>
      <c r="D63" s="168">
        <f t="shared" si="10"/>
        <v>0</v>
      </c>
      <c r="E63" s="246">
        <v>41153</v>
      </c>
      <c r="F63" s="186">
        <v>0</v>
      </c>
      <c r="G63" s="247">
        <v>213530.73</v>
      </c>
      <c r="H63" s="247">
        <v>534.66219999999998</v>
      </c>
      <c r="I63" s="248">
        <v>118.4</v>
      </c>
      <c r="J63" s="258">
        <f t="shared" si="5"/>
        <v>0</v>
      </c>
      <c r="K63" s="298"/>
      <c r="L63" s="252">
        <v>300</v>
      </c>
      <c r="M63" s="263"/>
      <c r="N63" s="263"/>
      <c r="O63" s="473">
        <v>328.76</v>
      </c>
      <c r="P63" s="474">
        <v>328.76</v>
      </c>
      <c r="Q63" s="474">
        <v>430.86</v>
      </c>
      <c r="R63" s="475">
        <v>0.09</v>
      </c>
      <c r="S63" s="533">
        <f t="shared" si="6"/>
        <v>57</v>
      </c>
      <c r="T63" s="460">
        <v>75.260000000000005</v>
      </c>
      <c r="U63" s="460">
        <v>10.56</v>
      </c>
      <c r="V63" s="460">
        <v>353.76</v>
      </c>
      <c r="W63" s="460"/>
      <c r="X63" s="254">
        <v>51.09</v>
      </c>
      <c r="Y63" s="461">
        <v>7.4999999999999997E-2</v>
      </c>
      <c r="Z63" s="460">
        <v>22.5</v>
      </c>
      <c r="AA63" s="460">
        <v>10.26</v>
      </c>
      <c r="AB63" s="460">
        <v>437.73</v>
      </c>
      <c r="AC63" s="462">
        <v>353.75</v>
      </c>
      <c r="AD63" s="463">
        <v>0.3</v>
      </c>
      <c r="AE63" s="460">
        <v>40.83</v>
      </c>
      <c r="AF63" s="460">
        <v>61.32</v>
      </c>
      <c r="AG63" s="460">
        <v>20.62</v>
      </c>
      <c r="AH63" s="460"/>
      <c r="AI63" s="460"/>
      <c r="AJ63" s="460"/>
      <c r="AK63" s="460"/>
      <c r="AL63" s="253"/>
      <c r="AM63" s="273">
        <v>0.1</v>
      </c>
      <c r="AN63" s="255">
        <v>0.08</v>
      </c>
      <c r="AO63" s="160">
        <v>0.1</v>
      </c>
      <c r="AP63" s="536">
        <v>480.1</v>
      </c>
      <c r="AQ63" s="536"/>
      <c r="AR63" s="505">
        <f t="shared" si="7"/>
        <v>57</v>
      </c>
      <c r="AS63" s="480">
        <v>257.37</v>
      </c>
      <c r="AT63" s="480">
        <v>191.57</v>
      </c>
      <c r="AU63" s="480"/>
      <c r="AV63" s="480"/>
      <c r="AW63" s="480"/>
      <c r="AX63" s="480"/>
      <c r="AY63" s="480">
        <v>303.18</v>
      </c>
      <c r="AZ63" s="499" t="s">
        <v>5323</v>
      </c>
      <c r="BA63" s="502">
        <v>23.57</v>
      </c>
      <c r="BB63" s="501"/>
      <c r="BC63" s="510">
        <v>237.16</v>
      </c>
      <c r="BD63" s="510">
        <v>1222.49</v>
      </c>
      <c r="BE63" s="504">
        <v>0.2</v>
      </c>
      <c r="BF63" s="503">
        <v>0.22</v>
      </c>
      <c r="BG63" s="502">
        <v>16.66</v>
      </c>
      <c r="BH63" s="502">
        <v>1414.05</v>
      </c>
      <c r="BI63" s="502">
        <v>19.170000000000002</v>
      </c>
      <c r="BJ63" s="502"/>
      <c r="BK63" s="502"/>
      <c r="BL63" s="510"/>
      <c r="BM63" s="511">
        <v>0.16200000000000001</v>
      </c>
      <c r="BN63" s="511"/>
      <c r="BO63" s="511" t="s">
        <v>5340</v>
      </c>
      <c r="BP63" s="252"/>
      <c r="BQ63" s="252"/>
      <c r="BR63" s="511">
        <v>0.22</v>
      </c>
      <c r="BS63" s="252"/>
      <c r="BT63" s="252"/>
      <c r="BU63" s="524">
        <f t="shared" si="8"/>
        <v>57</v>
      </c>
      <c r="BV63" s="489">
        <v>158.63</v>
      </c>
      <c r="BW63" s="254"/>
      <c r="BX63" s="254"/>
      <c r="BY63" s="254"/>
      <c r="BZ63" s="494">
        <v>19.170000000000002</v>
      </c>
      <c r="CA63" s="497">
        <v>0.3</v>
      </c>
      <c r="CB63" s="497"/>
      <c r="CC63" s="494">
        <v>424</v>
      </c>
      <c r="CD63" s="241">
        <f t="shared" si="0"/>
        <v>57</v>
      </c>
      <c r="CE63" s="2"/>
      <c r="CF63" s="2">
        <v>490.8</v>
      </c>
      <c r="CG63" s="2"/>
      <c r="CH63" s="2"/>
      <c r="CI63" s="2"/>
      <c r="CJ63" s="252"/>
      <c r="CK63" s="252"/>
      <c r="CL63" s="252">
        <v>546.33000000000004</v>
      </c>
      <c r="CM63" s="253"/>
      <c r="CO63" s="5">
        <v>0.08</v>
      </c>
      <c r="CU63" s="266">
        <f t="shared" si="1"/>
        <v>181</v>
      </c>
      <c r="CV63" s="267">
        <f t="shared" si="2"/>
        <v>362</v>
      </c>
      <c r="CW63" s="268">
        <f t="shared" si="3"/>
        <v>904.99</v>
      </c>
      <c r="CX63" s="418">
        <v>184</v>
      </c>
      <c r="CY63" s="252"/>
      <c r="CZ63" s="252"/>
      <c r="DA63" s="252"/>
      <c r="DB63" s="252"/>
      <c r="DC63" s="252"/>
      <c r="DD63" s="252"/>
      <c r="DE63" s="252"/>
      <c r="DF63" s="252">
        <f t="shared" si="9"/>
        <v>0</v>
      </c>
      <c r="DG63" s="252"/>
      <c r="DH63" s="252">
        <v>489.06</v>
      </c>
      <c r="DI63" s="252"/>
      <c r="DK63" s="252"/>
      <c r="DL63" s="252"/>
      <c r="DP63" s="6">
        <v>7.2499999999999995E-2</v>
      </c>
      <c r="DQ63" s="252">
        <v>39.42</v>
      </c>
      <c r="DR63" s="3">
        <v>546.33000000000004</v>
      </c>
      <c r="DT63" s="241">
        <f t="shared" si="4"/>
        <v>57</v>
      </c>
      <c r="DU63" s="2"/>
      <c r="DV63" s="252">
        <v>720</v>
      </c>
      <c r="DY63" s="252">
        <v>405.18</v>
      </c>
      <c r="DZ63" s="264">
        <v>3.9399999999999998E-2</v>
      </c>
      <c r="EA63" s="252">
        <v>0</v>
      </c>
      <c r="EB63" s="253">
        <v>0</v>
      </c>
    </row>
    <row r="64" spans="1:132">
      <c r="A64">
        <v>58</v>
      </c>
      <c r="B64" s="259">
        <v>10.2012</v>
      </c>
      <c r="C64">
        <v>58</v>
      </c>
      <c r="D64" s="168">
        <f t="shared" si="10"/>
        <v>-1.8832418172316512E-3</v>
      </c>
      <c r="E64" s="246">
        <v>41183</v>
      </c>
      <c r="F64" s="186">
        <v>-0.19</v>
      </c>
      <c r="G64" s="247">
        <v>213128.6</v>
      </c>
      <c r="H64" s="247">
        <v>533.65530000000001</v>
      </c>
      <c r="I64" s="248">
        <v>118.2</v>
      </c>
      <c r="J64" s="258">
        <f t="shared" si="5"/>
        <v>-1.6891891891892552E-3</v>
      </c>
      <c r="K64" s="298"/>
      <c r="L64" s="252">
        <v>300</v>
      </c>
      <c r="M64" s="263"/>
      <c r="N64" s="263"/>
      <c r="O64" s="473">
        <v>328.76</v>
      </c>
      <c r="P64" s="474">
        <v>328.76</v>
      </c>
      <c r="Q64" s="474">
        <v>430.86</v>
      </c>
      <c r="R64" s="475">
        <v>0.09</v>
      </c>
      <c r="S64" s="533">
        <f t="shared" si="6"/>
        <v>58</v>
      </c>
      <c r="T64" s="460">
        <v>75.260000000000005</v>
      </c>
      <c r="U64" s="460">
        <v>10.56</v>
      </c>
      <c r="V64" s="460">
        <v>353.76</v>
      </c>
      <c r="W64" s="460"/>
      <c r="X64" s="254">
        <v>51.09</v>
      </c>
      <c r="Y64" s="461">
        <v>7.4999999999999997E-2</v>
      </c>
      <c r="Z64" s="460">
        <v>22.5</v>
      </c>
      <c r="AA64" s="460">
        <v>10.26</v>
      </c>
      <c r="AB64" s="460">
        <v>437.73</v>
      </c>
      <c r="AC64" s="462">
        <v>353.75</v>
      </c>
      <c r="AD64" s="463">
        <v>0.3</v>
      </c>
      <c r="AE64" s="460">
        <v>40.83</v>
      </c>
      <c r="AF64" s="460">
        <v>61.32</v>
      </c>
      <c r="AG64" s="460">
        <v>20.62</v>
      </c>
      <c r="AH64" s="460"/>
      <c r="AI64" s="460"/>
      <c r="AJ64" s="460"/>
      <c r="AK64" s="460"/>
      <c r="AL64" s="253"/>
      <c r="AM64" s="273">
        <v>0.1</v>
      </c>
      <c r="AN64" s="255">
        <v>0.08</v>
      </c>
      <c r="AO64" s="160">
        <v>0.1</v>
      </c>
      <c r="AP64" s="536">
        <v>480.1</v>
      </c>
      <c r="AQ64" s="536"/>
      <c r="AR64" s="505">
        <f t="shared" si="7"/>
        <v>58</v>
      </c>
      <c r="AS64" s="480">
        <v>257.37</v>
      </c>
      <c r="AT64" s="480">
        <v>191.57</v>
      </c>
      <c r="AU64" s="480"/>
      <c r="AV64" s="480"/>
      <c r="AW64" s="480"/>
      <c r="AX64" s="480"/>
      <c r="AY64" s="480">
        <v>303.18</v>
      </c>
      <c r="AZ64" s="499" t="s">
        <v>5323</v>
      </c>
      <c r="BA64" s="502">
        <v>23.57</v>
      </c>
      <c r="BB64" s="502"/>
      <c r="BC64" s="510">
        <v>237.16</v>
      </c>
      <c r="BD64" s="510">
        <v>1222.49</v>
      </c>
      <c r="BE64" s="504">
        <v>0.2</v>
      </c>
      <c r="BF64" s="503">
        <v>0.22</v>
      </c>
      <c r="BG64" s="502">
        <v>16.66</v>
      </c>
      <c r="BH64" s="502">
        <v>1414.05</v>
      </c>
      <c r="BI64" s="502">
        <v>19.170000000000002</v>
      </c>
      <c r="BJ64" s="502"/>
      <c r="BK64" s="502"/>
      <c r="BL64" s="510"/>
      <c r="BM64" s="511">
        <v>0.16200000000000001</v>
      </c>
      <c r="BN64" s="511"/>
      <c r="BO64" s="511" t="s">
        <v>5340</v>
      </c>
      <c r="BP64" s="252"/>
      <c r="BQ64" s="252"/>
      <c r="BR64" s="511">
        <v>0.22</v>
      </c>
      <c r="BS64" s="252"/>
      <c r="BT64" s="252"/>
      <c r="BU64" s="524">
        <f t="shared" si="8"/>
        <v>58</v>
      </c>
      <c r="BV64" s="489">
        <v>158.63</v>
      </c>
      <c r="BW64" s="254"/>
      <c r="BX64" s="254"/>
      <c r="BY64" s="254"/>
      <c r="BZ64" s="494">
        <v>19.170000000000002</v>
      </c>
      <c r="CA64" s="497">
        <v>0.3</v>
      </c>
      <c r="CB64" s="497"/>
      <c r="CC64" s="494">
        <v>424</v>
      </c>
      <c r="CD64" s="241">
        <f t="shared" si="0"/>
        <v>58</v>
      </c>
      <c r="CE64" s="2"/>
      <c r="CF64" s="2">
        <v>490.8</v>
      </c>
      <c r="CG64" s="2"/>
      <c r="CH64" s="2"/>
      <c r="CI64" s="2"/>
      <c r="CJ64" s="252"/>
      <c r="CK64" s="252"/>
      <c r="CL64" s="252">
        <v>546.33000000000004</v>
      </c>
      <c r="CM64" s="253"/>
      <c r="CO64" s="253">
        <v>0.08</v>
      </c>
      <c r="CU64" s="266">
        <f t="shared" si="1"/>
        <v>181</v>
      </c>
      <c r="CV64" s="267">
        <f t="shared" si="2"/>
        <v>362</v>
      </c>
      <c r="CW64" s="268">
        <f t="shared" si="3"/>
        <v>904.99</v>
      </c>
      <c r="CX64" s="418">
        <v>184</v>
      </c>
      <c r="CY64" s="252"/>
      <c r="CZ64" s="252"/>
      <c r="DA64" s="252"/>
      <c r="DB64" s="252"/>
      <c r="DC64" s="252"/>
      <c r="DD64" s="252"/>
      <c r="DE64" s="252"/>
      <c r="DF64" s="252">
        <f t="shared" si="9"/>
        <v>0</v>
      </c>
      <c r="DG64" s="252"/>
      <c r="DH64" s="252">
        <v>489.06</v>
      </c>
      <c r="DI64" s="252"/>
      <c r="DK64" s="252"/>
      <c r="DL64" s="252"/>
      <c r="DP64" s="6">
        <v>7.2499999999999995E-2</v>
      </c>
      <c r="DQ64" s="252">
        <v>39.42</v>
      </c>
      <c r="DR64" s="3">
        <v>546.33000000000004</v>
      </c>
      <c r="DT64" s="241">
        <f t="shared" si="4"/>
        <v>58</v>
      </c>
      <c r="DU64" s="2"/>
      <c r="DV64" s="252">
        <v>720</v>
      </c>
      <c r="DY64" s="252">
        <v>405.18</v>
      </c>
      <c r="DZ64" s="264">
        <v>3.9399999999999998E-2</v>
      </c>
      <c r="EA64" s="252">
        <v>0</v>
      </c>
      <c r="EB64" s="253">
        <v>0</v>
      </c>
    </row>
    <row r="65" spans="1:132">
      <c r="A65">
        <v>59</v>
      </c>
      <c r="B65" s="259">
        <v>11.2012</v>
      </c>
      <c r="C65">
        <v>59</v>
      </c>
      <c r="D65" s="168">
        <f t="shared" si="10"/>
        <v>-4.7169643116878879E-3</v>
      </c>
      <c r="E65" s="246">
        <v>41214</v>
      </c>
      <c r="F65" s="186">
        <v>-0.48</v>
      </c>
      <c r="G65" s="247">
        <v>212123.28</v>
      </c>
      <c r="H65" s="247">
        <v>531.13810000000001</v>
      </c>
      <c r="I65" s="248">
        <v>117.6</v>
      </c>
      <c r="J65" s="258">
        <f t="shared" si="5"/>
        <v>-5.0761421319798217E-3</v>
      </c>
      <c r="K65" s="298"/>
      <c r="L65" s="252">
        <v>300</v>
      </c>
      <c r="M65" s="263"/>
      <c r="N65" s="263"/>
      <c r="O65" s="473">
        <v>328.76</v>
      </c>
      <c r="P65" s="474">
        <v>328.76</v>
      </c>
      <c r="Q65" s="474">
        <v>430.86</v>
      </c>
      <c r="R65" s="475">
        <v>0.09</v>
      </c>
      <c r="S65" s="533">
        <f t="shared" si="6"/>
        <v>59</v>
      </c>
      <c r="T65" s="460">
        <v>75.260000000000005</v>
      </c>
      <c r="U65" s="460">
        <v>10.56</v>
      </c>
      <c r="V65" s="460">
        <v>353.76</v>
      </c>
      <c r="W65" s="460"/>
      <c r="X65" s="254">
        <v>51.09</v>
      </c>
      <c r="Y65" s="461">
        <v>7.4999999999999997E-2</v>
      </c>
      <c r="Z65" s="460">
        <v>22.5</v>
      </c>
      <c r="AA65" s="460">
        <v>10.26</v>
      </c>
      <c r="AB65" s="460">
        <v>437.73</v>
      </c>
      <c r="AC65" s="462">
        <v>353.75</v>
      </c>
      <c r="AD65" s="463">
        <v>0.3</v>
      </c>
      <c r="AE65" s="460">
        <v>40.83</v>
      </c>
      <c r="AF65" s="460">
        <v>61.32</v>
      </c>
      <c r="AG65" s="460">
        <v>20.62</v>
      </c>
      <c r="AH65" s="460"/>
      <c r="AI65" s="460"/>
      <c r="AJ65" s="460"/>
      <c r="AK65" s="460"/>
      <c r="AL65" s="253"/>
      <c r="AM65" s="273">
        <v>0.1</v>
      </c>
      <c r="AN65" s="255">
        <v>0.08</v>
      </c>
      <c r="AO65" s="160">
        <v>0.1</v>
      </c>
      <c r="AP65" s="536">
        <v>480.1</v>
      </c>
      <c r="AQ65" s="536"/>
      <c r="AR65" s="505">
        <f t="shared" si="7"/>
        <v>59</v>
      </c>
      <c r="AS65" s="480">
        <v>257.37</v>
      </c>
      <c r="AT65" s="480">
        <v>191.57</v>
      </c>
      <c r="AU65" s="480"/>
      <c r="AV65" s="480"/>
      <c r="AW65" s="480"/>
      <c r="AX65" s="480"/>
      <c r="AY65" s="480">
        <v>303.18</v>
      </c>
      <c r="AZ65" s="499" t="s">
        <v>5323</v>
      </c>
      <c r="BA65" s="502">
        <v>23.57</v>
      </c>
      <c r="BB65" s="501"/>
      <c r="BC65" s="510">
        <v>237.16</v>
      </c>
      <c r="BD65" s="510">
        <v>1222.49</v>
      </c>
      <c r="BE65" s="504">
        <v>0.2</v>
      </c>
      <c r="BF65" s="503">
        <v>0.22</v>
      </c>
      <c r="BG65" s="502">
        <v>16.66</v>
      </c>
      <c r="BH65" s="502">
        <v>1414.05</v>
      </c>
      <c r="BI65" s="502">
        <v>19.170000000000002</v>
      </c>
      <c r="BJ65" s="502"/>
      <c r="BK65" s="502"/>
      <c r="BL65" s="510"/>
      <c r="BM65" s="511">
        <v>0.16200000000000001</v>
      </c>
      <c r="BN65" s="511"/>
      <c r="BO65" s="511" t="s">
        <v>5340</v>
      </c>
      <c r="BP65" s="252"/>
      <c r="BQ65" s="252"/>
      <c r="BR65" s="511">
        <v>0.22</v>
      </c>
      <c r="BS65" s="252"/>
      <c r="BT65" s="252"/>
      <c r="BU65" s="524">
        <f t="shared" si="8"/>
        <v>59</v>
      </c>
      <c r="BV65" s="489">
        <v>158.63</v>
      </c>
      <c r="BW65" s="254"/>
      <c r="BX65" s="254"/>
      <c r="BY65" s="254"/>
      <c r="BZ65" s="494">
        <v>19.170000000000002</v>
      </c>
      <c r="CA65" s="497">
        <v>0.3</v>
      </c>
      <c r="CB65" s="497"/>
      <c r="CC65" s="494">
        <v>424</v>
      </c>
      <c r="CD65" s="241">
        <f t="shared" si="0"/>
        <v>59</v>
      </c>
      <c r="CE65" s="2"/>
      <c r="CF65" s="2">
        <v>490.8</v>
      </c>
      <c r="CG65" s="2"/>
      <c r="CH65" s="2"/>
      <c r="CI65" s="2"/>
      <c r="CJ65" s="252"/>
      <c r="CK65" s="252"/>
      <c r="CL65" s="252">
        <v>546.33000000000004</v>
      </c>
      <c r="CM65" s="253"/>
      <c r="CO65" s="5">
        <v>0.08</v>
      </c>
      <c r="CU65" s="266">
        <f t="shared" si="1"/>
        <v>181</v>
      </c>
      <c r="CV65" s="267">
        <f t="shared" si="2"/>
        <v>362</v>
      </c>
      <c r="CW65" s="268">
        <f t="shared" si="3"/>
        <v>904.99</v>
      </c>
      <c r="CX65" s="418">
        <v>184</v>
      </c>
      <c r="CY65" s="252"/>
      <c r="CZ65" s="252"/>
      <c r="DA65" s="252"/>
      <c r="DB65" s="252"/>
      <c r="DC65" s="252"/>
      <c r="DD65" s="252"/>
      <c r="DE65" s="252"/>
      <c r="DF65" s="252">
        <f t="shared" si="9"/>
        <v>0</v>
      </c>
      <c r="DG65" s="252"/>
      <c r="DH65" s="252">
        <v>489.06</v>
      </c>
      <c r="DI65" s="252"/>
      <c r="DK65" s="252"/>
      <c r="DL65" s="252"/>
      <c r="DP65" s="6">
        <v>7.2499999999999995E-2</v>
      </c>
      <c r="DQ65" s="252">
        <v>39.42</v>
      </c>
      <c r="DR65" s="3">
        <v>546.33000000000004</v>
      </c>
      <c r="DT65" s="241">
        <f t="shared" si="4"/>
        <v>59</v>
      </c>
      <c r="DU65" s="2"/>
      <c r="DV65" s="252">
        <v>720</v>
      </c>
      <c r="DY65" s="252">
        <v>405.18</v>
      </c>
      <c r="DZ65" s="264">
        <v>3.9399999999999998E-2</v>
      </c>
      <c r="EA65" s="252">
        <v>0</v>
      </c>
      <c r="EB65" s="253">
        <v>0</v>
      </c>
    </row>
    <row r="66" spans="1:132">
      <c r="A66">
        <v>60</v>
      </c>
      <c r="B66" s="259">
        <v>12.2012</v>
      </c>
      <c r="C66">
        <v>60</v>
      </c>
      <c r="D66" s="168">
        <f t="shared" si="10"/>
        <v>1.8957372335559608E-3</v>
      </c>
      <c r="E66" s="246">
        <v>41244</v>
      </c>
      <c r="F66" s="186">
        <v>0.18</v>
      </c>
      <c r="G66" s="247">
        <v>212525.41</v>
      </c>
      <c r="H66" s="247">
        <v>532.14499999999998</v>
      </c>
      <c r="I66" s="248">
        <v>117.9</v>
      </c>
      <c r="J66" s="258">
        <f t="shared" si="5"/>
        <v>2.5510204081633514E-3</v>
      </c>
      <c r="K66" s="298"/>
      <c r="L66" s="252">
        <v>300</v>
      </c>
      <c r="M66" s="263"/>
      <c r="N66" s="263"/>
      <c r="O66" s="473">
        <v>328.76</v>
      </c>
      <c r="P66" s="474">
        <v>328.76</v>
      </c>
      <c r="Q66" s="474">
        <v>430.86</v>
      </c>
      <c r="R66" s="475">
        <v>0.09</v>
      </c>
      <c r="S66" s="533">
        <f t="shared" si="6"/>
        <v>60</v>
      </c>
      <c r="T66" s="460">
        <v>75.260000000000005</v>
      </c>
      <c r="U66" s="460">
        <v>10.56</v>
      </c>
      <c r="V66" s="460">
        <v>353.76</v>
      </c>
      <c r="W66" s="460"/>
      <c r="X66" s="254">
        <v>51.09</v>
      </c>
      <c r="Y66" s="461">
        <v>7.4999999999999997E-2</v>
      </c>
      <c r="Z66" s="460">
        <v>22.5</v>
      </c>
      <c r="AA66" s="460">
        <v>10.26</v>
      </c>
      <c r="AB66" s="460">
        <v>437.73</v>
      </c>
      <c r="AC66" s="462">
        <v>353.75</v>
      </c>
      <c r="AD66" s="463">
        <v>0.3</v>
      </c>
      <c r="AE66" s="460">
        <v>40.83</v>
      </c>
      <c r="AF66" s="460">
        <v>61.32</v>
      </c>
      <c r="AG66" s="460">
        <v>20.62</v>
      </c>
      <c r="AH66" s="460"/>
      <c r="AI66" s="460"/>
      <c r="AJ66" s="460"/>
      <c r="AK66" s="460"/>
      <c r="AL66" s="253"/>
      <c r="AM66" s="273">
        <v>0.1</v>
      </c>
      <c r="AN66" s="255">
        <v>0.08</v>
      </c>
      <c r="AO66" s="160">
        <v>0.1</v>
      </c>
      <c r="AP66" s="536">
        <v>480.1</v>
      </c>
      <c r="AQ66" s="536"/>
      <c r="AR66" s="505">
        <f t="shared" si="7"/>
        <v>60</v>
      </c>
      <c r="AS66" s="480">
        <v>257.37</v>
      </c>
      <c r="AT66" s="480">
        <v>191.57</v>
      </c>
      <c r="AU66" s="480"/>
      <c r="AV66" s="480"/>
      <c r="AW66" s="480"/>
      <c r="AX66" s="480"/>
      <c r="AY66" s="480">
        <v>303.18</v>
      </c>
      <c r="AZ66" s="499" t="s">
        <v>5323</v>
      </c>
      <c r="BA66" s="502">
        <v>23.57</v>
      </c>
      <c r="BB66" s="502"/>
      <c r="BC66" s="510">
        <v>237.16</v>
      </c>
      <c r="BD66" s="510">
        <v>1222.49</v>
      </c>
      <c r="BE66" s="504">
        <v>0.2</v>
      </c>
      <c r="BF66" s="503">
        <v>0.22</v>
      </c>
      <c r="BG66" s="502">
        <v>16.66</v>
      </c>
      <c r="BH66" s="502">
        <v>1414.05</v>
      </c>
      <c r="BI66" s="502">
        <v>19.170000000000002</v>
      </c>
      <c r="BJ66" s="502"/>
      <c r="BK66" s="502"/>
      <c r="BL66" s="510"/>
      <c r="BM66" s="511">
        <v>0.16200000000000001</v>
      </c>
      <c r="BN66" s="511"/>
      <c r="BO66" s="511" t="s">
        <v>5340</v>
      </c>
      <c r="BP66" s="252"/>
      <c r="BQ66" s="252"/>
      <c r="BR66" s="511">
        <v>0.22</v>
      </c>
      <c r="BS66" s="252"/>
      <c r="BT66" s="252"/>
      <c r="BU66" s="524">
        <f t="shared" si="8"/>
        <v>60</v>
      </c>
      <c r="BV66" s="489">
        <v>158.63</v>
      </c>
      <c r="BW66" s="254"/>
      <c r="BX66" s="254"/>
      <c r="BY66" s="254"/>
      <c r="BZ66" s="494">
        <v>19.170000000000002</v>
      </c>
      <c r="CA66" s="497">
        <v>0.3</v>
      </c>
      <c r="CB66" s="497"/>
      <c r="CC66" s="494">
        <v>424</v>
      </c>
      <c r="CD66" s="241">
        <f t="shared" si="0"/>
        <v>60</v>
      </c>
      <c r="CE66" s="2"/>
      <c r="CF66" s="2">
        <v>490.8</v>
      </c>
      <c r="CG66" s="2"/>
      <c r="CH66" s="2"/>
      <c r="CI66" s="2"/>
      <c r="CJ66" s="252"/>
      <c r="CK66" s="252"/>
      <c r="CL66" s="252">
        <v>546.33000000000004</v>
      </c>
      <c r="CM66" s="253"/>
      <c r="CO66" s="253">
        <v>0.08</v>
      </c>
      <c r="CU66" s="266">
        <f t="shared" si="1"/>
        <v>181</v>
      </c>
      <c r="CV66" s="267">
        <f t="shared" si="2"/>
        <v>362</v>
      </c>
      <c r="CW66" s="268">
        <f t="shared" si="3"/>
        <v>904.99</v>
      </c>
      <c r="CX66" s="418">
        <v>184</v>
      </c>
      <c r="CY66" s="252"/>
      <c r="CZ66" s="252"/>
      <c r="DA66" s="252"/>
      <c r="DB66" s="252"/>
      <c r="DC66" s="252"/>
      <c r="DD66" s="252"/>
      <c r="DE66" s="252"/>
      <c r="DF66" s="252">
        <f t="shared" si="9"/>
        <v>0</v>
      </c>
      <c r="DG66" s="252"/>
      <c r="DH66" s="252">
        <v>489.06</v>
      </c>
      <c r="DI66" s="252"/>
      <c r="DK66" s="252"/>
      <c r="DL66" s="252"/>
      <c r="DP66" s="6">
        <v>7.2499999999999995E-2</v>
      </c>
      <c r="DQ66" s="252">
        <v>39.42</v>
      </c>
      <c r="DR66" s="3">
        <v>546.33000000000004</v>
      </c>
      <c r="DT66" s="241">
        <f t="shared" si="4"/>
        <v>60</v>
      </c>
      <c r="DU66" s="2"/>
      <c r="DV66" s="252">
        <v>720</v>
      </c>
      <c r="DY66" s="252">
        <v>405.18</v>
      </c>
      <c r="DZ66" s="264">
        <v>3.9399999999999998E-2</v>
      </c>
      <c r="EA66" s="252">
        <v>0</v>
      </c>
      <c r="EB66" s="253">
        <v>0</v>
      </c>
    </row>
    <row r="67" spans="1:132">
      <c r="A67">
        <v>61</v>
      </c>
      <c r="B67" s="259">
        <v>1.2013</v>
      </c>
      <c r="C67">
        <v>61</v>
      </c>
      <c r="D67" s="168">
        <f t="shared" si="10"/>
        <v>-1.7445913879191588E-3</v>
      </c>
      <c r="E67" s="246">
        <v>41275</v>
      </c>
      <c r="F67" s="186">
        <v>-0.18</v>
      </c>
      <c r="G67" s="247">
        <v>212154.64</v>
      </c>
      <c r="H67" s="247">
        <v>531.21659999999997</v>
      </c>
      <c r="I67" s="248">
        <v>117.7</v>
      </c>
      <c r="J67" s="258">
        <f t="shared" si="5"/>
        <v>-1.6963528413910245E-3</v>
      </c>
      <c r="K67" s="298">
        <v>1.6299999999999999E-2</v>
      </c>
      <c r="L67" s="252">
        <v>300</v>
      </c>
      <c r="M67" s="263"/>
      <c r="N67" s="263"/>
      <c r="O67" s="473">
        <v>328.76</v>
      </c>
      <c r="P67" s="474">
        <v>328.76</v>
      </c>
      <c r="Q67" s="474">
        <v>430.86</v>
      </c>
      <c r="R67" s="475">
        <v>0.09</v>
      </c>
      <c r="S67" s="533">
        <f t="shared" si="6"/>
        <v>61</v>
      </c>
      <c r="T67" s="460">
        <v>75.260000000000005</v>
      </c>
      <c r="U67" s="460">
        <v>10.56</v>
      </c>
      <c r="V67" s="460">
        <v>353.76</v>
      </c>
      <c r="W67" s="460"/>
      <c r="X67" s="254">
        <v>51.09</v>
      </c>
      <c r="Y67" s="461">
        <v>7.4999999999999997E-2</v>
      </c>
      <c r="Z67" s="460">
        <v>22.5</v>
      </c>
      <c r="AA67" s="460">
        <v>10.26</v>
      </c>
      <c r="AB67" s="460">
        <v>437.73</v>
      </c>
      <c r="AC67" s="462">
        <v>353.75</v>
      </c>
      <c r="AD67" s="463">
        <v>0.3</v>
      </c>
      <c r="AE67" s="460">
        <v>40.83</v>
      </c>
      <c r="AF67" s="460">
        <v>61.32</v>
      </c>
      <c r="AG67" s="460">
        <v>20.62</v>
      </c>
      <c r="AH67" s="460"/>
      <c r="AI67" s="460"/>
      <c r="AJ67" s="460"/>
      <c r="AK67" s="460"/>
      <c r="AL67" s="253"/>
      <c r="AM67" s="273">
        <v>0.1</v>
      </c>
      <c r="AN67" s="255">
        <v>0.08</v>
      </c>
      <c r="AO67" s="160">
        <v>0.1</v>
      </c>
      <c r="AP67" s="536">
        <v>480.1</v>
      </c>
      <c r="AQ67" s="536"/>
      <c r="AR67" s="505">
        <f t="shared" si="7"/>
        <v>61</v>
      </c>
      <c r="AS67" s="480">
        <v>257.37</v>
      </c>
      <c r="AT67" s="480">
        <v>191.57</v>
      </c>
      <c r="AU67" s="480"/>
      <c r="AV67" s="480"/>
      <c r="AW67" s="480"/>
      <c r="AX67" s="480"/>
      <c r="AY67" s="480">
        <v>303.18</v>
      </c>
      <c r="AZ67" s="499" t="s">
        <v>5323</v>
      </c>
      <c r="BA67" s="502">
        <v>23.57</v>
      </c>
      <c r="BB67" s="502">
        <v>107.88</v>
      </c>
      <c r="BC67" s="510">
        <v>237.16</v>
      </c>
      <c r="BD67" s="510">
        <v>1222.49</v>
      </c>
      <c r="BE67" s="504">
        <v>0.2</v>
      </c>
      <c r="BF67" s="503">
        <v>0.22</v>
      </c>
      <c r="BG67" s="502">
        <v>16.66</v>
      </c>
      <c r="BH67" s="502">
        <v>1414.05</v>
      </c>
      <c r="BI67" s="502">
        <v>19.170000000000002</v>
      </c>
      <c r="BJ67" s="502"/>
      <c r="BK67" s="502"/>
      <c r="BL67" s="510"/>
      <c r="BM67" s="511">
        <v>0.16200000000000001</v>
      </c>
      <c r="BN67" s="511"/>
      <c r="BO67" s="511" t="s">
        <v>5340</v>
      </c>
      <c r="BP67" s="252"/>
      <c r="BQ67" s="252"/>
      <c r="BR67" s="511">
        <v>0.22</v>
      </c>
      <c r="BS67" s="252"/>
      <c r="BT67" s="252"/>
      <c r="BU67" s="524">
        <f t="shared" si="8"/>
        <v>61</v>
      </c>
      <c r="BV67" s="489">
        <v>158.63</v>
      </c>
      <c r="BW67" s="254"/>
      <c r="BX67" s="254"/>
      <c r="BY67" s="254"/>
      <c r="BZ67" s="494">
        <v>19.170000000000002</v>
      </c>
      <c r="CA67" s="497">
        <v>0.3</v>
      </c>
      <c r="CB67" s="497"/>
      <c r="CC67" s="494">
        <v>424</v>
      </c>
      <c r="CD67" s="241">
        <f t="shared" si="0"/>
        <v>61</v>
      </c>
      <c r="CE67" s="2"/>
      <c r="CF67" s="2">
        <v>490.8</v>
      </c>
      <c r="CG67" s="2"/>
      <c r="CH67" s="2"/>
      <c r="CI67" s="2"/>
      <c r="CJ67" s="252"/>
      <c r="CK67" s="252"/>
      <c r="CL67" s="252">
        <v>546.33000000000004</v>
      </c>
      <c r="CM67" s="253"/>
      <c r="CO67" s="5">
        <v>0.08</v>
      </c>
      <c r="CU67" s="266">
        <f t="shared" si="1"/>
        <v>181</v>
      </c>
      <c r="CV67" s="267">
        <f t="shared" si="2"/>
        <v>362</v>
      </c>
      <c r="CW67" s="268">
        <f t="shared" si="3"/>
        <v>904.99</v>
      </c>
      <c r="CX67" s="418">
        <v>184</v>
      </c>
      <c r="CY67" s="252"/>
      <c r="CZ67" s="252"/>
      <c r="DA67" s="252"/>
      <c r="DB67" s="252"/>
      <c r="DC67" s="252"/>
      <c r="DD67" s="252"/>
      <c r="DE67" s="252"/>
      <c r="DF67" s="252">
        <f t="shared" si="9"/>
        <v>0</v>
      </c>
      <c r="DG67" s="252"/>
      <c r="DH67" s="252">
        <v>489.06</v>
      </c>
      <c r="DI67" s="252"/>
      <c r="DK67" s="252"/>
      <c r="DL67" s="252"/>
      <c r="DP67" s="6">
        <v>7.2499999999999995E-2</v>
      </c>
      <c r="DQ67" s="252">
        <v>39.42</v>
      </c>
      <c r="DR67" s="3">
        <v>546.33000000000004</v>
      </c>
      <c r="DT67" s="241">
        <f t="shared" si="4"/>
        <v>61</v>
      </c>
      <c r="DU67" s="2"/>
      <c r="DV67" s="252">
        <v>720</v>
      </c>
      <c r="DY67" s="252">
        <v>405.18</v>
      </c>
      <c r="DZ67" s="264">
        <v>3.9399999999999998E-2</v>
      </c>
      <c r="EA67" s="252">
        <v>0</v>
      </c>
      <c r="EB67" s="253">
        <v>0</v>
      </c>
    </row>
    <row r="68" spans="1:132">
      <c r="A68">
        <v>62</v>
      </c>
      <c r="B68" s="259">
        <v>2.2012999999999998</v>
      </c>
      <c r="C68">
        <v>62</v>
      </c>
      <c r="D68" s="168">
        <f t="shared" si="10"/>
        <v>0</v>
      </c>
      <c r="E68" s="246">
        <v>41306</v>
      </c>
      <c r="F68" s="186">
        <v>0</v>
      </c>
      <c r="G68" s="247">
        <v>212154.64</v>
      </c>
      <c r="H68" s="247">
        <v>531.21659999999997</v>
      </c>
      <c r="I68" s="248">
        <v>117.7</v>
      </c>
      <c r="J68" s="258">
        <f t="shared" si="5"/>
        <v>0</v>
      </c>
      <c r="K68" s="298"/>
      <c r="L68" s="252">
        <v>300</v>
      </c>
      <c r="M68" s="263"/>
      <c r="N68" s="263"/>
      <c r="O68" s="473">
        <v>328.76</v>
      </c>
      <c r="P68" s="474">
        <v>328.76</v>
      </c>
      <c r="Q68" s="474">
        <v>430.86</v>
      </c>
      <c r="R68" s="475">
        <v>0.09</v>
      </c>
      <c r="S68" s="533">
        <f t="shared" si="6"/>
        <v>62</v>
      </c>
      <c r="T68" s="460">
        <v>75.260000000000005</v>
      </c>
      <c r="U68" s="460">
        <v>10.56</v>
      </c>
      <c r="V68" s="460">
        <v>353.76</v>
      </c>
      <c r="W68" s="460"/>
      <c r="X68" s="254">
        <v>51.09</v>
      </c>
      <c r="Y68" s="461">
        <v>7.4999999999999997E-2</v>
      </c>
      <c r="Z68" s="460">
        <v>22.5</v>
      </c>
      <c r="AA68" s="460">
        <v>10.26</v>
      </c>
      <c r="AB68" s="460">
        <v>437.73</v>
      </c>
      <c r="AC68" s="462">
        <v>353.75</v>
      </c>
      <c r="AD68" s="463">
        <v>0.3</v>
      </c>
      <c r="AE68" s="460">
        <v>40.83</v>
      </c>
      <c r="AF68" s="460">
        <v>61.32</v>
      </c>
      <c r="AG68" s="460">
        <v>20.62</v>
      </c>
      <c r="AH68" s="460"/>
      <c r="AI68" s="460"/>
      <c r="AJ68" s="460"/>
      <c r="AK68" s="460"/>
      <c r="AL68" s="253"/>
      <c r="AM68" s="273">
        <v>0.1</v>
      </c>
      <c r="AN68" s="255">
        <v>0.08</v>
      </c>
      <c r="AO68" s="160">
        <v>0.1</v>
      </c>
      <c r="AP68" s="536">
        <v>480.1</v>
      </c>
      <c r="AQ68" s="536"/>
      <c r="AR68" s="505">
        <f t="shared" si="7"/>
        <v>62</v>
      </c>
      <c r="AS68" s="480">
        <v>257.37</v>
      </c>
      <c r="AT68" s="480">
        <v>191.57</v>
      </c>
      <c r="AU68" s="480"/>
      <c r="AV68" s="480"/>
      <c r="AW68" s="480"/>
      <c r="AX68" s="480"/>
      <c r="AY68" s="480">
        <v>303.18</v>
      </c>
      <c r="AZ68" s="499" t="s">
        <v>5323</v>
      </c>
      <c r="BA68" s="502">
        <v>23.57</v>
      </c>
      <c r="BB68" s="502">
        <v>107.88</v>
      </c>
      <c r="BC68" s="510">
        <v>237.16</v>
      </c>
      <c r="BD68" s="510">
        <v>1222.49</v>
      </c>
      <c r="BE68" s="504">
        <v>0.2</v>
      </c>
      <c r="BF68" s="503">
        <v>0.22</v>
      </c>
      <c r="BG68" s="502">
        <v>16.66</v>
      </c>
      <c r="BH68" s="502">
        <v>1414.05</v>
      </c>
      <c r="BI68" s="502">
        <v>19.170000000000002</v>
      </c>
      <c r="BJ68" s="502"/>
      <c r="BK68" s="502"/>
      <c r="BL68" s="510"/>
      <c r="BM68" s="511">
        <v>0.16200000000000001</v>
      </c>
      <c r="BN68" s="511"/>
      <c r="BO68" s="511" t="s">
        <v>5340</v>
      </c>
      <c r="BP68" s="252"/>
      <c r="BQ68" s="252"/>
      <c r="BR68" s="511">
        <v>0.22</v>
      </c>
      <c r="BS68" s="252"/>
      <c r="BT68" s="252"/>
      <c r="BU68" s="524">
        <f t="shared" si="8"/>
        <v>62</v>
      </c>
      <c r="BV68" s="489">
        <v>158.63</v>
      </c>
      <c r="BW68" s="254"/>
      <c r="BX68" s="254"/>
      <c r="BY68" s="254"/>
      <c r="BZ68" s="494">
        <v>19.170000000000002</v>
      </c>
      <c r="CA68" s="497">
        <v>0.3</v>
      </c>
      <c r="CB68" s="497"/>
      <c r="CC68" s="494">
        <v>424</v>
      </c>
      <c r="CD68" s="241">
        <f t="shared" si="0"/>
        <v>62</v>
      </c>
      <c r="CE68" s="2"/>
      <c r="CF68" s="2">
        <v>490.8</v>
      </c>
      <c r="CG68" s="2"/>
      <c r="CH68" s="2"/>
      <c r="CI68" s="2"/>
      <c r="CJ68" s="252"/>
      <c r="CK68" s="252"/>
      <c r="CL68" s="252">
        <v>546.33000000000004</v>
      </c>
      <c r="CM68" s="253"/>
      <c r="CO68" s="253">
        <v>0.08</v>
      </c>
      <c r="CU68" s="266">
        <f t="shared" si="1"/>
        <v>181</v>
      </c>
      <c r="CV68" s="267">
        <f t="shared" si="2"/>
        <v>362</v>
      </c>
      <c r="CW68" s="268">
        <f t="shared" si="3"/>
        <v>904.99</v>
      </c>
      <c r="CX68" s="418">
        <v>184</v>
      </c>
      <c r="CY68" s="252"/>
      <c r="CZ68" s="252"/>
      <c r="DA68" s="252"/>
      <c r="DB68" s="252"/>
      <c r="DC68" s="252"/>
      <c r="DD68" s="252"/>
      <c r="DE68" s="252"/>
      <c r="DF68" s="252">
        <f t="shared" si="9"/>
        <v>0</v>
      </c>
      <c r="DG68" s="252"/>
      <c r="DH68" s="252">
        <v>489.06</v>
      </c>
      <c r="DI68" s="252"/>
      <c r="DK68" s="252"/>
      <c r="DL68" s="252"/>
      <c r="DP68" s="6">
        <v>7.2499999999999995E-2</v>
      </c>
      <c r="DQ68" s="252">
        <v>39.42</v>
      </c>
      <c r="DR68" s="3">
        <v>546.33000000000004</v>
      </c>
      <c r="DT68" s="241">
        <f t="shared" si="4"/>
        <v>62</v>
      </c>
      <c r="DU68" s="2"/>
      <c r="DV68" s="252">
        <v>720</v>
      </c>
      <c r="DY68" s="252">
        <v>405.18</v>
      </c>
      <c r="DZ68" s="264">
        <v>3.9399999999999998E-2</v>
      </c>
      <c r="EA68" s="252">
        <v>0</v>
      </c>
      <c r="EB68" s="253">
        <v>0</v>
      </c>
    </row>
    <row r="69" spans="1:132">
      <c r="A69">
        <v>63</v>
      </c>
      <c r="B69" s="259">
        <v>3.2012999999999998</v>
      </c>
      <c r="C69">
        <v>63</v>
      </c>
      <c r="D69" s="168">
        <f t="shared" si="10"/>
        <v>1.9940171942502971E-3</v>
      </c>
      <c r="E69" s="246">
        <v>41334</v>
      </c>
      <c r="F69" s="186">
        <v>0.19</v>
      </c>
      <c r="G69" s="247">
        <v>212577.68</v>
      </c>
      <c r="H69" s="247">
        <v>532.27589999999998</v>
      </c>
      <c r="I69" s="248">
        <v>117.9</v>
      </c>
      <c r="J69" s="258">
        <f t="shared" si="5"/>
        <v>1.6992353440952179E-3</v>
      </c>
      <c r="K69" s="298"/>
      <c r="L69" s="252">
        <v>300</v>
      </c>
      <c r="M69" s="263"/>
      <c r="N69" s="263"/>
      <c r="O69" s="473">
        <v>328.76</v>
      </c>
      <c r="P69" s="474">
        <v>328.76</v>
      </c>
      <c r="Q69" s="474">
        <v>430.86</v>
      </c>
      <c r="R69" s="475">
        <v>0.09</v>
      </c>
      <c r="S69" s="533">
        <f t="shared" si="6"/>
        <v>63</v>
      </c>
      <c r="T69" s="460">
        <v>75.260000000000005</v>
      </c>
      <c r="U69" s="460">
        <v>10.56</v>
      </c>
      <c r="V69" s="460">
        <v>353.76</v>
      </c>
      <c r="W69" s="460"/>
      <c r="X69" s="254">
        <v>51.09</v>
      </c>
      <c r="Y69" s="461">
        <v>7.4999999999999997E-2</v>
      </c>
      <c r="Z69" s="460">
        <v>22.5</v>
      </c>
      <c r="AA69" s="460">
        <v>10.26</v>
      </c>
      <c r="AB69" s="460">
        <v>437.73</v>
      </c>
      <c r="AC69" s="462">
        <v>353.75</v>
      </c>
      <c r="AD69" s="463">
        <v>0.3</v>
      </c>
      <c r="AE69" s="460">
        <v>40.83</v>
      </c>
      <c r="AF69" s="460">
        <v>61.32</v>
      </c>
      <c r="AG69" s="460">
        <v>20.62</v>
      </c>
      <c r="AH69" s="460"/>
      <c r="AI69" s="460"/>
      <c r="AJ69" s="460"/>
      <c r="AK69" s="460"/>
      <c r="AL69" s="253"/>
      <c r="AM69" s="273">
        <v>0.1</v>
      </c>
      <c r="AN69" s="255">
        <v>0.08</v>
      </c>
      <c r="AO69" s="160">
        <v>0.1</v>
      </c>
      <c r="AP69" s="536">
        <v>480.1</v>
      </c>
      <c r="AQ69" s="536"/>
      <c r="AR69" s="505">
        <f t="shared" si="7"/>
        <v>63</v>
      </c>
      <c r="AS69" s="480">
        <v>257.37</v>
      </c>
      <c r="AT69" s="480">
        <v>191.57</v>
      </c>
      <c r="AU69" s="480"/>
      <c r="AV69" s="480"/>
      <c r="AW69" s="480"/>
      <c r="AX69" s="480"/>
      <c r="AY69" s="480">
        <v>303.18</v>
      </c>
      <c r="AZ69" s="499" t="s">
        <v>5323</v>
      </c>
      <c r="BA69" s="502">
        <v>23.57</v>
      </c>
      <c r="BB69" s="502">
        <v>107.88</v>
      </c>
      <c r="BC69" s="510">
        <v>237.16</v>
      </c>
      <c r="BD69" s="510">
        <v>1222.49</v>
      </c>
      <c r="BE69" s="504">
        <v>0.2</v>
      </c>
      <c r="BF69" s="503">
        <v>0.22</v>
      </c>
      <c r="BG69" s="502">
        <v>16.66</v>
      </c>
      <c r="BH69" s="502">
        <v>1414.05</v>
      </c>
      <c r="BI69" s="502">
        <v>19.170000000000002</v>
      </c>
      <c r="BJ69" s="502"/>
      <c r="BK69" s="502"/>
      <c r="BL69" s="510"/>
      <c r="BM69" s="511">
        <v>0.16200000000000001</v>
      </c>
      <c r="BN69" s="511"/>
      <c r="BO69" s="511" t="s">
        <v>5340</v>
      </c>
      <c r="BP69" s="252"/>
      <c r="BQ69" s="252"/>
      <c r="BR69" s="511">
        <v>0.22</v>
      </c>
      <c r="BS69" s="252"/>
      <c r="BT69" s="252"/>
      <c r="BU69" s="524">
        <f t="shared" si="8"/>
        <v>63</v>
      </c>
      <c r="BV69" s="489">
        <v>158.63</v>
      </c>
      <c r="BW69" s="254"/>
      <c r="BX69" s="254"/>
      <c r="BY69" s="254"/>
      <c r="BZ69" s="494">
        <v>19.170000000000002</v>
      </c>
      <c r="CA69" s="497">
        <v>0.3</v>
      </c>
      <c r="CB69" s="497"/>
      <c r="CC69" s="494">
        <v>424</v>
      </c>
      <c r="CD69" s="241">
        <f t="shared" si="0"/>
        <v>63</v>
      </c>
      <c r="CE69" s="2"/>
      <c r="CF69" s="2">
        <v>490.8</v>
      </c>
      <c r="CG69" s="2"/>
      <c r="CH69" s="2"/>
      <c r="CI69" s="2"/>
      <c r="CJ69" s="252"/>
      <c r="CK69" s="252"/>
      <c r="CL69" s="252">
        <v>546.33000000000004</v>
      </c>
      <c r="CM69" s="253"/>
      <c r="CO69" s="5">
        <v>0.08</v>
      </c>
      <c r="CU69" s="266">
        <f t="shared" si="1"/>
        <v>181</v>
      </c>
      <c r="CV69" s="267">
        <f t="shared" si="2"/>
        <v>362</v>
      </c>
      <c r="CW69" s="268">
        <f t="shared" si="3"/>
        <v>904.99</v>
      </c>
      <c r="CX69" s="418">
        <v>184</v>
      </c>
      <c r="CY69" s="252"/>
      <c r="CZ69" s="252"/>
      <c r="DA69" s="252"/>
      <c r="DB69" s="252"/>
      <c r="DC69" s="252"/>
      <c r="DD69" s="252"/>
      <c r="DE69" s="252"/>
      <c r="DF69" s="252">
        <f t="shared" si="9"/>
        <v>0</v>
      </c>
      <c r="DG69" s="252"/>
      <c r="DH69" s="252">
        <v>489.06</v>
      </c>
      <c r="DI69" s="252"/>
      <c r="DK69" s="252"/>
      <c r="DL69" s="252"/>
      <c r="DP69" s="6">
        <v>7.2499999999999995E-2</v>
      </c>
      <c r="DQ69" s="252">
        <v>39.42</v>
      </c>
      <c r="DR69" s="3">
        <v>546.33000000000004</v>
      </c>
      <c r="DT69" s="241">
        <f t="shared" si="4"/>
        <v>63</v>
      </c>
      <c r="DU69" s="2"/>
      <c r="DV69" s="252">
        <v>720</v>
      </c>
      <c r="DY69" s="252">
        <v>405.18</v>
      </c>
      <c r="DZ69" s="264">
        <v>3.9399999999999998E-2</v>
      </c>
      <c r="EA69" s="252">
        <v>0</v>
      </c>
      <c r="EB69" s="253">
        <v>0</v>
      </c>
    </row>
    <row r="70" spans="1:132">
      <c r="A70">
        <v>64</v>
      </c>
      <c r="B70" s="259">
        <v>4.2012999999999998</v>
      </c>
      <c r="C70">
        <v>64</v>
      </c>
      <c r="D70" s="168">
        <f t="shared" si="10"/>
        <v>3.9800980046447165E-3</v>
      </c>
      <c r="E70" s="246">
        <v>41365</v>
      </c>
      <c r="F70" s="186">
        <v>0.39</v>
      </c>
      <c r="G70" s="247">
        <v>213423.76</v>
      </c>
      <c r="H70" s="247">
        <v>534.39440000000002</v>
      </c>
      <c r="I70" s="248">
        <v>118.4</v>
      </c>
      <c r="J70" s="258">
        <f t="shared" si="5"/>
        <v>4.2408821034776167E-3</v>
      </c>
      <c r="K70" s="298"/>
      <c r="L70" s="252">
        <v>300</v>
      </c>
      <c r="M70" s="263"/>
      <c r="N70" s="263"/>
      <c r="O70" s="473">
        <v>328.76</v>
      </c>
      <c r="P70" s="474">
        <v>328.76</v>
      </c>
      <c r="Q70" s="474">
        <v>430.86</v>
      </c>
      <c r="R70" s="475">
        <v>0.09</v>
      </c>
      <c r="S70" s="533">
        <f t="shared" si="6"/>
        <v>64</v>
      </c>
      <c r="T70" s="460">
        <v>75.260000000000005</v>
      </c>
      <c r="U70" s="460">
        <v>10.56</v>
      </c>
      <c r="V70" s="460">
        <v>353.76</v>
      </c>
      <c r="W70" s="460"/>
      <c r="X70" s="254">
        <v>51.09</v>
      </c>
      <c r="Y70" s="461">
        <v>7.4999999999999997E-2</v>
      </c>
      <c r="Z70" s="460">
        <v>22.5</v>
      </c>
      <c r="AA70" s="460">
        <v>10.26</v>
      </c>
      <c r="AB70" s="460">
        <v>437.73</v>
      </c>
      <c r="AC70" s="462">
        <v>353.75</v>
      </c>
      <c r="AD70" s="463">
        <v>0.3</v>
      </c>
      <c r="AE70" s="460">
        <v>40.83</v>
      </c>
      <c r="AF70" s="460">
        <v>61.32</v>
      </c>
      <c r="AG70" s="460">
        <v>20.62</v>
      </c>
      <c r="AH70" s="460"/>
      <c r="AI70" s="460"/>
      <c r="AJ70" s="460"/>
      <c r="AK70" s="460"/>
      <c r="AL70" s="253"/>
      <c r="AM70" s="273">
        <v>0.1</v>
      </c>
      <c r="AN70" s="255">
        <v>0.08</v>
      </c>
      <c r="AO70" s="160">
        <v>0.1</v>
      </c>
      <c r="AP70" s="536">
        <v>480.1</v>
      </c>
      <c r="AQ70" s="536"/>
      <c r="AR70" s="505">
        <f t="shared" si="7"/>
        <v>64</v>
      </c>
      <c r="AS70" s="480">
        <v>257.37</v>
      </c>
      <c r="AT70" s="480">
        <v>191.57</v>
      </c>
      <c r="AU70" s="480"/>
      <c r="AV70" s="480"/>
      <c r="AW70" s="480"/>
      <c r="AX70" s="480"/>
      <c r="AY70" s="480">
        <v>303.18</v>
      </c>
      <c r="AZ70" s="499" t="s">
        <v>5323</v>
      </c>
      <c r="BA70" s="502">
        <v>23.57</v>
      </c>
      <c r="BB70" s="502">
        <v>107.88</v>
      </c>
      <c r="BC70" s="510">
        <v>237.16</v>
      </c>
      <c r="BD70" s="510">
        <v>1222.49</v>
      </c>
      <c r="BE70" s="504">
        <v>0.2</v>
      </c>
      <c r="BF70" s="503">
        <v>0.22</v>
      </c>
      <c r="BG70" s="502">
        <v>16.66</v>
      </c>
      <c r="BH70" s="502">
        <v>1414.05</v>
      </c>
      <c r="BI70" s="502">
        <v>19.170000000000002</v>
      </c>
      <c r="BJ70" s="502"/>
      <c r="BK70" s="502"/>
      <c r="BL70" s="510"/>
      <c r="BM70" s="511">
        <v>0.16200000000000001</v>
      </c>
      <c r="BN70" s="511"/>
      <c r="BO70" s="511" t="s">
        <v>5340</v>
      </c>
      <c r="BP70" s="252"/>
      <c r="BQ70" s="252"/>
      <c r="BR70" s="511">
        <v>0.22</v>
      </c>
      <c r="BS70" s="252"/>
      <c r="BT70" s="252"/>
      <c r="BU70" s="524">
        <f t="shared" si="8"/>
        <v>64</v>
      </c>
      <c r="BV70" s="489">
        <v>158.63</v>
      </c>
      <c r="BW70" s="254"/>
      <c r="BX70" s="254"/>
      <c r="BY70" s="254"/>
      <c r="BZ70" s="494">
        <v>19.170000000000002</v>
      </c>
      <c r="CA70" s="497">
        <v>0.3</v>
      </c>
      <c r="CB70" s="497"/>
      <c r="CC70" s="494">
        <v>424</v>
      </c>
      <c r="CD70" s="241">
        <f t="shared" ref="CD70:CD133" si="11">+C70</f>
        <v>64</v>
      </c>
      <c r="CE70" s="2"/>
      <c r="CF70" s="2">
        <v>490.8</v>
      </c>
      <c r="CG70" s="2"/>
      <c r="CH70" s="2"/>
      <c r="CI70" s="2"/>
      <c r="CJ70" s="252"/>
      <c r="CK70" s="252"/>
      <c r="CL70" s="252">
        <v>546.33000000000004</v>
      </c>
      <c r="CM70" s="253"/>
      <c r="CO70" s="253">
        <v>0.08</v>
      </c>
      <c r="CU70" s="266">
        <f t="shared" ref="CU70:CU133" si="12">+$CU$3</f>
        <v>181</v>
      </c>
      <c r="CV70" s="267">
        <f t="shared" ref="CV70:CV133" si="13">+$CV$3</f>
        <v>362</v>
      </c>
      <c r="CW70" s="268">
        <f t="shared" ref="CW70:CW133" si="14">+$CW$3</f>
        <v>904.99</v>
      </c>
      <c r="CX70" s="418">
        <v>184</v>
      </c>
      <c r="CY70" s="252"/>
      <c r="CZ70" s="252"/>
      <c r="DA70" s="252"/>
      <c r="DB70" s="252"/>
      <c r="DC70" s="252"/>
      <c r="DD70" s="252"/>
      <c r="DE70" s="252"/>
      <c r="DF70" s="252">
        <f t="shared" si="9"/>
        <v>0</v>
      </c>
      <c r="DG70" s="252"/>
      <c r="DH70" s="252">
        <v>489.06</v>
      </c>
      <c r="DI70" s="252"/>
      <c r="DK70" s="252"/>
      <c r="DL70" s="252"/>
      <c r="DP70" s="6">
        <v>7.2499999999999995E-2</v>
      </c>
      <c r="DQ70" s="252">
        <v>39.42</v>
      </c>
      <c r="DR70" s="3">
        <v>546.33000000000004</v>
      </c>
      <c r="DT70" s="241">
        <f t="shared" ref="DT70:DT133" si="15">+C70</f>
        <v>64</v>
      </c>
      <c r="DU70" s="2"/>
      <c r="DV70" s="252">
        <v>720</v>
      </c>
      <c r="DY70" s="252">
        <v>405.18</v>
      </c>
      <c r="DZ70" s="264">
        <v>3.9399999999999998E-2</v>
      </c>
      <c r="EA70" s="252">
        <v>0</v>
      </c>
      <c r="EB70" s="253">
        <v>0</v>
      </c>
    </row>
    <row r="71" spans="1:132">
      <c r="A71">
        <v>65</v>
      </c>
      <c r="B71" s="259">
        <v>5.2012999999999998</v>
      </c>
      <c r="C71">
        <v>65</v>
      </c>
      <c r="D71" s="168">
        <f t="shared" si="10"/>
        <v>9.9107990600488804E-4</v>
      </c>
      <c r="E71" s="246">
        <v>41395</v>
      </c>
      <c r="F71" s="186">
        <v>0.09</v>
      </c>
      <c r="G71" s="247">
        <v>213635.28</v>
      </c>
      <c r="H71" s="247">
        <v>534.92399999999998</v>
      </c>
      <c r="I71" s="248">
        <v>118.5</v>
      </c>
      <c r="J71" s="258">
        <f t="shared" ref="J71:J134" si="16">+I71/I70-1</f>
        <v>8.4459459459451658E-4</v>
      </c>
      <c r="K71" s="298"/>
      <c r="L71" s="252">
        <v>300</v>
      </c>
      <c r="M71" s="263"/>
      <c r="N71" s="263"/>
      <c r="O71" s="473">
        <v>328.76</v>
      </c>
      <c r="P71" s="474">
        <v>328.76</v>
      </c>
      <c r="Q71" s="474">
        <v>430.86</v>
      </c>
      <c r="R71" s="475">
        <v>0.09</v>
      </c>
      <c r="S71" s="533">
        <f t="shared" si="6"/>
        <v>65</v>
      </c>
      <c r="T71" s="460">
        <v>75.260000000000005</v>
      </c>
      <c r="U71" s="460">
        <v>10.56</v>
      </c>
      <c r="V71" s="460">
        <v>353.76</v>
      </c>
      <c r="W71" s="460"/>
      <c r="X71" s="254">
        <v>51.09</v>
      </c>
      <c r="Y71" s="461">
        <v>7.4999999999999997E-2</v>
      </c>
      <c r="Z71" s="460">
        <v>22.5</v>
      </c>
      <c r="AA71" s="460">
        <v>10.26</v>
      </c>
      <c r="AB71" s="460">
        <v>437.73</v>
      </c>
      <c r="AC71" s="462">
        <v>353.75</v>
      </c>
      <c r="AD71" s="463">
        <v>0.3</v>
      </c>
      <c r="AE71" s="460">
        <v>40.83</v>
      </c>
      <c r="AF71" s="460">
        <v>61.32</v>
      </c>
      <c r="AG71" s="460">
        <v>20.62</v>
      </c>
      <c r="AH71" s="460"/>
      <c r="AI71" s="460"/>
      <c r="AJ71" s="460"/>
      <c r="AK71" s="460"/>
      <c r="AL71" s="253"/>
      <c r="AM71" s="273">
        <v>0.1</v>
      </c>
      <c r="AN71" s="255">
        <v>0.08</v>
      </c>
      <c r="AO71" s="160">
        <v>0.1</v>
      </c>
      <c r="AP71" s="536">
        <v>480.1</v>
      </c>
      <c r="AQ71" s="536"/>
      <c r="AR71" s="505">
        <f t="shared" si="7"/>
        <v>65</v>
      </c>
      <c r="AS71" s="480">
        <v>257.37</v>
      </c>
      <c r="AT71" s="480">
        <v>191.57</v>
      </c>
      <c r="AU71" s="480"/>
      <c r="AV71" s="480"/>
      <c r="AW71" s="480"/>
      <c r="AX71" s="480"/>
      <c r="AY71" s="480">
        <v>303.18</v>
      </c>
      <c r="AZ71" s="499" t="s">
        <v>5323</v>
      </c>
      <c r="BA71" s="502">
        <v>23.57</v>
      </c>
      <c r="BB71" s="502">
        <v>107.88</v>
      </c>
      <c r="BC71" s="510">
        <v>237.16</v>
      </c>
      <c r="BD71" s="510">
        <v>1222.49</v>
      </c>
      <c r="BE71" s="504">
        <v>0.2</v>
      </c>
      <c r="BF71" s="503">
        <v>0.22</v>
      </c>
      <c r="BG71" s="502">
        <v>16.66</v>
      </c>
      <c r="BH71" s="502">
        <v>1414.05</v>
      </c>
      <c r="BI71" s="502">
        <v>19.170000000000002</v>
      </c>
      <c r="BJ71" s="502"/>
      <c r="BK71" s="502"/>
      <c r="BL71" s="510"/>
      <c r="BM71" s="511">
        <v>0.16200000000000001</v>
      </c>
      <c r="BN71" s="511"/>
      <c r="BO71" s="511" t="s">
        <v>5340</v>
      </c>
      <c r="BP71" s="252"/>
      <c r="BQ71" s="252"/>
      <c r="BR71" s="511">
        <v>0.22</v>
      </c>
      <c r="BS71" s="252"/>
      <c r="BT71" s="252"/>
      <c r="BU71" s="524">
        <f t="shared" si="8"/>
        <v>65</v>
      </c>
      <c r="BV71" s="489">
        <v>158.63</v>
      </c>
      <c r="BW71" s="254"/>
      <c r="BX71" s="254"/>
      <c r="BY71" s="254"/>
      <c r="BZ71" s="494">
        <v>19.170000000000002</v>
      </c>
      <c r="CA71" s="497">
        <v>0.3</v>
      </c>
      <c r="CB71" s="497"/>
      <c r="CC71" s="494">
        <v>424</v>
      </c>
      <c r="CD71" s="241">
        <f t="shared" si="11"/>
        <v>65</v>
      </c>
      <c r="CE71" s="2"/>
      <c r="CF71" s="2">
        <v>490.8</v>
      </c>
      <c r="CG71" s="2"/>
      <c r="CH71" s="2"/>
      <c r="CI71" s="2"/>
      <c r="CJ71" s="252"/>
      <c r="CK71" s="252"/>
      <c r="CL71" s="252">
        <v>546.33000000000004</v>
      </c>
      <c r="CM71" s="253"/>
      <c r="CO71" s="5">
        <v>0.08</v>
      </c>
      <c r="CU71" s="266">
        <f t="shared" si="12"/>
        <v>181</v>
      </c>
      <c r="CV71" s="267">
        <f t="shared" si="13"/>
        <v>362</v>
      </c>
      <c r="CW71" s="268">
        <f t="shared" si="14"/>
        <v>904.99</v>
      </c>
      <c r="CX71" s="418">
        <v>184</v>
      </c>
      <c r="CY71" s="252"/>
      <c r="CZ71" s="252"/>
      <c r="DA71" s="252"/>
      <c r="DB71" s="252"/>
      <c r="DC71" s="252"/>
      <c r="DD71" s="252"/>
      <c r="DE71" s="252"/>
      <c r="DF71" s="252">
        <f t="shared" si="9"/>
        <v>0</v>
      </c>
      <c r="DG71" s="252"/>
      <c r="DH71" s="252">
        <v>489.06</v>
      </c>
      <c r="DI71" s="252"/>
      <c r="DK71" s="252"/>
      <c r="DL71" s="252"/>
      <c r="DP71" s="6">
        <v>7.2499999999999995E-2</v>
      </c>
      <c r="DQ71" s="252">
        <v>39.42</v>
      </c>
      <c r="DR71" s="3">
        <v>546.33000000000004</v>
      </c>
      <c r="DT71" s="241">
        <f t="shared" si="15"/>
        <v>65</v>
      </c>
      <c r="DU71" s="2"/>
      <c r="DV71" s="252">
        <v>720</v>
      </c>
      <c r="DY71" s="252">
        <v>405.18</v>
      </c>
      <c r="DZ71" s="264">
        <v>3.9399999999999998E-2</v>
      </c>
      <c r="EA71" s="252">
        <v>0</v>
      </c>
      <c r="EB71" s="253">
        <v>0</v>
      </c>
    </row>
    <row r="72" spans="1:132">
      <c r="A72">
        <v>66</v>
      </c>
      <c r="B72" s="259">
        <v>6.2012999999999998</v>
      </c>
      <c r="C72">
        <v>66</v>
      </c>
      <c r="D72" s="168">
        <f t="shared" si="10"/>
        <v>7.9207891131090058E-3</v>
      </c>
      <c r="E72" s="246">
        <v>41426</v>
      </c>
      <c r="F72" s="186">
        <v>0.79</v>
      </c>
      <c r="G72" s="247">
        <v>215327.44</v>
      </c>
      <c r="H72" s="247">
        <v>539.16099999999994</v>
      </c>
      <c r="I72" s="248">
        <v>119.4</v>
      </c>
      <c r="J72" s="258">
        <f t="shared" si="16"/>
        <v>7.5949367088608E-3</v>
      </c>
      <c r="K72" s="298"/>
      <c r="L72" s="252">
        <v>300</v>
      </c>
      <c r="M72" s="263"/>
      <c r="N72" s="263"/>
      <c r="O72" s="473">
        <v>328.76</v>
      </c>
      <c r="P72" s="474">
        <v>328.76</v>
      </c>
      <c r="Q72" s="474">
        <v>430.86</v>
      </c>
      <c r="R72" s="475">
        <v>0.09</v>
      </c>
      <c r="S72" s="533">
        <f t="shared" ref="S72:S135" si="17">+C72</f>
        <v>66</v>
      </c>
      <c r="T72" s="460">
        <v>75.260000000000005</v>
      </c>
      <c r="U72" s="460">
        <v>10.56</v>
      </c>
      <c r="V72" s="460">
        <v>353.76</v>
      </c>
      <c r="W72" s="460"/>
      <c r="X72" s="254">
        <v>51.09</v>
      </c>
      <c r="Y72" s="461">
        <v>7.4999999999999997E-2</v>
      </c>
      <c r="Z72" s="460">
        <v>22.5</v>
      </c>
      <c r="AA72" s="460">
        <v>10.26</v>
      </c>
      <c r="AB72" s="460">
        <v>437.73</v>
      </c>
      <c r="AC72" s="462">
        <v>353.75</v>
      </c>
      <c r="AD72" s="463">
        <v>0.3</v>
      </c>
      <c r="AE72" s="460">
        <v>40.83</v>
      </c>
      <c r="AF72" s="460">
        <v>61.32</v>
      </c>
      <c r="AG72" s="460">
        <v>20.62</v>
      </c>
      <c r="AH72" s="460"/>
      <c r="AI72" s="460"/>
      <c r="AJ72" s="460"/>
      <c r="AK72" s="460"/>
      <c r="AL72" s="253"/>
      <c r="AM72" s="273">
        <v>0.1</v>
      </c>
      <c r="AN72" s="255">
        <v>0.08</v>
      </c>
      <c r="AO72" s="160">
        <v>0.1</v>
      </c>
      <c r="AP72" s="536">
        <v>480.1</v>
      </c>
      <c r="AQ72" s="536"/>
      <c r="AR72" s="505">
        <f t="shared" ref="AR72:AR135" si="18">+C72</f>
        <v>66</v>
      </c>
      <c r="AS72" s="480">
        <v>257.37</v>
      </c>
      <c r="AT72" s="480">
        <v>191.57</v>
      </c>
      <c r="AU72" s="480"/>
      <c r="AV72" s="480"/>
      <c r="AW72" s="480"/>
      <c r="AX72" s="480"/>
      <c r="AY72" s="480">
        <v>303.18</v>
      </c>
      <c r="AZ72" s="499" t="s">
        <v>5323</v>
      </c>
      <c r="BA72" s="502">
        <v>23.57</v>
      </c>
      <c r="BB72" s="502">
        <v>107.88</v>
      </c>
      <c r="BC72" s="510">
        <v>237.16</v>
      </c>
      <c r="BD72" s="510">
        <v>1222.49</v>
      </c>
      <c r="BE72" s="504">
        <v>0.2</v>
      </c>
      <c r="BF72" s="503">
        <v>0.22</v>
      </c>
      <c r="BG72" s="502">
        <v>16.66</v>
      </c>
      <c r="BH72" s="502">
        <v>1414.05</v>
      </c>
      <c r="BI72" s="502">
        <v>19.170000000000002</v>
      </c>
      <c r="BJ72" s="502"/>
      <c r="BK72" s="502"/>
      <c r="BL72" s="510"/>
      <c r="BM72" s="511">
        <v>0.16200000000000001</v>
      </c>
      <c r="BN72" s="511"/>
      <c r="BO72" s="511" t="s">
        <v>5340</v>
      </c>
      <c r="BP72" s="252"/>
      <c r="BQ72" s="252"/>
      <c r="BR72" s="511">
        <v>0.22</v>
      </c>
      <c r="BS72" s="252"/>
      <c r="BT72" s="252"/>
      <c r="BU72" s="524">
        <f t="shared" ref="BU72:BU135" si="19">+C72</f>
        <v>66</v>
      </c>
      <c r="BV72" s="489">
        <v>158.63</v>
      </c>
      <c r="BW72" s="254"/>
      <c r="BX72" s="254"/>
      <c r="BY72" s="254"/>
      <c r="BZ72" s="494">
        <v>19.170000000000002</v>
      </c>
      <c r="CA72" s="497">
        <v>0.3</v>
      </c>
      <c r="CB72" s="497"/>
      <c r="CC72" s="494">
        <v>424</v>
      </c>
      <c r="CD72" s="241">
        <f t="shared" si="11"/>
        <v>66</v>
      </c>
      <c r="CE72" s="2"/>
      <c r="CF72" s="2">
        <v>490.8</v>
      </c>
      <c r="CG72" s="2"/>
      <c r="CH72" s="2"/>
      <c r="CI72" s="2"/>
      <c r="CJ72" s="252"/>
      <c r="CK72" s="252"/>
      <c r="CL72" s="252">
        <v>546.33000000000004</v>
      </c>
      <c r="CM72" s="253"/>
      <c r="CO72" s="253">
        <v>0.08</v>
      </c>
      <c r="CU72" s="266">
        <f t="shared" si="12"/>
        <v>181</v>
      </c>
      <c r="CV72" s="267">
        <f t="shared" si="13"/>
        <v>362</v>
      </c>
      <c r="CW72" s="268">
        <f t="shared" si="14"/>
        <v>904.99</v>
      </c>
      <c r="CX72" s="418">
        <v>184</v>
      </c>
      <c r="CY72" s="252"/>
      <c r="CZ72" s="252"/>
      <c r="DA72" s="252"/>
      <c r="DB72" s="252"/>
      <c r="DC72" s="252"/>
      <c r="DD72" s="252"/>
      <c r="DE72" s="252"/>
      <c r="DF72" s="252">
        <f t="shared" ref="DF72:DF135" si="20">+DF71</f>
        <v>0</v>
      </c>
      <c r="DG72" s="252"/>
      <c r="DH72" s="252">
        <v>489.06</v>
      </c>
      <c r="DI72" s="252"/>
      <c r="DK72" s="252"/>
      <c r="DL72" s="252"/>
      <c r="DP72" s="6">
        <v>7.2499999999999995E-2</v>
      </c>
      <c r="DQ72" s="252">
        <v>39.42</v>
      </c>
      <c r="DR72" s="3">
        <v>546.33000000000004</v>
      </c>
      <c r="DT72" s="241">
        <f t="shared" si="15"/>
        <v>66</v>
      </c>
      <c r="DU72" s="2"/>
      <c r="DV72" s="252">
        <v>720</v>
      </c>
      <c r="DY72" s="252">
        <v>405.18</v>
      </c>
      <c r="DZ72" s="264">
        <v>3.9399999999999998E-2</v>
      </c>
      <c r="EA72" s="252">
        <v>0</v>
      </c>
      <c r="EB72" s="253">
        <v>0</v>
      </c>
    </row>
    <row r="73" spans="1:132">
      <c r="A73">
        <v>67</v>
      </c>
      <c r="B73" s="259">
        <v>7.2012999999999998</v>
      </c>
      <c r="C73">
        <v>67</v>
      </c>
      <c r="D73" s="168">
        <f t="shared" si="10"/>
        <v>2.9469537184856343E-3</v>
      </c>
      <c r="E73" s="246">
        <v>41456</v>
      </c>
      <c r="F73" s="186">
        <v>0.28999999999999998</v>
      </c>
      <c r="G73" s="247">
        <v>215962</v>
      </c>
      <c r="H73" s="247">
        <v>540.74990000000003</v>
      </c>
      <c r="I73" s="248">
        <v>119.8</v>
      </c>
      <c r="J73" s="258">
        <f t="shared" si="16"/>
        <v>3.3500837520936688E-3</v>
      </c>
      <c r="K73" s="298"/>
      <c r="L73" s="252">
        <v>300</v>
      </c>
      <c r="M73" s="263"/>
      <c r="N73" s="263"/>
      <c r="O73" s="473">
        <v>328.76</v>
      </c>
      <c r="P73" s="474">
        <v>328.76</v>
      </c>
      <c r="Q73" s="474">
        <v>430.86</v>
      </c>
      <c r="R73" s="475">
        <v>0.09</v>
      </c>
      <c r="S73" s="533">
        <f t="shared" si="17"/>
        <v>67</v>
      </c>
      <c r="T73" s="460">
        <v>75.260000000000005</v>
      </c>
      <c r="U73" s="460">
        <v>10.56</v>
      </c>
      <c r="V73" s="460">
        <v>353.76</v>
      </c>
      <c r="W73" s="460"/>
      <c r="X73" s="254">
        <v>51.09</v>
      </c>
      <c r="Y73" s="461">
        <v>7.4999999999999997E-2</v>
      </c>
      <c r="Z73" s="460">
        <v>22.5</v>
      </c>
      <c r="AA73" s="460">
        <v>10.26</v>
      </c>
      <c r="AB73" s="460">
        <v>437.73</v>
      </c>
      <c r="AC73" s="462">
        <v>353.75</v>
      </c>
      <c r="AD73" s="463">
        <v>0.3</v>
      </c>
      <c r="AE73" s="460">
        <v>40.83</v>
      </c>
      <c r="AF73" s="460">
        <v>61.32</v>
      </c>
      <c r="AG73" s="460">
        <v>20.62</v>
      </c>
      <c r="AH73" s="460"/>
      <c r="AI73" s="460"/>
      <c r="AJ73" s="460"/>
      <c r="AK73" s="460"/>
      <c r="AL73" s="253"/>
      <c r="AM73" s="273">
        <v>0.1</v>
      </c>
      <c r="AN73" s="255">
        <v>0.08</v>
      </c>
      <c r="AO73" s="160">
        <v>0.1</v>
      </c>
      <c r="AP73" s="536">
        <v>480.1</v>
      </c>
      <c r="AQ73" s="536"/>
      <c r="AR73" s="505">
        <f t="shared" si="18"/>
        <v>67</v>
      </c>
      <c r="AS73" s="480">
        <v>257.37</v>
      </c>
      <c r="AT73" s="480">
        <v>191.57</v>
      </c>
      <c r="AU73" s="480"/>
      <c r="AV73" s="480"/>
      <c r="AW73" s="480"/>
      <c r="AX73" s="480"/>
      <c r="AY73" s="480">
        <v>303.18</v>
      </c>
      <c r="AZ73" s="499" t="s">
        <v>5323</v>
      </c>
      <c r="BA73" s="502">
        <v>23.57</v>
      </c>
      <c r="BB73" s="502">
        <v>107.88</v>
      </c>
      <c r="BC73" s="510">
        <v>237.16</v>
      </c>
      <c r="BD73" s="510">
        <v>1222.49</v>
      </c>
      <c r="BE73" s="504">
        <v>0.2</v>
      </c>
      <c r="BF73" s="503">
        <v>0.22</v>
      </c>
      <c r="BG73" s="502">
        <v>16.66</v>
      </c>
      <c r="BH73" s="502">
        <v>1414.05</v>
      </c>
      <c r="BI73" s="502">
        <v>19.170000000000002</v>
      </c>
      <c r="BJ73" s="502"/>
      <c r="BK73" s="502"/>
      <c r="BL73" s="510"/>
      <c r="BM73" s="511">
        <v>0.16200000000000001</v>
      </c>
      <c r="BN73" s="511"/>
      <c r="BO73" s="511" t="s">
        <v>5340</v>
      </c>
      <c r="BP73" s="252"/>
      <c r="BQ73" s="252"/>
      <c r="BR73" s="511">
        <v>0.22</v>
      </c>
      <c r="BS73" s="252"/>
      <c r="BT73" s="252"/>
      <c r="BU73" s="524">
        <f t="shared" si="19"/>
        <v>67</v>
      </c>
      <c r="BV73" s="489">
        <v>158.63</v>
      </c>
      <c r="BW73" s="254"/>
      <c r="BX73" s="254"/>
      <c r="BY73" s="254"/>
      <c r="BZ73" s="494">
        <v>19.170000000000002</v>
      </c>
      <c r="CA73" s="497">
        <v>0.3</v>
      </c>
      <c r="CB73" s="497"/>
      <c r="CC73" s="494">
        <v>424</v>
      </c>
      <c r="CD73" s="241">
        <f t="shared" si="11"/>
        <v>67</v>
      </c>
      <c r="CE73" s="2"/>
      <c r="CF73" s="2">
        <v>490.8</v>
      </c>
      <c r="CG73" s="2"/>
      <c r="CH73" s="2"/>
      <c r="CI73" s="2"/>
      <c r="CJ73" s="252"/>
      <c r="CK73" s="252"/>
      <c r="CL73" s="252">
        <v>546.33000000000004</v>
      </c>
      <c r="CM73" s="253"/>
      <c r="CO73" s="5">
        <v>0.08</v>
      </c>
      <c r="CU73" s="266">
        <f t="shared" si="12"/>
        <v>181</v>
      </c>
      <c r="CV73" s="267">
        <f t="shared" si="13"/>
        <v>362</v>
      </c>
      <c r="CW73" s="268">
        <f t="shared" si="14"/>
        <v>904.99</v>
      </c>
      <c r="CX73" s="418">
        <v>184</v>
      </c>
      <c r="CY73" s="252"/>
      <c r="CZ73" s="252"/>
      <c r="DA73" s="252"/>
      <c r="DB73" s="252"/>
      <c r="DC73" s="252"/>
      <c r="DD73" s="252"/>
      <c r="DE73" s="252"/>
      <c r="DF73" s="252">
        <f t="shared" si="20"/>
        <v>0</v>
      </c>
      <c r="DG73" s="252"/>
      <c r="DH73" s="252">
        <v>489.06</v>
      </c>
      <c r="DI73" s="252"/>
      <c r="DK73" s="252"/>
      <c r="DL73" s="252"/>
      <c r="DP73" s="6">
        <v>7.2499999999999995E-2</v>
      </c>
      <c r="DQ73" s="252">
        <v>39.42</v>
      </c>
      <c r="DR73" s="3">
        <v>546.33000000000004</v>
      </c>
      <c r="DT73" s="241">
        <f t="shared" si="15"/>
        <v>67</v>
      </c>
      <c r="DU73" s="2"/>
      <c r="DV73" s="252">
        <v>720</v>
      </c>
      <c r="DY73" s="252">
        <v>405.18</v>
      </c>
      <c r="DZ73" s="264">
        <v>3.9399999999999998E-2</v>
      </c>
      <c r="EA73" s="252">
        <v>0</v>
      </c>
      <c r="EB73" s="253">
        <v>0</v>
      </c>
    </row>
    <row r="74" spans="1:132">
      <c r="A74">
        <v>68</v>
      </c>
      <c r="B74" s="259">
        <v>8.2012999999999998</v>
      </c>
      <c r="C74">
        <v>68</v>
      </c>
      <c r="D74" s="168">
        <f t="shared" si="10"/>
        <v>1.9588631333291584E-3</v>
      </c>
      <c r="E74" s="246">
        <v>41487</v>
      </c>
      <c r="F74" s="186">
        <v>0.19</v>
      </c>
      <c r="G74" s="247">
        <v>216385.04</v>
      </c>
      <c r="H74" s="247">
        <v>541.80920000000003</v>
      </c>
      <c r="I74" s="248">
        <v>120</v>
      </c>
      <c r="J74" s="258">
        <f t="shared" si="16"/>
        <v>1.6694490818029983E-3</v>
      </c>
      <c r="K74" s="298"/>
      <c r="L74" s="252">
        <v>300</v>
      </c>
      <c r="M74" s="263"/>
      <c r="N74" s="263"/>
      <c r="O74" s="473">
        <v>328.76</v>
      </c>
      <c r="P74" s="474">
        <v>328.76</v>
      </c>
      <c r="Q74" s="474">
        <v>430.86</v>
      </c>
      <c r="R74" s="475">
        <v>0.09</v>
      </c>
      <c r="S74" s="533">
        <f t="shared" si="17"/>
        <v>68</v>
      </c>
      <c r="T74" s="460">
        <v>75.260000000000005</v>
      </c>
      <c r="U74" s="460">
        <v>10.56</v>
      </c>
      <c r="V74" s="460">
        <v>353.76</v>
      </c>
      <c r="W74" s="460"/>
      <c r="X74" s="254">
        <v>51.09</v>
      </c>
      <c r="Y74" s="461">
        <v>7.4999999999999997E-2</v>
      </c>
      <c r="Z74" s="460">
        <v>22.5</v>
      </c>
      <c r="AA74" s="460">
        <v>10.26</v>
      </c>
      <c r="AB74" s="460">
        <v>437.73</v>
      </c>
      <c r="AC74" s="462">
        <v>353.75</v>
      </c>
      <c r="AD74" s="463">
        <v>0.3</v>
      </c>
      <c r="AE74" s="460">
        <v>40.83</v>
      </c>
      <c r="AF74" s="460">
        <v>61.32</v>
      </c>
      <c r="AG74" s="460">
        <v>20.62</v>
      </c>
      <c r="AH74" s="460"/>
      <c r="AI74" s="460"/>
      <c r="AJ74" s="460"/>
      <c r="AK74" s="460"/>
      <c r="AL74" s="253"/>
      <c r="AM74" s="273">
        <v>0.1</v>
      </c>
      <c r="AN74" s="255">
        <v>0.08</v>
      </c>
      <c r="AO74" s="160">
        <v>0.1</v>
      </c>
      <c r="AP74" s="536">
        <v>480.1</v>
      </c>
      <c r="AQ74" s="536"/>
      <c r="AR74" s="505">
        <f t="shared" si="18"/>
        <v>68</v>
      </c>
      <c r="AS74" s="480">
        <v>257.37</v>
      </c>
      <c r="AT74" s="480">
        <v>191.57</v>
      </c>
      <c r="AU74" s="480"/>
      <c r="AV74" s="480"/>
      <c r="AW74" s="480"/>
      <c r="AX74" s="480"/>
      <c r="AY74" s="480">
        <v>303.18</v>
      </c>
      <c r="AZ74" s="499" t="s">
        <v>5323</v>
      </c>
      <c r="BA74" s="502">
        <v>23.57</v>
      </c>
      <c r="BB74" s="502">
        <v>107.88</v>
      </c>
      <c r="BC74" s="510">
        <v>237.16</v>
      </c>
      <c r="BD74" s="510">
        <v>1222.49</v>
      </c>
      <c r="BE74" s="504">
        <v>0.2</v>
      </c>
      <c r="BF74" s="503">
        <v>0.22</v>
      </c>
      <c r="BG74" s="502">
        <v>16.66</v>
      </c>
      <c r="BH74" s="502">
        <v>1414.05</v>
      </c>
      <c r="BI74" s="502">
        <v>19.170000000000002</v>
      </c>
      <c r="BJ74" s="502"/>
      <c r="BK74" s="502"/>
      <c r="BL74" s="510"/>
      <c r="BM74" s="511">
        <v>0.16200000000000001</v>
      </c>
      <c r="BN74" s="511"/>
      <c r="BO74" s="511" t="s">
        <v>5340</v>
      </c>
      <c r="BP74" s="252"/>
      <c r="BQ74" s="252"/>
      <c r="BR74" s="511">
        <v>0.22</v>
      </c>
      <c r="BS74" s="252"/>
      <c r="BT74" s="252"/>
      <c r="BU74" s="524">
        <f t="shared" si="19"/>
        <v>68</v>
      </c>
      <c r="BV74" s="489">
        <v>158.63</v>
      </c>
      <c r="BW74" s="254"/>
      <c r="BX74" s="254"/>
      <c r="BY74" s="254"/>
      <c r="BZ74" s="494">
        <v>19.170000000000002</v>
      </c>
      <c r="CA74" s="497">
        <v>0.3</v>
      </c>
      <c r="CB74" s="497"/>
      <c r="CC74" s="494">
        <v>424</v>
      </c>
      <c r="CD74" s="241">
        <f t="shared" si="11"/>
        <v>68</v>
      </c>
      <c r="CE74" s="2"/>
      <c r="CF74" s="2">
        <v>490.8</v>
      </c>
      <c r="CG74" s="2"/>
      <c r="CH74" s="2"/>
      <c r="CI74" s="2"/>
      <c r="CJ74" s="252"/>
      <c r="CK74" s="252"/>
      <c r="CL74" s="252">
        <v>546.33000000000004</v>
      </c>
      <c r="CM74" s="253"/>
      <c r="CO74" s="253">
        <v>0.08</v>
      </c>
      <c r="CU74" s="266">
        <f t="shared" si="12"/>
        <v>181</v>
      </c>
      <c r="CV74" s="267">
        <f t="shared" si="13"/>
        <v>362</v>
      </c>
      <c r="CW74" s="268">
        <f t="shared" si="14"/>
        <v>904.99</v>
      </c>
      <c r="CX74" s="418">
        <v>184</v>
      </c>
      <c r="CY74" s="252"/>
      <c r="CZ74" s="252"/>
      <c r="DA74" s="252"/>
      <c r="DB74" s="252"/>
      <c r="DC74" s="252"/>
      <c r="DD74" s="252"/>
      <c r="DE74" s="252"/>
      <c r="DF74" s="252">
        <f t="shared" si="20"/>
        <v>0</v>
      </c>
      <c r="DG74" s="252"/>
      <c r="DH74" s="252">
        <v>489.06</v>
      </c>
      <c r="DI74" s="252"/>
      <c r="DK74" s="252"/>
      <c r="DL74" s="252"/>
      <c r="DP74" s="6">
        <v>7.2499999999999995E-2</v>
      </c>
      <c r="DQ74" s="252">
        <v>39.42</v>
      </c>
      <c r="DR74" s="3">
        <v>546.33000000000004</v>
      </c>
      <c r="DT74" s="241">
        <f t="shared" si="15"/>
        <v>68</v>
      </c>
      <c r="DU74" s="2"/>
      <c r="DV74" s="252">
        <v>720</v>
      </c>
      <c r="DY74" s="252">
        <v>405.18</v>
      </c>
      <c r="DZ74" s="264">
        <v>3.9399999999999998E-2</v>
      </c>
      <c r="EA74" s="252">
        <v>0</v>
      </c>
      <c r="EB74" s="253">
        <v>0</v>
      </c>
    </row>
    <row r="75" spans="1:132">
      <c r="A75">
        <v>69</v>
      </c>
      <c r="B75" s="259">
        <v>9.2012999999999998</v>
      </c>
      <c r="C75">
        <v>69</v>
      </c>
      <c r="D75" s="168">
        <f t="shared" si="10"/>
        <v>0</v>
      </c>
      <c r="E75" s="246">
        <v>41518</v>
      </c>
      <c r="F75" s="186">
        <v>0</v>
      </c>
      <c r="G75" s="247">
        <v>216385.04</v>
      </c>
      <c r="H75" s="247">
        <v>541.80920000000003</v>
      </c>
      <c r="I75" s="248">
        <v>120</v>
      </c>
      <c r="J75" s="258">
        <f t="shared" si="16"/>
        <v>0</v>
      </c>
      <c r="K75" s="298"/>
      <c r="L75" s="252">
        <v>300</v>
      </c>
      <c r="M75" s="263"/>
      <c r="N75" s="263"/>
      <c r="O75" s="473">
        <v>328.76</v>
      </c>
      <c r="P75" s="474">
        <v>328.76</v>
      </c>
      <c r="Q75" s="474">
        <v>430.86</v>
      </c>
      <c r="R75" s="475">
        <v>0.09</v>
      </c>
      <c r="S75" s="533">
        <f t="shared" si="17"/>
        <v>69</v>
      </c>
      <c r="T75" s="460">
        <v>75.260000000000005</v>
      </c>
      <c r="U75" s="460">
        <v>10.56</v>
      </c>
      <c r="V75" s="460">
        <v>353.76</v>
      </c>
      <c r="W75" s="460"/>
      <c r="X75" s="254">
        <v>51.09</v>
      </c>
      <c r="Y75" s="461">
        <v>7.4999999999999997E-2</v>
      </c>
      <c r="Z75" s="460">
        <v>22.5</v>
      </c>
      <c r="AA75" s="460">
        <v>10.26</v>
      </c>
      <c r="AB75" s="460">
        <v>437.73</v>
      </c>
      <c r="AC75" s="462">
        <v>353.75</v>
      </c>
      <c r="AD75" s="463">
        <v>0.3</v>
      </c>
      <c r="AE75" s="460">
        <v>40.83</v>
      </c>
      <c r="AF75" s="460">
        <v>61.32</v>
      </c>
      <c r="AG75" s="460">
        <v>20.62</v>
      </c>
      <c r="AH75" s="460"/>
      <c r="AI75" s="460"/>
      <c r="AJ75" s="460"/>
      <c r="AK75" s="460"/>
      <c r="AL75" s="253"/>
      <c r="AM75" s="273">
        <v>0.1</v>
      </c>
      <c r="AN75" s="255">
        <v>0.08</v>
      </c>
      <c r="AO75" s="160">
        <v>0.1</v>
      </c>
      <c r="AP75" s="536">
        <v>480.1</v>
      </c>
      <c r="AQ75" s="536"/>
      <c r="AR75" s="505">
        <f t="shared" si="18"/>
        <v>69</v>
      </c>
      <c r="AS75" s="480">
        <v>257.37</v>
      </c>
      <c r="AT75" s="480">
        <v>191.57</v>
      </c>
      <c r="AU75" s="480"/>
      <c r="AV75" s="480"/>
      <c r="AW75" s="480"/>
      <c r="AX75" s="480"/>
      <c r="AY75" s="480">
        <v>303.18</v>
      </c>
      <c r="AZ75" s="499" t="s">
        <v>5323</v>
      </c>
      <c r="BA75" s="502">
        <v>23.57</v>
      </c>
      <c r="BB75" s="502">
        <v>107.88</v>
      </c>
      <c r="BC75" s="510">
        <v>237.16</v>
      </c>
      <c r="BD75" s="510">
        <v>1222.49</v>
      </c>
      <c r="BE75" s="504">
        <v>0.2</v>
      </c>
      <c r="BF75" s="503">
        <v>0.22</v>
      </c>
      <c r="BG75" s="502">
        <v>16.66</v>
      </c>
      <c r="BH75" s="502">
        <v>1414.05</v>
      </c>
      <c r="BI75" s="502">
        <v>19.170000000000002</v>
      </c>
      <c r="BJ75" s="502"/>
      <c r="BK75" s="502"/>
      <c r="BL75" s="510"/>
      <c r="BM75" s="511">
        <v>0.16200000000000001</v>
      </c>
      <c r="BN75" s="511"/>
      <c r="BO75" s="511" t="s">
        <v>5340</v>
      </c>
      <c r="BP75" s="252"/>
      <c r="BQ75" s="252"/>
      <c r="BR75" s="511">
        <v>0.22</v>
      </c>
      <c r="BS75" s="252"/>
      <c r="BT75" s="252"/>
      <c r="BU75" s="524">
        <f t="shared" si="19"/>
        <v>69</v>
      </c>
      <c r="BV75" s="489">
        <v>158.63</v>
      </c>
      <c r="BW75" s="254"/>
      <c r="BX75" s="254"/>
      <c r="BY75" s="254"/>
      <c r="BZ75" s="494">
        <v>19.170000000000002</v>
      </c>
      <c r="CA75" s="497">
        <v>0.3</v>
      </c>
      <c r="CB75" s="497"/>
      <c r="CC75" s="494">
        <v>424</v>
      </c>
      <c r="CD75" s="241">
        <f t="shared" si="11"/>
        <v>69</v>
      </c>
      <c r="CE75" s="2"/>
      <c r="CF75" s="2">
        <v>490.8</v>
      </c>
      <c r="CG75" s="2"/>
      <c r="CH75" s="2"/>
      <c r="CI75" s="2"/>
      <c r="CJ75" s="252"/>
      <c r="CK75" s="252"/>
      <c r="CL75" s="252">
        <v>546.33000000000004</v>
      </c>
      <c r="CM75" s="253"/>
      <c r="CO75" s="5">
        <v>0.08</v>
      </c>
      <c r="CU75" s="266">
        <f t="shared" si="12"/>
        <v>181</v>
      </c>
      <c r="CV75" s="267">
        <f t="shared" si="13"/>
        <v>362</v>
      </c>
      <c r="CW75" s="268">
        <f t="shared" si="14"/>
        <v>904.99</v>
      </c>
      <c r="CX75" s="418">
        <v>184</v>
      </c>
      <c r="CY75" s="252"/>
      <c r="CZ75" s="252"/>
      <c r="DA75" s="252"/>
      <c r="DB75" s="252"/>
      <c r="DC75" s="252"/>
      <c r="DD75" s="252"/>
      <c r="DE75" s="252"/>
      <c r="DF75" s="252">
        <f t="shared" si="20"/>
        <v>0</v>
      </c>
      <c r="DG75" s="252"/>
      <c r="DH75" s="252">
        <v>489.06</v>
      </c>
      <c r="DI75" s="252"/>
      <c r="DK75" s="252"/>
      <c r="DL75" s="252"/>
      <c r="DP75" s="6">
        <v>7.2499999999999995E-2</v>
      </c>
      <c r="DQ75" s="252">
        <v>39.42</v>
      </c>
      <c r="DR75" s="3">
        <v>546.33000000000004</v>
      </c>
      <c r="DT75" s="241">
        <f t="shared" si="15"/>
        <v>69</v>
      </c>
      <c r="DU75" s="2"/>
      <c r="DV75" s="252">
        <v>720</v>
      </c>
      <c r="DY75" s="252">
        <v>405.18</v>
      </c>
      <c r="DZ75" s="264">
        <v>3.9399999999999998E-2</v>
      </c>
      <c r="EA75" s="252">
        <v>0</v>
      </c>
      <c r="EB75" s="253">
        <v>0</v>
      </c>
    </row>
    <row r="76" spans="1:132">
      <c r="A76">
        <v>70</v>
      </c>
      <c r="B76" s="259">
        <v>10.2013</v>
      </c>
      <c r="C76">
        <v>70</v>
      </c>
      <c r="D76" s="168">
        <f t="shared" si="10"/>
        <v>2.9325964493662759E-3</v>
      </c>
      <c r="E76" s="246">
        <v>41548</v>
      </c>
      <c r="F76" s="186">
        <v>0.28999999999999998</v>
      </c>
      <c r="G76" s="247">
        <v>217019.61</v>
      </c>
      <c r="H76" s="247">
        <v>543.3981</v>
      </c>
      <c r="I76" s="248">
        <v>120.4</v>
      </c>
      <c r="J76" s="258">
        <f t="shared" si="16"/>
        <v>3.3333333333334103E-3</v>
      </c>
      <c r="K76" s="298"/>
      <c r="L76" s="252">
        <v>300</v>
      </c>
      <c r="M76" s="263"/>
      <c r="N76" s="263"/>
      <c r="O76" s="473">
        <v>328.76</v>
      </c>
      <c r="P76" s="474">
        <v>328.76</v>
      </c>
      <c r="Q76" s="474">
        <v>430.86</v>
      </c>
      <c r="R76" s="475">
        <v>0.09</v>
      </c>
      <c r="S76" s="533">
        <f t="shared" si="17"/>
        <v>70</v>
      </c>
      <c r="T76" s="460">
        <v>75.260000000000005</v>
      </c>
      <c r="U76" s="460">
        <v>10.56</v>
      </c>
      <c r="V76" s="460">
        <v>353.76</v>
      </c>
      <c r="W76" s="460"/>
      <c r="X76" s="254">
        <v>51.09</v>
      </c>
      <c r="Y76" s="461">
        <v>7.4999999999999997E-2</v>
      </c>
      <c r="Z76" s="460">
        <v>22.5</v>
      </c>
      <c r="AA76" s="460">
        <v>10.26</v>
      </c>
      <c r="AB76" s="460">
        <v>437.73</v>
      </c>
      <c r="AC76" s="462">
        <v>353.75</v>
      </c>
      <c r="AD76" s="463">
        <v>0.3</v>
      </c>
      <c r="AE76" s="460">
        <v>40.83</v>
      </c>
      <c r="AF76" s="460">
        <v>61.32</v>
      </c>
      <c r="AG76" s="460">
        <v>20.62</v>
      </c>
      <c r="AH76" s="460"/>
      <c r="AI76" s="460"/>
      <c r="AJ76" s="460"/>
      <c r="AK76" s="460"/>
      <c r="AL76" s="253"/>
      <c r="AM76" s="273">
        <v>0.1</v>
      </c>
      <c r="AN76" s="255">
        <v>0.08</v>
      </c>
      <c r="AO76" s="160">
        <v>0.1</v>
      </c>
      <c r="AP76" s="536">
        <v>480.1</v>
      </c>
      <c r="AQ76" s="536"/>
      <c r="AR76" s="505">
        <f t="shared" si="18"/>
        <v>70</v>
      </c>
      <c r="AS76" s="480">
        <v>257.37</v>
      </c>
      <c r="AT76" s="480">
        <v>191.57</v>
      </c>
      <c r="AU76" s="480"/>
      <c r="AV76" s="480"/>
      <c r="AW76" s="480"/>
      <c r="AX76" s="480"/>
      <c r="AY76" s="480">
        <v>303.18</v>
      </c>
      <c r="AZ76" s="499" t="s">
        <v>5323</v>
      </c>
      <c r="BA76" s="502">
        <v>23.57</v>
      </c>
      <c r="BB76" s="502">
        <v>107.88</v>
      </c>
      <c r="BC76" s="510">
        <v>237.16</v>
      </c>
      <c r="BD76" s="510">
        <v>1222.49</v>
      </c>
      <c r="BE76" s="504">
        <v>0.2</v>
      </c>
      <c r="BF76" s="503">
        <v>0.22</v>
      </c>
      <c r="BG76" s="502">
        <v>16.66</v>
      </c>
      <c r="BH76" s="502">
        <v>1414.05</v>
      </c>
      <c r="BI76" s="502">
        <v>19.170000000000002</v>
      </c>
      <c r="BJ76" s="502"/>
      <c r="BK76" s="502"/>
      <c r="BL76" s="510"/>
      <c r="BM76" s="511">
        <v>0.16200000000000001</v>
      </c>
      <c r="BN76" s="511"/>
      <c r="BO76" s="511" t="s">
        <v>5340</v>
      </c>
      <c r="BP76" s="252"/>
      <c r="BQ76" s="252"/>
      <c r="BR76" s="511">
        <v>0.22</v>
      </c>
      <c r="BS76" s="252"/>
      <c r="BT76" s="252"/>
      <c r="BU76" s="524">
        <f t="shared" si="19"/>
        <v>70</v>
      </c>
      <c r="BV76" s="489">
        <v>158.63</v>
      </c>
      <c r="BW76" s="254"/>
      <c r="BX76" s="254"/>
      <c r="BY76" s="254"/>
      <c r="BZ76" s="494">
        <v>19.170000000000002</v>
      </c>
      <c r="CA76" s="497">
        <v>0.3</v>
      </c>
      <c r="CB76" s="497"/>
      <c r="CC76" s="494">
        <v>424</v>
      </c>
      <c r="CD76" s="241">
        <f t="shared" si="11"/>
        <v>70</v>
      </c>
      <c r="CE76" s="2"/>
      <c r="CF76" s="2">
        <v>490.8</v>
      </c>
      <c r="CG76" s="2"/>
      <c r="CH76" s="2"/>
      <c r="CI76" s="2"/>
      <c r="CJ76" s="252"/>
      <c r="CK76" s="252"/>
      <c r="CL76" s="252">
        <v>546.33000000000004</v>
      </c>
      <c r="CM76" s="253"/>
      <c r="CO76" s="253">
        <v>0.08</v>
      </c>
      <c r="CU76" s="266">
        <f t="shared" si="12"/>
        <v>181</v>
      </c>
      <c r="CV76" s="267">
        <f t="shared" si="13"/>
        <v>362</v>
      </c>
      <c r="CW76" s="268">
        <f t="shared" si="14"/>
        <v>904.99</v>
      </c>
      <c r="CX76" s="418">
        <v>184</v>
      </c>
      <c r="CY76" s="252"/>
      <c r="CZ76" s="252"/>
      <c r="DA76" s="252"/>
      <c r="DB76" s="252"/>
      <c r="DC76" s="252"/>
      <c r="DD76" s="252"/>
      <c r="DE76" s="252"/>
      <c r="DF76" s="252">
        <f t="shared" si="20"/>
        <v>0</v>
      </c>
      <c r="DG76" s="252"/>
      <c r="DH76" s="252">
        <v>489.06</v>
      </c>
      <c r="DI76" s="252"/>
      <c r="DK76" s="252"/>
      <c r="DL76" s="252"/>
      <c r="DP76" s="6">
        <v>7.2499999999999995E-2</v>
      </c>
      <c r="DQ76" s="252">
        <v>39.42</v>
      </c>
      <c r="DR76" s="3">
        <v>546.33000000000004</v>
      </c>
      <c r="DT76" s="241">
        <f t="shared" si="15"/>
        <v>70</v>
      </c>
      <c r="DU76" s="2"/>
      <c r="DV76" s="252">
        <v>720</v>
      </c>
      <c r="DY76" s="252">
        <v>405.18</v>
      </c>
      <c r="DZ76" s="264">
        <v>3.9399999999999998E-2</v>
      </c>
      <c r="EA76" s="252">
        <v>0</v>
      </c>
      <c r="EB76" s="253">
        <v>0</v>
      </c>
    </row>
    <row r="77" spans="1:132">
      <c r="A77">
        <v>71</v>
      </c>
      <c r="B77" s="259">
        <v>11.2013</v>
      </c>
      <c r="C77">
        <v>71</v>
      </c>
      <c r="D77" s="168">
        <f t="shared" si="10"/>
        <v>-3.8986338607832627E-3</v>
      </c>
      <c r="E77" s="246">
        <v>41579</v>
      </c>
      <c r="F77" s="186">
        <v>-0.39</v>
      </c>
      <c r="G77" s="247">
        <v>216173.53</v>
      </c>
      <c r="H77" s="247">
        <v>541.27959999999996</v>
      </c>
      <c r="I77" s="248">
        <v>119.9</v>
      </c>
      <c r="J77" s="258">
        <f t="shared" si="16"/>
        <v>-4.1528239202658357E-3</v>
      </c>
      <c r="K77" s="298"/>
      <c r="L77" s="252">
        <v>300</v>
      </c>
      <c r="M77" s="263"/>
      <c r="N77" s="263"/>
      <c r="O77" s="473">
        <v>328.76</v>
      </c>
      <c r="P77" s="474">
        <v>328.76</v>
      </c>
      <c r="Q77" s="474">
        <v>430.86</v>
      </c>
      <c r="R77" s="475">
        <v>0.09</v>
      </c>
      <c r="S77" s="533">
        <f t="shared" si="17"/>
        <v>71</v>
      </c>
      <c r="T77" s="460">
        <v>75.260000000000005</v>
      </c>
      <c r="U77" s="460">
        <v>10.56</v>
      </c>
      <c r="V77" s="460">
        <v>353.76</v>
      </c>
      <c r="W77" s="460"/>
      <c r="X77" s="254">
        <v>51.09</v>
      </c>
      <c r="Y77" s="461">
        <v>7.4999999999999997E-2</v>
      </c>
      <c r="Z77" s="460">
        <v>22.5</v>
      </c>
      <c r="AA77" s="460">
        <v>10.26</v>
      </c>
      <c r="AB77" s="460">
        <v>437.73</v>
      </c>
      <c r="AC77" s="462">
        <v>353.75</v>
      </c>
      <c r="AD77" s="463">
        <v>0.3</v>
      </c>
      <c r="AE77" s="460">
        <v>40.83</v>
      </c>
      <c r="AF77" s="460">
        <v>61.32</v>
      </c>
      <c r="AG77" s="460">
        <v>20.62</v>
      </c>
      <c r="AH77" s="460"/>
      <c r="AI77" s="460"/>
      <c r="AJ77" s="460"/>
      <c r="AK77" s="460"/>
      <c r="AL77" s="253"/>
      <c r="AM77" s="273">
        <v>0.1</v>
      </c>
      <c r="AN77" s="255">
        <v>0.08</v>
      </c>
      <c r="AO77" s="160">
        <v>0.1</v>
      </c>
      <c r="AP77" s="536">
        <v>480.1</v>
      </c>
      <c r="AQ77" s="536"/>
      <c r="AR77" s="505">
        <f t="shared" si="18"/>
        <v>71</v>
      </c>
      <c r="AS77" s="480">
        <v>257.37</v>
      </c>
      <c r="AT77" s="480">
        <v>191.57</v>
      </c>
      <c r="AU77" s="480"/>
      <c r="AV77" s="480"/>
      <c r="AW77" s="480"/>
      <c r="AX77" s="480"/>
      <c r="AY77" s="480">
        <v>303.18</v>
      </c>
      <c r="AZ77" s="499" t="s">
        <v>5323</v>
      </c>
      <c r="BA77" s="502">
        <v>23.57</v>
      </c>
      <c r="BB77" s="502">
        <v>107.88</v>
      </c>
      <c r="BC77" s="510">
        <v>237.16</v>
      </c>
      <c r="BD77" s="510">
        <v>1222.49</v>
      </c>
      <c r="BE77" s="504">
        <v>0.2</v>
      </c>
      <c r="BF77" s="503">
        <v>0.22</v>
      </c>
      <c r="BG77" s="502">
        <v>16.66</v>
      </c>
      <c r="BH77" s="502">
        <v>1414.05</v>
      </c>
      <c r="BI77" s="502">
        <v>19.170000000000002</v>
      </c>
      <c r="BJ77" s="502"/>
      <c r="BK77" s="502"/>
      <c r="BL77" s="510"/>
      <c r="BM77" s="511">
        <v>0.16200000000000001</v>
      </c>
      <c r="BN77" s="511"/>
      <c r="BO77" s="511" t="s">
        <v>5340</v>
      </c>
      <c r="BP77" s="252"/>
      <c r="BQ77" s="252"/>
      <c r="BR77" s="511">
        <v>0.22</v>
      </c>
      <c r="BS77" s="252"/>
      <c r="BT77" s="252"/>
      <c r="BU77" s="524">
        <f t="shared" si="19"/>
        <v>71</v>
      </c>
      <c r="BV77" s="489">
        <v>158.63</v>
      </c>
      <c r="BW77" s="254"/>
      <c r="BX77" s="254"/>
      <c r="BY77" s="254"/>
      <c r="BZ77" s="494">
        <v>19.170000000000002</v>
      </c>
      <c r="CA77" s="497">
        <v>0.3</v>
      </c>
      <c r="CB77" s="497"/>
      <c r="CC77" s="494">
        <v>424</v>
      </c>
      <c r="CD77" s="241">
        <f t="shared" si="11"/>
        <v>71</v>
      </c>
      <c r="CE77" s="2"/>
      <c r="CF77" s="2">
        <v>490.8</v>
      </c>
      <c r="CG77" s="2"/>
      <c r="CH77" s="2"/>
      <c r="CI77" s="2"/>
      <c r="CJ77" s="252"/>
      <c r="CK77" s="252"/>
      <c r="CL77" s="252">
        <v>546.33000000000004</v>
      </c>
      <c r="CM77" s="253"/>
      <c r="CO77" s="5">
        <v>0.08</v>
      </c>
      <c r="CU77" s="266">
        <f t="shared" si="12"/>
        <v>181</v>
      </c>
      <c r="CV77" s="267">
        <f t="shared" si="13"/>
        <v>362</v>
      </c>
      <c r="CW77" s="268">
        <f t="shared" si="14"/>
        <v>904.99</v>
      </c>
      <c r="CX77" s="418">
        <v>184</v>
      </c>
      <c r="CY77" s="252"/>
      <c r="CZ77" s="252"/>
      <c r="DA77" s="252"/>
      <c r="DB77" s="252"/>
      <c r="DC77" s="252"/>
      <c r="DD77" s="252"/>
      <c r="DE77" s="252"/>
      <c r="DF77" s="252">
        <f t="shared" si="20"/>
        <v>0</v>
      </c>
      <c r="DG77" s="252"/>
      <c r="DH77" s="252">
        <v>489.06</v>
      </c>
      <c r="DI77" s="252"/>
      <c r="DK77" s="252"/>
      <c r="DL77" s="252"/>
      <c r="DP77" s="6">
        <v>7.2499999999999995E-2</v>
      </c>
      <c r="DQ77" s="252">
        <v>39.42</v>
      </c>
      <c r="DR77" s="3">
        <v>546.33000000000004</v>
      </c>
      <c r="DT77" s="241">
        <f t="shared" si="15"/>
        <v>71</v>
      </c>
      <c r="DU77" s="2"/>
      <c r="DV77" s="252">
        <v>720</v>
      </c>
      <c r="DY77" s="252">
        <v>405.18</v>
      </c>
      <c r="DZ77" s="264">
        <v>3.9399999999999998E-2</v>
      </c>
      <c r="EA77" s="252">
        <v>0</v>
      </c>
      <c r="EB77" s="253">
        <v>0</v>
      </c>
    </row>
    <row r="78" spans="1:132">
      <c r="A78">
        <v>72</v>
      </c>
      <c r="B78" s="259">
        <v>12.2013</v>
      </c>
      <c r="C78">
        <v>72</v>
      </c>
      <c r="D78" s="168">
        <f t="shared" si="10"/>
        <v>9.7847317384314181E-4</v>
      </c>
      <c r="E78" s="246">
        <v>41609</v>
      </c>
      <c r="F78" s="186">
        <v>0.09</v>
      </c>
      <c r="G78" s="247">
        <v>216385.05</v>
      </c>
      <c r="H78" s="247">
        <v>541.80920000000003</v>
      </c>
      <c r="I78" s="248">
        <v>120</v>
      </c>
      <c r="J78" s="258">
        <f t="shared" si="16"/>
        <v>8.3402835696411159E-4</v>
      </c>
      <c r="K78" s="298"/>
      <c r="L78" s="252">
        <v>300</v>
      </c>
      <c r="M78" s="263"/>
      <c r="N78" s="263"/>
      <c r="O78" s="473">
        <v>328.76</v>
      </c>
      <c r="P78" s="474">
        <v>328.76</v>
      </c>
      <c r="Q78" s="474">
        <v>430.86</v>
      </c>
      <c r="R78" s="475">
        <v>0.09</v>
      </c>
      <c r="S78" s="533">
        <f t="shared" si="17"/>
        <v>72</v>
      </c>
      <c r="T78" s="460">
        <v>75.260000000000005</v>
      </c>
      <c r="U78" s="460">
        <v>10.56</v>
      </c>
      <c r="V78" s="460">
        <v>353.76</v>
      </c>
      <c r="W78" s="460"/>
      <c r="X78" s="254">
        <v>51.09</v>
      </c>
      <c r="Y78" s="461">
        <v>7.4999999999999997E-2</v>
      </c>
      <c r="Z78" s="460">
        <v>22.5</v>
      </c>
      <c r="AA78" s="460">
        <v>10.26</v>
      </c>
      <c r="AB78" s="460">
        <v>437.73</v>
      </c>
      <c r="AC78" s="462">
        <v>353.75</v>
      </c>
      <c r="AD78" s="463">
        <v>0.3</v>
      </c>
      <c r="AE78" s="460">
        <v>40.83</v>
      </c>
      <c r="AF78" s="460">
        <v>61.32</v>
      </c>
      <c r="AG78" s="460">
        <v>20.62</v>
      </c>
      <c r="AH78" s="460"/>
      <c r="AI78" s="460"/>
      <c r="AJ78" s="460"/>
      <c r="AK78" s="460"/>
      <c r="AL78" s="253"/>
      <c r="AM78" s="273">
        <v>0.1</v>
      </c>
      <c r="AN78" s="255">
        <v>0.08</v>
      </c>
      <c r="AO78" s="160">
        <v>0.1</v>
      </c>
      <c r="AP78" s="536">
        <v>480.1</v>
      </c>
      <c r="AQ78" s="536"/>
      <c r="AR78" s="505">
        <f t="shared" si="18"/>
        <v>72</v>
      </c>
      <c r="AS78" s="480">
        <v>257.37</v>
      </c>
      <c r="AT78" s="480">
        <v>191.57</v>
      </c>
      <c r="AU78" s="480"/>
      <c r="AV78" s="480"/>
      <c r="AW78" s="480"/>
      <c r="AX78" s="480"/>
      <c r="AY78" s="480">
        <v>303.18</v>
      </c>
      <c r="AZ78" s="499" t="s">
        <v>5323</v>
      </c>
      <c r="BA78" s="502">
        <v>23.57</v>
      </c>
      <c r="BB78" s="502">
        <v>107.88</v>
      </c>
      <c r="BC78" s="510">
        <v>237.16</v>
      </c>
      <c r="BD78" s="510">
        <v>1222.49</v>
      </c>
      <c r="BE78" s="504">
        <v>0.2</v>
      </c>
      <c r="BF78" s="503">
        <v>0.22</v>
      </c>
      <c r="BG78" s="502">
        <v>16.66</v>
      </c>
      <c r="BH78" s="502">
        <v>1414.05</v>
      </c>
      <c r="BI78" s="502">
        <v>19.170000000000002</v>
      </c>
      <c r="BJ78" s="502"/>
      <c r="BK78" s="502"/>
      <c r="BL78" s="510"/>
      <c r="BM78" s="511">
        <v>0.16200000000000001</v>
      </c>
      <c r="BN78" s="511"/>
      <c r="BO78" s="511" t="s">
        <v>5340</v>
      </c>
      <c r="BP78" s="252"/>
      <c r="BQ78" s="252"/>
      <c r="BR78" s="511">
        <v>0.22</v>
      </c>
      <c r="BS78" s="252"/>
      <c r="BT78" s="252"/>
      <c r="BU78" s="524">
        <f t="shared" si="19"/>
        <v>72</v>
      </c>
      <c r="BV78" s="489">
        <v>158.63</v>
      </c>
      <c r="BW78" s="254"/>
      <c r="BX78" s="254"/>
      <c r="BY78" s="254"/>
      <c r="BZ78" s="494">
        <v>19.170000000000002</v>
      </c>
      <c r="CA78" s="497">
        <v>0.3</v>
      </c>
      <c r="CB78" s="497"/>
      <c r="CC78" s="494">
        <v>424</v>
      </c>
      <c r="CD78" s="241">
        <f t="shared" si="11"/>
        <v>72</v>
      </c>
      <c r="CE78" s="2"/>
      <c r="CF78" s="2">
        <v>490.8</v>
      </c>
      <c r="CG78" s="2"/>
      <c r="CH78" s="2"/>
      <c r="CI78" s="2"/>
      <c r="CJ78" s="252"/>
      <c r="CK78" s="252"/>
      <c r="CL78" s="252">
        <v>546.33000000000004</v>
      </c>
      <c r="CM78" s="253"/>
      <c r="CO78" s="253">
        <v>0.08</v>
      </c>
      <c r="CU78" s="266">
        <f t="shared" si="12"/>
        <v>181</v>
      </c>
      <c r="CV78" s="267">
        <f t="shared" si="13"/>
        <v>362</v>
      </c>
      <c r="CW78" s="268">
        <f t="shared" si="14"/>
        <v>904.99</v>
      </c>
      <c r="CX78" s="418">
        <v>184</v>
      </c>
      <c r="CY78" s="252"/>
      <c r="CZ78" s="252"/>
      <c r="DA78" s="252"/>
      <c r="DB78" s="252"/>
      <c r="DC78" s="252"/>
      <c r="DD78" s="252"/>
      <c r="DE78" s="252"/>
      <c r="DF78" s="252">
        <f t="shared" si="20"/>
        <v>0</v>
      </c>
      <c r="DG78" s="252"/>
      <c r="DH78" s="252">
        <v>489.06</v>
      </c>
      <c r="DI78" s="252"/>
      <c r="DK78" s="252"/>
      <c r="DL78" s="252"/>
      <c r="DP78" s="6">
        <v>7.2499999999999995E-2</v>
      </c>
      <c r="DQ78" s="252">
        <v>39.42</v>
      </c>
      <c r="DR78" s="3">
        <v>546.33000000000004</v>
      </c>
      <c r="DT78" s="241">
        <f t="shared" si="15"/>
        <v>72</v>
      </c>
      <c r="DU78" s="2"/>
      <c r="DV78" s="252">
        <v>720</v>
      </c>
      <c r="DY78" s="252">
        <v>405.18</v>
      </c>
      <c r="DZ78" s="264">
        <v>3.9399999999999998E-2</v>
      </c>
      <c r="EA78" s="252">
        <v>0</v>
      </c>
      <c r="EB78" s="253">
        <v>0</v>
      </c>
    </row>
    <row r="79" spans="1:132">
      <c r="A79">
        <v>73</v>
      </c>
      <c r="B79" s="259">
        <v>1.2014</v>
      </c>
      <c r="C79">
        <v>73</v>
      </c>
      <c r="D79" s="168">
        <f t="shared" si="10"/>
        <v>-5.8651464137655651E-3</v>
      </c>
      <c r="E79" s="246">
        <v>41640</v>
      </c>
      <c r="F79" s="186">
        <v>-0.59</v>
      </c>
      <c r="G79" s="247">
        <v>215115.92</v>
      </c>
      <c r="H79" s="247">
        <v>538.63139999999999</v>
      </c>
      <c r="I79" s="248">
        <v>119.3</v>
      </c>
      <c r="J79" s="258">
        <f t="shared" si="16"/>
        <v>-5.833333333333357E-3</v>
      </c>
      <c r="K79" s="298">
        <v>1.8200000000000001E-2</v>
      </c>
      <c r="L79" s="252">
        <v>300</v>
      </c>
      <c r="M79" s="263"/>
      <c r="N79" s="263"/>
      <c r="O79" s="473">
        <v>328.76</v>
      </c>
      <c r="P79" s="474">
        <v>328.76</v>
      </c>
      <c r="Q79" s="474">
        <v>430.86</v>
      </c>
      <c r="R79" s="475">
        <v>0.09</v>
      </c>
      <c r="S79" s="533">
        <f t="shared" si="17"/>
        <v>73</v>
      </c>
      <c r="T79" s="460">
        <v>75.260000000000005</v>
      </c>
      <c r="U79" s="460">
        <v>10.56</v>
      </c>
      <c r="V79" s="460">
        <v>353.76</v>
      </c>
      <c r="W79" s="460"/>
      <c r="X79" s="254">
        <v>51.09</v>
      </c>
      <c r="Y79" s="461">
        <v>7.4999999999999997E-2</v>
      </c>
      <c r="Z79" s="460">
        <v>22.5</v>
      </c>
      <c r="AA79" s="460">
        <v>10.26</v>
      </c>
      <c r="AB79" s="460">
        <v>437.73</v>
      </c>
      <c r="AC79" s="462">
        <v>353.75</v>
      </c>
      <c r="AD79" s="463">
        <v>0.3</v>
      </c>
      <c r="AE79" s="460">
        <v>40.83</v>
      </c>
      <c r="AF79" s="460">
        <v>61.32</v>
      </c>
      <c r="AG79" s="460">
        <v>20.62</v>
      </c>
      <c r="AH79" s="460"/>
      <c r="AI79" s="460"/>
      <c r="AJ79" s="460"/>
      <c r="AK79" s="460"/>
      <c r="AL79" s="253"/>
      <c r="AM79" s="273">
        <v>0.1</v>
      </c>
      <c r="AN79" s="255">
        <v>0.08</v>
      </c>
      <c r="AO79" s="160">
        <v>0.1</v>
      </c>
      <c r="AP79" s="536">
        <v>480.1</v>
      </c>
      <c r="AQ79" s="536"/>
      <c r="AR79" s="505">
        <f t="shared" si="18"/>
        <v>73</v>
      </c>
      <c r="AS79" s="480">
        <v>257.37</v>
      </c>
      <c r="AT79" s="480">
        <v>191.57</v>
      </c>
      <c r="AU79" s="480"/>
      <c r="AV79" s="480"/>
      <c r="AW79" s="480"/>
      <c r="AX79" s="480"/>
      <c r="AY79" s="480">
        <v>303.18</v>
      </c>
      <c r="AZ79" s="499" t="s">
        <v>5323</v>
      </c>
      <c r="BA79" s="502">
        <v>23.57</v>
      </c>
      <c r="BB79" s="501"/>
      <c r="BC79" s="510">
        <v>237.16</v>
      </c>
      <c r="BD79" s="510">
        <v>1222.49</v>
      </c>
      <c r="BE79" s="504">
        <v>0.2</v>
      </c>
      <c r="BF79" s="503">
        <v>0.22</v>
      </c>
      <c r="BG79" s="502">
        <v>16.66</v>
      </c>
      <c r="BH79" s="502">
        <v>1414.05</v>
      </c>
      <c r="BI79" s="502">
        <v>19.170000000000002</v>
      </c>
      <c r="BJ79" s="502"/>
      <c r="BK79" s="502"/>
      <c r="BL79" s="510"/>
      <c r="BM79" s="511">
        <v>0.16200000000000001</v>
      </c>
      <c r="BN79" s="511"/>
      <c r="BO79" s="511" t="s">
        <v>5340</v>
      </c>
      <c r="BP79" s="252"/>
      <c r="BQ79" s="252"/>
      <c r="BR79" s="511">
        <v>0.22</v>
      </c>
      <c r="BS79" s="252"/>
      <c r="BT79" s="252"/>
      <c r="BU79" s="524">
        <f t="shared" si="19"/>
        <v>73</v>
      </c>
      <c r="BV79" s="489">
        <v>158.63</v>
      </c>
      <c r="BW79" s="254"/>
      <c r="BX79" s="254"/>
      <c r="BY79" s="254"/>
      <c r="BZ79" s="494">
        <v>19.170000000000002</v>
      </c>
      <c r="CA79" s="497">
        <v>0.3</v>
      </c>
      <c r="CB79" s="497"/>
      <c r="CC79" s="494">
        <v>424</v>
      </c>
      <c r="CD79" s="241">
        <f t="shared" si="11"/>
        <v>73</v>
      </c>
      <c r="CE79" s="2"/>
      <c r="CF79" s="2">
        <v>490.8</v>
      </c>
      <c r="CG79" s="2"/>
      <c r="CH79" s="2"/>
      <c r="CI79" s="2"/>
      <c r="CJ79" s="252"/>
      <c r="CK79" s="252"/>
      <c r="CL79" s="252">
        <v>546.33000000000004</v>
      </c>
      <c r="CM79" s="253"/>
      <c r="CO79" s="5">
        <v>0.08</v>
      </c>
      <c r="CU79" s="266">
        <f t="shared" si="12"/>
        <v>181</v>
      </c>
      <c r="CV79" s="267">
        <f t="shared" si="13"/>
        <v>362</v>
      </c>
      <c r="CW79" s="268">
        <f t="shared" si="14"/>
        <v>904.99</v>
      </c>
      <c r="CX79" s="418">
        <v>184</v>
      </c>
      <c r="CY79" s="252"/>
      <c r="CZ79" s="252"/>
      <c r="DA79" s="252"/>
      <c r="DB79" s="252"/>
      <c r="DC79" s="252"/>
      <c r="DD79" s="252"/>
      <c r="DE79" s="252"/>
      <c r="DF79" s="252">
        <f t="shared" si="20"/>
        <v>0</v>
      </c>
      <c r="DG79" s="252"/>
      <c r="DH79" s="252">
        <v>489.06</v>
      </c>
      <c r="DI79" s="252"/>
      <c r="DK79" s="252"/>
      <c r="DL79" s="252"/>
      <c r="DP79" s="6">
        <v>7.2499999999999995E-2</v>
      </c>
      <c r="DQ79" s="252">
        <v>39.42</v>
      </c>
      <c r="DR79" s="3">
        <v>546.33000000000004</v>
      </c>
      <c r="DT79" s="241">
        <f t="shared" si="15"/>
        <v>73</v>
      </c>
      <c r="DU79" s="2"/>
      <c r="DV79" s="252">
        <v>720</v>
      </c>
      <c r="DY79" s="252">
        <v>405.18</v>
      </c>
      <c r="DZ79" s="264">
        <v>3.9399999999999998E-2</v>
      </c>
      <c r="EA79" s="252">
        <v>0</v>
      </c>
      <c r="EB79" s="253">
        <v>0</v>
      </c>
    </row>
    <row r="80" spans="1:132">
      <c r="A80">
        <v>74</v>
      </c>
      <c r="B80" s="259">
        <v>2.2014</v>
      </c>
      <c r="C80">
        <v>74</v>
      </c>
      <c r="D80" s="168">
        <f t="shared" si="10"/>
        <v>-1.9665676068977289E-3</v>
      </c>
      <c r="E80" s="246">
        <v>41671</v>
      </c>
      <c r="F80" s="186">
        <v>-0.2</v>
      </c>
      <c r="G80" s="247">
        <v>214692.88</v>
      </c>
      <c r="H80" s="247">
        <v>537.57219999999995</v>
      </c>
      <c r="I80" s="248">
        <v>119.1</v>
      </c>
      <c r="J80" s="258">
        <f t="shared" si="16"/>
        <v>-1.6764459346186866E-3</v>
      </c>
      <c r="K80" s="298"/>
      <c r="L80" s="252">
        <v>300</v>
      </c>
      <c r="M80" s="263"/>
      <c r="N80" s="263"/>
      <c r="O80" s="473">
        <v>328.76</v>
      </c>
      <c r="P80" s="474">
        <v>328.76</v>
      </c>
      <c r="Q80" s="474">
        <v>430.86</v>
      </c>
      <c r="R80" s="475">
        <v>0.09</v>
      </c>
      <c r="S80" s="533">
        <f t="shared" si="17"/>
        <v>74</v>
      </c>
      <c r="T80" s="460">
        <v>75.260000000000005</v>
      </c>
      <c r="U80" s="460">
        <v>10.56</v>
      </c>
      <c r="V80" s="460">
        <v>353.76</v>
      </c>
      <c r="W80" s="460"/>
      <c r="X80" s="254">
        <v>51.09</v>
      </c>
      <c r="Y80" s="461">
        <v>7.4999999999999997E-2</v>
      </c>
      <c r="Z80" s="460">
        <v>22.5</v>
      </c>
      <c r="AA80" s="460">
        <v>10.26</v>
      </c>
      <c r="AB80" s="460">
        <v>437.73</v>
      </c>
      <c r="AC80" s="462">
        <v>353.75</v>
      </c>
      <c r="AD80" s="463">
        <v>0.3</v>
      </c>
      <c r="AE80" s="460">
        <v>40.83</v>
      </c>
      <c r="AF80" s="460">
        <v>61.32</v>
      </c>
      <c r="AG80" s="460">
        <v>20.62</v>
      </c>
      <c r="AH80" s="460"/>
      <c r="AI80" s="460"/>
      <c r="AJ80" s="460"/>
      <c r="AK80" s="460"/>
      <c r="AL80" s="253"/>
      <c r="AM80" s="273">
        <v>0.1</v>
      </c>
      <c r="AN80" s="255">
        <v>0.08</v>
      </c>
      <c r="AO80" s="160">
        <v>0.1</v>
      </c>
      <c r="AP80" s="536">
        <v>480.1</v>
      </c>
      <c r="AQ80" s="536"/>
      <c r="AR80" s="505">
        <f t="shared" si="18"/>
        <v>74</v>
      </c>
      <c r="AS80" s="480">
        <v>257.37</v>
      </c>
      <c r="AT80" s="480">
        <v>191.57</v>
      </c>
      <c r="AU80" s="480"/>
      <c r="AV80" s="480"/>
      <c r="AW80" s="480"/>
      <c r="AX80" s="480"/>
      <c r="AY80" s="480">
        <v>303.18</v>
      </c>
      <c r="AZ80" s="499" t="s">
        <v>5323</v>
      </c>
      <c r="BA80" s="502">
        <v>23.57</v>
      </c>
      <c r="BB80" s="502"/>
      <c r="BC80" s="510">
        <v>237.16</v>
      </c>
      <c r="BD80" s="510">
        <v>1222.49</v>
      </c>
      <c r="BE80" s="504">
        <v>0.2</v>
      </c>
      <c r="BF80" s="503">
        <v>0.22</v>
      </c>
      <c r="BG80" s="502">
        <v>16.66</v>
      </c>
      <c r="BH80" s="502">
        <v>1414.05</v>
      </c>
      <c r="BI80" s="502">
        <v>19.170000000000002</v>
      </c>
      <c r="BJ80" s="502"/>
      <c r="BK80" s="502"/>
      <c r="BL80" s="510"/>
      <c r="BM80" s="511">
        <v>0.16200000000000001</v>
      </c>
      <c r="BN80" s="511"/>
      <c r="BO80" s="511" t="s">
        <v>5340</v>
      </c>
      <c r="BP80" s="252"/>
      <c r="BQ80" s="252"/>
      <c r="BR80" s="511">
        <v>0.22</v>
      </c>
      <c r="BS80" s="252"/>
      <c r="BT80" s="252"/>
      <c r="BU80" s="524">
        <f t="shared" si="19"/>
        <v>74</v>
      </c>
      <c r="BV80" s="489">
        <v>158.63</v>
      </c>
      <c r="BW80" s="254"/>
      <c r="BX80" s="254"/>
      <c r="BY80" s="254"/>
      <c r="BZ80" s="494">
        <v>19.170000000000002</v>
      </c>
      <c r="CA80" s="497">
        <v>0.3</v>
      </c>
      <c r="CB80" s="497"/>
      <c r="CC80" s="494">
        <v>424</v>
      </c>
      <c r="CD80" s="241">
        <f t="shared" si="11"/>
        <v>74</v>
      </c>
      <c r="CE80" s="2"/>
      <c r="CF80" s="2">
        <v>490.8</v>
      </c>
      <c r="CG80" s="2"/>
      <c r="CH80" s="2"/>
      <c r="CI80" s="2"/>
      <c r="CJ80" s="252"/>
      <c r="CK80" s="252"/>
      <c r="CL80" s="252">
        <v>546.33000000000004</v>
      </c>
      <c r="CM80" s="253"/>
      <c r="CO80" s="253">
        <v>0.08</v>
      </c>
      <c r="CU80" s="266">
        <f t="shared" si="12"/>
        <v>181</v>
      </c>
      <c r="CV80" s="267">
        <f t="shared" si="13"/>
        <v>362</v>
      </c>
      <c r="CW80" s="268">
        <f t="shared" si="14"/>
        <v>904.99</v>
      </c>
      <c r="CX80" s="418">
        <v>184</v>
      </c>
      <c r="CY80" s="252"/>
      <c r="CZ80" s="252"/>
      <c r="DA80" s="252"/>
      <c r="DB80" s="252"/>
      <c r="DC80" s="252"/>
      <c r="DD80" s="252"/>
      <c r="DE80" s="252"/>
      <c r="DF80" s="252">
        <f t="shared" si="20"/>
        <v>0</v>
      </c>
      <c r="DG80" s="252"/>
      <c r="DH80" s="252">
        <v>489.06</v>
      </c>
      <c r="DI80" s="252"/>
      <c r="DK80" s="252"/>
      <c r="DL80" s="252"/>
      <c r="DP80" s="6">
        <v>7.2499999999999995E-2</v>
      </c>
      <c r="DQ80" s="252">
        <v>39.42</v>
      </c>
      <c r="DR80" s="3">
        <v>546.33000000000004</v>
      </c>
      <c r="DT80" s="241">
        <f t="shared" si="15"/>
        <v>74</v>
      </c>
      <c r="DU80" s="2"/>
      <c r="DV80" s="252">
        <v>720</v>
      </c>
      <c r="DY80" s="252">
        <v>405.18</v>
      </c>
      <c r="DZ80" s="264">
        <v>3.9399999999999998E-2</v>
      </c>
      <c r="EA80" s="252">
        <v>0</v>
      </c>
      <c r="EB80" s="253">
        <v>0</v>
      </c>
    </row>
    <row r="81" spans="1:132">
      <c r="A81">
        <v>75</v>
      </c>
      <c r="B81" s="259">
        <v>3.2014</v>
      </c>
      <c r="C81">
        <v>75</v>
      </c>
      <c r="D81" s="168">
        <f t="shared" si="10"/>
        <v>2.9556639232748427E-3</v>
      </c>
      <c r="E81" s="246">
        <v>41699</v>
      </c>
      <c r="F81" s="186">
        <v>0.28999999999999998</v>
      </c>
      <c r="G81" s="247">
        <v>215327.44</v>
      </c>
      <c r="H81" s="247">
        <v>539.16099999999994</v>
      </c>
      <c r="I81" s="248">
        <v>119.4</v>
      </c>
      <c r="J81" s="258">
        <f t="shared" si="16"/>
        <v>2.5188916876575096E-3</v>
      </c>
      <c r="K81" s="298"/>
      <c r="L81" s="252">
        <v>300</v>
      </c>
      <c r="M81" s="263"/>
      <c r="N81" s="263"/>
      <c r="O81" s="473">
        <v>328.76</v>
      </c>
      <c r="P81" s="474">
        <v>328.76</v>
      </c>
      <c r="Q81" s="474">
        <v>430.86</v>
      </c>
      <c r="R81" s="475">
        <v>0.09</v>
      </c>
      <c r="S81" s="533">
        <f t="shared" si="17"/>
        <v>75</v>
      </c>
      <c r="T81" s="460">
        <v>75.260000000000005</v>
      </c>
      <c r="U81" s="460">
        <v>10.56</v>
      </c>
      <c r="V81" s="460">
        <v>353.76</v>
      </c>
      <c r="W81" s="460"/>
      <c r="X81" s="254">
        <v>51.09</v>
      </c>
      <c r="Y81" s="461">
        <v>7.4999999999999997E-2</v>
      </c>
      <c r="Z81" s="460">
        <v>22.5</v>
      </c>
      <c r="AA81" s="460">
        <v>10.26</v>
      </c>
      <c r="AB81" s="460">
        <v>437.73</v>
      </c>
      <c r="AC81" s="462">
        <v>353.75</v>
      </c>
      <c r="AD81" s="463">
        <v>0.3</v>
      </c>
      <c r="AE81" s="460">
        <v>40.83</v>
      </c>
      <c r="AF81" s="460">
        <v>61.32</v>
      </c>
      <c r="AG81" s="460">
        <v>20.62</v>
      </c>
      <c r="AH81" s="460"/>
      <c r="AI81" s="460"/>
      <c r="AJ81" s="460"/>
      <c r="AK81" s="460"/>
      <c r="AL81" s="253"/>
      <c r="AM81" s="273">
        <v>0.1</v>
      </c>
      <c r="AN81" s="255">
        <v>0.08</v>
      </c>
      <c r="AO81" s="160">
        <v>0.1</v>
      </c>
      <c r="AP81" s="536">
        <v>480.1</v>
      </c>
      <c r="AQ81" s="536"/>
      <c r="AR81" s="505">
        <f t="shared" si="18"/>
        <v>75</v>
      </c>
      <c r="AS81" s="480">
        <v>257.37</v>
      </c>
      <c r="AT81" s="480">
        <v>191.57</v>
      </c>
      <c r="AU81" s="480"/>
      <c r="AV81" s="480"/>
      <c r="AW81" s="480"/>
      <c r="AX81" s="480"/>
      <c r="AY81" s="480">
        <v>303.18</v>
      </c>
      <c r="AZ81" s="499" t="s">
        <v>5323</v>
      </c>
      <c r="BA81" s="502">
        <v>23.57</v>
      </c>
      <c r="BB81" s="501"/>
      <c r="BC81" s="510">
        <v>237.16</v>
      </c>
      <c r="BD81" s="510">
        <v>1222.49</v>
      </c>
      <c r="BE81" s="504">
        <v>0.2</v>
      </c>
      <c r="BF81" s="503">
        <v>0.22</v>
      </c>
      <c r="BG81" s="502">
        <v>16.66</v>
      </c>
      <c r="BH81" s="502">
        <v>1414.05</v>
      </c>
      <c r="BI81" s="502">
        <v>19.170000000000002</v>
      </c>
      <c r="BJ81" s="502"/>
      <c r="BK81" s="502"/>
      <c r="BL81" s="510"/>
      <c r="BM81" s="511">
        <v>0.16200000000000001</v>
      </c>
      <c r="BN81" s="511"/>
      <c r="BO81" s="511" t="s">
        <v>5340</v>
      </c>
      <c r="BP81" s="252"/>
      <c r="BQ81" s="252"/>
      <c r="BR81" s="511">
        <v>0.22</v>
      </c>
      <c r="BS81" s="252"/>
      <c r="BT81" s="252"/>
      <c r="BU81" s="524">
        <f t="shared" si="19"/>
        <v>75</v>
      </c>
      <c r="BV81" s="489">
        <v>158.63</v>
      </c>
      <c r="BW81" s="254"/>
      <c r="BX81" s="254"/>
      <c r="BY81" s="254"/>
      <c r="BZ81" s="494">
        <v>19.170000000000002</v>
      </c>
      <c r="CA81" s="497">
        <v>0.3</v>
      </c>
      <c r="CB81" s="497"/>
      <c r="CC81" s="494">
        <v>424</v>
      </c>
      <c r="CD81" s="241">
        <f t="shared" si="11"/>
        <v>75</v>
      </c>
      <c r="CE81" s="2"/>
      <c r="CF81" s="2">
        <v>490.8</v>
      </c>
      <c r="CG81" s="2"/>
      <c r="CH81" s="2"/>
      <c r="CI81" s="2"/>
      <c r="CJ81" s="252"/>
      <c r="CK81" s="252"/>
      <c r="CL81" s="252">
        <v>546.33000000000004</v>
      </c>
      <c r="CM81" s="253"/>
      <c r="CO81" s="5">
        <v>0.08</v>
      </c>
      <c r="CU81" s="266">
        <f t="shared" si="12"/>
        <v>181</v>
      </c>
      <c r="CV81" s="267">
        <f t="shared" si="13"/>
        <v>362</v>
      </c>
      <c r="CW81" s="268">
        <f t="shared" si="14"/>
        <v>904.99</v>
      </c>
      <c r="CX81" s="418">
        <v>184</v>
      </c>
      <c r="CY81" s="252"/>
      <c r="CZ81" s="252"/>
      <c r="DA81" s="252"/>
      <c r="DB81" s="252"/>
      <c r="DC81" s="252"/>
      <c r="DD81" s="252"/>
      <c r="DE81" s="252"/>
      <c r="DF81" s="252">
        <f t="shared" si="20"/>
        <v>0</v>
      </c>
      <c r="DG81" s="252"/>
      <c r="DH81" s="252">
        <v>489.06</v>
      </c>
      <c r="DI81" s="252"/>
      <c r="DK81" s="252"/>
      <c r="DL81" s="252"/>
      <c r="DP81" s="6">
        <v>7.2499999999999995E-2</v>
      </c>
      <c r="DQ81" s="252">
        <v>39.42</v>
      </c>
      <c r="DR81" s="3">
        <v>546.33000000000004</v>
      </c>
      <c r="DT81" s="241">
        <f t="shared" si="15"/>
        <v>75</v>
      </c>
      <c r="DU81" s="2"/>
      <c r="DV81" s="252">
        <v>720</v>
      </c>
      <c r="DY81" s="252">
        <v>405.18</v>
      </c>
      <c r="DZ81" s="264">
        <v>3.9399999999999998E-2</v>
      </c>
      <c r="EA81" s="252">
        <v>0</v>
      </c>
      <c r="EB81" s="253">
        <v>0</v>
      </c>
    </row>
    <row r="82" spans="1:132">
      <c r="A82">
        <v>76</v>
      </c>
      <c r="B82" s="259">
        <v>4.2013999999999996</v>
      </c>
      <c r="C82">
        <v>76</v>
      </c>
      <c r="D82" s="168">
        <f t="shared" si="10"/>
        <v>9.8231790616187808E-4</v>
      </c>
      <c r="E82" s="246">
        <v>41730</v>
      </c>
      <c r="F82" s="186">
        <v>0.09</v>
      </c>
      <c r="G82" s="247">
        <v>215538.96</v>
      </c>
      <c r="H82" s="247">
        <v>539.69069999999999</v>
      </c>
      <c r="I82" s="248">
        <v>119.5</v>
      </c>
      <c r="J82" s="258">
        <f t="shared" si="16"/>
        <v>8.3752093802336169E-4</v>
      </c>
      <c r="K82" s="298"/>
      <c r="L82" s="252">
        <v>300</v>
      </c>
      <c r="M82" s="263"/>
      <c r="N82" s="263"/>
      <c r="O82" s="473">
        <v>328.76</v>
      </c>
      <c r="P82" s="474">
        <v>328.76</v>
      </c>
      <c r="Q82" s="474">
        <v>430.86</v>
      </c>
      <c r="R82" s="475">
        <v>0.09</v>
      </c>
      <c r="S82" s="533">
        <f t="shared" si="17"/>
        <v>76</v>
      </c>
      <c r="T82" s="460">
        <v>75.260000000000005</v>
      </c>
      <c r="U82" s="460">
        <v>10.56</v>
      </c>
      <c r="V82" s="460">
        <v>353.76</v>
      </c>
      <c r="W82" s="460"/>
      <c r="X82" s="254">
        <v>51.09</v>
      </c>
      <c r="Y82" s="461">
        <v>7.4999999999999997E-2</v>
      </c>
      <c r="Z82" s="460">
        <v>22.5</v>
      </c>
      <c r="AA82" s="460">
        <v>10.26</v>
      </c>
      <c r="AB82" s="460">
        <v>437.73</v>
      </c>
      <c r="AC82" s="462">
        <v>353.75</v>
      </c>
      <c r="AD82" s="463">
        <v>0.3</v>
      </c>
      <c r="AE82" s="460">
        <v>40.83</v>
      </c>
      <c r="AF82" s="460">
        <v>61.32</v>
      </c>
      <c r="AG82" s="460">
        <v>20.62</v>
      </c>
      <c r="AH82" s="460"/>
      <c r="AI82" s="460"/>
      <c r="AJ82" s="460"/>
      <c r="AK82" s="460"/>
      <c r="AL82" s="253"/>
      <c r="AM82" s="273">
        <v>0.1</v>
      </c>
      <c r="AN82" s="255">
        <v>0.08</v>
      </c>
      <c r="AO82" s="160">
        <v>0.1</v>
      </c>
      <c r="AP82" s="536">
        <v>480.1</v>
      </c>
      <c r="AQ82" s="536"/>
      <c r="AR82" s="505">
        <f t="shared" si="18"/>
        <v>76</v>
      </c>
      <c r="AS82" s="480">
        <v>257.37</v>
      </c>
      <c r="AT82" s="480">
        <v>191.57</v>
      </c>
      <c r="AU82" s="480"/>
      <c r="AV82" s="480"/>
      <c r="AW82" s="480"/>
      <c r="AX82" s="480"/>
      <c r="AY82" s="480">
        <v>303.18</v>
      </c>
      <c r="AZ82" s="499" t="s">
        <v>5323</v>
      </c>
      <c r="BA82" s="502">
        <v>23.57</v>
      </c>
      <c r="BB82" s="502"/>
      <c r="BC82" s="510">
        <v>237.16</v>
      </c>
      <c r="BD82" s="510">
        <v>1222.49</v>
      </c>
      <c r="BE82" s="504">
        <v>0.2</v>
      </c>
      <c r="BF82" s="503">
        <v>0.22</v>
      </c>
      <c r="BG82" s="502">
        <v>16.66</v>
      </c>
      <c r="BH82" s="502">
        <v>1414.05</v>
      </c>
      <c r="BI82" s="502">
        <v>19.170000000000002</v>
      </c>
      <c r="BJ82" s="502"/>
      <c r="BK82" s="502"/>
      <c r="BL82" s="510"/>
      <c r="BM82" s="511">
        <v>0.16200000000000001</v>
      </c>
      <c r="BN82" s="511"/>
      <c r="BO82" s="511" t="s">
        <v>5340</v>
      </c>
      <c r="BP82" s="252"/>
      <c r="BQ82" s="252"/>
      <c r="BR82" s="511">
        <v>0.22</v>
      </c>
      <c r="BS82" s="252"/>
      <c r="BT82" s="252"/>
      <c r="BU82" s="524">
        <f t="shared" si="19"/>
        <v>76</v>
      </c>
      <c r="BV82" s="489">
        <v>158.63</v>
      </c>
      <c r="BW82" s="254"/>
      <c r="BX82" s="254"/>
      <c r="BY82" s="254"/>
      <c r="BZ82" s="494">
        <v>19.170000000000002</v>
      </c>
      <c r="CA82" s="497">
        <v>0.3</v>
      </c>
      <c r="CB82" s="497"/>
      <c r="CC82" s="494">
        <v>424</v>
      </c>
      <c r="CD82" s="241">
        <f t="shared" si="11"/>
        <v>76</v>
      </c>
      <c r="CE82" s="2"/>
      <c r="CF82" s="2">
        <v>490.8</v>
      </c>
      <c r="CG82" s="2"/>
      <c r="CH82" s="2"/>
      <c r="CI82" s="2"/>
      <c r="CJ82" s="252"/>
      <c r="CK82" s="252"/>
      <c r="CL82" s="252">
        <v>546.33000000000004</v>
      </c>
      <c r="CM82" s="253"/>
      <c r="CO82" s="253">
        <v>0.08</v>
      </c>
      <c r="CU82" s="266">
        <f t="shared" si="12"/>
        <v>181</v>
      </c>
      <c r="CV82" s="267">
        <f t="shared" si="13"/>
        <v>362</v>
      </c>
      <c r="CW82" s="268">
        <f t="shared" si="14"/>
        <v>904.99</v>
      </c>
      <c r="CX82" s="418">
        <v>184</v>
      </c>
      <c r="CY82" s="252"/>
      <c r="CZ82" s="252"/>
      <c r="DA82" s="252"/>
      <c r="DB82" s="252"/>
      <c r="DC82" s="252"/>
      <c r="DD82" s="252"/>
      <c r="DE82" s="252"/>
      <c r="DF82" s="252">
        <f t="shared" si="20"/>
        <v>0</v>
      </c>
      <c r="DG82" s="252"/>
      <c r="DH82" s="252">
        <v>489.06</v>
      </c>
      <c r="DI82" s="252"/>
      <c r="DK82" s="252"/>
      <c r="DL82" s="252"/>
      <c r="DP82" s="6">
        <v>7.2499999999999995E-2</v>
      </c>
      <c r="DQ82" s="252">
        <v>39.42</v>
      </c>
      <c r="DR82" s="3">
        <v>546.33000000000004</v>
      </c>
      <c r="DT82" s="241">
        <f t="shared" si="15"/>
        <v>76</v>
      </c>
      <c r="DU82" s="2"/>
      <c r="DV82" s="252">
        <v>720</v>
      </c>
      <c r="DY82" s="252">
        <v>405.18</v>
      </c>
      <c r="DZ82" s="264">
        <v>3.9399999999999998E-2</v>
      </c>
      <c r="EA82" s="252">
        <v>0</v>
      </c>
      <c r="EB82" s="253">
        <v>0</v>
      </c>
    </row>
    <row r="83" spans="1:132">
      <c r="A83">
        <v>77</v>
      </c>
      <c r="B83" s="259">
        <v>5.2013999999999996</v>
      </c>
      <c r="C83">
        <v>77</v>
      </c>
      <c r="D83" s="168">
        <f t="shared" si="10"/>
        <v>9.8135390464926253E-4</v>
      </c>
      <c r="E83" s="246">
        <v>41760</v>
      </c>
      <c r="F83" s="186">
        <v>0.09</v>
      </c>
      <c r="G83" s="247">
        <v>215750.48</v>
      </c>
      <c r="H83" s="247">
        <v>540.22029999999995</v>
      </c>
      <c r="I83" s="248">
        <v>119.7</v>
      </c>
      <c r="J83" s="258">
        <f t="shared" si="16"/>
        <v>1.6736401673640433E-3</v>
      </c>
      <c r="K83" s="298"/>
      <c r="L83" s="252">
        <v>300</v>
      </c>
      <c r="M83" s="263"/>
      <c r="N83" s="263"/>
      <c r="O83" s="473">
        <v>328.76</v>
      </c>
      <c r="P83" s="474">
        <v>328.76</v>
      </c>
      <c r="Q83" s="474">
        <v>430.86</v>
      </c>
      <c r="R83" s="475">
        <v>0.09</v>
      </c>
      <c r="S83" s="533">
        <f t="shared" si="17"/>
        <v>77</v>
      </c>
      <c r="T83" s="460">
        <v>75.260000000000005</v>
      </c>
      <c r="U83" s="460">
        <v>10.56</v>
      </c>
      <c r="V83" s="460">
        <v>353.76</v>
      </c>
      <c r="W83" s="460"/>
      <c r="X83" s="254">
        <v>51.09</v>
      </c>
      <c r="Y83" s="461">
        <v>7.4999999999999997E-2</v>
      </c>
      <c r="Z83" s="460">
        <v>22.5</v>
      </c>
      <c r="AA83" s="460">
        <v>10.26</v>
      </c>
      <c r="AB83" s="460">
        <v>437.73</v>
      </c>
      <c r="AC83" s="462">
        <v>353.75</v>
      </c>
      <c r="AD83" s="463">
        <v>0.3</v>
      </c>
      <c r="AE83" s="460">
        <v>40.83</v>
      </c>
      <c r="AF83" s="460">
        <v>61.32</v>
      </c>
      <c r="AG83" s="460">
        <v>20.62</v>
      </c>
      <c r="AH83" s="460"/>
      <c r="AI83" s="460"/>
      <c r="AJ83" s="460"/>
      <c r="AK83" s="460"/>
      <c r="AL83" s="253"/>
      <c r="AM83" s="273">
        <v>0.1</v>
      </c>
      <c r="AN83" s="255">
        <v>0.08</v>
      </c>
      <c r="AO83" s="160">
        <v>0.1</v>
      </c>
      <c r="AP83" s="536">
        <v>480.1</v>
      </c>
      <c r="AQ83" s="536"/>
      <c r="AR83" s="505">
        <f t="shared" si="18"/>
        <v>77</v>
      </c>
      <c r="AS83" s="480">
        <v>257.37</v>
      </c>
      <c r="AT83" s="480">
        <v>191.57</v>
      </c>
      <c r="AU83" s="480"/>
      <c r="AV83" s="480"/>
      <c r="AW83" s="480"/>
      <c r="AX83" s="480"/>
      <c r="AY83" s="480">
        <v>303.18</v>
      </c>
      <c r="AZ83" s="499" t="s">
        <v>5323</v>
      </c>
      <c r="BA83" s="502">
        <v>23.57</v>
      </c>
      <c r="BB83" s="501"/>
      <c r="BC83" s="510">
        <v>237.16</v>
      </c>
      <c r="BD83" s="510">
        <v>1222.49</v>
      </c>
      <c r="BE83" s="504">
        <v>0.2</v>
      </c>
      <c r="BF83" s="503">
        <v>0.22</v>
      </c>
      <c r="BG83" s="502">
        <v>16.66</v>
      </c>
      <c r="BH83" s="502">
        <v>1414.05</v>
      </c>
      <c r="BI83" s="502">
        <v>19.170000000000002</v>
      </c>
      <c r="BJ83" s="502"/>
      <c r="BK83" s="502"/>
      <c r="BL83" s="510"/>
      <c r="BM83" s="511">
        <v>0.16200000000000001</v>
      </c>
      <c r="BN83" s="511"/>
      <c r="BO83" s="511" t="s">
        <v>5340</v>
      </c>
      <c r="BP83" s="252"/>
      <c r="BQ83" s="252"/>
      <c r="BR83" s="511">
        <v>0.22</v>
      </c>
      <c r="BS83" s="252"/>
      <c r="BT83" s="252"/>
      <c r="BU83" s="524">
        <f t="shared" si="19"/>
        <v>77</v>
      </c>
      <c r="BV83" s="489">
        <v>158.63</v>
      </c>
      <c r="BW83" s="254"/>
      <c r="BX83" s="254"/>
      <c r="BY83" s="254"/>
      <c r="BZ83" s="494">
        <v>19.170000000000002</v>
      </c>
      <c r="CA83" s="497">
        <v>0.3</v>
      </c>
      <c r="CB83" s="497"/>
      <c r="CC83" s="494">
        <v>424</v>
      </c>
      <c r="CD83" s="241">
        <f t="shared" si="11"/>
        <v>77</v>
      </c>
      <c r="CE83" s="2"/>
      <c r="CF83" s="2">
        <v>490.8</v>
      </c>
      <c r="CG83" s="2"/>
      <c r="CH83" s="2"/>
      <c r="CI83" s="2"/>
      <c r="CJ83" s="252"/>
      <c r="CK83" s="252"/>
      <c r="CL83" s="252">
        <v>546.33000000000004</v>
      </c>
      <c r="CM83" s="253"/>
      <c r="CO83" s="5">
        <v>0.08</v>
      </c>
      <c r="CU83" s="266">
        <f t="shared" si="12"/>
        <v>181</v>
      </c>
      <c r="CV83" s="267">
        <f t="shared" si="13"/>
        <v>362</v>
      </c>
      <c r="CW83" s="268">
        <f t="shared" si="14"/>
        <v>904.99</v>
      </c>
      <c r="CX83" s="418">
        <v>184</v>
      </c>
      <c r="CY83" s="252"/>
      <c r="CZ83" s="252"/>
      <c r="DA83" s="252"/>
      <c r="DB83" s="252"/>
      <c r="DC83" s="252"/>
      <c r="DD83" s="252"/>
      <c r="DE83" s="252"/>
      <c r="DF83" s="252">
        <f t="shared" si="20"/>
        <v>0</v>
      </c>
      <c r="DG83" s="252"/>
      <c r="DH83" s="252">
        <v>489.06</v>
      </c>
      <c r="DI83" s="252"/>
      <c r="DK83" s="252"/>
      <c r="DL83" s="252"/>
      <c r="DP83" s="6">
        <v>7.2499999999999995E-2</v>
      </c>
      <c r="DQ83" s="252">
        <v>39.42</v>
      </c>
      <c r="DR83" s="3">
        <v>546.33000000000004</v>
      </c>
      <c r="DT83" s="241">
        <f t="shared" si="15"/>
        <v>77</v>
      </c>
      <c r="DU83" s="2"/>
      <c r="DV83" s="252">
        <v>720</v>
      </c>
      <c r="DY83" s="252">
        <v>405.18</v>
      </c>
      <c r="DZ83" s="264">
        <v>3.9399999999999998E-2</v>
      </c>
      <c r="EA83" s="252">
        <v>0</v>
      </c>
      <c r="EB83" s="253">
        <v>0</v>
      </c>
    </row>
    <row r="84" spans="1:132">
      <c r="A84">
        <v>78</v>
      </c>
      <c r="B84" s="259">
        <v>6.2013999999999996</v>
      </c>
      <c r="C84">
        <v>78</v>
      </c>
      <c r="D84" s="168">
        <f t="shared" si="10"/>
        <v>2.9412217298425691E-3</v>
      </c>
      <c r="E84" s="246">
        <v>41791</v>
      </c>
      <c r="F84" s="186">
        <v>0.28999999999999998</v>
      </c>
      <c r="G84" s="247">
        <v>216385.05</v>
      </c>
      <c r="H84" s="247">
        <v>541.80920000000003</v>
      </c>
      <c r="I84" s="248">
        <v>120</v>
      </c>
      <c r="J84" s="258">
        <f t="shared" si="16"/>
        <v>2.5062656641603454E-3</v>
      </c>
      <c r="K84" s="298"/>
      <c r="L84" s="252">
        <v>300</v>
      </c>
      <c r="M84" s="263"/>
      <c r="N84" s="263"/>
      <c r="O84" s="473">
        <v>328.76</v>
      </c>
      <c r="P84" s="474">
        <v>328.76</v>
      </c>
      <c r="Q84" s="474">
        <v>430.86</v>
      </c>
      <c r="R84" s="475">
        <v>0.09</v>
      </c>
      <c r="S84" s="533">
        <f t="shared" si="17"/>
        <v>78</v>
      </c>
      <c r="T84" s="460">
        <v>75.260000000000005</v>
      </c>
      <c r="U84" s="460">
        <v>10.56</v>
      </c>
      <c r="V84" s="460">
        <v>353.76</v>
      </c>
      <c r="W84" s="460"/>
      <c r="X84" s="254">
        <v>51.09</v>
      </c>
      <c r="Y84" s="461">
        <v>7.4999999999999997E-2</v>
      </c>
      <c r="Z84" s="460">
        <v>22.5</v>
      </c>
      <c r="AA84" s="460">
        <v>10.26</v>
      </c>
      <c r="AB84" s="460">
        <v>437.73</v>
      </c>
      <c r="AC84" s="462">
        <v>353.75</v>
      </c>
      <c r="AD84" s="463">
        <v>0.3</v>
      </c>
      <c r="AE84" s="460">
        <v>40.83</v>
      </c>
      <c r="AF84" s="460">
        <v>61.32</v>
      </c>
      <c r="AG84" s="460">
        <v>20.62</v>
      </c>
      <c r="AH84" s="460"/>
      <c r="AI84" s="460"/>
      <c r="AJ84" s="460"/>
      <c r="AK84" s="460"/>
      <c r="AL84" s="253"/>
      <c r="AM84" s="273">
        <v>0.1</v>
      </c>
      <c r="AN84" s="255">
        <v>0.08</v>
      </c>
      <c r="AO84" s="160">
        <v>0.1</v>
      </c>
      <c r="AP84" s="536">
        <v>480.1</v>
      </c>
      <c r="AQ84" s="536"/>
      <c r="AR84" s="505">
        <f t="shared" si="18"/>
        <v>78</v>
      </c>
      <c r="AS84" s="480">
        <v>257.37</v>
      </c>
      <c r="AT84" s="480">
        <v>191.57</v>
      </c>
      <c r="AU84" s="480"/>
      <c r="AV84" s="480"/>
      <c r="AW84" s="480"/>
      <c r="AX84" s="480"/>
      <c r="AY84" s="480">
        <v>303.18</v>
      </c>
      <c r="AZ84" s="499" t="s">
        <v>5323</v>
      </c>
      <c r="BA84" s="502">
        <v>23.57</v>
      </c>
      <c r="BB84" s="502"/>
      <c r="BC84" s="510">
        <v>237.16</v>
      </c>
      <c r="BD84" s="510">
        <v>1222.49</v>
      </c>
      <c r="BE84" s="504">
        <v>0.2</v>
      </c>
      <c r="BF84" s="503">
        <v>0.22</v>
      </c>
      <c r="BG84" s="502">
        <v>16.66</v>
      </c>
      <c r="BH84" s="502">
        <v>1414.05</v>
      </c>
      <c r="BI84" s="502">
        <v>19.170000000000002</v>
      </c>
      <c r="BJ84" s="502"/>
      <c r="BK84" s="502"/>
      <c r="BL84" s="510"/>
      <c r="BM84" s="511">
        <v>0.16200000000000001</v>
      </c>
      <c r="BN84" s="511"/>
      <c r="BO84" s="511" t="s">
        <v>5340</v>
      </c>
      <c r="BP84" s="252"/>
      <c r="BQ84" s="252"/>
      <c r="BR84" s="511">
        <v>0.22</v>
      </c>
      <c r="BS84" s="252"/>
      <c r="BT84" s="252"/>
      <c r="BU84" s="524">
        <f t="shared" si="19"/>
        <v>78</v>
      </c>
      <c r="BV84" s="489">
        <v>158.63</v>
      </c>
      <c r="BW84" s="254"/>
      <c r="BX84" s="254"/>
      <c r="BY84" s="254"/>
      <c r="BZ84" s="494">
        <v>19.170000000000002</v>
      </c>
      <c r="CA84" s="497">
        <v>0.3</v>
      </c>
      <c r="CB84" s="497"/>
      <c r="CC84" s="494">
        <v>424</v>
      </c>
      <c r="CD84" s="241">
        <f t="shared" si="11"/>
        <v>78</v>
      </c>
      <c r="CE84" s="2"/>
      <c r="CF84" s="2">
        <v>490.8</v>
      </c>
      <c r="CG84" s="2"/>
      <c r="CH84" s="2"/>
      <c r="CI84" s="2"/>
      <c r="CJ84" s="252"/>
      <c r="CK84" s="252"/>
      <c r="CL84" s="252">
        <v>546.33000000000004</v>
      </c>
      <c r="CM84" s="253"/>
      <c r="CO84" s="253">
        <v>0.08</v>
      </c>
      <c r="CU84" s="266">
        <f t="shared" si="12"/>
        <v>181</v>
      </c>
      <c r="CV84" s="267">
        <f t="shared" si="13"/>
        <v>362</v>
      </c>
      <c r="CW84" s="268">
        <f t="shared" si="14"/>
        <v>904.99</v>
      </c>
      <c r="CX84" s="418">
        <v>184</v>
      </c>
      <c r="CY84" s="252"/>
      <c r="CZ84" s="252"/>
      <c r="DA84" s="252"/>
      <c r="DB84" s="252"/>
      <c r="DC84" s="252"/>
      <c r="DD84" s="252"/>
      <c r="DE84" s="252"/>
      <c r="DF84" s="252">
        <f t="shared" si="20"/>
        <v>0</v>
      </c>
      <c r="DG84" s="252"/>
      <c r="DH84" s="252">
        <v>489.06</v>
      </c>
      <c r="DI84" s="252"/>
      <c r="DK84" s="252"/>
      <c r="DL84" s="252"/>
      <c r="DP84" s="6">
        <v>7.2499999999999995E-2</v>
      </c>
      <c r="DQ84" s="252">
        <v>39.42</v>
      </c>
      <c r="DR84" s="3">
        <v>546.33000000000004</v>
      </c>
      <c r="DT84" s="241">
        <f t="shared" si="15"/>
        <v>78</v>
      </c>
      <c r="DU84" s="2"/>
      <c r="DV84" s="252">
        <v>720</v>
      </c>
      <c r="DY84" s="252">
        <v>405.18</v>
      </c>
      <c r="DZ84" s="264">
        <v>3.9399999999999998E-2</v>
      </c>
      <c r="EA84" s="252">
        <v>0</v>
      </c>
      <c r="EB84" s="253">
        <v>0</v>
      </c>
    </row>
    <row r="85" spans="1:132">
      <c r="A85">
        <v>79</v>
      </c>
      <c r="B85" s="259">
        <v>7.2013999999999996</v>
      </c>
      <c r="C85">
        <v>79</v>
      </c>
      <c r="D85" s="168">
        <f t="shared" si="10"/>
        <v>9.7751669997547808E-4</v>
      </c>
      <c r="E85" s="246">
        <v>41821</v>
      </c>
      <c r="F85" s="186">
        <v>0.09</v>
      </c>
      <c r="G85" s="247">
        <v>216596.57</v>
      </c>
      <c r="H85" s="247">
        <v>542.33879999999999</v>
      </c>
      <c r="I85" s="248">
        <v>120.1</v>
      </c>
      <c r="J85" s="258">
        <f t="shared" si="16"/>
        <v>8.3333333333324155E-4</v>
      </c>
      <c r="K85" s="298"/>
      <c r="L85" s="252">
        <v>300</v>
      </c>
      <c r="M85" s="263"/>
      <c r="N85" s="263"/>
      <c r="O85" s="473">
        <v>328.76</v>
      </c>
      <c r="P85" s="474">
        <v>328.76</v>
      </c>
      <c r="Q85" s="474">
        <v>430.86</v>
      </c>
      <c r="R85" s="475">
        <v>0.09</v>
      </c>
      <c r="S85" s="533">
        <f t="shared" si="17"/>
        <v>79</v>
      </c>
      <c r="T85" s="460">
        <v>75.260000000000005</v>
      </c>
      <c r="U85" s="460">
        <v>10.56</v>
      </c>
      <c r="V85" s="460">
        <v>353.76</v>
      </c>
      <c r="W85" s="460"/>
      <c r="X85" s="254">
        <v>51.09</v>
      </c>
      <c r="Y85" s="461">
        <v>7.4999999999999997E-2</v>
      </c>
      <c r="Z85" s="460">
        <v>22.5</v>
      </c>
      <c r="AA85" s="460">
        <v>10.26</v>
      </c>
      <c r="AB85" s="460">
        <v>437.73</v>
      </c>
      <c r="AC85" s="462">
        <v>353.75</v>
      </c>
      <c r="AD85" s="463">
        <v>0.3</v>
      </c>
      <c r="AE85" s="460">
        <v>40.83</v>
      </c>
      <c r="AF85" s="460">
        <v>61.32</v>
      </c>
      <c r="AG85" s="460">
        <v>20.62</v>
      </c>
      <c r="AH85" s="460"/>
      <c r="AI85" s="460"/>
      <c r="AJ85" s="460"/>
      <c r="AK85" s="460"/>
      <c r="AL85" s="253"/>
      <c r="AM85" s="273">
        <v>0.1</v>
      </c>
      <c r="AN85" s="255">
        <v>0.08</v>
      </c>
      <c r="AO85" s="160">
        <v>0.1</v>
      </c>
      <c r="AP85" s="536">
        <v>480.1</v>
      </c>
      <c r="AQ85" s="536"/>
      <c r="AR85" s="505">
        <f t="shared" si="18"/>
        <v>79</v>
      </c>
      <c r="AS85" s="480">
        <v>257.37</v>
      </c>
      <c r="AT85" s="480">
        <v>191.57</v>
      </c>
      <c r="AU85" s="480"/>
      <c r="AV85" s="480"/>
      <c r="AW85" s="480"/>
      <c r="AX85" s="480"/>
      <c r="AY85" s="480">
        <v>303.18</v>
      </c>
      <c r="AZ85" s="499" t="s">
        <v>5323</v>
      </c>
      <c r="BA85" s="502">
        <v>23.57</v>
      </c>
      <c r="BB85" s="501"/>
      <c r="BC85" s="510">
        <v>237.16</v>
      </c>
      <c r="BD85" s="510">
        <v>1222.49</v>
      </c>
      <c r="BE85" s="504">
        <v>0.2</v>
      </c>
      <c r="BF85" s="503">
        <v>0.22</v>
      </c>
      <c r="BG85" s="502">
        <v>16.66</v>
      </c>
      <c r="BH85" s="502">
        <v>1414.05</v>
      </c>
      <c r="BI85" s="502">
        <v>19.170000000000002</v>
      </c>
      <c r="BJ85" s="502"/>
      <c r="BK85" s="502"/>
      <c r="BL85" s="510"/>
      <c r="BM85" s="511">
        <v>0.16200000000000001</v>
      </c>
      <c r="BN85" s="511"/>
      <c r="BO85" s="511" t="s">
        <v>5340</v>
      </c>
      <c r="BP85" s="252"/>
      <c r="BQ85" s="252"/>
      <c r="BR85" s="511">
        <v>0.22</v>
      </c>
      <c r="BS85" s="252"/>
      <c r="BT85" s="252"/>
      <c r="BU85" s="524">
        <f t="shared" si="19"/>
        <v>79</v>
      </c>
      <c r="BV85" s="489">
        <v>158.63</v>
      </c>
      <c r="BW85" s="254"/>
      <c r="BX85" s="254"/>
      <c r="BY85" s="254"/>
      <c r="BZ85" s="494">
        <v>19.170000000000002</v>
      </c>
      <c r="CA85" s="497">
        <v>0.3</v>
      </c>
      <c r="CB85" s="497"/>
      <c r="CC85" s="494">
        <v>424</v>
      </c>
      <c r="CD85" s="241">
        <f t="shared" si="11"/>
        <v>79</v>
      </c>
      <c r="CE85" s="2"/>
      <c r="CF85" s="2">
        <v>490.8</v>
      </c>
      <c r="CG85" s="2"/>
      <c r="CH85" s="2"/>
      <c r="CI85" s="2"/>
      <c r="CJ85" s="252"/>
      <c r="CK85" s="252"/>
      <c r="CL85" s="252">
        <v>546.33000000000004</v>
      </c>
      <c r="CM85" s="253"/>
      <c r="CO85" s="5">
        <v>0.08</v>
      </c>
      <c r="CU85" s="266">
        <f t="shared" si="12"/>
        <v>181</v>
      </c>
      <c r="CV85" s="267">
        <f t="shared" si="13"/>
        <v>362</v>
      </c>
      <c r="CW85" s="268">
        <f t="shared" si="14"/>
        <v>904.99</v>
      </c>
      <c r="CX85" s="418">
        <v>184</v>
      </c>
      <c r="CY85" s="252"/>
      <c r="CZ85" s="252"/>
      <c r="DA85" s="252"/>
      <c r="DB85" s="252"/>
      <c r="DC85" s="252"/>
      <c r="DD85" s="252"/>
      <c r="DE85" s="252"/>
      <c r="DF85" s="252">
        <f t="shared" si="20"/>
        <v>0</v>
      </c>
      <c r="DG85" s="252"/>
      <c r="DH85" s="252">
        <v>489.06</v>
      </c>
      <c r="DI85" s="252"/>
      <c r="DK85" s="252"/>
      <c r="DL85" s="252"/>
      <c r="DP85" s="6">
        <v>7.2499999999999995E-2</v>
      </c>
      <c r="DQ85" s="252">
        <v>39.42</v>
      </c>
      <c r="DR85" s="3">
        <v>546.33000000000004</v>
      </c>
      <c r="DT85" s="241">
        <f t="shared" si="15"/>
        <v>79</v>
      </c>
      <c r="DU85" s="2"/>
      <c r="DV85" s="252">
        <v>720</v>
      </c>
      <c r="DY85" s="252">
        <v>405.18</v>
      </c>
      <c r="DZ85" s="264">
        <v>3.9399999999999998E-2</v>
      </c>
      <c r="EA85" s="252">
        <v>0</v>
      </c>
      <c r="EB85" s="253">
        <v>0</v>
      </c>
    </row>
    <row r="86" spans="1:132">
      <c r="A86">
        <v>80</v>
      </c>
      <c r="B86" s="259">
        <v>8.2013999999999996</v>
      </c>
      <c r="C86">
        <v>80</v>
      </c>
      <c r="D86" s="168">
        <f t="shared" si="10"/>
        <v>-9.7656209421981277E-4</v>
      </c>
      <c r="E86" s="246">
        <v>41852</v>
      </c>
      <c r="F86" s="186">
        <v>-0.1</v>
      </c>
      <c r="G86" s="247">
        <v>216385.05</v>
      </c>
      <c r="H86" s="247">
        <v>541.80920000000003</v>
      </c>
      <c r="I86" s="248">
        <v>120</v>
      </c>
      <c r="J86" s="258">
        <f t="shared" si="16"/>
        <v>-8.3263946711065184E-4</v>
      </c>
      <c r="K86" s="298"/>
      <c r="L86" s="252">
        <v>300</v>
      </c>
      <c r="M86" s="263"/>
      <c r="N86" s="263"/>
      <c r="O86" s="473">
        <v>328.76</v>
      </c>
      <c r="P86" s="474">
        <v>328.76</v>
      </c>
      <c r="Q86" s="474">
        <v>430.86</v>
      </c>
      <c r="R86" s="475">
        <v>0.09</v>
      </c>
      <c r="S86" s="533">
        <f t="shared" si="17"/>
        <v>80</v>
      </c>
      <c r="T86" s="460">
        <v>75.260000000000005</v>
      </c>
      <c r="U86" s="460">
        <v>10.56</v>
      </c>
      <c r="V86" s="460">
        <v>353.76</v>
      </c>
      <c r="W86" s="460"/>
      <c r="X86" s="254">
        <v>51.09</v>
      </c>
      <c r="Y86" s="461">
        <v>7.4999999999999997E-2</v>
      </c>
      <c r="Z86" s="460">
        <v>22.5</v>
      </c>
      <c r="AA86" s="460">
        <v>10.26</v>
      </c>
      <c r="AB86" s="460">
        <v>437.73</v>
      </c>
      <c r="AC86" s="462">
        <v>353.75</v>
      </c>
      <c r="AD86" s="463">
        <v>0.3</v>
      </c>
      <c r="AE86" s="460">
        <v>40.83</v>
      </c>
      <c r="AF86" s="460">
        <v>61.32</v>
      </c>
      <c r="AG86" s="460">
        <v>20.62</v>
      </c>
      <c r="AH86" s="460"/>
      <c r="AI86" s="460"/>
      <c r="AJ86" s="460"/>
      <c r="AK86" s="460"/>
      <c r="AL86" s="253"/>
      <c r="AM86" s="273">
        <v>0.1</v>
      </c>
      <c r="AN86" s="255">
        <v>0.08</v>
      </c>
      <c r="AO86" s="160">
        <v>0.1</v>
      </c>
      <c r="AP86" s="536">
        <v>480.1</v>
      </c>
      <c r="AQ86" s="536"/>
      <c r="AR86" s="505">
        <f t="shared" si="18"/>
        <v>80</v>
      </c>
      <c r="AS86" s="480">
        <v>257.37</v>
      </c>
      <c r="AT86" s="480">
        <v>191.57</v>
      </c>
      <c r="AU86" s="480"/>
      <c r="AV86" s="480"/>
      <c r="AW86" s="480"/>
      <c r="AX86" s="480"/>
      <c r="AY86" s="480">
        <v>303.18</v>
      </c>
      <c r="AZ86" s="499" t="s">
        <v>5323</v>
      </c>
      <c r="BA86" s="502">
        <v>23.57</v>
      </c>
      <c r="BB86" s="502"/>
      <c r="BC86" s="510">
        <v>237.16</v>
      </c>
      <c r="BD86" s="510">
        <v>1222.49</v>
      </c>
      <c r="BE86" s="504">
        <v>0.2</v>
      </c>
      <c r="BF86" s="503">
        <v>0.22</v>
      </c>
      <c r="BG86" s="502">
        <v>16.66</v>
      </c>
      <c r="BH86" s="502">
        <v>1414.05</v>
      </c>
      <c r="BI86" s="502">
        <v>19.170000000000002</v>
      </c>
      <c r="BJ86" s="502"/>
      <c r="BK86" s="502"/>
      <c r="BL86" s="510"/>
      <c r="BM86" s="511">
        <v>0.16200000000000001</v>
      </c>
      <c r="BN86" s="511"/>
      <c r="BO86" s="511" t="s">
        <v>5340</v>
      </c>
      <c r="BP86" s="252"/>
      <c r="BQ86" s="252"/>
      <c r="BR86" s="511">
        <v>0.22</v>
      </c>
      <c r="BS86" s="252"/>
      <c r="BT86" s="252"/>
      <c r="BU86" s="524">
        <f t="shared" si="19"/>
        <v>80</v>
      </c>
      <c r="BV86" s="489">
        <v>158.63</v>
      </c>
      <c r="BW86" s="254"/>
      <c r="BX86" s="254"/>
      <c r="BY86" s="254"/>
      <c r="BZ86" s="494">
        <v>19.170000000000002</v>
      </c>
      <c r="CA86" s="497">
        <v>0.3</v>
      </c>
      <c r="CB86" s="497"/>
      <c r="CC86" s="494">
        <v>424</v>
      </c>
      <c r="CD86" s="241">
        <f t="shared" si="11"/>
        <v>80</v>
      </c>
      <c r="CE86" s="2"/>
      <c r="CF86" s="2">
        <v>490.8</v>
      </c>
      <c r="CG86" s="2"/>
      <c r="CH86" s="2"/>
      <c r="CI86" s="2"/>
      <c r="CJ86" s="252"/>
      <c r="CK86" s="252"/>
      <c r="CL86" s="252">
        <v>546.33000000000004</v>
      </c>
      <c r="CM86" s="253"/>
      <c r="CO86" s="253">
        <v>0.08</v>
      </c>
      <c r="CU86" s="266">
        <f t="shared" si="12"/>
        <v>181</v>
      </c>
      <c r="CV86" s="267">
        <f t="shared" si="13"/>
        <v>362</v>
      </c>
      <c r="CW86" s="268">
        <f t="shared" si="14"/>
        <v>904.99</v>
      </c>
      <c r="CX86" s="418">
        <v>184</v>
      </c>
      <c r="CY86" s="252"/>
      <c r="CZ86" s="252"/>
      <c r="DA86" s="252"/>
      <c r="DB86" s="252"/>
      <c r="DC86" s="252"/>
      <c r="DD86" s="252"/>
      <c r="DE86" s="252"/>
      <c r="DF86" s="252">
        <f t="shared" si="20"/>
        <v>0</v>
      </c>
      <c r="DG86" s="252"/>
      <c r="DH86" s="252">
        <v>489.06</v>
      </c>
      <c r="DI86" s="252"/>
      <c r="DK86" s="252"/>
      <c r="DL86" s="252"/>
      <c r="DP86" s="6">
        <v>7.2499999999999995E-2</v>
      </c>
      <c r="DQ86" s="252">
        <v>39.42</v>
      </c>
      <c r="DR86" s="3">
        <v>546.33000000000004</v>
      </c>
      <c r="DT86" s="241">
        <f t="shared" si="15"/>
        <v>80</v>
      </c>
      <c r="DU86" s="2"/>
      <c r="DV86" s="252">
        <v>720</v>
      </c>
      <c r="DY86" s="252">
        <v>405.18</v>
      </c>
      <c r="DZ86" s="264">
        <v>3.9399999999999998E-2</v>
      </c>
      <c r="EA86" s="252">
        <v>0</v>
      </c>
      <c r="EB86" s="253">
        <v>0</v>
      </c>
    </row>
    <row r="87" spans="1:132">
      <c r="A87">
        <v>81</v>
      </c>
      <c r="B87" s="259">
        <v>9.2013999999999996</v>
      </c>
      <c r="C87">
        <v>81</v>
      </c>
      <c r="D87" s="168">
        <f t="shared" si="10"/>
        <v>-2.932596313839464E-3</v>
      </c>
      <c r="E87" s="246">
        <v>41883</v>
      </c>
      <c r="F87" s="186">
        <v>-0.3</v>
      </c>
      <c r="G87" s="247">
        <v>215750.48</v>
      </c>
      <c r="H87" s="247">
        <v>540.22029999999995</v>
      </c>
      <c r="I87" s="248">
        <v>119.7</v>
      </c>
      <c r="J87" s="258">
        <f t="shared" si="16"/>
        <v>-2.4999999999999467E-3</v>
      </c>
      <c r="K87" s="298"/>
      <c r="L87" s="252">
        <v>300</v>
      </c>
      <c r="M87" s="263"/>
      <c r="N87" s="263"/>
      <c r="O87" s="473">
        <v>328.76</v>
      </c>
      <c r="P87" s="474">
        <v>328.76</v>
      </c>
      <c r="Q87" s="474">
        <v>430.86</v>
      </c>
      <c r="R87" s="475">
        <v>0.09</v>
      </c>
      <c r="S87" s="533">
        <f t="shared" si="17"/>
        <v>81</v>
      </c>
      <c r="T87" s="460">
        <v>75.260000000000005</v>
      </c>
      <c r="U87" s="460">
        <v>10.56</v>
      </c>
      <c r="V87" s="460">
        <v>353.76</v>
      </c>
      <c r="W87" s="460"/>
      <c r="X87" s="254">
        <v>51.09</v>
      </c>
      <c r="Y87" s="461">
        <v>7.4999999999999997E-2</v>
      </c>
      <c r="Z87" s="460">
        <v>22.5</v>
      </c>
      <c r="AA87" s="460">
        <v>10.26</v>
      </c>
      <c r="AB87" s="460">
        <v>437.73</v>
      </c>
      <c r="AC87" s="462">
        <v>353.75</v>
      </c>
      <c r="AD87" s="463">
        <v>0.3</v>
      </c>
      <c r="AE87" s="460">
        <v>40.83</v>
      </c>
      <c r="AF87" s="460">
        <v>61.32</v>
      </c>
      <c r="AG87" s="460">
        <v>20.62</v>
      </c>
      <c r="AH87" s="460"/>
      <c r="AI87" s="460"/>
      <c r="AJ87" s="460"/>
      <c r="AK87" s="460"/>
      <c r="AL87" s="253"/>
      <c r="AM87" s="273">
        <v>0.1</v>
      </c>
      <c r="AN87" s="255">
        <v>0.08</v>
      </c>
      <c r="AO87" s="160">
        <v>0.1</v>
      </c>
      <c r="AP87" s="536">
        <v>480.1</v>
      </c>
      <c r="AQ87" s="536"/>
      <c r="AR87" s="505">
        <f t="shared" si="18"/>
        <v>81</v>
      </c>
      <c r="AS87" s="480">
        <v>257.37</v>
      </c>
      <c r="AT87" s="480">
        <v>191.57</v>
      </c>
      <c r="AU87" s="480"/>
      <c r="AV87" s="480"/>
      <c r="AW87" s="480"/>
      <c r="AX87" s="480"/>
      <c r="AY87" s="480">
        <v>303.18</v>
      </c>
      <c r="AZ87" s="499" t="s">
        <v>5323</v>
      </c>
      <c r="BA87" s="502">
        <v>23.57</v>
      </c>
      <c r="BB87" s="501"/>
      <c r="BC87" s="510">
        <v>237.16</v>
      </c>
      <c r="BD87" s="510">
        <v>1222.49</v>
      </c>
      <c r="BE87" s="504">
        <v>0.2</v>
      </c>
      <c r="BF87" s="503">
        <v>0.22</v>
      </c>
      <c r="BG87" s="502">
        <v>16.66</v>
      </c>
      <c r="BH87" s="502">
        <v>1414.05</v>
      </c>
      <c r="BI87" s="502">
        <v>19.170000000000002</v>
      </c>
      <c r="BJ87" s="502"/>
      <c r="BK87" s="502"/>
      <c r="BL87" s="510"/>
      <c r="BM87" s="511">
        <v>0.16200000000000001</v>
      </c>
      <c r="BN87" s="511"/>
      <c r="BO87" s="511" t="s">
        <v>5340</v>
      </c>
      <c r="BP87" s="252"/>
      <c r="BQ87" s="252"/>
      <c r="BR87" s="511">
        <v>0.22</v>
      </c>
      <c r="BS87" s="252"/>
      <c r="BT87" s="252"/>
      <c r="BU87" s="524">
        <f t="shared" si="19"/>
        <v>81</v>
      </c>
      <c r="BV87" s="489">
        <v>158.63</v>
      </c>
      <c r="BW87" s="254"/>
      <c r="BX87" s="254"/>
      <c r="BY87" s="254"/>
      <c r="BZ87" s="494">
        <v>19.170000000000002</v>
      </c>
      <c r="CA87" s="497">
        <v>0.3</v>
      </c>
      <c r="CB87" s="497"/>
      <c r="CC87" s="494">
        <v>424</v>
      </c>
      <c r="CD87" s="241">
        <f t="shared" si="11"/>
        <v>81</v>
      </c>
      <c r="CE87" s="2"/>
      <c r="CF87" s="2">
        <v>490.8</v>
      </c>
      <c r="CG87" s="2"/>
      <c r="CH87" s="2"/>
      <c r="CI87" s="2"/>
      <c r="CJ87" s="252"/>
      <c r="CK87" s="252"/>
      <c r="CL87" s="252">
        <v>546.33000000000004</v>
      </c>
      <c r="CM87" s="253"/>
      <c r="CO87" s="5">
        <v>0.08</v>
      </c>
      <c r="CU87" s="266">
        <f t="shared" si="12"/>
        <v>181</v>
      </c>
      <c r="CV87" s="267">
        <f t="shared" si="13"/>
        <v>362</v>
      </c>
      <c r="CW87" s="268">
        <f t="shared" si="14"/>
        <v>904.99</v>
      </c>
      <c r="CX87" s="418">
        <v>184</v>
      </c>
      <c r="CY87" s="252"/>
      <c r="CZ87" s="252"/>
      <c r="DA87" s="252"/>
      <c r="DB87" s="252"/>
      <c r="DC87" s="252"/>
      <c r="DD87" s="252"/>
      <c r="DE87" s="252"/>
      <c r="DF87" s="252">
        <f t="shared" si="20"/>
        <v>0</v>
      </c>
      <c r="DG87" s="252"/>
      <c r="DH87" s="252">
        <v>489.06</v>
      </c>
      <c r="DI87" s="252"/>
      <c r="DK87" s="252"/>
      <c r="DL87" s="252"/>
      <c r="DP87" s="6">
        <v>7.2499999999999995E-2</v>
      </c>
      <c r="DQ87" s="252">
        <v>39.42</v>
      </c>
      <c r="DR87" s="3">
        <v>546.33000000000004</v>
      </c>
      <c r="DT87" s="241">
        <f t="shared" si="15"/>
        <v>81</v>
      </c>
      <c r="DU87" s="2"/>
      <c r="DV87" s="252">
        <v>720</v>
      </c>
      <c r="DY87" s="252">
        <v>405.18</v>
      </c>
      <c r="DZ87" s="264">
        <v>3.9399999999999998E-2</v>
      </c>
      <c r="EA87" s="252">
        <v>0</v>
      </c>
      <c r="EB87" s="253">
        <v>0</v>
      </c>
    </row>
    <row r="88" spans="1:132">
      <c r="A88">
        <v>82</v>
      </c>
      <c r="B88" s="259">
        <v>10.2014</v>
      </c>
      <c r="C88">
        <v>82</v>
      </c>
      <c r="D88" s="168">
        <f t="shared" si="10"/>
        <v>2.9412217298425691E-3</v>
      </c>
      <c r="E88" s="246">
        <v>41913</v>
      </c>
      <c r="F88" s="186">
        <v>0.28999999999999998</v>
      </c>
      <c r="G88" s="247">
        <v>216385.05</v>
      </c>
      <c r="H88" s="247">
        <v>541.80920000000003</v>
      </c>
      <c r="I88" s="248">
        <v>120</v>
      </c>
      <c r="J88" s="258">
        <f t="shared" si="16"/>
        <v>2.5062656641603454E-3</v>
      </c>
      <c r="K88" s="298"/>
      <c r="L88" s="252">
        <v>300</v>
      </c>
      <c r="M88" s="263"/>
      <c r="N88" s="263"/>
      <c r="O88" s="473">
        <v>328.76</v>
      </c>
      <c r="P88" s="474">
        <v>328.76</v>
      </c>
      <c r="Q88" s="474">
        <v>430.86</v>
      </c>
      <c r="R88" s="475">
        <v>0.09</v>
      </c>
      <c r="S88" s="533">
        <f t="shared" si="17"/>
        <v>82</v>
      </c>
      <c r="T88" s="460">
        <v>75.260000000000005</v>
      </c>
      <c r="U88" s="460">
        <v>10.56</v>
      </c>
      <c r="V88" s="460">
        <v>353.76</v>
      </c>
      <c r="W88" s="460"/>
      <c r="X88" s="254">
        <v>51.09</v>
      </c>
      <c r="Y88" s="461">
        <v>7.4999999999999997E-2</v>
      </c>
      <c r="Z88" s="460">
        <v>22.5</v>
      </c>
      <c r="AA88" s="460">
        <v>10.26</v>
      </c>
      <c r="AB88" s="460">
        <v>437.73</v>
      </c>
      <c r="AC88" s="462">
        <v>353.75</v>
      </c>
      <c r="AD88" s="463">
        <v>0.3</v>
      </c>
      <c r="AE88" s="460">
        <v>40.83</v>
      </c>
      <c r="AF88" s="460">
        <v>61.32</v>
      </c>
      <c r="AG88" s="460">
        <v>20.62</v>
      </c>
      <c r="AH88" s="460"/>
      <c r="AI88" s="460"/>
      <c r="AJ88" s="460"/>
      <c r="AK88" s="460"/>
      <c r="AL88" s="253"/>
      <c r="AM88" s="273">
        <v>0.1</v>
      </c>
      <c r="AN88" s="255">
        <v>0.08</v>
      </c>
      <c r="AO88" s="160">
        <v>0.1</v>
      </c>
      <c r="AP88" s="536">
        <v>480.1</v>
      </c>
      <c r="AQ88" s="536"/>
      <c r="AR88" s="505">
        <f t="shared" si="18"/>
        <v>82</v>
      </c>
      <c r="AS88" s="480">
        <v>257.37</v>
      </c>
      <c r="AT88" s="480">
        <v>191.57</v>
      </c>
      <c r="AU88" s="480"/>
      <c r="AV88" s="480"/>
      <c r="AW88" s="480"/>
      <c r="AX88" s="480"/>
      <c r="AY88" s="480">
        <v>303.18</v>
      </c>
      <c r="AZ88" s="499" t="s">
        <v>5323</v>
      </c>
      <c r="BA88" s="502">
        <v>23.57</v>
      </c>
      <c r="BB88" s="502"/>
      <c r="BC88" s="510">
        <v>237.16</v>
      </c>
      <c r="BD88" s="510">
        <v>1222.49</v>
      </c>
      <c r="BE88" s="504">
        <v>0.2</v>
      </c>
      <c r="BF88" s="503">
        <v>0.22</v>
      </c>
      <c r="BG88" s="502">
        <v>16.66</v>
      </c>
      <c r="BH88" s="502">
        <v>1414.05</v>
      </c>
      <c r="BI88" s="502">
        <v>19.170000000000002</v>
      </c>
      <c r="BJ88" s="502"/>
      <c r="BK88" s="502"/>
      <c r="BL88" s="510"/>
      <c r="BM88" s="511">
        <v>0.16200000000000001</v>
      </c>
      <c r="BN88" s="511"/>
      <c r="BO88" s="511" t="s">
        <v>5340</v>
      </c>
      <c r="BP88" s="252"/>
      <c r="BQ88" s="252"/>
      <c r="BR88" s="511">
        <v>0.22</v>
      </c>
      <c r="BS88" s="252"/>
      <c r="BT88" s="252"/>
      <c r="BU88" s="524">
        <f t="shared" si="19"/>
        <v>82</v>
      </c>
      <c r="BV88" s="489">
        <v>158.63</v>
      </c>
      <c r="BW88" s="254"/>
      <c r="BX88" s="254"/>
      <c r="BY88" s="254"/>
      <c r="BZ88" s="494">
        <v>19.170000000000002</v>
      </c>
      <c r="CA88" s="497">
        <v>0.3</v>
      </c>
      <c r="CB88" s="497"/>
      <c r="CC88" s="494">
        <v>424</v>
      </c>
      <c r="CD88" s="241">
        <f t="shared" si="11"/>
        <v>82</v>
      </c>
      <c r="CE88" s="2"/>
      <c r="CF88" s="2">
        <v>490.8</v>
      </c>
      <c r="CG88" s="2"/>
      <c r="CH88" s="2"/>
      <c r="CI88" s="2"/>
      <c r="CJ88" s="252"/>
      <c r="CK88" s="252"/>
      <c r="CL88" s="252">
        <v>546.33000000000004</v>
      </c>
      <c r="CM88" s="253"/>
      <c r="CO88" s="253">
        <v>0.08</v>
      </c>
      <c r="CU88" s="266">
        <f t="shared" si="12"/>
        <v>181</v>
      </c>
      <c r="CV88" s="267">
        <f t="shared" si="13"/>
        <v>362</v>
      </c>
      <c r="CW88" s="268">
        <f t="shared" si="14"/>
        <v>904.99</v>
      </c>
      <c r="CX88" s="418">
        <v>184</v>
      </c>
      <c r="CY88" s="252"/>
      <c r="CZ88" s="252"/>
      <c r="DA88" s="252"/>
      <c r="DB88" s="252"/>
      <c r="DC88" s="252"/>
      <c r="DD88" s="252"/>
      <c r="DE88" s="252"/>
      <c r="DF88" s="252">
        <f t="shared" si="20"/>
        <v>0</v>
      </c>
      <c r="DG88" s="252"/>
      <c r="DH88" s="252">
        <v>489.06</v>
      </c>
      <c r="DI88" s="252"/>
      <c r="DK88" s="252"/>
      <c r="DL88" s="252"/>
      <c r="DP88" s="6">
        <v>7.2499999999999995E-2</v>
      </c>
      <c r="DQ88" s="252">
        <v>39.42</v>
      </c>
      <c r="DR88" s="3">
        <v>546.33000000000004</v>
      </c>
      <c r="DT88" s="241">
        <f t="shared" si="15"/>
        <v>82</v>
      </c>
      <c r="DU88" s="2"/>
      <c r="DV88" s="252">
        <v>720</v>
      </c>
      <c r="DY88" s="252">
        <v>405.18</v>
      </c>
      <c r="DZ88" s="264">
        <v>3.9399999999999998E-2</v>
      </c>
      <c r="EA88" s="252">
        <v>0</v>
      </c>
      <c r="EB88" s="253">
        <v>0</v>
      </c>
    </row>
    <row r="89" spans="1:132">
      <c r="A89">
        <v>83</v>
      </c>
      <c r="B89" s="259">
        <v>11.2014</v>
      </c>
      <c r="C89">
        <v>83</v>
      </c>
      <c r="D89" s="168">
        <f t="shared" si="10"/>
        <v>-1.9550333999506231E-3</v>
      </c>
      <c r="E89" s="246">
        <v>41944</v>
      </c>
      <c r="F89" s="186">
        <v>-0.2</v>
      </c>
      <c r="G89" s="247">
        <v>215962.01</v>
      </c>
      <c r="H89" s="247">
        <v>540.74990000000003</v>
      </c>
      <c r="I89" s="248">
        <v>119.8</v>
      </c>
      <c r="J89" s="258">
        <f t="shared" si="16"/>
        <v>-1.6666666666667052E-3</v>
      </c>
      <c r="K89" s="298"/>
      <c r="L89" s="252">
        <v>300</v>
      </c>
      <c r="M89" s="263"/>
      <c r="N89" s="263"/>
      <c r="O89" s="473">
        <v>328.76</v>
      </c>
      <c r="P89" s="474">
        <v>328.76</v>
      </c>
      <c r="Q89" s="474">
        <v>430.86</v>
      </c>
      <c r="R89" s="475">
        <v>0.09</v>
      </c>
      <c r="S89" s="533">
        <f t="shared" si="17"/>
        <v>83</v>
      </c>
      <c r="T89" s="460">
        <v>75.260000000000005</v>
      </c>
      <c r="U89" s="460">
        <v>10.56</v>
      </c>
      <c r="V89" s="460">
        <v>353.76</v>
      </c>
      <c r="W89" s="460"/>
      <c r="X89" s="254">
        <v>51.09</v>
      </c>
      <c r="Y89" s="461">
        <v>7.4999999999999997E-2</v>
      </c>
      <c r="Z89" s="460">
        <v>22.5</v>
      </c>
      <c r="AA89" s="460">
        <v>10.26</v>
      </c>
      <c r="AB89" s="460">
        <v>437.73</v>
      </c>
      <c r="AC89" s="462">
        <v>353.75</v>
      </c>
      <c r="AD89" s="463">
        <v>0.3</v>
      </c>
      <c r="AE89" s="460">
        <v>40.83</v>
      </c>
      <c r="AF89" s="460">
        <v>61.32</v>
      </c>
      <c r="AG89" s="460">
        <v>20.62</v>
      </c>
      <c r="AH89" s="460"/>
      <c r="AI89" s="460"/>
      <c r="AJ89" s="460"/>
      <c r="AK89" s="460"/>
      <c r="AL89" s="253"/>
      <c r="AM89" s="273">
        <v>0.1</v>
      </c>
      <c r="AN89" s="255">
        <v>0.08</v>
      </c>
      <c r="AO89" s="160">
        <v>0.1</v>
      </c>
      <c r="AP89" s="536">
        <v>480.1</v>
      </c>
      <c r="AQ89" s="536"/>
      <c r="AR89" s="505">
        <f t="shared" si="18"/>
        <v>83</v>
      </c>
      <c r="AS89" s="480">
        <v>257.37</v>
      </c>
      <c r="AT89" s="480">
        <v>191.57</v>
      </c>
      <c r="AU89" s="480"/>
      <c r="AV89" s="480"/>
      <c r="AW89" s="480"/>
      <c r="AX89" s="480"/>
      <c r="AY89" s="480">
        <v>303.18</v>
      </c>
      <c r="AZ89" s="499" t="s">
        <v>5323</v>
      </c>
      <c r="BA89" s="502">
        <v>23.57</v>
      </c>
      <c r="BB89" s="501"/>
      <c r="BC89" s="510">
        <v>237.16</v>
      </c>
      <c r="BD89" s="510">
        <v>1222.49</v>
      </c>
      <c r="BE89" s="504">
        <v>0.2</v>
      </c>
      <c r="BF89" s="503">
        <v>0.22</v>
      </c>
      <c r="BG89" s="502">
        <v>16.66</v>
      </c>
      <c r="BH89" s="502">
        <v>1414.05</v>
      </c>
      <c r="BI89" s="502">
        <v>19.170000000000002</v>
      </c>
      <c r="BJ89" s="502"/>
      <c r="BK89" s="502"/>
      <c r="BL89" s="510"/>
      <c r="BM89" s="511">
        <v>0.16200000000000001</v>
      </c>
      <c r="BN89" s="511"/>
      <c r="BO89" s="511" t="s">
        <v>5340</v>
      </c>
      <c r="BP89" s="252"/>
      <c r="BQ89" s="252"/>
      <c r="BR89" s="511">
        <v>0.22</v>
      </c>
      <c r="BS89" s="252"/>
      <c r="BT89" s="252"/>
      <c r="BU89" s="524">
        <f t="shared" si="19"/>
        <v>83</v>
      </c>
      <c r="BV89" s="489">
        <v>158.63</v>
      </c>
      <c r="BW89" s="254"/>
      <c r="BX89" s="254"/>
      <c r="BY89" s="254"/>
      <c r="BZ89" s="494">
        <v>19.170000000000002</v>
      </c>
      <c r="CA89" s="497">
        <v>0.3</v>
      </c>
      <c r="CB89" s="497"/>
      <c r="CC89" s="494">
        <v>424</v>
      </c>
      <c r="CD89" s="241">
        <f t="shared" si="11"/>
        <v>83</v>
      </c>
      <c r="CE89" s="2"/>
      <c r="CF89" s="2">
        <v>490.8</v>
      </c>
      <c r="CG89" s="2"/>
      <c r="CH89" s="2"/>
      <c r="CI89" s="2"/>
      <c r="CJ89" s="252"/>
      <c r="CK89" s="252"/>
      <c r="CL89" s="252">
        <v>546.33000000000004</v>
      </c>
      <c r="CM89" s="253"/>
      <c r="CO89" s="5">
        <v>0.08</v>
      </c>
      <c r="CU89" s="266">
        <f t="shared" si="12"/>
        <v>181</v>
      </c>
      <c r="CV89" s="267">
        <f t="shared" si="13"/>
        <v>362</v>
      </c>
      <c r="CW89" s="268">
        <f t="shared" si="14"/>
        <v>904.99</v>
      </c>
      <c r="CX89" s="418">
        <v>184</v>
      </c>
      <c r="CY89" s="252"/>
      <c r="CZ89" s="252"/>
      <c r="DA89" s="252"/>
      <c r="DB89" s="252"/>
      <c r="DC89" s="252"/>
      <c r="DD89" s="252"/>
      <c r="DE89" s="252"/>
      <c r="DF89" s="252">
        <f t="shared" si="20"/>
        <v>0</v>
      </c>
      <c r="DG89" s="252"/>
      <c r="DH89" s="252">
        <v>489.06</v>
      </c>
      <c r="DI89" s="252"/>
      <c r="DK89" s="252"/>
      <c r="DL89" s="252"/>
      <c r="DP89" s="6">
        <v>7.2499999999999995E-2</v>
      </c>
      <c r="DQ89" s="252">
        <v>39.42</v>
      </c>
      <c r="DR89" s="3">
        <v>546.33000000000004</v>
      </c>
      <c r="DT89" s="241">
        <f t="shared" si="15"/>
        <v>83</v>
      </c>
      <c r="DU89" s="2"/>
      <c r="DV89" s="252">
        <v>720</v>
      </c>
      <c r="DY89" s="252">
        <v>405.18</v>
      </c>
      <c r="DZ89" s="264">
        <v>3.9399999999999998E-2</v>
      </c>
      <c r="EA89" s="252">
        <v>0</v>
      </c>
      <c r="EB89" s="253">
        <v>0</v>
      </c>
    </row>
    <row r="90" spans="1:132">
      <c r="A90">
        <v>84</v>
      </c>
      <c r="B90" s="259">
        <v>12.2014</v>
      </c>
      <c r="C90">
        <v>84</v>
      </c>
      <c r="D90" s="168">
        <f t="shared" si="10"/>
        <v>0</v>
      </c>
      <c r="E90" s="246">
        <v>41974</v>
      </c>
      <c r="F90" s="186">
        <v>0</v>
      </c>
      <c r="G90" s="247">
        <v>215962.01</v>
      </c>
      <c r="H90" s="247">
        <v>540.74990000000003</v>
      </c>
      <c r="I90" s="248">
        <v>119.8</v>
      </c>
      <c r="J90" s="258">
        <f t="shared" si="16"/>
        <v>0</v>
      </c>
      <c r="K90" s="298"/>
      <c r="L90" s="252">
        <v>300</v>
      </c>
      <c r="M90" s="263"/>
      <c r="N90" s="263"/>
      <c r="O90" s="473">
        <v>328.76</v>
      </c>
      <c r="P90" s="474">
        <v>328.76</v>
      </c>
      <c r="Q90" s="474">
        <v>430.86</v>
      </c>
      <c r="R90" s="475">
        <v>0.09</v>
      </c>
      <c r="S90" s="533">
        <f t="shared" si="17"/>
        <v>84</v>
      </c>
      <c r="T90" s="460">
        <v>75.260000000000005</v>
      </c>
      <c r="U90" s="460">
        <v>10.56</v>
      </c>
      <c r="V90" s="460">
        <v>353.76</v>
      </c>
      <c r="W90" s="460"/>
      <c r="X90" s="254">
        <v>51.09</v>
      </c>
      <c r="Y90" s="461">
        <v>7.4999999999999997E-2</v>
      </c>
      <c r="Z90" s="460">
        <v>22.5</v>
      </c>
      <c r="AA90" s="460">
        <v>10.26</v>
      </c>
      <c r="AB90" s="460">
        <v>437.73</v>
      </c>
      <c r="AC90" s="462">
        <v>353.75</v>
      </c>
      <c r="AD90" s="463">
        <v>0.3</v>
      </c>
      <c r="AE90" s="460">
        <v>40.83</v>
      </c>
      <c r="AF90" s="460">
        <v>61.32</v>
      </c>
      <c r="AG90" s="460">
        <v>20.62</v>
      </c>
      <c r="AH90" s="460"/>
      <c r="AI90" s="460"/>
      <c r="AJ90" s="460"/>
      <c r="AK90" s="460"/>
      <c r="AL90" s="253"/>
      <c r="AM90" s="273">
        <v>0.1</v>
      </c>
      <c r="AN90" s="255">
        <v>0.08</v>
      </c>
      <c r="AO90" s="160">
        <v>0.1</v>
      </c>
      <c r="AP90" s="536">
        <v>480.1</v>
      </c>
      <c r="AQ90" s="536"/>
      <c r="AR90" s="505">
        <f t="shared" si="18"/>
        <v>84</v>
      </c>
      <c r="AS90" s="480">
        <v>257.37</v>
      </c>
      <c r="AT90" s="480">
        <v>191.57</v>
      </c>
      <c r="AU90" s="480"/>
      <c r="AV90" s="480"/>
      <c r="AW90" s="480"/>
      <c r="AX90" s="480"/>
      <c r="AY90" s="480">
        <v>303.18</v>
      </c>
      <c r="AZ90" s="499" t="s">
        <v>5323</v>
      </c>
      <c r="BA90" s="502">
        <v>23.57</v>
      </c>
      <c r="BB90" s="502"/>
      <c r="BC90" s="510">
        <v>237.16</v>
      </c>
      <c r="BD90" s="510">
        <v>1222.49</v>
      </c>
      <c r="BE90" s="504">
        <v>0.2</v>
      </c>
      <c r="BF90" s="503">
        <v>0.22</v>
      </c>
      <c r="BG90" s="502">
        <v>16.66</v>
      </c>
      <c r="BH90" s="502">
        <v>1414.05</v>
      </c>
      <c r="BI90" s="502">
        <v>19.170000000000002</v>
      </c>
      <c r="BJ90" s="502"/>
      <c r="BK90" s="502"/>
      <c r="BL90" s="510"/>
      <c r="BM90" s="511">
        <v>0.16200000000000001</v>
      </c>
      <c r="BN90" s="511"/>
      <c r="BO90" s="511" t="s">
        <v>5340</v>
      </c>
      <c r="BP90" s="252"/>
      <c r="BQ90" s="252"/>
      <c r="BR90" s="511">
        <v>0.22</v>
      </c>
      <c r="BS90" s="252"/>
      <c r="BT90" s="252"/>
      <c r="BU90" s="524">
        <f t="shared" si="19"/>
        <v>84</v>
      </c>
      <c r="BV90" s="489">
        <v>158.63</v>
      </c>
      <c r="BW90" s="254"/>
      <c r="BX90" s="254"/>
      <c r="BY90" s="254"/>
      <c r="BZ90" s="494">
        <v>19.170000000000002</v>
      </c>
      <c r="CA90" s="497">
        <v>0.3</v>
      </c>
      <c r="CB90" s="497"/>
      <c r="CC90" s="494">
        <v>424</v>
      </c>
      <c r="CD90" s="241">
        <f t="shared" si="11"/>
        <v>84</v>
      </c>
      <c r="CE90" s="2"/>
      <c r="CF90" s="2">
        <v>490.8</v>
      </c>
      <c r="CG90" s="2"/>
      <c r="CH90" s="2"/>
      <c r="CI90" s="2"/>
      <c r="CJ90" s="252"/>
      <c r="CK90" s="252"/>
      <c r="CL90" s="252">
        <v>546.33000000000004</v>
      </c>
      <c r="CM90" s="253"/>
      <c r="CO90" s="253">
        <v>0.08</v>
      </c>
      <c r="CU90" s="266">
        <f t="shared" si="12"/>
        <v>181</v>
      </c>
      <c r="CV90" s="267">
        <f t="shared" si="13"/>
        <v>362</v>
      </c>
      <c r="CW90" s="268">
        <f t="shared" si="14"/>
        <v>904.99</v>
      </c>
      <c r="CX90" s="418">
        <v>184</v>
      </c>
      <c r="CY90" s="252"/>
      <c r="CZ90" s="252"/>
      <c r="DA90" s="252"/>
      <c r="DB90" s="252"/>
      <c r="DC90" s="252"/>
      <c r="DD90" s="252"/>
      <c r="DE90" s="252"/>
      <c r="DF90" s="252">
        <f t="shared" si="20"/>
        <v>0</v>
      </c>
      <c r="DG90" s="252"/>
      <c r="DH90" s="252">
        <v>489.06</v>
      </c>
      <c r="DI90" s="252"/>
      <c r="DK90" s="252"/>
      <c r="DL90" s="252"/>
      <c r="DP90" s="6">
        <v>7.2499999999999995E-2</v>
      </c>
      <c r="DQ90" s="252">
        <v>39.42</v>
      </c>
      <c r="DR90" s="3">
        <v>546.33000000000004</v>
      </c>
      <c r="DT90" s="241">
        <f t="shared" si="15"/>
        <v>84</v>
      </c>
      <c r="DU90" s="2"/>
      <c r="DV90" s="252">
        <v>720</v>
      </c>
      <c r="DY90" s="252">
        <v>405.18</v>
      </c>
      <c r="DZ90" s="264">
        <v>3.9399999999999998E-2</v>
      </c>
      <c r="EA90" s="252">
        <v>0</v>
      </c>
      <c r="EB90" s="253">
        <v>0</v>
      </c>
    </row>
    <row r="91" spans="1:132">
      <c r="A91">
        <v>85</v>
      </c>
      <c r="B91" s="259">
        <v>1.2015</v>
      </c>
      <c r="C91">
        <v>85</v>
      </c>
      <c r="D91" s="168">
        <f t="shared" si="10"/>
        <v>-8.9716242222416254E-3</v>
      </c>
      <c r="E91" s="246">
        <v>42005</v>
      </c>
      <c r="F91" s="186">
        <v>-0.9</v>
      </c>
      <c r="G91" s="247">
        <v>214024.48</v>
      </c>
      <c r="H91" s="247">
        <v>535.89850000000001</v>
      </c>
      <c r="I91" s="248">
        <v>118.7</v>
      </c>
      <c r="J91" s="258">
        <f t="shared" si="16"/>
        <v>-9.1819699499164908E-3</v>
      </c>
      <c r="K91" s="298"/>
      <c r="L91" s="252">
        <v>300</v>
      </c>
      <c r="M91" s="263"/>
      <c r="N91" s="263"/>
      <c r="O91" s="473">
        <v>328.76</v>
      </c>
      <c r="P91" s="474">
        <v>328.76</v>
      </c>
      <c r="Q91" s="474">
        <v>430.86</v>
      </c>
      <c r="R91" s="475">
        <v>0.09</v>
      </c>
      <c r="S91" s="533">
        <f t="shared" si="17"/>
        <v>85</v>
      </c>
      <c r="T91" s="460">
        <v>75.260000000000005</v>
      </c>
      <c r="U91" s="460">
        <v>10.56</v>
      </c>
      <c r="V91" s="460">
        <v>353.76</v>
      </c>
      <c r="W91" s="460"/>
      <c r="X91" s="254">
        <v>51.09</v>
      </c>
      <c r="Y91" s="461">
        <v>7.4999999999999997E-2</v>
      </c>
      <c r="Z91" s="460">
        <v>22.5</v>
      </c>
      <c r="AA91" s="460">
        <v>10.26</v>
      </c>
      <c r="AB91" s="460">
        <v>437.73</v>
      </c>
      <c r="AC91" s="462">
        <v>353.75</v>
      </c>
      <c r="AD91" s="463">
        <v>0.3</v>
      </c>
      <c r="AE91" s="460">
        <v>40.83</v>
      </c>
      <c r="AF91" s="460">
        <v>61.32</v>
      </c>
      <c r="AG91" s="460">
        <v>20.62</v>
      </c>
      <c r="AH91" s="460"/>
      <c r="AI91" s="460"/>
      <c r="AJ91" s="460"/>
      <c r="AK91" s="460"/>
      <c r="AL91" s="253"/>
      <c r="AM91" s="273">
        <v>0.1</v>
      </c>
      <c r="AN91" s="255">
        <v>0.08</v>
      </c>
      <c r="AO91" s="160">
        <v>0.1</v>
      </c>
      <c r="AP91" s="536">
        <v>480.1</v>
      </c>
      <c r="AQ91" s="536"/>
      <c r="AR91" s="505">
        <f t="shared" si="18"/>
        <v>85</v>
      </c>
      <c r="AS91" s="480">
        <v>257.37</v>
      </c>
      <c r="AT91" s="480">
        <v>191.57</v>
      </c>
      <c r="AU91" s="480"/>
      <c r="AV91" s="480"/>
      <c r="AW91" s="480"/>
      <c r="AX91" s="480"/>
      <c r="AY91" s="480">
        <v>303.18</v>
      </c>
      <c r="AZ91" s="499" t="s">
        <v>5323</v>
      </c>
      <c r="BA91" s="502">
        <v>23.57</v>
      </c>
      <c r="BB91" s="501"/>
      <c r="BC91" s="510">
        <v>237.16</v>
      </c>
      <c r="BD91" s="510">
        <v>1222.49</v>
      </c>
      <c r="BE91" s="504">
        <v>0.2</v>
      </c>
      <c r="BF91" s="503">
        <v>0.22</v>
      </c>
      <c r="BG91" s="502">
        <v>16.66</v>
      </c>
      <c r="BH91" s="502">
        <v>1414.05</v>
      </c>
      <c r="BI91" s="502">
        <v>19.170000000000002</v>
      </c>
      <c r="BJ91" s="502"/>
      <c r="BK91" s="502"/>
      <c r="BL91" s="510"/>
      <c r="BM91" s="511">
        <v>0.16200000000000001</v>
      </c>
      <c r="BN91" s="511"/>
      <c r="BO91" s="511" t="s">
        <v>5340</v>
      </c>
      <c r="BP91" s="252"/>
      <c r="BQ91" s="252"/>
      <c r="BR91" s="511">
        <v>0.22</v>
      </c>
      <c r="BS91" s="252"/>
      <c r="BT91" s="252"/>
      <c r="BU91" s="524">
        <f t="shared" si="19"/>
        <v>85</v>
      </c>
      <c r="BV91" s="489">
        <v>158.63</v>
      </c>
      <c r="BW91" s="254"/>
      <c r="BX91" s="254"/>
      <c r="BY91" s="254"/>
      <c r="BZ91" s="494">
        <v>19.170000000000002</v>
      </c>
      <c r="CA91" s="497">
        <v>0.3</v>
      </c>
      <c r="CB91" s="497"/>
      <c r="CC91" s="494">
        <v>424</v>
      </c>
      <c r="CD91" s="241">
        <f t="shared" si="11"/>
        <v>85</v>
      </c>
      <c r="CE91" s="2"/>
      <c r="CF91" s="2">
        <v>490.8</v>
      </c>
      <c r="CG91" s="2"/>
      <c r="CH91" s="2"/>
      <c r="CI91" s="2"/>
      <c r="CJ91" s="252"/>
      <c r="CK91" s="252"/>
      <c r="CL91" s="252">
        <v>546.33000000000004</v>
      </c>
      <c r="CM91" s="253"/>
      <c r="CO91" s="5">
        <v>0.08</v>
      </c>
      <c r="CU91" s="266">
        <f t="shared" si="12"/>
        <v>181</v>
      </c>
      <c r="CV91" s="267">
        <f t="shared" si="13"/>
        <v>362</v>
      </c>
      <c r="CW91" s="268">
        <f t="shared" si="14"/>
        <v>904.99</v>
      </c>
      <c r="CX91" s="418">
        <v>184</v>
      </c>
      <c r="CY91" s="252"/>
      <c r="CZ91" s="252"/>
      <c r="DA91" s="252"/>
      <c r="DB91" s="252"/>
      <c r="DC91" s="252"/>
      <c r="DD91" s="252"/>
      <c r="DE91" s="252"/>
      <c r="DF91" s="252">
        <f t="shared" si="20"/>
        <v>0</v>
      </c>
      <c r="DG91" s="252"/>
      <c r="DH91" s="252">
        <v>489.06</v>
      </c>
      <c r="DI91" s="252"/>
      <c r="DK91" s="252"/>
      <c r="DL91" s="252"/>
      <c r="DP91" s="6">
        <v>7.2499999999999995E-2</v>
      </c>
      <c r="DQ91" s="252">
        <v>39.42</v>
      </c>
      <c r="DR91" s="3">
        <v>546.33000000000004</v>
      </c>
      <c r="DT91" s="241">
        <f t="shared" si="15"/>
        <v>85</v>
      </c>
      <c r="DU91" s="2"/>
      <c r="DV91" s="252">
        <v>720</v>
      </c>
      <c r="DY91" s="252">
        <v>405.18</v>
      </c>
      <c r="DZ91" s="264">
        <v>3.9399999999999998E-2</v>
      </c>
      <c r="EA91" s="252">
        <v>0</v>
      </c>
      <c r="EB91" s="253">
        <v>0</v>
      </c>
    </row>
    <row r="92" spans="1:132">
      <c r="A92">
        <v>86</v>
      </c>
      <c r="B92" s="259">
        <v>2.2014999999999998</v>
      </c>
      <c r="C92">
        <v>86</v>
      </c>
      <c r="D92" s="168">
        <f t="shared" si="10"/>
        <v>-7.0564357871585326E-3</v>
      </c>
      <c r="E92" s="246">
        <v>42036</v>
      </c>
      <c r="F92" s="186">
        <v>-0.71</v>
      </c>
      <c r="G92" s="247">
        <v>212514.23</v>
      </c>
      <c r="H92" s="247">
        <v>532.11699999999996</v>
      </c>
      <c r="I92" s="248">
        <v>117.9</v>
      </c>
      <c r="J92" s="258">
        <f t="shared" si="16"/>
        <v>-6.7396798652064049E-3</v>
      </c>
      <c r="K92" s="298"/>
      <c r="L92" s="252">
        <v>300</v>
      </c>
      <c r="M92" s="263"/>
      <c r="N92" s="263"/>
      <c r="O92" s="473">
        <v>328.76</v>
      </c>
      <c r="P92" s="474">
        <v>328.76</v>
      </c>
      <c r="Q92" s="474">
        <v>430.86</v>
      </c>
      <c r="R92" s="475">
        <v>0.09</v>
      </c>
      <c r="S92" s="533">
        <f t="shared" si="17"/>
        <v>86</v>
      </c>
      <c r="T92" s="460">
        <v>75.260000000000005</v>
      </c>
      <c r="U92" s="460">
        <v>10.56</v>
      </c>
      <c r="V92" s="460">
        <v>353.76</v>
      </c>
      <c r="W92" s="460"/>
      <c r="X92" s="254">
        <v>51.09</v>
      </c>
      <c r="Y92" s="461">
        <v>7.4999999999999997E-2</v>
      </c>
      <c r="Z92" s="460">
        <v>22.5</v>
      </c>
      <c r="AA92" s="460">
        <v>10.26</v>
      </c>
      <c r="AB92" s="460">
        <v>437.73</v>
      </c>
      <c r="AC92" s="462">
        <v>353.75</v>
      </c>
      <c r="AD92" s="463">
        <v>0.3</v>
      </c>
      <c r="AE92" s="460">
        <v>40.83</v>
      </c>
      <c r="AF92" s="460">
        <v>61.32</v>
      </c>
      <c r="AG92" s="460">
        <v>20.62</v>
      </c>
      <c r="AH92" s="460"/>
      <c r="AI92" s="460"/>
      <c r="AJ92" s="460"/>
      <c r="AK92" s="460"/>
      <c r="AL92" s="253"/>
      <c r="AM92" s="273">
        <v>0.1</v>
      </c>
      <c r="AN92" s="255">
        <v>0.08</v>
      </c>
      <c r="AO92" s="160">
        <v>0.1</v>
      </c>
      <c r="AP92" s="536">
        <v>480.1</v>
      </c>
      <c r="AQ92" s="536"/>
      <c r="AR92" s="505">
        <f t="shared" si="18"/>
        <v>86</v>
      </c>
      <c r="AS92" s="480">
        <v>257.37</v>
      </c>
      <c r="AT92" s="480">
        <v>191.57</v>
      </c>
      <c r="AU92" s="480"/>
      <c r="AV92" s="480"/>
      <c r="AW92" s="480"/>
      <c r="AX92" s="480"/>
      <c r="AY92" s="480">
        <v>303.18</v>
      </c>
      <c r="AZ92" s="499" t="s">
        <v>5323</v>
      </c>
      <c r="BA92" s="502">
        <v>23.57</v>
      </c>
      <c r="BB92" s="502"/>
      <c r="BC92" s="510">
        <v>237.16</v>
      </c>
      <c r="BD92" s="510">
        <v>1222.49</v>
      </c>
      <c r="BE92" s="504">
        <v>0.2</v>
      </c>
      <c r="BF92" s="503">
        <v>0.22</v>
      </c>
      <c r="BG92" s="502">
        <v>16.66</v>
      </c>
      <c r="BH92" s="502">
        <v>1414.05</v>
      </c>
      <c r="BI92" s="502">
        <v>19.170000000000002</v>
      </c>
      <c r="BJ92" s="502"/>
      <c r="BK92" s="502"/>
      <c r="BL92" s="510"/>
      <c r="BM92" s="511">
        <v>0.16200000000000001</v>
      </c>
      <c r="BN92" s="511"/>
      <c r="BO92" s="511" t="s">
        <v>5340</v>
      </c>
      <c r="BP92" s="252"/>
      <c r="BQ92" s="252"/>
      <c r="BR92" s="511">
        <v>0.22</v>
      </c>
      <c r="BS92" s="252"/>
      <c r="BT92" s="252"/>
      <c r="BU92" s="524">
        <f t="shared" si="19"/>
        <v>86</v>
      </c>
      <c r="BV92" s="489">
        <v>158.63</v>
      </c>
      <c r="BW92" s="254"/>
      <c r="BX92" s="254"/>
      <c r="BY92" s="254"/>
      <c r="BZ92" s="494">
        <v>19.170000000000002</v>
      </c>
      <c r="CA92" s="497">
        <v>0.3</v>
      </c>
      <c r="CB92" s="497"/>
      <c r="CC92" s="494">
        <v>424</v>
      </c>
      <c r="CD92" s="241">
        <f t="shared" si="11"/>
        <v>86</v>
      </c>
      <c r="CE92" s="2"/>
      <c r="CF92" s="2">
        <v>490.8</v>
      </c>
      <c r="CG92" s="2"/>
      <c r="CH92" s="2"/>
      <c r="CI92" s="2"/>
      <c r="CJ92" s="252"/>
      <c r="CK92" s="252"/>
      <c r="CL92" s="252">
        <v>546.33000000000004</v>
      </c>
      <c r="CM92" s="253"/>
      <c r="CO92" s="253">
        <v>0.08</v>
      </c>
      <c r="CU92" s="266">
        <f t="shared" si="12"/>
        <v>181</v>
      </c>
      <c r="CV92" s="267">
        <f t="shared" si="13"/>
        <v>362</v>
      </c>
      <c r="CW92" s="268">
        <f t="shared" si="14"/>
        <v>904.99</v>
      </c>
      <c r="CX92" s="418">
        <v>184</v>
      </c>
      <c r="CY92" s="252"/>
      <c r="CZ92" s="252"/>
      <c r="DA92" s="252"/>
      <c r="DB92" s="252"/>
      <c r="DC92" s="252"/>
      <c r="DD92" s="252"/>
      <c r="DE92" s="252"/>
      <c r="DF92" s="252">
        <f t="shared" si="20"/>
        <v>0</v>
      </c>
      <c r="DG92" s="252"/>
      <c r="DH92" s="252">
        <v>489.06</v>
      </c>
      <c r="DI92" s="252"/>
      <c r="DK92" s="252"/>
      <c r="DL92" s="252"/>
      <c r="DP92" s="6">
        <v>7.2499999999999995E-2</v>
      </c>
      <c r="DQ92" s="252">
        <v>39.42</v>
      </c>
      <c r="DR92" s="3">
        <v>546.33000000000004</v>
      </c>
      <c r="DT92" s="241">
        <f t="shared" si="15"/>
        <v>86</v>
      </c>
      <c r="DU92" s="2"/>
      <c r="DV92" s="252">
        <v>720</v>
      </c>
      <c r="DY92" s="252">
        <v>405.18</v>
      </c>
      <c r="DZ92" s="264">
        <v>3.9399999999999998E-2</v>
      </c>
      <c r="EA92" s="252">
        <v>0</v>
      </c>
      <c r="EB92" s="253">
        <v>0</v>
      </c>
    </row>
    <row r="93" spans="1:132">
      <c r="A93">
        <v>87</v>
      </c>
      <c r="B93" s="259">
        <v>3.2014999999999998</v>
      </c>
      <c r="C93">
        <v>87</v>
      </c>
      <c r="D93" s="168">
        <f t="shared" si="10"/>
        <v>3.0456783999828207E-3</v>
      </c>
      <c r="E93" s="246">
        <v>42064</v>
      </c>
      <c r="F93" s="186">
        <v>0.3</v>
      </c>
      <c r="G93" s="247">
        <v>213161.48</v>
      </c>
      <c r="H93" s="247">
        <v>533.73770000000002</v>
      </c>
      <c r="I93" s="248">
        <v>118.2</v>
      </c>
      <c r="J93" s="258">
        <f t="shared" si="16"/>
        <v>2.5445292620864812E-3</v>
      </c>
      <c r="K93" s="298"/>
      <c r="L93" s="252">
        <v>300</v>
      </c>
      <c r="M93" s="263"/>
      <c r="N93" s="263"/>
      <c r="O93" s="473">
        <v>328.76</v>
      </c>
      <c r="P93" s="474">
        <v>328.76</v>
      </c>
      <c r="Q93" s="474">
        <v>430.86</v>
      </c>
      <c r="R93" s="475">
        <v>0.09</v>
      </c>
      <c r="S93" s="533">
        <f t="shared" si="17"/>
        <v>87</v>
      </c>
      <c r="T93" s="460">
        <v>75.260000000000005</v>
      </c>
      <c r="U93" s="460">
        <v>10.56</v>
      </c>
      <c r="V93" s="460">
        <v>353.76</v>
      </c>
      <c r="W93" s="460"/>
      <c r="X93" s="254">
        <v>51.09</v>
      </c>
      <c r="Y93" s="461">
        <v>7.4999999999999997E-2</v>
      </c>
      <c r="Z93" s="460">
        <v>22.5</v>
      </c>
      <c r="AA93" s="460">
        <v>10.26</v>
      </c>
      <c r="AB93" s="460">
        <v>437.73</v>
      </c>
      <c r="AC93" s="462">
        <v>353.75</v>
      </c>
      <c r="AD93" s="463">
        <v>0.3</v>
      </c>
      <c r="AE93" s="460">
        <v>40.83</v>
      </c>
      <c r="AF93" s="460">
        <v>61.32</v>
      </c>
      <c r="AG93" s="460">
        <v>20.62</v>
      </c>
      <c r="AH93" s="460"/>
      <c r="AI93" s="460"/>
      <c r="AJ93" s="460"/>
      <c r="AK93" s="460"/>
      <c r="AL93" s="253"/>
      <c r="AM93" s="273">
        <v>0.1</v>
      </c>
      <c r="AN93" s="255">
        <v>0.08</v>
      </c>
      <c r="AO93" s="160">
        <v>0.1</v>
      </c>
      <c r="AP93" s="536">
        <v>480.1</v>
      </c>
      <c r="AQ93" s="536"/>
      <c r="AR93" s="505">
        <f t="shared" si="18"/>
        <v>87</v>
      </c>
      <c r="AS93" s="480">
        <v>257.37</v>
      </c>
      <c r="AT93" s="480">
        <v>191.57</v>
      </c>
      <c r="AU93" s="480"/>
      <c r="AV93" s="480"/>
      <c r="AW93" s="480"/>
      <c r="AX93" s="480"/>
      <c r="AY93" s="480">
        <v>303.18</v>
      </c>
      <c r="AZ93" s="499" t="s">
        <v>5323</v>
      </c>
      <c r="BA93" s="502">
        <v>23.57</v>
      </c>
      <c r="BB93" s="501"/>
      <c r="BC93" s="510">
        <v>237.16</v>
      </c>
      <c r="BD93" s="510">
        <v>1222.49</v>
      </c>
      <c r="BE93" s="504">
        <v>0.2</v>
      </c>
      <c r="BF93" s="503">
        <v>0.22</v>
      </c>
      <c r="BG93" s="502">
        <v>16.66</v>
      </c>
      <c r="BH93" s="502">
        <v>1414.05</v>
      </c>
      <c r="BI93" s="502">
        <v>19.170000000000002</v>
      </c>
      <c r="BJ93" s="502"/>
      <c r="BK93" s="502"/>
      <c r="BL93" s="510"/>
      <c r="BM93" s="511">
        <v>0.16200000000000001</v>
      </c>
      <c r="BN93" s="511"/>
      <c r="BO93" s="511" t="s">
        <v>5340</v>
      </c>
      <c r="BP93" s="252"/>
      <c r="BQ93" s="252"/>
      <c r="BR93" s="511">
        <v>0.22</v>
      </c>
      <c r="BS93" s="252"/>
      <c r="BT93" s="252"/>
      <c r="BU93" s="524">
        <f t="shared" si="19"/>
        <v>87</v>
      </c>
      <c r="BV93" s="489">
        <v>158.63</v>
      </c>
      <c r="BW93" s="254"/>
      <c r="BX93" s="254"/>
      <c r="BY93" s="254"/>
      <c r="BZ93" s="494">
        <v>19.170000000000002</v>
      </c>
      <c r="CA93" s="497">
        <v>0.3</v>
      </c>
      <c r="CB93" s="497"/>
      <c r="CC93" s="494">
        <v>424</v>
      </c>
      <c r="CD93" s="241">
        <f t="shared" si="11"/>
        <v>87</v>
      </c>
      <c r="CE93" s="2"/>
      <c r="CF93" s="2">
        <v>490.8</v>
      </c>
      <c r="CG93" s="2"/>
      <c r="CH93" s="2"/>
      <c r="CI93" s="2"/>
      <c r="CJ93" s="252"/>
      <c r="CK93" s="252"/>
      <c r="CL93" s="252">
        <v>546.33000000000004</v>
      </c>
      <c r="CM93" s="253"/>
      <c r="CO93" s="5">
        <v>0.08</v>
      </c>
      <c r="CU93" s="266">
        <f t="shared" si="12"/>
        <v>181</v>
      </c>
      <c r="CV93" s="267">
        <f t="shared" si="13"/>
        <v>362</v>
      </c>
      <c r="CW93" s="268">
        <f t="shared" si="14"/>
        <v>904.99</v>
      </c>
      <c r="CX93" s="418">
        <v>184</v>
      </c>
      <c r="CY93" s="252"/>
      <c r="CZ93" s="252"/>
      <c r="DA93" s="252"/>
      <c r="DB93" s="252"/>
      <c r="DC93" s="252"/>
      <c r="DD93" s="252"/>
      <c r="DE93" s="252"/>
      <c r="DF93" s="252">
        <f t="shared" si="20"/>
        <v>0</v>
      </c>
      <c r="DG93" s="252"/>
      <c r="DH93" s="252">
        <v>489.06</v>
      </c>
      <c r="DI93" s="252"/>
      <c r="DK93" s="252"/>
      <c r="DL93" s="252"/>
      <c r="DP93" s="6">
        <v>7.2499999999999995E-2</v>
      </c>
      <c r="DQ93" s="252">
        <v>39.42</v>
      </c>
      <c r="DR93" s="3">
        <v>546.33000000000004</v>
      </c>
      <c r="DT93" s="241">
        <f t="shared" si="15"/>
        <v>87</v>
      </c>
      <c r="DU93" s="2"/>
      <c r="DV93" s="252">
        <v>720</v>
      </c>
      <c r="DY93" s="252">
        <v>405.18</v>
      </c>
      <c r="DZ93" s="264">
        <v>3.9399999999999998E-2</v>
      </c>
      <c r="EA93" s="252">
        <v>0</v>
      </c>
      <c r="EB93" s="253">
        <v>0</v>
      </c>
    </row>
    <row r="94" spans="1:132">
      <c r="A94">
        <v>88</v>
      </c>
      <c r="B94" s="259">
        <v>4.2015000000000002</v>
      </c>
      <c r="C94">
        <v>88</v>
      </c>
      <c r="D94" s="168">
        <f t="shared" si="10"/>
        <v>6.0728608189435374E-3</v>
      </c>
      <c r="E94" s="246">
        <v>42095</v>
      </c>
      <c r="F94" s="186">
        <v>0.6</v>
      </c>
      <c r="G94" s="247">
        <v>214455.98</v>
      </c>
      <c r="H94" s="247">
        <v>536.97900000000004</v>
      </c>
      <c r="I94" s="248">
        <v>118.9</v>
      </c>
      <c r="J94" s="258">
        <f t="shared" si="16"/>
        <v>5.9221658206429773E-3</v>
      </c>
      <c r="K94" s="298"/>
      <c r="L94" s="252">
        <v>300</v>
      </c>
      <c r="M94" s="263"/>
      <c r="N94" s="263"/>
      <c r="O94" s="473">
        <v>328.76</v>
      </c>
      <c r="P94" s="474">
        <v>328.76</v>
      </c>
      <c r="Q94" s="474">
        <v>430.86</v>
      </c>
      <c r="R94" s="475">
        <v>0.09</v>
      </c>
      <c r="S94" s="533">
        <f t="shared" si="17"/>
        <v>88</v>
      </c>
      <c r="T94" s="460">
        <v>75.260000000000005</v>
      </c>
      <c r="U94" s="460">
        <v>10.56</v>
      </c>
      <c r="V94" s="460">
        <v>353.76</v>
      </c>
      <c r="W94" s="460"/>
      <c r="X94" s="254">
        <v>51.09</v>
      </c>
      <c r="Y94" s="461">
        <v>7.4999999999999997E-2</v>
      </c>
      <c r="Z94" s="460">
        <v>22.5</v>
      </c>
      <c r="AA94" s="460">
        <v>10.26</v>
      </c>
      <c r="AB94" s="460">
        <v>437.73</v>
      </c>
      <c r="AC94" s="462">
        <v>353.75</v>
      </c>
      <c r="AD94" s="463">
        <v>0.3</v>
      </c>
      <c r="AE94" s="460">
        <v>40.83</v>
      </c>
      <c r="AF94" s="460">
        <v>61.32</v>
      </c>
      <c r="AG94" s="460">
        <v>20.62</v>
      </c>
      <c r="AH94" s="460"/>
      <c r="AI94" s="460"/>
      <c r="AJ94" s="460"/>
      <c r="AK94" s="460"/>
      <c r="AL94" s="253"/>
      <c r="AM94" s="273">
        <v>0.1</v>
      </c>
      <c r="AN94" s="255">
        <v>0.08</v>
      </c>
      <c r="AO94" s="160">
        <v>0.1</v>
      </c>
      <c r="AP94" s="536">
        <v>480.1</v>
      </c>
      <c r="AQ94" s="536"/>
      <c r="AR94" s="505">
        <f t="shared" si="18"/>
        <v>88</v>
      </c>
      <c r="AS94" s="480">
        <v>257.37</v>
      </c>
      <c r="AT94" s="480">
        <v>191.57</v>
      </c>
      <c r="AU94" s="480"/>
      <c r="AV94" s="480"/>
      <c r="AW94" s="480"/>
      <c r="AX94" s="480"/>
      <c r="AY94" s="480">
        <v>303.18</v>
      </c>
      <c r="AZ94" s="499" t="s">
        <v>5323</v>
      </c>
      <c r="BA94" s="502">
        <v>23.57</v>
      </c>
      <c r="BB94" s="502"/>
      <c r="BC94" s="510">
        <v>237.16</v>
      </c>
      <c r="BD94" s="510">
        <v>1222.49</v>
      </c>
      <c r="BE94" s="504">
        <v>0.2</v>
      </c>
      <c r="BF94" s="503">
        <v>0.22</v>
      </c>
      <c r="BG94" s="502">
        <v>16.66</v>
      </c>
      <c r="BH94" s="502">
        <v>1414.05</v>
      </c>
      <c r="BI94" s="502">
        <v>19.170000000000002</v>
      </c>
      <c r="BJ94" s="502"/>
      <c r="BK94" s="502"/>
      <c r="BL94" s="510"/>
      <c r="BM94" s="511">
        <v>0.16200000000000001</v>
      </c>
      <c r="BN94" s="511"/>
      <c r="BO94" s="511" t="s">
        <v>5340</v>
      </c>
      <c r="BP94" s="252"/>
      <c r="BQ94" s="252"/>
      <c r="BR94" s="511">
        <v>0.22</v>
      </c>
      <c r="BS94" s="252"/>
      <c r="BT94" s="252"/>
      <c r="BU94" s="524">
        <f t="shared" si="19"/>
        <v>88</v>
      </c>
      <c r="BV94" s="489">
        <v>158.63</v>
      </c>
      <c r="BW94" s="254"/>
      <c r="BX94" s="254"/>
      <c r="BY94" s="254"/>
      <c r="BZ94" s="494">
        <v>19.170000000000002</v>
      </c>
      <c r="CA94" s="497">
        <v>0.3</v>
      </c>
      <c r="CB94" s="497"/>
      <c r="CC94" s="494">
        <v>424</v>
      </c>
      <c r="CD94" s="241">
        <f t="shared" si="11"/>
        <v>88</v>
      </c>
      <c r="CE94" s="2"/>
      <c r="CF94" s="2">
        <v>490.8</v>
      </c>
      <c r="CG94" s="2"/>
      <c r="CH94" s="2"/>
      <c r="CI94" s="2"/>
      <c r="CJ94" s="252"/>
      <c r="CK94" s="252"/>
      <c r="CL94" s="252">
        <v>546.33000000000004</v>
      </c>
      <c r="CM94" s="253"/>
      <c r="CO94" s="253">
        <v>0.08</v>
      </c>
      <c r="CU94" s="266">
        <f t="shared" si="12"/>
        <v>181</v>
      </c>
      <c r="CV94" s="267">
        <f t="shared" si="13"/>
        <v>362</v>
      </c>
      <c r="CW94" s="268">
        <f t="shared" si="14"/>
        <v>904.99</v>
      </c>
      <c r="CX94" s="418">
        <v>184</v>
      </c>
      <c r="CY94" s="252"/>
      <c r="CZ94" s="252"/>
      <c r="DA94" s="252"/>
      <c r="DB94" s="252"/>
      <c r="DC94" s="252"/>
      <c r="DD94" s="252"/>
      <c r="DE94" s="252"/>
      <c r="DF94" s="252">
        <f t="shared" si="20"/>
        <v>0</v>
      </c>
      <c r="DG94" s="252"/>
      <c r="DH94" s="252">
        <v>489.06</v>
      </c>
      <c r="DI94" s="252"/>
      <c r="DK94" s="252"/>
      <c r="DL94" s="252"/>
      <c r="DP94" s="6">
        <v>7.2499999999999995E-2</v>
      </c>
      <c r="DQ94" s="252">
        <v>39.42</v>
      </c>
      <c r="DR94" s="3">
        <v>546.33000000000004</v>
      </c>
      <c r="DT94" s="241">
        <f t="shared" si="15"/>
        <v>88</v>
      </c>
      <c r="DU94" s="2"/>
      <c r="DV94" s="252">
        <v>720</v>
      </c>
      <c r="DY94" s="252">
        <v>405.18</v>
      </c>
      <c r="DZ94" s="264">
        <v>3.9399999999999998E-2</v>
      </c>
      <c r="EA94" s="252">
        <v>0</v>
      </c>
      <c r="EB94" s="253">
        <v>0</v>
      </c>
    </row>
    <row r="95" spans="1:132">
      <c r="A95">
        <v>89</v>
      </c>
      <c r="B95" s="259">
        <v>5.2015000000000002</v>
      </c>
      <c r="C95">
        <v>89</v>
      </c>
      <c r="D95" s="168">
        <f t="shared" si="10"/>
        <v>2.012067931143724E-3</v>
      </c>
      <c r="E95" s="246">
        <v>42125</v>
      </c>
      <c r="F95" s="186">
        <v>0.2</v>
      </c>
      <c r="G95" s="247">
        <v>214887.48</v>
      </c>
      <c r="H95" s="247">
        <v>538.05939999999998</v>
      </c>
      <c r="I95" s="248">
        <v>119.2</v>
      </c>
      <c r="J95" s="258">
        <f t="shared" si="16"/>
        <v>2.523128679562614E-3</v>
      </c>
      <c r="K95" s="298"/>
      <c r="L95" s="252">
        <v>300</v>
      </c>
      <c r="M95" s="263"/>
      <c r="N95" s="263"/>
      <c r="O95" s="473">
        <v>328.76</v>
      </c>
      <c r="P95" s="474">
        <v>328.76</v>
      </c>
      <c r="Q95" s="474">
        <v>430.86</v>
      </c>
      <c r="R95" s="475">
        <v>0.09</v>
      </c>
      <c r="S95" s="533">
        <f t="shared" si="17"/>
        <v>89</v>
      </c>
      <c r="T95" s="460">
        <v>75.260000000000005</v>
      </c>
      <c r="U95" s="460">
        <v>10.56</v>
      </c>
      <c r="V95" s="460">
        <v>353.76</v>
      </c>
      <c r="W95" s="460"/>
      <c r="X95" s="254">
        <v>51.09</v>
      </c>
      <c r="Y95" s="461">
        <v>7.4999999999999997E-2</v>
      </c>
      <c r="Z95" s="460">
        <v>22.5</v>
      </c>
      <c r="AA95" s="460">
        <v>10.26</v>
      </c>
      <c r="AB95" s="460">
        <v>437.73</v>
      </c>
      <c r="AC95" s="462">
        <v>353.75</v>
      </c>
      <c r="AD95" s="463">
        <v>0.3</v>
      </c>
      <c r="AE95" s="460">
        <v>40.83</v>
      </c>
      <c r="AF95" s="460">
        <v>61.32</v>
      </c>
      <c r="AG95" s="460">
        <v>20.62</v>
      </c>
      <c r="AH95" s="460"/>
      <c r="AI95" s="460"/>
      <c r="AJ95" s="460"/>
      <c r="AK95" s="460"/>
      <c r="AL95" s="253"/>
      <c r="AM95" s="273">
        <v>0.1</v>
      </c>
      <c r="AN95" s="255">
        <v>0.08</v>
      </c>
      <c r="AO95" s="160">
        <v>0.1</v>
      </c>
      <c r="AP95" s="536">
        <v>480.1</v>
      </c>
      <c r="AQ95" s="536"/>
      <c r="AR95" s="505">
        <f t="shared" si="18"/>
        <v>89</v>
      </c>
      <c r="AS95" s="480">
        <v>257.37</v>
      </c>
      <c r="AT95" s="480">
        <v>191.57</v>
      </c>
      <c r="AU95" s="480"/>
      <c r="AV95" s="480"/>
      <c r="AW95" s="480"/>
      <c r="AX95" s="480"/>
      <c r="AY95" s="480">
        <v>303.18</v>
      </c>
      <c r="AZ95" s="499" t="s">
        <v>5323</v>
      </c>
      <c r="BA95" s="502">
        <v>23.57</v>
      </c>
      <c r="BB95" s="501"/>
      <c r="BC95" s="510">
        <v>237.16</v>
      </c>
      <c r="BD95" s="510">
        <v>1222.49</v>
      </c>
      <c r="BE95" s="504">
        <v>0.2</v>
      </c>
      <c r="BF95" s="503">
        <v>0.22</v>
      </c>
      <c r="BG95" s="502">
        <v>16.66</v>
      </c>
      <c r="BH95" s="502">
        <v>1414.05</v>
      </c>
      <c r="BI95" s="502">
        <v>19.170000000000002</v>
      </c>
      <c r="BJ95" s="502"/>
      <c r="BK95" s="502"/>
      <c r="BL95" s="510"/>
      <c r="BM95" s="511">
        <v>0.16200000000000001</v>
      </c>
      <c r="BN95" s="511"/>
      <c r="BO95" s="511" t="s">
        <v>5340</v>
      </c>
      <c r="BP95" s="252"/>
      <c r="BQ95" s="252"/>
      <c r="BR95" s="511">
        <v>0.22</v>
      </c>
      <c r="BS95" s="252"/>
      <c r="BT95" s="252"/>
      <c r="BU95" s="524">
        <f t="shared" si="19"/>
        <v>89</v>
      </c>
      <c r="BV95" s="489">
        <v>158.63</v>
      </c>
      <c r="BW95" s="254"/>
      <c r="BX95" s="254"/>
      <c r="BY95" s="254"/>
      <c r="BZ95" s="494">
        <v>19.170000000000002</v>
      </c>
      <c r="CA95" s="497">
        <v>0.3</v>
      </c>
      <c r="CB95" s="497"/>
      <c r="CC95" s="494">
        <v>424</v>
      </c>
      <c r="CD95" s="241">
        <f t="shared" si="11"/>
        <v>89</v>
      </c>
      <c r="CE95" s="2"/>
      <c r="CF95" s="2">
        <v>490.8</v>
      </c>
      <c r="CG95" s="2"/>
      <c r="CH95" s="2"/>
      <c r="CI95" s="2"/>
      <c r="CJ95" s="252"/>
      <c r="CK95" s="252"/>
      <c r="CL95" s="252">
        <v>546.33000000000004</v>
      </c>
      <c r="CM95" s="253"/>
      <c r="CO95" s="5">
        <v>0.08</v>
      </c>
      <c r="CU95" s="266">
        <f t="shared" si="12"/>
        <v>181</v>
      </c>
      <c r="CV95" s="267">
        <f t="shared" si="13"/>
        <v>362</v>
      </c>
      <c r="CW95" s="268">
        <f t="shared" si="14"/>
        <v>904.99</v>
      </c>
      <c r="CX95" s="418">
        <v>184</v>
      </c>
      <c r="CY95" s="252"/>
      <c r="CZ95" s="252"/>
      <c r="DA95" s="252"/>
      <c r="DB95" s="252"/>
      <c r="DC95" s="252"/>
      <c r="DD95" s="252"/>
      <c r="DE95" s="252"/>
      <c r="DF95" s="252">
        <f t="shared" si="20"/>
        <v>0</v>
      </c>
      <c r="DG95" s="252"/>
      <c r="DH95" s="252">
        <v>489.06</v>
      </c>
      <c r="DI95" s="252"/>
      <c r="DK95" s="252"/>
      <c r="DL95" s="252"/>
      <c r="DP95" s="6">
        <v>7.2499999999999995E-2</v>
      </c>
      <c r="DQ95" s="252">
        <v>39.42</v>
      </c>
      <c r="DR95" s="3">
        <v>546.33000000000004</v>
      </c>
      <c r="DT95" s="241">
        <f t="shared" si="15"/>
        <v>89</v>
      </c>
      <c r="DU95" s="2"/>
      <c r="DV95" s="252">
        <v>720</v>
      </c>
      <c r="DY95" s="252">
        <v>405.18</v>
      </c>
      <c r="DZ95" s="264">
        <v>3.9399999999999998E-2</v>
      </c>
      <c r="EA95" s="252">
        <v>0</v>
      </c>
      <c r="EB95" s="253">
        <v>0</v>
      </c>
    </row>
    <row r="96" spans="1:132">
      <c r="A96">
        <v>90</v>
      </c>
      <c r="B96" s="259">
        <v>6.2015000000000002</v>
      </c>
      <c r="C96">
        <v>90</v>
      </c>
      <c r="D96" s="168">
        <f t="shared" si="10"/>
        <v>3.012041464677262E-3</v>
      </c>
      <c r="E96" s="246">
        <v>42156</v>
      </c>
      <c r="F96" s="186">
        <v>0.3</v>
      </c>
      <c r="G96" s="247">
        <v>215534.73</v>
      </c>
      <c r="H96" s="247">
        <v>539.68010000000004</v>
      </c>
      <c r="I96" s="248">
        <v>119.5</v>
      </c>
      <c r="J96" s="258">
        <f t="shared" si="16"/>
        <v>2.5167785234898599E-3</v>
      </c>
      <c r="K96" s="298"/>
      <c r="L96" s="252">
        <v>300</v>
      </c>
      <c r="M96" s="263"/>
      <c r="N96" s="263"/>
      <c r="O96" s="473">
        <v>328.76</v>
      </c>
      <c r="P96" s="474">
        <v>328.76</v>
      </c>
      <c r="Q96" s="474">
        <v>430.86</v>
      </c>
      <c r="R96" s="475">
        <v>0.09</v>
      </c>
      <c r="S96" s="533">
        <f t="shared" si="17"/>
        <v>90</v>
      </c>
      <c r="T96" s="460">
        <v>75.260000000000005</v>
      </c>
      <c r="U96" s="460">
        <v>10.56</v>
      </c>
      <c r="V96" s="460">
        <v>353.76</v>
      </c>
      <c r="W96" s="460"/>
      <c r="X96" s="254">
        <v>51.09</v>
      </c>
      <c r="Y96" s="461">
        <v>7.4999999999999997E-2</v>
      </c>
      <c r="Z96" s="460">
        <v>22.5</v>
      </c>
      <c r="AA96" s="460">
        <v>10.26</v>
      </c>
      <c r="AB96" s="460">
        <v>437.73</v>
      </c>
      <c r="AC96" s="462">
        <v>353.75</v>
      </c>
      <c r="AD96" s="463">
        <v>0.3</v>
      </c>
      <c r="AE96" s="460">
        <v>40.83</v>
      </c>
      <c r="AF96" s="460">
        <v>61.32</v>
      </c>
      <c r="AG96" s="460">
        <v>20.62</v>
      </c>
      <c r="AH96" s="460"/>
      <c r="AI96" s="460"/>
      <c r="AJ96" s="460"/>
      <c r="AK96" s="460"/>
      <c r="AL96" s="253"/>
      <c r="AM96" s="273">
        <v>0.1</v>
      </c>
      <c r="AN96" s="255">
        <v>0.08</v>
      </c>
      <c r="AO96" s="160">
        <v>0.1</v>
      </c>
      <c r="AP96" s="536">
        <v>480.1</v>
      </c>
      <c r="AQ96" s="536"/>
      <c r="AR96" s="505">
        <f t="shared" si="18"/>
        <v>90</v>
      </c>
      <c r="AS96" s="480">
        <v>257.37</v>
      </c>
      <c r="AT96" s="480">
        <v>191.57</v>
      </c>
      <c r="AU96" s="480"/>
      <c r="AV96" s="480"/>
      <c r="AW96" s="480"/>
      <c r="AX96" s="480"/>
      <c r="AY96" s="480">
        <v>303.18</v>
      </c>
      <c r="AZ96" s="499" t="s">
        <v>5323</v>
      </c>
      <c r="BA96" s="502">
        <v>23.57</v>
      </c>
      <c r="BB96" s="502"/>
      <c r="BC96" s="510">
        <v>237.16</v>
      </c>
      <c r="BD96" s="510">
        <v>1222.49</v>
      </c>
      <c r="BE96" s="504">
        <v>0.2</v>
      </c>
      <c r="BF96" s="503">
        <v>0.22</v>
      </c>
      <c r="BG96" s="502">
        <v>16.66</v>
      </c>
      <c r="BH96" s="502">
        <v>1414.05</v>
      </c>
      <c r="BI96" s="502">
        <v>19.170000000000002</v>
      </c>
      <c r="BJ96" s="502"/>
      <c r="BK96" s="502"/>
      <c r="BL96" s="510"/>
      <c r="BM96" s="511">
        <v>0.16200000000000001</v>
      </c>
      <c r="BN96" s="511"/>
      <c r="BO96" s="511" t="s">
        <v>5340</v>
      </c>
      <c r="BP96" s="252"/>
      <c r="BQ96" s="252"/>
      <c r="BR96" s="511">
        <v>0.22</v>
      </c>
      <c r="BS96" s="252"/>
      <c r="BT96" s="252"/>
      <c r="BU96" s="524">
        <f t="shared" si="19"/>
        <v>90</v>
      </c>
      <c r="BV96" s="489">
        <v>158.63</v>
      </c>
      <c r="BW96" s="254"/>
      <c r="BX96" s="254"/>
      <c r="BY96" s="254"/>
      <c r="BZ96" s="494">
        <v>19.170000000000002</v>
      </c>
      <c r="CA96" s="497">
        <v>0.3</v>
      </c>
      <c r="CB96" s="497"/>
      <c r="CC96" s="494">
        <v>424</v>
      </c>
      <c r="CD96" s="241">
        <f t="shared" si="11"/>
        <v>90</v>
      </c>
      <c r="CE96" s="2"/>
      <c r="CF96" s="2">
        <v>490.8</v>
      </c>
      <c r="CG96" s="2"/>
      <c r="CH96" s="2"/>
      <c r="CI96" s="2"/>
      <c r="CJ96" s="252"/>
      <c r="CK96" s="252"/>
      <c r="CL96" s="252">
        <v>546.33000000000004</v>
      </c>
      <c r="CM96" s="253"/>
      <c r="CO96" s="253">
        <v>0.08</v>
      </c>
      <c r="CU96" s="266">
        <f t="shared" si="12"/>
        <v>181</v>
      </c>
      <c r="CV96" s="267">
        <f t="shared" si="13"/>
        <v>362</v>
      </c>
      <c r="CW96" s="268">
        <f t="shared" si="14"/>
        <v>904.99</v>
      </c>
      <c r="CX96" s="418">
        <v>184</v>
      </c>
      <c r="CY96" s="252"/>
      <c r="CZ96" s="252"/>
      <c r="DA96" s="252"/>
      <c r="DB96" s="252"/>
      <c r="DC96" s="252"/>
      <c r="DD96" s="252"/>
      <c r="DE96" s="252"/>
      <c r="DF96" s="252">
        <f t="shared" si="20"/>
        <v>0</v>
      </c>
      <c r="DG96" s="252"/>
      <c r="DH96" s="252">
        <v>489.06</v>
      </c>
      <c r="DI96" s="252"/>
      <c r="DK96" s="252"/>
      <c r="DL96" s="252"/>
      <c r="DP96" s="6">
        <v>7.2499999999999995E-2</v>
      </c>
      <c r="DQ96" s="252">
        <v>39.42</v>
      </c>
      <c r="DR96" s="3">
        <v>546.33000000000004</v>
      </c>
      <c r="DT96" s="241">
        <f t="shared" si="15"/>
        <v>90</v>
      </c>
      <c r="DU96" s="2"/>
      <c r="DV96" s="252">
        <v>720</v>
      </c>
      <c r="DY96" s="252">
        <v>405.18</v>
      </c>
      <c r="DZ96" s="264">
        <v>3.9399999999999998E-2</v>
      </c>
      <c r="EA96" s="252">
        <v>0</v>
      </c>
      <c r="EB96" s="253">
        <v>0</v>
      </c>
    </row>
    <row r="97" spans="1:132">
      <c r="A97">
        <v>91</v>
      </c>
      <c r="B97" s="259">
        <v>7.2015000000000002</v>
      </c>
      <c r="C97">
        <v>91</v>
      </c>
      <c r="D97" s="168">
        <f t="shared" si="10"/>
        <v>2.0019975435048298E-3</v>
      </c>
      <c r="E97" s="246">
        <v>42186</v>
      </c>
      <c r="F97" s="186">
        <v>0.2</v>
      </c>
      <c r="G97" s="247">
        <v>215966.23</v>
      </c>
      <c r="H97" s="247">
        <v>540.76049999999998</v>
      </c>
      <c r="I97" s="248">
        <v>119.8</v>
      </c>
      <c r="J97" s="258">
        <f t="shared" si="16"/>
        <v>2.5104602510459539E-3</v>
      </c>
      <c r="K97" s="298"/>
      <c r="L97" s="252">
        <v>300</v>
      </c>
      <c r="M97" s="263"/>
      <c r="N97" s="263"/>
      <c r="O97" s="473">
        <v>328.76</v>
      </c>
      <c r="P97" s="474">
        <v>328.76</v>
      </c>
      <c r="Q97" s="474">
        <v>430.86</v>
      </c>
      <c r="R97" s="475">
        <v>0.09</v>
      </c>
      <c r="S97" s="533">
        <f t="shared" si="17"/>
        <v>91</v>
      </c>
      <c r="T97" s="460">
        <v>75.260000000000005</v>
      </c>
      <c r="U97" s="460">
        <v>10.56</v>
      </c>
      <c r="V97" s="460">
        <v>353.76</v>
      </c>
      <c r="W97" s="460"/>
      <c r="X97" s="254">
        <v>51.09</v>
      </c>
      <c r="Y97" s="461">
        <v>7.4999999999999997E-2</v>
      </c>
      <c r="Z97" s="460">
        <v>22.5</v>
      </c>
      <c r="AA97" s="460">
        <v>10.26</v>
      </c>
      <c r="AB97" s="460">
        <v>437.73</v>
      </c>
      <c r="AC97" s="462">
        <v>353.75</v>
      </c>
      <c r="AD97" s="463">
        <v>0.3</v>
      </c>
      <c r="AE97" s="460">
        <v>40.83</v>
      </c>
      <c r="AF97" s="460">
        <v>61.32</v>
      </c>
      <c r="AG97" s="460">
        <v>20.62</v>
      </c>
      <c r="AH97" s="460"/>
      <c r="AI97" s="460"/>
      <c r="AJ97" s="460"/>
      <c r="AK97" s="460"/>
      <c r="AL97" s="253"/>
      <c r="AM97" s="273">
        <v>0.1</v>
      </c>
      <c r="AN97" s="255">
        <v>0.08</v>
      </c>
      <c r="AO97" s="160">
        <v>0.1</v>
      </c>
      <c r="AP97" s="536">
        <v>480.1</v>
      </c>
      <c r="AQ97" s="536"/>
      <c r="AR97" s="505">
        <f t="shared" si="18"/>
        <v>91</v>
      </c>
      <c r="AS97" s="480">
        <v>257.37</v>
      </c>
      <c r="AT97" s="480">
        <v>191.57</v>
      </c>
      <c r="AU97" s="480"/>
      <c r="AV97" s="480"/>
      <c r="AW97" s="480"/>
      <c r="AX97" s="480"/>
      <c r="AY97" s="480">
        <v>303.18</v>
      </c>
      <c r="AZ97" s="499" t="s">
        <v>5323</v>
      </c>
      <c r="BA97" s="502">
        <v>23.57</v>
      </c>
      <c r="BB97" s="501"/>
      <c r="BC97" s="510">
        <v>237.16</v>
      </c>
      <c r="BD97" s="510">
        <v>1222.49</v>
      </c>
      <c r="BE97" s="504">
        <v>0.2</v>
      </c>
      <c r="BF97" s="503">
        <v>0.22</v>
      </c>
      <c r="BG97" s="502">
        <v>16.66</v>
      </c>
      <c r="BH97" s="502">
        <v>1414.05</v>
      </c>
      <c r="BI97" s="502">
        <v>19.170000000000002</v>
      </c>
      <c r="BJ97" s="502"/>
      <c r="BK97" s="502"/>
      <c r="BL97" s="510"/>
      <c r="BM97" s="511">
        <v>0.16200000000000001</v>
      </c>
      <c r="BN97" s="511"/>
      <c r="BO97" s="511" t="s">
        <v>5340</v>
      </c>
      <c r="BP97" s="252"/>
      <c r="BQ97" s="252"/>
      <c r="BR97" s="511">
        <v>0.22</v>
      </c>
      <c r="BS97" s="252"/>
      <c r="BT97" s="252"/>
      <c r="BU97" s="524">
        <f t="shared" si="19"/>
        <v>91</v>
      </c>
      <c r="BV97" s="489">
        <v>158.63</v>
      </c>
      <c r="BW97" s="254"/>
      <c r="BX97" s="254"/>
      <c r="BY97" s="254"/>
      <c r="BZ97" s="494">
        <v>19.170000000000002</v>
      </c>
      <c r="CA97" s="497">
        <v>0.3</v>
      </c>
      <c r="CB97" s="497"/>
      <c r="CC97" s="494">
        <v>424</v>
      </c>
      <c r="CD97" s="241">
        <f t="shared" si="11"/>
        <v>91</v>
      </c>
      <c r="CE97" s="2"/>
      <c r="CF97" s="2">
        <v>490.8</v>
      </c>
      <c r="CG97" s="2"/>
      <c r="CH97" s="2"/>
      <c r="CI97" s="2"/>
      <c r="CJ97" s="252"/>
      <c r="CK97" s="252"/>
      <c r="CL97" s="252">
        <v>546.33000000000004</v>
      </c>
      <c r="CM97" s="253"/>
      <c r="CO97" s="5">
        <v>0.08</v>
      </c>
      <c r="CU97" s="266">
        <f t="shared" si="12"/>
        <v>181</v>
      </c>
      <c r="CV97" s="267">
        <f t="shared" si="13"/>
        <v>362</v>
      </c>
      <c r="CW97" s="268">
        <f t="shared" si="14"/>
        <v>904.99</v>
      </c>
      <c r="CX97" s="418">
        <v>184</v>
      </c>
      <c r="CY97" s="252"/>
      <c r="CZ97" s="252"/>
      <c r="DA97" s="252"/>
      <c r="DB97" s="252"/>
      <c r="DC97" s="252"/>
      <c r="DD97" s="252"/>
      <c r="DE97" s="252"/>
      <c r="DF97" s="252">
        <f t="shared" si="20"/>
        <v>0</v>
      </c>
      <c r="DG97" s="252"/>
      <c r="DH97" s="252">
        <v>489.06</v>
      </c>
      <c r="DI97" s="252"/>
      <c r="DK97" s="252"/>
      <c r="DL97" s="252"/>
      <c r="DP97" s="6">
        <v>7.2499999999999995E-2</v>
      </c>
      <c r="DQ97" s="252">
        <v>39.42</v>
      </c>
      <c r="DR97" s="3">
        <v>546.33000000000004</v>
      </c>
      <c r="DT97" s="241">
        <f t="shared" si="15"/>
        <v>91</v>
      </c>
      <c r="DU97" s="2"/>
      <c r="DV97" s="252">
        <v>720</v>
      </c>
      <c r="DY97" s="252">
        <v>405.18</v>
      </c>
      <c r="DZ97" s="264">
        <v>3.9399999999999998E-2</v>
      </c>
      <c r="EA97" s="252">
        <v>0</v>
      </c>
      <c r="EB97" s="253">
        <v>0</v>
      </c>
    </row>
    <row r="98" spans="1:132">
      <c r="A98">
        <v>92</v>
      </c>
      <c r="B98" s="259">
        <v>8.2014999999999993</v>
      </c>
      <c r="C98">
        <v>92</v>
      </c>
      <c r="D98" s="168">
        <f t="shared" si="10"/>
        <v>-1.9979975573032327E-3</v>
      </c>
      <c r="E98" s="246">
        <v>42217</v>
      </c>
      <c r="F98" s="186">
        <v>-0.2</v>
      </c>
      <c r="G98" s="247">
        <v>215534.73</v>
      </c>
      <c r="H98" s="247">
        <v>539.68010000000004</v>
      </c>
      <c r="I98" s="248">
        <v>119.5</v>
      </c>
      <c r="J98" s="258">
        <f t="shared" si="16"/>
        <v>-2.5041736227044975E-3</v>
      </c>
      <c r="K98" s="298"/>
      <c r="L98" s="252">
        <v>300</v>
      </c>
      <c r="M98" s="263"/>
      <c r="N98" s="263"/>
      <c r="O98" s="473">
        <v>328.76</v>
      </c>
      <c r="P98" s="474">
        <v>328.76</v>
      </c>
      <c r="Q98" s="474">
        <v>430.86</v>
      </c>
      <c r="R98" s="475">
        <v>0.09</v>
      </c>
      <c r="S98" s="533">
        <f t="shared" si="17"/>
        <v>92</v>
      </c>
      <c r="T98" s="460">
        <v>75.260000000000005</v>
      </c>
      <c r="U98" s="460">
        <v>10.56</v>
      </c>
      <c r="V98" s="460">
        <v>353.76</v>
      </c>
      <c r="W98" s="460"/>
      <c r="X98" s="254">
        <v>51.09</v>
      </c>
      <c r="Y98" s="461">
        <v>7.4999999999999997E-2</v>
      </c>
      <c r="Z98" s="460">
        <v>22.5</v>
      </c>
      <c r="AA98" s="460">
        <v>10.26</v>
      </c>
      <c r="AB98" s="460">
        <v>437.73</v>
      </c>
      <c r="AC98" s="462">
        <v>353.75</v>
      </c>
      <c r="AD98" s="463">
        <v>0.3</v>
      </c>
      <c r="AE98" s="460">
        <v>40.83</v>
      </c>
      <c r="AF98" s="460">
        <v>61.32</v>
      </c>
      <c r="AG98" s="460">
        <v>20.62</v>
      </c>
      <c r="AH98" s="460"/>
      <c r="AI98" s="460"/>
      <c r="AJ98" s="460"/>
      <c r="AK98" s="460"/>
      <c r="AL98" s="253"/>
      <c r="AM98" s="273">
        <v>0.1</v>
      </c>
      <c r="AN98" s="255">
        <v>0.08</v>
      </c>
      <c r="AO98" s="160">
        <v>0.1</v>
      </c>
      <c r="AP98" s="536">
        <v>480.1</v>
      </c>
      <c r="AQ98" s="536"/>
      <c r="AR98" s="505">
        <f t="shared" si="18"/>
        <v>92</v>
      </c>
      <c r="AS98" s="480">
        <v>257.37</v>
      </c>
      <c r="AT98" s="480">
        <v>191.57</v>
      </c>
      <c r="AU98" s="480"/>
      <c r="AV98" s="480"/>
      <c r="AW98" s="480"/>
      <c r="AX98" s="480"/>
      <c r="AY98" s="480">
        <v>303.18</v>
      </c>
      <c r="AZ98" s="499" t="s">
        <v>5323</v>
      </c>
      <c r="BA98" s="502">
        <v>23.57</v>
      </c>
      <c r="BB98" s="502"/>
      <c r="BC98" s="510">
        <v>237.16</v>
      </c>
      <c r="BD98" s="510">
        <v>1222.49</v>
      </c>
      <c r="BE98" s="504">
        <v>0.2</v>
      </c>
      <c r="BF98" s="503">
        <v>0.22</v>
      </c>
      <c r="BG98" s="502">
        <v>16.66</v>
      </c>
      <c r="BH98" s="502">
        <v>1414.05</v>
      </c>
      <c r="BI98" s="502">
        <v>19.170000000000002</v>
      </c>
      <c r="BJ98" s="502"/>
      <c r="BK98" s="502"/>
      <c r="BL98" s="510"/>
      <c r="BM98" s="511">
        <v>0.16200000000000001</v>
      </c>
      <c r="BN98" s="511"/>
      <c r="BO98" s="511" t="s">
        <v>5340</v>
      </c>
      <c r="BP98" s="252"/>
      <c r="BQ98" s="252"/>
      <c r="BR98" s="511">
        <v>0.22</v>
      </c>
      <c r="BS98" s="252"/>
      <c r="BT98" s="252"/>
      <c r="BU98" s="524">
        <f t="shared" si="19"/>
        <v>92</v>
      </c>
      <c r="BV98" s="489">
        <v>158.63</v>
      </c>
      <c r="BW98" s="254"/>
      <c r="BX98" s="254"/>
      <c r="BY98" s="254"/>
      <c r="BZ98" s="494">
        <v>19.170000000000002</v>
      </c>
      <c r="CA98" s="497">
        <v>0.3</v>
      </c>
      <c r="CB98" s="497"/>
      <c r="CC98" s="494">
        <v>424</v>
      </c>
      <c r="CD98" s="241">
        <f t="shared" si="11"/>
        <v>92</v>
      </c>
      <c r="CE98" s="2"/>
      <c r="CF98" s="2">
        <v>490.8</v>
      </c>
      <c r="CG98" s="2"/>
      <c r="CH98" s="2"/>
      <c r="CI98" s="2"/>
      <c r="CJ98" s="252"/>
      <c r="CK98" s="252"/>
      <c r="CL98" s="252">
        <v>546.33000000000004</v>
      </c>
      <c r="CM98" s="253"/>
      <c r="CO98" s="253">
        <v>0.08</v>
      </c>
      <c r="CU98" s="266">
        <f t="shared" si="12"/>
        <v>181</v>
      </c>
      <c r="CV98" s="267">
        <f t="shared" si="13"/>
        <v>362</v>
      </c>
      <c r="CW98" s="268">
        <f t="shared" si="14"/>
        <v>904.99</v>
      </c>
      <c r="CX98" s="418">
        <v>184</v>
      </c>
      <c r="CY98" s="252"/>
      <c r="CZ98" s="252"/>
      <c r="DA98" s="252"/>
      <c r="DB98" s="252"/>
      <c r="DC98" s="252"/>
      <c r="DD98" s="252"/>
      <c r="DE98" s="252"/>
      <c r="DF98" s="252">
        <f t="shared" si="20"/>
        <v>0</v>
      </c>
      <c r="DG98" s="252"/>
      <c r="DH98" s="252">
        <v>489.06</v>
      </c>
      <c r="DI98" s="252"/>
      <c r="DK98" s="252"/>
      <c r="DL98" s="252"/>
      <c r="DP98" s="6">
        <v>7.2499999999999995E-2</v>
      </c>
      <c r="DQ98" s="252">
        <v>39.42</v>
      </c>
      <c r="DR98" s="3">
        <v>546.33000000000004</v>
      </c>
      <c r="DT98" s="241">
        <f t="shared" si="15"/>
        <v>92</v>
      </c>
      <c r="DU98" s="2"/>
      <c r="DV98" s="252">
        <v>720</v>
      </c>
      <c r="DY98" s="252">
        <v>405.18</v>
      </c>
      <c r="DZ98" s="264">
        <v>3.9399999999999998E-2</v>
      </c>
      <c r="EA98" s="252">
        <v>0</v>
      </c>
      <c r="EB98" s="253">
        <v>0</v>
      </c>
    </row>
    <row r="99" spans="1:132">
      <c r="A99">
        <v>93</v>
      </c>
      <c r="B99" s="259">
        <v>9.2014999999999993</v>
      </c>
      <c r="C99">
        <v>93</v>
      </c>
      <c r="D99" s="168">
        <f t="shared" si="10"/>
        <v>-4.0039950870098817E-3</v>
      </c>
      <c r="E99" s="246">
        <v>42248</v>
      </c>
      <c r="F99" s="186">
        <v>-0.41</v>
      </c>
      <c r="G99" s="247">
        <v>214671.73</v>
      </c>
      <c r="H99" s="247">
        <v>537.51919999999996</v>
      </c>
      <c r="I99" s="248">
        <v>119.1</v>
      </c>
      <c r="J99" s="258">
        <f t="shared" si="16"/>
        <v>-3.3472803347280866E-3</v>
      </c>
      <c r="K99" s="298"/>
      <c r="L99" s="252">
        <v>300</v>
      </c>
      <c r="M99" s="263"/>
      <c r="N99" s="263"/>
      <c r="O99" s="473">
        <v>328.76</v>
      </c>
      <c r="P99" s="474">
        <v>328.76</v>
      </c>
      <c r="Q99" s="474">
        <v>430.86</v>
      </c>
      <c r="R99" s="475">
        <v>0.09</v>
      </c>
      <c r="S99" s="533">
        <f t="shared" si="17"/>
        <v>93</v>
      </c>
      <c r="T99" s="460">
        <v>75.260000000000005</v>
      </c>
      <c r="U99" s="460">
        <v>10.56</v>
      </c>
      <c r="V99" s="460">
        <v>353.76</v>
      </c>
      <c r="W99" s="460"/>
      <c r="X99" s="254">
        <v>51.09</v>
      </c>
      <c r="Y99" s="461">
        <v>7.4999999999999997E-2</v>
      </c>
      <c r="Z99" s="460">
        <v>22.5</v>
      </c>
      <c r="AA99" s="460">
        <v>10.26</v>
      </c>
      <c r="AB99" s="460">
        <v>437.73</v>
      </c>
      <c r="AC99" s="462">
        <v>353.75</v>
      </c>
      <c r="AD99" s="463">
        <v>0.3</v>
      </c>
      <c r="AE99" s="460">
        <v>40.83</v>
      </c>
      <c r="AF99" s="460">
        <v>61.32</v>
      </c>
      <c r="AG99" s="460">
        <v>20.62</v>
      </c>
      <c r="AH99" s="460"/>
      <c r="AI99" s="460"/>
      <c r="AJ99" s="460"/>
      <c r="AK99" s="460"/>
      <c r="AL99" s="253"/>
      <c r="AM99" s="273">
        <v>0.1</v>
      </c>
      <c r="AN99" s="255">
        <v>0.08</v>
      </c>
      <c r="AO99" s="160">
        <v>0.1</v>
      </c>
      <c r="AP99" s="536">
        <v>480.1</v>
      </c>
      <c r="AQ99" s="536"/>
      <c r="AR99" s="505">
        <f t="shared" si="18"/>
        <v>93</v>
      </c>
      <c r="AS99" s="480">
        <v>257.37</v>
      </c>
      <c r="AT99" s="480">
        <v>191.57</v>
      </c>
      <c r="AU99" s="480"/>
      <c r="AV99" s="480"/>
      <c r="AW99" s="480"/>
      <c r="AX99" s="480"/>
      <c r="AY99" s="480">
        <v>303.18</v>
      </c>
      <c r="AZ99" s="499" t="s">
        <v>5323</v>
      </c>
      <c r="BA99" s="502">
        <v>23.57</v>
      </c>
      <c r="BB99" s="501"/>
      <c r="BC99" s="510">
        <v>237.16</v>
      </c>
      <c r="BD99" s="510">
        <v>1222.49</v>
      </c>
      <c r="BE99" s="504">
        <v>0.2</v>
      </c>
      <c r="BF99" s="503">
        <v>0.22</v>
      </c>
      <c r="BG99" s="502">
        <v>16.66</v>
      </c>
      <c r="BH99" s="502">
        <v>1414.05</v>
      </c>
      <c r="BI99" s="502">
        <v>19.170000000000002</v>
      </c>
      <c r="BJ99" s="502"/>
      <c r="BK99" s="502"/>
      <c r="BL99" s="510"/>
      <c r="BM99" s="511">
        <v>0.16200000000000001</v>
      </c>
      <c r="BN99" s="511"/>
      <c r="BO99" s="511" t="s">
        <v>5340</v>
      </c>
      <c r="BP99" s="252"/>
      <c r="BQ99" s="252"/>
      <c r="BR99" s="511">
        <v>0.22</v>
      </c>
      <c r="BS99" s="252"/>
      <c r="BT99" s="252"/>
      <c r="BU99" s="524">
        <f t="shared" si="19"/>
        <v>93</v>
      </c>
      <c r="BV99" s="489">
        <v>158.63</v>
      </c>
      <c r="BW99" s="254"/>
      <c r="BX99" s="254"/>
      <c r="BY99" s="254"/>
      <c r="BZ99" s="494">
        <v>19.170000000000002</v>
      </c>
      <c r="CA99" s="497">
        <v>0.3</v>
      </c>
      <c r="CB99" s="497"/>
      <c r="CC99" s="494">
        <v>424</v>
      </c>
      <c r="CD99" s="241">
        <f t="shared" si="11"/>
        <v>93</v>
      </c>
      <c r="CE99" s="2"/>
      <c r="CF99" s="2">
        <v>490.8</v>
      </c>
      <c r="CG99" s="2"/>
      <c r="CH99" s="2"/>
      <c r="CI99" s="2"/>
      <c r="CJ99" s="252"/>
      <c r="CK99" s="252"/>
      <c r="CL99" s="252">
        <v>546.33000000000004</v>
      </c>
      <c r="CM99" s="253"/>
      <c r="CO99" s="5">
        <v>0.08</v>
      </c>
      <c r="CU99" s="266">
        <f t="shared" si="12"/>
        <v>181</v>
      </c>
      <c r="CV99" s="267">
        <f t="shared" si="13"/>
        <v>362</v>
      </c>
      <c r="CW99" s="268">
        <f t="shared" si="14"/>
        <v>904.99</v>
      </c>
      <c r="CX99" s="418">
        <v>184</v>
      </c>
      <c r="CY99" s="252"/>
      <c r="CZ99" s="252"/>
      <c r="DA99" s="252"/>
      <c r="DB99" s="252"/>
      <c r="DC99" s="252"/>
      <c r="DD99" s="252"/>
      <c r="DE99" s="252"/>
      <c r="DF99" s="252">
        <f t="shared" si="20"/>
        <v>0</v>
      </c>
      <c r="DG99" s="252"/>
      <c r="DH99" s="252">
        <v>489.06</v>
      </c>
      <c r="DI99" s="252"/>
      <c r="DK99" s="252"/>
      <c r="DL99" s="252"/>
      <c r="DP99" s="6">
        <v>7.2499999999999995E-2</v>
      </c>
      <c r="DQ99" s="252">
        <v>39.42</v>
      </c>
      <c r="DR99" s="3">
        <v>546.33000000000004</v>
      </c>
      <c r="DT99" s="241">
        <f t="shared" si="15"/>
        <v>93</v>
      </c>
      <c r="DU99" s="2"/>
      <c r="DV99" s="252">
        <v>720</v>
      </c>
      <c r="DY99" s="252">
        <v>405.18</v>
      </c>
      <c r="DZ99" s="264">
        <v>3.9399999999999998E-2</v>
      </c>
      <c r="EA99" s="252">
        <v>0</v>
      </c>
      <c r="EB99" s="253">
        <v>0</v>
      </c>
    </row>
    <row r="100" spans="1:132">
      <c r="A100">
        <v>94</v>
      </c>
      <c r="B100" s="259">
        <v>10.201499999999999</v>
      </c>
      <c r="C100">
        <v>94</v>
      </c>
      <c r="D100" s="168">
        <f t="shared" si="10"/>
        <v>1.00502287841997E-3</v>
      </c>
      <c r="E100" s="246">
        <v>42278</v>
      </c>
      <c r="F100" s="186">
        <v>0.1</v>
      </c>
      <c r="G100" s="247">
        <v>214887.48</v>
      </c>
      <c r="H100" s="247">
        <v>538.05939999999998</v>
      </c>
      <c r="I100" s="248">
        <v>119.2</v>
      </c>
      <c r="J100" s="258">
        <f t="shared" si="16"/>
        <v>8.3963056255265123E-4</v>
      </c>
      <c r="K100" s="298"/>
      <c r="L100" s="252">
        <v>300</v>
      </c>
      <c r="M100" s="263"/>
      <c r="N100" s="263"/>
      <c r="O100" s="473">
        <v>328.76</v>
      </c>
      <c r="P100" s="474">
        <v>328.76</v>
      </c>
      <c r="Q100" s="474">
        <v>430.86</v>
      </c>
      <c r="R100" s="475">
        <v>0.09</v>
      </c>
      <c r="S100" s="533">
        <f t="shared" si="17"/>
        <v>94</v>
      </c>
      <c r="T100" s="460">
        <v>75.260000000000005</v>
      </c>
      <c r="U100" s="460">
        <v>10.56</v>
      </c>
      <c r="V100" s="460">
        <v>353.76</v>
      </c>
      <c r="W100" s="460"/>
      <c r="X100" s="254">
        <v>51.09</v>
      </c>
      <c r="Y100" s="461">
        <v>7.4999999999999997E-2</v>
      </c>
      <c r="Z100" s="460">
        <v>22.5</v>
      </c>
      <c r="AA100" s="460">
        <v>10.26</v>
      </c>
      <c r="AB100" s="460">
        <v>437.73</v>
      </c>
      <c r="AC100" s="462">
        <v>353.75</v>
      </c>
      <c r="AD100" s="463">
        <v>0.3</v>
      </c>
      <c r="AE100" s="460">
        <v>40.83</v>
      </c>
      <c r="AF100" s="460">
        <v>61.32</v>
      </c>
      <c r="AG100" s="460">
        <v>20.62</v>
      </c>
      <c r="AH100" s="460"/>
      <c r="AI100" s="460"/>
      <c r="AJ100" s="460"/>
      <c r="AK100" s="460"/>
      <c r="AL100" s="253"/>
      <c r="AM100" s="273">
        <v>0.1</v>
      </c>
      <c r="AN100" s="255">
        <v>0.08</v>
      </c>
      <c r="AO100" s="160">
        <v>0.1</v>
      </c>
      <c r="AP100" s="536">
        <v>480.1</v>
      </c>
      <c r="AQ100" s="536"/>
      <c r="AR100" s="505">
        <f t="shared" si="18"/>
        <v>94</v>
      </c>
      <c r="AS100" s="480">
        <v>257.37</v>
      </c>
      <c r="AT100" s="480">
        <v>191.57</v>
      </c>
      <c r="AU100" s="480"/>
      <c r="AV100" s="480"/>
      <c r="AW100" s="480"/>
      <c r="AX100" s="480"/>
      <c r="AY100" s="480">
        <v>303.18</v>
      </c>
      <c r="AZ100" s="499" t="s">
        <v>5323</v>
      </c>
      <c r="BA100" s="502">
        <v>23.57</v>
      </c>
      <c r="BB100" s="502"/>
      <c r="BC100" s="510">
        <v>237.16</v>
      </c>
      <c r="BD100" s="510">
        <v>1222.49</v>
      </c>
      <c r="BE100" s="504">
        <v>0.2</v>
      </c>
      <c r="BF100" s="503">
        <v>0.22</v>
      </c>
      <c r="BG100" s="502">
        <v>16.66</v>
      </c>
      <c r="BH100" s="502">
        <v>1414.05</v>
      </c>
      <c r="BI100" s="502">
        <v>19.170000000000002</v>
      </c>
      <c r="BJ100" s="502"/>
      <c r="BK100" s="502"/>
      <c r="BL100" s="510"/>
      <c r="BM100" s="511">
        <v>0.16200000000000001</v>
      </c>
      <c r="BN100" s="511"/>
      <c r="BO100" s="511" t="s">
        <v>5340</v>
      </c>
      <c r="BP100" s="252"/>
      <c r="BQ100" s="252"/>
      <c r="BR100" s="511">
        <v>0.22</v>
      </c>
      <c r="BS100" s="252"/>
      <c r="BT100" s="252"/>
      <c r="BU100" s="524">
        <f t="shared" si="19"/>
        <v>94</v>
      </c>
      <c r="BV100" s="489">
        <v>158.63</v>
      </c>
      <c r="BW100" s="254"/>
      <c r="BX100" s="254"/>
      <c r="BY100" s="254"/>
      <c r="BZ100" s="494">
        <v>19.170000000000002</v>
      </c>
      <c r="CA100" s="497">
        <v>0.3</v>
      </c>
      <c r="CB100" s="497"/>
      <c r="CC100" s="494">
        <v>424</v>
      </c>
      <c r="CD100" s="241">
        <f t="shared" si="11"/>
        <v>94</v>
      </c>
      <c r="CE100" s="2"/>
      <c r="CF100" s="2">
        <v>490.8</v>
      </c>
      <c r="CG100" s="2"/>
      <c r="CH100" s="2"/>
      <c r="CI100" s="2"/>
      <c r="CJ100" s="252"/>
      <c r="CK100" s="252"/>
      <c r="CL100" s="252">
        <v>546.33000000000004</v>
      </c>
      <c r="CM100" s="253"/>
      <c r="CO100" s="253">
        <v>0.08</v>
      </c>
      <c r="CU100" s="266">
        <f t="shared" si="12"/>
        <v>181</v>
      </c>
      <c r="CV100" s="267">
        <f t="shared" si="13"/>
        <v>362</v>
      </c>
      <c r="CW100" s="268">
        <f t="shared" si="14"/>
        <v>904.99</v>
      </c>
      <c r="CX100" s="418">
        <v>184</v>
      </c>
      <c r="CY100" s="252"/>
      <c r="CZ100" s="252"/>
      <c r="DA100" s="252"/>
      <c r="DB100" s="252"/>
      <c r="DC100" s="252"/>
      <c r="DD100" s="252"/>
      <c r="DE100" s="252"/>
      <c r="DF100" s="252">
        <f t="shared" si="20"/>
        <v>0</v>
      </c>
      <c r="DG100" s="252"/>
      <c r="DH100" s="252">
        <v>489.06</v>
      </c>
      <c r="DI100" s="252"/>
      <c r="DK100" s="252"/>
      <c r="DL100" s="252"/>
      <c r="DP100" s="6">
        <v>7.2499999999999995E-2</v>
      </c>
      <c r="DQ100" s="252">
        <v>39.42</v>
      </c>
      <c r="DR100" s="3">
        <v>546.33000000000004</v>
      </c>
      <c r="DT100" s="241">
        <f t="shared" si="15"/>
        <v>94</v>
      </c>
      <c r="DU100" s="2"/>
      <c r="DV100" s="252">
        <v>720</v>
      </c>
      <c r="DY100" s="252">
        <v>405.18</v>
      </c>
      <c r="DZ100" s="264">
        <v>3.9399999999999998E-2</v>
      </c>
      <c r="EA100" s="252">
        <v>0</v>
      </c>
      <c r="EB100" s="253">
        <v>0</v>
      </c>
    </row>
    <row r="101" spans="1:132">
      <c r="A101">
        <v>95</v>
      </c>
      <c r="B101" s="259">
        <v>11.201499999999999</v>
      </c>
      <c r="C101">
        <v>95</v>
      </c>
      <c r="D101" s="168">
        <f t="shared" si="10"/>
        <v>-4.0160552862362753E-3</v>
      </c>
      <c r="E101" s="246">
        <v>42309</v>
      </c>
      <c r="F101" s="186">
        <v>-0.41</v>
      </c>
      <c r="G101" s="247">
        <v>214024.48</v>
      </c>
      <c r="H101" s="247">
        <v>535.89850000000001</v>
      </c>
      <c r="I101" s="248">
        <v>118.7</v>
      </c>
      <c r="J101" s="258">
        <f t="shared" si="16"/>
        <v>-4.1946308724831738E-3</v>
      </c>
      <c r="K101" s="298"/>
      <c r="L101" s="252">
        <v>300</v>
      </c>
      <c r="M101" s="263"/>
      <c r="N101" s="263"/>
      <c r="O101" s="473">
        <v>328.76</v>
      </c>
      <c r="P101" s="474">
        <v>328.76</v>
      </c>
      <c r="Q101" s="474">
        <v>430.86</v>
      </c>
      <c r="R101" s="475">
        <v>0.09</v>
      </c>
      <c r="S101" s="533">
        <f t="shared" si="17"/>
        <v>95</v>
      </c>
      <c r="T101" s="460">
        <v>75.260000000000005</v>
      </c>
      <c r="U101" s="460">
        <v>10.56</v>
      </c>
      <c r="V101" s="460">
        <v>353.76</v>
      </c>
      <c r="W101" s="460"/>
      <c r="X101" s="254">
        <v>51.09</v>
      </c>
      <c r="Y101" s="461">
        <v>7.4999999999999997E-2</v>
      </c>
      <c r="Z101" s="460">
        <v>22.5</v>
      </c>
      <c r="AA101" s="460">
        <v>10.26</v>
      </c>
      <c r="AB101" s="460">
        <v>437.73</v>
      </c>
      <c r="AC101" s="462">
        <v>353.75</v>
      </c>
      <c r="AD101" s="463">
        <v>0.3</v>
      </c>
      <c r="AE101" s="460">
        <v>40.83</v>
      </c>
      <c r="AF101" s="460">
        <v>61.32</v>
      </c>
      <c r="AG101" s="460">
        <v>20.62</v>
      </c>
      <c r="AH101" s="460"/>
      <c r="AI101" s="460"/>
      <c r="AJ101" s="460"/>
      <c r="AK101" s="460"/>
      <c r="AL101" s="253"/>
      <c r="AM101" s="273">
        <v>0.1</v>
      </c>
      <c r="AN101" s="255">
        <v>0.08</v>
      </c>
      <c r="AO101" s="160">
        <v>0.1</v>
      </c>
      <c r="AP101" s="536">
        <v>480.1</v>
      </c>
      <c r="AQ101" s="536"/>
      <c r="AR101" s="505">
        <f t="shared" si="18"/>
        <v>95</v>
      </c>
      <c r="AS101" s="480">
        <v>257.37</v>
      </c>
      <c r="AT101" s="480">
        <v>191.57</v>
      </c>
      <c r="AU101" s="480"/>
      <c r="AV101" s="480"/>
      <c r="AW101" s="480"/>
      <c r="AX101" s="480"/>
      <c r="AY101" s="480">
        <v>303.18</v>
      </c>
      <c r="AZ101" s="499" t="s">
        <v>5323</v>
      </c>
      <c r="BA101" s="502">
        <v>23.57</v>
      </c>
      <c r="BB101" s="501"/>
      <c r="BC101" s="510">
        <v>237.16</v>
      </c>
      <c r="BD101" s="510">
        <v>1222.49</v>
      </c>
      <c r="BE101" s="504">
        <v>0.2</v>
      </c>
      <c r="BF101" s="503">
        <v>0.22</v>
      </c>
      <c r="BG101" s="502">
        <v>16.66</v>
      </c>
      <c r="BH101" s="502">
        <v>1414.05</v>
      </c>
      <c r="BI101" s="502">
        <v>19.170000000000002</v>
      </c>
      <c r="BJ101" s="502"/>
      <c r="BK101" s="502"/>
      <c r="BL101" s="510"/>
      <c r="BM101" s="511">
        <v>0.16200000000000001</v>
      </c>
      <c r="BN101" s="511"/>
      <c r="BO101" s="511" t="s">
        <v>5340</v>
      </c>
      <c r="BP101" s="252"/>
      <c r="BQ101" s="252"/>
      <c r="BR101" s="511">
        <v>0.22</v>
      </c>
      <c r="BS101" s="252"/>
      <c r="BT101" s="252"/>
      <c r="BU101" s="524">
        <f t="shared" si="19"/>
        <v>95</v>
      </c>
      <c r="BV101" s="489">
        <v>158.63</v>
      </c>
      <c r="BW101" s="254"/>
      <c r="BX101" s="254"/>
      <c r="BY101" s="254"/>
      <c r="BZ101" s="494">
        <v>19.170000000000002</v>
      </c>
      <c r="CA101" s="497">
        <v>0.3</v>
      </c>
      <c r="CB101" s="497"/>
      <c r="CC101" s="494">
        <v>424</v>
      </c>
      <c r="CD101" s="241">
        <f t="shared" si="11"/>
        <v>95</v>
      </c>
      <c r="CE101" s="2"/>
      <c r="CF101" s="2">
        <v>490.8</v>
      </c>
      <c r="CG101" s="2"/>
      <c r="CH101" s="2"/>
      <c r="CI101" s="2"/>
      <c r="CJ101" s="252"/>
      <c r="CK101" s="252"/>
      <c r="CL101" s="252">
        <v>546.33000000000004</v>
      </c>
      <c r="CM101" s="253"/>
      <c r="CO101" s="5">
        <v>0.08</v>
      </c>
      <c r="CU101" s="266">
        <f t="shared" si="12"/>
        <v>181</v>
      </c>
      <c r="CV101" s="267">
        <f t="shared" si="13"/>
        <v>362</v>
      </c>
      <c r="CW101" s="268">
        <f t="shared" si="14"/>
        <v>904.99</v>
      </c>
      <c r="CX101" s="418">
        <v>184</v>
      </c>
      <c r="CY101" s="252"/>
      <c r="CZ101" s="252"/>
      <c r="DA101" s="252"/>
      <c r="DB101" s="252"/>
      <c r="DC101" s="252"/>
      <c r="DD101" s="252"/>
      <c r="DE101" s="252"/>
      <c r="DF101" s="252">
        <f t="shared" si="20"/>
        <v>0</v>
      </c>
      <c r="DG101" s="252"/>
      <c r="DH101" s="252">
        <v>489.06</v>
      </c>
      <c r="DI101" s="252"/>
      <c r="DK101" s="252"/>
      <c r="DL101" s="252"/>
      <c r="DP101" s="6">
        <v>7.2499999999999995E-2</v>
      </c>
      <c r="DQ101" s="252">
        <v>39.42</v>
      </c>
      <c r="DR101" s="3">
        <v>546.33000000000004</v>
      </c>
      <c r="DT101" s="241">
        <f t="shared" si="15"/>
        <v>95</v>
      </c>
      <c r="DU101" s="2"/>
      <c r="DV101" s="252">
        <v>720</v>
      </c>
      <c r="DY101" s="252">
        <v>405.18</v>
      </c>
      <c r="DZ101" s="264">
        <v>3.9399999999999998E-2</v>
      </c>
      <c r="EA101" s="252">
        <v>0</v>
      </c>
      <c r="EB101" s="253">
        <v>0</v>
      </c>
    </row>
    <row r="102" spans="1:132">
      <c r="A102">
        <v>96</v>
      </c>
      <c r="B102" s="259">
        <v>12.201499999999999</v>
      </c>
      <c r="C102">
        <v>96</v>
      </c>
      <c r="D102" s="168">
        <f t="shared" si="10"/>
        <v>-1.0080622553083618E-3</v>
      </c>
      <c r="E102" s="246">
        <v>42339</v>
      </c>
      <c r="F102" s="186">
        <v>-0.11</v>
      </c>
      <c r="G102" s="247">
        <v>213808.73</v>
      </c>
      <c r="H102" s="247">
        <v>535.35829999999999</v>
      </c>
      <c r="I102" s="248">
        <v>118.6</v>
      </c>
      <c r="J102" s="258">
        <f t="shared" si="16"/>
        <v>-8.4245998315091164E-4</v>
      </c>
      <c r="K102" s="298"/>
      <c r="L102" s="252">
        <v>300</v>
      </c>
      <c r="M102" s="263"/>
      <c r="N102" s="263"/>
      <c r="O102" s="473">
        <v>328.76</v>
      </c>
      <c r="P102" s="474">
        <v>328.76</v>
      </c>
      <c r="Q102" s="474">
        <v>430.86</v>
      </c>
      <c r="R102" s="475">
        <v>0.09</v>
      </c>
      <c r="S102" s="533">
        <f t="shared" si="17"/>
        <v>96</v>
      </c>
      <c r="T102" s="460">
        <v>75.260000000000005</v>
      </c>
      <c r="U102" s="460">
        <v>10.56</v>
      </c>
      <c r="V102" s="460">
        <v>353.76</v>
      </c>
      <c r="W102" s="460"/>
      <c r="X102" s="254">
        <v>51.09</v>
      </c>
      <c r="Y102" s="461">
        <v>7.4999999999999997E-2</v>
      </c>
      <c r="Z102" s="460">
        <v>22.5</v>
      </c>
      <c r="AA102" s="460">
        <v>10.26</v>
      </c>
      <c r="AB102" s="460">
        <v>437.73</v>
      </c>
      <c r="AC102" s="462">
        <v>353.75</v>
      </c>
      <c r="AD102" s="463">
        <v>0.3</v>
      </c>
      <c r="AE102" s="460">
        <v>40.83</v>
      </c>
      <c r="AF102" s="460">
        <v>61.32</v>
      </c>
      <c r="AG102" s="460">
        <v>20.62</v>
      </c>
      <c r="AH102" s="460"/>
      <c r="AI102" s="460"/>
      <c r="AJ102" s="460"/>
      <c r="AK102" s="460"/>
      <c r="AL102" s="253"/>
      <c r="AM102" s="273">
        <v>0.1</v>
      </c>
      <c r="AN102" s="255">
        <v>0.08</v>
      </c>
      <c r="AO102" s="160">
        <v>0.1</v>
      </c>
      <c r="AP102" s="536">
        <v>480.1</v>
      </c>
      <c r="AQ102" s="536"/>
      <c r="AR102" s="505">
        <f t="shared" si="18"/>
        <v>96</v>
      </c>
      <c r="AS102" s="480">
        <v>257.37</v>
      </c>
      <c r="AT102" s="480">
        <v>191.57</v>
      </c>
      <c r="AU102" s="480"/>
      <c r="AV102" s="480"/>
      <c r="AW102" s="480"/>
      <c r="AX102" s="480"/>
      <c r="AY102" s="480">
        <v>303.18</v>
      </c>
      <c r="AZ102" s="499" t="s">
        <v>5323</v>
      </c>
      <c r="BA102" s="502">
        <v>23.57</v>
      </c>
      <c r="BB102" s="502"/>
      <c r="BC102" s="510">
        <v>237.16</v>
      </c>
      <c r="BD102" s="510">
        <v>1222.49</v>
      </c>
      <c r="BE102" s="504">
        <v>0.2</v>
      </c>
      <c r="BF102" s="503">
        <v>0.22</v>
      </c>
      <c r="BG102" s="502">
        <v>16.66</v>
      </c>
      <c r="BH102" s="502">
        <v>1414.05</v>
      </c>
      <c r="BI102" s="502">
        <v>19.170000000000002</v>
      </c>
      <c r="BJ102" s="502"/>
      <c r="BK102" s="502"/>
      <c r="BL102" s="510"/>
      <c r="BM102" s="511">
        <v>0.16200000000000001</v>
      </c>
      <c r="BN102" s="511"/>
      <c r="BO102" s="511" t="s">
        <v>5340</v>
      </c>
      <c r="BP102" s="252"/>
      <c r="BQ102" s="252"/>
      <c r="BR102" s="511">
        <v>0.22</v>
      </c>
      <c r="BS102" s="252"/>
      <c r="BT102" s="252"/>
      <c r="BU102" s="524">
        <f t="shared" si="19"/>
        <v>96</v>
      </c>
      <c r="BV102" s="489">
        <v>158.63</v>
      </c>
      <c r="BW102" s="254"/>
      <c r="BX102" s="254"/>
      <c r="BY102" s="254"/>
      <c r="BZ102" s="494">
        <v>19.170000000000002</v>
      </c>
      <c r="CA102" s="497">
        <v>0.3</v>
      </c>
      <c r="CB102" s="497"/>
      <c r="CC102" s="494">
        <v>424</v>
      </c>
      <c r="CD102" s="241">
        <f t="shared" si="11"/>
        <v>96</v>
      </c>
      <c r="CE102" s="2"/>
      <c r="CF102" s="2">
        <v>490.8</v>
      </c>
      <c r="CG102" s="2"/>
      <c r="CH102" s="2"/>
      <c r="CI102" s="2"/>
      <c r="CJ102" s="252"/>
      <c r="CK102" s="252"/>
      <c r="CL102" s="252">
        <v>546.33000000000004</v>
      </c>
      <c r="CM102" s="253"/>
      <c r="CO102" s="253">
        <v>0.08</v>
      </c>
      <c r="CU102" s="266">
        <f t="shared" si="12"/>
        <v>181</v>
      </c>
      <c r="CV102" s="267">
        <f t="shared" si="13"/>
        <v>362</v>
      </c>
      <c r="CW102" s="268">
        <f t="shared" si="14"/>
        <v>904.99</v>
      </c>
      <c r="CX102" s="418">
        <v>184</v>
      </c>
      <c r="CY102" s="252"/>
      <c r="CZ102" s="252"/>
      <c r="DA102" s="252"/>
      <c r="DB102" s="252"/>
      <c r="DC102" s="252"/>
      <c r="DD102" s="252"/>
      <c r="DE102" s="252"/>
      <c r="DF102" s="252">
        <f t="shared" si="20"/>
        <v>0</v>
      </c>
      <c r="DG102" s="252"/>
      <c r="DH102" s="252">
        <v>489.06</v>
      </c>
      <c r="DI102" s="252"/>
      <c r="DK102" s="252"/>
      <c r="DL102" s="252"/>
      <c r="DP102" s="6">
        <v>7.2499999999999995E-2</v>
      </c>
      <c r="DQ102" s="252">
        <v>39.42</v>
      </c>
      <c r="DR102" s="3">
        <v>546.33000000000004</v>
      </c>
      <c r="DT102" s="241">
        <f t="shared" si="15"/>
        <v>96</v>
      </c>
      <c r="DU102" s="2"/>
      <c r="DV102" s="252">
        <v>720</v>
      </c>
      <c r="DY102" s="252">
        <v>405.18</v>
      </c>
      <c r="DZ102" s="264">
        <v>3.9399999999999998E-2</v>
      </c>
      <c r="EA102" s="252">
        <v>0</v>
      </c>
      <c r="EB102" s="253">
        <v>0</v>
      </c>
    </row>
    <row r="103" spans="1:132">
      <c r="A103">
        <v>97</v>
      </c>
      <c r="B103" s="259">
        <v>1.2016</v>
      </c>
      <c r="C103">
        <v>97</v>
      </c>
      <c r="D103" s="168">
        <f t="shared" ref="D103:D166" si="21">+G103/G102-1</f>
        <v>-5.0453973511745964E-3</v>
      </c>
      <c r="E103" s="246">
        <v>42370</v>
      </c>
      <c r="F103" s="186">
        <v>-0.51</v>
      </c>
      <c r="G103" s="247">
        <v>212729.98</v>
      </c>
      <c r="H103" s="247">
        <v>532.65719999999999</v>
      </c>
      <c r="I103" s="248">
        <v>118</v>
      </c>
      <c r="J103" s="258">
        <f t="shared" si="16"/>
        <v>-5.0590219224282418E-3</v>
      </c>
      <c r="K103" s="298"/>
      <c r="L103" s="252">
        <v>300</v>
      </c>
      <c r="M103" s="263"/>
      <c r="N103" s="263"/>
      <c r="O103" s="473">
        <v>328.76</v>
      </c>
      <c r="P103" s="474">
        <v>328.76</v>
      </c>
      <c r="Q103" s="474">
        <v>430.86</v>
      </c>
      <c r="R103" s="475">
        <v>0.09</v>
      </c>
      <c r="S103" s="533">
        <f t="shared" si="17"/>
        <v>97</v>
      </c>
      <c r="T103" s="460">
        <v>75.260000000000005</v>
      </c>
      <c r="U103" s="460">
        <v>10.56</v>
      </c>
      <c r="V103" s="460">
        <v>353.76</v>
      </c>
      <c r="W103" s="460"/>
      <c r="X103" s="254">
        <v>51.09</v>
      </c>
      <c r="Y103" s="461">
        <v>7.4999999999999997E-2</v>
      </c>
      <c r="Z103" s="460">
        <v>22.5</v>
      </c>
      <c r="AA103" s="460">
        <v>10.26</v>
      </c>
      <c r="AB103" s="460">
        <v>437.73</v>
      </c>
      <c r="AC103" s="462">
        <v>353.75</v>
      </c>
      <c r="AD103" s="463">
        <v>0.3</v>
      </c>
      <c r="AE103" s="460">
        <v>40.83</v>
      </c>
      <c r="AF103" s="460">
        <v>61.32</v>
      </c>
      <c r="AG103" s="460">
        <v>20.62</v>
      </c>
      <c r="AH103" s="460"/>
      <c r="AI103" s="460"/>
      <c r="AJ103" s="460"/>
      <c r="AK103" s="460"/>
      <c r="AL103" s="253"/>
      <c r="AM103" s="273">
        <v>0.1</v>
      </c>
      <c r="AN103" s="255">
        <v>0.08</v>
      </c>
      <c r="AO103" s="160">
        <v>0.1</v>
      </c>
      <c r="AP103" s="536">
        <v>480.1</v>
      </c>
      <c r="AQ103" s="536"/>
      <c r="AR103" s="505">
        <f t="shared" si="18"/>
        <v>97</v>
      </c>
      <c r="AS103" s="480">
        <v>257.37</v>
      </c>
      <c r="AT103" s="480">
        <v>191.57</v>
      </c>
      <c r="AU103" s="480"/>
      <c r="AV103" s="480"/>
      <c r="AW103" s="480"/>
      <c r="AX103" s="480"/>
      <c r="AY103" s="480">
        <v>303.18</v>
      </c>
      <c r="AZ103" s="499" t="s">
        <v>5323</v>
      </c>
      <c r="BA103" s="502">
        <v>23.57</v>
      </c>
      <c r="BB103" s="501"/>
      <c r="BC103" s="510">
        <v>237.16</v>
      </c>
      <c r="BD103" s="510">
        <v>1222.49</v>
      </c>
      <c r="BE103" s="504">
        <v>0.2</v>
      </c>
      <c r="BF103" s="503">
        <v>0.22</v>
      </c>
      <c r="BG103" s="502">
        <v>16.66</v>
      </c>
      <c r="BH103" s="502">
        <v>1414.05</v>
      </c>
      <c r="BI103" s="502">
        <v>19.170000000000002</v>
      </c>
      <c r="BJ103" s="502"/>
      <c r="BK103" s="502"/>
      <c r="BL103" s="510"/>
      <c r="BM103" s="511">
        <v>0.16200000000000001</v>
      </c>
      <c r="BN103" s="511"/>
      <c r="BO103" s="511" t="s">
        <v>5340</v>
      </c>
      <c r="BP103" s="252"/>
      <c r="BQ103" s="252"/>
      <c r="BR103" s="511">
        <v>0.22</v>
      </c>
      <c r="BS103" s="252"/>
      <c r="BT103" s="252"/>
      <c r="BU103" s="524">
        <f t="shared" si="19"/>
        <v>97</v>
      </c>
      <c r="BV103" s="489">
        <v>158.63</v>
      </c>
      <c r="BW103" s="254"/>
      <c r="BX103" s="254"/>
      <c r="BY103" s="254"/>
      <c r="BZ103" s="494">
        <v>19.170000000000002</v>
      </c>
      <c r="CA103" s="497">
        <v>0.3</v>
      </c>
      <c r="CB103" s="497"/>
      <c r="CC103" s="494">
        <v>424</v>
      </c>
      <c r="CD103" s="241">
        <f t="shared" si="11"/>
        <v>97</v>
      </c>
      <c r="CE103" s="2"/>
      <c r="CF103" s="2">
        <v>490.8</v>
      </c>
      <c r="CG103" s="2"/>
      <c r="CH103" s="2"/>
      <c r="CI103" s="2"/>
      <c r="CJ103" s="252"/>
      <c r="CK103" s="252"/>
      <c r="CL103" s="252">
        <v>546.33000000000004</v>
      </c>
      <c r="CM103" s="253"/>
      <c r="CO103" s="5">
        <v>0.08</v>
      </c>
      <c r="CU103" s="266">
        <f t="shared" si="12"/>
        <v>181</v>
      </c>
      <c r="CV103" s="267">
        <f t="shared" si="13"/>
        <v>362</v>
      </c>
      <c r="CW103" s="268">
        <f t="shared" si="14"/>
        <v>904.99</v>
      </c>
      <c r="CX103" s="418">
        <v>184</v>
      </c>
      <c r="CY103" s="252"/>
      <c r="CZ103" s="252"/>
      <c r="DA103" s="252"/>
      <c r="DB103" s="252"/>
      <c r="DC103" s="252"/>
      <c r="DD103" s="252"/>
      <c r="DE103" s="252"/>
      <c r="DF103" s="252">
        <f t="shared" si="20"/>
        <v>0</v>
      </c>
      <c r="DG103" s="252"/>
      <c r="DH103" s="252">
        <v>489.06</v>
      </c>
      <c r="DI103" s="252"/>
      <c r="DK103" s="252"/>
      <c r="DL103" s="252"/>
      <c r="DP103" s="6">
        <v>7.2499999999999995E-2</v>
      </c>
      <c r="DQ103" s="252">
        <v>39.42</v>
      </c>
      <c r="DR103" s="3">
        <v>546.33000000000004</v>
      </c>
      <c r="DT103" s="241">
        <f t="shared" si="15"/>
        <v>97</v>
      </c>
      <c r="DU103" s="2"/>
      <c r="DV103" s="252">
        <v>720</v>
      </c>
      <c r="DY103" s="252">
        <v>405.18</v>
      </c>
      <c r="DZ103" s="264">
        <v>3.9399999999999998E-2</v>
      </c>
      <c r="EA103" s="252">
        <v>0</v>
      </c>
      <c r="EB103" s="253">
        <v>0</v>
      </c>
    </row>
    <row r="104" spans="1:132">
      <c r="A104">
        <v>98</v>
      </c>
      <c r="B104" s="259">
        <v>2.2016</v>
      </c>
      <c r="C104">
        <v>98</v>
      </c>
      <c r="D104" s="168">
        <f t="shared" si="21"/>
        <v>-3.0425894836261236E-3</v>
      </c>
      <c r="E104" s="246">
        <v>42401</v>
      </c>
      <c r="F104" s="186">
        <v>-0.31</v>
      </c>
      <c r="G104" s="247">
        <v>212082.73</v>
      </c>
      <c r="H104" s="247">
        <v>531.03660000000002</v>
      </c>
      <c r="I104" s="248">
        <v>117.6</v>
      </c>
      <c r="J104" s="258">
        <f t="shared" si="16"/>
        <v>-3.3898305084746339E-3</v>
      </c>
      <c r="K104" s="298"/>
      <c r="L104" s="252">
        <v>300</v>
      </c>
      <c r="M104" s="263"/>
      <c r="N104" s="263"/>
      <c r="O104" s="473">
        <v>328.76</v>
      </c>
      <c r="P104" s="474">
        <v>328.76</v>
      </c>
      <c r="Q104" s="474">
        <v>430.86</v>
      </c>
      <c r="R104" s="475">
        <v>0.09</v>
      </c>
      <c r="S104" s="533">
        <f t="shared" si="17"/>
        <v>98</v>
      </c>
      <c r="T104" s="460">
        <v>75.260000000000005</v>
      </c>
      <c r="U104" s="460">
        <v>10.56</v>
      </c>
      <c r="V104" s="460">
        <v>353.76</v>
      </c>
      <c r="W104" s="460"/>
      <c r="X104" s="254">
        <v>51.09</v>
      </c>
      <c r="Y104" s="461">
        <v>7.4999999999999997E-2</v>
      </c>
      <c r="Z104" s="460">
        <v>22.5</v>
      </c>
      <c r="AA104" s="460">
        <v>10.26</v>
      </c>
      <c r="AB104" s="460">
        <v>437.73</v>
      </c>
      <c r="AC104" s="462">
        <v>353.75</v>
      </c>
      <c r="AD104" s="463">
        <v>0.3</v>
      </c>
      <c r="AE104" s="460">
        <v>40.83</v>
      </c>
      <c r="AF104" s="460">
        <v>61.32</v>
      </c>
      <c r="AG104" s="460">
        <v>20.62</v>
      </c>
      <c r="AH104" s="460"/>
      <c r="AI104" s="460"/>
      <c r="AJ104" s="460"/>
      <c r="AK104" s="460"/>
      <c r="AL104" s="253"/>
      <c r="AM104" s="273">
        <v>0.1</v>
      </c>
      <c r="AN104" s="255">
        <v>0.08</v>
      </c>
      <c r="AO104" s="160">
        <v>0.1</v>
      </c>
      <c r="AP104" s="536">
        <v>480.1</v>
      </c>
      <c r="AQ104" s="536"/>
      <c r="AR104" s="505">
        <f t="shared" si="18"/>
        <v>98</v>
      </c>
      <c r="AS104" s="480">
        <v>257.37</v>
      </c>
      <c r="AT104" s="480">
        <v>191.57</v>
      </c>
      <c r="AU104" s="480"/>
      <c r="AV104" s="480"/>
      <c r="AW104" s="480"/>
      <c r="AX104" s="480"/>
      <c r="AY104" s="480">
        <v>303.18</v>
      </c>
      <c r="AZ104" s="499" t="s">
        <v>5323</v>
      </c>
      <c r="BA104" s="502">
        <v>23.57</v>
      </c>
      <c r="BB104" s="502"/>
      <c r="BC104" s="510">
        <v>237.16</v>
      </c>
      <c r="BD104" s="510">
        <v>1222.49</v>
      </c>
      <c r="BE104" s="504">
        <v>0.2</v>
      </c>
      <c r="BF104" s="503">
        <v>0.22</v>
      </c>
      <c r="BG104" s="502">
        <v>16.66</v>
      </c>
      <c r="BH104" s="502">
        <v>1414.05</v>
      </c>
      <c r="BI104" s="502">
        <v>19.170000000000002</v>
      </c>
      <c r="BJ104" s="502"/>
      <c r="BK104" s="502"/>
      <c r="BL104" s="510"/>
      <c r="BM104" s="511">
        <v>0.16200000000000001</v>
      </c>
      <c r="BN104" s="511"/>
      <c r="BO104" s="511" t="s">
        <v>5340</v>
      </c>
      <c r="BP104" s="252"/>
      <c r="BQ104" s="252"/>
      <c r="BR104" s="511">
        <v>0.22</v>
      </c>
      <c r="BS104" s="252"/>
      <c r="BT104" s="252"/>
      <c r="BU104" s="524">
        <f t="shared" si="19"/>
        <v>98</v>
      </c>
      <c r="BV104" s="489">
        <v>158.63</v>
      </c>
      <c r="BW104" s="254"/>
      <c r="BX104" s="254"/>
      <c r="BY104" s="254"/>
      <c r="BZ104" s="494">
        <v>19.170000000000002</v>
      </c>
      <c r="CA104" s="497">
        <v>0.3</v>
      </c>
      <c r="CB104" s="497"/>
      <c r="CC104" s="494">
        <v>424</v>
      </c>
      <c r="CD104" s="241">
        <f t="shared" si="11"/>
        <v>98</v>
      </c>
      <c r="CE104" s="2"/>
      <c r="CF104" s="2">
        <v>490.8</v>
      </c>
      <c r="CG104" s="2"/>
      <c r="CH104" s="2"/>
      <c r="CI104" s="2"/>
      <c r="CJ104" s="252"/>
      <c r="CK104" s="252"/>
      <c r="CL104" s="252">
        <v>546.33000000000004</v>
      </c>
      <c r="CM104" s="253"/>
      <c r="CO104" s="253">
        <v>0.08</v>
      </c>
      <c r="CU104" s="266">
        <f t="shared" si="12"/>
        <v>181</v>
      </c>
      <c r="CV104" s="267">
        <f t="shared" si="13"/>
        <v>362</v>
      </c>
      <c r="CW104" s="268">
        <f t="shared" si="14"/>
        <v>904.99</v>
      </c>
      <c r="CX104" s="418">
        <v>184</v>
      </c>
      <c r="CY104" s="252"/>
      <c r="CZ104" s="252"/>
      <c r="DA104" s="252"/>
      <c r="DB104" s="252"/>
      <c r="DC104" s="252"/>
      <c r="DD104" s="252"/>
      <c r="DE104" s="252"/>
      <c r="DF104" s="252">
        <f t="shared" si="20"/>
        <v>0</v>
      </c>
      <c r="DG104" s="252"/>
      <c r="DH104" s="252">
        <v>489.06</v>
      </c>
      <c r="DI104" s="252"/>
      <c r="DK104" s="252"/>
      <c r="DL104" s="252"/>
      <c r="DP104" s="6">
        <v>7.2499999999999995E-2</v>
      </c>
      <c r="DQ104" s="252">
        <v>39.42</v>
      </c>
      <c r="DR104" s="3">
        <v>546.33000000000004</v>
      </c>
      <c r="DT104" s="241">
        <f t="shared" si="15"/>
        <v>98</v>
      </c>
      <c r="DU104" s="2"/>
      <c r="DV104" s="252">
        <v>720</v>
      </c>
      <c r="DY104" s="252">
        <v>405.18</v>
      </c>
      <c r="DZ104" s="264">
        <v>3.9399999999999998E-2</v>
      </c>
      <c r="EA104" s="252">
        <v>0</v>
      </c>
      <c r="EB104" s="253">
        <v>0</v>
      </c>
    </row>
    <row r="105" spans="1:132">
      <c r="A105">
        <v>99</v>
      </c>
      <c r="B105" s="259">
        <v>3.2016</v>
      </c>
      <c r="C105">
        <v>99</v>
      </c>
      <c r="D105" s="168">
        <f t="shared" si="21"/>
        <v>-2.0345833911135092E-3</v>
      </c>
      <c r="E105" s="246">
        <v>42430</v>
      </c>
      <c r="F105" s="186">
        <v>-0.21</v>
      </c>
      <c r="G105" s="247">
        <v>211651.23</v>
      </c>
      <c r="H105" s="247">
        <v>529.95609999999999</v>
      </c>
      <c r="I105" s="248">
        <v>117.4</v>
      </c>
      <c r="J105" s="258">
        <f t="shared" si="16"/>
        <v>-1.7006802721087899E-3</v>
      </c>
      <c r="K105" s="298"/>
      <c r="L105" s="252">
        <v>300</v>
      </c>
      <c r="M105" s="263"/>
      <c r="N105" s="263"/>
      <c r="O105" s="473">
        <v>328.76</v>
      </c>
      <c r="P105" s="474">
        <v>328.76</v>
      </c>
      <c r="Q105" s="474">
        <v>430.86</v>
      </c>
      <c r="R105" s="475">
        <v>0.09</v>
      </c>
      <c r="S105" s="533">
        <f t="shared" si="17"/>
        <v>99</v>
      </c>
      <c r="T105" s="460">
        <v>75.260000000000005</v>
      </c>
      <c r="U105" s="460">
        <v>10.56</v>
      </c>
      <c r="V105" s="460">
        <v>353.76</v>
      </c>
      <c r="W105" s="460"/>
      <c r="X105" s="254">
        <v>51.09</v>
      </c>
      <c r="Y105" s="461">
        <v>7.4999999999999997E-2</v>
      </c>
      <c r="Z105" s="460">
        <v>22.5</v>
      </c>
      <c r="AA105" s="460">
        <v>10.26</v>
      </c>
      <c r="AB105" s="460">
        <v>437.73</v>
      </c>
      <c r="AC105" s="462">
        <v>353.75</v>
      </c>
      <c r="AD105" s="463">
        <v>0.3</v>
      </c>
      <c r="AE105" s="460">
        <v>40.83</v>
      </c>
      <c r="AF105" s="460">
        <v>61.32</v>
      </c>
      <c r="AG105" s="460">
        <v>20.62</v>
      </c>
      <c r="AH105" s="460"/>
      <c r="AI105" s="460"/>
      <c r="AJ105" s="460"/>
      <c r="AK105" s="460"/>
      <c r="AL105" s="253"/>
      <c r="AM105" s="273">
        <v>0.1</v>
      </c>
      <c r="AN105" s="255">
        <v>0.08</v>
      </c>
      <c r="AO105" s="160">
        <v>0.1</v>
      </c>
      <c r="AP105" s="536">
        <v>480.1</v>
      </c>
      <c r="AQ105" s="536"/>
      <c r="AR105" s="505">
        <f t="shared" si="18"/>
        <v>99</v>
      </c>
      <c r="AS105" s="480">
        <v>257.37</v>
      </c>
      <c r="AT105" s="480">
        <v>191.57</v>
      </c>
      <c r="AU105" s="480"/>
      <c r="AV105" s="480"/>
      <c r="AW105" s="480"/>
      <c r="AX105" s="480"/>
      <c r="AY105" s="480">
        <v>303.18</v>
      </c>
      <c r="AZ105" s="499" t="s">
        <v>5323</v>
      </c>
      <c r="BA105" s="502">
        <v>23.57</v>
      </c>
      <c r="BB105" s="501"/>
      <c r="BC105" s="510">
        <v>237.16</v>
      </c>
      <c r="BD105" s="510">
        <v>1222.49</v>
      </c>
      <c r="BE105" s="504">
        <v>0.2</v>
      </c>
      <c r="BF105" s="503">
        <v>0.22</v>
      </c>
      <c r="BG105" s="502">
        <v>16.66</v>
      </c>
      <c r="BH105" s="502">
        <v>1414.05</v>
      </c>
      <c r="BI105" s="502">
        <v>19.170000000000002</v>
      </c>
      <c r="BJ105" s="502"/>
      <c r="BK105" s="502"/>
      <c r="BL105" s="510"/>
      <c r="BM105" s="511">
        <v>0.16200000000000001</v>
      </c>
      <c r="BN105" s="511"/>
      <c r="BO105" s="511" t="s">
        <v>5340</v>
      </c>
      <c r="BP105" s="252"/>
      <c r="BQ105" s="252"/>
      <c r="BR105" s="511">
        <v>0.22</v>
      </c>
      <c r="BS105" s="252"/>
      <c r="BT105" s="252"/>
      <c r="BU105" s="524">
        <f t="shared" si="19"/>
        <v>99</v>
      </c>
      <c r="BV105" s="489">
        <v>158.63</v>
      </c>
      <c r="BW105" s="254"/>
      <c r="BX105" s="254"/>
      <c r="BY105" s="254"/>
      <c r="BZ105" s="494">
        <v>19.170000000000002</v>
      </c>
      <c r="CA105" s="497">
        <v>0.3</v>
      </c>
      <c r="CB105" s="497"/>
      <c r="CC105" s="494">
        <v>424</v>
      </c>
      <c r="CD105" s="241">
        <f t="shared" si="11"/>
        <v>99</v>
      </c>
      <c r="CE105" s="2"/>
      <c r="CF105" s="2">
        <v>490.8</v>
      </c>
      <c r="CG105" s="2"/>
      <c r="CH105" s="2"/>
      <c r="CI105" s="2"/>
      <c r="CJ105" s="252"/>
      <c r="CK105" s="252"/>
      <c r="CL105" s="252">
        <v>546.33000000000004</v>
      </c>
      <c r="CM105" s="253"/>
      <c r="CO105" s="5">
        <v>0.08</v>
      </c>
      <c r="CU105" s="266">
        <f t="shared" si="12"/>
        <v>181</v>
      </c>
      <c r="CV105" s="267">
        <f t="shared" si="13"/>
        <v>362</v>
      </c>
      <c r="CW105" s="268">
        <f t="shared" si="14"/>
        <v>904.99</v>
      </c>
      <c r="CX105" s="418">
        <v>184</v>
      </c>
      <c r="CY105" s="252"/>
      <c r="CZ105" s="252"/>
      <c r="DA105" s="252"/>
      <c r="DB105" s="252"/>
      <c r="DC105" s="252"/>
      <c r="DD105" s="252"/>
      <c r="DE105" s="252"/>
      <c r="DF105" s="252">
        <f t="shared" si="20"/>
        <v>0</v>
      </c>
      <c r="DG105" s="252"/>
      <c r="DH105" s="252">
        <v>489.06</v>
      </c>
      <c r="DI105" s="252"/>
      <c r="DK105" s="252"/>
      <c r="DL105" s="252"/>
      <c r="DP105" s="6">
        <v>7.2499999999999995E-2</v>
      </c>
      <c r="DQ105" s="252">
        <v>39.42</v>
      </c>
      <c r="DR105" s="3">
        <v>546.33000000000004</v>
      </c>
      <c r="DT105" s="241">
        <f t="shared" si="15"/>
        <v>99</v>
      </c>
      <c r="DU105" s="2"/>
      <c r="DV105" s="252">
        <v>720</v>
      </c>
      <c r="DY105" s="252">
        <v>405.18</v>
      </c>
      <c r="DZ105" s="264">
        <v>3.9399999999999998E-2</v>
      </c>
      <c r="EA105" s="252">
        <v>0</v>
      </c>
      <c r="EB105" s="253">
        <v>0</v>
      </c>
    </row>
    <row r="106" spans="1:132">
      <c r="A106">
        <v>100</v>
      </c>
      <c r="B106" s="259">
        <v>4.2016</v>
      </c>
      <c r="C106">
        <v>100</v>
      </c>
      <c r="D106" s="168">
        <f t="shared" si="21"/>
        <v>4.0774627201551894E-3</v>
      </c>
      <c r="E106" s="246">
        <v>42461</v>
      </c>
      <c r="F106" s="186">
        <v>0.4</v>
      </c>
      <c r="G106" s="247">
        <v>212514.23</v>
      </c>
      <c r="H106" s="247">
        <v>532.11699999999996</v>
      </c>
      <c r="I106" s="248">
        <v>117.9</v>
      </c>
      <c r="J106" s="258">
        <f t="shared" si="16"/>
        <v>4.2589437819420262E-3</v>
      </c>
      <c r="K106" s="298"/>
      <c r="L106" s="252">
        <v>300</v>
      </c>
      <c r="M106" s="263"/>
      <c r="N106" s="263"/>
      <c r="O106" s="473">
        <v>328.76</v>
      </c>
      <c r="P106" s="474">
        <v>328.76</v>
      </c>
      <c r="Q106" s="474">
        <v>430.86</v>
      </c>
      <c r="R106" s="475">
        <v>0.09</v>
      </c>
      <c r="S106" s="533">
        <f t="shared" si="17"/>
        <v>100</v>
      </c>
      <c r="T106" s="460">
        <v>75.260000000000005</v>
      </c>
      <c r="U106" s="460">
        <v>10.56</v>
      </c>
      <c r="V106" s="460">
        <v>353.76</v>
      </c>
      <c r="W106" s="460"/>
      <c r="X106" s="254">
        <v>51.09</v>
      </c>
      <c r="Y106" s="461">
        <v>7.4999999999999997E-2</v>
      </c>
      <c r="Z106" s="460">
        <v>22.5</v>
      </c>
      <c r="AA106" s="460">
        <v>10.26</v>
      </c>
      <c r="AB106" s="460">
        <v>437.73</v>
      </c>
      <c r="AC106" s="462">
        <v>353.75</v>
      </c>
      <c r="AD106" s="463">
        <v>0.3</v>
      </c>
      <c r="AE106" s="460">
        <v>40.83</v>
      </c>
      <c r="AF106" s="460">
        <v>61.32</v>
      </c>
      <c r="AG106" s="460">
        <v>20.62</v>
      </c>
      <c r="AH106" s="460"/>
      <c r="AI106" s="460"/>
      <c r="AJ106" s="460"/>
      <c r="AK106" s="460"/>
      <c r="AL106" s="253"/>
      <c r="AM106" s="273">
        <v>0.1</v>
      </c>
      <c r="AN106" s="255">
        <v>0.08</v>
      </c>
      <c r="AO106" s="160">
        <v>0.1</v>
      </c>
      <c r="AP106" s="536">
        <v>480.1</v>
      </c>
      <c r="AQ106" s="536"/>
      <c r="AR106" s="505">
        <f t="shared" si="18"/>
        <v>100</v>
      </c>
      <c r="AS106" s="480">
        <v>257.37</v>
      </c>
      <c r="AT106" s="480">
        <v>191.57</v>
      </c>
      <c r="AU106" s="480"/>
      <c r="AV106" s="480"/>
      <c r="AW106" s="480"/>
      <c r="AX106" s="480"/>
      <c r="AY106" s="480">
        <v>303.18</v>
      </c>
      <c r="AZ106" s="499" t="s">
        <v>5323</v>
      </c>
      <c r="BA106" s="502">
        <v>23.57</v>
      </c>
      <c r="BB106" s="502"/>
      <c r="BC106" s="510">
        <v>237.16</v>
      </c>
      <c r="BD106" s="510">
        <v>1222.49</v>
      </c>
      <c r="BE106" s="504">
        <v>0.2</v>
      </c>
      <c r="BF106" s="503">
        <v>0.22</v>
      </c>
      <c r="BG106" s="502">
        <v>16.66</v>
      </c>
      <c r="BH106" s="502">
        <v>1414.05</v>
      </c>
      <c r="BI106" s="502">
        <v>19.170000000000002</v>
      </c>
      <c r="BJ106" s="502"/>
      <c r="BK106" s="502"/>
      <c r="BL106" s="510"/>
      <c r="BM106" s="511">
        <v>0.16200000000000001</v>
      </c>
      <c r="BN106" s="511"/>
      <c r="BO106" s="511" t="s">
        <v>5340</v>
      </c>
      <c r="BP106" s="252"/>
      <c r="BQ106" s="252"/>
      <c r="BR106" s="511">
        <v>0.22</v>
      </c>
      <c r="BS106" s="252"/>
      <c r="BT106" s="252"/>
      <c r="BU106" s="524">
        <f t="shared" si="19"/>
        <v>100</v>
      </c>
      <c r="BV106" s="489">
        <v>158.63</v>
      </c>
      <c r="BW106" s="254"/>
      <c r="BX106" s="254"/>
      <c r="BY106" s="254"/>
      <c r="BZ106" s="494">
        <v>19.170000000000002</v>
      </c>
      <c r="CA106" s="497">
        <v>0.3</v>
      </c>
      <c r="CB106" s="497"/>
      <c r="CC106" s="494">
        <v>424</v>
      </c>
      <c r="CD106" s="241">
        <f t="shared" si="11"/>
        <v>100</v>
      </c>
      <c r="CE106" s="2"/>
      <c r="CF106" s="2">
        <v>490.8</v>
      </c>
      <c r="CG106" s="2"/>
      <c r="CH106" s="2"/>
      <c r="CI106" s="2"/>
      <c r="CJ106" s="252"/>
      <c r="CK106" s="252"/>
      <c r="CL106" s="252">
        <v>546.33000000000004</v>
      </c>
      <c r="CM106" s="253"/>
      <c r="CO106" s="253">
        <v>0.08</v>
      </c>
      <c r="CU106" s="266">
        <f t="shared" si="12"/>
        <v>181</v>
      </c>
      <c r="CV106" s="267">
        <f t="shared" si="13"/>
        <v>362</v>
      </c>
      <c r="CW106" s="268">
        <f t="shared" si="14"/>
        <v>904.99</v>
      </c>
      <c r="CX106" s="418">
        <v>184</v>
      </c>
      <c r="CY106" s="252"/>
      <c r="CZ106" s="252"/>
      <c r="DA106" s="252"/>
      <c r="DB106" s="252"/>
      <c r="DC106" s="252"/>
      <c r="DD106" s="252"/>
      <c r="DE106" s="252"/>
      <c r="DF106" s="252">
        <f t="shared" si="20"/>
        <v>0</v>
      </c>
      <c r="DG106" s="252"/>
      <c r="DH106" s="252">
        <v>489.06</v>
      </c>
      <c r="DI106" s="252"/>
      <c r="DK106" s="252"/>
      <c r="DL106" s="252"/>
      <c r="DP106" s="6">
        <v>7.2499999999999995E-2</v>
      </c>
      <c r="DQ106" s="252">
        <v>39.42</v>
      </c>
      <c r="DR106" s="3">
        <v>546.33000000000004</v>
      </c>
      <c r="DT106" s="241">
        <f t="shared" si="15"/>
        <v>100</v>
      </c>
      <c r="DU106" s="2"/>
      <c r="DV106" s="252">
        <v>720</v>
      </c>
      <c r="DY106" s="252">
        <v>405.18</v>
      </c>
      <c r="DZ106" s="264">
        <v>3.9399999999999998E-2</v>
      </c>
      <c r="EA106" s="252">
        <v>0</v>
      </c>
      <c r="EB106" s="253">
        <v>0</v>
      </c>
    </row>
    <row r="107" spans="1:132">
      <c r="A107">
        <v>101</v>
      </c>
      <c r="B107" s="259">
        <v>5.2016</v>
      </c>
      <c r="C107">
        <v>101</v>
      </c>
      <c r="D107" s="168">
        <f t="shared" si="21"/>
        <v>3.0456783999828207E-3</v>
      </c>
      <c r="E107" s="246">
        <v>42491</v>
      </c>
      <c r="F107" s="186">
        <v>0.3</v>
      </c>
      <c r="G107" s="247">
        <v>213161.48</v>
      </c>
      <c r="H107" s="247">
        <v>533.73770000000002</v>
      </c>
      <c r="I107" s="248">
        <v>118.2</v>
      </c>
      <c r="J107" s="258">
        <f t="shared" si="16"/>
        <v>2.5445292620864812E-3</v>
      </c>
      <c r="K107" s="298"/>
      <c r="L107" s="252">
        <v>300</v>
      </c>
      <c r="M107" s="263"/>
      <c r="N107" s="263"/>
      <c r="O107" s="473">
        <v>328.76</v>
      </c>
      <c r="P107" s="474">
        <v>328.76</v>
      </c>
      <c r="Q107" s="474">
        <v>430.86</v>
      </c>
      <c r="R107" s="475">
        <v>0.09</v>
      </c>
      <c r="S107" s="533">
        <f t="shared" si="17"/>
        <v>101</v>
      </c>
      <c r="T107" s="460">
        <v>75.260000000000005</v>
      </c>
      <c r="U107" s="460">
        <v>10.56</v>
      </c>
      <c r="V107" s="460">
        <v>353.76</v>
      </c>
      <c r="W107" s="460"/>
      <c r="X107" s="254">
        <v>51.09</v>
      </c>
      <c r="Y107" s="461">
        <v>7.4999999999999997E-2</v>
      </c>
      <c r="Z107" s="460">
        <v>22.5</v>
      </c>
      <c r="AA107" s="460">
        <v>10.26</v>
      </c>
      <c r="AB107" s="460">
        <v>437.73</v>
      </c>
      <c r="AC107" s="462">
        <v>353.75</v>
      </c>
      <c r="AD107" s="463">
        <v>0.3</v>
      </c>
      <c r="AE107" s="460">
        <v>40.83</v>
      </c>
      <c r="AF107" s="460">
        <v>61.32</v>
      </c>
      <c r="AG107" s="460">
        <v>20.62</v>
      </c>
      <c r="AH107" s="460"/>
      <c r="AI107" s="460"/>
      <c r="AJ107" s="460"/>
      <c r="AK107" s="460"/>
      <c r="AL107" s="253"/>
      <c r="AM107" s="273">
        <v>0.1</v>
      </c>
      <c r="AN107" s="255">
        <v>0.08</v>
      </c>
      <c r="AO107" s="160">
        <v>0.1</v>
      </c>
      <c r="AP107" s="536">
        <v>480.1</v>
      </c>
      <c r="AQ107" s="536"/>
      <c r="AR107" s="505">
        <f t="shared" si="18"/>
        <v>101</v>
      </c>
      <c r="AS107" s="480">
        <v>257.37</v>
      </c>
      <c r="AT107" s="480">
        <v>191.57</v>
      </c>
      <c r="AU107" s="480"/>
      <c r="AV107" s="480"/>
      <c r="AW107" s="480"/>
      <c r="AX107" s="480"/>
      <c r="AY107" s="480">
        <v>303.18</v>
      </c>
      <c r="AZ107" s="499" t="s">
        <v>5323</v>
      </c>
      <c r="BA107" s="502">
        <v>23.57</v>
      </c>
      <c r="BB107" s="501"/>
      <c r="BC107" s="510">
        <v>237.16</v>
      </c>
      <c r="BD107" s="510">
        <v>1222.49</v>
      </c>
      <c r="BE107" s="504">
        <v>0.2</v>
      </c>
      <c r="BF107" s="503">
        <v>0.22</v>
      </c>
      <c r="BG107" s="502">
        <v>16.66</v>
      </c>
      <c r="BH107" s="502">
        <v>1414.05</v>
      </c>
      <c r="BI107" s="502">
        <v>19.170000000000002</v>
      </c>
      <c r="BJ107" s="502"/>
      <c r="BK107" s="502"/>
      <c r="BL107" s="510"/>
      <c r="BM107" s="511">
        <v>0.16200000000000001</v>
      </c>
      <c r="BN107" s="511"/>
      <c r="BO107" s="511" t="s">
        <v>5340</v>
      </c>
      <c r="BP107" s="252"/>
      <c r="BQ107" s="252"/>
      <c r="BR107" s="511">
        <v>0.22</v>
      </c>
      <c r="BS107" s="252"/>
      <c r="BT107" s="252"/>
      <c r="BU107" s="524">
        <f t="shared" si="19"/>
        <v>101</v>
      </c>
      <c r="BV107" s="489">
        <v>158.63</v>
      </c>
      <c r="BW107" s="254"/>
      <c r="BX107" s="254"/>
      <c r="BY107" s="254"/>
      <c r="BZ107" s="494">
        <v>19.170000000000002</v>
      </c>
      <c r="CA107" s="497">
        <v>0.3</v>
      </c>
      <c r="CB107" s="497"/>
      <c r="CC107" s="494">
        <v>424</v>
      </c>
      <c r="CD107" s="241">
        <f t="shared" si="11"/>
        <v>101</v>
      </c>
      <c r="CE107" s="2"/>
      <c r="CF107" s="2">
        <v>490.8</v>
      </c>
      <c r="CG107" s="2"/>
      <c r="CH107" s="2"/>
      <c r="CI107" s="2"/>
      <c r="CJ107" s="252"/>
      <c r="CK107" s="252"/>
      <c r="CL107" s="252">
        <v>546.33000000000004</v>
      </c>
      <c r="CM107" s="253"/>
      <c r="CO107" s="5">
        <v>0.08</v>
      </c>
      <c r="CU107" s="266">
        <f t="shared" si="12"/>
        <v>181</v>
      </c>
      <c r="CV107" s="267">
        <f t="shared" si="13"/>
        <v>362</v>
      </c>
      <c r="CW107" s="268">
        <f t="shared" si="14"/>
        <v>904.99</v>
      </c>
      <c r="CX107" s="418">
        <v>184</v>
      </c>
      <c r="CY107" s="252"/>
      <c r="CZ107" s="252"/>
      <c r="DA107" s="252"/>
      <c r="DB107" s="252"/>
      <c r="DC107" s="252"/>
      <c r="DD107" s="252"/>
      <c r="DE107" s="252"/>
      <c r="DF107" s="252">
        <f t="shared" si="20"/>
        <v>0</v>
      </c>
      <c r="DG107" s="252"/>
      <c r="DH107" s="252">
        <v>489.06</v>
      </c>
      <c r="DI107" s="252"/>
      <c r="DK107" s="252"/>
      <c r="DL107" s="252"/>
      <c r="DP107" s="6">
        <v>7.2499999999999995E-2</v>
      </c>
      <c r="DQ107" s="252">
        <v>39.42</v>
      </c>
      <c r="DR107" s="3">
        <v>546.33000000000004</v>
      </c>
      <c r="DT107" s="241">
        <f t="shared" si="15"/>
        <v>101</v>
      </c>
      <c r="DU107" s="2"/>
      <c r="DV107" s="252">
        <v>720</v>
      </c>
      <c r="DY107" s="252">
        <v>405.18</v>
      </c>
      <c r="DZ107" s="264">
        <v>3.9399999999999998E-2</v>
      </c>
      <c r="EA107" s="252">
        <v>0</v>
      </c>
      <c r="EB107" s="253">
        <v>0</v>
      </c>
    </row>
    <row r="108" spans="1:132">
      <c r="A108">
        <v>102</v>
      </c>
      <c r="B108" s="259">
        <v>6.2016</v>
      </c>
      <c r="C108">
        <v>102</v>
      </c>
      <c r="D108" s="168">
        <f t="shared" si="21"/>
        <v>3.0364304094716577E-3</v>
      </c>
      <c r="E108" s="246">
        <v>42522</v>
      </c>
      <c r="F108" s="186">
        <v>0.3</v>
      </c>
      <c r="G108" s="247">
        <v>213808.73</v>
      </c>
      <c r="H108" s="247">
        <v>535.35829999999999</v>
      </c>
      <c r="I108" s="248">
        <v>118.6</v>
      </c>
      <c r="J108" s="258">
        <f t="shared" si="16"/>
        <v>3.3840947546530664E-3</v>
      </c>
      <c r="K108" s="298"/>
      <c r="L108" s="252">
        <v>300</v>
      </c>
      <c r="M108" s="263"/>
      <c r="N108" s="263"/>
      <c r="O108" s="473">
        <v>328.76</v>
      </c>
      <c r="P108" s="474">
        <v>328.76</v>
      </c>
      <c r="Q108" s="474">
        <v>430.86</v>
      </c>
      <c r="R108" s="475">
        <v>0.09</v>
      </c>
      <c r="S108" s="533">
        <f t="shared" si="17"/>
        <v>102</v>
      </c>
      <c r="T108" s="460">
        <v>75.260000000000005</v>
      </c>
      <c r="U108" s="460">
        <v>10.56</v>
      </c>
      <c r="V108" s="460">
        <v>353.76</v>
      </c>
      <c r="W108" s="460"/>
      <c r="X108" s="254">
        <v>51.09</v>
      </c>
      <c r="Y108" s="461">
        <v>7.4999999999999997E-2</v>
      </c>
      <c r="Z108" s="460">
        <v>22.5</v>
      </c>
      <c r="AA108" s="460">
        <v>10.26</v>
      </c>
      <c r="AB108" s="460">
        <v>437.73</v>
      </c>
      <c r="AC108" s="462">
        <v>353.75</v>
      </c>
      <c r="AD108" s="463">
        <v>0.3</v>
      </c>
      <c r="AE108" s="460">
        <v>40.83</v>
      </c>
      <c r="AF108" s="460">
        <v>61.32</v>
      </c>
      <c r="AG108" s="460">
        <v>20.62</v>
      </c>
      <c r="AH108" s="460"/>
      <c r="AI108" s="460"/>
      <c r="AJ108" s="460"/>
      <c r="AK108" s="460"/>
      <c r="AL108" s="253"/>
      <c r="AM108" s="273">
        <v>0.1</v>
      </c>
      <c r="AN108" s="255">
        <v>0.08</v>
      </c>
      <c r="AO108" s="160">
        <v>0.1</v>
      </c>
      <c r="AP108" s="536">
        <v>480.1</v>
      </c>
      <c r="AQ108" s="536"/>
      <c r="AR108" s="505">
        <f t="shared" si="18"/>
        <v>102</v>
      </c>
      <c r="AS108" s="480">
        <v>257.37</v>
      </c>
      <c r="AT108" s="480">
        <v>191.57</v>
      </c>
      <c r="AU108" s="480"/>
      <c r="AV108" s="480"/>
      <c r="AW108" s="480"/>
      <c r="AX108" s="480"/>
      <c r="AY108" s="480">
        <v>303.18</v>
      </c>
      <c r="AZ108" s="499" t="s">
        <v>5323</v>
      </c>
      <c r="BA108" s="502">
        <v>23.57</v>
      </c>
      <c r="BB108" s="502"/>
      <c r="BC108" s="510">
        <v>237.16</v>
      </c>
      <c r="BD108" s="510">
        <v>1222.49</v>
      </c>
      <c r="BE108" s="504">
        <v>0.2</v>
      </c>
      <c r="BF108" s="503">
        <v>0.22</v>
      </c>
      <c r="BG108" s="502">
        <v>16.66</v>
      </c>
      <c r="BH108" s="502">
        <v>1414.05</v>
      </c>
      <c r="BI108" s="502">
        <v>19.170000000000002</v>
      </c>
      <c r="BJ108" s="502"/>
      <c r="BK108" s="502"/>
      <c r="BL108" s="510"/>
      <c r="BM108" s="511">
        <v>0.16200000000000001</v>
      </c>
      <c r="BN108" s="511"/>
      <c r="BO108" s="511" t="s">
        <v>5340</v>
      </c>
      <c r="BP108" s="252"/>
      <c r="BQ108" s="252"/>
      <c r="BR108" s="511">
        <v>0.22</v>
      </c>
      <c r="BS108" s="252"/>
      <c r="BT108" s="252"/>
      <c r="BU108" s="524">
        <f t="shared" si="19"/>
        <v>102</v>
      </c>
      <c r="BV108" s="489">
        <v>158.63</v>
      </c>
      <c r="BW108" s="254"/>
      <c r="BX108" s="254"/>
      <c r="BY108" s="254"/>
      <c r="BZ108" s="494">
        <v>19.170000000000002</v>
      </c>
      <c r="CA108" s="497">
        <v>0.3</v>
      </c>
      <c r="CB108" s="497"/>
      <c r="CC108" s="494">
        <v>424</v>
      </c>
      <c r="CD108" s="241">
        <f t="shared" si="11"/>
        <v>102</v>
      </c>
      <c r="CE108" s="2"/>
      <c r="CF108" s="2">
        <v>490.8</v>
      </c>
      <c r="CG108" s="2"/>
      <c r="CH108" s="2"/>
      <c r="CI108" s="2"/>
      <c r="CJ108" s="252"/>
      <c r="CK108" s="252"/>
      <c r="CL108" s="252">
        <v>546.33000000000004</v>
      </c>
      <c r="CM108" s="253"/>
      <c r="CO108" s="253">
        <v>0.08</v>
      </c>
      <c r="CU108" s="266">
        <f t="shared" si="12"/>
        <v>181</v>
      </c>
      <c r="CV108" s="267">
        <f t="shared" si="13"/>
        <v>362</v>
      </c>
      <c r="CW108" s="268">
        <f t="shared" si="14"/>
        <v>904.99</v>
      </c>
      <c r="CX108" s="418">
        <v>184</v>
      </c>
      <c r="CY108" s="252"/>
      <c r="CZ108" s="252"/>
      <c r="DA108" s="252"/>
      <c r="DB108" s="252"/>
      <c r="DC108" s="252"/>
      <c r="DD108" s="252"/>
      <c r="DE108" s="252"/>
      <c r="DF108" s="252">
        <f t="shared" si="20"/>
        <v>0</v>
      </c>
      <c r="DG108" s="252"/>
      <c r="DH108" s="252">
        <v>489.06</v>
      </c>
      <c r="DI108" s="252"/>
      <c r="DK108" s="252"/>
      <c r="DL108" s="252"/>
      <c r="DP108" s="6">
        <v>7.2499999999999995E-2</v>
      </c>
      <c r="DQ108" s="252">
        <v>39.42</v>
      </c>
      <c r="DR108" s="3">
        <v>546.33000000000004</v>
      </c>
      <c r="DT108" s="241">
        <f t="shared" si="15"/>
        <v>102</v>
      </c>
      <c r="DU108" s="2"/>
      <c r="DV108" s="252">
        <v>720</v>
      </c>
      <c r="DY108" s="252">
        <v>405.18</v>
      </c>
      <c r="DZ108" s="264">
        <v>3.9399999999999998E-2</v>
      </c>
      <c r="EA108" s="252">
        <v>0</v>
      </c>
      <c r="EB108" s="253">
        <v>0</v>
      </c>
    </row>
    <row r="109" spans="1:132">
      <c r="A109">
        <v>103</v>
      </c>
      <c r="B109" s="259">
        <v>7.2016</v>
      </c>
      <c r="C109">
        <v>103</v>
      </c>
      <c r="D109" s="168">
        <f t="shared" si="21"/>
        <v>4.0363178809397215E-3</v>
      </c>
      <c r="E109" s="246">
        <v>42552</v>
      </c>
      <c r="F109" s="186">
        <v>0.4</v>
      </c>
      <c r="G109" s="247">
        <v>214671.73</v>
      </c>
      <c r="H109" s="247">
        <v>537.51919999999996</v>
      </c>
      <c r="I109" s="248">
        <v>119.1</v>
      </c>
      <c r="J109" s="258">
        <f t="shared" si="16"/>
        <v>4.2158516020236458E-3</v>
      </c>
      <c r="K109" s="298"/>
      <c r="L109" s="252">
        <v>300</v>
      </c>
      <c r="M109" s="263"/>
      <c r="N109" s="263"/>
      <c r="O109" s="473">
        <v>328.76</v>
      </c>
      <c r="P109" s="474">
        <v>328.76</v>
      </c>
      <c r="Q109" s="474">
        <v>430.86</v>
      </c>
      <c r="R109" s="475">
        <v>0.09</v>
      </c>
      <c r="S109" s="533">
        <f t="shared" si="17"/>
        <v>103</v>
      </c>
      <c r="T109" s="460">
        <v>75.260000000000005</v>
      </c>
      <c r="U109" s="460">
        <v>10.56</v>
      </c>
      <c r="V109" s="460">
        <v>353.76</v>
      </c>
      <c r="W109" s="460"/>
      <c r="X109" s="254">
        <v>51.09</v>
      </c>
      <c r="Y109" s="461">
        <v>7.4999999999999997E-2</v>
      </c>
      <c r="Z109" s="460">
        <v>22.5</v>
      </c>
      <c r="AA109" s="460">
        <v>10.26</v>
      </c>
      <c r="AB109" s="460">
        <v>437.73</v>
      </c>
      <c r="AC109" s="462">
        <v>353.75</v>
      </c>
      <c r="AD109" s="463">
        <v>0.3</v>
      </c>
      <c r="AE109" s="460">
        <v>40.83</v>
      </c>
      <c r="AF109" s="460">
        <v>61.32</v>
      </c>
      <c r="AG109" s="460">
        <v>20.62</v>
      </c>
      <c r="AH109" s="460"/>
      <c r="AI109" s="460"/>
      <c r="AJ109" s="460"/>
      <c r="AK109" s="460"/>
      <c r="AL109" s="253"/>
      <c r="AM109" s="273">
        <v>0.1</v>
      </c>
      <c r="AN109" s="255">
        <v>0.08</v>
      </c>
      <c r="AO109" s="160">
        <v>0.1</v>
      </c>
      <c r="AP109" s="536">
        <v>480.1</v>
      </c>
      <c r="AQ109" s="536"/>
      <c r="AR109" s="505">
        <f t="shared" si="18"/>
        <v>103</v>
      </c>
      <c r="AS109" s="480">
        <v>257.37</v>
      </c>
      <c r="AT109" s="480">
        <v>191.57</v>
      </c>
      <c r="AU109" s="480"/>
      <c r="AV109" s="480"/>
      <c r="AW109" s="480"/>
      <c r="AX109" s="480"/>
      <c r="AY109" s="480">
        <v>303.18</v>
      </c>
      <c r="AZ109" s="499" t="s">
        <v>5323</v>
      </c>
      <c r="BA109" s="502">
        <v>23.57</v>
      </c>
      <c r="BB109" s="501"/>
      <c r="BC109" s="510">
        <v>237.16</v>
      </c>
      <c r="BD109" s="510">
        <v>1222.49</v>
      </c>
      <c r="BE109" s="504">
        <v>0.2</v>
      </c>
      <c r="BF109" s="503">
        <v>0.22</v>
      </c>
      <c r="BG109" s="502">
        <v>16.66</v>
      </c>
      <c r="BH109" s="502">
        <v>1414.05</v>
      </c>
      <c r="BI109" s="502">
        <v>19.170000000000002</v>
      </c>
      <c r="BJ109" s="502"/>
      <c r="BK109" s="502"/>
      <c r="BL109" s="510"/>
      <c r="BM109" s="511">
        <v>0.16200000000000001</v>
      </c>
      <c r="BN109" s="511"/>
      <c r="BO109" s="511" t="s">
        <v>5340</v>
      </c>
      <c r="BP109" s="252"/>
      <c r="BQ109" s="252"/>
      <c r="BR109" s="511">
        <v>0.22</v>
      </c>
      <c r="BS109" s="252"/>
      <c r="BT109" s="252"/>
      <c r="BU109" s="524">
        <f t="shared" si="19"/>
        <v>103</v>
      </c>
      <c r="BV109" s="489">
        <v>158.63</v>
      </c>
      <c r="BW109" s="254"/>
      <c r="BX109" s="254"/>
      <c r="BY109" s="254"/>
      <c r="BZ109" s="494">
        <v>19.170000000000002</v>
      </c>
      <c r="CA109" s="497">
        <v>0.3</v>
      </c>
      <c r="CB109" s="497"/>
      <c r="CC109" s="494">
        <v>424</v>
      </c>
      <c r="CD109" s="241">
        <f t="shared" si="11"/>
        <v>103</v>
      </c>
      <c r="CE109" s="2"/>
      <c r="CF109" s="2">
        <v>490.8</v>
      </c>
      <c r="CG109" s="2"/>
      <c r="CH109" s="2"/>
      <c r="CI109" s="2"/>
      <c r="CJ109" s="252"/>
      <c r="CK109" s="252"/>
      <c r="CL109" s="252">
        <v>546.33000000000004</v>
      </c>
      <c r="CM109" s="253"/>
      <c r="CO109" s="5">
        <v>0.08</v>
      </c>
      <c r="CU109" s="266">
        <f t="shared" si="12"/>
        <v>181</v>
      </c>
      <c r="CV109" s="267">
        <f t="shared" si="13"/>
        <v>362</v>
      </c>
      <c r="CW109" s="268">
        <f t="shared" si="14"/>
        <v>904.99</v>
      </c>
      <c r="CX109" s="418">
        <v>184</v>
      </c>
      <c r="CY109" s="252"/>
      <c r="CZ109" s="252"/>
      <c r="DA109" s="252"/>
      <c r="DB109" s="252"/>
      <c r="DC109" s="252"/>
      <c r="DD109" s="252"/>
      <c r="DE109" s="252"/>
      <c r="DF109" s="252">
        <f t="shared" si="20"/>
        <v>0</v>
      </c>
      <c r="DG109" s="252"/>
      <c r="DH109" s="252">
        <v>489.06</v>
      </c>
      <c r="DI109" s="252"/>
      <c r="DK109" s="252"/>
      <c r="DL109" s="252"/>
      <c r="DP109" s="6">
        <v>7.2499999999999995E-2</v>
      </c>
      <c r="DQ109" s="252">
        <v>39.42</v>
      </c>
      <c r="DR109" s="3">
        <v>546.33000000000004</v>
      </c>
      <c r="DT109" s="241">
        <f t="shared" si="15"/>
        <v>103</v>
      </c>
      <c r="DU109" s="2"/>
      <c r="DV109" s="252">
        <v>720</v>
      </c>
      <c r="DY109" s="252">
        <v>405.18</v>
      </c>
      <c r="DZ109" s="264">
        <v>3.9399999999999998E-2</v>
      </c>
      <c r="EA109" s="252">
        <v>0</v>
      </c>
      <c r="EB109" s="253">
        <v>0</v>
      </c>
    </row>
    <row r="110" spans="1:132">
      <c r="A110">
        <v>104</v>
      </c>
      <c r="B110" s="259">
        <v>8.2015999999999991</v>
      </c>
      <c r="C110">
        <v>104</v>
      </c>
      <c r="D110" s="168">
        <f t="shared" si="21"/>
        <v>-3.0150686352600209E-3</v>
      </c>
      <c r="E110" s="246">
        <v>42583</v>
      </c>
      <c r="F110" s="186">
        <v>-0.31</v>
      </c>
      <c r="G110" s="247">
        <v>214024.48</v>
      </c>
      <c r="H110" s="247">
        <v>535.89850000000001</v>
      </c>
      <c r="I110" s="248">
        <v>118.7</v>
      </c>
      <c r="J110" s="258">
        <f t="shared" si="16"/>
        <v>-3.3585222502098278E-3</v>
      </c>
      <c r="K110" s="298"/>
      <c r="L110" s="252">
        <v>300</v>
      </c>
      <c r="M110" s="263"/>
      <c r="N110" s="263"/>
      <c r="O110" s="473">
        <v>328.76</v>
      </c>
      <c r="P110" s="474">
        <v>328.76</v>
      </c>
      <c r="Q110" s="474">
        <v>430.86</v>
      </c>
      <c r="R110" s="475">
        <v>0.09</v>
      </c>
      <c r="S110" s="533">
        <f t="shared" si="17"/>
        <v>104</v>
      </c>
      <c r="T110" s="460">
        <v>75.260000000000005</v>
      </c>
      <c r="U110" s="460">
        <v>10.56</v>
      </c>
      <c r="V110" s="460">
        <v>353.76</v>
      </c>
      <c r="W110" s="460"/>
      <c r="X110" s="254">
        <v>51.09</v>
      </c>
      <c r="Y110" s="461">
        <v>7.4999999999999997E-2</v>
      </c>
      <c r="Z110" s="460">
        <v>22.5</v>
      </c>
      <c r="AA110" s="460">
        <v>10.26</v>
      </c>
      <c r="AB110" s="460">
        <v>437.73</v>
      </c>
      <c r="AC110" s="462">
        <v>353.75</v>
      </c>
      <c r="AD110" s="463">
        <v>0.3</v>
      </c>
      <c r="AE110" s="460">
        <v>40.83</v>
      </c>
      <c r="AF110" s="460">
        <v>61.32</v>
      </c>
      <c r="AG110" s="460">
        <v>20.62</v>
      </c>
      <c r="AH110" s="460"/>
      <c r="AI110" s="460"/>
      <c r="AJ110" s="460"/>
      <c r="AK110" s="460"/>
      <c r="AL110" s="253"/>
      <c r="AM110" s="273">
        <v>0.1</v>
      </c>
      <c r="AN110" s="255">
        <v>0.08</v>
      </c>
      <c r="AO110" s="160">
        <v>0.1</v>
      </c>
      <c r="AP110" s="536">
        <v>480.1</v>
      </c>
      <c r="AQ110" s="536"/>
      <c r="AR110" s="505">
        <f t="shared" si="18"/>
        <v>104</v>
      </c>
      <c r="AS110" s="480">
        <v>257.37</v>
      </c>
      <c r="AT110" s="480">
        <v>191.57</v>
      </c>
      <c r="AU110" s="480"/>
      <c r="AV110" s="480"/>
      <c r="AW110" s="480"/>
      <c r="AX110" s="480"/>
      <c r="AY110" s="480">
        <v>303.18</v>
      </c>
      <c r="AZ110" s="499" t="s">
        <v>5323</v>
      </c>
      <c r="BA110" s="502">
        <v>23.57</v>
      </c>
      <c r="BB110" s="502"/>
      <c r="BC110" s="510">
        <v>237.16</v>
      </c>
      <c r="BD110" s="510">
        <v>1222.49</v>
      </c>
      <c r="BE110" s="504">
        <v>0.2</v>
      </c>
      <c r="BF110" s="503">
        <v>0.22</v>
      </c>
      <c r="BG110" s="502">
        <v>16.66</v>
      </c>
      <c r="BH110" s="502">
        <v>1414.05</v>
      </c>
      <c r="BI110" s="502">
        <v>19.170000000000002</v>
      </c>
      <c r="BJ110" s="502"/>
      <c r="BK110" s="502"/>
      <c r="BL110" s="510"/>
      <c r="BM110" s="511">
        <v>0.16200000000000001</v>
      </c>
      <c r="BN110" s="511"/>
      <c r="BO110" s="511" t="s">
        <v>5340</v>
      </c>
      <c r="BP110" s="252"/>
      <c r="BQ110" s="252"/>
      <c r="BR110" s="511">
        <v>0.22</v>
      </c>
      <c r="BS110" s="252"/>
      <c r="BT110" s="252"/>
      <c r="BU110" s="524">
        <f t="shared" si="19"/>
        <v>104</v>
      </c>
      <c r="BV110" s="489">
        <v>158.63</v>
      </c>
      <c r="BW110" s="254"/>
      <c r="BX110" s="254"/>
      <c r="BY110" s="254"/>
      <c r="BZ110" s="494">
        <v>19.170000000000002</v>
      </c>
      <c r="CA110" s="497">
        <v>0.3</v>
      </c>
      <c r="CB110" s="497"/>
      <c r="CC110" s="494">
        <v>424</v>
      </c>
      <c r="CD110" s="241">
        <f t="shared" si="11"/>
        <v>104</v>
      </c>
      <c r="CE110" s="2"/>
      <c r="CF110" s="2">
        <v>490.8</v>
      </c>
      <c r="CG110" s="2"/>
      <c r="CH110" s="2"/>
      <c r="CI110" s="2"/>
      <c r="CJ110" s="252"/>
      <c r="CK110" s="252"/>
      <c r="CL110" s="252">
        <v>546.33000000000004</v>
      </c>
      <c r="CM110" s="253"/>
      <c r="CO110" s="253">
        <v>0.08</v>
      </c>
      <c r="CU110" s="266">
        <f t="shared" si="12"/>
        <v>181</v>
      </c>
      <c r="CV110" s="267">
        <f t="shared" si="13"/>
        <v>362</v>
      </c>
      <c r="CW110" s="268">
        <f t="shared" si="14"/>
        <v>904.99</v>
      </c>
      <c r="CX110" s="418">
        <v>184</v>
      </c>
      <c r="CY110" s="252"/>
      <c r="CZ110" s="252"/>
      <c r="DA110" s="252"/>
      <c r="DB110" s="252"/>
      <c r="DC110" s="252"/>
      <c r="DD110" s="252"/>
      <c r="DE110" s="252"/>
      <c r="DF110" s="252">
        <f t="shared" si="20"/>
        <v>0</v>
      </c>
      <c r="DG110" s="252"/>
      <c r="DH110" s="252">
        <v>489.06</v>
      </c>
      <c r="DI110" s="252"/>
      <c r="DK110" s="252"/>
      <c r="DL110" s="252"/>
      <c r="DP110" s="6">
        <v>7.2499999999999995E-2</v>
      </c>
      <c r="DQ110" s="252">
        <v>39.42</v>
      </c>
      <c r="DR110" s="3">
        <v>546.33000000000004</v>
      </c>
      <c r="DT110" s="241">
        <f t="shared" si="15"/>
        <v>104</v>
      </c>
      <c r="DU110" s="2"/>
      <c r="DV110" s="252">
        <v>720</v>
      </c>
      <c r="DY110" s="252">
        <v>405.18</v>
      </c>
      <c r="DZ110" s="264">
        <v>3.9399999999999998E-2</v>
      </c>
      <c r="EA110" s="252">
        <v>0</v>
      </c>
      <c r="EB110" s="253">
        <v>0</v>
      </c>
    </row>
    <row r="111" spans="1:132">
      <c r="A111">
        <v>105</v>
      </c>
      <c r="B111" s="259">
        <v>9.2015999999999991</v>
      </c>
      <c r="C111">
        <v>105</v>
      </c>
      <c r="D111" s="168">
        <f t="shared" si="21"/>
        <v>-1.0080622553083618E-3</v>
      </c>
      <c r="E111" s="246">
        <v>42614</v>
      </c>
      <c r="F111" s="186">
        <v>-0.11</v>
      </c>
      <c r="G111" s="247">
        <v>213808.73</v>
      </c>
      <c r="H111" s="247">
        <v>535.35829999999999</v>
      </c>
      <c r="I111" s="248">
        <v>118.6</v>
      </c>
      <c r="J111" s="258">
        <f t="shared" si="16"/>
        <v>-8.4245998315091164E-4</v>
      </c>
      <c r="K111" s="298"/>
      <c r="L111" s="252">
        <v>300</v>
      </c>
      <c r="M111" s="263"/>
      <c r="N111" s="263"/>
      <c r="O111" s="473">
        <v>328.76</v>
      </c>
      <c r="P111" s="474">
        <v>328.76</v>
      </c>
      <c r="Q111" s="474">
        <v>430.86</v>
      </c>
      <c r="R111" s="475">
        <v>0.09</v>
      </c>
      <c r="S111" s="533">
        <f t="shared" si="17"/>
        <v>105</v>
      </c>
      <c r="T111" s="460">
        <v>75.260000000000005</v>
      </c>
      <c r="U111" s="460">
        <v>10.56</v>
      </c>
      <c r="V111" s="460">
        <v>353.76</v>
      </c>
      <c r="W111" s="460"/>
      <c r="X111" s="254">
        <v>51.09</v>
      </c>
      <c r="Y111" s="461">
        <v>7.4999999999999997E-2</v>
      </c>
      <c r="Z111" s="460">
        <v>22.5</v>
      </c>
      <c r="AA111" s="460">
        <v>10.26</v>
      </c>
      <c r="AB111" s="460">
        <v>437.73</v>
      </c>
      <c r="AC111" s="462">
        <v>353.75</v>
      </c>
      <c r="AD111" s="463">
        <v>0.3</v>
      </c>
      <c r="AE111" s="460">
        <v>40.83</v>
      </c>
      <c r="AF111" s="460">
        <v>61.32</v>
      </c>
      <c r="AG111" s="460">
        <v>20.62</v>
      </c>
      <c r="AH111" s="460"/>
      <c r="AI111" s="460"/>
      <c r="AJ111" s="460"/>
      <c r="AK111" s="460"/>
      <c r="AL111" s="253"/>
      <c r="AM111" s="273">
        <v>0.1</v>
      </c>
      <c r="AN111" s="255">
        <v>0.08</v>
      </c>
      <c r="AO111" s="160">
        <v>0.1</v>
      </c>
      <c r="AP111" s="536">
        <v>480.1</v>
      </c>
      <c r="AQ111" s="536"/>
      <c r="AR111" s="505">
        <f t="shared" si="18"/>
        <v>105</v>
      </c>
      <c r="AS111" s="480">
        <v>257.37</v>
      </c>
      <c r="AT111" s="480">
        <v>191.57</v>
      </c>
      <c r="AU111" s="480"/>
      <c r="AV111" s="480"/>
      <c r="AW111" s="480"/>
      <c r="AX111" s="480"/>
      <c r="AY111" s="480">
        <v>303.18</v>
      </c>
      <c r="AZ111" s="499" t="s">
        <v>5323</v>
      </c>
      <c r="BA111" s="502">
        <v>23.57</v>
      </c>
      <c r="BB111" s="501"/>
      <c r="BC111" s="510">
        <v>237.16</v>
      </c>
      <c r="BD111" s="510">
        <v>1222.49</v>
      </c>
      <c r="BE111" s="504">
        <v>0.2</v>
      </c>
      <c r="BF111" s="503">
        <v>0.22</v>
      </c>
      <c r="BG111" s="502">
        <v>16.66</v>
      </c>
      <c r="BH111" s="502">
        <v>1414.05</v>
      </c>
      <c r="BI111" s="502">
        <v>19.170000000000002</v>
      </c>
      <c r="BJ111" s="502"/>
      <c r="BK111" s="502"/>
      <c r="BL111" s="510"/>
      <c r="BM111" s="511">
        <v>0.16200000000000001</v>
      </c>
      <c r="BN111" s="511"/>
      <c r="BO111" s="511" t="s">
        <v>5340</v>
      </c>
      <c r="BP111" s="252"/>
      <c r="BQ111" s="252"/>
      <c r="BR111" s="511">
        <v>0.22</v>
      </c>
      <c r="BS111" s="252"/>
      <c r="BT111" s="252"/>
      <c r="BU111" s="524">
        <f t="shared" si="19"/>
        <v>105</v>
      </c>
      <c r="BV111" s="489">
        <v>158.63</v>
      </c>
      <c r="BW111" s="254"/>
      <c r="BX111" s="254"/>
      <c r="BY111" s="254"/>
      <c r="BZ111" s="494">
        <v>19.170000000000002</v>
      </c>
      <c r="CA111" s="497">
        <v>0.3</v>
      </c>
      <c r="CB111" s="497"/>
      <c r="CC111" s="494">
        <v>424</v>
      </c>
      <c r="CD111" s="241">
        <f t="shared" si="11"/>
        <v>105</v>
      </c>
      <c r="CE111" s="2"/>
      <c r="CF111" s="2">
        <v>490.8</v>
      </c>
      <c r="CG111" s="2"/>
      <c r="CH111" s="2"/>
      <c r="CI111" s="2"/>
      <c r="CJ111" s="252"/>
      <c r="CK111" s="252"/>
      <c r="CL111" s="252">
        <v>546.33000000000004</v>
      </c>
      <c r="CM111" s="253"/>
      <c r="CO111" s="5">
        <v>0.08</v>
      </c>
      <c r="CU111" s="266">
        <f t="shared" si="12"/>
        <v>181</v>
      </c>
      <c r="CV111" s="267">
        <f t="shared" si="13"/>
        <v>362</v>
      </c>
      <c r="CW111" s="268">
        <f t="shared" si="14"/>
        <v>904.99</v>
      </c>
      <c r="CX111" s="418">
        <v>184</v>
      </c>
      <c r="CY111" s="252"/>
      <c r="CZ111" s="252"/>
      <c r="DA111" s="252"/>
      <c r="DB111" s="252"/>
      <c r="DC111" s="252"/>
      <c r="DD111" s="252"/>
      <c r="DE111" s="252"/>
      <c r="DF111" s="252">
        <f t="shared" si="20"/>
        <v>0</v>
      </c>
      <c r="DG111" s="252"/>
      <c r="DH111" s="252">
        <v>489.06</v>
      </c>
      <c r="DI111" s="252"/>
      <c r="DK111" s="252"/>
      <c r="DL111" s="252"/>
      <c r="DP111" s="6">
        <v>7.2499999999999995E-2</v>
      </c>
      <c r="DQ111" s="252">
        <v>39.42</v>
      </c>
      <c r="DR111" s="3">
        <v>546.33000000000004</v>
      </c>
      <c r="DT111" s="241">
        <f t="shared" si="15"/>
        <v>105</v>
      </c>
      <c r="DU111" s="2"/>
      <c r="DV111" s="252">
        <v>720</v>
      </c>
      <c r="DY111" s="252">
        <v>405.18</v>
      </c>
      <c r="DZ111" s="264">
        <v>3.9399999999999998E-2</v>
      </c>
      <c r="EA111" s="252">
        <v>0</v>
      </c>
      <c r="EB111" s="253">
        <v>0</v>
      </c>
    </row>
    <row r="112" spans="1:132">
      <c r="A112">
        <v>106</v>
      </c>
      <c r="B112" s="259">
        <v>10.201599999999999</v>
      </c>
      <c r="C112">
        <v>106</v>
      </c>
      <c r="D112" s="168">
        <f t="shared" si="21"/>
        <v>2.0181589404697498E-3</v>
      </c>
      <c r="E112" s="246">
        <v>42644</v>
      </c>
      <c r="F112" s="186">
        <v>0.2</v>
      </c>
      <c r="G112" s="247">
        <v>214240.23</v>
      </c>
      <c r="H112" s="247">
        <v>536.43880000000001</v>
      </c>
      <c r="I112" s="248">
        <v>118.8</v>
      </c>
      <c r="J112" s="258">
        <f t="shared" si="16"/>
        <v>1.6863406408094139E-3</v>
      </c>
      <c r="K112" s="298"/>
      <c r="L112" s="252">
        <v>300</v>
      </c>
      <c r="M112" s="263"/>
      <c r="N112" s="263"/>
      <c r="O112" s="473">
        <v>328.76</v>
      </c>
      <c r="P112" s="474">
        <v>328.76</v>
      </c>
      <c r="Q112" s="474">
        <v>430.86</v>
      </c>
      <c r="R112" s="475">
        <v>0.09</v>
      </c>
      <c r="S112" s="533">
        <f t="shared" si="17"/>
        <v>106</v>
      </c>
      <c r="T112" s="460">
        <v>75.260000000000005</v>
      </c>
      <c r="U112" s="460">
        <v>10.56</v>
      </c>
      <c r="V112" s="460">
        <v>353.76</v>
      </c>
      <c r="W112" s="460"/>
      <c r="X112" s="254">
        <v>51.09</v>
      </c>
      <c r="Y112" s="461">
        <v>7.4999999999999997E-2</v>
      </c>
      <c r="Z112" s="460">
        <v>22.5</v>
      </c>
      <c r="AA112" s="460">
        <v>10.26</v>
      </c>
      <c r="AB112" s="460">
        <v>437.73</v>
      </c>
      <c r="AC112" s="462">
        <v>353.75</v>
      </c>
      <c r="AD112" s="463">
        <v>0.3</v>
      </c>
      <c r="AE112" s="460">
        <v>40.83</v>
      </c>
      <c r="AF112" s="460">
        <v>61.32</v>
      </c>
      <c r="AG112" s="460">
        <v>20.62</v>
      </c>
      <c r="AH112" s="460"/>
      <c r="AI112" s="460"/>
      <c r="AJ112" s="460"/>
      <c r="AK112" s="460"/>
      <c r="AL112" s="253"/>
      <c r="AM112" s="273">
        <v>0.1</v>
      </c>
      <c r="AN112" s="255">
        <v>0.08</v>
      </c>
      <c r="AO112" s="160">
        <v>0.1</v>
      </c>
      <c r="AP112" s="536">
        <v>480.1</v>
      </c>
      <c r="AQ112" s="536"/>
      <c r="AR112" s="505">
        <f t="shared" si="18"/>
        <v>106</v>
      </c>
      <c r="AS112" s="480">
        <v>257.37</v>
      </c>
      <c r="AT112" s="480">
        <v>191.57</v>
      </c>
      <c r="AU112" s="480"/>
      <c r="AV112" s="480"/>
      <c r="AW112" s="480"/>
      <c r="AX112" s="480"/>
      <c r="AY112" s="480">
        <v>303.18</v>
      </c>
      <c r="AZ112" s="499" t="s">
        <v>5323</v>
      </c>
      <c r="BA112" s="502">
        <v>23.57</v>
      </c>
      <c r="BB112" s="502"/>
      <c r="BC112" s="510">
        <v>237.16</v>
      </c>
      <c r="BD112" s="510">
        <v>1222.49</v>
      </c>
      <c r="BE112" s="504">
        <v>0.2</v>
      </c>
      <c r="BF112" s="503">
        <v>0.22</v>
      </c>
      <c r="BG112" s="502">
        <v>16.66</v>
      </c>
      <c r="BH112" s="502">
        <v>1414.05</v>
      </c>
      <c r="BI112" s="502">
        <v>19.170000000000002</v>
      </c>
      <c r="BJ112" s="502"/>
      <c r="BK112" s="502"/>
      <c r="BL112" s="510"/>
      <c r="BM112" s="511">
        <v>0.16200000000000001</v>
      </c>
      <c r="BN112" s="511"/>
      <c r="BO112" s="511" t="s">
        <v>5340</v>
      </c>
      <c r="BP112" s="252"/>
      <c r="BQ112" s="252"/>
      <c r="BR112" s="511">
        <v>0.22</v>
      </c>
      <c r="BS112" s="252"/>
      <c r="BT112" s="252"/>
      <c r="BU112" s="524">
        <f t="shared" si="19"/>
        <v>106</v>
      </c>
      <c r="BV112" s="489">
        <v>158.63</v>
      </c>
      <c r="BW112" s="254"/>
      <c r="BX112" s="254"/>
      <c r="BY112" s="254"/>
      <c r="BZ112" s="494">
        <v>19.170000000000002</v>
      </c>
      <c r="CA112" s="497">
        <v>0.3</v>
      </c>
      <c r="CB112" s="497"/>
      <c r="CC112" s="494">
        <v>424</v>
      </c>
      <c r="CD112" s="241">
        <f t="shared" si="11"/>
        <v>106</v>
      </c>
      <c r="CE112" s="2"/>
      <c r="CF112" s="2">
        <v>490.8</v>
      </c>
      <c r="CG112" s="2"/>
      <c r="CH112" s="2"/>
      <c r="CI112" s="2"/>
      <c r="CJ112" s="252"/>
      <c r="CK112" s="252"/>
      <c r="CL112" s="252">
        <v>546.33000000000004</v>
      </c>
      <c r="CM112" s="253"/>
      <c r="CO112" s="253">
        <v>0.08</v>
      </c>
      <c r="CU112" s="266">
        <f t="shared" si="12"/>
        <v>181</v>
      </c>
      <c r="CV112" s="267">
        <f t="shared" si="13"/>
        <v>362</v>
      </c>
      <c r="CW112" s="268">
        <f t="shared" si="14"/>
        <v>904.99</v>
      </c>
      <c r="CX112" s="418">
        <v>184</v>
      </c>
      <c r="CY112" s="252"/>
      <c r="CZ112" s="252"/>
      <c r="DA112" s="252"/>
      <c r="DB112" s="252"/>
      <c r="DC112" s="252"/>
      <c r="DD112" s="252"/>
      <c r="DE112" s="252"/>
      <c r="DF112" s="252">
        <f t="shared" si="20"/>
        <v>0</v>
      </c>
      <c r="DG112" s="252"/>
      <c r="DH112" s="252">
        <v>489.06</v>
      </c>
      <c r="DI112" s="252"/>
      <c r="DK112" s="252"/>
      <c r="DL112" s="252"/>
      <c r="DP112" s="6">
        <v>7.2499999999999995E-2</v>
      </c>
      <c r="DQ112" s="252">
        <v>39.42</v>
      </c>
      <c r="DR112" s="3">
        <v>546.33000000000004</v>
      </c>
      <c r="DT112" s="241">
        <f t="shared" si="15"/>
        <v>106</v>
      </c>
      <c r="DU112" s="2"/>
      <c r="DV112" s="252">
        <v>720</v>
      </c>
      <c r="DY112" s="252">
        <v>405.18</v>
      </c>
      <c r="DZ112" s="264">
        <v>3.9399999999999998E-2</v>
      </c>
      <c r="EA112" s="252">
        <v>0</v>
      </c>
      <c r="EB112" s="253">
        <v>0</v>
      </c>
    </row>
    <row r="113" spans="1:132">
      <c r="A113">
        <v>107</v>
      </c>
      <c r="B113" s="259">
        <v>11.201599999999999</v>
      </c>
      <c r="C113">
        <v>107</v>
      </c>
      <c r="D113" s="168">
        <f t="shared" si="21"/>
        <v>-4.0281883565939092E-3</v>
      </c>
      <c r="E113" s="246">
        <v>42675</v>
      </c>
      <c r="F113" s="186">
        <v>-0.41</v>
      </c>
      <c r="G113" s="247">
        <v>213377.23</v>
      </c>
      <c r="H113" s="247">
        <v>534.27790000000005</v>
      </c>
      <c r="I113" s="248">
        <v>118.3</v>
      </c>
      <c r="J113" s="258">
        <f t="shared" si="16"/>
        <v>-4.2087542087542174E-3</v>
      </c>
      <c r="K113" s="298"/>
      <c r="L113" s="252">
        <v>300</v>
      </c>
      <c r="M113" s="263"/>
      <c r="N113" s="263"/>
      <c r="O113" s="473">
        <v>328.76</v>
      </c>
      <c r="P113" s="474">
        <v>328.76</v>
      </c>
      <c r="Q113" s="474">
        <v>430.86</v>
      </c>
      <c r="R113" s="475">
        <v>0.09</v>
      </c>
      <c r="S113" s="533">
        <f t="shared" si="17"/>
        <v>107</v>
      </c>
      <c r="T113" s="460">
        <v>75.260000000000005</v>
      </c>
      <c r="U113" s="460">
        <v>10.56</v>
      </c>
      <c r="V113" s="460">
        <v>353.76</v>
      </c>
      <c r="W113" s="460"/>
      <c r="X113" s="254">
        <v>51.09</v>
      </c>
      <c r="Y113" s="461">
        <v>7.4999999999999997E-2</v>
      </c>
      <c r="Z113" s="460">
        <v>22.5</v>
      </c>
      <c r="AA113" s="460">
        <v>10.26</v>
      </c>
      <c r="AB113" s="460">
        <v>437.73</v>
      </c>
      <c r="AC113" s="462">
        <v>353.75</v>
      </c>
      <c r="AD113" s="463">
        <v>0.3</v>
      </c>
      <c r="AE113" s="460">
        <v>40.83</v>
      </c>
      <c r="AF113" s="460">
        <v>61.32</v>
      </c>
      <c r="AG113" s="460">
        <v>20.62</v>
      </c>
      <c r="AH113" s="460"/>
      <c r="AI113" s="460"/>
      <c r="AJ113" s="460"/>
      <c r="AK113" s="460"/>
      <c r="AL113" s="253"/>
      <c r="AM113" s="273">
        <v>0.1</v>
      </c>
      <c r="AN113" s="255">
        <v>0.08</v>
      </c>
      <c r="AO113" s="160">
        <v>0.1</v>
      </c>
      <c r="AP113" s="536">
        <v>480.1</v>
      </c>
      <c r="AQ113" s="536"/>
      <c r="AR113" s="505">
        <f t="shared" si="18"/>
        <v>107</v>
      </c>
      <c r="AS113" s="480">
        <v>257.37</v>
      </c>
      <c r="AT113" s="480">
        <v>191.57</v>
      </c>
      <c r="AU113" s="480"/>
      <c r="AV113" s="480"/>
      <c r="AW113" s="480"/>
      <c r="AX113" s="480"/>
      <c r="AY113" s="480">
        <v>303.18</v>
      </c>
      <c r="AZ113" s="499" t="s">
        <v>5323</v>
      </c>
      <c r="BA113" s="502">
        <v>23.57</v>
      </c>
      <c r="BB113" s="501"/>
      <c r="BC113" s="510">
        <v>237.16</v>
      </c>
      <c r="BD113" s="510">
        <v>1222.49</v>
      </c>
      <c r="BE113" s="504">
        <v>0.2</v>
      </c>
      <c r="BF113" s="503">
        <v>0.22</v>
      </c>
      <c r="BG113" s="502">
        <v>16.66</v>
      </c>
      <c r="BH113" s="502">
        <v>1414.05</v>
      </c>
      <c r="BI113" s="502">
        <v>19.170000000000002</v>
      </c>
      <c r="BJ113" s="502"/>
      <c r="BK113" s="502"/>
      <c r="BL113" s="510"/>
      <c r="BM113" s="511">
        <v>0.16200000000000001</v>
      </c>
      <c r="BN113" s="511"/>
      <c r="BO113" s="511" t="s">
        <v>5340</v>
      </c>
      <c r="BP113" s="252"/>
      <c r="BQ113" s="252"/>
      <c r="BR113" s="511">
        <v>0.22</v>
      </c>
      <c r="BS113" s="252"/>
      <c r="BT113" s="252"/>
      <c r="BU113" s="524">
        <f t="shared" si="19"/>
        <v>107</v>
      </c>
      <c r="BV113" s="489">
        <v>158.63</v>
      </c>
      <c r="BW113" s="254"/>
      <c r="BX113" s="254"/>
      <c r="BY113" s="254"/>
      <c r="BZ113" s="494">
        <v>19.170000000000002</v>
      </c>
      <c r="CA113" s="497">
        <v>0.3</v>
      </c>
      <c r="CB113" s="497"/>
      <c r="CC113" s="494">
        <v>424</v>
      </c>
      <c r="CD113" s="241">
        <f t="shared" si="11"/>
        <v>107</v>
      </c>
      <c r="CE113" s="2"/>
      <c r="CF113" s="2">
        <v>490.8</v>
      </c>
      <c r="CG113" s="2"/>
      <c r="CH113" s="2"/>
      <c r="CI113" s="2"/>
      <c r="CJ113" s="252"/>
      <c r="CK113" s="252"/>
      <c r="CL113" s="252">
        <v>546.33000000000004</v>
      </c>
      <c r="CM113" s="253"/>
      <c r="CO113" s="5">
        <v>0.08</v>
      </c>
      <c r="CU113" s="266">
        <f t="shared" si="12"/>
        <v>181</v>
      </c>
      <c r="CV113" s="267">
        <f t="shared" si="13"/>
        <v>362</v>
      </c>
      <c r="CW113" s="268">
        <f t="shared" si="14"/>
        <v>904.99</v>
      </c>
      <c r="CX113" s="418">
        <v>184</v>
      </c>
      <c r="CY113" s="252"/>
      <c r="CZ113" s="252"/>
      <c r="DA113" s="252"/>
      <c r="DB113" s="252"/>
      <c r="DC113" s="252"/>
      <c r="DD113" s="252"/>
      <c r="DE113" s="252"/>
      <c r="DF113" s="252">
        <f t="shared" si="20"/>
        <v>0</v>
      </c>
      <c r="DG113" s="252"/>
      <c r="DH113" s="252">
        <v>489.06</v>
      </c>
      <c r="DI113" s="252"/>
      <c r="DK113" s="252"/>
      <c r="DL113" s="252"/>
      <c r="DP113" s="6">
        <v>7.2499999999999995E-2</v>
      </c>
      <c r="DQ113" s="252">
        <v>39.42</v>
      </c>
      <c r="DR113" s="3">
        <v>546.33000000000004</v>
      </c>
      <c r="DT113" s="241">
        <f t="shared" si="15"/>
        <v>107</v>
      </c>
      <c r="DU113" s="2"/>
      <c r="DV113" s="252">
        <v>720</v>
      </c>
      <c r="DY113" s="252">
        <v>405.18</v>
      </c>
      <c r="DZ113" s="264">
        <v>3.9399999999999998E-2</v>
      </c>
      <c r="EA113" s="252">
        <v>0</v>
      </c>
      <c r="EB113" s="253">
        <v>0</v>
      </c>
    </row>
    <row r="114" spans="1:132">
      <c r="A114">
        <v>108</v>
      </c>
      <c r="B114" s="259">
        <v>12.201599999999999</v>
      </c>
      <c r="C114">
        <v>108</v>
      </c>
      <c r="D114" s="168">
        <f t="shared" si="21"/>
        <v>0</v>
      </c>
      <c r="E114" s="246">
        <v>42705</v>
      </c>
      <c r="F114" s="186">
        <v>0</v>
      </c>
      <c r="G114" s="247">
        <v>213377.23</v>
      </c>
      <c r="H114" s="247">
        <v>534.27790000000005</v>
      </c>
      <c r="I114" s="248">
        <v>118.3</v>
      </c>
      <c r="J114" s="258">
        <f t="shared" si="16"/>
        <v>0</v>
      </c>
      <c r="K114" s="298"/>
      <c r="L114" s="252">
        <v>300</v>
      </c>
      <c r="M114" s="263"/>
      <c r="N114" s="263"/>
      <c r="O114" s="473">
        <v>328.76</v>
      </c>
      <c r="P114" s="474">
        <v>328.76</v>
      </c>
      <c r="Q114" s="474">
        <v>430.86</v>
      </c>
      <c r="R114" s="475">
        <v>0.09</v>
      </c>
      <c r="S114" s="533">
        <f t="shared" si="17"/>
        <v>108</v>
      </c>
      <c r="T114" s="460">
        <v>75.260000000000005</v>
      </c>
      <c r="U114" s="460">
        <v>10.56</v>
      </c>
      <c r="V114" s="460">
        <v>353.76</v>
      </c>
      <c r="W114" s="460"/>
      <c r="X114" s="254">
        <v>51.09</v>
      </c>
      <c r="Y114" s="461">
        <v>7.4999999999999997E-2</v>
      </c>
      <c r="Z114" s="460">
        <v>22.5</v>
      </c>
      <c r="AA114" s="460">
        <v>10.26</v>
      </c>
      <c r="AB114" s="460">
        <v>437.73</v>
      </c>
      <c r="AC114" s="462">
        <v>353.75</v>
      </c>
      <c r="AD114" s="463">
        <v>0.3</v>
      </c>
      <c r="AE114" s="460">
        <v>40.83</v>
      </c>
      <c r="AF114" s="460">
        <v>61.32</v>
      </c>
      <c r="AG114" s="460">
        <v>20.62</v>
      </c>
      <c r="AH114" s="460"/>
      <c r="AI114" s="460"/>
      <c r="AJ114" s="460"/>
      <c r="AK114" s="460"/>
      <c r="AL114" s="253"/>
      <c r="AM114" s="273">
        <v>0.1</v>
      </c>
      <c r="AN114" s="255">
        <v>0.08</v>
      </c>
      <c r="AO114" s="160">
        <v>0.1</v>
      </c>
      <c r="AP114" s="536">
        <v>480.1</v>
      </c>
      <c r="AQ114" s="536"/>
      <c r="AR114" s="505">
        <f t="shared" si="18"/>
        <v>108</v>
      </c>
      <c r="AS114" s="480">
        <v>257.37</v>
      </c>
      <c r="AT114" s="480">
        <v>191.57</v>
      </c>
      <c r="AU114" s="480"/>
      <c r="AV114" s="480"/>
      <c r="AW114" s="480"/>
      <c r="AX114" s="480"/>
      <c r="AY114" s="480">
        <v>303.18</v>
      </c>
      <c r="AZ114" s="499" t="s">
        <v>5323</v>
      </c>
      <c r="BA114" s="502">
        <v>23.57</v>
      </c>
      <c r="BB114" s="502"/>
      <c r="BC114" s="510">
        <v>237.16</v>
      </c>
      <c r="BD114" s="510">
        <v>1222.49</v>
      </c>
      <c r="BE114" s="504">
        <v>0.2</v>
      </c>
      <c r="BF114" s="503">
        <v>0.22</v>
      </c>
      <c r="BG114" s="502">
        <v>16.66</v>
      </c>
      <c r="BH114" s="502">
        <v>1414.05</v>
      </c>
      <c r="BI114" s="502">
        <v>19.170000000000002</v>
      </c>
      <c r="BJ114" s="502"/>
      <c r="BK114" s="502"/>
      <c r="BL114" s="510"/>
      <c r="BM114" s="511">
        <v>0.16200000000000001</v>
      </c>
      <c r="BN114" s="511"/>
      <c r="BO114" s="511" t="s">
        <v>5340</v>
      </c>
      <c r="BP114" s="252"/>
      <c r="BQ114" s="252"/>
      <c r="BR114" s="511">
        <v>0.22</v>
      </c>
      <c r="BS114" s="252"/>
      <c r="BT114" s="252"/>
      <c r="BU114" s="524">
        <f t="shared" si="19"/>
        <v>108</v>
      </c>
      <c r="BV114" s="489">
        <v>158.63</v>
      </c>
      <c r="BW114" s="254"/>
      <c r="BX114" s="254"/>
      <c r="BY114" s="254"/>
      <c r="BZ114" s="494">
        <v>19.170000000000002</v>
      </c>
      <c r="CA114" s="497">
        <v>0.3</v>
      </c>
      <c r="CB114" s="497"/>
      <c r="CC114" s="494">
        <v>424</v>
      </c>
      <c r="CD114" s="241">
        <f t="shared" si="11"/>
        <v>108</v>
      </c>
      <c r="CE114" s="2"/>
      <c r="CF114" s="2">
        <v>490.8</v>
      </c>
      <c r="CG114" s="2"/>
      <c r="CH114" s="2"/>
      <c r="CI114" s="2"/>
      <c r="CJ114" s="252"/>
      <c r="CK114" s="252"/>
      <c r="CL114" s="252">
        <v>546.33000000000004</v>
      </c>
      <c r="CM114" s="253"/>
      <c r="CO114" s="253">
        <v>0.08</v>
      </c>
      <c r="CU114" s="266">
        <f t="shared" si="12"/>
        <v>181</v>
      </c>
      <c r="CV114" s="267">
        <f t="shared" si="13"/>
        <v>362</v>
      </c>
      <c r="CW114" s="268">
        <f t="shared" si="14"/>
        <v>904.99</v>
      </c>
      <c r="CX114" s="418">
        <v>184</v>
      </c>
      <c r="CY114" s="252"/>
      <c r="CZ114" s="252"/>
      <c r="DA114" s="252"/>
      <c r="DB114" s="252"/>
      <c r="DC114" s="252"/>
      <c r="DD114" s="252"/>
      <c r="DE114" s="252"/>
      <c r="DF114" s="252">
        <f t="shared" si="20"/>
        <v>0</v>
      </c>
      <c r="DG114" s="252"/>
      <c r="DH114" s="252">
        <v>489.06</v>
      </c>
      <c r="DI114" s="252"/>
      <c r="DK114" s="252"/>
      <c r="DL114" s="252"/>
      <c r="DP114" s="6">
        <v>7.2499999999999995E-2</v>
      </c>
      <c r="DQ114" s="252">
        <v>39.42</v>
      </c>
      <c r="DR114" s="3">
        <v>546.33000000000004</v>
      </c>
      <c r="DT114" s="241">
        <f t="shared" si="15"/>
        <v>108</v>
      </c>
      <c r="DU114" s="2"/>
      <c r="DV114" s="252">
        <v>720</v>
      </c>
      <c r="DY114" s="252">
        <v>405.18</v>
      </c>
      <c r="DZ114" s="264">
        <v>3.9399999999999998E-2</v>
      </c>
      <c r="EA114" s="252">
        <v>0</v>
      </c>
      <c r="EB114" s="253">
        <v>0</v>
      </c>
    </row>
    <row r="115" spans="1:132">
      <c r="A115">
        <v>109</v>
      </c>
      <c r="B115" s="259">
        <v>1.2017</v>
      </c>
      <c r="C115">
        <v>109</v>
      </c>
      <c r="D115" s="168">
        <f t="shared" si="21"/>
        <v>-1.9999790980509413E-3</v>
      </c>
      <c r="E115" s="246">
        <v>42736</v>
      </c>
      <c r="F115" s="186">
        <v>-0.2</v>
      </c>
      <c r="G115" s="247">
        <v>212950.48</v>
      </c>
      <c r="H115" s="247">
        <v>533.20929999999998</v>
      </c>
      <c r="I115" s="248">
        <v>118.1</v>
      </c>
      <c r="J115" s="258">
        <f t="shared" si="16"/>
        <v>-1.6906170752324368E-3</v>
      </c>
      <c r="K115" s="298"/>
      <c r="L115" s="252">
        <v>300</v>
      </c>
      <c r="M115" s="263"/>
      <c r="N115" s="263"/>
      <c r="O115" s="473">
        <v>328.76</v>
      </c>
      <c r="P115" s="474">
        <v>328.76</v>
      </c>
      <c r="Q115" s="474">
        <v>430.86</v>
      </c>
      <c r="R115" s="475">
        <v>0.09</v>
      </c>
      <c r="S115" s="533">
        <f t="shared" si="17"/>
        <v>109</v>
      </c>
      <c r="T115" s="460">
        <v>75.260000000000005</v>
      </c>
      <c r="U115" s="460">
        <v>10.56</v>
      </c>
      <c r="V115" s="460">
        <v>353.76</v>
      </c>
      <c r="W115" s="460"/>
      <c r="X115" s="254">
        <v>51.09</v>
      </c>
      <c r="Y115" s="461">
        <v>7.4999999999999997E-2</v>
      </c>
      <c r="Z115" s="460">
        <v>22.5</v>
      </c>
      <c r="AA115" s="460">
        <v>10.26</v>
      </c>
      <c r="AB115" s="460">
        <v>437.73</v>
      </c>
      <c r="AC115" s="462">
        <v>353.75</v>
      </c>
      <c r="AD115" s="463">
        <v>0.3</v>
      </c>
      <c r="AE115" s="460">
        <v>40.83</v>
      </c>
      <c r="AF115" s="460">
        <v>61.32</v>
      </c>
      <c r="AG115" s="460">
        <v>20.62</v>
      </c>
      <c r="AH115" s="460"/>
      <c r="AI115" s="460"/>
      <c r="AJ115" s="460"/>
      <c r="AK115" s="460"/>
      <c r="AL115" s="253"/>
      <c r="AM115" s="273">
        <v>0.1</v>
      </c>
      <c r="AN115" s="255">
        <v>0.08</v>
      </c>
      <c r="AO115" s="160">
        <v>0.1</v>
      </c>
      <c r="AP115" s="536">
        <v>480.1</v>
      </c>
      <c r="AQ115" s="536"/>
      <c r="AR115" s="505">
        <f t="shared" si="18"/>
        <v>109</v>
      </c>
      <c r="AS115" s="480">
        <v>257.37</v>
      </c>
      <c r="AT115" s="480">
        <v>191.57</v>
      </c>
      <c r="AU115" s="480"/>
      <c r="AV115" s="480"/>
      <c r="AW115" s="480"/>
      <c r="AX115" s="480"/>
      <c r="AY115" s="480">
        <v>303.18</v>
      </c>
      <c r="AZ115" s="499" t="s">
        <v>5323</v>
      </c>
      <c r="BA115" s="502">
        <v>23.57</v>
      </c>
      <c r="BB115" s="501"/>
      <c r="BC115" s="510">
        <v>237.16</v>
      </c>
      <c r="BD115" s="510">
        <v>1222.49</v>
      </c>
      <c r="BE115" s="504">
        <v>0.2</v>
      </c>
      <c r="BF115" s="503">
        <v>0.22</v>
      </c>
      <c r="BG115" s="502">
        <v>16.66</v>
      </c>
      <c r="BH115" s="502">
        <v>1414.05</v>
      </c>
      <c r="BI115" s="502">
        <v>19.170000000000002</v>
      </c>
      <c r="BJ115" s="502"/>
      <c r="BK115" s="502"/>
      <c r="BL115" s="510"/>
      <c r="BM115" s="511">
        <v>0.16200000000000001</v>
      </c>
      <c r="BN115" s="511"/>
      <c r="BO115" s="511" t="s">
        <v>5340</v>
      </c>
      <c r="BP115" s="252"/>
      <c r="BQ115" s="252"/>
      <c r="BR115" s="511">
        <v>0.22</v>
      </c>
      <c r="BS115" s="252"/>
      <c r="BT115" s="252"/>
      <c r="BU115" s="524">
        <f t="shared" si="19"/>
        <v>109</v>
      </c>
      <c r="BV115" s="489">
        <v>158.63</v>
      </c>
      <c r="BW115" s="304">
        <v>1.4999999999999999E-2</v>
      </c>
      <c r="BX115" s="254">
        <v>121.3</v>
      </c>
      <c r="BY115" s="304">
        <v>9.4000000000000004E-3</v>
      </c>
      <c r="BZ115" s="494">
        <v>19.170000000000002</v>
      </c>
      <c r="CA115" s="497">
        <v>0.3</v>
      </c>
      <c r="CB115" s="497"/>
      <c r="CC115" s="494">
        <v>424</v>
      </c>
      <c r="CD115" s="241">
        <f t="shared" si="11"/>
        <v>109</v>
      </c>
      <c r="CE115" s="2"/>
      <c r="CF115" s="2">
        <v>490.8</v>
      </c>
      <c r="CG115" s="2"/>
      <c r="CH115" s="2"/>
      <c r="CI115" s="2"/>
      <c r="CJ115" s="252"/>
      <c r="CK115" s="252"/>
      <c r="CL115" s="252">
        <v>546.33000000000004</v>
      </c>
      <c r="CM115" s="253"/>
      <c r="CO115" s="5">
        <v>0.08</v>
      </c>
      <c r="CU115" s="266">
        <f t="shared" si="12"/>
        <v>181</v>
      </c>
      <c r="CV115" s="267">
        <f t="shared" si="13"/>
        <v>362</v>
      </c>
      <c r="CW115" s="268">
        <f t="shared" si="14"/>
        <v>904.99</v>
      </c>
      <c r="CX115" s="418">
        <v>184</v>
      </c>
      <c r="CY115" s="252"/>
      <c r="CZ115" s="252"/>
      <c r="DA115" s="252"/>
      <c r="DB115" s="252"/>
      <c r="DC115" s="252"/>
      <c r="DD115" s="252"/>
      <c r="DE115" s="252"/>
      <c r="DF115" s="252">
        <f t="shared" si="20"/>
        <v>0</v>
      </c>
      <c r="DG115" s="252"/>
      <c r="DH115" s="252">
        <v>489.06</v>
      </c>
      <c r="DI115" s="252"/>
      <c r="DK115" s="252"/>
      <c r="DL115" s="252"/>
      <c r="DP115" s="6">
        <v>7.2499999999999995E-2</v>
      </c>
      <c r="DQ115" s="252">
        <v>39.42</v>
      </c>
      <c r="DR115" s="3">
        <v>546.33000000000004</v>
      </c>
      <c r="DT115" s="241">
        <f t="shared" si="15"/>
        <v>109</v>
      </c>
      <c r="DU115" s="2"/>
      <c r="DV115" s="252">
        <v>720</v>
      </c>
      <c r="DY115" s="252">
        <v>405.18</v>
      </c>
      <c r="DZ115" s="264">
        <v>3.9399999999999998E-2</v>
      </c>
      <c r="EA115" s="252">
        <v>0</v>
      </c>
      <c r="EB115" s="253">
        <v>0</v>
      </c>
    </row>
    <row r="116" spans="1:132">
      <c r="A116">
        <v>110</v>
      </c>
      <c r="B116" s="259">
        <v>2.2017000000000002</v>
      </c>
      <c r="C116">
        <v>110</v>
      </c>
      <c r="D116" s="168">
        <f t="shared" si="21"/>
        <v>0</v>
      </c>
      <c r="E116" s="246">
        <v>42767</v>
      </c>
      <c r="F116" s="186">
        <v>0</v>
      </c>
      <c r="G116" s="247">
        <v>212950.48</v>
      </c>
      <c r="H116" s="247">
        <v>533.20929999999998</v>
      </c>
      <c r="I116" s="248">
        <v>118.1</v>
      </c>
      <c r="J116" s="258">
        <f t="shared" si="16"/>
        <v>0</v>
      </c>
      <c r="K116" s="298"/>
      <c r="L116" s="252">
        <v>300</v>
      </c>
      <c r="M116" s="263"/>
      <c r="N116" s="263"/>
      <c r="O116" s="473">
        <v>328.76</v>
      </c>
      <c r="P116" s="474">
        <v>328.76</v>
      </c>
      <c r="Q116" s="474">
        <v>430.86</v>
      </c>
      <c r="R116" s="475">
        <v>0.09</v>
      </c>
      <c r="S116" s="533">
        <f t="shared" si="17"/>
        <v>110</v>
      </c>
      <c r="T116" s="460">
        <v>75.260000000000005</v>
      </c>
      <c r="U116" s="460">
        <v>10.56</v>
      </c>
      <c r="V116" s="460">
        <v>353.76</v>
      </c>
      <c r="W116" s="460"/>
      <c r="X116" s="254">
        <v>51.09</v>
      </c>
      <c r="Y116" s="461">
        <v>7.4999999999999997E-2</v>
      </c>
      <c r="Z116" s="460">
        <v>22.5</v>
      </c>
      <c r="AA116" s="460">
        <v>10.26</v>
      </c>
      <c r="AB116" s="460">
        <v>437.73</v>
      </c>
      <c r="AC116" s="462">
        <v>353.75</v>
      </c>
      <c r="AD116" s="463">
        <v>0.3</v>
      </c>
      <c r="AE116" s="460">
        <v>40.83</v>
      </c>
      <c r="AF116" s="460">
        <v>61.32</v>
      </c>
      <c r="AG116" s="460">
        <v>20.62</v>
      </c>
      <c r="AH116" s="460"/>
      <c r="AI116" s="460"/>
      <c r="AJ116" s="460"/>
      <c r="AK116" s="460"/>
      <c r="AL116" s="253"/>
      <c r="AM116" s="273">
        <v>0.1</v>
      </c>
      <c r="AN116" s="255">
        <v>0.08</v>
      </c>
      <c r="AO116" s="160">
        <v>0.1</v>
      </c>
      <c r="AP116" s="536">
        <v>480.1</v>
      </c>
      <c r="AQ116" s="536"/>
      <c r="AR116" s="505">
        <f t="shared" si="18"/>
        <v>110</v>
      </c>
      <c r="AS116" s="480">
        <v>257.37</v>
      </c>
      <c r="AT116" s="480">
        <v>191.57</v>
      </c>
      <c r="AU116" s="480"/>
      <c r="AV116" s="480"/>
      <c r="AW116" s="480"/>
      <c r="AX116" s="480"/>
      <c r="AY116" s="480">
        <v>303.18</v>
      </c>
      <c r="AZ116" s="499" t="s">
        <v>5323</v>
      </c>
      <c r="BA116" s="502">
        <v>23.57</v>
      </c>
      <c r="BB116" s="502"/>
      <c r="BC116" s="510">
        <v>237.16</v>
      </c>
      <c r="BD116" s="510">
        <v>1222.49</v>
      </c>
      <c r="BE116" s="504">
        <v>0.2</v>
      </c>
      <c r="BF116" s="503">
        <v>0.22</v>
      </c>
      <c r="BG116" s="502">
        <v>16.66</v>
      </c>
      <c r="BH116" s="502">
        <v>1414.05</v>
      </c>
      <c r="BI116" s="502">
        <v>19.170000000000002</v>
      </c>
      <c r="BJ116" s="502"/>
      <c r="BK116" s="502"/>
      <c r="BL116" s="510"/>
      <c r="BM116" s="511">
        <v>0.16200000000000001</v>
      </c>
      <c r="BN116" s="511"/>
      <c r="BO116" s="511" t="s">
        <v>5340</v>
      </c>
      <c r="BP116" s="252"/>
      <c r="BQ116" s="252"/>
      <c r="BR116" s="511">
        <v>0.22</v>
      </c>
      <c r="BS116" s="252"/>
      <c r="BT116" s="252"/>
      <c r="BU116" s="524">
        <f t="shared" si="19"/>
        <v>110</v>
      </c>
      <c r="BV116" s="489">
        <v>158.63</v>
      </c>
      <c r="BW116" s="304">
        <v>1.4999999999999999E-2</v>
      </c>
      <c r="BX116" s="254">
        <v>121.3</v>
      </c>
      <c r="BY116" s="304">
        <v>9.4000000000000004E-3</v>
      </c>
      <c r="BZ116" s="494">
        <v>19.170000000000002</v>
      </c>
      <c r="CA116" s="497">
        <v>0.3</v>
      </c>
      <c r="CB116" s="497"/>
      <c r="CC116" s="494">
        <v>424</v>
      </c>
      <c r="CD116" s="241">
        <f t="shared" si="11"/>
        <v>110</v>
      </c>
      <c r="CE116" s="2"/>
      <c r="CF116" s="2">
        <v>490.8</v>
      </c>
      <c r="CG116" s="2"/>
      <c r="CH116" s="2"/>
      <c r="CI116" s="2"/>
      <c r="CJ116" s="252"/>
      <c r="CK116" s="252"/>
      <c r="CL116" s="252">
        <v>546.33000000000004</v>
      </c>
      <c r="CM116" s="253"/>
      <c r="CO116" s="253">
        <v>0.08</v>
      </c>
      <c r="CU116" s="266">
        <f t="shared" si="12"/>
        <v>181</v>
      </c>
      <c r="CV116" s="267">
        <f t="shared" si="13"/>
        <v>362</v>
      </c>
      <c r="CW116" s="268">
        <f t="shared" si="14"/>
        <v>904.99</v>
      </c>
      <c r="CX116" s="418">
        <v>184</v>
      </c>
      <c r="CY116" s="252"/>
      <c r="CZ116" s="252"/>
      <c r="DA116" s="252"/>
      <c r="DB116" s="252"/>
      <c r="DC116" s="252"/>
      <c r="DD116" s="252"/>
      <c r="DE116" s="252"/>
      <c r="DF116" s="252">
        <f t="shared" si="20"/>
        <v>0</v>
      </c>
      <c r="DG116" s="252"/>
      <c r="DH116" s="252">
        <v>489.06</v>
      </c>
      <c r="DI116" s="252"/>
      <c r="DK116" s="252"/>
      <c r="DL116" s="252"/>
      <c r="DP116" s="6">
        <v>7.2499999999999995E-2</v>
      </c>
      <c r="DQ116" s="252">
        <v>39.42</v>
      </c>
      <c r="DR116" s="3">
        <v>546.33000000000004</v>
      </c>
      <c r="DT116" s="241">
        <f t="shared" si="15"/>
        <v>110</v>
      </c>
      <c r="DU116" s="2"/>
      <c r="DV116" s="252">
        <v>720</v>
      </c>
      <c r="DY116" s="252">
        <v>405.18</v>
      </c>
      <c r="DZ116" s="264">
        <v>3.9399999999999998E-2</v>
      </c>
      <c r="EA116" s="252">
        <v>0</v>
      </c>
      <c r="EB116" s="253">
        <v>0</v>
      </c>
    </row>
    <row r="117" spans="1:132">
      <c r="A117">
        <v>111</v>
      </c>
      <c r="B117" s="259">
        <v>3.2017000000000002</v>
      </c>
      <c r="C117">
        <v>111</v>
      </c>
      <c r="D117" s="168">
        <f t="shared" si="21"/>
        <v>3.0060040249733078E-3</v>
      </c>
      <c r="E117" s="246">
        <v>42795</v>
      </c>
      <c r="F117" s="186">
        <v>0.3</v>
      </c>
      <c r="G117" s="247">
        <v>213590.61</v>
      </c>
      <c r="H117" s="247">
        <v>534.81219999999996</v>
      </c>
      <c r="I117" s="248">
        <v>118.5</v>
      </c>
      <c r="J117" s="258">
        <f t="shared" si="16"/>
        <v>3.3869602032177148E-3</v>
      </c>
      <c r="K117" s="298"/>
      <c r="L117" s="252">
        <v>300</v>
      </c>
      <c r="M117" s="263"/>
      <c r="N117" s="263"/>
      <c r="O117" s="473">
        <v>328.76</v>
      </c>
      <c r="P117" s="474">
        <v>328.76</v>
      </c>
      <c r="Q117" s="474">
        <v>430.86</v>
      </c>
      <c r="R117" s="475">
        <v>0.09</v>
      </c>
      <c r="S117" s="533">
        <f t="shared" si="17"/>
        <v>111</v>
      </c>
      <c r="T117" s="460">
        <v>75.260000000000005</v>
      </c>
      <c r="U117" s="460">
        <v>10.56</v>
      </c>
      <c r="V117" s="460">
        <v>353.76</v>
      </c>
      <c r="W117" s="460"/>
      <c r="X117" s="254">
        <v>51.09</v>
      </c>
      <c r="Y117" s="461">
        <v>7.4999999999999997E-2</v>
      </c>
      <c r="Z117" s="460">
        <v>22.5</v>
      </c>
      <c r="AA117" s="460">
        <v>10.26</v>
      </c>
      <c r="AB117" s="460">
        <v>437.73</v>
      </c>
      <c r="AC117" s="462">
        <v>353.75</v>
      </c>
      <c r="AD117" s="463">
        <v>0.3</v>
      </c>
      <c r="AE117" s="460">
        <v>40.83</v>
      </c>
      <c r="AF117" s="460">
        <v>61.32</v>
      </c>
      <c r="AG117" s="460">
        <v>20.62</v>
      </c>
      <c r="AH117" s="460"/>
      <c r="AI117" s="460"/>
      <c r="AJ117" s="460"/>
      <c r="AK117" s="460"/>
      <c r="AL117" s="253"/>
      <c r="AM117" s="273">
        <v>0.1</v>
      </c>
      <c r="AN117" s="255">
        <v>0.08</v>
      </c>
      <c r="AO117" s="160">
        <v>0.1</v>
      </c>
      <c r="AP117" s="536">
        <v>480.1</v>
      </c>
      <c r="AQ117" s="536"/>
      <c r="AR117" s="505">
        <f t="shared" si="18"/>
        <v>111</v>
      </c>
      <c r="AS117" s="480">
        <v>257.37</v>
      </c>
      <c r="AT117" s="480">
        <v>191.57</v>
      </c>
      <c r="AU117" s="480"/>
      <c r="AV117" s="480"/>
      <c r="AW117" s="480"/>
      <c r="AX117" s="480"/>
      <c r="AY117" s="480">
        <v>303.18</v>
      </c>
      <c r="AZ117" s="499" t="s">
        <v>5323</v>
      </c>
      <c r="BA117" s="502">
        <v>23.57</v>
      </c>
      <c r="BB117" s="501"/>
      <c r="BC117" s="510">
        <v>237.16</v>
      </c>
      <c r="BD117" s="510">
        <v>1222.49</v>
      </c>
      <c r="BE117" s="504">
        <v>0.2</v>
      </c>
      <c r="BF117" s="503">
        <v>0.22</v>
      </c>
      <c r="BG117" s="502">
        <v>16.66</v>
      </c>
      <c r="BH117" s="502">
        <v>1414.05</v>
      </c>
      <c r="BI117" s="502">
        <v>19.170000000000002</v>
      </c>
      <c r="BJ117" s="502"/>
      <c r="BK117" s="502"/>
      <c r="BL117" s="510"/>
      <c r="BM117" s="511">
        <v>0.16200000000000001</v>
      </c>
      <c r="BN117" s="511"/>
      <c r="BO117" s="511" t="s">
        <v>5340</v>
      </c>
      <c r="BP117" s="252"/>
      <c r="BQ117" s="252"/>
      <c r="BR117" s="511">
        <v>0.22</v>
      </c>
      <c r="BS117" s="252"/>
      <c r="BT117" s="252"/>
      <c r="BU117" s="524">
        <f t="shared" si="19"/>
        <v>111</v>
      </c>
      <c r="BV117" s="489">
        <v>158.63</v>
      </c>
      <c r="BW117" s="304">
        <v>1.4999999999999999E-2</v>
      </c>
      <c r="BX117" s="254">
        <v>121.3</v>
      </c>
      <c r="BY117" s="304">
        <v>9.4000000000000004E-3</v>
      </c>
      <c r="BZ117" s="494">
        <v>19.170000000000002</v>
      </c>
      <c r="CA117" s="497">
        <v>0.3</v>
      </c>
      <c r="CB117" s="497"/>
      <c r="CC117" s="494">
        <v>424</v>
      </c>
      <c r="CD117" s="241">
        <f t="shared" si="11"/>
        <v>111</v>
      </c>
      <c r="CE117" s="2"/>
      <c r="CF117" s="2">
        <v>490.8</v>
      </c>
      <c r="CG117" s="2"/>
      <c r="CH117" s="2"/>
      <c r="CI117" s="2"/>
      <c r="CJ117" s="252"/>
      <c r="CK117" s="252"/>
      <c r="CL117" s="252">
        <v>546.33000000000004</v>
      </c>
      <c r="CM117" s="253"/>
      <c r="CO117" s="5">
        <v>0.08</v>
      </c>
      <c r="CU117" s="266">
        <f t="shared" si="12"/>
        <v>181</v>
      </c>
      <c r="CV117" s="267">
        <f t="shared" si="13"/>
        <v>362</v>
      </c>
      <c r="CW117" s="268">
        <f t="shared" si="14"/>
        <v>904.99</v>
      </c>
      <c r="CX117" s="418">
        <v>184</v>
      </c>
      <c r="CY117" s="252"/>
      <c r="CZ117" s="252"/>
      <c r="DA117" s="252"/>
      <c r="DB117" s="252"/>
      <c r="DC117" s="252"/>
      <c r="DD117" s="252"/>
      <c r="DE117" s="252"/>
      <c r="DF117" s="252">
        <f t="shared" si="20"/>
        <v>0</v>
      </c>
      <c r="DG117" s="252"/>
      <c r="DH117" s="252">
        <v>489.06</v>
      </c>
      <c r="DI117" s="252"/>
      <c r="DK117" s="252"/>
      <c r="DL117" s="252"/>
      <c r="DP117" s="6">
        <v>7.2499999999999995E-2</v>
      </c>
      <c r="DQ117" s="252">
        <v>39.42</v>
      </c>
      <c r="DR117" s="3">
        <v>546.33000000000004</v>
      </c>
      <c r="DT117" s="241">
        <f t="shared" si="15"/>
        <v>111</v>
      </c>
      <c r="DU117" s="2"/>
      <c r="DV117" s="252">
        <v>720</v>
      </c>
      <c r="DY117" s="252">
        <v>405.18</v>
      </c>
      <c r="DZ117" s="264">
        <v>3.9399999999999998E-2</v>
      </c>
      <c r="EA117" s="252">
        <v>0</v>
      </c>
      <c r="EB117" s="253">
        <v>0</v>
      </c>
    </row>
    <row r="118" spans="1:132">
      <c r="A118">
        <v>112</v>
      </c>
      <c r="B118" s="259">
        <v>4.2016999999999998</v>
      </c>
      <c r="C118">
        <v>112</v>
      </c>
      <c r="D118" s="168">
        <f t="shared" si="21"/>
        <v>1.9979810910226714E-3</v>
      </c>
      <c r="E118" s="246">
        <v>42826</v>
      </c>
      <c r="F118" s="186">
        <v>0.19</v>
      </c>
      <c r="G118" s="247">
        <v>214017.36</v>
      </c>
      <c r="H118" s="247">
        <v>535.88070000000005</v>
      </c>
      <c r="I118" s="248">
        <v>118.7</v>
      </c>
      <c r="J118" s="258">
        <f t="shared" si="16"/>
        <v>1.6877637130801038E-3</v>
      </c>
      <c r="K118" s="298"/>
      <c r="L118" s="252">
        <v>300</v>
      </c>
      <c r="M118" s="263"/>
      <c r="N118" s="263"/>
      <c r="O118" s="473">
        <v>328.76</v>
      </c>
      <c r="P118" s="474">
        <v>328.76</v>
      </c>
      <c r="Q118" s="474">
        <v>430.86</v>
      </c>
      <c r="R118" s="475">
        <v>0.09</v>
      </c>
      <c r="S118" s="533">
        <f t="shared" si="17"/>
        <v>112</v>
      </c>
      <c r="T118" s="460">
        <v>75.260000000000005</v>
      </c>
      <c r="U118" s="460">
        <v>10.56</v>
      </c>
      <c r="V118" s="460">
        <v>353.76</v>
      </c>
      <c r="W118" s="460"/>
      <c r="X118" s="254">
        <v>51.09</v>
      </c>
      <c r="Y118" s="461">
        <v>7.4999999999999997E-2</v>
      </c>
      <c r="Z118" s="460">
        <v>22.5</v>
      </c>
      <c r="AA118" s="460">
        <v>10.26</v>
      </c>
      <c r="AB118" s="460">
        <v>437.73</v>
      </c>
      <c r="AC118" s="462">
        <v>353.75</v>
      </c>
      <c r="AD118" s="463">
        <v>0.3</v>
      </c>
      <c r="AE118" s="460">
        <v>40.83</v>
      </c>
      <c r="AF118" s="460">
        <v>61.32</v>
      </c>
      <c r="AG118" s="460">
        <v>20.62</v>
      </c>
      <c r="AH118" s="460"/>
      <c r="AI118" s="460"/>
      <c r="AJ118" s="460"/>
      <c r="AK118" s="460"/>
      <c r="AL118" s="253"/>
      <c r="AM118" s="273">
        <v>0.1</v>
      </c>
      <c r="AN118" s="255">
        <v>0.08</v>
      </c>
      <c r="AO118" s="160">
        <v>0.1</v>
      </c>
      <c r="AP118" s="536">
        <v>480.1</v>
      </c>
      <c r="AQ118" s="536"/>
      <c r="AR118" s="505">
        <f t="shared" si="18"/>
        <v>112</v>
      </c>
      <c r="AS118" s="480">
        <v>257.37</v>
      </c>
      <c r="AT118" s="480">
        <v>191.57</v>
      </c>
      <c r="AU118" s="480"/>
      <c r="AV118" s="480"/>
      <c r="AW118" s="480"/>
      <c r="AX118" s="480"/>
      <c r="AY118" s="480">
        <v>303.18</v>
      </c>
      <c r="AZ118" s="499" t="s">
        <v>5323</v>
      </c>
      <c r="BA118" s="502">
        <v>23.57</v>
      </c>
      <c r="BB118" s="502"/>
      <c r="BC118" s="510">
        <v>237.16</v>
      </c>
      <c r="BD118" s="510">
        <v>1222.49</v>
      </c>
      <c r="BE118" s="504">
        <v>0.2</v>
      </c>
      <c r="BF118" s="503">
        <v>0.22</v>
      </c>
      <c r="BG118" s="502">
        <v>16.66</v>
      </c>
      <c r="BH118" s="502">
        <v>1414.05</v>
      </c>
      <c r="BI118" s="502">
        <v>19.170000000000002</v>
      </c>
      <c r="BJ118" s="502"/>
      <c r="BK118" s="502"/>
      <c r="BL118" s="510"/>
      <c r="BM118" s="511">
        <v>0.16200000000000001</v>
      </c>
      <c r="BN118" s="511"/>
      <c r="BO118" s="511" t="s">
        <v>5340</v>
      </c>
      <c r="BP118" s="252"/>
      <c r="BQ118" s="252"/>
      <c r="BR118" s="511">
        <v>0.22</v>
      </c>
      <c r="BS118" s="252"/>
      <c r="BT118" s="252"/>
      <c r="BU118" s="524">
        <f t="shared" si="19"/>
        <v>112</v>
      </c>
      <c r="BV118" s="489">
        <v>158.63</v>
      </c>
      <c r="BW118" s="304">
        <v>1.4999999999999999E-2</v>
      </c>
      <c r="BX118" s="254">
        <v>121.3</v>
      </c>
      <c r="BY118" s="304">
        <v>9.4000000000000004E-3</v>
      </c>
      <c r="BZ118" s="494">
        <v>19.170000000000002</v>
      </c>
      <c r="CA118" s="497">
        <v>0.3</v>
      </c>
      <c r="CB118" s="497"/>
      <c r="CC118" s="494">
        <v>424</v>
      </c>
      <c r="CD118" s="241">
        <f t="shared" si="11"/>
        <v>112</v>
      </c>
      <c r="CE118" s="2"/>
      <c r="CF118" s="2">
        <v>490.8</v>
      </c>
      <c r="CG118" s="2"/>
      <c r="CH118" s="2"/>
      <c r="CI118" s="2"/>
      <c r="CJ118" s="252"/>
      <c r="CK118" s="252"/>
      <c r="CL118" s="252">
        <v>546.33000000000004</v>
      </c>
      <c r="CM118" s="253"/>
      <c r="CO118" s="253">
        <v>0.08</v>
      </c>
      <c r="CU118" s="266">
        <f t="shared" si="12"/>
        <v>181</v>
      </c>
      <c r="CV118" s="267">
        <f t="shared" si="13"/>
        <v>362</v>
      </c>
      <c r="CW118" s="268">
        <f t="shared" si="14"/>
        <v>904.99</v>
      </c>
      <c r="CX118" s="418">
        <v>184</v>
      </c>
      <c r="CY118" s="252"/>
      <c r="CZ118" s="252"/>
      <c r="DA118" s="252"/>
      <c r="DB118" s="252"/>
      <c r="DC118" s="252"/>
      <c r="DD118" s="252"/>
      <c r="DE118" s="252"/>
      <c r="DF118" s="252">
        <f t="shared" si="20"/>
        <v>0</v>
      </c>
      <c r="DG118" s="252"/>
      <c r="DH118" s="252">
        <v>489.06</v>
      </c>
      <c r="DI118" s="252"/>
      <c r="DK118" s="252"/>
      <c r="DL118" s="252"/>
      <c r="DP118" s="6">
        <v>7.2499999999999995E-2</v>
      </c>
      <c r="DQ118" s="252">
        <v>39.42</v>
      </c>
      <c r="DR118" s="3">
        <v>546.33000000000004</v>
      </c>
      <c r="DT118" s="241">
        <f t="shared" si="15"/>
        <v>112</v>
      </c>
      <c r="DU118" s="2"/>
      <c r="DV118" s="252">
        <v>720</v>
      </c>
      <c r="DY118" s="252">
        <v>405.18</v>
      </c>
      <c r="DZ118" s="264">
        <v>3.9399999999999998E-2</v>
      </c>
      <c r="EA118" s="252">
        <v>0</v>
      </c>
      <c r="EB118" s="253">
        <v>0</v>
      </c>
    </row>
    <row r="119" spans="1:132">
      <c r="A119">
        <v>113</v>
      </c>
      <c r="B119" s="259">
        <v>5.2016999999999998</v>
      </c>
      <c r="C119">
        <v>113</v>
      </c>
      <c r="D119" s="168">
        <f t="shared" si="21"/>
        <v>3.9880409701344988E-3</v>
      </c>
      <c r="E119" s="246">
        <v>42856</v>
      </c>
      <c r="F119" s="186">
        <v>0.39</v>
      </c>
      <c r="G119" s="247">
        <v>214870.87</v>
      </c>
      <c r="H119" s="247">
        <v>538.01779999999997</v>
      </c>
      <c r="I119" s="248">
        <v>119.2</v>
      </c>
      <c r="J119" s="258">
        <f t="shared" si="16"/>
        <v>4.2122999157538921E-3</v>
      </c>
      <c r="K119" s="298"/>
      <c r="L119" s="252">
        <v>300</v>
      </c>
      <c r="M119" s="263"/>
      <c r="N119" s="263"/>
      <c r="O119" s="473">
        <v>328.76</v>
      </c>
      <c r="P119" s="474">
        <v>328.76</v>
      </c>
      <c r="Q119" s="474">
        <v>430.86</v>
      </c>
      <c r="R119" s="475">
        <v>0.09</v>
      </c>
      <c r="S119" s="533">
        <f t="shared" si="17"/>
        <v>113</v>
      </c>
      <c r="T119" s="460">
        <v>75.260000000000005</v>
      </c>
      <c r="U119" s="460">
        <v>10.56</v>
      </c>
      <c r="V119" s="460">
        <v>353.76</v>
      </c>
      <c r="W119" s="460"/>
      <c r="X119" s="254">
        <v>51.09</v>
      </c>
      <c r="Y119" s="461">
        <v>7.4999999999999997E-2</v>
      </c>
      <c r="Z119" s="460">
        <v>22.5</v>
      </c>
      <c r="AA119" s="460">
        <v>10.26</v>
      </c>
      <c r="AB119" s="460">
        <v>437.73</v>
      </c>
      <c r="AC119" s="462">
        <v>353.75</v>
      </c>
      <c r="AD119" s="463">
        <v>0.3</v>
      </c>
      <c r="AE119" s="460">
        <v>40.83</v>
      </c>
      <c r="AF119" s="460">
        <v>61.32</v>
      </c>
      <c r="AG119" s="460">
        <v>20.62</v>
      </c>
      <c r="AH119" s="460"/>
      <c r="AI119" s="460"/>
      <c r="AJ119" s="460"/>
      <c r="AK119" s="460"/>
      <c r="AL119" s="253"/>
      <c r="AM119" s="273">
        <v>0.1</v>
      </c>
      <c r="AN119" s="255">
        <v>0.08</v>
      </c>
      <c r="AO119" s="160">
        <v>0.1</v>
      </c>
      <c r="AP119" s="536">
        <v>480.1</v>
      </c>
      <c r="AQ119" s="536"/>
      <c r="AR119" s="505">
        <f t="shared" si="18"/>
        <v>113</v>
      </c>
      <c r="AS119" s="480">
        <v>257.37</v>
      </c>
      <c r="AT119" s="480">
        <v>191.57</v>
      </c>
      <c r="AU119" s="480"/>
      <c r="AV119" s="480"/>
      <c r="AW119" s="480"/>
      <c r="AX119" s="480"/>
      <c r="AY119" s="480">
        <v>303.18</v>
      </c>
      <c r="AZ119" s="499" t="s">
        <v>5323</v>
      </c>
      <c r="BA119" s="502">
        <v>23.57</v>
      </c>
      <c r="BB119" s="501"/>
      <c r="BC119" s="510">
        <v>237.16</v>
      </c>
      <c r="BD119" s="510">
        <v>1222.49</v>
      </c>
      <c r="BE119" s="504">
        <v>0.2</v>
      </c>
      <c r="BF119" s="503">
        <v>0.22</v>
      </c>
      <c r="BG119" s="502">
        <v>16.66</v>
      </c>
      <c r="BH119" s="502">
        <v>1414.05</v>
      </c>
      <c r="BI119" s="502">
        <v>19.170000000000002</v>
      </c>
      <c r="BJ119" s="502"/>
      <c r="BK119" s="502"/>
      <c r="BL119" s="510"/>
      <c r="BM119" s="511">
        <v>0.16200000000000001</v>
      </c>
      <c r="BN119" s="511"/>
      <c r="BO119" s="511" t="s">
        <v>5340</v>
      </c>
      <c r="BP119" s="252"/>
      <c r="BQ119" s="252"/>
      <c r="BR119" s="511">
        <v>0.22</v>
      </c>
      <c r="BS119" s="252"/>
      <c r="BT119" s="252"/>
      <c r="BU119" s="524">
        <f t="shared" si="19"/>
        <v>113</v>
      </c>
      <c r="BV119" s="489">
        <v>158.63</v>
      </c>
      <c r="BW119" s="304">
        <v>1.4999999999999999E-2</v>
      </c>
      <c r="BX119" s="254">
        <v>121.3</v>
      </c>
      <c r="BY119" s="304">
        <v>9.4000000000000004E-3</v>
      </c>
      <c r="BZ119" s="494">
        <v>19.170000000000002</v>
      </c>
      <c r="CA119" s="497">
        <v>0.3</v>
      </c>
      <c r="CB119" s="497"/>
      <c r="CC119" s="494">
        <v>424</v>
      </c>
      <c r="CD119" s="241">
        <f t="shared" si="11"/>
        <v>113</v>
      </c>
      <c r="CE119" s="2"/>
      <c r="CF119" s="2">
        <v>490.8</v>
      </c>
      <c r="CG119" s="2"/>
      <c r="CH119" s="2"/>
      <c r="CI119" s="2"/>
      <c r="CJ119" s="252"/>
      <c r="CK119" s="252"/>
      <c r="CL119" s="252">
        <v>546.33000000000004</v>
      </c>
      <c r="CM119" s="253"/>
      <c r="CO119" s="5">
        <v>0.08</v>
      </c>
      <c r="CU119" s="266">
        <f t="shared" si="12"/>
        <v>181</v>
      </c>
      <c r="CV119" s="267">
        <f t="shared" si="13"/>
        <v>362</v>
      </c>
      <c r="CW119" s="268">
        <f t="shared" si="14"/>
        <v>904.99</v>
      </c>
      <c r="CX119" s="418">
        <v>184</v>
      </c>
      <c r="CY119" s="252"/>
      <c r="CZ119" s="252"/>
      <c r="DA119" s="252"/>
      <c r="DB119" s="252"/>
      <c r="DC119" s="252"/>
      <c r="DD119" s="252"/>
      <c r="DE119" s="252"/>
      <c r="DF119" s="252">
        <f t="shared" si="20"/>
        <v>0</v>
      </c>
      <c r="DG119" s="252"/>
      <c r="DH119" s="252">
        <v>489.06</v>
      </c>
      <c r="DI119" s="252"/>
      <c r="DK119" s="252"/>
      <c r="DL119" s="252"/>
      <c r="DP119" s="6">
        <v>7.2499999999999995E-2</v>
      </c>
      <c r="DQ119" s="252">
        <v>39.42</v>
      </c>
      <c r="DR119" s="3">
        <v>546.33000000000004</v>
      </c>
      <c r="DT119" s="241">
        <f t="shared" si="15"/>
        <v>113</v>
      </c>
      <c r="DU119" s="2"/>
      <c r="DV119" s="252">
        <v>720</v>
      </c>
      <c r="DY119" s="252">
        <v>405.18</v>
      </c>
      <c r="DZ119" s="264">
        <v>3.9399999999999998E-2</v>
      </c>
      <c r="EA119" s="252">
        <v>0</v>
      </c>
      <c r="EB119" s="253">
        <v>0</v>
      </c>
    </row>
    <row r="120" spans="1:132">
      <c r="A120">
        <v>114</v>
      </c>
      <c r="B120" s="259">
        <v>6.2016999999999998</v>
      </c>
      <c r="C120">
        <v>114</v>
      </c>
      <c r="D120" s="168">
        <f t="shared" si="21"/>
        <v>-6.9513377965100265E-3</v>
      </c>
      <c r="E120" s="246">
        <v>42887</v>
      </c>
      <c r="F120" s="186">
        <v>-0.7</v>
      </c>
      <c r="G120" s="247">
        <v>213377.23</v>
      </c>
      <c r="H120" s="247">
        <v>534.27790000000005</v>
      </c>
      <c r="I120" s="248">
        <v>118.3</v>
      </c>
      <c r="J120" s="258">
        <f t="shared" si="16"/>
        <v>-7.5503355704698016E-3</v>
      </c>
      <c r="K120" s="298"/>
      <c r="L120" s="252">
        <v>300</v>
      </c>
      <c r="M120" s="263"/>
      <c r="N120" s="263"/>
      <c r="O120" s="473">
        <v>328.76</v>
      </c>
      <c r="P120" s="474">
        <v>328.76</v>
      </c>
      <c r="Q120" s="474">
        <v>430.86</v>
      </c>
      <c r="R120" s="475">
        <v>0.09</v>
      </c>
      <c r="S120" s="533">
        <f t="shared" si="17"/>
        <v>114</v>
      </c>
      <c r="T120" s="460">
        <v>75.260000000000005</v>
      </c>
      <c r="U120" s="460">
        <v>10.56</v>
      </c>
      <c r="V120" s="460">
        <v>353.76</v>
      </c>
      <c r="W120" s="460"/>
      <c r="X120" s="254">
        <v>51.09</v>
      </c>
      <c r="Y120" s="461">
        <v>7.4999999999999997E-2</v>
      </c>
      <c r="Z120" s="460">
        <v>22.5</v>
      </c>
      <c r="AA120" s="460">
        <v>10.26</v>
      </c>
      <c r="AB120" s="460">
        <v>437.73</v>
      </c>
      <c r="AC120" s="462">
        <v>353.75</v>
      </c>
      <c r="AD120" s="463">
        <v>0.3</v>
      </c>
      <c r="AE120" s="460">
        <v>40.83</v>
      </c>
      <c r="AF120" s="460">
        <v>61.32</v>
      </c>
      <c r="AG120" s="460">
        <v>20.62</v>
      </c>
      <c r="AH120" s="460"/>
      <c r="AI120" s="460"/>
      <c r="AJ120" s="460"/>
      <c r="AK120" s="460"/>
      <c r="AL120" s="253"/>
      <c r="AM120" s="273">
        <v>0.1</v>
      </c>
      <c r="AN120" s="255">
        <v>0.08</v>
      </c>
      <c r="AO120" s="160">
        <v>0.1</v>
      </c>
      <c r="AP120" s="536">
        <v>480.1</v>
      </c>
      <c r="AQ120" s="536"/>
      <c r="AR120" s="505">
        <f t="shared" si="18"/>
        <v>114</v>
      </c>
      <c r="AS120" s="480">
        <v>257.37</v>
      </c>
      <c r="AT120" s="480">
        <v>191.57</v>
      </c>
      <c r="AU120" s="480"/>
      <c r="AV120" s="480"/>
      <c r="AW120" s="480"/>
      <c r="AX120" s="480"/>
      <c r="AY120" s="480">
        <v>303.18</v>
      </c>
      <c r="AZ120" s="499" t="s">
        <v>5323</v>
      </c>
      <c r="BA120" s="502">
        <v>23.57</v>
      </c>
      <c r="BB120" s="502"/>
      <c r="BC120" s="510">
        <v>237.16</v>
      </c>
      <c r="BD120" s="510">
        <v>1222.49</v>
      </c>
      <c r="BE120" s="504">
        <v>0.2</v>
      </c>
      <c r="BF120" s="503">
        <v>0.22</v>
      </c>
      <c r="BG120" s="502">
        <v>16.66</v>
      </c>
      <c r="BH120" s="502">
        <v>1414.05</v>
      </c>
      <c r="BI120" s="502">
        <v>19.170000000000002</v>
      </c>
      <c r="BJ120" s="502"/>
      <c r="BK120" s="502"/>
      <c r="BL120" s="510"/>
      <c r="BM120" s="511">
        <v>0.16200000000000001</v>
      </c>
      <c r="BN120" s="511"/>
      <c r="BO120" s="511" t="s">
        <v>5340</v>
      </c>
      <c r="BP120" s="252"/>
      <c r="BQ120" s="252"/>
      <c r="BR120" s="511">
        <v>0.22</v>
      </c>
      <c r="BS120" s="252"/>
      <c r="BT120" s="252"/>
      <c r="BU120" s="524">
        <f t="shared" si="19"/>
        <v>114</v>
      </c>
      <c r="BV120" s="489">
        <v>158.63</v>
      </c>
      <c r="BW120" s="304">
        <v>1.4999999999999999E-2</v>
      </c>
      <c r="BX120" s="254">
        <v>121.3</v>
      </c>
      <c r="BY120" s="304">
        <v>9.4000000000000004E-3</v>
      </c>
      <c r="BZ120" s="494">
        <v>19.170000000000002</v>
      </c>
      <c r="CA120" s="497">
        <v>0.3</v>
      </c>
      <c r="CB120" s="497"/>
      <c r="CC120" s="494">
        <v>424</v>
      </c>
      <c r="CD120" s="241">
        <f t="shared" si="11"/>
        <v>114</v>
      </c>
      <c r="CE120" s="2"/>
      <c r="CF120" s="2">
        <v>490.8</v>
      </c>
      <c r="CG120" s="2"/>
      <c r="CH120" s="2"/>
      <c r="CI120" s="2"/>
      <c r="CJ120" s="252"/>
      <c r="CK120" s="252"/>
      <c r="CL120" s="252">
        <v>546.33000000000004</v>
      </c>
      <c r="CM120" s="253"/>
      <c r="CO120" s="253">
        <v>0.08</v>
      </c>
      <c r="CU120" s="266">
        <f t="shared" si="12"/>
        <v>181</v>
      </c>
      <c r="CV120" s="267">
        <f t="shared" si="13"/>
        <v>362</v>
      </c>
      <c r="CW120" s="268">
        <f t="shared" si="14"/>
        <v>904.99</v>
      </c>
      <c r="CX120" s="418">
        <v>184</v>
      </c>
      <c r="CY120" s="252"/>
      <c r="CZ120" s="252"/>
      <c r="DA120" s="252"/>
      <c r="DB120" s="252"/>
      <c r="DC120" s="252"/>
      <c r="DD120" s="252"/>
      <c r="DE120" s="252"/>
      <c r="DF120" s="252">
        <f t="shared" si="20"/>
        <v>0</v>
      </c>
      <c r="DG120" s="252"/>
      <c r="DH120" s="252">
        <v>489.06</v>
      </c>
      <c r="DI120" s="252"/>
      <c r="DK120" s="252"/>
      <c r="DL120" s="252"/>
      <c r="DP120" s="6">
        <v>7.2499999999999995E-2</v>
      </c>
      <c r="DQ120" s="252">
        <v>39.42</v>
      </c>
      <c r="DR120" s="3">
        <v>546.33000000000004</v>
      </c>
      <c r="DT120" s="241">
        <f t="shared" si="15"/>
        <v>114</v>
      </c>
      <c r="DU120" s="2"/>
      <c r="DV120" s="252">
        <v>720</v>
      </c>
      <c r="DY120" s="252">
        <v>405.18</v>
      </c>
      <c r="DZ120" s="264">
        <v>3.9399999999999998E-2</v>
      </c>
      <c r="EA120" s="252">
        <v>0</v>
      </c>
      <c r="EB120" s="253">
        <v>0</v>
      </c>
    </row>
    <row r="121" spans="1:132">
      <c r="A121">
        <v>115</v>
      </c>
      <c r="B121" s="259">
        <v>7.2016999999999998</v>
      </c>
      <c r="C121">
        <v>115</v>
      </c>
      <c r="D121" s="168">
        <f t="shared" si="21"/>
        <v>-1.0000129817038239E-3</v>
      </c>
      <c r="E121" s="246">
        <v>42917</v>
      </c>
      <c r="F121" s="186">
        <v>-0.11</v>
      </c>
      <c r="G121" s="247">
        <v>213163.85</v>
      </c>
      <c r="H121" s="247">
        <v>533.74360000000001</v>
      </c>
      <c r="I121" s="248">
        <v>118.2</v>
      </c>
      <c r="J121" s="258">
        <f t="shared" si="16"/>
        <v>-8.4530853761621838E-4</v>
      </c>
      <c r="K121" s="298"/>
      <c r="L121" s="252">
        <v>300</v>
      </c>
      <c r="M121" s="263"/>
      <c r="N121" s="263"/>
      <c r="O121" s="473">
        <v>328.76</v>
      </c>
      <c r="P121" s="474">
        <v>328.76</v>
      </c>
      <c r="Q121" s="474">
        <v>430.86</v>
      </c>
      <c r="R121" s="475">
        <v>0.09</v>
      </c>
      <c r="S121" s="533">
        <f t="shared" si="17"/>
        <v>115</v>
      </c>
      <c r="T121" s="460">
        <v>75.260000000000005</v>
      </c>
      <c r="U121" s="460">
        <v>10.56</v>
      </c>
      <c r="V121" s="460">
        <v>353.76</v>
      </c>
      <c r="W121" s="460"/>
      <c r="X121" s="254">
        <v>51.09</v>
      </c>
      <c r="Y121" s="461">
        <v>7.4999999999999997E-2</v>
      </c>
      <c r="Z121" s="460">
        <v>22.5</v>
      </c>
      <c r="AA121" s="460">
        <v>10.26</v>
      </c>
      <c r="AB121" s="460">
        <v>437.73</v>
      </c>
      <c r="AC121" s="462">
        <v>353.75</v>
      </c>
      <c r="AD121" s="463">
        <v>0.3</v>
      </c>
      <c r="AE121" s="460">
        <v>40.83</v>
      </c>
      <c r="AF121" s="460">
        <v>61.32</v>
      </c>
      <c r="AG121" s="460">
        <v>20.62</v>
      </c>
      <c r="AH121" s="460"/>
      <c r="AI121" s="460"/>
      <c r="AJ121" s="460"/>
      <c r="AK121" s="460"/>
      <c r="AL121" s="253"/>
      <c r="AM121" s="273">
        <v>0.1</v>
      </c>
      <c r="AN121" s="255">
        <v>0.08</v>
      </c>
      <c r="AO121" s="160">
        <v>0.1</v>
      </c>
      <c r="AP121" s="536">
        <v>480.1</v>
      </c>
      <c r="AQ121" s="536"/>
      <c r="AR121" s="505">
        <f t="shared" si="18"/>
        <v>115</v>
      </c>
      <c r="AS121" s="480">
        <v>257.37</v>
      </c>
      <c r="AT121" s="480">
        <v>191.57</v>
      </c>
      <c r="AU121" s="480"/>
      <c r="AV121" s="480"/>
      <c r="AW121" s="480"/>
      <c r="AX121" s="480"/>
      <c r="AY121" s="480">
        <v>303.18</v>
      </c>
      <c r="AZ121" s="499" t="s">
        <v>5323</v>
      </c>
      <c r="BA121" s="502">
        <v>23.57</v>
      </c>
      <c r="BB121" s="501"/>
      <c r="BC121" s="510">
        <v>237.16</v>
      </c>
      <c r="BD121" s="510">
        <v>1222.49</v>
      </c>
      <c r="BE121" s="504">
        <v>0.2</v>
      </c>
      <c r="BF121" s="503">
        <v>0.22</v>
      </c>
      <c r="BG121" s="502">
        <v>16.66</v>
      </c>
      <c r="BH121" s="502">
        <v>1414.05</v>
      </c>
      <c r="BI121" s="502">
        <v>19.170000000000002</v>
      </c>
      <c r="BJ121" s="502"/>
      <c r="BK121" s="502"/>
      <c r="BL121" s="510"/>
      <c r="BM121" s="511">
        <v>0.16200000000000001</v>
      </c>
      <c r="BN121" s="511"/>
      <c r="BO121" s="511" t="s">
        <v>5340</v>
      </c>
      <c r="BP121" s="252"/>
      <c r="BQ121" s="252"/>
      <c r="BR121" s="511">
        <v>0.22</v>
      </c>
      <c r="BS121" s="252"/>
      <c r="BT121" s="252"/>
      <c r="BU121" s="524">
        <f t="shared" si="19"/>
        <v>115</v>
      </c>
      <c r="BV121" s="489">
        <v>158.63</v>
      </c>
      <c r="BW121" s="304">
        <v>1.4999999999999999E-2</v>
      </c>
      <c r="BX121" s="254">
        <v>121.3</v>
      </c>
      <c r="BY121" s="304">
        <v>9.4000000000000004E-3</v>
      </c>
      <c r="BZ121" s="494">
        <v>19.170000000000002</v>
      </c>
      <c r="CA121" s="497">
        <v>0.3</v>
      </c>
      <c r="CB121" s="497"/>
      <c r="CC121" s="494">
        <v>424</v>
      </c>
      <c r="CD121" s="241">
        <f t="shared" si="11"/>
        <v>115</v>
      </c>
      <c r="CE121" s="2"/>
      <c r="CF121" s="2">
        <v>490.8</v>
      </c>
      <c r="CG121" s="2"/>
      <c r="CH121" s="2"/>
      <c r="CI121" s="2"/>
      <c r="CJ121" s="252"/>
      <c r="CK121" s="252"/>
      <c r="CL121" s="252">
        <v>546.33000000000004</v>
      </c>
      <c r="CM121" s="253"/>
      <c r="CO121" s="5">
        <v>0.08</v>
      </c>
      <c r="CU121" s="266">
        <f t="shared" si="12"/>
        <v>181</v>
      </c>
      <c r="CV121" s="267">
        <f t="shared" si="13"/>
        <v>362</v>
      </c>
      <c r="CW121" s="268">
        <f t="shared" si="14"/>
        <v>904.99</v>
      </c>
      <c r="CX121" s="418">
        <v>184</v>
      </c>
      <c r="CY121" s="252"/>
      <c r="CZ121" s="252"/>
      <c r="DA121" s="252"/>
      <c r="DB121" s="252"/>
      <c r="DC121" s="252"/>
      <c r="DD121" s="252"/>
      <c r="DE121" s="252"/>
      <c r="DF121" s="252">
        <f t="shared" si="20"/>
        <v>0</v>
      </c>
      <c r="DG121" s="252"/>
      <c r="DH121" s="252">
        <v>489.06</v>
      </c>
      <c r="DI121" s="252"/>
      <c r="DK121" s="252"/>
      <c r="DL121" s="252"/>
      <c r="DP121" s="6">
        <v>7.2499999999999995E-2</v>
      </c>
      <c r="DQ121" s="252">
        <v>39.42</v>
      </c>
      <c r="DR121" s="3">
        <v>546.33000000000004</v>
      </c>
      <c r="DT121" s="241">
        <f t="shared" si="15"/>
        <v>115</v>
      </c>
      <c r="DU121" s="2"/>
      <c r="DV121" s="252">
        <v>720</v>
      </c>
      <c r="DY121" s="252">
        <v>405.18</v>
      </c>
      <c r="DZ121" s="264">
        <v>3.9399999999999998E-2</v>
      </c>
      <c r="EA121" s="252">
        <v>0</v>
      </c>
      <c r="EB121" s="253">
        <v>0</v>
      </c>
    </row>
    <row r="122" spans="1:132">
      <c r="A122">
        <v>116</v>
      </c>
      <c r="B122" s="259">
        <v>8.2017000000000007</v>
      </c>
      <c r="C122">
        <v>116</v>
      </c>
      <c r="D122" s="168">
        <f t="shared" si="21"/>
        <v>3.0029951138526023E-3</v>
      </c>
      <c r="E122" s="246">
        <v>42948</v>
      </c>
      <c r="F122" s="186">
        <v>0.3</v>
      </c>
      <c r="G122" s="247">
        <v>213803.98</v>
      </c>
      <c r="H122" s="247">
        <v>535.34640000000002</v>
      </c>
      <c r="I122" s="248">
        <v>118.6</v>
      </c>
      <c r="J122" s="258">
        <f t="shared" si="16"/>
        <v>3.3840947546530664E-3</v>
      </c>
      <c r="K122" s="298"/>
      <c r="L122" s="252">
        <v>300</v>
      </c>
      <c r="M122" s="263"/>
      <c r="N122" s="263"/>
      <c r="O122" s="473">
        <v>328.76</v>
      </c>
      <c r="P122" s="474">
        <v>328.76</v>
      </c>
      <c r="Q122" s="474">
        <v>430.86</v>
      </c>
      <c r="R122" s="475">
        <v>0.09</v>
      </c>
      <c r="S122" s="533">
        <f t="shared" si="17"/>
        <v>116</v>
      </c>
      <c r="T122" s="460">
        <v>75.260000000000005</v>
      </c>
      <c r="U122" s="460">
        <v>10.56</v>
      </c>
      <c r="V122" s="460">
        <v>353.76</v>
      </c>
      <c r="W122" s="460"/>
      <c r="X122" s="254">
        <v>51.09</v>
      </c>
      <c r="Y122" s="461">
        <v>7.4999999999999997E-2</v>
      </c>
      <c r="Z122" s="460">
        <v>22.5</v>
      </c>
      <c r="AA122" s="460">
        <v>10.26</v>
      </c>
      <c r="AB122" s="460">
        <v>437.73</v>
      </c>
      <c r="AC122" s="462">
        <v>353.75</v>
      </c>
      <c r="AD122" s="463">
        <v>0.3</v>
      </c>
      <c r="AE122" s="460">
        <v>40.83</v>
      </c>
      <c r="AF122" s="460">
        <v>61.32</v>
      </c>
      <c r="AG122" s="460">
        <v>20.62</v>
      </c>
      <c r="AH122" s="460"/>
      <c r="AI122" s="460"/>
      <c r="AJ122" s="460"/>
      <c r="AK122" s="460"/>
      <c r="AL122" s="253"/>
      <c r="AM122" s="273">
        <v>0.1</v>
      </c>
      <c r="AN122" s="255">
        <v>0.08</v>
      </c>
      <c r="AO122" s="160">
        <v>0.1</v>
      </c>
      <c r="AP122" s="536">
        <v>480.1</v>
      </c>
      <c r="AQ122" s="536"/>
      <c r="AR122" s="505">
        <f t="shared" si="18"/>
        <v>116</v>
      </c>
      <c r="AS122" s="480">
        <v>257.37</v>
      </c>
      <c r="AT122" s="480">
        <v>191.57</v>
      </c>
      <c r="AU122" s="480"/>
      <c r="AV122" s="480"/>
      <c r="AW122" s="480"/>
      <c r="AX122" s="480"/>
      <c r="AY122" s="480">
        <v>303.18</v>
      </c>
      <c r="AZ122" s="499" t="s">
        <v>5323</v>
      </c>
      <c r="BA122" s="502">
        <v>23.57</v>
      </c>
      <c r="BB122" s="502"/>
      <c r="BC122" s="510">
        <v>237.16</v>
      </c>
      <c r="BD122" s="510">
        <v>1222.49</v>
      </c>
      <c r="BE122" s="504">
        <v>0.2</v>
      </c>
      <c r="BF122" s="503">
        <v>0.22</v>
      </c>
      <c r="BG122" s="502">
        <v>16.66</v>
      </c>
      <c r="BH122" s="502">
        <v>1414.05</v>
      </c>
      <c r="BI122" s="502">
        <v>19.170000000000002</v>
      </c>
      <c r="BJ122" s="502"/>
      <c r="BK122" s="502"/>
      <c r="BL122" s="510"/>
      <c r="BM122" s="511">
        <v>0.16200000000000001</v>
      </c>
      <c r="BN122" s="511"/>
      <c r="BO122" s="511" t="s">
        <v>5340</v>
      </c>
      <c r="BP122" s="252"/>
      <c r="BQ122" s="252"/>
      <c r="BR122" s="511">
        <v>0.22</v>
      </c>
      <c r="BS122" s="252"/>
      <c r="BT122" s="252"/>
      <c r="BU122" s="524">
        <f t="shared" si="19"/>
        <v>116</v>
      </c>
      <c r="BV122" s="489">
        <v>158.63</v>
      </c>
      <c r="BW122" s="304">
        <v>1.4999999999999999E-2</v>
      </c>
      <c r="BX122" s="254">
        <v>121.3</v>
      </c>
      <c r="BY122" s="304">
        <v>9.4000000000000004E-3</v>
      </c>
      <c r="BZ122" s="494">
        <v>19.170000000000002</v>
      </c>
      <c r="CA122" s="497">
        <v>0.3</v>
      </c>
      <c r="CB122" s="497"/>
      <c r="CC122" s="494">
        <v>424</v>
      </c>
      <c r="CD122" s="241">
        <f t="shared" si="11"/>
        <v>116</v>
      </c>
      <c r="CE122" s="2"/>
      <c r="CF122" s="2">
        <v>490.8</v>
      </c>
      <c r="CG122" s="2"/>
      <c r="CH122" s="2"/>
      <c r="CI122" s="2"/>
      <c r="CJ122" s="252"/>
      <c r="CK122" s="252"/>
      <c r="CL122" s="252">
        <v>546.33000000000004</v>
      </c>
      <c r="CM122" s="253"/>
      <c r="CO122" s="253">
        <v>0.08</v>
      </c>
      <c r="CU122" s="266">
        <f t="shared" si="12"/>
        <v>181</v>
      </c>
      <c r="CV122" s="267">
        <f t="shared" si="13"/>
        <v>362</v>
      </c>
      <c r="CW122" s="268">
        <f t="shared" si="14"/>
        <v>904.99</v>
      </c>
      <c r="CX122" s="418">
        <v>184</v>
      </c>
      <c r="CY122" s="252"/>
      <c r="CZ122" s="252"/>
      <c r="DA122" s="252"/>
      <c r="DB122" s="252"/>
      <c r="DC122" s="252"/>
      <c r="DD122" s="252"/>
      <c r="DE122" s="252"/>
      <c r="DF122" s="252">
        <f t="shared" si="20"/>
        <v>0</v>
      </c>
      <c r="DG122" s="252"/>
      <c r="DH122" s="252">
        <v>489.06</v>
      </c>
      <c r="DI122" s="252"/>
      <c r="DK122" s="252"/>
      <c r="DL122" s="252"/>
      <c r="DP122" s="6">
        <v>7.2499999999999995E-2</v>
      </c>
      <c r="DQ122" s="252">
        <v>39.42</v>
      </c>
      <c r="DR122" s="3">
        <v>546.33000000000004</v>
      </c>
      <c r="DT122" s="241">
        <f t="shared" si="15"/>
        <v>116</v>
      </c>
      <c r="DU122" s="2"/>
      <c r="DV122" s="252">
        <v>720</v>
      </c>
      <c r="DY122" s="252">
        <v>405.18</v>
      </c>
      <c r="DZ122" s="264">
        <v>3.9399999999999998E-2</v>
      </c>
      <c r="EA122" s="252">
        <v>0</v>
      </c>
      <c r="EB122" s="253">
        <v>0</v>
      </c>
    </row>
    <row r="123" spans="1:132">
      <c r="A123">
        <v>117</v>
      </c>
      <c r="B123" s="259">
        <v>9.2017000000000007</v>
      </c>
      <c r="C123">
        <v>117</v>
      </c>
      <c r="D123" s="168">
        <f t="shared" si="21"/>
        <v>9.980169686270024E-4</v>
      </c>
      <c r="E123" s="246">
        <v>42979</v>
      </c>
      <c r="F123" s="186">
        <v>0.09</v>
      </c>
      <c r="G123" s="247">
        <v>214017.36</v>
      </c>
      <c r="H123" s="247">
        <v>535.88070000000005</v>
      </c>
      <c r="I123" s="248">
        <v>118.7</v>
      </c>
      <c r="J123" s="258">
        <f t="shared" si="16"/>
        <v>8.4317032040481799E-4</v>
      </c>
      <c r="K123" s="298"/>
      <c r="L123" s="252">
        <v>300</v>
      </c>
      <c r="M123" s="263"/>
      <c r="N123" s="263"/>
      <c r="O123" s="473">
        <v>328.76</v>
      </c>
      <c r="P123" s="474">
        <v>328.76</v>
      </c>
      <c r="Q123" s="474">
        <v>430.86</v>
      </c>
      <c r="R123" s="475">
        <v>0.09</v>
      </c>
      <c r="S123" s="533">
        <f t="shared" si="17"/>
        <v>117</v>
      </c>
      <c r="T123" s="460">
        <v>75.260000000000005</v>
      </c>
      <c r="U123" s="460">
        <v>10.56</v>
      </c>
      <c r="V123" s="460">
        <v>353.76</v>
      </c>
      <c r="W123" s="460"/>
      <c r="X123" s="254">
        <v>51.09</v>
      </c>
      <c r="Y123" s="461">
        <v>7.4999999999999997E-2</v>
      </c>
      <c r="Z123" s="460">
        <v>22.5</v>
      </c>
      <c r="AA123" s="460">
        <v>10.26</v>
      </c>
      <c r="AB123" s="460">
        <v>437.73</v>
      </c>
      <c r="AC123" s="462">
        <v>353.75</v>
      </c>
      <c r="AD123" s="463">
        <v>0.3</v>
      </c>
      <c r="AE123" s="460">
        <v>40.83</v>
      </c>
      <c r="AF123" s="460">
        <v>61.32</v>
      </c>
      <c r="AG123" s="460">
        <v>20.62</v>
      </c>
      <c r="AH123" s="460"/>
      <c r="AI123" s="460"/>
      <c r="AJ123" s="460"/>
      <c r="AK123" s="460"/>
      <c r="AL123" s="253"/>
      <c r="AM123" s="273">
        <v>0.1</v>
      </c>
      <c r="AN123" s="255">
        <v>0.08</v>
      </c>
      <c r="AO123" s="160">
        <v>0.1</v>
      </c>
      <c r="AP123" s="536">
        <v>480.1</v>
      </c>
      <c r="AQ123" s="536"/>
      <c r="AR123" s="505">
        <f t="shared" si="18"/>
        <v>117</v>
      </c>
      <c r="AS123" s="480">
        <v>257.37</v>
      </c>
      <c r="AT123" s="480">
        <v>191.57</v>
      </c>
      <c r="AU123" s="480"/>
      <c r="AV123" s="480"/>
      <c r="AW123" s="480"/>
      <c r="AX123" s="480"/>
      <c r="AY123" s="480">
        <v>303.18</v>
      </c>
      <c r="AZ123" s="499" t="s">
        <v>5323</v>
      </c>
      <c r="BA123" s="502">
        <v>23.57</v>
      </c>
      <c r="BB123" s="501"/>
      <c r="BC123" s="510">
        <v>237.16</v>
      </c>
      <c r="BD123" s="510">
        <v>1222.49</v>
      </c>
      <c r="BE123" s="504">
        <v>0.2</v>
      </c>
      <c r="BF123" s="503">
        <v>0.22</v>
      </c>
      <c r="BG123" s="502">
        <v>16.66</v>
      </c>
      <c r="BH123" s="502">
        <v>1414.05</v>
      </c>
      <c r="BI123" s="502">
        <v>19.170000000000002</v>
      </c>
      <c r="BJ123" s="502"/>
      <c r="BK123" s="502"/>
      <c r="BL123" s="510"/>
      <c r="BM123" s="511">
        <v>0.16200000000000001</v>
      </c>
      <c r="BN123" s="511"/>
      <c r="BO123" s="511" t="s">
        <v>5340</v>
      </c>
      <c r="BP123" s="252"/>
      <c r="BQ123" s="252"/>
      <c r="BR123" s="511">
        <v>0.22</v>
      </c>
      <c r="BS123" s="252"/>
      <c r="BT123" s="252"/>
      <c r="BU123" s="524">
        <f t="shared" si="19"/>
        <v>117</v>
      </c>
      <c r="BV123" s="489">
        <v>158.63</v>
      </c>
      <c r="BW123" s="304">
        <v>1.4999999999999999E-2</v>
      </c>
      <c r="BX123" s="254">
        <v>121.3</v>
      </c>
      <c r="BY123" s="304">
        <v>9.4000000000000004E-3</v>
      </c>
      <c r="BZ123" s="494">
        <v>19.170000000000002</v>
      </c>
      <c r="CA123" s="497">
        <v>0.3</v>
      </c>
      <c r="CB123" s="497"/>
      <c r="CC123" s="494">
        <v>424</v>
      </c>
      <c r="CD123" s="241">
        <f t="shared" si="11"/>
        <v>117</v>
      </c>
      <c r="CE123" s="2"/>
      <c r="CF123" s="2">
        <v>490.8</v>
      </c>
      <c r="CG123" s="2"/>
      <c r="CH123" s="2"/>
      <c r="CI123" s="2"/>
      <c r="CJ123" s="252"/>
      <c r="CK123" s="252"/>
      <c r="CL123" s="252">
        <v>546.33000000000004</v>
      </c>
      <c r="CM123" s="253"/>
      <c r="CO123" s="5">
        <v>0.08</v>
      </c>
      <c r="CU123" s="266">
        <f t="shared" si="12"/>
        <v>181</v>
      </c>
      <c r="CV123" s="267">
        <f t="shared" si="13"/>
        <v>362</v>
      </c>
      <c r="CW123" s="268">
        <f t="shared" si="14"/>
        <v>904.99</v>
      </c>
      <c r="CX123" s="418">
        <v>184</v>
      </c>
      <c r="CY123" s="252"/>
      <c r="CZ123" s="252"/>
      <c r="DA123" s="252"/>
      <c r="DB123" s="252"/>
      <c r="DC123" s="252"/>
      <c r="DD123" s="252"/>
      <c r="DE123" s="252"/>
      <c r="DF123" s="252">
        <f t="shared" si="20"/>
        <v>0</v>
      </c>
      <c r="DG123" s="252"/>
      <c r="DH123" s="252">
        <v>489.06</v>
      </c>
      <c r="DI123" s="252"/>
      <c r="DK123" s="252"/>
      <c r="DL123" s="252"/>
      <c r="DP123" s="6">
        <v>7.2499999999999995E-2</v>
      </c>
      <c r="DQ123" s="252">
        <v>39.42</v>
      </c>
      <c r="DR123" s="3">
        <v>546.33000000000004</v>
      </c>
      <c r="DT123" s="241">
        <f t="shared" si="15"/>
        <v>117</v>
      </c>
      <c r="DU123" s="2"/>
      <c r="DV123" s="252">
        <v>720</v>
      </c>
      <c r="DY123" s="252">
        <v>405.18</v>
      </c>
      <c r="DZ123" s="264">
        <v>3.9399999999999998E-2</v>
      </c>
      <c r="EA123" s="252">
        <v>0</v>
      </c>
      <c r="EB123" s="253">
        <v>0</v>
      </c>
    </row>
    <row r="124" spans="1:132">
      <c r="A124">
        <v>118</v>
      </c>
      <c r="B124" s="259">
        <v>10.201700000000001</v>
      </c>
      <c r="C124">
        <v>118</v>
      </c>
      <c r="D124" s="168">
        <f t="shared" si="21"/>
        <v>2.9910190463053876E-3</v>
      </c>
      <c r="E124" s="246">
        <v>43009</v>
      </c>
      <c r="F124" s="186">
        <v>0.28999999999999998</v>
      </c>
      <c r="G124" s="247">
        <v>214657.49</v>
      </c>
      <c r="H124" s="247">
        <v>537.48350000000005</v>
      </c>
      <c r="I124" s="248">
        <v>119</v>
      </c>
      <c r="J124" s="258">
        <f t="shared" si="16"/>
        <v>2.5273799494522908E-3</v>
      </c>
      <c r="K124" s="298"/>
      <c r="L124" s="252">
        <v>300</v>
      </c>
      <c r="M124" s="263"/>
      <c r="N124" s="263"/>
      <c r="O124" s="473">
        <v>328.76</v>
      </c>
      <c r="P124" s="474">
        <v>328.76</v>
      </c>
      <c r="Q124" s="474">
        <v>430.86</v>
      </c>
      <c r="R124" s="475">
        <v>0.09</v>
      </c>
      <c r="S124" s="533">
        <f t="shared" si="17"/>
        <v>118</v>
      </c>
      <c r="T124" s="460">
        <v>75.260000000000005</v>
      </c>
      <c r="U124" s="460">
        <v>10.56</v>
      </c>
      <c r="V124" s="460">
        <v>353.76</v>
      </c>
      <c r="W124" s="460"/>
      <c r="X124" s="254">
        <v>51.09</v>
      </c>
      <c r="Y124" s="461">
        <v>7.4999999999999997E-2</v>
      </c>
      <c r="Z124" s="460">
        <v>22.5</v>
      </c>
      <c r="AA124" s="460">
        <v>10.26</v>
      </c>
      <c r="AB124" s="460">
        <v>437.73</v>
      </c>
      <c r="AC124" s="462">
        <v>353.75</v>
      </c>
      <c r="AD124" s="463">
        <v>0.3</v>
      </c>
      <c r="AE124" s="460">
        <v>40.83</v>
      </c>
      <c r="AF124" s="460">
        <v>61.32</v>
      </c>
      <c r="AG124" s="460">
        <v>20.62</v>
      </c>
      <c r="AH124" s="460"/>
      <c r="AI124" s="460"/>
      <c r="AJ124" s="460"/>
      <c r="AK124" s="460"/>
      <c r="AL124" s="253"/>
      <c r="AM124" s="273">
        <v>0.1</v>
      </c>
      <c r="AN124" s="255">
        <v>0.08</v>
      </c>
      <c r="AO124" s="160">
        <v>0.1</v>
      </c>
      <c r="AP124" s="536">
        <v>480.1</v>
      </c>
      <c r="AQ124" s="536"/>
      <c r="AR124" s="505">
        <f t="shared" si="18"/>
        <v>118</v>
      </c>
      <c r="AS124" s="480">
        <v>257.37</v>
      </c>
      <c r="AT124" s="480">
        <v>191.57</v>
      </c>
      <c r="AU124" s="480"/>
      <c r="AV124" s="480"/>
      <c r="AW124" s="480"/>
      <c r="AX124" s="480"/>
      <c r="AY124" s="480">
        <v>303.18</v>
      </c>
      <c r="AZ124" s="499" t="s">
        <v>5323</v>
      </c>
      <c r="BA124" s="502">
        <v>23.57</v>
      </c>
      <c r="BB124" s="502"/>
      <c r="BC124" s="510">
        <v>237.16</v>
      </c>
      <c r="BD124" s="510">
        <v>1222.49</v>
      </c>
      <c r="BE124" s="504">
        <v>0.2</v>
      </c>
      <c r="BF124" s="503">
        <v>0.22</v>
      </c>
      <c r="BG124" s="502">
        <v>16.66</v>
      </c>
      <c r="BH124" s="502">
        <v>1414.05</v>
      </c>
      <c r="BI124" s="502">
        <v>19.170000000000002</v>
      </c>
      <c r="BJ124" s="502"/>
      <c r="BK124" s="502"/>
      <c r="BL124" s="510"/>
      <c r="BM124" s="511">
        <v>0.16200000000000001</v>
      </c>
      <c r="BN124" s="511"/>
      <c r="BO124" s="511" t="s">
        <v>5340</v>
      </c>
      <c r="BP124" s="252"/>
      <c r="BQ124" s="252"/>
      <c r="BR124" s="511">
        <v>0.22</v>
      </c>
      <c r="BS124" s="252"/>
      <c r="BT124" s="252"/>
      <c r="BU124" s="524">
        <f t="shared" si="19"/>
        <v>118</v>
      </c>
      <c r="BV124" s="489">
        <v>158.63</v>
      </c>
      <c r="BW124" s="304">
        <v>1.4999999999999999E-2</v>
      </c>
      <c r="BX124" s="254">
        <v>121.3</v>
      </c>
      <c r="BY124" s="304">
        <v>9.4000000000000004E-3</v>
      </c>
      <c r="BZ124" s="494">
        <v>19.170000000000002</v>
      </c>
      <c r="CA124" s="497">
        <v>0.3</v>
      </c>
      <c r="CB124" s="497"/>
      <c r="CC124" s="494">
        <v>424</v>
      </c>
      <c r="CD124" s="241">
        <f t="shared" si="11"/>
        <v>118</v>
      </c>
      <c r="CE124" s="2"/>
      <c r="CF124" s="2">
        <v>490.8</v>
      </c>
      <c r="CG124" s="2"/>
      <c r="CH124" s="2"/>
      <c r="CI124" s="2"/>
      <c r="CJ124" s="252"/>
      <c r="CK124" s="252"/>
      <c r="CL124" s="252">
        <v>546.33000000000004</v>
      </c>
      <c r="CM124" s="253"/>
      <c r="CO124" s="253">
        <v>0.08</v>
      </c>
      <c r="CU124" s="266">
        <f t="shared" si="12"/>
        <v>181</v>
      </c>
      <c r="CV124" s="267">
        <f t="shared" si="13"/>
        <v>362</v>
      </c>
      <c r="CW124" s="268">
        <f t="shared" si="14"/>
        <v>904.99</v>
      </c>
      <c r="CX124" s="418">
        <v>184</v>
      </c>
      <c r="CY124" s="252"/>
      <c r="CZ124" s="252"/>
      <c r="DA124" s="252"/>
      <c r="DB124" s="252"/>
      <c r="DC124" s="252"/>
      <c r="DD124" s="252"/>
      <c r="DE124" s="252"/>
      <c r="DF124" s="252">
        <f t="shared" si="20"/>
        <v>0</v>
      </c>
      <c r="DG124" s="252"/>
      <c r="DH124" s="252">
        <v>489.06</v>
      </c>
      <c r="DI124" s="252"/>
      <c r="DK124" s="252"/>
      <c r="DL124" s="252"/>
      <c r="DP124" s="6">
        <v>7.2499999999999995E-2</v>
      </c>
      <c r="DQ124" s="252">
        <v>39.42</v>
      </c>
      <c r="DR124" s="3">
        <v>546.33000000000004</v>
      </c>
      <c r="DT124" s="241">
        <f t="shared" si="15"/>
        <v>118</v>
      </c>
      <c r="DU124" s="2"/>
      <c r="DV124" s="252">
        <v>720</v>
      </c>
      <c r="DY124" s="252">
        <v>405.18</v>
      </c>
      <c r="DZ124" s="264">
        <v>3.9399999999999998E-2</v>
      </c>
      <c r="EA124" s="252">
        <v>0</v>
      </c>
      <c r="EB124" s="253">
        <v>0</v>
      </c>
    </row>
    <row r="125" spans="1:132">
      <c r="A125">
        <v>119</v>
      </c>
      <c r="B125" s="259">
        <v>11.201700000000001</v>
      </c>
      <c r="C125">
        <v>119</v>
      </c>
      <c r="D125" s="168">
        <f t="shared" si="21"/>
        <v>-2.9820995298137642E-3</v>
      </c>
      <c r="E125" s="246">
        <v>43040</v>
      </c>
      <c r="F125" s="186">
        <v>-0.3</v>
      </c>
      <c r="G125" s="247">
        <v>214017.36</v>
      </c>
      <c r="H125" s="247">
        <v>535.88070000000005</v>
      </c>
      <c r="I125" s="248">
        <v>118.7</v>
      </c>
      <c r="J125" s="258">
        <f t="shared" si="16"/>
        <v>-2.5210084033613356E-3</v>
      </c>
      <c r="K125" s="298"/>
      <c r="L125" s="252">
        <v>300</v>
      </c>
      <c r="M125" s="263"/>
      <c r="N125" s="263"/>
      <c r="O125" s="473">
        <v>328.76</v>
      </c>
      <c r="P125" s="474">
        <v>328.76</v>
      </c>
      <c r="Q125" s="474">
        <v>430.86</v>
      </c>
      <c r="R125" s="475">
        <v>0.09</v>
      </c>
      <c r="S125" s="533">
        <f t="shared" si="17"/>
        <v>119</v>
      </c>
      <c r="T125" s="460">
        <v>75.260000000000005</v>
      </c>
      <c r="U125" s="460">
        <v>10.56</v>
      </c>
      <c r="V125" s="460">
        <v>353.76</v>
      </c>
      <c r="W125" s="460"/>
      <c r="X125" s="254">
        <v>51.09</v>
      </c>
      <c r="Y125" s="461">
        <v>7.4999999999999997E-2</v>
      </c>
      <c r="Z125" s="460">
        <v>22.5</v>
      </c>
      <c r="AA125" s="460">
        <v>10.26</v>
      </c>
      <c r="AB125" s="460">
        <v>437.73</v>
      </c>
      <c r="AC125" s="462">
        <v>353.75</v>
      </c>
      <c r="AD125" s="463">
        <v>0.3</v>
      </c>
      <c r="AE125" s="460">
        <v>40.83</v>
      </c>
      <c r="AF125" s="460">
        <v>61.32</v>
      </c>
      <c r="AG125" s="460">
        <v>20.62</v>
      </c>
      <c r="AH125" s="460"/>
      <c r="AI125" s="460"/>
      <c r="AJ125" s="460"/>
      <c r="AK125" s="460"/>
      <c r="AL125" s="253"/>
      <c r="AM125" s="273">
        <v>0.1</v>
      </c>
      <c r="AN125" s="255">
        <v>0.08</v>
      </c>
      <c r="AO125" s="160">
        <v>0.1</v>
      </c>
      <c r="AP125" s="536">
        <v>480.1</v>
      </c>
      <c r="AQ125" s="536"/>
      <c r="AR125" s="505">
        <f t="shared" si="18"/>
        <v>119</v>
      </c>
      <c r="AS125" s="480">
        <v>257.37</v>
      </c>
      <c r="AT125" s="480">
        <v>191.57</v>
      </c>
      <c r="AU125" s="480"/>
      <c r="AV125" s="480"/>
      <c r="AW125" s="480"/>
      <c r="AX125" s="480"/>
      <c r="AY125" s="480">
        <v>303.18</v>
      </c>
      <c r="AZ125" s="499" t="s">
        <v>5323</v>
      </c>
      <c r="BA125" s="502">
        <v>23.57</v>
      </c>
      <c r="BB125" s="501"/>
      <c r="BC125" s="510">
        <v>237.16</v>
      </c>
      <c r="BD125" s="510">
        <v>1222.49</v>
      </c>
      <c r="BE125" s="504">
        <v>0.2</v>
      </c>
      <c r="BF125" s="503">
        <v>0.22</v>
      </c>
      <c r="BG125" s="502">
        <v>16.66</v>
      </c>
      <c r="BH125" s="502">
        <v>1414.05</v>
      </c>
      <c r="BI125" s="502">
        <v>19.170000000000002</v>
      </c>
      <c r="BJ125" s="502"/>
      <c r="BK125" s="502"/>
      <c r="BL125" s="510"/>
      <c r="BM125" s="511">
        <v>0.16200000000000001</v>
      </c>
      <c r="BN125" s="511"/>
      <c r="BO125" s="511" t="s">
        <v>5340</v>
      </c>
      <c r="BP125" s="252"/>
      <c r="BQ125" s="252"/>
      <c r="BR125" s="511">
        <v>0.22</v>
      </c>
      <c r="BS125" s="252"/>
      <c r="BT125" s="252"/>
      <c r="BU125" s="524">
        <f t="shared" si="19"/>
        <v>119</v>
      </c>
      <c r="BV125" s="489">
        <v>158.63</v>
      </c>
      <c r="BW125" s="304">
        <v>1.4999999999999999E-2</v>
      </c>
      <c r="BX125" s="254">
        <v>121.3</v>
      </c>
      <c r="BY125" s="304">
        <v>9.4000000000000004E-3</v>
      </c>
      <c r="BZ125" s="494">
        <v>19.170000000000002</v>
      </c>
      <c r="CA125" s="497">
        <v>0.3</v>
      </c>
      <c r="CB125" s="497"/>
      <c r="CC125" s="494">
        <v>424</v>
      </c>
      <c r="CD125" s="241">
        <f t="shared" si="11"/>
        <v>119</v>
      </c>
      <c r="CE125" s="2"/>
      <c r="CF125" s="2">
        <v>490.8</v>
      </c>
      <c r="CG125" s="2"/>
      <c r="CH125" s="2"/>
      <c r="CI125" s="2"/>
      <c r="CJ125" s="252"/>
      <c r="CK125" s="252"/>
      <c r="CL125" s="252">
        <v>546.33000000000004</v>
      </c>
      <c r="CM125" s="253"/>
      <c r="CO125" s="5">
        <v>0.08</v>
      </c>
      <c r="CU125" s="266">
        <f t="shared" si="12"/>
        <v>181</v>
      </c>
      <c r="CV125" s="267">
        <f t="shared" si="13"/>
        <v>362</v>
      </c>
      <c r="CW125" s="268">
        <f t="shared" si="14"/>
        <v>904.99</v>
      </c>
      <c r="CX125" s="418">
        <v>184</v>
      </c>
      <c r="CY125" s="252"/>
      <c r="CZ125" s="252"/>
      <c r="DA125" s="252"/>
      <c r="DB125" s="252"/>
      <c r="DC125" s="252"/>
      <c r="DD125" s="252"/>
      <c r="DE125" s="252"/>
      <c r="DF125" s="252">
        <f t="shared" si="20"/>
        <v>0</v>
      </c>
      <c r="DG125" s="252"/>
      <c r="DH125" s="252">
        <v>489.06</v>
      </c>
      <c r="DI125" s="252"/>
      <c r="DK125" s="252"/>
      <c r="DL125" s="252"/>
      <c r="DP125" s="6">
        <v>7.2499999999999995E-2</v>
      </c>
      <c r="DQ125" s="252">
        <v>39.42</v>
      </c>
      <c r="DR125" s="3">
        <v>546.33000000000004</v>
      </c>
      <c r="DT125" s="241">
        <f t="shared" si="15"/>
        <v>119</v>
      </c>
      <c r="DU125" s="2"/>
      <c r="DV125" s="252">
        <v>720</v>
      </c>
      <c r="DY125" s="252">
        <v>405.18</v>
      </c>
      <c r="DZ125" s="264">
        <v>3.9399999999999998E-2</v>
      </c>
      <c r="EA125" s="252">
        <v>0</v>
      </c>
      <c r="EB125" s="253">
        <v>0</v>
      </c>
    </row>
    <row r="126" spans="1:132">
      <c r="A126">
        <v>120</v>
      </c>
      <c r="B126" s="259">
        <v>12.201700000000001</v>
      </c>
      <c r="C126">
        <v>120</v>
      </c>
      <c r="D126" s="168">
        <f t="shared" si="21"/>
        <v>9.9702192382911115E-4</v>
      </c>
      <c r="E126" s="246">
        <v>43070</v>
      </c>
      <c r="F126" s="186">
        <v>0.09</v>
      </c>
      <c r="G126" s="247">
        <v>214230.74</v>
      </c>
      <c r="H126" s="247">
        <v>536.41499999999996</v>
      </c>
      <c r="I126" s="248">
        <v>118.8</v>
      </c>
      <c r="J126" s="258">
        <f t="shared" si="16"/>
        <v>8.424599831506896E-4</v>
      </c>
      <c r="K126" s="298"/>
      <c r="L126" s="252">
        <v>300</v>
      </c>
      <c r="M126" s="263"/>
      <c r="N126" s="263"/>
      <c r="O126" s="473">
        <v>328.76</v>
      </c>
      <c r="P126" s="474">
        <v>328.76</v>
      </c>
      <c r="Q126" s="474">
        <v>430.86</v>
      </c>
      <c r="R126" s="475">
        <v>0.09</v>
      </c>
      <c r="S126" s="533">
        <f t="shared" si="17"/>
        <v>120</v>
      </c>
      <c r="T126" s="460">
        <v>75.260000000000005</v>
      </c>
      <c r="U126" s="460">
        <v>10.56</v>
      </c>
      <c r="V126" s="460">
        <v>353.76</v>
      </c>
      <c r="W126" s="460"/>
      <c r="X126" s="254">
        <v>51.09</v>
      </c>
      <c r="Y126" s="461">
        <v>7.4999999999999997E-2</v>
      </c>
      <c r="Z126" s="460">
        <v>22.5</v>
      </c>
      <c r="AA126" s="460">
        <v>10.26</v>
      </c>
      <c r="AB126" s="460">
        <v>437.73</v>
      </c>
      <c r="AC126" s="462">
        <v>353.75</v>
      </c>
      <c r="AD126" s="463">
        <v>0.3</v>
      </c>
      <c r="AE126" s="460">
        <v>40.83</v>
      </c>
      <c r="AF126" s="460">
        <v>61.32</v>
      </c>
      <c r="AG126" s="460">
        <v>20.62</v>
      </c>
      <c r="AH126" s="460"/>
      <c r="AI126" s="460"/>
      <c r="AJ126" s="460"/>
      <c r="AK126" s="460"/>
      <c r="AL126" s="253"/>
      <c r="AM126" s="273">
        <v>0.1</v>
      </c>
      <c r="AN126" s="255">
        <v>0.08</v>
      </c>
      <c r="AO126" s="160">
        <v>0.1</v>
      </c>
      <c r="AP126" s="536">
        <v>480.1</v>
      </c>
      <c r="AQ126" s="536"/>
      <c r="AR126" s="505">
        <f t="shared" si="18"/>
        <v>120</v>
      </c>
      <c r="AS126" s="480">
        <v>257.37</v>
      </c>
      <c r="AT126" s="480">
        <v>191.57</v>
      </c>
      <c r="AU126" s="480"/>
      <c r="AV126" s="480"/>
      <c r="AW126" s="480"/>
      <c r="AX126" s="480"/>
      <c r="AY126" s="480">
        <v>303.18</v>
      </c>
      <c r="AZ126" s="499" t="s">
        <v>5323</v>
      </c>
      <c r="BA126" s="502">
        <v>23.57</v>
      </c>
      <c r="BB126" s="502"/>
      <c r="BC126" s="510">
        <v>237.16</v>
      </c>
      <c r="BD126" s="510">
        <v>1222.49</v>
      </c>
      <c r="BE126" s="504">
        <v>0.2</v>
      </c>
      <c r="BF126" s="503">
        <v>0.22</v>
      </c>
      <c r="BG126" s="502">
        <v>16.66</v>
      </c>
      <c r="BH126" s="502">
        <v>1414.05</v>
      </c>
      <c r="BI126" s="502">
        <v>19.170000000000002</v>
      </c>
      <c r="BJ126" s="502"/>
      <c r="BK126" s="502"/>
      <c r="BL126" s="510"/>
      <c r="BM126" s="511">
        <v>0.16200000000000001</v>
      </c>
      <c r="BN126" s="511"/>
      <c r="BO126" s="511" t="s">
        <v>5340</v>
      </c>
      <c r="BP126" s="252"/>
      <c r="BQ126" s="252"/>
      <c r="BR126" s="511">
        <v>0.22</v>
      </c>
      <c r="BS126" s="252"/>
      <c r="BT126" s="252"/>
      <c r="BU126" s="524">
        <f t="shared" si="19"/>
        <v>120</v>
      </c>
      <c r="BV126" s="489">
        <v>158.63</v>
      </c>
      <c r="BW126" s="304">
        <v>1.4999999999999999E-2</v>
      </c>
      <c r="BX126" s="254">
        <v>121.3</v>
      </c>
      <c r="BY126" s="304">
        <v>9.4000000000000004E-3</v>
      </c>
      <c r="BZ126" s="494">
        <v>19.170000000000002</v>
      </c>
      <c r="CA126" s="497">
        <v>0.3</v>
      </c>
      <c r="CB126" s="497"/>
      <c r="CC126" s="494">
        <v>424</v>
      </c>
      <c r="CD126" s="241">
        <f t="shared" si="11"/>
        <v>120</v>
      </c>
      <c r="CE126" s="2"/>
      <c r="CF126" s="2">
        <v>490.8</v>
      </c>
      <c r="CG126" s="2"/>
      <c r="CH126" s="2"/>
      <c r="CI126" s="2"/>
      <c r="CJ126" s="252"/>
      <c r="CK126" s="252"/>
      <c r="CL126" s="252">
        <v>546.33000000000004</v>
      </c>
      <c r="CM126" s="253"/>
      <c r="CO126" s="253">
        <v>0.08</v>
      </c>
      <c r="CU126" s="266">
        <f t="shared" si="12"/>
        <v>181</v>
      </c>
      <c r="CV126" s="267">
        <f t="shared" si="13"/>
        <v>362</v>
      </c>
      <c r="CW126" s="268">
        <f t="shared" si="14"/>
        <v>904.99</v>
      </c>
      <c r="CX126" s="418">
        <v>184</v>
      </c>
      <c r="CY126" s="252"/>
      <c r="CZ126" s="252"/>
      <c r="DA126" s="252"/>
      <c r="DB126" s="252"/>
      <c r="DC126" s="252"/>
      <c r="DD126" s="252"/>
      <c r="DE126" s="252"/>
      <c r="DF126" s="252">
        <f t="shared" si="20"/>
        <v>0</v>
      </c>
      <c r="DG126" s="252"/>
      <c r="DH126" s="252">
        <v>489.06</v>
      </c>
      <c r="DI126" s="252"/>
      <c r="DK126" s="252"/>
      <c r="DL126" s="252"/>
      <c r="DP126" s="6">
        <v>7.2499999999999995E-2</v>
      </c>
      <c r="DQ126" s="252">
        <v>39.42</v>
      </c>
      <c r="DR126" s="3">
        <v>546.33000000000004</v>
      </c>
      <c r="DT126" s="241">
        <f t="shared" si="15"/>
        <v>120</v>
      </c>
      <c r="DU126" s="2"/>
      <c r="DV126" s="252">
        <v>720</v>
      </c>
      <c r="DY126" s="252">
        <v>405.18</v>
      </c>
      <c r="DZ126" s="264">
        <v>3.9399999999999998E-2</v>
      </c>
      <c r="EA126" s="252">
        <v>0</v>
      </c>
      <c r="EB126" s="253">
        <v>0</v>
      </c>
    </row>
    <row r="127" spans="1:132">
      <c r="A127">
        <v>121</v>
      </c>
      <c r="B127" s="259">
        <v>1.2018</v>
      </c>
      <c r="C127">
        <v>121</v>
      </c>
      <c r="D127" s="168">
        <f t="shared" si="21"/>
        <v>-4.9800976274458897E-3</v>
      </c>
      <c r="E127" s="246">
        <v>43101</v>
      </c>
      <c r="F127" s="186">
        <v>-0.5</v>
      </c>
      <c r="G127" s="247">
        <v>213163.85</v>
      </c>
      <c r="H127" s="247">
        <v>533.74360000000001</v>
      </c>
      <c r="I127" s="248">
        <v>118.2</v>
      </c>
      <c r="J127" s="258">
        <f t="shared" si="16"/>
        <v>-5.050505050504972E-3</v>
      </c>
      <c r="K127" s="298"/>
      <c r="L127" s="252">
        <v>300</v>
      </c>
      <c r="M127" s="263"/>
      <c r="N127" s="263"/>
      <c r="O127" s="473">
        <v>328.76</v>
      </c>
      <c r="P127" s="474">
        <v>328.76</v>
      </c>
      <c r="Q127" s="474">
        <v>430.86</v>
      </c>
      <c r="R127" s="475">
        <v>0.09</v>
      </c>
      <c r="S127" s="533">
        <f t="shared" si="17"/>
        <v>121</v>
      </c>
      <c r="T127" s="460">
        <v>75.260000000000005</v>
      </c>
      <c r="U127" s="460">
        <v>10.56</v>
      </c>
      <c r="V127" s="460">
        <v>353.76</v>
      </c>
      <c r="W127" s="460"/>
      <c r="X127" s="254">
        <v>51.09</v>
      </c>
      <c r="Y127" s="461">
        <v>7.4999999999999997E-2</v>
      </c>
      <c r="Z127" s="460">
        <v>22.5</v>
      </c>
      <c r="AA127" s="460">
        <v>10.26</v>
      </c>
      <c r="AB127" s="460">
        <v>437.73</v>
      </c>
      <c r="AC127" s="462">
        <v>353.75</v>
      </c>
      <c r="AD127" s="463">
        <v>0.3</v>
      </c>
      <c r="AE127" s="460">
        <v>40.83</v>
      </c>
      <c r="AF127" s="460">
        <v>61.32</v>
      </c>
      <c r="AG127" s="460">
        <v>20.62</v>
      </c>
      <c r="AH127" s="460"/>
      <c r="AI127" s="460"/>
      <c r="AJ127" s="460"/>
      <c r="AK127" s="460"/>
      <c r="AL127" s="253"/>
      <c r="AM127" s="273">
        <v>0.1</v>
      </c>
      <c r="AN127" s="255">
        <v>0.08</v>
      </c>
      <c r="AO127" s="160">
        <v>0.1</v>
      </c>
      <c r="AP127" s="536">
        <v>480.1</v>
      </c>
      <c r="AQ127" s="536"/>
      <c r="AR127" s="505">
        <f t="shared" si="18"/>
        <v>121</v>
      </c>
      <c r="AS127" s="480">
        <v>257.37</v>
      </c>
      <c r="AT127" s="480">
        <v>191.57</v>
      </c>
      <c r="AU127" s="480"/>
      <c r="AV127" s="480"/>
      <c r="AW127" s="480"/>
      <c r="AX127" s="480"/>
      <c r="AY127" s="480">
        <v>303.18</v>
      </c>
      <c r="AZ127" s="499" t="s">
        <v>5323</v>
      </c>
      <c r="BA127" s="502">
        <v>23.57</v>
      </c>
      <c r="BB127" s="501"/>
      <c r="BC127" s="510">
        <v>237.16</v>
      </c>
      <c r="BD127" s="510">
        <v>1222.49</v>
      </c>
      <c r="BE127" s="504">
        <v>0.2</v>
      </c>
      <c r="BF127" s="503">
        <v>0.22</v>
      </c>
      <c r="BG127" s="502">
        <v>16.66</v>
      </c>
      <c r="BH127" s="502">
        <v>1414.05</v>
      </c>
      <c r="BI127" s="502">
        <v>19.170000000000002</v>
      </c>
      <c r="BJ127" s="502"/>
      <c r="BK127" s="502"/>
      <c r="BL127" s="510"/>
      <c r="BM127" s="511">
        <v>0.16200000000000001</v>
      </c>
      <c r="BN127" s="511"/>
      <c r="BO127" s="511" t="s">
        <v>5340</v>
      </c>
      <c r="BP127" s="252"/>
      <c r="BQ127" s="252"/>
      <c r="BR127" s="511">
        <v>0.22</v>
      </c>
      <c r="BS127" s="252"/>
      <c r="BT127" s="252"/>
      <c r="BU127" s="524">
        <f t="shared" si="19"/>
        <v>121</v>
      </c>
      <c r="BV127" s="489">
        <v>158.63</v>
      </c>
      <c r="BW127" s="304">
        <v>0.03</v>
      </c>
      <c r="BX127" s="254">
        <v>242.6</v>
      </c>
      <c r="BY127" s="304">
        <v>2.4400000000000002E-2</v>
      </c>
      <c r="BZ127" s="494">
        <v>19.170000000000002</v>
      </c>
      <c r="CA127" s="497">
        <v>0.3</v>
      </c>
      <c r="CB127" s="497"/>
      <c r="CC127" s="494">
        <v>424</v>
      </c>
      <c r="CD127" s="241">
        <f t="shared" si="11"/>
        <v>121</v>
      </c>
      <c r="CE127" s="2"/>
      <c r="CF127" s="2">
        <v>490.8</v>
      </c>
      <c r="CG127" s="2"/>
      <c r="CH127" s="2"/>
      <c r="CI127" s="2"/>
      <c r="CJ127" s="252"/>
      <c r="CK127" s="252"/>
      <c r="CL127" s="252">
        <v>546.33000000000004</v>
      </c>
      <c r="CM127" s="253"/>
      <c r="CO127" s="5">
        <v>0.08</v>
      </c>
      <c r="CU127" s="266">
        <f t="shared" si="12"/>
        <v>181</v>
      </c>
      <c r="CV127" s="267">
        <f t="shared" si="13"/>
        <v>362</v>
      </c>
      <c r="CW127" s="268">
        <f t="shared" si="14"/>
        <v>904.99</v>
      </c>
      <c r="CX127" s="418">
        <v>184</v>
      </c>
      <c r="CY127" s="252"/>
      <c r="CZ127" s="252"/>
      <c r="DA127" s="252"/>
      <c r="DB127" s="252"/>
      <c r="DC127" s="252"/>
      <c r="DD127" s="252"/>
      <c r="DE127" s="252"/>
      <c r="DF127" s="252">
        <f t="shared" si="20"/>
        <v>0</v>
      </c>
      <c r="DG127" s="252"/>
      <c r="DH127" s="252">
        <v>489.06</v>
      </c>
      <c r="DI127" s="252"/>
      <c r="DK127" s="252"/>
      <c r="DL127" s="252"/>
      <c r="DP127" s="6">
        <v>7.2499999999999995E-2</v>
      </c>
      <c r="DQ127" s="252">
        <v>39.42</v>
      </c>
      <c r="DR127" s="3">
        <v>546.33000000000004</v>
      </c>
      <c r="DT127" s="241">
        <f t="shared" si="15"/>
        <v>121</v>
      </c>
      <c r="DU127" s="2"/>
      <c r="DV127" s="252">
        <v>720</v>
      </c>
      <c r="DY127" s="252">
        <v>405.18</v>
      </c>
      <c r="DZ127" s="264">
        <v>3.9399999999999998E-2</v>
      </c>
      <c r="EA127" s="252">
        <v>0</v>
      </c>
      <c r="EB127" s="253">
        <v>0</v>
      </c>
    </row>
    <row r="128" spans="1:132">
      <c r="A128">
        <v>122</v>
      </c>
      <c r="B128" s="259">
        <v>2.2018</v>
      </c>
      <c r="C128">
        <v>122</v>
      </c>
      <c r="D128" s="168">
        <f t="shared" si="21"/>
        <v>1.0010140087073349E-3</v>
      </c>
      <c r="E128" s="246">
        <v>43132</v>
      </c>
      <c r="F128" s="186">
        <v>0.1</v>
      </c>
      <c r="G128" s="247">
        <v>213377.23</v>
      </c>
      <c r="H128" s="247">
        <v>534.27790000000005</v>
      </c>
      <c r="I128" s="248">
        <v>118.3</v>
      </c>
      <c r="J128" s="258">
        <f t="shared" si="16"/>
        <v>8.4602368866315558E-4</v>
      </c>
      <c r="K128" s="298"/>
      <c r="L128" s="252">
        <v>300</v>
      </c>
      <c r="M128" s="263"/>
      <c r="N128" s="263"/>
      <c r="O128" s="473">
        <v>328.76</v>
      </c>
      <c r="P128" s="474">
        <v>328.76</v>
      </c>
      <c r="Q128" s="474">
        <v>430.86</v>
      </c>
      <c r="R128" s="475">
        <v>0.09</v>
      </c>
      <c r="S128" s="533">
        <f t="shared" si="17"/>
        <v>122</v>
      </c>
      <c r="T128" s="460">
        <v>75.260000000000005</v>
      </c>
      <c r="U128" s="460">
        <v>10.56</v>
      </c>
      <c r="V128" s="460">
        <v>353.76</v>
      </c>
      <c r="W128" s="460"/>
      <c r="X128" s="254">
        <v>51.09</v>
      </c>
      <c r="Y128" s="461">
        <v>7.4999999999999997E-2</v>
      </c>
      <c r="Z128" s="460">
        <v>22.5</v>
      </c>
      <c r="AA128" s="460">
        <v>10.26</v>
      </c>
      <c r="AB128" s="460">
        <v>437.73</v>
      </c>
      <c r="AC128" s="462">
        <v>353.75</v>
      </c>
      <c r="AD128" s="463">
        <v>0.3</v>
      </c>
      <c r="AE128" s="460">
        <v>40.83</v>
      </c>
      <c r="AF128" s="460">
        <v>61.32</v>
      </c>
      <c r="AG128" s="460">
        <v>20.62</v>
      </c>
      <c r="AH128" s="460"/>
      <c r="AI128" s="460"/>
      <c r="AJ128" s="460"/>
      <c r="AK128" s="460"/>
      <c r="AL128" s="253"/>
      <c r="AM128" s="273">
        <v>0.1</v>
      </c>
      <c r="AN128" s="255">
        <v>0.08</v>
      </c>
      <c r="AO128" s="160">
        <v>0.1</v>
      </c>
      <c r="AP128" s="536">
        <v>480.1</v>
      </c>
      <c r="AQ128" s="536"/>
      <c r="AR128" s="505">
        <f t="shared" si="18"/>
        <v>122</v>
      </c>
      <c r="AS128" s="480">
        <v>257.37</v>
      </c>
      <c r="AT128" s="480">
        <v>191.57</v>
      </c>
      <c r="AU128" s="480"/>
      <c r="AV128" s="480"/>
      <c r="AW128" s="480"/>
      <c r="AX128" s="480"/>
      <c r="AY128" s="480">
        <v>303.18</v>
      </c>
      <c r="AZ128" s="499" t="s">
        <v>5323</v>
      </c>
      <c r="BA128" s="502">
        <v>23.57</v>
      </c>
      <c r="BB128" s="502"/>
      <c r="BC128" s="510">
        <v>237.16</v>
      </c>
      <c r="BD128" s="510">
        <v>1222.49</v>
      </c>
      <c r="BE128" s="504">
        <v>0.2</v>
      </c>
      <c r="BF128" s="503">
        <v>0.22</v>
      </c>
      <c r="BG128" s="502">
        <v>16.66</v>
      </c>
      <c r="BH128" s="502">
        <v>1414.05</v>
      </c>
      <c r="BI128" s="502">
        <v>19.170000000000002</v>
      </c>
      <c r="BJ128" s="502"/>
      <c r="BK128" s="502"/>
      <c r="BL128" s="510"/>
      <c r="BM128" s="511">
        <v>0.16200000000000001</v>
      </c>
      <c r="BN128" s="511"/>
      <c r="BO128" s="511" t="s">
        <v>5340</v>
      </c>
      <c r="BP128" s="252"/>
      <c r="BQ128" s="252"/>
      <c r="BR128" s="511">
        <v>0.22</v>
      </c>
      <c r="BS128" s="252"/>
      <c r="BT128" s="252"/>
      <c r="BU128" s="524">
        <f t="shared" si="19"/>
        <v>122</v>
      </c>
      <c r="BV128" s="489">
        <v>158.63</v>
      </c>
      <c r="BW128" s="304">
        <v>0.03</v>
      </c>
      <c r="BX128" s="254">
        <v>242.6</v>
      </c>
      <c r="BY128" s="304">
        <v>2.4400000000000002E-2</v>
      </c>
      <c r="BZ128" s="494">
        <v>19.170000000000002</v>
      </c>
      <c r="CA128" s="497">
        <v>0.3</v>
      </c>
      <c r="CB128" s="497"/>
      <c r="CC128" s="494">
        <v>424</v>
      </c>
      <c r="CD128" s="241">
        <f t="shared" si="11"/>
        <v>122</v>
      </c>
      <c r="CE128" s="2"/>
      <c r="CF128" s="2">
        <v>490.8</v>
      </c>
      <c r="CG128" s="2"/>
      <c r="CH128" s="2"/>
      <c r="CI128" s="2"/>
      <c r="CJ128" s="252"/>
      <c r="CK128" s="252"/>
      <c r="CL128" s="252">
        <v>546.33000000000004</v>
      </c>
      <c r="CM128" s="253"/>
      <c r="CO128" s="253">
        <v>0.08</v>
      </c>
      <c r="CU128" s="266">
        <f t="shared" si="12"/>
        <v>181</v>
      </c>
      <c r="CV128" s="267">
        <f t="shared" si="13"/>
        <v>362</v>
      </c>
      <c r="CW128" s="268">
        <f t="shared" si="14"/>
        <v>904.99</v>
      </c>
      <c r="CX128" s="418">
        <v>184</v>
      </c>
      <c r="CY128" s="252"/>
      <c r="CZ128" s="252"/>
      <c r="DA128" s="252"/>
      <c r="DB128" s="252"/>
      <c r="DC128" s="252"/>
      <c r="DD128" s="252"/>
      <c r="DE128" s="252"/>
      <c r="DF128" s="252">
        <f t="shared" si="20"/>
        <v>0</v>
      </c>
      <c r="DG128" s="252"/>
      <c r="DH128" s="252">
        <v>489.06</v>
      </c>
      <c r="DI128" s="252"/>
      <c r="DK128" s="252"/>
      <c r="DL128" s="252"/>
      <c r="DP128" s="6">
        <v>7.2499999999999995E-2</v>
      </c>
      <c r="DQ128" s="252">
        <v>39.42</v>
      </c>
      <c r="DR128" s="3">
        <v>546.33000000000004</v>
      </c>
      <c r="DT128" s="241">
        <f t="shared" si="15"/>
        <v>122</v>
      </c>
      <c r="DU128" s="2"/>
      <c r="DV128" s="252">
        <v>720</v>
      </c>
      <c r="DY128" s="252">
        <v>405.18</v>
      </c>
      <c r="DZ128" s="264">
        <v>3.9399999999999998E-2</v>
      </c>
      <c r="EA128" s="252">
        <v>0</v>
      </c>
      <c r="EB128" s="253">
        <v>0</v>
      </c>
    </row>
    <row r="129" spans="1:132">
      <c r="A129">
        <v>123</v>
      </c>
      <c r="B129" s="259">
        <v>3.2018</v>
      </c>
      <c r="C129">
        <v>123</v>
      </c>
      <c r="D129" s="168">
        <f t="shared" si="21"/>
        <v>2.9999920797545432E-3</v>
      </c>
      <c r="E129" s="246">
        <v>43160</v>
      </c>
      <c r="F129" s="186">
        <v>0.28999999999999998</v>
      </c>
      <c r="G129" s="247">
        <v>214017.36</v>
      </c>
      <c r="H129" s="247">
        <v>535.88070000000005</v>
      </c>
      <c r="I129" s="248">
        <v>118.7</v>
      </c>
      <c r="J129" s="258">
        <f t="shared" si="16"/>
        <v>3.3812341504648735E-3</v>
      </c>
      <c r="K129" s="298"/>
      <c r="L129" s="252">
        <v>300</v>
      </c>
      <c r="M129" s="263"/>
      <c r="N129" s="263"/>
      <c r="O129" s="473">
        <v>328.76</v>
      </c>
      <c r="P129" s="474">
        <v>328.76</v>
      </c>
      <c r="Q129" s="474">
        <v>430.86</v>
      </c>
      <c r="R129" s="475">
        <v>0.09</v>
      </c>
      <c r="S129" s="533">
        <f t="shared" si="17"/>
        <v>123</v>
      </c>
      <c r="T129" s="460">
        <v>75.260000000000005</v>
      </c>
      <c r="U129" s="460">
        <v>10.56</v>
      </c>
      <c r="V129" s="460">
        <v>353.76</v>
      </c>
      <c r="W129" s="460"/>
      <c r="X129" s="254">
        <v>51.09</v>
      </c>
      <c r="Y129" s="461">
        <v>7.4999999999999997E-2</v>
      </c>
      <c r="Z129" s="460">
        <v>22.5</v>
      </c>
      <c r="AA129" s="460">
        <v>10.26</v>
      </c>
      <c r="AB129" s="460">
        <v>437.73</v>
      </c>
      <c r="AC129" s="462">
        <v>353.75</v>
      </c>
      <c r="AD129" s="463">
        <v>0.3</v>
      </c>
      <c r="AE129" s="460">
        <v>40.83</v>
      </c>
      <c r="AF129" s="460">
        <v>61.32</v>
      </c>
      <c r="AG129" s="460">
        <v>20.62</v>
      </c>
      <c r="AH129" s="460"/>
      <c r="AI129" s="460"/>
      <c r="AJ129" s="460"/>
      <c r="AK129" s="460"/>
      <c r="AL129" s="253"/>
      <c r="AM129" s="273">
        <v>0.1</v>
      </c>
      <c r="AN129" s="255">
        <v>0.08</v>
      </c>
      <c r="AO129" s="160">
        <v>0.1</v>
      </c>
      <c r="AP129" s="536">
        <v>480.1</v>
      </c>
      <c r="AQ129" s="536"/>
      <c r="AR129" s="505">
        <f t="shared" si="18"/>
        <v>123</v>
      </c>
      <c r="AS129" s="480">
        <v>257.37</v>
      </c>
      <c r="AT129" s="480">
        <v>191.57</v>
      </c>
      <c r="AU129" s="480"/>
      <c r="AV129" s="480"/>
      <c r="AW129" s="480"/>
      <c r="AX129" s="480"/>
      <c r="AY129" s="480">
        <v>303.18</v>
      </c>
      <c r="AZ129" s="499" t="s">
        <v>5323</v>
      </c>
      <c r="BA129" s="502">
        <v>23.57</v>
      </c>
      <c r="BB129" s="501"/>
      <c r="BC129" s="510">
        <v>237.16</v>
      </c>
      <c r="BD129" s="510">
        <v>1222.49</v>
      </c>
      <c r="BE129" s="504">
        <v>0.2</v>
      </c>
      <c r="BF129" s="503">
        <v>0.22</v>
      </c>
      <c r="BG129" s="502">
        <v>16.66</v>
      </c>
      <c r="BH129" s="502">
        <v>1414.05</v>
      </c>
      <c r="BI129" s="502">
        <v>19.170000000000002</v>
      </c>
      <c r="BJ129" s="502"/>
      <c r="BK129" s="502"/>
      <c r="BL129" s="510"/>
      <c r="BM129" s="511">
        <v>0.16200000000000001</v>
      </c>
      <c r="BN129" s="511"/>
      <c r="BO129" s="511" t="s">
        <v>5340</v>
      </c>
      <c r="BP129" s="252"/>
      <c r="BQ129" s="252"/>
      <c r="BR129" s="511">
        <v>0.22</v>
      </c>
      <c r="BS129" s="252"/>
      <c r="BT129" s="252"/>
      <c r="BU129" s="524">
        <f t="shared" si="19"/>
        <v>123</v>
      </c>
      <c r="BV129" s="489">
        <v>158.63</v>
      </c>
      <c r="BW129" s="304">
        <v>0.03</v>
      </c>
      <c r="BX129" s="254">
        <v>242.6</v>
      </c>
      <c r="BY129" s="304">
        <v>2.4400000000000002E-2</v>
      </c>
      <c r="BZ129" s="494">
        <v>19.170000000000002</v>
      </c>
      <c r="CA129" s="497">
        <v>0.3</v>
      </c>
      <c r="CB129" s="497"/>
      <c r="CC129" s="494">
        <v>424</v>
      </c>
      <c r="CD129" s="241">
        <f t="shared" si="11"/>
        <v>123</v>
      </c>
      <c r="CE129" s="2"/>
      <c r="CF129" s="2">
        <v>490.8</v>
      </c>
      <c r="CG129" s="2"/>
      <c r="CH129" s="2"/>
      <c r="CI129" s="2"/>
      <c r="CJ129" s="252"/>
      <c r="CK129" s="252"/>
      <c r="CL129" s="252">
        <v>546.33000000000004</v>
      </c>
      <c r="CM129" s="253"/>
      <c r="CO129" s="5">
        <v>0.08</v>
      </c>
      <c r="CU129" s="266">
        <f t="shared" si="12"/>
        <v>181</v>
      </c>
      <c r="CV129" s="267">
        <f t="shared" si="13"/>
        <v>362</v>
      </c>
      <c r="CW129" s="268">
        <f t="shared" si="14"/>
        <v>904.99</v>
      </c>
      <c r="CX129" s="418">
        <v>184</v>
      </c>
      <c r="CY129" s="252"/>
      <c r="CZ129" s="252"/>
      <c r="DA129" s="252"/>
      <c r="DB129" s="252"/>
      <c r="DC129" s="252"/>
      <c r="DD129" s="252"/>
      <c r="DE129" s="252"/>
      <c r="DF129" s="252">
        <f t="shared" si="20"/>
        <v>0</v>
      </c>
      <c r="DG129" s="252"/>
      <c r="DH129" s="252">
        <v>489.06</v>
      </c>
      <c r="DI129" s="252"/>
      <c r="DK129" s="252"/>
      <c r="DL129" s="252"/>
      <c r="DP129" s="6">
        <v>7.2499999999999995E-2</v>
      </c>
      <c r="DQ129" s="252">
        <v>39.42</v>
      </c>
      <c r="DR129" s="3">
        <v>546.33000000000004</v>
      </c>
      <c r="DT129" s="241">
        <f t="shared" si="15"/>
        <v>123</v>
      </c>
      <c r="DU129" s="2"/>
      <c r="DV129" s="252">
        <v>720</v>
      </c>
      <c r="DY129" s="252">
        <v>405.18</v>
      </c>
      <c r="DZ129" s="264">
        <v>3.9399999999999998E-2</v>
      </c>
      <c r="EA129" s="252">
        <v>0</v>
      </c>
      <c r="EB129" s="253">
        <v>0</v>
      </c>
    </row>
    <row r="130" spans="1:132">
      <c r="A130">
        <v>124</v>
      </c>
      <c r="B130" s="259">
        <v>4.2018000000000004</v>
      </c>
      <c r="C130">
        <v>124</v>
      </c>
      <c r="D130" s="168">
        <f t="shared" si="21"/>
        <v>3.9880409701344988E-3</v>
      </c>
      <c r="E130" s="246">
        <v>43191</v>
      </c>
      <c r="F130" s="186">
        <v>0.39</v>
      </c>
      <c r="G130" s="247">
        <v>214870.87</v>
      </c>
      <c r="H130" s="247">
        <v>538.01779999999997</v>
      </c>
      <c r="I130" s="248">
        <v>119.2</v>
      </c>
      <c r="J130" s="258">
        <f t="shared" si="16"/>
        <v>4.2122999157538921E-3</v>
      </c>
      <c r="K130" s="298"/>
      <c r="L130" s="252">
        <v>300</v>
      </c>
      <c r="M130" s="263"/>
      <c r="N130" s="263"/>
      <c r="O130" s="473">
        <v>328.76</v>
      </c>
      <c r="P130" s="474">
        <v>328.76</v>
      </c>
      <c r="Q130" s="474">
        <v>430.86</v>
      </c>
      <c r="R130" s="475">
        <v>0.09</v>
      </c>
      <c r="S130" s="533">
        <f t="shared" si="17"/>
        <v>124</v>
      </c>
      <c r="T130" s="460">
        <v>75.260000000000005</v>
      </c>
      <c r="U130" s="460">
        <v>10.56</v>
      </c>
      <c r="V130" s="460">
        <v>353.76</v>
      </c>
      <c r="W130" s="460"/>
      <c r="X130" s="254">
        <v>51.09</v>
      </c>
      <c r="Y130" s="461">
        <v>7.4999999999999997E-2</v>
      </c>
      <c r="Z130" s="460">
        <v>22.5</v>
      </c>
      <c r="AA130" s="460">
        <v>10.26</v>
      </c>
      <c r="AB130" s="460">
        <v>437.73</v>
      </c>
      <c r="AC130" s="462">
        <v>353.75</v>
      </c>
      <c r="AD130" s="463">
        <v>0.3</v>
      </c>
      <c r="AE130" s="460">
        <v>40.83</v>
      </c>
      <c r="AF130" s="460">
        <v>61.32</v>
      </c>
      <c r="AG130" s="460">
        <v>20.62</v>
      </c>
      <c r="AH130" s="460"/>
      <c r="AI130" s="460"/>
      <c r="AJ130" s="460"/>
      <c r="AK130" s="460"/>
      <c r="AL130" s="253"/>
      <c r="AM130" s="273">
        <v>0.1</v>
      </c>
      <c r="AN130" s="255">
        <v>0.08</v>
      </c>
      <c r="AO130" s="160">
        <v>0.1</v>
      </c>
      <c r="AP130" s="536">
        <v>480.1</v>
      </c>
      <c r="AQ130" s="536"/>
      <c r="AR130" s="505">
        <f t="shared" si="18"/>
        <v>124</v>
      </c>
      <c r="AS130" s="480">
        <v>257.37</v>
      </c>
      <c r="AT130" s="480">
        <v>191.57</v>
      </c>
      <c r="AU130" s="480"/>
      <c r="AV130" s="480"/>
      <c r="AW130" s="480"/>
      <c r="AX130" s="480"/>
      <c r="AY130" s="480">
        <v>303.18</v>
      </c>
      <c r="AZ130" s="499" t="s">
        <v>5323</v>
      </c>
      <c r="BA130" s="502">
        <v>23.57</v>
      </c>
      <c r="BB130" s="502"/>
      <c r="BC130" s="510">
        <v>237.16</v>
      </c>
      <c r="BD130" s="510">
        <v>1222.49</v>
      </c>
      <c r="BE130" s="504">
        <v>0.2</v>
      </c>
      <c r="BF130" s="503">
        <v>0.22</v>
      </c>
      <c r="BG130" s="502">
        <v>16.66</v>
      </c>
      <c r="BH130" s="502">
        <v>1414.05</v>
      </c>
      <c r="BI130" s="502">
        <v>19.170000000000002</v>
      </c>
      <c r="BJ130" s="502"/>
      <c r="BK130" s="502"/>
      <c r="BL130" s="510"/>
      <c r="BM130" s="511">
        <v>0.16200000000000001</v>
      </c>
      <c r="BN130" s="511"/>
      <c r="BO130" s="511" t="s">
        <v>5340</v>
      </c>
      <c r="BP130" s="252"/>
      <c r="BQ130" s="252"/>
      <c r="BR130" s="511">
        <v>0.22</v>
      </c>
      <c r="BS130" s="252"/>
      <c r="BT130" s="252"/>
      <c r="BU130" s="524">
        <f t="shared" si="19"/>
        <v>124</v>
      </c>
      <c r="BV130" s="489">
        <v>158.63</v>
      </c>
      <c r="BW130" s="304">
        <v>0.03</v>
      </c>
      <c r="BX130" s="254">
        <v>242.6</v>
      </c>
      <c r="BY130" s="304">
        <v>2.4400000000000002E-2</v>
      </c>
      <c r="BZ130" s="494">
        <v>19.170000000000002</v>
      </c>
      <c r="CA130" s="497">
        <v>0.3</v>
      </c>
      <c r="CB130" s="497"/>
      <c r="CC130" s="494">
        <v>424</v>
      </c>
      <c r="CD130" s="241">
        <f t="shared" si="11"/>
        <v>124</v>
      </c>
      <c r="CE130" s="2"/>
      <c r="CF130" s="2">
        <v>490.8</v>
      </c>
      <c r="CG130" s="2"/>
      <c r="CH130" s="2"/>
      <c r="CI130" s="2"/>
      <c r="CJ130" s="252"/>
      <c r="CK130" s="252"/>
      <c r="CL130" s="252">
        <v>546.33000000000004</v>
      </c>
      <c r="CM130" s="253"/>
      <c r="CO130" s="253">
        <v>0.08</v>
      </c>
      <c r="CU130" s="266">
        <f t="shared" si="12"/>
        <v>181</v>
      </c>
      <c r="CV130" s="267">
        <f t="shared" si="13"/>
        <v>362</v>
      </c>
      <c r="CW130" s="268">
        <f t="shared" si="14"/>
        <v>904.99</v>
      </c>
      <c r="CX130" s="418">
        <v>184</v>
      </c>
      <c r="CY130" s="252"/>
      <c r="CZ130" s="252"/>
      <c r="DA130" s="252"/>
      <c r="DB130" s="252"/>
      <c r="DC130" s="252"/>
      <c r="DD130" s="252"/>
      <c r="DE130" s="252"/>
      <c r="DF130" s="252">
        <f t="shared" si="20"/>
        <v>0</v>
      </c>
      <c r="DG130" s="252"/>
      <c r="DH130" s="252">
        <v>489.06</v>
      </c>
      <c r="DI130" s="252"/>
      <c r="DK130" s="252"/>
      <c r="DL130" s="252"/>
      <c r="DP130" s="6">
        <v>7.2499999999999995E-2</v>
      </c>
      <c r="DQ130" s="252">
        <v>39.42</v>
      </c>
      <c r="DR130" s="3">
        <v>546.33000000000004</v>
      </c>
      <c r="DT130" s="241">
        <f t="shared" si="15"/>
        <v>124</v>
      </c>
      <c r="DU130" s="2"/>
      <c r="DV130" s="252">
        <v>720</v>
      </c>
      <c r="DY130" s="252">
        <v>405.18</v>
      </c>
      <c r="DZ130" s="264">
        <v>3.9399999999999998E-2</v>
      </c>
      <c r="EA130" s="252">
        <v>0</v>
      </c>
      <c r="EB130" s="253">
        <v>0</v>
      </c>
    </row>
    <row r="131" spans="1:132">
      <c r="A131">
        <v>125</v>
      </c>
      <c r="B131" s="259">
        <v>5.2018000000000004</v>
      </c>
      <c r="C131">
        <v>125</v>
      </c>
      <c r="D131" s="168">
        <f t="shared" si="21"/>
        <v>4.9652612287558462E-3</v>
      </c>
      <c r="E131" s="246">
        <v>43221</v>
      </c>
      <c r="F131" s="186">
        <v>0.49</v>
      </c>
      <c r="G131" s="247">
        <v>215937.76</v>
      </c>
      <c r="H131" s="247">
        <v>540.68920000000003</v>
      </c>
      <c r="I131" s="248">
        <v>119.8</v>
      </c>
      <c r="J131" s="258">
        <f t="shared" si="16"/>
        <v>5.0335570469797197E-3</v>
      </c>
      <c r="K131" s="298"/>
      <c r="L131" s="252">
        <v>300</v>
      </c>
      <c r="M131" s="263"/>
      <c r="N131" s="263"/>
      <c r="O131" s="473">
        <v>328.76</v>
      </c>
      <c r="P131" s="474">
        <v>328.76</v>
      </c>
      <c r="Q131" s="474">
        <v>430.86</v>
      </c>
      <c r="R131" s="475">
        <v>0.09</v>
      </c>
      <c r="S131" s="533">
        <f t="shared" si="17"/>
        <v>125</v>
      </c>
      <c r="T131" s="460">
        <v>75.260000000000005</v>
      </c>
      <c r="U131" s="460">
        <v>10.56</v>
      </c>
      <c r="V131" s="460">
        <v>353.76</v>
      </c>
      <c r="W131" s="460"/>
      <c r="X131" s="254">
        <v>51.09</v>
      </c>
      <c r="Y131" s="461">
        <v>7.4999999999999997E-2</v>
      </c>
      <c r="Z131" s="460">
        <v>22.5</v>
      </c>
      <c r="AA131" s="460">
        <v>10.26</v>
      </c>
      <c r="AB131" s="460">
        <v>437.73</v>
      </c>
      <c r="AC131" s="462">
        <v>353.75</v>
      </c>
      <c r="AD131" s="463">
        <v>0.3</v>
      </c>
      <c r="AE131" s="460">
        <v>40.83</v>
      </c>
      <c r="AF131" s="460">
        <v>61.32</v>
      </c>
      <c r="AG131" s="460">
        <v>20.62</v>
      </c>
      <c r="AH131" s="460"/>
      <c r="AI131" s="460"/>
      <c r="AJ131" s="460"/>
      <c r="AK131" s="460"/>
      <c r="AL131" s="253"/>
      <c r="AM131" s="273">
        <v>0.1</v>
      </c>
      <c r="AN131" s="255">
        <v>0.08</v>
      </c>
      <c r="AO131" s="160">
        <v>0.1</v>
      </c>
      <c r="AP131" s="536">
        <v>480.1</v>
      </c>
      <c r="AQ131" s="536"/>
      <c r="AR131" s="505">
        <f t="shared" si="18"/>
        <v>125</v>
      </c>
      <c r="AS131" s="480">
        <v>257.37</v>
      </c>
      <c r="AT131" s="480">
        <v>191.57</v>
      </c>
      <c r="AU131" s="480"/>
      <c r="AV131" s="480"/>
      <c r="AW131" s="480"/>
      <c r="AX131" s="480"/>
      <c r="AY131" s="480">
        <v>303.18</v>
      </c>
      <c r="AZ131" s="499" t="s">
        <v>5323</v>
      </c>
      <c r="BA131" s="502">
        <v>23.57</v>
      </c>
      <c r="BB131" s="501"/>
      <c r="BC131" s="510">
        <v>237.16</v>
      </c>
      <c r="BD131" s="510">
        <v>1222.49</v>
      </c>
      <c r="BE131" s="504">
        <v>0.2</v>
      </c>
      <c r="BF131" s="503">
        <v>0.22</v>
      </c>
      <c r="BG131" s="502">
        <v>16.66</v>
      </c>
      <c r="BH131" s="502">
        <v>1414.05</v>
      </c>
      <c r="BI131" s="502">
        <v>19.170000000000002</v>
      </c>
      <c r="BJ131" s="502"/>
      <c r="BK131" s="502"/>
      <c r="BL131" s="510"/>
      <c r="BM131" s="511">
        <v>0.16200000000000001</v>
      </c>
      <c r="BN131" s="511"/>
      <c r="BO131" s="511" t="s">
        <v>5340</v>
      </c>
      <c r="BP131" s="252"/>
      <c r="BQ131" s="252"/>
      <c r="BR131" s="511">
        <v>0.22</v>
      </c>
      <c r="BS131" s="252"/>
      <c r="BT131" s="252"/>
      <c r="BU131" s="524">
        <f t="shared" si="19"/>
        <v>125</v>
      </c>
      <c r="BV131" s="489">
        <v>158.63</v>
      </c>
      <c r="BW131" s="304">
        <v>0.03</v>
      </c>
      <c r="BX131" s="254">
        <v>242.6</v>
      </c>
      <c r="BY131" s="304">
        <v>2.4400000000000002E-2</v>
      </c>
      <c r="BZ131" s="494">
        <v>19.170000000000002</v>
      </c>
      <c r="CA131" s="497">
        <v>0.3</v>
      </c>
      <c r="CB131" s="497"/>
      <c r="CC131" s="494">
        <v>424</v>
      </c>
      <c r="CD131" s="241">
        <f t="shared" si="11"/>
        <v>125</v>
      </c>
      <c r="CE131" s="2"/>
      <c r="CF131" s="2">
        <v>490.8</v>
      </c>
      <c r="CG131" s="2"/>
      <c r="CH131" s="2"/>
      <c r="CI131" s="2"/>
      <c r="CJ131" s="252"/>
      <c r="CK131" s="252"/>
      <c r="CL131" s="252">
        <v>546.33000000000004</v>
      </c>
      <c r="CM131" s="253"/>
      <c r="CO131" s="5">
        <v>0.08</v>
      </c>
      <c r="CU131" s="266">
        <f t="shared" si="12"/>
        <v>181</v>
      </c>
      <c r="CV131" s="267">
        <f t="shared" si="13"/>
        <v>362</v>
      </c>
      <c r="CW131" s="268">
        <f t="shared" si="14"/>
        <v>904.99</v>
      </c>
      <c r="CX131" s="418">
        <v>184</v>
      </c>
      <c r="CY131" s="252"/>
      <c r="CZ131" s="252"/>
      <c r="DA131" s="252"/>
      <c r="DB131" s="252"/>
      <c r="DC131" s="252"/>
      <c r="DD131" s="252"/>
      <c r="DE131" s="252"/>
      <c r="DF131" s="252">
        <f t="shared" si="20"/>
        <v>0</v>
      </c>
      <c r="DG131" s="252"/>
      <c r="DH131" s="252">
        <v>489.06</v>
      </c>
      <c r="DI131" s="252"/>
      <c r="DK131" s="252"/>
      <c r="DL131" s="252"/>
      <c r="DP131" s="6">
        <v>7.2499999999999995E-2</v>
      </c>
      <c r="DQ131" s="252">
        <v>39.42</v>
      </c>
      <c r="DR131" s="3">
        <v>546.33000000000004</v>
      </c>
      <c r="DT131" s="241">
        <f t="shared" si="15"/>
        <v>125</v>
      </c>
      <c r="DU131" s="2"/>
      <c r="DV131" s="252">
        <v>720</v>
      </c>
      <c r="DY131" s="252">
        <v>405.18</v>
      </c>
      <c r="DZ131" s="264">
        <v>3.9399999999999998E-2</v>
      </c>
      <c r="EA131" s="252">
        <v>0</v>
      </c>
      <c r="EB131" s="253">
        <v>0</v>
      </c>
    </row>
    <row r="132" spans="1:132">
      <c r="A132">
        <v>126</v>
      </c>
      <c r="B132" s="259">
        <v>6.2018000000000004</v>
      </c>
      <c r="C132">
        <v>126</v>
      </c>
      <c r="D132" s="168">
        <f t="shared" si="21"/>
        <v>9.8810879579369626E-4</v>
      </c>
      <c r="E132" s="246">
        <v>43252</v>
      </c>
      <c r="F132" s="186">
        <v>0.09</v>
      </c>
      <c r="G132" s="247">
        <v>216151.13</v>
      </c>
      <c r="H132" s="247">
        <v>541.22349999999994</v>
      </c>
      <c r="I132" s="248">
        <v>119.9</v>
      </c>
      <c r="J132" s="258">
        <f t="shared" si="16"/>
        <v>8.3472454090149917E-4</v>
      </c>
      <c r="K132" s="298"/>
      <c r="L132" s="252">
        <v>300</v>
      </c>
      <c r="M132" s="263"/>
      <c r="N132" s="263"/>
      <c r="O132" s="473">
        <v>328.76</v>
      </c>
      <c r="P132" s="474">
        <v>328.76</v>
      </c>
      <c r="Q132" s="474">
        <v>430.86</v>
      </c>
      <c r="R132" s="475">
        <v>0.09</v>
      </c>
      <c r="S132" s="533">
        <f t="shared" si="17"/>
        <v>126</v>
      </c>
      <c r="T132" s="460">
        <v>75.260000000000005</v>
      </c>
      <c r="U132" s="460">
        <v>10.56</v>
      </c>
      <c r="V132" s="460">
        <v>353.76</v>
      </c>
      <c r="W132" s="460"/>
      <c r="X132" s="254">
        <v>51.09</v>
      </c>
      <c r="Y132" s="461">
        <v>7.4999999999999997E-2</v>
      </c>
      <c r="Z132" s="460">
        <v>22.5</v>
      </c>
      <c r="AA132" s="460">
        <v>10.26</v>
      </c>
      <c r="AB132" s="460">
        <v>437.73</v>
      </c>
      <c r="AC132" s="462">
        <v>353.75</v>
      </c>
      <c r="AD132" s="463">
        <v>0.3</v>
      </c>
      <c r="AE132" s="460">
        <v>40.83</v>
      </c>
      <c r="AF132" s="460">
        <v>61.32</v>
      </c>
      <c r="AG132" s="460">
        <v>20.62</v>
      </c>
      <c r="AH132" s="460"/>
      <c r="AI132" s="460"/>
      <c r="AJ132" s="460"/>
      <c r="AK132" s="460"/>
      <c r="AL132" s="253"/>
      <c r="AM132" s="273">
        <v>0.1</v>
      </c>
      <c r="AN132" s="255">
        <v>0.08</v>
      </c>
      <c r="AO132" s="160">
        <v>0.1</v>
      </c>
      <c r="AP132" s="536">
        <v>480.1</v>
      </c>
      <c r="AQ132" s="536"/>
      <c r="AR132" s="505">
        <f t="shared" si="18"/>
        <v>126</v>
      </c>
      <c r="AS132" s="480">
        <v>257.37</v>
      </c>
      <c r="AT132" s="480">
        <v>191.57</v>
      </c>
      <c r="AU132" s="480"/>
      <c r="AV132" s="480"/>
      <c r="AW132" s="480"/>
      <c r="AX132" s="480"/>
      <c r="AY132" s="480">
        <v>303.18</v>
      </c>
      <c r="AZ132" s="499" t="s">
        <v>5323</v>
      </c>
      <c r="BA132" s="502">
        <v>23.57</v>
      </c>
      <c r="BB132" s="502"/>
      <c r="BC132" s="510">
        <v>237.16</v>
      </c>
      <c r="BD132" s="510">
        <v>1222.49</v>
      </c>
      <c r="BE132" s="504">
        <v>0.2</v>
      </c>
      <c r="BF132" s="503">
        <v>0.22</v>
      </c>
      <c r="BG132" s="502">
        <v>16.66</v>
      </c>
      <c r="BH132" s="502">
        <v>1414.05</v>
      </c>
      <c r="BI132" s="502">
        <v>19.170000000000002</v>
      </c>
      <c r="BJ132" s="502"/>
      <c r="BK132" s="502"/>
      <c r="BL132" s="510"/>
      <c r="BM132" s="511">
        <v>0.16200000000000001</v>
      </c>
      <c r="BN132" s="511"/>
      <c r="BO132" s="511" t="s">
        <v>5340</v>
      </c>
      <c r="BP132" s="252"/>
      <c r="BQ132" s="252"/>
      <c r="BR132" s="511">
        <v>0.22</v>
      </c>
      <c r="BS132" s="252"/>
      <c r="BT132" s="252"/>
      <c r="BU132" s="524">
        <f t="shared" si="19"/>
        <v>126</v>
      </c>
      <c r="BV132" s="489">
        <v>158.63</v>
      </c>
      <c r="BW132" s="304">
        <v>0.03</v>
      </c>
      <c r="BX132" s="254">
        <v>242.6</v>
      </c>
      <c r="BY132" s="304">
        <v>2.4400000000000002E-2</v>
      </c>
      <c r="BZ132" s="494">
        <v>19.170000000000002</v>
      </c>
      <c r="CA132" s="497">
        <v>0.3</v>
      </c>
      <c r="CB132" s="497"/>
      <c r="CC132" s="494">
        <v>424</v>
      </c>
      <c r="CD132" s="241">
        <f t="shared" si="11"/>
        <v>126</v>
      </c>
      <c r="CE132" s="2"/>
      <c r="CF132" s="2">
        <v>490.8</v>
      </c>
      <c r="CG132" s="2"/>
      <c r="CH132" s="2"/>
      <c r="CI132" s="2"/>
      <c r="CJ132" s="252"/>
      <c r="CK132" s="252"/>
      <c r="CL132" s="252">
        <v>546.33000000000004</v>
      </c>
      <c r="CM132" s="253"/>
      <c r="CO132" s="253">
        <v>0.08</v>
      </c>
      <c r="CU132" s="266">
        <f t="shared" si="12"/>
        <v>181</v>
      </c>
      <c r="CV132" s="267">
        <f t="shared" si="13"/>
        <v>362</v>
      </c>
      <c r="CW132" s="268">
        <f t="shared" si="14"/>
        <v>904.99</v>
      </c>
      <c r="CX132" s="418">
        <v>184</v>
      </c>
      <c r="CY132" s="252"/>
      <c r="CZ132" s="252"/>
      <c r="DA132" s="252"/>
      <c r="DB132" s="252"/>
      <c r="DC132" s="252"/>
      <c r="DD132" s="252"/>
      <c r="DE132" s="252"/>
      <c r="DF132" s="252">
        <f t="shared" si="20"/>
        <v>0</v>
      </c>
      <c r="DG132" s="252"/>
      <c r="DH132" s="252">
        <v>489.06</v>
      </c>
      <c r="DI132" s="252"/>
      <c r="DK132" s="252"/>
      <c r="DL132" s="252"/>
      <c r="DP132" s="6">
        <v>7.2499999999999995E-2</v>
      </c>
      <c r="DQ132" s="252">
        <v>39.42</v>
      </c>
      <c r="DR132" s="3">
        <v>546.33000000000004</v>
      </c>
      <c r="DT132" s="241">
        <f t="shared" si="15"/>
        <v>126</v>
      </c>
      <c r="DU132" s="2"/>
      <c r="DV132" s="252">
        <v>720</v>
      </c>
      <c r="DY132" s="252">
        <v>405.18</v>
      </c>
      <c r="DZ132" s="264">
        <v>3.9399999999999998E-2</v>
      </c>
      <c r="EA132" s="252">
        <v>0</v>
      </c>
      <c r="EB132" s="253">
        <v>0</v>
      </c>
    </row>
    <row r="133" spans="1:132">
      <c r="A133">
        <v>127</v>
      </c>
      <c r="B133" s="259">
        <v>7.2018000000000004</v>
      </c>
      <c r="C133">
        <v>127</v>
      </c>
      <c r="D133" s="168">
        <f t="shared" si="21"/>
        <v>0</v>
      </c>
      <c r="E133" s="246">
        <v>43282</v>
      </c>
      <c r="F133" s="186">
        <v>0</v>
      </c>
      <c r="G133" s="247">
        <v>216151.13</v>
      </c>
      <c r="H133" s="247">
        <v>541.22349999999994</v>
      </c>
      <c r="I133" s="248">
        <v>119.9</v>
      </c>
      <c r="J133" s="258">
        <f t="shared" si="16"/>
        <v>0</v>
      </c>
      <c r="K133" s="298"/>
      <c r="L133" s="252">
        <v>300</v>
      </c>
      <c r="M133" s="263"/>
      <c r="N133" s="263"/>
      <c r="O133" s="473">
        <v>328.76</v>
      </c>
      <c r="P133" s="474">
        <v>328.76</v>
      </c>
      <c r="Q133" s="474">
        <v>430.86</v>
      </c>
      <c r="R133" s="475">
        <v>0.09</v>
      </c>
      <c r="S133" s="533">
        <f t="shared" si="17"/>
        <v>127</v>
      </c>
      <c r="T133" s="460">
        <v>75.260000000000005</v>
      </c>
      <c r="U133" s="460">
        <v>10.56</v>
      </c>
      <c r="V133" s="460">
        <v>353.76</v>
      </c>
      <c r="W133" s="460"/>
      <c r="X133" s="254">
        <v>51.09</v>
      </c>
      <c r="Y133" s="461">
        <v>7.4999999999999997E-2</v>
      </c>
      <c r="Z133" s="460">
        <v>22.5</v>
      </c>
      <c r="AA133" s="460">
        <v>10.26</v>
      </c>
      <c r="AB133" s="460">
        <v>437.73</v>
      </c>
      <c r="AC133" s="462">
        <v>353.75</v>
      </c>
      <c r="AD133" s="463">
        <v>0.3</v>
      </c>
      <c r="AE133" s="460">
        <v>40.83</v>
      </c>
      <c r="AF133" s="460">
        <v>61.32</v>
      </c>
      <c r="AG133" s="460">
        <v>20.62</v>
      </c>
      <c r="AH133" s="460"/>
      <c r="AI133" s="460"/>
      <c r="AJ133" s="460"/>
      <c r="AK133" s="460"/>
      <c r="AL133" s="253"/>
      <c r="AM133" s="273">
        <v>0.1</v>
      </c>
      <c r="AN133" s="255">
        <v>0.08</v>
      </c>
      <c r="AO133" s="160">
        <v>0.1</v>
      </c>
      <c r="AP133" s="536">
        <v>480.1</v>
      </c>
      <c r="AQ133" s="536"/>
      <c r="AR133" s="505">
        <f t="shared" si="18"/>
        <v>127</v>
      </c>
      <c r="AS133" s="480">
        <v>257.37</v>
      </c>
      <c r="AT133" s="480">
        <v>191.57</v>
      </c>
      <c r="AU133" s="480"/>
      <c r="AV133" s="480"/>
      <c r="AW133" s="480"/>
      <c r="AX133" s="480"/>
      <c r="AY133" s="480">
        <v>303.18</v>
      </c>
      <c r="AZ133" s="499" t="s">
        <v>5323</v>
      </c>
      <c r="BA133" s="502">
        <v>23.57</v>
      </c>
      <c r="BB133" s="501"/>
      <c r="BC133" s="510">
        <v>237.16</v>
      </c>
      <c r="BD133" s="510">
        <v>1222.49</v>
      </c>
      <c r="BE133" s="504">
        <v>0.2</v>
      </c>
      <c r="BF133" s="503">
        <v>0.22</v>
      </c>
      <c r="BG133" s="502">
        <v>16.66</v>
      </c>
      <c r="BH133" s="502">
        <v>1414.05</v>
      </c>
      <c r="BI133" s="502">
        <v>19.170000000000002</v>
      </c>
      <c r="BJ133" s="502"/>
      <c r="BK133" s="502"/>
      <c r="BL133" s="510"/>
      <c r="BM133" s="511">
        <v>0.16200000000000001</v>
      </c>
      <c r="BN133" s="511"/>
      <c r="BO133" s="511" t="s">
        <v>5340</v>
      </c>
      <c r="BP133" s="252"/>
      <c r="BQ133" s="252"/>
      <c r="BR133" s="511">
        <v>0.22</v>
      </c>
      <c r="BS133" s="252"/>
      <c r="BT133" s="252"/>
      <c r="BU133" s="524">
        <f t="shared" si="19"/>
        <v>127</v>
      </c>
      <c r="BV133" s="489">
        <v>158.63</v>
      </c>
      <c r="BW133" s="304">
        <v>0.03</v>
      </c>
      <c r="BX133" s="254">
        <v>242.6</v>
      </c>
      <c r="BY133" s="304">
        <v>2.4400000000000002E-2</v>
      </c>
      <c r="BZ133" s="494">
        <v>19.170000000000002</v>
      </c>
      <c r="CA133" s="497">
        <v>0.3</v>
      </c>
      <c r="CB133" s="497"/>
      <c r="CC133" s="494">
        <v>424</v>
      </c>
      <c r="CD133" s="241">
        <f t="shared" si="11"/>
        <v>127</v>
      </c>
      <c r="CE133" s="2"/>
      <c r="CF133" s="2">
        <v>490.8</v>
      </c>
      <c r="CG133" s="2"/>
      <c r="CH133" s="2"/>
      <c r="CI133" s="2"/>
      <c r="CJ133" s="252"/>
      <c r="CK133" s="252"/>
      <c r="CL133" s="252">
        <v>546.33000000000004</v>
      </c>
      <c r="CM133" s="253"/>
      <c r="CO133" s="5">
        <v>0.08</v>
      </c>
      <c r="CU133" s="266">
        <f t="shared" si="12"/>
        <v>181</v>
      </c>
      <c r="CV133" s="267">
        <f t="shared" si="13"/>
        <v>362</v>
      </c>
      <c r="CW133" s="268">
        <f t="shared" si="14"/>
        <v>904.99</v>
      </c>
      <c r="CX133" s="418">
        <v>184</v>
      </c>
      <c r="CY133" s="252"/>
      <c r="CZ133" s="252"/>
      <c r="DA133" s="252"/>
      <c r="DB133" s="252"/>
      <c r="DC133" s="252"/>
      <c r="DD133" s="252"/>
      <c r="DE133" s="252"/>
      <c r="DF133" s="252">
        <f t="shared" si="20"/>
        <v>0</v>
      </c>
      <c r="DG133" s="252"/>
      <c r="DH133" s="252">
        <v>489.06</v>
      </c>
      <c r="DI133" s="252"/>
      <c r="DK133" s="252"/>
      <c r="DL133" s="252"/>
      <c r="DP133" s="6">
        <v>7.2499999999999995E-2</v>
      </c>
      <c r="DQ133" s="252">
        <v>39.42</v>
      </c>
      <c r="DR133" s="3">
        <v>546.33000000000004</v>
      </c>
      <c r="DT133" s="241">
        <f t="shared" si="15"/>
        <v>127</v>
      </c>
      <c r="DU133" s="2"/>
      <c r="DV133" s="252">
        <v>720</v>
      </c>
      <c r="DY133" s="252">
        <v>405.18</v>
      </c>
      <c r="DZ133" s="264">
        <v>3.9399999999999998E-2</v>
      </c>
      <c r="EA133" s="252">
        <v>0</v>
      </c>
      <c r="EB133" s="253">
        <v>0</v>
      </c>
    </row>
    <row r="134" spans="1:132">
      <c r="A134">
        <v>128</v>
      </c>
      <c r="B134" s="259">
        <v>8.2018000000000004</v>
      </c>
      <c r="C134">
        <v>128</v>
      </c>
      <c r="D134" s="168">
        <f t="shared" si="21"/>
        <v>9.8717966452466221E-4</v>
      </c>
      <c r="E134" s="246">
        <v>43313</v>
      </c>
      <c r="F134" s="186">
        <v>0.09</v>
      </c>
      <c r="G134" s="247">
        <v>216364.51</v>
      </c>
      <c r="H134" s="247">
        <v>541.75779999999997</v>
      </c>
      <c r="I134" s="248">
        <v>120</v>
      </c>
      <c r="J134" s="258">
        <f t="shared" si="16"/>
        <v>8.3402835696411159E-4</v>
      </c>
      <c r="K134" s="298"/>
      <c r="L134" s="252">
        <v>300</v>
      </c>
      <c r="M134" s="263"/>
      <c r="N134" s="263"/>
      <c r="O134" s="473">
        <v>328.76</v>
      </c>
      <c r="P134" s="474">
        <v>328.76</v>
      </c>
      <c r="Q134" s="474">
        <v>430.86</v>
      </c>
      <c r="R134" s="475">
        <v>0.09</v>
      </c>
      <c r="S134" s="533">
        <f t="shared" si="17"/>
        <v>128</v>
      </c>
      <c r="T134" s="460">
        <v>75.260000000000005</v>
      </c>
      <c r="U134" s="460">
        <v>10.56</v>
      </c>
      <c r="V134" s="460">
        <v>353.76</v>
      </c>
      <c r="W134" s="460"/>
      <c r="X134" s="254">
        <v>51.09</v>
      </c>
      <c r="Y134" s="461">
        <v>7.4999999999999997E-2</v>
      </c>
      <c r="Z134" s="460">
        <v>22.5</v>
      </c>
      <c r="AA134" s="460">
        <v>10.26</v>
      </c>
      <c r="AB134" s="460">
        <v>437.73</v>
      </c>
      <c r="AC134" s="462">
        <v>353.75</v>
      </c>
      <c r="AD134" s="463">
        <v>0.3</v>
      </c>
      <c r="AE134" s="460">
        <v>40.83</v>
      </c>
      <c r="AF134" s="460">
        <v>61.32</v>
      </c>
      <c r="AG134" s="460">
        <v>20.62</v>
      </c>
      <c r="AH134" s="460"/>
      <c r="AI134" s="460"/>
      <c r="AJ134" s="460"/>
      <c r="AK134" s="460"/>
      <c r="AL134" s="253"/>
      <c r="AM134" s="273">
        <v>0.1</v>
      </c>
      <c r="AN134" s="255">
        <v>0.08</v>
      </c>
      <c r="AO134" s="160">
        <v>0.1</v>
      </c>
      <c r="AP134" s="536">
        <v>480.1</v>
      </c>
      <c r="AQ134" s="536"/>
      <c r="AR134" s="505">
        <f t="shared" si="18"/>
        <v>128</v>
      </c>
      <c r="AS134" s="480">
        <v>257.37</v>
      </c>
      <c r="AT134" s="480">
        <v>191.57</v>
      </c>
      <c r="AU134" s="480"/>
      <c r="AV134" s="480"/>
      <c r="AW134" s="480"/>
      <c r="AX134" s="480"/>
      <c r="AY134" s="480">
        <v>303.18</v>
      </c>
      <c r="AZ134" s="499" t="s">
        <v>5323</v>
      </c>
      <c r="BA134" s="502">
        <v>23.57</v>
      </c>
      <c r="BB134" s="502"/>
      <c r="BC134" s="510">
        <v>237.16</v>
      </c>
      <c r="BD134" s="510">
        <v>1222.49</v>
      </c>
      <c r="BE134" s="504">
        <v>0.2</v>
      </c>
      <c r="BF134" s="503">
        <v>0.22</v>
      </c>
      <c r="BG134" s="502">
        <v>16.66</v>
      </c>
      <c r="BH134" s="502">
        <v>1414.05</v>
      </c>
      <c r="BI134" s="502">
        <v>19.170000000000002</v>
      </c>
      <c r="BJ134" s="502"/>
      <c r="BK134" s="502"/>
      <c r="BL134" s="510"/>
      <c r="BM134" s="511">
        <v>0.16200000000000001</v>
      </c>
      <c r="BN134" s="511"/>
      <c r="BO134" s="511" t="s">
        <v>5340</v>
      </c>
      <c r="BP134" s="252"/>
      <c r="BQ134" s="252"/>
      <c r="BR134" s="511">
        <v>0.22</v>
      </c>
      <c r="BS134" s="252"/>
      <c r="BT134" s="252"/>
      <c r="BU134" s="524">
        <f t="shared" si="19"/>
        <v>128</v>
      </c>
      <c r="BV134" s="489">
        <v>158.63</v>
      </c>
      <c r="BW134" s="304">
        <v>0.03</v>
      </c>
      <c r="BX134" s="254">
        <v>242.6</v>
      </c>
      <c r="BY134" s="304">
        <v>2.4400000000000002E-2</v>
      </c>
      <c r="BZ134" s="494">
        <v>19.170000000000002</v>
      </c>
      <c r="CA134" s="497">
        <v>0.3</v>
      </c>
      <c r="CB134" s="497"/>
      <c r="CC134" s="494">
        <v>424</v>
      </c>
      <c r="CD134" s="241">
        <f t="shared" ref="CD134:CD197" si="22">+C134</f>
        <v>128</v>
      </c>
      <c r="CE134" s="2"/>
      <c r="CF134" s="2">
        <v>490.8</v>
      </c>
      <c r="CG134" s="2"/>
      <c r="CH134" s="2"/>
      <c r="CI134" s="2"/>
      <c r="CJ134" s="252"/>
      <c r="CK134" s="252"/>
      <c r="CL134" s="252">
        <v>546.33000000000004</v>
      </c>
      <c r="CM134" s="253"/>
      <c r="CO134" s="253">
        <v>0.08</v>
      </c>
      <c r="CU134" s="266">
        <f t="shared" ref="CU134:CU197" si="23">+$CU$3</f>
        <v>181</v>
      </c>
      <c r="CV134" s="267">
        <f t="shared" ref="CV134:CV197" si="24">+$CV$3</f>
        <v>362</v>
      </c>
      <c r="CW134" s="268">
        <f t="shared" ref="CW134:CW197" si="25">+$CW$3</f>
        <v>904.99</v>
      </c>
      <c r="CX134" s="418">
        <v>184</v>
      </c>
      <c r="CY134" s="252"/>
      <c r="CZ134" s="252"/>
      <c r="DA134" s="252"/>
      <c r="DB134" s="252"/>
      <c r="DC134" s="252"/>
      <c r="DD134" s="252"/>
      <c r="DE134" s="252"/>
      <c r="DF134" s="252">
        <f t="shared" si="20"/>
        <v>0</v>
      </c>
      <c r="DG134" s="252"/>
      <c r="DH134" s="252">
        <v>489.06</v>
      </c>
      <c r="DI134" s="252"/>
      <c r="DK134" s="252"/>
      <c r="DL134" s="252"/>
      <c r="DP134" s="6">
        <v>7.2499999999999995E-2</v>
      </c>
      <c r="DQ134" s="252">
        <v>39.42</v>
      </c>
      <c r="DR134" s="3">
        <v>546.33000000000004</v>
      </c>
      <c r="DT134" s="241">
        <f t="shared" ref="DT134:DT197" si="26">+C134</f>
        <v>128</v>
      </c>
      <c r="DU134" s="2"/>
      <c r="DV134" s="252">
        <v>720</v>
      </c>
      <c r="DY134" s="252">
        <v>405.18</v>
      </c>
      <c r="DZ134" s="264">
        <v>3.9399999999999998E-2</v>
      </c>
      <c r="EA134" s="252">
        <v>0</v>
      </c>
      <c r="EB134" s="253">
        <v>0</v>
      </c>
    </row>
    <row r="135" spans="1:132">
      <c r="A135">
        <v>129</v>
      </c>
      <c r="B135" s="259">
        <v>9.2018000000000004</v>
      </c>
      <c r="C135">
        <v>129</v>
      </c>
      <c r="D135" s="168">
        <f t="shared" si="21"/>
        <v>9.8620610191568758E-4</v>
      </c>
      <c r="E135" s="246">
        <v>43344</v>
      </c>
      <c r="F135" s="186">
        <v>0.09</v>
      </c>
      <c r="G135" s="247">
        <v>216577.89</v>
      </c>
      <c r="H135" s="247">
        <v>542.2921</v>
      </c>
      <c r="I135" s="248">
        <v>120.1</v>
      </c>
      <c r="J135" s="258">
        <f t="shared" ref="J135:J198" si="27">+I135/I134-1</f>
        <v>8.3333333333324155E-4</v>
      </c>
      <c r="K135" s="298"/>
      <c r="L135" s="252">
        <v>300</v>
      </c>
      <c r="M135" s="263"/>
      <c r="N135" s="263"/>
      <c r="O135" s="473">
        <v>328.76</v>
      </c>
      <c r="P135" s="474">
        <v>328.76</v>
      </c>
      <c r="Q135" s="474">
        <v>430.86</v>
      </c>
      <c r="R135" s="475">
        <v>0.09</v>
      </c>
      <c r="S135" s="533">
        <f t="shared" si="17"/>
        <v>129</v>
      </c>
      <c r="T135" s="460">
        <v>75.260000000000005</v>
      </c>
      <c r="U135" s="460">
        <v>10.56</v>
      </c>
      <c r="V135" s="460">
        <v>353.76</v>
      </c>
      <c r="W135" s="460"/>
      <c r="X135" s="254">
        <v>51.09</v>
      </c>
      <c r="Y135" s="461">
        <v>7.4999999999999997E-2</v>
      </c>
      <c r="Z135" s="460">
        <v>22.5</v>
      </c>
      <c r="AA135" s="460">
        <v>10.26</v>
      </c>
      <c r="AB135" s="460">
        <v>437.73</v>
      </c>
      <c r="AC135" s="462">
        <v>353.75</v>
      </c>
      <c r="AD135" s="463">
        <v>0.3</v>
      </c>
      <c r="AE135" s="460">
        <v>40.83</v>
      </c>
      <c r="AF135" s="460">
        <v>61.32</v>
      </c>
      <c r="AG135" s="460">
        <v>20.62</v>
      </c>
      <c r="AH135" s="460"/>
      <c r="AI135" s="460"/>
      <c r="AJ135" s="460"/>
      <c r="AK135" s="460"/>
      <c r="AL135" s="253"/>
      <c r="AM135" s="273">
        <v>0.1</v>
      </c>
      <c r="AN135" s="255">
        <v>0.08</v>
      </c>
      <c r="AO135" s="160">
        <v>0.1</v>
      </c>
      <c r="AP135" s="536">
        <v>480.1</v>
      </c>
      <c r="AQ135" s="536"/>
      <c r="AR135" s="505">
        <f t="shared" si="18"/>
        <v>129</v>
      </c>
      <c r="AS135" s="480">
        <v>257.37</v>
      </c>
      <c r="AT135" s="480">
        <v>191.57</v>
      </c>
      <c r="AU135" s="480"/>
      <c r="AV135" s="480"/>
      <c r="AW135" s="480"/>
      <c r="AX135" s="480"/>
      <c r="AY135" s="480">
        <v>303.18</v>
      </c>
      <c r="AZ135" s="499" t="s">
        <v>5323</v>
      </c>
      <c r="BA135" s="502">
        <v>23.57</v>
      </c>
      <c r="BB135" s="501"/>
      <c r="BC135" s="510">
        <v>237.16</v>
      </c>
      <c r="BD135" s="510">
        <v>1222.49</v>
      </c>
      <c r="BE135" s="504">
        <v>0.2</v>
      </c>
      <c r="BF135" s="503">
        <v>0.22</v>
      </c>
      <c r="BG135" s="502">
        <v>16.66</v>
      </c>
      <c r="BH135" s="502">
        <v>1414.05</v>
      </c>
      <c r="BI135" s="502">
        <v>19.170000000000002</v>
      </c>
      <c r="BJ135" s="502"/>
      <c r="BK135" s="502"/>
      <c r="BL135" s="510"/>
      <c r="BM135" s="511">
        <v>0.16200000000000001</v>
      </c>
      <c r="BN135" s="511"/>
      <c r="BO135" s="511" t="s">
        <v>5340</v>
      </c>
      <c r="BP135" s="252"/>
      <c r="BQ135" s="252"/>
      <c r="BR135" s="511">
        <v>0.22</v>
      </c>
      <c r="BS135" s="252"/>
      <c r="BT135" s="252"/>
      <c r="BU135" s="524">
        <f t="shared" si="19"/>
        <v>129</v>
      </c>
      <c r="BV135" s="489">
        <v>158.63</v>
      </c>
      <c r="BW135" s="304">
        <v>0.03</v>
      </c>
      <c r="BX135" s="254">
        <v>242.6</v>
      </c>
      <c r="BY135" s="304">
        <v>2.4400000000000002E-2</v>
      </c>
      <c r="BZ135" s="494">
        <v>19.170000000000002</v>
      </c>
      <c r="CA135" s="497">
        <v>0.3</v>
      </c>
      <c r="CB135" s="497"/>
      <c r="CC135" s="494">
        <v>424</v>
      </c>
      <c r="CD135" s="241">
        <f t="shared" si="22"/>
        <v>129</v>
      </c>
      <c r="CE135" s="2"/>
      <c r="CF135" s="2">
        <v>490.8</v>
      </c>
      <c r="CG135" s="2"/>
      <c r="CH135" s="2"/>
      <c r="CI135" s="2"/>
      <c r="CJ135" s="252"/>
      <c r="CK135" s="252"/>
      <c r="CL135" s="252">
        <v>546.33000000000004</v>
      </c>
      <c r="CM135" s="253"/>
      <c r="CO135" s="5">
        <v>0.08</v>
      </c>
      <c r="CU135" s="266">
        <f t="shared" si="23"/>
        <v>181</v>
      </c>
      <c r="CV135" s="267">
        <f t="shared" si="24"/>
        <v>362</v>
      </c>
      <c r="CW135" s="268">
        <f t="shared" si="25"/>
        <v>904.99</v>
      </c>
      <c r="CX135" s="418">
        <v>184</v>
      </c>
      <c r="CY135" s="252"/>
      <c r="CZ135" s="252"/>
      <c r="DA135" s="252"/>
      <c r="DB135" s="252"/>
      <c r="DC135" s="252"/>
      <c r="DD135" s="252"/>
      <c r="DE135" s="252"/>
      <c r="DF135" s="252">
        <f t="shared" si="20"/>
        <v>0</v>
      </c>
      <c r="DG135" s="252"/>
      <c r="DH135" s="252">
        <v>489.06</v>
      </c>
      <c r="DI135" s="252"/>
      <c r="DK135" s="252"/>
      <c r="DL135" s="252"/>
      <c r="DP135" s="6">
        <v>7.2499999999999995E-2</v>
      </c>
      <c r="DQ135" s="252">
        <v>39.42</v>
      </c>
      <c r="DR135" s="3">
        <v>546.33000000000004</v>
      </c>
      <c r="DT135" s="241">
        <f t="shared" si="26"/>
        <v>129</v>
      </c>
      <c r="DU135" s="2"/>
      <c r="DV135" s="252">
        <v>720</v>
      </c>
      <c r="DY135" s="252">
        <v>405.18</v>
      </c>
      <c r="DZ135" s="264">
        <v>3.9399999999999998E-2</v>
      </c>
      <c r="EA135" s="252">
        <v>0</v>
      </c>
      <c r="EB135" s="253">
        <v>0</v>
      </c>
    </row>
    <row r="136" spans="1:132">
      <c r="A136">
        <v>130</v>
      </c>
      <c r="B136" s="259">
        <v>10.2018</v>
      </c>
      <c r="C136">
        <v>130</v>
      </c>
      <c r="D136" s="168">
        <f t="shared" si="21"/>
        <v>2.9556572002800152E-3</v>
      </c>
      <c r="E136" s="246">
        <v>43374</v>
      </c>
      <c r="F136" s="186">
        <v>0.28999999999999998</v>
      </c>
      <c r="G136" s="247">
        <v>217218.02</v>
      </c>
      <c r="H136" s="247">
        <v>543.89490000000001</v>
      </c>
      <c r="I136" s="248">
        <v>120.5</v>
      </c>
      <c r="J136" s="258">
        <f t="shared" si="27"/>
        <v>3.3305578684430515E-3</v>
      </c>
      <c r="K136" s="298"/>
      <c r="L136" s="252">
        <v>300</v>
      </c>
      <c r="M136" s="263"/>
      <c r="N136" s="263"/>
      <c r="O136" s="473">
        <v>328.76</v>
      </c>
      <c r="P136" s="474">
        <v>328.76</v>
      </c>
      <c r="Q136" s="474">
        <v>430.86</v>
      </c>
      <c r="R136" s="475">
        <v>0.09</v>
      </c>
      <c r="S136" s="533">
        <f t="shared" ref="S136:S199" si="28">+C136</f>
        <v>130</v>
      </c>
      <c r="T136" s="460">
        <v>75.260000000000005</v>
      </c>
      <c r="U136" s="460">
        <v>10.56</v>
      </c>
      <c r="V136" s="460">
        <v>353.76</v>
      </c>
      <c r="W136" s="460"/>
      <c r="X136" s="254">
        <v>51.09</v>
      </c>
      <c r="Y136" s="461">
        <v>7.4999999999999997E-2</v>
      </c>
      <c r="Z136" s="460">
        <v>22.5</v>
      </c>
      <c r="AA136" s="460">
        <v>10.26</v>
      </c>
      <c r="AB136" s="460">
        <v>437.73</v>
      </c>
      <c r="AC136" s="462">
        <v>353.75</v>
      </c>
      <c r="AD136" s="463">
        <v>0.3</v>
      </c>
      <c r="AE136" s="460">
        <v>40.83</v>
      </c>
      <c r="AF136" s="460">
        <v>61.32</v>
      </c>
      <c r="AG136" s="460">
        <v>20.62</v>
      </c>
      <c r="AH136" s="460"/>
      <c r="AI136" s="460"/>
      <c r="AJ136" s="460"/>
      <c r="AK136" s="460"/>
      <c r="AL136" s="253"/>
      <c r="AM136" s="273">
        <v>0.1</v>
      </c>
      <c r="AN136" s="255">
        <v>0.08</v>
      </c>
      <c r="AO136" s="160">
        <v>0.1</v>
      </c>
      <c r="AP136" s="536">
        <v>480.1</v>
      </c>
      <c r="AQ136" s="536"/>
      <c r="AR136" s="505">
        <f t="shared" ref="AR136:AR199" si="29">+C136</f>
        <v>130</v>
      </c>
      <c r="AS136" s="480">
        <v>257.37</v>
      </c>
      <c r="AT136" s="480">
        <v>191.57</v>
      </c>
      <c r="AU136" s="480"/>
      <c r="AV136" s="480"/>
      <c r="AW136" s="480"/>
      <c r="AX136" s="480"/>
      <c r="AY136" s="480">
        <v>303.18</v>
      </c>
      <c r="AZ136" s="499" t="s">
        <v>5323</v>
      </c>
      <c r="BA136" s="502">
        <v>23.57</v>
      </c>
      <c r="BB136" s="502"/>
      <c r="BC136" s="510">
        <v>237.16</v>
      </c>
      <c r="BD136" s="510">
        <v>1222.49</v>
      </c>
      <c r="BE136" s="504">
        <v>0.2</v>
      </c>
      <c r="BF136" s="503">
        <v>0.22</v>
      </c>
      <c r="BG136" s="502">
        <v>16.66</v>
      </c>
      <c r="BH136" s="502">
        <v>1414.05</v>
      </c>
      <c r="BI136" s="502">
        <v>19.170000000000002</v>
      </c>
      <c r="BJ136" s="502"/>
      <c r="BK136" s="502"/>
      <c r="BL136" s="510"/>
      <c r="BM136" s="511">
        <v>0.16200000000000001</v>
      </c>
      <c r="BN136" s="511"/>
      <c r="BO136" s="511" t="s">
        <v>5340</v>
      </c>
      <c r="BP136" s="252"/>
      <c r="BQ136" s="252"/>
      <c r="BR136" s="511">
        <v>0.22</v>
      </c>
      <c r="BS136" s="252"/>
      <c r="BT136" s="252"/>
      <c r="BU136" s="524">
        <f t="shared" ref="BU136:BU199" si="30">+C136</f>
        <v>130</v>
      </c>
      <c r="BV136" s="489">
        <v>158.63</v>
      </c>
      <c r="BW136" s="304">
        <v>0.03</v>
      </c>
      <c r="BX136" s="254">
        <v>242.6</v>
      </c>
      <c r="BY136" s="304">
        <v>2.4400000000000002E-2</v>
      </c>
      <c r="BZ136" s="494">
        <v>19.170000000000002</v>
      </c>
      <c r="CA136" s="497">
        <v>0.3</v>
      </c>
      <c r="CB136" s="497"/>
      <c r="CC136" s="494">
        <v>424</v>
      </c>
      <c r="CD136" s="241">
        <f t="shared" si="22"/>
        <v>130</v>
      </c>
      <c r="CE136" s="2"/>
      <c r="CF136" s="2">
        <v>490.8</v>
      </c>
      <c r="CG136" s="2"/>
      <c r="CH136" s="2"/>
      <c r="CI136" s="2"/>
      <c r="CJ136" s="252"/>
      <c r="CK136" s="252"/>
      <c r="CL136" s="252">
        <v>546.33000000000004</v>
      </c>
      <c r="CM136" s="253"/>
      <c r="CO136" s="253">
        <v>0.08</v>
      </c>
      <c r="CU136" s="266">
        <f t="shared" si="23"/>
        <v>181</v>
      </c>
      <c r="CV136" s="267">
        <f t="shared" si="24"/>
        <v>362</v>
      </c>
      <c r="CW136" s="268">
        <f t="shared" si="25"/>
        <v>904.99</v>
      </c>
      <c r="CX136" s="418">
        <v>184</v>
      </c>
      <c r="CY136" s="252"/>
      <c r="CZ136" s="252"/>
      <c r="DA136" s="252"/>
      <c r="DB136" s="252"/>
      <c r="DC136" s="252"/>
      <c r="DD136" s="252"/>
      <c r="DE136" s="252"/>
      <c r="DF136" s="252">
        <f t="shared" ref="DF136:DF199" si="31">+DF135</f>
        <v>0</v>
      </c>
      <c r="DG136" s="252"/>
      <c r="DH136" s="252">
        <v>489.06</v>
      </c>
      <c r="DI136" s="252"/>
      <c r="DK136" s="252"/>
      <c r="DL136" s="252"/>
      <c r="DP136" s="6">
        <v>7.2499999999999995E-2</v>
      </c>
      <c r="DQ136" s="252">
        <v>39.42</v>
      </c>
      <c r="DR136" s="3">
        <v>546.33000000000004</v>
      </c>
      <c r="DT136" s="241">
        <f t="shared" si="26"/>
        <v>130</v>
      </c>
      <c r="DU136" s="2"/>
      <c r="DV136" s="252">
        <v>720</v>
      </c>
      <c r="DY136" s="252">
        <v>405.18</v>
      </c>
      <c r="DZ136" s="264">
        <v>3.9399999999999998E-2</v>
      </c>
      <c r="EA136" s="252">
        <v>0</v>
      </c>
      <c r="EB136" s="253">
        <v>0</v>
      </c>
    </row>
    <row r="137" spans="1:132">
      <c r="A137">
        <v>131</v>
      </c>
      <c r="B137" s="259">
        <v>11.2018</v>
      </c>
      <c r="C137">
        <v>131</v>
      </c>
      <c r="D137" s="168">
        <f t="shared" si="21"/>
        <v>-2.9469470350571569E-3</v>
      </c>
      <c r="E137" s="246">
        <v>43405</v>
      </c>
      <c r="F137" s="186">
        <v>-0.3</v>
      </c>
      <c r="G137" s="247">
        <v>216577.89</v>
      </c>
      <c r="H137" s="247">
        <v>542.2921</v>
      </c>
      <c r="I137" s="248">
        <v>120.1</v>
      </c>
      <c r="J137" s="258">
        <f t="shared" si="27"/>
        <v>-3.3195020746888959E-3</v>
      </c>
      <c r="K137" s="298"/>
      <c r="L137" s="252">
        <v>300</v>
      </c>
      <c r="M137" s="263"/>
      <c r="N137" s="263"/>
      <c r="O137" s="473">
        <v>328.76</v>
      </c>
      <c r="P137" s="474">
        <v>328.76</v>
      </c>
      <c r="Q137" s="474">
        <v>430.86</v>
      </c>
      <c r="R137" s="475">
        <v>0.09</v>
      </c>
      <c r="S137" s="533">
        <f t="shared" si="28"/>
        <v>131</v>
      </c>
      <c r="T137" s="460">
        <v>75.260000000000005</v>
      </c>
      <c r="U137" s="460">
        <v>10.56</v>
      </c>
      <c r="V137" s="460">
        <v>353.76</v>
      </c>
      <c r="W137" s="460"/>
      <c r="X137" s="254">
        <v>51.09</v>
      </c>
      <c r="Y137" s="461">
        <v>7.4999999999999997E-2</v>
      </c>
      <c r="Z137" s="460">
        <v>22.5</v>
      </c>
      <c r="AA137" s="460">
        <v>10.26</v>
      </c>
      <c r="AB137" s="460">
        <v>437.73</v>
      </c>
      <c r="AC137" s="462">
        <v>353.75</v>
      </c>
      <c r="AD137" s="463">
        <v>0.3</v>
      </c>
      <c r="AE137" s="460">
        <v>40.83</v>
      </c>
      <c r="AF137" s="460">
        <v>61.32</v>
      </c>
      <c r="AG137" s="460">
        <v>20.62</v>
      </c>
      <c r="AH137" s="460"/>
      <c r="AI137" s="460"/>
      <c r="AJ137" s="460"/>
      <c r="AK137" s="460"/>
      <c r="AL137" s="253"/>
      <c r="AM137" s="273">
        <v>0.1</v>
      </c>
      <c r="AN137" s="255">
        <v>0.08</v>
      </c>
      <c r="AO137" s="160">
        <v>0.1</v>
      </c>
      <c r="AP137" s="536">
        <v>480.1</v>
      </c>
      <c r="AQ137" s="536"/>
      <c r="AR137" s="505">
        <f t="shared" si="29"/>
        <v>131</v>
      </c>
      <c r="AS137" s="480">
        <v>257.37</v>
      </c>
      <c r="AT137" s="480">
        <v>191.57</v>
      </c>
      <c r="AU137" s="480"/>
      <c r="AV137" s="480"/>
      <c r="AW137" s="480"/>
      <c r="AX137" s="480"/>
      <c r="AY137" s="480">
        <v>303.18</v>
      </c>
      <c r="AZ137" s="499" t="s">
        <v>5323</v>
      </c>
      <c r="BA137" s="502">
        <v>23.57</v>
      </c>
      <c r="BB137" s="501"/>
      <c r="BC137" s="510">
        <v>237.16</v>
      </c>
      <c r="BD137" s="510">
        <v>1222.49</v>
      </c>
      <c r="BE137" s="504">
        <v>0.2</v>
      </c>
      <c r="BF137" s="503">
        <v>0.22</v>
      </c>
      <c r="BG137" s="502">
        <v>16.66</v>
      </c>
      <c r="BH137" s="502">
        <v>1414.05</v>
      </c>
      <c r="BI137" s="502">
        <v>19.170000000000002</v>
      </c>
      <c r="BJ137" s="502"/>
      <c r="BK137" s="502"/>
      <c r="BL137" s="510"/>
      <c r="BM137" s="511">
        <v>0.16200000000000001</v>
      </c>
      <c r="BN137" s="511"/>
      <c r="BO137" s="511" t="s">
        <v>5340</v>
      </c>
      <c r="BP137" s="252"/>
      <c r="BQ137" s="252"/>
      <c r="BR137" s="511">
        <v>0.22</v>
      </c>
      <c r="BS137" s="252"/>
      <c r="BT137" s="252"/>
      <c r="BU137" s="524">
        <f t="shared" si="30"/>
        <v>131</v>
      </c>
      <c r="BV137" s="489">
        <v>158.63</v>
      </c>
      <c r="BW137" s="304">
        <v>0.03</v>
      </c>
      <c r="BX137" s="254">
        <v>242.6</v>
      </c>
      <c r="BY137" s="304">
        <v>2.4400000000000002E-2</v>
      </c>
      <c r="BZ137" s="494">
        <v>19.170000000000002</v>
      </c>
      <c r="CA137" s="497">
        <v>0.3</v>
      </c>
      <c r="CB137" s="497"/>
      <c r="CC137" s="494">
        <v>424</v>
      </c>
      <c r="CD137" s="241">
        <f t="shared" si="22"/>
        <v>131</v>
      </c>
      <c r="CE137" s="2"/>
      <c r="CF137" s="2">
        <v>490.8</v>
      </c>
      <c r="CG137" s="2"/>
      <c r="CH137" s="2"/>
      <c r="CI137" s="2"/>
      <c r="CJ137" s="252"/>
      <c r="CK137" s="252"/>
      <c r="CL137" s="252">
        <v>546.33000000000004</v>
      </c>
      <c r="CM137" s="253"/>
      <c r="CO137" s="5">
        <v>0.08</v>
      </c>
      <c r="CU137" s="266">
        <f t="shared" si="23"/>
        <v>181</v>
      </c>
      <c r="CV137" s="267">
        <f t="shared" si="24"/>
        <v>362</v>
      </c>
      <c r="CW137" s="268">
        <f t="shared" si="25"/>
        <v>904.99</v>
      </c>
      <c r="CX137" s="418">
        <v>184</v>
      </c>
      <c r="CY137" s="252"/>
      <c r="CZ137" s="252"/>
      <c r="DA137" s="252"/>
      <c r="DB137" s="252"/>
      <c r="DC137" s="252"/>
      <c r="DD137" s="252"/>
      <c r="DE137" s="252"/>
      <c r="DF137" s="252">
        <f t="shared" si="31"/>
        <v>0</v>
      </c>
      <c r="DG137" s="252"/>
      <c r="DH137" s="252">
        <v>489.06</v>
      </c>
      <c r="DI137" s="252"/>
      <c r="DK137" s="252"/>
      <c r="DL137" s="252"/>
      <c r="DP137" s="6">
        <v>7.2499999999999995E-2</v>
      </c>
      <c r="DQ137" s="252">
        <v>39.42</v>
      </c>
      <c r="DR137" s="3">
        <v>546.33000000000004</v>
      </c>
      <c r="DT137" s="241">
        <f t="shared" si="26"/>
        <v>131</v>
      </c>
      <c r="DU137" s="2"/>
      <c r="DV137" s="252">
        <v>720</v>
      </c>
      <c r="DY137" s="252">
        <v>405.18</v>
      </c>
      <c r="DZ137" s="264">
        <v>3.9399999999999998E-2</v>
      </c>
      <c r="EA137" s="252">
        <v>0</v>
      </c>
      <c r="EB137" s="253">
        <v>0</v>
      </c>
    </row>
    <row r="138" spans="1:132">
      <c r="A138">
        <v>132</v>
      </c>
      <c r="B138" s="259">
        <v>12.2018</v>
      </c>
      <c r="C138">
        <v>132</v>
      </c>
      <c r="D138" s="168">
        <f t="shared" si="21"/>
        <v>-2.9556572002802373E-3</v>
      </c>
      <c r="E138" s="246">
        <v>43435</v>
      </c>
      <c r="F138" s="186">
        <v>-0.3</v>
      </c>
      <c r="G138" s="247">
        <v>215937.76</v>
      </c>
      <c r="H138" s="247">
        <v>540.68920000000003</v>
      </c>
      <c r="I138" s="248">
        <v>119.8</v>
      </c>
      <c r="J138" s="258">
        <f t="shared" si="27"/>
        <v>-2.4979184013321776E-3</v>
      </c>
      <c r="K138" s="298"/>
      <c r="L138" s="252">
        <v>300</v>
      </c>
      <c r="M138" s="263"/>
      <c r="N138" s="263"/>
      <c r="O138" s="473">
        <v>328.76</v>
      </c>
      <c r="P138" s="474">
        <v>328.76</v>
      </c>
      <c r="Q138" s="474">
        <v>430.86</v>
      </c>
      <c r="R138" s="475">
        <v>0.09</v>
      </c>
      <c r="S138" s="533">
        <f t="shared" si="28"/>
        <v>132</v>
      </c>
      <c r="T138" s="460">
        <v>75.260000000000005</v>
      </c>
      <c r="U138" s="460">
        <v>10.56</v>
      </c>
      <c r="V138" s="460">
        <v>353.76</v>
      </c>
      <c r="W138" s="460"/>
      <c r="X138" s="254">
        <v>51.09</v>
      </c>
      <c r="Y138" s="461">
        <v>7.4999999999999997E-2</v>
      </c>
      <c r="Z138" s="460">
        <v>22.5</v>
      </c>
      <c r="AA138" s="460">
        <v>10.26</v>
      </c>
      <c r="AB138" s="460">
        <v>437.73</v>
      </c>
      <c r="AC138" s="462">
        <v>353.75</v>
      </c>
      <c r="AD138" s="463">
        <v>0.3</v>
      </c>
      <c r="AE138" s="460">
        <v>40.83</v>
      </c>
      <c r="AF138" s="460">
        <v>61.32</v>
      </c>
      <c r="AG138" s="460">
        <v>20.62</v>
      </c>
      <c r="AH138" s="460"/>
      <c r="AI138" s="460"/>
      <c r="AJ138" s="460"/>
      <c r="AK138" s="460"/>
      <c r="AL138" s="253"/>
      <c r="AM138" s="273">
        <v>0.1</v>
      </c>
      <c r="AN138" s="255">
        <v>0.08</v>
      </c>
      <c r="AO138" s="160">
        <v>0.1</v>
      </c>
      <c r="AP138" s="536">
        <v>480.1</v>
      </c>
      <c r="AQ138" s="536"/>
      <c r="AR138" s="505">
        <f t="shared" si="29"/>
        <v>132</v>
      </c>
      <c r="AS138" s="480">
        <v>257.37</v>
      </c>
      <c r="AT138" s="480">
        <v>191.57</v>
      </c>
      <c r="AU138" s="480"/>
      <c r="AV138" s="480"/>
      <c r="AW138" s="480"/>
      <c r="AX138" s="480"/>
      <c r="AY138" s="480">
        <v>303.18</v>
      </c>
      <c r="AZ138" s="499" t="s">
        <v>5323</v>
      </c>
      <c r="BA138" s="502">
        <v>23.57</v>
      </c>
      <c r="BB138" s="502"/>
      <c r="BC138" s="510">
        <v>237.16</v>
      </c>
      <c r="BD138" s="510">
        <v>1222.49</v>
      </c>
      <c r="BE138" s="504">
        <v>0.2</v>
      </c>
      <c r="BF138" s="503">
        <v>0.22</v>
      </c>
      <c r="BG138" s="502">
        <v>16.66</v>
      </c>
      <c r="BH138" s="502">
        <v>1414.05</v>
      </c>
      <c r="BI138" s="502">
        <v>19.170000000000002</v>
      </c>
      <c r="BJ138" s="502"/>
      <c r="BK138" s="502"/>
      <c r="BL138" s="510"/>
      <c r="BM138" s="511">
        <v>0.16200000000000001</v>
      </c>
      <c r="BN138" s="511"/>
      <c r="BO138" s="511" t="s">
        <v>5340</v>
      </c>
      <c r="BP138" s="252"/>
      <c r="BQ138" s="252"/>
      <c r="BR138" s="511">
        <v>0.22</v>
      </c>
      <c r="BS138" s="252"/>
      <c r="BT138" s="252"/>
      <c r="BU138" s="524">
        <f t="shared" si="30"/>
        <v>132</v>
      </c>
      <c r="BV138" s="489">
        <v>158.63</v>
      </c>
      <c r="BW138" s="304">
        <v>0.03</v>
      </c>
      <c r="BX138" s="254">
        <v>242.6</v>
      </c>
      <c r="BY138" s="304">
        <v>2.4400000000000002E-2</v>
      </c>
      <c r="BZ138" s="494">
        <v>19.170000000000002</v>
      </c>
      <c r="CA138" s="497">
        <v>0.3</v>
      </c>
      <c r="CB138" s="497"/>
      <c r="CC138" s="494">
        <v>424</v>
      </c>
      <c r="CD138" s="241">
        <f t="shared" si="22"/>
        <v>132</v>
      </c>
      <c r="CE138" s="2"/>
      <c r="CF138" s="2">
        <v>490.8</v>
      </c>
      <c r="CG138" s="2"/>
      <c r="CH138" s="2"/>
      <c r="CI138" s="2"/>
      <c r="CJ138" s="252"/>
      <c r="CK138" s="252"/>
      <c r="CL138" s="252">
        <v>546.33000000000004</v>
      </c>
      <c r="CM138" s="253"/>
      <c r="CO138" s="253">
        <v>0.08</v>
      </c>
      <c r="CU138" s="266">
        <f t="shared" si="23"/>
        <v>181</v>
      </c>
      <c r="CV138" s="267">
        <f t="shared" si="24"/>
        <v>362</v>
      </c>
      <c r="CW138" s="268">
        <f t="shared" si="25"/>
        <v>904.99</v>
      </c>
      <c r="CX138" s="418">
        <v>184</v>
      </c>
      <c r="CY138" s="252"/>
      <c r="CZ138" s="252"/>
      <c r="DA138" s="252"/>
      <c r="DB138" s="252"/>
      <c r="DC138" s="252"/>
      <c r="DD138" s="252"/>
      <c r="DE138" s="252"/>
      <c r="DF138" s="252">
        <f t="shared" si="31"/>
        <v>0</v>
      </c>
      <c r="DG138" s="252"/>
      <c r="DH138" s="252">
        <v>489.06</v>
      </c>
      <c r="DI138" s="252"/>
      <c r="DK138" s="252"/>
      <c r="DL138" s="252"/>
      <c r="DP138" s="6">
        <v>7.2499999999999995E-2</v>
      </c>
      <c r="DQ138" s="252">
        <v>39.42</v>
      </c>
      <c r="DR138" s="3">
        <v>546.33000000000004</v>
      </c>
      <c r="DT138" s="241">
        <f t="shared" si="26"/>
        <v>132</v>
      </c>
      <c r="DU138" s="2"/>
      <c r="DV138" s="252">
        <v>720</v>
      </c>
      <c r="DY138" s="252">
        <v>405.18</v>
      </c>
      <c r="DZ138" s="264">
        <v>3.9399999999999998E-2</v>
      </c>
      <c r="EA138" s="252">
        <v>0</v>
      </c>
      <c r="EB138" s="253">
        <v>0</v>
      </c>
    </row>
    <row r="139" spans="1:132">
      <c r="A139">
        <v>133</v>
      </c>
      <c r="B139" s="259">
        <v>1.2019</v>
      </c>
      <c r="C139">
        <v>133</v>
      </c>
      <c r="D139" s="168">
        <f t="shared" si="21"/>
        <v>-9.7829115204306483E-4</v>
      </c>
      <c r="E139" s="246">
        <v>43466</v>
      </c>
      <c r="F139" s="186">
        <v>-0.1</v>
      </c>
      <c r="G139" s="247">
        <v>215726.51</v>
      </c>
      <c r="H139" s="247">
        <v>540.16030000000001</v>
      </c>
      <c r="I139" s="248">
        <v>119.6</v>
      </c>
      <c r="J139" s="258">
        <f t="shared" si="27"/>
        <v>-1.6694490818029983E-3</v>
      </c>
      <c r="K139" s="298"/>
      <c r="L139" s="252">
        <v>300</v>
      </c>
      <c r="M139" s="263"/>
      <c r="N139" s="263"/>
      <c r="O139" s="473">
        <v>328.76</v>
      </c>
      <c r="P139" s="474">
        <v>328.76</v>
      </c>
      <c r="Q139" s="474">
        <v>430.86</v>
      </c>
      <c r="R139" s="475">
        <v>0.09</v>
      </c>
      <c r="S139" s="533">
        <f t="shared" si="28"/>
        <v>133</v>
      </c>
      <c r="T139" s="460">
        <v>75.260000000000005</v>
      </c>
      <c r="U139" s="460">
        <v>10.56</v>
      </c>
      <c r="V139" s="460">
        <v>353.76</v>
      </c>
      <c r="W139" s="460"/>
      <c r="X139" s="254">
        <v>51.09</v>
      </c>
      <c r="Y139" s="461">
        <v>7.4999999999999997E-2</v>
      </c>
      <c r="Z139" s="460">
        <v>22.5</v>
      </c>
      <c r="AA139" s="460">
        <v>10.26</v>
      </c>
      <c r="AB139" s="460">
        <v>437.73</v>
      </c>
      <c r="AC139" s="462">
        <v>353.75</v>
      </c>
      <c r="AD139" s="463">
        <v>0.3</v>
      </c>
      <c r="AE139" s="460">
        <v>40.83</v>
      </c>
      <c r="AF139" s="460">
        <v>61.32</v>
      </c>
      <c r="AG139" s="460">
        <v>20.62</v>
      </c>
      <c r="AH139" s="460"/>
      <c r="AI139" s="460"/>
      <c r="AJ139" s="460"/>
      <c r="AK139" s="460"/>
      <c r="AL139" s="253"/>
      <c r="AM139" s="273">
        <v>0.1</v>
      </c>
      <c r="AN139" s="255">
        <v>0.08</v>
      </c>
      <c r="AO139" s="160">
        <v>0.1</v>
      </c>
      <c r="AP139" s="536">
        <v>480.1</v>
      </c>
      <c r="AQ139" s="536"/>
      <c r="AR139" s="505">
        <f t="shared" si="29"/>
        <v>133</v>
      </c>
      <c r="AS139" s="480">
        <v>257.37</v>
      </c>
      <c r="AT139" s="480">
        <v>191.57</v>
      </c>
      <c r="AU139" s="480"/>
      <c r="AV139" s="480"/>
      <c r="AW139" s="480"/>
      <c r="AX139" s="480"/>
      <c r="AY139" s="480">
        <v>303.18</v>
      </c>
      <c r="AZ139" s="499" t="s">
        <v>5323</v>
      </c>
      <c r="BA139" s="502">
        <v>23.57</v>
      </c>
      <c r="BB139" s="501"/>
      <c r="BC139" s="510">
        <v>237.16</v>
      </c>
      <c r="BD139" s="510">
        <v>1222.49</v>
      </c>
      <c r="BE139" s="504">
        <v>0.2</v>
      </c>
      <c r="BF139" s="503">
        <v>0.22</v>
      </c>
      <c r="BG139" s="502">
        <v>16.66</v>
      </c>
      <c r="BH139" s="502">
        <v>1414.05</v>
      </c>
      <c r="BI139" s="502">
        <v>19.170000000000002</v>
      </c>
      <c r="BJ139" s="502"/>
      <c r="BK139" s="502"/>
      <c r="BL139" s="510"/>
      <c r="BM139" s="511">
        <v>0.16200000000000001</v>
      </c>
      <c r="BN139" s="511"/>
      <c r="BO139" s="511" t="s">
        <v>5340</v>
      </c>
      <c r="BP139" s="252"/>
      <c r="BQ139" s="252"/>
      <c r="BR139" s="511">
        <v>0.22</v>
      </c>
      <c r="BS139" s="252"/>
      <c r="BT139" s="252"/>
      <c r="BU139" s="524">
        <f t="shared" si="30"/>
        <v>133</v>
      </c>
      <c r="BV139" s="489">
        <v>158.63</v>
      </c>
      <c r="BW139" s="304">
        <v>4.4999999999999998E-2</v>
      </c>
      <c r="BX139" s="254">
        <v>364</v>
      </c>
      <c r="BY139" s="304">
        <v>3.9399999999999998E-2</v>
      </c>
      <c r="BZ139" s="494">
        <v>19.170000000000002</v>
      </c>
      <c r="CA139" s="497">
        <v>0.3</v>
      </c>
      <c r="CB139" s="497"/>
      <c r="CC139" s="494">
        <v>424</v>
      </c>
      <c r="CD139" s="241">
        <f t="shared" si="22"/>
        <v>133</v>
      </c>
      <c r="CE139" s="2"/>
      <c r="CF139" s="2">
        <v>490.8</v>
      </c>
      <c r="CG139" s="2"/>
      <c r="CH139" s="2"/>
      <c r="CI139" s="2"/>
      <c r="CJ139" s="252"/>
      <c r="CK139" s="252"/>
      <c r="CL139" s="252">
        <v>546.33000000000004</v>
      </c>
      <c r="CM139" s="253"/>
      <c r="CO139" s="5">
        <v>0.08</v>
      </c>
      <c r="CU139" s="266">
        <f t="shared" si="23"/>
        <v>181</v>
      </c>
      <c r="CV139" s="267">
        <f t="shared" si="24"/>
        <v>362</v>
      </c>
      <c r="CW139" s="268">
        <f t="shared" si="25"/>
        <v>904.99</v>
      </c>
      <c r="CX139" s="418">
        <v>184</v>
      </c>
      <c r="CY139" s="252"/>
      <c r="CZ139" s="252"/>
      <c r="DA139" s="252"/>
      <c r="DB139" s="252"/>
      <c r="DC139" s="252"/>
      <c r="DD139" s="252"/>
      <c r="DE139" s="252"/>
      <c r="DF139" s="252">
        <f t="shared" si="31"/>
        <v>0</v>
      </c>
      <c r="DG139" s="252"/>
      <c r="DH139" s="252">
        <v>489.06</v>
      </c>
      <c r="DI139" s="252"/>
      <c r="DK139" s="252"/>
      <c r="DL139" s="252"/>
      <c r="DP139" s="6">
        <v>7.2499999999999995E-2</v>
      </c>
      <c r="DQ139" s="252">
        <v>39.42</v>
      </c>
      <c r="DR139" s="3">
        <v>546.33000000000004</v>
      </c>
      <c r="DT139" s="241">
        <f t="shared" si="26"/>
        <v>133</v>
      </c>
      <c r="DU139" s="2"/>
      <c r="DV139" s="252">
        <v>720</v>
      </c>
      <c r="DY139" s="252">
        <v>405.18</v>
      </c>
      <c r="DZ139" s="264">
        <v>3.9399999999999998E-2</v>
      </c>
      <c r="EA139" s="252">
        <v>0</v>
      </c>
      <c r="EB139" s="253">
        <v>0</v>
      </c>
    </row>
    <row r="140" spans="1:132">
      <c r="A140">
        <v>134</v>
      </c>
      <c r="B140" s="259">
        <v>2.2019000000000002</v>
      </c>
      <c r="C140">
        <v>134</v>
      </c>
      <c r="D140" s="168">
        <f t="shared" si="21"/>
        <v>9.9899636813294279E-4</v>
      </c>
      <c r="E140" s="246">
        <v>43497</v>
      </c>
      <c r="F140" s="186">
        <v>0.09</v>
      </c>
      <c r="G140" s="247">
        <v>215942.02</v>
      </c>
      <c r="H140" s="247">
        <v>540.69989999999996</v>
      </c>
      <c r="I140" s="248">
        <v>119.8</v>
      </c>
      <c r="J140" s="258">
        <f t="shared" si="27"/>
        <v>1.6722408026756952E-3</v>
      </c>
      <c r="K140" s="298"/>
      <c r="L140" s="252">
        <v>300</v>
      </c>
      <c r="M140" s="263"/>
      <c r="N140" s="263"/>
      <c r="O140" s="473">
        <v>328.76</v>
      </c>
      <c r="P140" s="474">
        <v>328.76</v>
      </c>
      <c r="Q140" s="474">
        <v>430.86</v>
      </c>
      <c r="R140" s="475">
        <v>0.09</v>
      </c>
      <c r="S140" s="533">
        <f t="shared" si="28"/>
        <v>134</v>
      </c>
      <c r="T140" s="460">
        <v>75.260000000000005</v>
      </c>
      <c r="U140" s="460">
        <v>10.56</v>
      </c>
      <c r="V140" s="460">
        <v>353.76</v>
      </c>
      <c r="W140" s="460"/>
      <c r="X140" s="254">
        <v>51.09</v>
      </c>
      <c r="Y140" s="461">
        <v>7.4999999999999997E-2</v>
      </c>
      <c r="Z140" s="460">
        <v>22.5</v>
      </c>
      <c r="AA140" s="460">
        <v>10.26</v>
      </c>
      <c r="AB140" s="460">
        <v>437.73</v>
      </c>
      <c r="AC140" s="462">
        <v>353.75</v>
      </c>
      <c r="AD140" s="463">
        <v>0.3</v>
      </c>
      <c r="AE140" s="460">
        <v>40.83</v>
      </c>
      <c r="AF140" s="460">
        <v>61.32</v>
      </c>
      <c r="AG140" s="460">
        <v>20.62</v>
      </c>
      <c r="AH140" s="460"/>
      <c r="AI140" s="460"/>
      <c r="AJ140" s="460"/>
      <c r="AK140" s="460"/>
      <c r="AL140" s="253"/>
      <c r="AM140" s="273">
        <v>0.1</v>
      </c>
      <c r="AN140" s="255">
        <v>0.08</v>
      </c>
      <c r="AO140" s="160">
        <v>0.1</v>
      </c>
      <c r="AP140" s="536">
        <v>480.1</v>
      </c>
      <c r="AQ140" s="536"/>
      <c r="AR140" s="505">
        <f t="shared" si="29"/>
        <v>134</v>
      </c>
      <c r="AS140" s="480">
        <v>257.37</v>
      </c>
      <c r="AT140" s="480">
        <v>191.57</v>
      </c>
      <c r="AU140" s="480"/>
      <c r="AV140" s="480"/>
      <c r="AW140" s="480"/>
      <c r="AX140" s="480"/>
      <c r="AY140" s="480">
        <v>303.18</v>
      </c>
      <c r="AZ140" s="499" t="s">
        <v>5323</v>
      </c>
      <c r="BA140" s="502">
        <v>23.57</v>
      </c>
      <c r="BB140" s="502"/>
      <c r="BC140" s="510">
        <v>237.16</v>
      </c>
      <c r="BD140" s="510">
        <v>1222.49</v>
      </c>
      <c r="BE140" s="504">
        <v>0.2</v>
      </c>
      <c r="BF140" s="503">
        <v>0.22</v>
      </c>
      <c r="BG140" s="502">
        <v>16.66</v>
      </c>
      <c r="BH140" s="502">
        <v>1414.05</v>
      </c>
      <c r="BI140" s="502">
        <v>19.170000000000002</v>
      </c>
      <c r="BJ140" s="502"/>
      <c r="BK140" s="502"/>
      <c r="BL140" s="510"/>
      <c r="BM140" s="511">
        <v>0.16200000000000001</v>
      </c>
      <c r="BN140" s="511"/>
      <c r="BO140" s="511" t="s">
        <v>5340</v>
      </c>
      <c r="BP140" s="252"/>
      <c r="BQ140" s="252"/>
      <c r="BR140" s="511">
        <v>0.22</v>
      </c>
      <c r="BS140" s="252"/>
      <c r="BT140" s="252"/>
      <c r="BU140" s="524">
        <f t="shared" si="30"/>
        <v>134</v>
      </c>
      <c r="BV140" s="489">
        <v>158.63</v>
      </c>
      <c r="BW140" s="304">
        <v>4.4999999999999998E-2</v>
      </c>
      <c r="BX140" s="254">
        <v>364</v>
      </c>
      <c r="BY140" s="304">
        <v>3.9399999999999998E-2</v>
      </c>
      <c r="BZ140" s="494">
        <v>19.170000000000002</v>
      </c>
      <c r="CA140" s="497">
        <v>0.3</v>
      </c>
      <c r="CB140" s="497"/>
      <c r="CC140" s="494">
        <v>424</v>
      </c>
      <c r="CD140" s="241">
        <f t="shared" si="22"/>
        <v>134</v>
      </c>
      <c r="CE140" s="2"/>
      <c r="CF140" s="2">
        <v>490.8</v>
      </c>
      <c r="CG140" s="2"/>
      <c r="CH140" s="2"/>
      <c r="CI140" s="2"/>
      <c r="CJ140" s="252"/>
      <c r="CK140" s="252"/>
      <c r="CL140" s="252">
        <v>546.33000000000004</v>
      </c>
      <c r="CM140" s="253"/>
      <c r="CO140" s="253">
        <v>0.08</v>
      </c>
      <c r="CU140" s="266">
        <f t="shared" si="23"/>
        <v>181</v>
      </c>
      <c r="CV140" s="267">
        <f t="shared" si="24"/>
        <v>362</v>
      </c>
      <c r="CW140" s="268">
        <f t="shared" si="25"/>
        <v>904.99</v>
      </c>
      <c r="CX140" s="418">
        <v>184</v>
      </c>
      <c r="CY140" s="252"/>
      <c r="CZ140" s="252"/>
      <c r="DA140" s="252"/>
      <c r="DB140" s="252"/>
      <c r="DC140" s="252"/>
      <c r="DD140" s="252"/>
      <c r="DE140" s="252"/>
      <c r="DF140" s="252">
        <f t="shared" si="31"/>
        <v>0</v>
      </c>
      <c r="DG140" s="252"/>
      <c r="DH140" s="252">
        <v>489.06</v>
      </c>
      <c r="DI140" s="252"/>
      <c r="DK140" s="252"/>
      <c r="DL140" s="252"/>
      <c r="DP140" s="6">
        <v>7.2499999999999995E-2</v>
      </c>
      <c r="DQ140" s="252">
        <v>39.42</v>
      </c>
      <c r="DR140" s="3">
        <v>546.33000000000004</v>
      </c>
      <c r="DT140" s="241">
        <f t="shared" si="26"/>
        <v>134</v>
      </c>
      <c r="DU140" s="2"/>
      <c r="DV140" s="252">
        <v>720</v>
      </c>
      <c r="DY140" s="252">
        <v>405.18</v>
      </c>
      <c r="DZ140" s="264">
        <v>3.9399999999999998E-2</v>
      </c>
      <c r="EA140" s="252">
        <v>0</v>
      </c>
      <c r="EB140" s="253">
        <v>0</v>
      </c>
    </row>
    <row r="141" spans="1:132">
      <c r="A141">
        <v>135</v>
      </c>
      <c r="B141" s="259">
        <v>3.2019000000000002</v>
      </c>
      <c r="C141">
        <v>135</v>
      </c>
      <c r="D141" s="168">
        <f t="shared" si="21"/>
        <v>4.9900431606595408E-3</v>
      </c>
      <c r="E141" s="246">
        <v>43525</v>
      </c>
      <c r="F141" s="186">
        <v>0.49</v>
      </c>
      <c r="G141" s="247">
        <v>217019.58</v>
      </c>
      <c r="H141" s="247">
        <v>543.39800000000002</v>
      </c>
      <c r="I141" s="248">
        <v>120.4</v>
      </c>
      <c r="J141" s="258">
        <f t="shared" si="27"/>
        <v>5.008347245408995E-3</v>
      </c>
      <c r="K141" s="298"/>
      <c r="L141" s="252">
        <v>300</v>
      </c>
      <c r="M141" s="263"/>
      <c r="N141" s="263"/>
      <c r="O141" s="473">
        <v>328.76</v>
      </c>
      <c r="P141" s="474">
        <v>328.76</v>
      </c>
      <c r="Q141" s="474">
        <v>430.86</v>
      </c>
      <c r="R141" s="475">
        <v>0.09</v>
      </c>
      <c r="S141" s="533">
        <f t="shared" si="28"/>
        <v>135</v>
      </c>
      <c r="T141" s="460">
        <v>75.260000000000005</v>
      </c>
      <c r="U141" s="460">
        <v>10.56</v>
      </c>
      <c r="V141" s="460">
        <v>353.76</v>
      </c>
      <c r="W141" s="460"/>
      <c r="X141" s="254">
        <v>51.09</v>
      </c>
      <c r="Y141" s="461">
        <v>7.4999999999999997E-2</v>
      </c>
      <c r="Z141" s="460">
        <v>22.5</v>
      </c>
      <c r="AA141" s="460">
        <v>10.26</v>
      </c>
      <c r="AB141" s="460">
        <v>437.73</v>
      </c>
      <c r="AC141" s="462">
        <v>353.75</v>
      </c>
      <c r="AD141" s="463">
        <v>0.3</v>
      </c>
      <c r="AE141" s="460">
        <v>40.83</v>
      </c>
      <c r="AF141" s="460">
        <v>61.32</v>
      </c>
      <c r="AG141" s="460">
        <v>20.62</v>
      </c>
      <c r="AH141" s="460"/>
      <c r="AI141" s="460"/>
      <c r="AJ141" s="460"/>
      <c r="AK141" s="460"/>
      <c r="AL141" s="253"/>
      <c r="AM141" s="273">
        <v>0.1</v>
      </c>
      <c r="AN141" s="255">
        <v>0.08</v>
      </c>
      <c r="AO141" s="160">
        <v>0.1</v>
      </c>
      <c r="AP141" s="536">
        <v>480.1</v>
      </c>
      <c r="AQ141" s="536"/>
      <c r="AR141" s="505">
        <f t="shared" si="29"/>
        <v>135</v>
      </c>
      <c r="AS141" s="480">
        <v>257.37</v>
      </c>
      <c r="AT141" s="480">
        <v>191.57</v>
      </c>
      <c r="AU141" s="480"/>
      <c r="AV141" s="480"/>
      <c r="AW141" s="480"/>
      <c r="AX141" s="480"/>
      <c r="AY141" s="480">
        <v>303.18</v>
      </c>
      <c r="AZ141" s="499" t="s">
        <v>5323</v>
      </c>
      <c r="BA141" s="502">
        <v>23.57</v>
      </c>
      <c r="BB141" s="501"/>
      <c r="BC141" s="510">
        <v>237.16</v>
      </c>
      <c r="BD141" s="510">
        <v>1222.49</v>
      </c>
      <c r="BE141" s="504">
        <v>0.2</v>
      </c>
      <c r="BF141" s="503">
        <v>0.22</v>
      </c>
      <c r="BG141" s="502">
        <v>16.66</v>
      </c>
      <c r="BH141" s="502">
        <v>1414.05</v>
      </c>
      <c r="BI141" s="502">
        <v>19.170000000000002</v>
      </c>
      <c r="BJ141" s="502"/>
      <c r="BK141" s="502"/>
      <c r="BL141" s="510"/>
      <c r="BM141" s="511">
        <v>0.16200000000000001</v>
      </c>
      <c r="BN141" s="511"/>
      <c r="BO141" s="511" t="s">
        <v>5340</v>
      </c>
      <c r="BP141" s="252"/>
      <c r="BQ141" s="252"/>
      <c r="BR141" s="511">
        <v>0.22</v>
      </c>
      <c r="BS141" s="252"/>
      <c r="BT141" s="252"/>
      <c r="BU141" s="524">
        <f t="shared" si="30"/>
        <v>135</v>
      </c>
      <c r="BV141" s="489">
        <v>158.63</v>
      </c>
      <c r="BW141" s="304">
        <v>4.4999999999999998E-2</v>
      </c>
      <c r="BX141" s="254">
        <v>364</v>
      </c>
      <c r="BY141" s="304">
        <v>3.9399999999999998E-2</v>
      </c>
      <c r="BZ141" s="494">
        <v>19.170000000000002</v>
      </c>
      <c r="CA141" s="497">
        <v>0.3</v>
      </c>
      <c r="CB141" s="497"/>
      <c r="CC141" s="494">
        <v>424</v>
      </c>
      <c r="CD141" s="241">
        <f t="shared" si="22"/>
        <v>135</v>
      </c>
      <c r="CE141" s="2"/>
      <c r="CF141" s="2">
        <v>490.8</v>
      </c>
      <c r="CG141" s="2"/>
      <c r="CH141" s="2"/>
      <c r="CI141" s="2"/>
      <c r="CJ141" s="252"/>
      <c r="CK141" s="252"/>
      <c r="CL141" s="252">
        <v>546.33000000000004</v>
      </c>
      <c r="CM141" s="253"/>
      <c r="CO141" s="5">
        <v>0.08</v>
      </c>
      <c r="CU141" s="266">
        <f t="shared" si="23"/>
        <v>181</v>
      </c>
      <c r="CV141" s="267">
        <f t="shared" si="24"/>
        <v>362</v>
      </c>
      <c r="CW141" s="268">
        <f t="shared" si="25"/>
        <v>904.99</v>
      </c>
      <c r="CX141" s="418">
        <v>184</v>
      </c>
      <c r="CY141" s="252"/>
      <c r="CZ141" s="252"/>
      <c r="DA141" s="252"/>
      <c r="DB141" s="252"/>
      <c r="DC141" s="252"/>
      <c r="DD141" s="252"/>
      <c r="DE141" s="252"/>
      <c r="DF141" s="252">
        <f t="shared" si="31"/>
        <v>0</v>
      </c>
      <c r="DG141" s="252"/>
      <c r="DH141" s="252">
        <v>489.06</v>
      </c>
      <c r="DI141" s="252"/>
      <c r="DK141" s="252"/>
      <c r="DL141" s="252"/>
      <c r="DP141" s="6">
        <v>7.2499999999999995E-2</v>
      </c>
      <c r="DQ141" s="252">
        <v>39.42</v>
      </c>
      <c r="DR141" s="3">
        <v>546.33000000000004</v>
      </c>
      <c r="DT141" s="241">
        <f t="shared" si="26"/>
        <v>135</v>
      </c>
      <c r="DU141" s="2"/>
      <c r="DV141" s="252">
        <v>720</v>
      </c>
      <c r="DY141" s="252">
        <v>405.18</v>
      </c>
      <c r="DZ141" s="264">
        <v>3.9399999999999998E-2</v>
      </c>
      <c r="EA141" s="252">
        <v>0</v>
      </c>
      <c r="EB141" s="253">
        <v>0</v>
      </c>
    </row>
    <row r="142" spans="1:132">
      <c r="A142">
        <v>136</v>
      </c>
      <c r="B142" s="259">
        <v>4.2019000000000002</v>
      </c>
      <c r="C142">
        <v>136</v>
      </c>
      <c r="D142" s="168">
        <f t="shared" si="21"/>
        <v>2.979132113332783E-3</v>
      </c>
      <c r="E142" s="246">
        <v>43556</v>
      </c>
      <c r="F142" s="186">
        <v>0.28999999999999998</v>
      </c>
      <c r="G142" s="247">
        <v>217666.11</v>
      </c>
      <c r="H142" s="247">
        <v>545.01689999999996</v>
      </c>
      <c r="I142" s="248">
        <v>120.7</v>
      </c>
      <c r="J142" s="258">
        <f t="shared" si="27"/>
        <v>2.491694352159346E-3</v>
      </c>
      <c r="K142" s="298"/>
      <c r="L142" s="252">
        <v>300</v>
      </c>
      <c r="M142" s="263"/>
      <c r="N142" s="263"/>
      <c r="O142" s="473">
        <v>328.76</v>
      </c>
      <c r="P142" s="474">
        <v>328.76</v>
      </c>
      <c r="Q142" s="474">
        <v>430.86</v>
      </c>
      <c r="R142" s="475">
        <v>0.09</v>
      </c>
      <c r="S142" s="533">
        <f t="shared" si="28"/>
        <v>136</v>
      </c>
      <c r="T142" s="460">
        <v>75.260000000000005</v>
      </c>
      <c r="U142" s="460">
        <v>10.56</v>
      </c>
      <c r="V142" s="460">
        <v>353.76</v>
      </c>
      <c r="W142" s="460"/>
      <c r="X142" s="254">
        <v>51.09</v>
      </c>
      <c r="Y142" s="461">
        <v>7.4999999999999997E-2</v>
      </c>
      <c r="Z142" s="460">
        <v>22.5</v>
      </c>
      <c r="AA142" s="460">
        <v>10.26</v>
      </c>
      <c r="AB142" s="460">
        <v>437.73</v>
      </c>
      <c r="AC142" s="462">
        <v>353.75</v>
      </c>
      <c r="AD142" s="463">
        <v>0.3</v>
      </c>
      <c r="AE142" s="460">
        <v>40.83</v>
      </c>
      <c r="AF142" s="460">
        <v>61.32</v>
      </c>
      <c r="AG142" s="460">
        <v>20.62</v>
      </c>
      <c r="AH142" s="460"/>
      <c r="AI142" s="460"/>
      <c r="AJ142" s="460"/>
      <c r="AK142" s="460"/>
      <c r="AL142" s="253"/>
      <c r="AM142" s="273">
        <v>0.1</v>
      </c>
      <c r="AN142" s="255">
        <v>0.08</v>
      </c>
      <c r="AO142" s="160">
        <v>0.1</v>
      </c>
      <c r="AP142" s="536">
        <v>480.1</v>
      </c>
      <c r="AQ142" s="536"/>
      <c r="AR142" s="505">
        <f t="shared" si="29"/>
        <v>136</v>
      </c>
      <c r="AS142" s="480">
        <v>257.37</v>
      </c>
      <c r="AT142" s="480">
        <v>191.57</v>
      </c>
      <c r="AU142" s="480"/>
      <c r="AV142" s="480"/>
      <c r="AW142" s="480"/>
      <c r="AX142" s="480"/>
      <c r="AY142" s="480">
        <v>303.18</v>
      </c>
      <c r="AZ142" s="499" t="s">
        <v>5323</v>
      </c>
      <c r="BA142" s="502">
        <v>23.57</v>
      </c>
      <c r="BB142" s="502"/>
      <c r="BC142" s="510">
        <v>237.16</v>
      </c>
      <c r="BD142" s="510">
        <v>1222.49</v>
      </c>
      <c r="BE142" s="504">
        <v>0.2</v>
      </c>
      <c r="BF142" s="503">
        <v>0.22</v>
      </c>
      <c r="BG142" s="502">
        <v>16.66</v>
      </c>
      <c r="BH142" s="502">
        <v>1414.05</v>
      </c>
      <c r="BI142" s="502">
        <v>19.170000000000002</v>
      </c>
      <c r="BJ142" s="502"/>
      <c r="BK142" s="502"/>
      <c r="BL142" s="510"/>
      <c r="BM142" s="511">
        <v>0.16200000000000001</v>
      </c>
      <c r="BN142" s="511"/>
      <c r="BO142" s="511" t="s">
        <v>5340</v>
      </c>
      <c r="BP142" s="252"/>
      <c r="BQ142" s="252"/>
      <c r="BR142" s="511">
        <v>0.22</v>
      </c>
      <c r="BS142" s="252"/>
      <c r="BT142" s="252"/>
      <c r="BU142" s="524">
        <f t="shared" si="30"/>
        <v>136</v>
      </c>
      <c r="BV142" s="489">
        <v>158.63</v>
      </c>
      <c r="BW142" s="304">
        <v>4.4999999999999998E-2</v>
      </c>
      <c r="BX142" s="254">
        <v>364</v>
      </c>
      <c r="BY142" s="304">
        <v>3.9399999999999998E-2</v>
      </c>
      <c r="BZ142" s="494">
        <v>19.170000000000002</v>
      </c>
      <c r="CA142" s="497">
        <v>0.3</v>
      </c>
      <c r="CB142" s="497"/>
      <c r="CC142" s="494">
        <v>424</v>
      </c>
      <c r="CD142" s="241">
        <f t="shared" si="22"/>
        <v>136</v>
      </c>
      <c r="CE142" s="2"/>
      <c r="CF142" s="2">
        <v>490.8</v>
      </c>
      <c r="CG142" s="2"/>
      <c r="CH142" s="2"/>
      <c r="CI142" s="2"/>
      <c r="CJ142" s="252"/>
      <c r="CK142" s="252"/>
      <c r="CL142" s="252">
        <v>546.33000000000004</v>
      </c>
      <c r="CM142" s="253"/>
      <c r="CO142" s="253">
        <v>0.08</v>
      </c>
      <c r="CU142" s="266">
        <f t="shared" si="23"/>
        <v>181</v>
      </c>
      <c r="CV142" s="267">
        <f t="shared" si="24"/>
        <v>362</v>
      </c>
      <c r="CW142" s="268">
        <f t="shared" si="25"/>
        <v>904.99</v>
      </c>
      <c r="CX142" s="418">
        <v>184</v>
      </c>
      <c r="CY142" s="252"/>
      <c r="CZ142" s="252"/>
      <c r="DA142" s="252"/>
      <c r="DB142" s="252"/>
      <c r="DC142" s="252"/>
      <c r="DD142" s="252"/>
      <c r="DE142" s="252"/>
      <c r="DF142" s="252">
        <f t="shared" si="31"/>
        <v>0</v>
      </c>
      <c r="DG142" s="252"/>
      <c r="DH142" s="252">
        <v>489.06</v>
      </c>
      <c r="DI142" s="252"/>
      <c r="DK142" s="252"/>
      <c r="DL142" s="252"/>
      <c r="DP142" s="6">
        <v>7.2499999999999995E-2</v>
      </c>
      <c r="DQ142" s="252">
        <v>39.42</v>
      </c>
      <c r="DR142" s="3">
        <v>546.33000000000004</v>
      </c>
      <c r="DT142" s="241">
        <f t="shared" si="26"/>
        <v>136</v>
      </c>
      <c r="DU142" s="2"/>
      <c r="DV142" s="252">
        <v>720</v>
      </c>
      <c r="DY142" s="252">
        <v>405.18</v>
      </c>
      <c r="DZ142" s="264">
        <v>3.9399999999999998E-2</v>
      </c>
      <c r="EA142" s="252">
        <v>0</v>
      </c>
      <c r="EB142" s="253">
        <v>0</v>
      </c>
    </row>
    <row r="143" spans="1:132">
      <c r="A143">
        <v>137</v>
      </c>
      <c r="B143" s="259">
        <v>5.2019000000000002</v>
      </c>
      <c r="C143">
        <v>137</v>
      </c>
      <c r="D143" s="168">
        <f t="shared" si="21"/>
        <v>6.9307068518844606E-3</v>
      </c>
      <c r="E143" s="246">
        <v>43586</v>
      </c>
      <c r="F143" s="186">
        <v>0.69</v>
      </c>
      <c r="G143" s="247">
        <v>219174.69</v>
      </c>
      <c r="H143" s="247">
        <v>548.79420000000005</v>
      </c>
      <c r="I143" s="248">
        <v>121.6</v>
      </c>
      <c r="J143" s="258">
        <f t="shared" si="27"/>
        <v>7.4565037282516844E-3</v>
      </c>
      <c r="K143" s="298"/>
      <c r="L143" s="252">
        <v>300</v>
      </c>
      <c r="M143" s="263"/>
      <c r="N143" s="263"/>
      <c r="O143" s="473">
        <v>328.76</v>
      </c>
      <c r="P143" s="474">
        <v>328.76</v>
      </c>
      <c r="Q143" s="474">
        <v>430.86</v>
      </c>
      <c r="R143" s="475">
        <v>0.09</v>
      </c>
      <c r="S143" s="533">
        <f t="shared" si="28"/>
        <v>137</v>
      </c>
      <c r="T143" s="460">
        <v>75.260000000000005</v>
      </c>
      <c r="U143" s="460">
        <v>10.56</v>
      </c>
      <c r="V143" s="460">
        <v>353.76</v>
      </c>
      <c r="W143" s="460"/>
      <c r="X143" s="254">
        <v>51.09</v>
      </c>
      <c r="Y143" s="461">
        <v>7.4999999999999997E-2</v>
      </c>
      <c r="Z143" s="460">
        <v>22.5</v>
      </c>
      <c r="AA143" s="460">
        <v>10.26</v>
      </c>
      <c r="AB143" s="460">
        <v>437.73</v>
      </c>
      <c r="AC143" s="462">
        <v>353.75</v>
      </c>
      <c r="AD143" s="463">
        <v>0.3</v>
      </c>
      <c r="AE143" s="460">
        <v>40.83</v>
      </c>
      <c r="AF143" s="460">
        <v>61.32</v>
      </c>
      <c r="AG143" s="460">
        <v>20.62</v>
      </c>
      <c r="AH143" s="460"/>
      <c r="AI143" s="460"/>
      <c r="AJ143" s="460"/>
      <c r="AK143" s="460"/>
      <c r="AL143" s="253"/>
      <c r="AM143" s="273">
        <v>0.1</v>
      </c>
      <c r="AN143" s="255">
        <v>0.08</v>
      </c>
      <c r="AO143" s="160">
        <v>0.1</v>
      </c>
      <c r="AP143" s="536">
        <v>480.1</v>
      </c>
      <c r="AQ143" s="536"/>
      <c r="AR143" s="505">
        <f t="shared" si="29"/>
        <v>137</v>
      </c>
      <c r="AS143" s="480">
        <v>257.37</v>
      </c>
      <c r="AT143" s="480">
        <v>191.57</v>
      </c>
      <c r="AU143" s="480"/>
      <c r="AV143" s="480"/>
      <c r="AW143" s="480"/>
      <c r="AX143" s="480"/>
      <c r="AY143" s="480">
        <v>303.18</v>
      </c>
      <c r="AZ143" s="499" t="s">
        <v>5323</v>
      </c>
      <c r="BA143" s="502">
        <v>23.57</v>
      </c>
      <c r="BB143" s="501"/>
      <c r="BC143" s="510">
        <v>237.16</v>
      </c>
      <c r="BD143" s="510">
        <v>1222.49</v>
      </c>
      <c r="BE143" s="504">
        <v>0.2</v>
      </c>
      <c r="BF143" s="503">
        <v>0.22</v>
      </c>
      <c r="BG143" s="502">
        <v>16.66</v>
      </c>
      <c r="BH143" s="502">
        <v>1414.05</v>
      </c>
      <c r="BI143" s="502">
        <v>19.170000000000002</v>
      </c>
      <c r="BJ143" s="502"/>
      <c r="BK143" s="502"/>
      <c r="BL143" s="510"/>
      <c r="BM143" s="511">
        <v>0.16200000000000001</v>
      </c>
      <c r="BN143" s="511"/>
      <c r="BO143" s="511" t="s">
        <v>5340</v>
      </c>
      <c r="BP143" s="252"/>
      <c r="BQ143" s="252"/>
      <c r="BR143" s="511">
        <v>0.22</v>
      </c>
      <c r="BS143" s="252"/>
      <c r="BT143" s="252"/>
      <c r="BU143" s="524">
        <f t="shared" si="30"/>
        <v>137</v>
      </c>
      <c r="BV143" s="489">
        <v>158.63</v>
      </c>
      <c r="BW143" s="304">
        <v>4.4999999999999998E-2</v>
      </c>
      <c r="BX143" s="254">
        <v>364</v>
      </c>
      <c r="BY143" s="304">
        <v>3.9399999999999998E-2</v>
      </c>
      <c r="BZ143" s="494">
        <v>19.170000000000002</v>
      </c>
      <c r="CA143" s="497">
        <v>0.3</v>
      </c>
      <c r="CB143" s="497"/>
      <c r="CC143" s="494">
        <v>424</v>
      </c>
      <c r="CD143" s="241">
        <f t="shared" si="22"/>
        <v>137</v>
      </c>
      <c r="CE143" s="2"/>
      <c r="CF143" s="2">
        <v>490.8</v>
      </c>
      <c r="CG143" s="2"/>
      <c r="CH143" s="2"/>
      <c r="CI143" s="2"/>
      <c r="CJ143" s="252"/>
      <c r="CK143" s="252"/>
      <c r="CL143" s="252">
        <v>546.33000000000004</v>
      </c>
      <c r="CM143" s="253"/>
      <c r="CO143" s="5">
        <v>0.08</v>
      </c>
      <c r="CU143" s="266">
        <f t="shared" si="23"/>
        <v>181</v>
      </c>
      <c r="CV143" s="267">
        <f t="shared" si="24"/>
        <v>362</v>
      </c>
      <c r="CW143" s="268">
        <f t="shared" si="25"/>
        <v>904.99</v>
      </c>
      <c r="CX143" s="418">
        <v>184</v>
      </c>
      <c r="CY143" s="252"/>
      <c r="CZ143" s="252"/>
      <c r="DA143" s="252"/>
      <c r="DB143" s="252"/>
      <c r="DC143" s="252"/>
      <c r="DD143" s="252"/>
      <c r="DE143" s="252"/>
      <c r="DF143" s="252">
        <f t="shared" si="31"/>
        <v>0</v>
      </c>
      <c r="DG143" s="252"/>
      <c r="DH143" s="252">
        <v>489.06</v>
      </c>
      <c r="DI143" s="252"/>
      <c r="DK143" s="252"/>
      <c r="DL143" s="252"/>
      <c r="DP143" s="6">
        <v>7.2499999999999995E-2</v>
      </c>
      <c r="DQ143" s="252">
        <v>39.42</v>
      </c>
      <c r="DR143" s="3">
        <v>546.33000000000004</v>
      </c>
      <c r="DT143" s="241">
        <f t="shared" si="26"/>
        <v>137</v>
      </c>
      <c r="DU143" s="2"/>
      <c r="DV143" s="252">
        <v>720</v>
      </c>
      <c r="DY143" s="252">
        <v>405.18</v>
      </c>
      <c r="DZ143" s="264">
        <v>3.9399999999999998E-2</v>
      </c>
      <c r="EA143" s="252">
        <v>0</v>
      </c>
      <c r="EB143" s="253">
        <v>0</v>
      </c>
    </row>
    <row r="144" spans="1:132">
      <c r="A144">
        <v>138</v>
      </c>
      <c r="B144" s="259">
        <v>6.2019000000000002</v>
      </c>
      <c r="C144">
        <v>138</v>
      </c>
      <c r="D144" s="168">
        <f t="shared" si="21"/>
        <v>-5.8997231842783382E-3</v>
      </c>
      <c r="E144" s="246">
        <v>43617</v>
      </c>
      <c r="F144" s="186">
        <v>-0.59</v>
      </c>
      <c r="G144" s="247">
        <v>217881.62</v>
      </c>
      <c r="H144" s="247">
        <v>545.55650000000003</v>
      </c>
      <c r="I144" s="248">
        <v>120.8</v>
      </c>
      <c r="J144" s="258">
        <f t="shared" si="27"/>
        <v>-6.5789473684210176E-3</v>
      </c>
      <c r="K144" s="298"/>
      <c r="L144" s="252">
        <v>300</v>
      </c>
      <c r="M144" s="263"/>
      <c r="N144" s="263"/>
      <c r="O144" s="473">
        <v>328.76</v>
      </c>
      <c r="P144" s="474">
        <v>328.76</v>
      </c>
      <c r="Q144" s="474">
        <v>430.86</v>
      </c>
      <c r="R144" s="475">
        <v>0.09</v>
      </c>
      <c r="S144" s="533">
        <f t="shared" si="28"/>
        <v>138</v>
      </c>
      <c r="T144" s="460">
        <v>75.260000000000005</v>
      </c>
      <c r="U144" s="460">
        <v>10.56</v>
      </c>
      <c r="V144" s="460">
        <v>353.76</v>
      </c>
      <c r="W144" s="460"/>
      <c r="X144" s="254">
        <v>51.09</v>
      </c>
      <c r="Y144" s="461">
        <v>7.4999999999999997E-2</v>
      </c>
      <c r="Z144" s="460">
        <v>22.5</v>
      </c>
      <c r="AA144" s="460">
        <v>10.26</v>
      </c>
      <c r="AB144" s="460">
        <v>437.73</v>
      </c>
      <c r="AC144" s="462">
        <v>353.75</v>
      </c>
      <c r="AD144" s="463">
        <v>0.3</v>
      </c>
      <c r="AE144" s="460">
        <v>40.83</v>
      </c>
      <c r="AF144" s="460">
        <v>61.32</v>
      </c>
      <c r="AG144" s="460">
        <v>20.62</v>
      </c>
      <c r="AH144" s="460"/>
      <c r="AI144" s="460"/>
      <c r="AJ144" s="460"/>
      <c r="AK144" s="460"/>
      <c r="AL144" s="253"/>
      <c r="AM144" s="273">
        <v>0.1</v>
      </c>
      <c r="AN144" s="255">
        <v>0.08</v>
      </c>
      <c r="AO144" s="160">
        <v>0.1</v>
      </c>
      <c r="AP144" s="536">
        <v>480.1</v>
      </c>
      <c r="AQ144" s="536"/>
      <c r="AR144" s="505">
        <f t="shared" si="29"/>
        <v>138</v>
      </c>
      <c r="AS144" s="480">
        <v>257.37</v>
      </c>
      <c r="AT144" s="480">
        <v>191.57</v>
      </c>
      <c r="AU144" s="480"/>
      <c r="AV144" s="480"/>
      <c r="AW144" s="480"/>
      <c r="AX144" s="480"/>
      <c r="AY144" s="480">
        <v>303.18</v>
      </c>
      <c r="AZ144" s="499" t="s">
        <v>5323</v>
      </c>
      <c r="BA144" s="502">
        <v>23.57</v>
      </c>
      <c r="BB144" s="502"/>
      <c r="BC144" s="510">
        <v>237.16</v>
      </c>
      <c r="BD144" s="510">
        <v>1222.49</v>
      </c>
      <c r="BE144" s="504">
        <v>0.2</v>
      </c>
      <c r="BF144" s="503">
        <v>0.22</v>
      </c>
      <c r="BG144" s="502">
        <v>16.66</v>
      </c>
      <c r="BH144" s="502">
        <v>1414.05</v>
      </c>
      <c r="BI144" s="502">
        <v>19.170000000000002</v>
      </c>
      <c r="BJ144" s="502"/>
      <c r="BK144" s="502"/>
      <c r="BL144" s="510"/>
      <c r="BM144" s="511">
        <v>0.16200000000000001</v>
      </c>
      <c r="BN144" s="511"/>
      <c r="BO144" s="511" t="s">
        <v>5340</v>
      </c>
      <c r="BP144" s="252"/>
      <c r="BQ144" s="252"/>
      <c r="BR144" s="511">
        <v>0.22</v>
      </c>
      <c r="BS144" s="252"/>
      <c r="BT144" s="252"/>
      <c r="BU144" s="524">
        <f t="shared" si="30"/>
        <v>138</v>
      </c>
      <c r="BV144" s="489">
        <v>158.63</v>
      </c>
      <c r="BW144" s="304">
        <v>4.4999999999999998E-2</v>
      </c>
      <c r="BX144" s="254">
        <v>364</v>
      </c>
      <c r="BY144" s="304">
        <v>3.9399999999999998E-2</v>
      </c>
      <c r="BZ144" s="494">
        <v>19.170000000000002</v>
      </c>
      <c r="CA144" s="497">
        <v>0.3</v>
      </c>
      <c r="CB144" s="497"/>
      <c r="CC144" s="494">
        <v>424</v>
      </c>
      <c r="CD144" s="241">
        <f t="shared" si="22"/>
        <v>138</v>
      </c>
      <c r="CE144" s="2"/>
      <c r="CF144" s="2">
        <v>490.8</v>
      </c>
      <c r="CG144" s="2"/>
      <c r="CH144" s="2"/>
      <c r="CI144" s="2"/>
      <c r="CJ144" s="252"/>
      <c r="CK144" s="252"/>
      <c r="CL144" s="252">
        <v>546.33000000000004</v>
      </c>
      <c r="CM144" s="253"/>
      <c r="CO144" s="253">
        <v>0.08</v>
      </c>
      <c r="CU144" s="266">
        <f t="shared" si="23"/>
        <v>181</v>
      </c>
      <c r="CV144" s="267">
        <f t="shared" si="24"/>
        <v>362</v>
      </c>
      <c r="CW144" s="268">
        <f t="shared" si="25"/>
        <v>904.99</v>
      </c>
      <c r="CX144" s="418">
        <v>184</v>
      </c>
      <c r="CY144" s="252"/>
      <c r="CZ144" s="252"/>
      <c r="DA144" s="252"/>
      <c r="DB144" s="252"/>
      <c r="DC144" s="252"/>
      <c r="DD144" s="252"/>
      <c r="DE144" s="252"/>
      <c r="DF144" s="252">
        <f t="shared" si="31"/>
        <v>0</v>
      </c>
      <c r="DG144" s="252"/>
      <c r="DH144" s="252">
        <v>489.06</v>
      </c>
      <c r="DI144" s="252"/>
      <c r="DK144" s="252"/>
      <c r="DL144" s="252"/>
      <c r="DP144" s="6">
        <v>7.2499999999999995E-2</v>
      </c>
      <c r="DQ144" s="252">
        <v>39.42</v>
      </c>
      <c r="DR144" s="3">
        <v>546.33000000000004</v>
      </c>
      <c r="DT144" s="241">
        <f t="shared" si="26"/>
        <v>138</v>
      </c>
      <c r="DU144" s="2"/>
      <c r="DV144" s="252">
        <v>720</v>
      </c>
      <c r="DY144" s="252">
        <v>405.18</v>
      </c>
      <c r="DZ144" s="264">
        <v>3.9399999999999998E-2</v>
      </c>
      <c r="EA144" s="252">
        <v>0</v>
      </c>
      <c r="EB144" s="253">
        <v>0</v>
      </c>
    </row>
    <row r="145" spans="1:132">
      <c r="A145">
        <v>139</v>
      </c>
      <c r="B145" s="259">
        <v>7.2019000000000002</v>
      </c>
      <c r="C145">
        <v>139</v>
      </c>
      <c r="D145" s="168">
        <f t="shared" si="21"/>
        <v>-2.967345295119439E-3</v>
      </c>
      <c r="E145" s="246">
        <v>43647</v>
      </c>
      <c r="F145" s="186">
        <v>-0.3</v>
      </c>
      <c r="G145" s="247">
        <v>217235.09</v>
      </c>
      <c r="H145" s="247">
        <v>543.93759999999997</v>
      </c>
      <c r="I145" s="248">
        <v>120.5</v>
      </c>
      <c r="J145" s="258">
        <f t="shared" si="27"/>
        <v>-2.4834437086092009E-3</v>
      </c>
      <c r="K145" s="298"/>
      <c r="L145" s="252">
        <v>300</v>
      </c>
      <c r="M145" s="263"/>
      <c r="N145" s="263"/>
      <c r="O145" s="473">
        <v>328.76</v>
      </c>
      <c r="P145" s="474">
        <v>328.76</v>
      </c>
      <c r="Q145" s="474">
        <v>430.86</v>
      </c>
      <c r="R145" s="475">
        <v>0.09</v>
      </c>
      <c r="S145" s="533">
        <f t="shared" si="28"/>
        <v>139</v>
      </c>
      <c r="T145" s="460">
        <v>75.260000000000005</v>
      </c>
      <c r="U145" s="460">
        <v>10.56</v>
      </c>
      <c r="V145" s="460">
        <v>353.76</v>
      </c>
      <c r="W145" s="460"/>
      <c r="X145" s="254">
        <v>51.09</v>
      </c>
      <c r="Y145" s="461">
        <v>7.4999999999999997E-2</v>
      </c>
      <c r="Z145" s="460">
        <v>22.5</v>
      </c>
      <c r="AA145" s="460">
        <v>10.26</v>
      </c>
      <c r="AB145" s="460">
        <v>437.73</v>
      </c>
      <c r="AC145" s="462">
        <v>353.75</v>
      </c>
      <c r="AD145" s="463">
        <v>0.3</v>
      </c>
      <c r="AE145" s="460">
        <v>40.83</v>
      </c>
      <c r="AF145" s="460">
        <v>61.32</v>
      </c>
      <c r="AG145" s="460">
        <v>20.62</v>
      </c>
      <c r="AH145" s="460"/>
      <c r="AI145" s="460"/>
      <c r="AJ145" s="460"/>
      <c r="AK145" s="460"/>
      <c r="AL145" s="253"/>
      <c r="AM145" s="273">
        <v>0.1</v>
      </c>
      <c r="AN145" s="255">
        <v>0.08</v>
      </c>
      <c r="AO145" s="160">
        <v>0.1</v>
      </c>
      <c r="AP145" s="536">
        <v>480.1</v>
      </c>
      <c r="AQ145" s="536"/>
      <c r="AR145" s="505">
        <f t="shared" si="29"/>
        <v>139</v>
      </c>
      <c r="AS145" s="480">
        <v>257.37</v>
      </c>
      <c r="AT145" s="480">
        <v>191.57</v>
      </c>
      <c r="AU145" s="480"/>
      <c r="AV145" s="480"/>
      <c r="AW145" s="480"/>
      <c r="AX145" s="480"/>
      <c r="AY145" s="480">
        <v>303.18</v>
      </c>
      <c r="AZ145" s="499" t="s">
        <v>5323</v>
      </c>
      <c r="BA145" s="502">
        <v>23.57</v>
      </c>
      <c r="BB145" s="501"/>
      <c r="BC145" s="510">
        <v>237.16</v>
      </c>
      <c r="BD145" s="510">
        <v>1222.49</v>
      </c>
      <c r="BE145" s="504">
        <v>0.2</v>
      </c>
      <c r="BF145" s="503">
        <v>0.22</v>
      </c>
      <c r="BG145" s="502">
        <v>16.66</v>
      </c>
      <c r="BH145" s="502">
        <v>1414.05</v>
      </c>
      <c r="BI145" s="502">
        <v>19.170000000000002</v>
      </c>
      <c r="BJ145" s="502"/>
      <c r="BK145" s="502"/>
      <c r="BL145" s="510"/>
      <c r="BM145" s="511">
        <v>0.16200000000000001</v>
      </c>
      <c r="BN145" s="511"/>
      <c r="BO145" s="511" t="s">
        <v>5340</v>
      </c>
      <c r="BP145" s="252"/>
      <c r="BQ145" s="252"/>
      <c r="BR145" s="511">
        <v>0.22</v>
      </c>
      <c r="BS145" s="252"/>
      <c r="BT145" s="252"/>
      <c r="BU145" s="524">
        <f t="shared" si="30"/>
        <v>139</v>
      </c>
      <c r="BV145" s="489">
        <v>158.63</v>
      </c>
      <c r="BW145" s="304">
        <v>4.4999999999999998E-2</v>
      </c>
      <c r="BX145" s="254">
        <v>364</v>
      </c>
      <c r="BY145" s="304">
        <v>3.9399999999999998E-2</v>
      </c>
      <c r="BZ145" s="494">
        <v>19.170000000000002</v>
      </c>
      <c r="CA145" s="497">
        <v>0.3</v>
      </c>
      <c r="CB145" s="497"/>
      <c r="CC145" s="494">
        <v>424</v>
      </c>
      <c r="CD145" s="241">
        <f t="shared" si="22"/>
        <v>139</v>
      </c>
      <c r="CE145" s="2"/>
      <c r="CF145" s="2">
        <v>490.8</v>
      </c>
      <c r="CG145" s="2"/>
      <c r="CH145" s="2"/>
      <c r="CI145" s="2"/>
      <c r="CJ145" s="252"/>
      <c r="CK145" s="252"/>
      <c r="CL145" s="252">
        <v>546.33000000000004</v>
      </c>
      <c r="CM145" s="253"/>
      <c r="CO145" s="5">
        <v>0.08</v>
      </c>
      <c r="CU145" s="266">
        <f t="shared" si="23"/>
        <v>181</v>
      </c>
      <c r="CV145" s="267">
        <f t="shared" si="24"/>
        <v>362</v>
      </c>
      <c r="CW145" s="268">
        <f t="shared" si="25"/>
        <v>904.99</v>
      </c>
      <c r="CX145" s="418">
        <v>184</v>
      </c>
      <c r="CY145" s="252"/>
      <c r="CZ145" s="252"/>
      <c r="DA145" s="252"/>
      <c r="DB145" s="252"/>
      <c r="DC145" s="252"/>
      <c r="DD145" s="252"/>
      <c r="DE145" s="252"/>
      <c r="DF145" s="252">
        <f t="shared" si="31"/>
        <v>0</v>
      </c>
      <c r="DG145" s="252"/>
      <c r="DH145" s="252">
        <v>489.06</v>
      </c>
      <c r="DI145" s="252"/>
      <c r="DK145" s="252"/>
      <c r="DL145" s="252"/>
      <c r="DP145" s="6">
        <v>7.2499999999999995E-2</v>
      </c>
      <c r="DQ145" s="252">
        <v>39.42</v>
      </c>
      <c r="DR145" s="3">
        <v>546.33000000000004</v>
      </c>
      <c r="DT145" s="241">
        <f t="shared" si="26"/>
        <v>139</v>
      </c>
      <c r="DU145" s="2"/>
      <c r="DV145" s="252">
        <v>720</v>
      </c>
      <c r="DY145" s="252">
        <v>405.18</v>
      </c>
      <c r="DZ145" s="264">
        <v>3.9399999999999998E-2</v>
      </c>
      <c r="EA145" s="252">
        <v>0</v>
      </c>
      <c r="EB145" s="253">
        <v>0</v>
      </c>
    </row>
    <row r="146" spans="1:132">
      <c r="A146">
        <v>140</v>
      </c>
      <c r="B146" s="259">
        <v>8.2019000000000002</v>
      </c>
      <c r="C146">
        <v>140</v>
      </c>
      <c r="D146" s="168">
        <f t="shared" si="21"/>
        <v>1.9841177592441195E-3</v>
      </c>
      <c r="E146" s="246">
        <v>43678</v>
      </c>
      <c r="F146" s="186">
        <v>0.19</v>
      </c>
      <c r="G146" s="247">
        <v>217666.11</v>
      </c>
      <c r="H146" s="247">
        <v>545.01689999999996</v>
      </c>
      <c r="I146" s="248">
        <v>120.7</v>
      </c>
      <c r="J146" s="258">
        <f t="shared" si="27"/>
        <v>1.6597510373443924E-3</v>
      </c>
      <c r="K146" s="298"/>
      <c r="L146" s="252">
        <v>300</v>
      </c>
      <c r="M146" s="263"/>
      <c r="N146" s="263"/>
      <c r="O146" s="473">
        <v>328.76</v>
      </c>
      <c r="P146" s="474">
        <v>328.76</v>
      </c>
      <c r="Q146" s="474">
        <v>430.86</v>
      </c>
      <c r="R146" s="475">
        <v>0.09</v>
      </c>
      <c r="S146" s="533">
        <f t="shared" si="28"/>
        <v>140</v>
      </c>
      <c r="T146" s="460">
        <v>75.260000000000005</v>
      </c>
      <c r="U146" s="460">
        <v>10.56</v>
      </c>
      <c r="V146" s="460">
        <v>353.76</v>
      </c>
      <c r="W146" s="460"/>
      <c r="X146" s="254">
        <v>51.09</v>
      </c>
      <c r="Y146" s="461">
        <v>7.4999999999999997E-2</v>
      </c>
      <c r="Z146" s="460">
        <v>22.5</v>
      </c>
      <c r="AA146" s="460">
        <v>10.26</v>
      </c>
      <c r="AB146" s="460">
        <v>437.73</v>
      </c>
      <c r="AC146" s="462">
        <v>353.75</v>
      </c>
      <c r="AD146" s="463">
        <v>0.3</v>
      </c>
      <c r="AE146" s="460">
        <v>40.83</v>
      </c>
      <c r="AF146" s="460">
        <v>61.32</v>
      </c>
      <c r="AG146" s="460">
        <v>20.62</v>
      </c>
      <c r="AH146" s="460"/>
      <c r="AI146" s="460"/>
      <c r="AJ146" s="460"/>
      <c r="AK146" s="460"/>
      <c r="AL146" s="253"/>
      <c r="AM146" s="273">
        <v>0.1</v>
      </c>
      <c r="AN146" s="255">
        <v>0.08</v>
      </c>
      <c r="AO146" s="160">
        <v>0.1</v>
      </c>
      <c r="AP146" s="536">
        <v>480.1</v>
      </c>
      <c r="AQ146" s="536"/>
      <c r="AR146" s="505">
        <f t="shared" si="29"/>
        <v>140</v>
      </c>
      <c r="AS146" s="480">
        <v>257.37</v>
      </c>
      <c r="AT146" s="480">
        <v>191.57</v>
      </c>
      <c r="AU146" s="480"/>
      <c r="AV146" s="480"/>
      <c r="AW146" s="480"/>
      <c r="AX146" s="480"/>
      <c r="AY146" s="480">
        <v>303.18</v>
      </c>
      <c r="AZ146" s="499" t="s">
        <v>5323</v>
      </c>
      <c r="BA146" s="502">
        <v>23.57</v>
      </c>
      <c r="BB146" s="502"/>
      <c r="BC146" s="510">
        <v>237.16</v>
      </c>
      <c r="BD146" s="510">
        <v>1222.49</v>
      </c>
      <c r="BE146" s="504">
        <v>0.2</v>
      </c>
      <c r="BF146" s="503">
        <v>0.22</v>
      </c>
      <c r="BG146" s="502">
        <v>16.66</v>
      </c>
      <c r="BH146" s="502">
        <v>1414.05</v>
      </c>
      <c r="BI146" s="502">
        <v>19.170000000000002</v>
      </c>
      <c r="BJ146" s="502"/>
      <c r="BK146" s="502"/>
      <c r="BL146" s="510"/>
      <c r="BM146" s="511">
        <v>0.16200000000000001</v>
      </c>
      <c r="BN146" s="511"/>
      <c r="BO146" s="511" t="s">
        <v>5340</v>
      </c>
      <c r="BP146" s="252"/>
      <c r="BQ146" s="252"/>
      <c r="BR146" s="511">
        <v>0.22</v>
      </c>
      <c r="BS146" s="252"/>
      <c r="BT146" s="252"/>
      <c r="BU146" s="524">
        <f t="shared" si="30"/>
        <v>140</v>
      </c>
      <c r="BV146" s="489">
        <v>158.63</v>
      </c>
      <c r="BW146" s="304">
        <v>4.4999999999999998E-2</v>
      </c>
      <c r="BX146" s="254">
        <v>364</v>
      </c>
      <c r="BY146" s="304">
        <v>3.9399999999999998E-2</v>
      </c>
      <c r="BZ146" s="494">
        <v>19.170000000000002</v>
      </c>
      <c r="CA146" s="497">
        <v>0.3</v>
      </c>
      <c r="CB146" s="497"/>
      <c r="CC146" s="494">
        <v>424</v>
      </c>
      <c r="CD146" s="241">
        <f t="shared" si="22"/>
        <v>140</v>
      </c>
      <c r="CE146" s="2"/>
      <c r="CF146" s="2">
        <v>490.8</v>
      </c>
      <c r="CG146" s="2"/>
      <c r="CH146" s="2"/>
      <c r="CI146" s="2"/>
      <c r="CJ146" s="252"/>
      <c r="CK146" s="252"/>
      <c r="CL146" s="252">
        <v>546.33000000000004</v>
      </c>
      <c r="CM146" s="253"/>
      <c r="CO146" s="253">
        <v>0.08</v>
      </c>
      <c r="CU146" s="266">
        <f t="shared" si="23"/>
        <v>181</v>
      </c>
      <c r="CV146" s="267">
        <f t="shared" si="24"/>
        <v>362</v>
      </c>
      <c r="CW146" s="268">
        <f t="shared" si="25"/>
        <v>904.99</v>
      </c>
      <c r="CX146" s="418">
        <v>184</v>
      </c>
      <c r="CY146" s="252"/>
      <c r="CZ146" s="252"/>
      <c r="DA146" s="252"/>
      <c r="DB146" s="252"/>
      <c r="DC146" s="252"/>
      <c r="DD146" s="252"/>
      <c r="DE146" s="252"/>
      <c r="DF146" s="252">
        <f t="shared" si="31"/>
        <v>0</v>
      </c>
      <c r="DG146" s="252"/>
      <c r="DH146" s="252">
        <v>489.06</v>
      </c>
      <c r="DI146" s="252"/>
      <c r="DK146" s="252"/>
      <c r="DL146" s="252"/>
      <c r="DP146" s="6">
        <v>7.2499999999999995E-2</v>
      </c>
      <c r="DQ146" s="252">
        <v>39.42</v>
      </c>
      <c r="DR146" s="3">
        <v>546.33000000000004</v>
      </c>
      <c r="DT146" s="241">
        <f t="shared" si="26"/>
        <v>140</v>
      </c>
      <c r="DU146" s="2"/>
      <c r="DV146" s="252">
        <v>720</v>
      </c>
      <c r="DY146" s="252">
        <v>405.18</v>
      </c>
      <c r="DZ146" s="264">
        <v>3.9399999999999998E-2</v>
      </c>
      <c r="EA146" s="252">
        <v>0</v>
      </c>
      <c r="EB146" s="253">
        <v>0</v>
      </c>
    </row>
    <row r="147" spans="1:132">
      <c r="A147">
        <v>141</v>
      </c>
      <c r="B147" s="259">
        <v>9.2019000000000002</v>
      </c>
      <c r="C147">
        <v>141</v>
      </c>
      <c r="D147" s="168">
        <f t="shared" si="21"/>
        <v>-1.9801888314170402E-3</v>
      </c>
      <c r="E147" s="246">
        <v>43709</v>
      </c>
      <c r="F147" s="186">
        <v>-0.2</v>
      </c>
      <c r="G147" s="247">
        <v>217235.09</v>
      </c>
      <c r="H147" s="247">
        <v>543.93759999999997</v>
      </c>
      <c r="I147" s="248">
        <v>120.5</v>
      </c>
      <c r="J147" s="258">
        <f t="shared" si="27"/>
        <v>-1.657000828500399E-3</v>
      </c>
      <c r="K147" s="298"/>
      <c r="L147" s="252">
        <v>300</v>
      </c>
      <c r="M147" s="263"/>
      <c r="N147" s="263"/>
      <c r="O147" s="473">
        <v>328.76</v>
      </c>
      <c r="P147" s="474">
        <v>328.76</v>
      </c>
      <c r="Q147" s="474">
        <v>430.86</v>
      </c>
      <c r="R147" s="475">
        <v>0.09</v>
      </c>
      <c r="S147" s="533">
        <f t="shared" si="28"/>
        <v>141</v>
      </c>
      <c r="T147" s="460">
        <v>75.260000000000005</v>
      </c>
      <c r="U147" s="460">
        <v>10.56</v>
      </c>
      <c r="V147" s="460">
        <v>353.76</v>
      </c>
      <c r="W147" s="460"/>
      <c r="X147" s="254">
        <v>51.09</v>
      </c>
      <c r="Y147" s="461">
        <v>7.4999999999999997E-2</v>
      </c>
      <c r="Z147" s="460">
        <v>22.5</v>
      </c>
      <c r="AA147" s="460">
        <v>10.26</v>
      </c>
      <c r="AB147" s="460">
        <v>437.73</v>
      </c>
      <c r="AC147" s="462">
        <v>353.75</v>
      </c>
      <c r="AD147" s="463">
        <v>0.3</v>
      </c>
      <c r="AE147" s="460">
        <v>40.83</v>
      </c>
      <c r="AF147" s="460">
        <v>61.32</v>
      </c>
      <c r="AG147" s="460">
        <v>20.62</v>
      </c>
      <c r="AH147" s="460"/>
      <c r="AI147" s="460"/>
      <c r="AJ147" s="460"/>
      <c r="AK147" s="460"/>
      <c r="AL147" s="253"/>
      <c r="AM147" s="273">
        <v>0.1</v>
      </c>
      <c r="AN147" s="255">
        <v>0.08</v>
      </c>
      <c r="AO147" s="160">
        <v>0.1</v>
      </c>
      <c r="AP147" s="536">
        <v>480.1</v>
      </c>
      <c r="AQ147" s="536"/>
      <c r="AR147" s="505">
        <f t="shared" si="29"/>
        <v>141</v>
      </c>
      <c r="AS147" s="480">
        <v>257.37</v>
      </c>
      <c r="AT147" s="480">
        <v>191.57</v>
      </c>
      <c r="AU147" s="480"/>
      <c r="AV147" s="480"/>
      <c r="AW147" s="480"/>
      <c r="AX147" s="480"/>
      <c r="AY147" s="480">
        <v>303.18</v>
      </c>
      <c r="AZ147" s="499" t="s">
        <v>5323</v>
      </c>
      <c r="BA147" s="502">
        <v>23.57</v>
      </c>
      <c r="BB147" s="501"/>
      <c r="BC147" s="510">
        <v>237.16</v>
      </c>
      <c r="BD147" s="510">
        <v>1222.49</v>
      </c>
      <c r="BE147" s="504">
        <v>0.2</v>
      </c>
      <c r="BF147" s="503">
        <v>0.22</v>
      </c>
      <c r="BG147" s="502">
        <v>16.66</v>
      </c>
      <c r="BH147" s="502">
        <v>1414.05</v>
      </c>
      <c r="BI147" s="502">
        <v>19.170000000000002</v>
      </c>
      <c r="BJ147" s="502"/>
      <c r="BK147" s="502"/>
      <c r="BL147" s="510"/>
      <c r="BM147" s="511">
        <v>0.16200000000000001</v>
      </c>
      <c r="BN147" s="511"/>
      <c r="BO147" s="511" t="s">
        <v>5340</v>
      </c>
      <c r="BP147" s="252"/>
      <c r="BQ147" s="252"/>
      <c r="BR147" s="511">
        <v>0.22</v>
      </c>
      <c r="BS147" s="252"/>
      <c r="BT147" s="252"/>
      <c r="BU147" s="524">
        <f t="shared" si="30"/>
        <v>141</v>
      </c>
      <c r="BV147" s="489">
        <v>158.63</v>
      </c>
      <c r="BW147" s="304">
        <v>4.4999999999999998E-2</v>
      </c>
      <c r="BX147" s="254">
        <v>364</v>
      </c>
      <c r="BY147" s="304">
        <v>3.9399999999999998E-2</v>
      </c>
      <c r="BZ147" s="494">
        <v>19.170000000000002</v>
      </c>
      <c r="CA147" s="497">
        <v>0.3</v>
      </c>
      <c r="CB147" s="497"/>
      <c r="CC147" s="494">
        <v>424</v>
      </c>
      <c r="CD147" s="241">
        <f t="shared" si="22"/>
        <v>141</v>
      </c>
      <c r="CE147" s="2"/>
      <c r="CF147" s="2">
        <v>490.8</v>
      </c>
      <c r="CG147" s="2"/>
      <c r="CH147" s="2"/>
      <c r="CI147" s="2"/>
      <c r="CJ147" s="252"/>
      <c r="CK147" s="252"/>
      <c r="CL147" s="252">
        <v>546.33000000000004</v>
      </c>
      <c r="CM147" s="253"/>
      <c r="CO147" s="5">
        <v>0.08</v>
      </c>
      <c r="CU147" s="266">
        <f t="shared" si="23"/>
        <v>181</v>
      </c>
      <c r="CV147" s="267">
        <f t="shared" si="24"/>
        <v>362</v>
      </c>
      <c r="CW147" s="268">
        <f t="shared" si="25"/>
        <v>904.99</v>
      </c>
      <c r="CX147" s="418">
        <v>184</v>
      </c>
      <c r="CY147" s="252"/>
      <c r="CZ147" s="252"/>
      <c r="DA147" s="252"/>
      <c r="DB147" s="252"/>
      <c r="DC147" s="252"/>
      <c r="DD147" s="252"/>
      <c r="DE147" s="252"/>
      <c r="DF147" s="252">
        <f t="shared" si="31"/>
        <v>0</v>
      </c>
      <c r="DG147" s="252"/>
      <c r="DH147" s="252">
        <v>489.06</v>
      </c>
      <c r="DI147" s="252"/>
      <c r="DK147" s="252"/>
      <c r="DL147" s="252"/>
      <c r="DP147" s="6">
        <v>7.2499999999999995E-2</v>
      </c>
      <c r="DQ147" s="252">
        <v>39.42</v>
      </c>
      <c r="DR147" s="3">
        <v>546.33000000000004</v>
      </c>
      <c r="DT147" s="241">
        <f t="shared" si="26"/>
        <v>141</v>
      </c>
      <c r="DU147" s="2"/>
      <c r="DV147" s="252">
        <v>720</v>
      </c>
      <c r="DY147" s="252">
        <v>405.18</v>
      </c>
      <c r="DZ147" s="264">
        <v>3.9399999999999998E-2</v>
      </c>
      <c r="EA147" s="252">
        <v>0</v>
      </c>
      <c r="EB147" s="253">
        <v>0</v>
      </c>
    </row>
    <row r="148" spans="1:132">
      <c r="A148">
        <v>142</v>
      </c>
      <c r="B148" s="259">
        <v>10.2019</v>
      </c>
      <c r="C148">
        <v>142</v>
      </c>
      <c r="D148" s="168">
        <f t="shared" si="21"/>
        <v>3.968235518488239E-3</v>
      </c>
      <c r="E148" s="246">
        <v>43739</v>
      </c>
      <c r="F148" s="186">
        <v>0.39</v>
      </c>
      <c r="G148" s="247">
        <v>218097.13</v>
      </c>
      <c r="H148" s="247">
        <v>546.09609999999998</v>
      </c>
      <c r="I148" s="248">
        <v>121</v>
      </c>
      <c r="J148" s="258">
        <f t="shared" si="27"/>
        <v>4.1493775933609811E-3</v>
      </c>
      <c r="K148" s="298"/>
      <c r="L148" s="252">
        <v>300</v>
      </c>
      <c r="M148" s="263"/>
      <c r="N148" s="263"/>
      <c r="O148" s="473">
        <v>328.76</v>
      </c>
      <c r="P148" s="474">
        <v>328.76</v>
      </c>
      <c r="Q148" s="474">
        <v>430.86</v>
      </c>
      <c r="R148" s="475">
        <v>0.09</v>
      </c>
      <c r="S148" s="533">
        <f t="shared" si="28"/>
        <v>142</v>
      </c>
      <c r="T148" s="460">
        <v>75.260000000000005</v>
      </c>
      <c r="U148" s="460">
        <v>10.56</v>
      </c>
      <c r="V148" s="460">
        <v>353.76</v>
      </c>
      <c r="W148" s="460"/>
      <c r="X148" s="254">
        <v>51.09</v>
      </c>
      <c r="Y148" s="461">
        <v>7.4999999999999997E-2</v>
      </c>
      <c r="Z148" s="460">
        <v>22.5</v>
      </c>
      <c r="AA148" s="460">
        <v>10.26</v>
      </c>
      <c r="AB148" s="460">
        <v>437.73</v>
      </c>
      <c r="AC148" s="462">
        <v>353.75</v>
      </c>
      <c r="AD148" s="463">
        <v>0.3</v>
      </c>
      <c r="AE148" s="460">
        <v>40.83</v>
      </c>
      <c r="AF148" s="460">
        <v>61.32</v>
      </c>
      <c r="AG148" s="460">
        <v>20.62</v>
      </c>
      <c r="AH148" s="460"/>
      <c r="AI148" s="460"/>
      <c r="AJ148" s="460"/>
      <c r="AK148" s="460"/>
      <c r="AL148" s="253"/>
      <c r="AM148" s="273">
        <v>0.1</v>
      </c>
      <c r="AN148" s="255">
        <v>0.08</v>
      </c>
      <c r="AO148" s="160">
        <v>0.1</v>
      </c>
      <c r="AP148" s="536">
        <v>480.1</v>
      </c>
      <c r="AQ148" s="536"/>
      <c r="AR148" s="505">
        <f t="shared" si="29"/>
        <v>142</v>
      </c>
      <c r="AS148" s="480">
        <v>257.37</v>
      </c>
      <c r="AT148" s="480">
        <v>191.57</v>
      </c>
      <c r="AU148" s="480"/>
      <c r="AV148" s="480"/>
      <c r="AW148" s="480"/>
      <c r="AX148" s="480"/>
      <c r="AY148" s="480">
        <v>303.18</v>
      </c>
      <c r="AZ148" s="499" t="s">
        <v>5323</v>
      </c>
      <c r="BA148" s="502">
        <v>23.57</v>
      </c>
      <c r="BB148" s="502"/>
      <c r="BC148" s="510">
        <v>237.16</v>
      </c>
      <c r="BD148" s="510">
        <v>1222.49</v>
      </c>
      <c r="BE148" s="504">
        <v>0.2</v>
      </c>
      <c r="BF148" s="503">
        <v>0.22</v>
      </c>
      <c r="BG148" s="502">
        <v>16.66</v>
      </c>
      <c r="BH148" s="502">
        <v>1414.05</v>
      </c>
      <c r="BI148" s="502">
        <v>19.170000000000002</v>
      </c>
      <c r="BJ148" s="502"/>
      <c r="BK148" s="502"/>
      <c r="BL148" s="510"/>
      <c r="BM148" s="511">
        <v>0.16200000000000001</v>
      </c>
      <c r="BN148" s="511"/>
      <c r="BO148" s="511" t="s">
        <v>5340</v>
      </c>
      <c r="BP148" s="252"/>
      <c r="BQ148" s="252"/>
      <c r="BR148" s="511">
        <v>0.22</v>
      </c>
      <c r="BS148" s="252"/>
      <c r="BT148" s="252"/>
      <c r="BU148" s="524">
        <f t="shared" si="30"/>
        <v>142</v>
      </c>
      <c r="BV148" s="489">
        <v>158.63</v>
      </c>
      <c r="BW148" s="304">
        <v>4.4999999999999998E-2</v>
      </c>
      <c r="BX148" s="254">
        <v>364</v>
      </c>
      <c r="BY148" s="304">
        <v>3.9399999999999998E-2</v>
      </c>
      <c r="BZ148" s="494">
        <v>19.170000000000002</v>
      </c>
      <c r="CA148" s="497">
        <v>0.3</v>
      </c>
      <c r="CB148" s="497"/>
      <c r="CC148" s="494">
        <v>424</v>
      </c>
      <c r="CD148" s="241">
        <f t="shared" si="22"/>
        <v>142</v>
      </c>
      <c r="CE148" s="2"/>
      <c r="CF148" s="2">
        <v>490.8</v>
      </c>
      <c r="CG148" s="2"/>
      <c r="CH148" s="2"/>
      <c r="CI148" s="2"/>
      <c r="CJ148" s="252"/>
      <c r="CK148" s="252"/>
      <c r="CL148" s="252">
        <v>546.33000000000004</v>
      </c>
      <c r="CM148" s="253"/>
      <c r="CO148" s="253">
        <v>0.08</v>
      </c>
      <c r="CU148" s="266">
        <f t="shared" si="23"/>
        <v>181</v>
      </c>
      <c r="CV148" s="267">
        <f t="shared" si="24"/>
        <v>362</v>
      </c>
      <c r="CW148" s="268">
        <f t="shared" si="25"/>
        <v>904.99</v>
      </c>
      <c r="CX148" s="418">
        <v>184</v>
      </c>
      <c r="CY148" s="252"/>
      <c r="CZ148" s="252"/>
      <c r="DA148" s="252"/>
      <c r="DB148" s="252"/>
      <c r="DC148" s="252"/>
      <c r="DD148" s="252"/>
      <c r="DE148" s="252"/>
      <c r="DF148" s="252">
        <f t="shared" si="31"/>
        <v>0</v>
      </c>
      <c r="DG148" s="252"/>
      <c r="DH148" s="252">
        <v>489.06</v>
      </c>
      <c r="DI148" s="252"/>
      <c r="DK148" s="252"/>
      <c r="DL148" s="252"/>
      <c r="DP148" s="6">
        <v>7.2499999999999995E-2</v>
      </c>
      <c r="DQ148" s="252">
        <v>39.42</v>
      </c>
      <c r="DR148" s="3">
        <v>546.33000000000004</v>
      </c>
      <c r="DT148" s="241">
        <f t="shared" si="26"/>
        <v>142</v>
      </c>
      <c r="DU148" s="2"/>
      <c r="DV148" s="252">
        <v>720</v>
      </c>
      <c r="DY148" s="252">
        <v>405.18</v>
      </c>
      <c r="DZ148" s="264">
        <v>3.9399999999999998E-2</v>
      </c>
      <c r="EA148" s="252">
        <v>0</v>
      </c>
      <c r="EB148" s="253">
        <v>0</v>
      </c>
    </row>
    <row r="149" spans="1:132">
      <c r="A149">
        <v>143</v>
      </c>
      <c r="B149" s="259">
        <v>11.2019</v>
      </c>
      <c r="C149">
        <v>143</v>
      </c>
      <c r="D149" s="168">
        <f t="shared" si="21"/>
        <v>-3.9525508657541897E-3</v>
      </c>
      <c r="E149" s="246">
        <v>43770</v>
      </c>
      <c r="F149" s="186">
        <v>-0.4</v>
      </c>
      <c r="G149" s="247">
        <v>217235.09</v>
      </c>
      <c r="H149" s="247">
        <v>543.93759999999997</v>
      </c>
      <c r="I149" s="248">
        <v>120.5</v>
      </c>
      <c r="J149" s="258">
        <f t="shared" si="27"/>
        <v>-4.1322314049586639E-3</v>
      </c>
      <c r="K149" s="298"/>
      <c r="L149" s="252">
        <v>300</v>
      </c>
      <c r="M149" s="263"/>
      <c r="N149" s="263"/>
      <c r="O149" s="473">
        <v>328.76</v>
      </c>
      <c r="P149" s="474">
        <v>328.76</v>
      </c>
      <c r="Q149" s="474">
        <v>430.86</v>
      </c>
      <c r="R149" s="475">
        <v>0.09</v>
      </c>
      <c r="S149" s="533">
        <f t="shared" si="28"/>
        <v>143</v>
      </c>
      <c r="T149" s="460">
        <v>75.260000000000005</v>
      </c>
      <c r="U149" s="460">
        <v>10.56</v>
      </c>
      <c r="V149" s="460">
        <v>353.76</v>
      </c>
      <c r="W149" s="460"/>
      <c r="X149" s="254">
        <v>51.09</v>
      </c>
      <c r="Y149" s="461">
        <v>7.4999999999999997E-2</v>
      </c>
      <c r="Z149" s="460">
        <v>22.5</v>
      </c>
      <c r="AA149" s="460">
        <v>10.26</v>
      </c>
      <c r="AB149" s="460">
        <v>437.73</v>
      </c>
      <c r="AC149" s="462">
        <v>353.75</v>
      </c>
      <c r="AD149" s="463">
        <v>0.3</v>
      </c>
      <c r="AE149" s="460">
        <v>40.83</v>
      </c>
      <c r="AF149" s="460">
        <v>61.32</v>
      </c>
      <c r="AG149" s="460">
        <v>20.62</v>
      </c>
      <c r="AH149" s="460"/>
      <c r="AI149" s="460"/>
      <c r="AJ149" s="460"/>
      <c r="AK149" s="460"/>
      <c r="AL149" s="253"/>
      <c r="AM149" s="273">
        <v>0.1</v>
      </c>
      <c r="AN149" s="255">
        <v>0.08</v>
      </c>
      <c r="AO149" s="160">
        <v>0.1</v>
      </c>
      <c r="AP149" s="536">
        <v>480.1</v>
      </c>
      <c r="AQ149" s="536"/>
      <c r="AR149" s="505">
        <f t="shared" si="29"/>
        <v>143</v>
      </c>
      <c r="AS149" s="480">
        <v>257.37</v>
      </c>
      <c r="AT149" s="480">
        <v>191.57</v>
      </c>
      <c r="AU149" s="480"/>
      <c r="AV149" s="480"/>
      <c r="AW149" s="480"/>
      <c r="AX149" s="480"/>
      <c r="AY149" s="480">
        <v>303.18</v>
      </c>
      <c r="AZ149" s="499" t="s">
        <v>5323</v>
      </c>
      <c r="BA149" s="502">
        <v>23.57</v>
      </c>
      <c r="BB149" s="501"/>
      <c r="BC149" s="510">
        <v>237.16</v>
      </c>
      <c r="BD149" s="510">
        <v>1222.49</v>
      </c>
      <c r="BE149" s="504">
        <v>0.2</v>
      </c>
      <c r="BF149" s="503">
        <v>0.22</v>
      </c>
      <c r="BG149" s="502">
        <v>16.66</v>
      </c>
      <c r="BH149" s="502">
        <v>1414.05</v>
      </c>
      <c r="BI149" s="502">
        <v>19.170000000000002</v>
      </c>
      <c r="BJ149" s="502"/>
      <c r="BK149" s="502"/>
      <c r="BL149" s="510"/>
      <c r="BM149" s="511">
        <v>0.16200000000000001</v>
      </c>
      <c r="BN149" s="511"/>
      <c r="BO149" s="511" t="s">
        <v>5340</v>
      </c>
      <c r="BP149" s="252"/>
      <c r="BQ149" s="252"/>
      <c r="BR149" s="511">
        <v>0.22</v>
      </c>
      <c r="BS149" s="252"/>
      <c r="BT149" s="252"/>
      <c r="BU149" s="524">
        <f t="shared" si="30"/>
        <v>143</v>
      </c>
      <c r="BV149" s="489">
        <v>158.63</v>
      </c>
      <c r="BW149" s="304">
        <v>4.4999999999999998E-2</v>
      </c>
      <c r="BX149" s="254">
        <v>364</v>
      </c>
      <c r="BY149" s="304">
        <v>3.9399999999999998E-2</v>
      </c>
      <c r="BZ149" s="494">
        <v>19.170000000000002</v>
      </c>
      <c r="CA149" s="497">
        <v>0.3</v>
      </c>
      <c r="CB149" s="497"/>
      <c r="CC149" s="494">
        <v>424</v>
      </c>
      <c r="CD149" s="241">
        <f t="shared" si="22"/>
        <v>143</v>
      </c>
      <c r="CE149" s="2"/>
      <c r="CF149" s="2">
        <v>490.8</v>
      </c>
      <c r="CG149" s="2"/>
      <c r="CH149" s="2"/>
      <c r="CI149" s="2"/>
      <c r="CJ149" s="252"/>
      <c r="CK149" s="252"/>
      <c r="CL149" s="252">
        <v>546.33000000000004</v>
      </c>
      <c r="CM149" s="253"/>
      <c r="CO149" s="5">
        <v>0.08</v>
      </c>
      <c r="CU149" s="266">
        <f t="shared" si="23"/>
        <v>181</v>
      </c>
      <c r="CV149" s="267">
        <f t="shared" si="24"/>
        <v>362</v>
      </c>
      <c r="CW149" s="268">
        <f t="shared" si="25"/>
        <v>904.99</v>
      </c>
      <c r="CX149" s="418">
        <v>184</v>
      </c>
      <c r="CY149" s="252"/>
      <c r="CZ149" s="252"/>
      <c r="DA149" s="252"/>
      <c r="DB149" s="252"/>
      <c r="DC149" s="252"/>
      <c r="DD149" s="252"/>
      <c r="DE149" s="252"/>
      <c r="DF149" s="252">
        <f t="shared" si="31"/>
        <v>0</v>
      </c>
      <c r="DG149" s="252"/>
      <c r="DH149" s="252">
        <v>489.06</v>
      </c>
      <c r="DI149" s="252"/>
      <c r="DK149" s="252"/>
      <c r="DL149" s="252"/>
      <c r="DP149" s="6">
        <v>7.2499999999999995E-2</v>
      </c>
      <c r="DQ149" s="252">
        <v>39.42</v>
      </c>
      <c r="DR149" s="3">
        <v>546.33000000000004</v>
      </c>
      <c r="DT149" s="241">
        <f t="shared" si="26"/>
        <v>143</v>
      </c>
      <c r="DU149" s="2"/>
      <c r="DV149" s="252">
        <v>720</v>
      </c>
      <c r="DY149" s="252">
        <v>405.18</v>
      </c>
      <c r="DZ149" s="264">
        <v>3.9399999999999998E-2</v>
      </c>
      <c r="EA149" s="252">
        <v>0</v>
      </c>
      <c r="EB149" s="253">
        <v>0</v>
      </c>
    </row>
    <row r="150" spans="1:132">
      <c r="A150">
        <v>144</v>
      </c>
      <c r="B150" s="259">
        <v>12.2019</v>
      </c>
      <c r="C150">
        <v>144</v>
      </c>
      <c r="D150" s="168">
        <f t="shared" si="21"/>
        <v>0</v>
      </c>
      <c r="E150" s="246">
        <v>43800</v>
      </c>
      <c r="F150" s="186">
        <v>0</v>
      </c>
      <c r="G150" s="247">
        <v>217235.09</v>
      </c>
      <c r="H150" s="247">
        <v>543.93759999999997</v>
      </c>
      <c r="I150" s="248">
        <v>120.5</v>
      </c>
      <c r="J150" s="258">
        <f t="shared" si="27"/>
        <v>0</v>
      </c>
      <c r="K150" s="298"/>
      <c r="L150" s="252">
        <v>300</v>
      </c>
      <c r="M150" s="263"/>
      <c r="N150" s="263"/>
      <c r="O150" s="473">
        <v>328.76</v>
      </c>
      <c r="P150" s="474">
        <v>328.76</v>
      </c>
      <c r="Q150" s="474">
        <v>430.86</v>
      </c>
      <c r="R150" s="475">
        <v>0.09</v>
      </c>
      <c r="S150" s="533">
        <f t="shared" si="28"/>
        <v>144</v>
      </c>
      <c r="T150" s="460">
        <v>75.260000000000005</v>
      </c>
      <c r="U150" s="460">
        <v>10.56</v>
      </c>
      <c r="V150" s="460">
        <v>353.76</v>
      </c>
      <c r="W150" s="460"/>
      <c r="X150" s="254">
        <v>51.09</v>
      </c>
      <c r="Y150" s="461">
        <v>7.4999999999999997E-2</v>
      </c>
      <c r="Z150" s="460">
        <v>22.5</v>
      </c>
      <c r="AA150" s="460">
        <v>10.26</v>
      </c>
      <c r="AB150" s="460">
        <v>437.73</v>
      </c>
      <c r="AC150" s="462">
        <v>353.75</v>
      </c>
      <c r="AD150" s="463">
        <v>0.3</v>
      </c>
      <c r="AE150" s="460">
        <v>40.83</v>
      </c>
      <c r="AF150" s="460">
        <v>61.32</v>
      </c>
      <c r="AG150" s="460">
        <v>20.62</v>
      </c>
      <c r="AH150" s="460"/>
      <c r="AI150" s="460"/>
      <c r="AJ150" s="460"/>
      <c r="AK150" s="460"/>
      <c r="AL150" s="253"/>
      <c r="AM150" s="273">
        <v>0.1</v>
      </c>
      <c r="AN150" s="255">
        <v>0.08</v>
      </c>
      <c r="AO150" s="160">
        <v>0.1</v>
      </c>
      <c r="AP150" s="536">
        <v>480.1</v>
      </c>
      <c r="AQ150" s="536"/>
      <c r="AR150" s="505">
        <f t="shared" si="29"/>
        <v>144</v>
      </c>
      <c r="AS150" s="480">
        <v>257.37</v>
      </c>
      <c r="AT150" s="480">
        <v>191.57</v>
      </c>
      <c r="AU150" s="480"/>
      <c r="AV150" s="480"/>
      <c r="AW150" s="480"/>
      <c r="AX150" s="480"/>
      <c r="AY150" s="480">
        <v>303.18</v>
      </c>
      <c r="AZ150" s="499" t="s">
        <v>5323</v>
      </c>
      <c r="BA150" s="502">
        <v>23.57</v>
      </c>
      <c r="BB150" s="502"/>
      <c r="BC150" s="510">
        <v>237.16</v>
      </c>
      <c r="BD150" s="510">
        <v>1222.49</v>
      </c>
      <c r="BE150" s="504">
        <v>0.2</v>
      </c>
      <c r="BF150" s="503">
        <v>0.22</v>
      </c>
      <c r="BG150" s="502">
        <v>16.66</v>
      </c>
      <c r="BH150" s="502">
        <v>1414.05</v>
      </c>
      <c r="BI150" s="502">
        <v>19.170000000000002</v>
      </c>
      <c r="BJ150" s="502"/>
      <c r="BK150" s="502"/>
      <c r="BL150" s="510"/>
      <c r="BM150" s="511">
        <v>0.16200000000000001</v>
      </c>
      <c r="BN150" s="511"/>
      <c r="BO150" s="511" t="s">
        <v>5340</v>
      </c>
      <c r="BP150" s="252"/>
      <c r="BQ150" s="252"/>
      <c r="BR150" s="511">
        <v>0.22</v>
      </c>
      <c r="BS150" s="252"/>
      <c r="BT150" s="252"/>
      <c r="BU150" s="524">
        <f t="shared" si="30"/>
        <v>144</v>
      </c>
      <c r="BV150" s="489">
        <v>158.63</v>
      </c>
      <c r="BW150" s="304">
        <v>4.4999999999999998E-2</v>
      </c>
      <c r="BX150" s="254">
        <v>364</v>
      </c>
      <c r="BY150" s="304">
        <v>3.9399999999999998E-2</v>
      </c>
      <c r="BZ150" s="494">
        <v>19.170000000000002</v>
      </c>
      <c r="CA150" s="497">
        <v>0.3</v>
      </c>
      <c r="CB150" s="497"/>
      <c r="CC150" s="494">
        <v>424</v>
      </c>
      <c r="CD150" s="241">
        <f t="shared" si="22"/>
        <v>144</v>
      </c>
      <c r="CE150" s="2"/>
      <c r="CF150" s="2">
        <v>490.8</v>
      </c>
      <c r="CG150" s="2"/>
      <c r="CH150" s="2"/>
      <c r="CI150" s="2"/>
      <c r="CJ150" s="252"/>
      <c r="CK150" s="252"/>
      <c r="CL150" s="252">
        <v>546.33000000000004</v>
      </c>
      <c r="CM150" s="253"/>
      <c r="CO150" s="253">
        <v>0.08</v>
      </c>
      <c r="CU150" s="266">
        <f t="shared" si="23"/>
        <v>181</v>
      </c>
      <c r="CV150" s="267">
        <f t="shared" si="24"/>
        <v>362</v>
      </c>
      <c r="CW150" s="268">
        <f t="shared" si="25"/>
        <v>904.99</v>
      </c>
      <c r="CX150" s="418">
        <v>184</v>
      </c>
      <c r="CY150" s="252"/>
      <c r="CZ150" s="252"/>
      <c r="DA150" s="252"/>
      <c r="DB150" s="252"/>
      <c r="DC150" s="252"/>
      <c r="DD150" s="252"/>
      <c r="DE150" s="252"/>
      <c r="DF150" s="252">
        <f t="shared" si="31"/>
        <v>0</v>
      </c>
      <c r="DG150" s="252"/>
      <c r="DH150" s="252">
        <v>489.06</v>
      </c>
      <c r="DI150" s="252"/>
      <c r="DK150" s="252"/>
      <c r="DL150" s="252"/>
      <c r="DP150" s="6">
        <v>7.2499999999999995E-2</v>
      </c>
      <c r="DQ150" s="252">
        <v>39.42</v>
      </c>
      <c r="DR150" s="3">
        <v>546.33000000000004</v>
      </c>
      <c r="DT150" s="241">
        <f t="shared" si="26"/>
        <v>144</v>
      </c>
      <c r="DU150" s="2"/>
      <c r="DV150" s="252">
        <v>720</v>
      </c>
      <c r="DY150" s="252">
        <v>405.18</v>
      </c>
      <c r="DZ150" s="264">
        <v>3.9399999999999998E-2</v>
      </c>
      <c r="EA150" s="252">
        <v>0</v>
      </c>
      <c r="EB150" s="253">
        <v>0</v>
      </c>
    </row>
    <row r="151" spans="1:132">
      <c r="A151">
        <v>145</v>
      </c>
      <c r="B151" s="259">
        <v>1.202</v>
      </c>
      <c r="C151">
        <v>145</v>
      </c>
      <c r="D151" s="168">
        <f t="shared" si="21"/>
        <v>-3.9682543920505076E-3</v>
      </c>
      <c r="E151" s="246">
        <v>43831</v>
      </c>
      <c r="F151" s="186">
        <v>-0.4</v>
      </c>
      <c r="G151" s="247">
        <v>216373.0459</v>
      </c>
      <c r="H151" s="247">
        <v>541.77909999999997</v>
      </c>
      <c r="I151" s="248">
        <v>120</v>
      </c>
      <c r="J151" s="258">
        <f t="shared" si="27"/>
        <v>-4.1493775933609811E-3</v>
      </c>
      <c r="K151" s="298">
        <v>3.8999999999999998E-3</v>
      </c>
      <c r="L151" s="252">
        <v>300</v>
      </c>
      <c r="M151" s="263"/>
      <c r="N151" s="263"/>
      <c r="O151" s="473">
        <v>328.76</v>
      </c>
      <c r="P151" s="474">
        <v>328.76</v>
      </c>
      <c r="Q151" s="474">
        <v>430.86</v>
      </c>
      <c r="R151" s="475">
        <v>0.09</v>
      </c>
      <c r="S151" s="533">
        <f t="shared" si="28"/>
        <v>145</v>
      </c>
      <c r="T151" s="460">
        <v>75.260000000000005</v>
      </c>
      <c r="U151" s="460">
        <v>10.56</v>
      </c>
      <c r="V151" s="460">
        <v>353.76</v>
      </c>
      <c r="W151" s="460"/>
      <c r="X151" s="254">
        <v>51.09</v>
      </c>
      <c r="Y151" s="461">
        <v>7.4999999999999997E-2</v>
      </c>
      <c r="Z151" s="460">
        <v>22.5</v>
      </c>
      <c r="AA151" s="460">
        <v>10.26</v>
      </c>
      <c r="AB151" s="460">
        <v>437.73</v>
      </c>
      <c r="AC151" s="462">
        <v>353.75</v>
      </c>
      <c r="AD151" s="463">
        <v>0.3</v>
      </c>
      <c r="AE151" s="460">
        <v>40.83</v>
      </c>
      <c r="AF151" s="460">
        <v>61.32</v>
      </c>
      <c r="AG151" s="460">
        <v>20.62</v>
      </c>
      <c r="AH151" s="460"/>
      <c r="AI151" s="460"/>
      <c r="AJ151" s="460"/>
      <c r="AK151" s="460"/>
      <c r="AL151" s="253"/>
      <c r="AM151" s="273">
        <v>0.1</v>
      </c>
      <c r="AN151" s="255">
        <v>0.08</v>
      </c>
      <c r="AO151" s="160">
        <v>0.1</v>
      </c>
      <c r="AP151" s="536">
        <v>480.1</v>
      </c>
      <c r="AQ151" s="536"/>
      <c r="AR151" s="505">
        <f t="shared" si="29"/>
        <v>145</v>
      </c>
      <c r="AS151" s="480">
        <v>257.37</v>
      </c>
      <c r="AT151" s="480">
        <v>191.57</v>
      </c>
      <c r="AU151" s="480"/>
      <c r="AV151" s="480"/>
      <c r="AW151" s="480"/>
      <c r="AX151" s="480"/>
      <c r="AY151" s="480">
        <v>303.18</v>
      </c>
      <c r="AZ151" s="499" t="s">
        <v>5323</v>
      </c>
      <c r="BA151" s="502">
        <v>23.57</v>
      </c>
      <c r="BB151" s="501"/>
      <c r="BC151" s="510">
        <v>237.16</v>
      </c>
      <c r="BD151" s="510">
        <v>1222.49</v>
      </c>
      <c r="BE151" s="504">
        <v>0.2</v>
      </c>
      <c r="BF151" s="503">
        <v>0.22</v>
      </c>
      <c r="BG151" s="502">
        <v>16.66</v>
      </c>
      <c r="BH151" s="502">
        <v>1414.05</v>
      </c>
      <c r="BI151" s="502">
        <v>19.170000000000002</v>
      </c>
      <c r="BJ151" s="502"/>
      <c r="BK151" s="502"/>
      <c r="BL151" s="510"/>
      <c r="BM151" s="511">
        <v>0.16200000000000001</v>
      </c>
      <c r="BN151" s="511"/>
      <c r="BO151" s="511" t="s">
        <v>5340</v>
      </c>
      <c r="BP151" s="252"/>
      <c r="BQ151" s="252"/>
      <c r="BR151" s="511">
        <v>0.22</v>
      </c>
      <c r="BS151" s="252"/>
      <c r="BT151" s="252"/>
      <c r="BU151" s="524">
        <f t="shared" si="30"/>
        <v>145</v>
      </c>
      <c r="BV151" s="489">
        <v>158.63</v>
      </c>
      <c r="BW151" s="304">
        <v>4.4999999999999998E-2</v>
      </c>
      <c r="BX151" s="254">
        <v>366.18</v>
      </c>
      <c r="BY151" s="304">
        <v>3.9399999999999998E-2</v>
      </c>
      <c r="BZ151" s="494">
        <v>19.170000000000002</v>
      </c>
      <c r="CA151" s="497">
        <v>0.3</v>
      </c>
      <c r="CB151" s="497"/>
      <c r="CC151" s="494">
        <v>424</v>
      </c>
      <c r="CD151" s="241">
        <f t="shared" si="22"/>
        <v>145</v>
      </c>
      <c r="CE151" s="2"/>
      <c r="CF151" s="2">
        <v>490.8</v>
      </c>
      <c r="CG151" s="2"/>
      <c r="CH151" s="2"/>
      <c r="CI151" s="2"/>
      <c r="CJ151" s="252"/>
      <c r="CK151" s="252"/>
      <c r="CL151" s="252">
        <v>546.33000000000004</v>
      </c>
      <c r="CM151" s="253"/>
      <c r="CO151" s="5">
        <v>0.08</v>
      </c>
      <c r="CU151" s="266">
        <f t="shared" si="23"/>
        <v>181</v>
      </c>
      <c r="CV151" s="267">
        <f t="shared" si="24"/>
        <v>362</v>
      </c>
      <c r="CW151" s="268">
        <f t="shared" si="25"/>
        <v>904.99</v>
      </c>
      <c r="CX151" s="418">
        <v>184</v>
      </c>
      <c r="CY151" s="252"/>
      <c r="CZ151" s="252"/>
      <c r="DA151" s="252"/>
      <c r="DB151" s="252"/>
      <c r="DC151" s="252"/>
      <c r="DD151" s="252"/>
      <c r="DE151" s="252"/>
      <c r="DF151" s="252">
        <f t="shared" si="31"/>
        <v>0</v>
      </c>
      <c r="DG151" s="252"/>
      <c r="DH151" s="252">
        <v>489.06</v>
      </c>
      <c r="DI151" s="252"/>
      <c r="DK151" s="252"/>
      <c r="DL151" s="252"/>
      <c r="DP151" s="6">
        <v>7.2499999999999995E-2</v>
      </c>
      <c r="DQ151" s="252">
        <v>39.42</v>
      </c>
      <c r="DR151" s="3">
        <v>546.33000000000004</v>
      </c>
      <c r="DT151" s="241">
        <f t="shared" si="26"/>
        <v>145</v>
      </c>
      <c r="DU151" s="2"/>
      <c r="DV151" s="252">
        <v>720</v>
      </c>
      <c r="DY151" s="252">
        <v>405.18</v>
      </c>
      <c r="DZ151" s="264">
        <v>3.9399999999999998E-2</v>
      </c>
      <c r="EA151" s="252">
        <v>0</v>
      </c>
      <c r="EB151" s="253">
        <v>0</v>
      </c>
    </row>
    <row r="152" spans="1:132">
      <c r="A152">
        <v>146</v>
      </c>
      <c r="B152" s="259">
        <v>2.202</v>
      </c>
      <c r="C152">
        <v>146</v>
      </c>
      <c r="D152" s="168">
        <f t="shared" si="21"/>
        <v>-9.9601592750886425E-4</v>
      </c>
      <c r="E152" s="246">
        <v>43862</v>
      </c>
      <c r="F152" s="186">
        <v>-0.1</v>
      </c>
      <c r="G152" s="247">
        <v>216157.5349</v>
      </c>
      <c r="H152" s="247">
        <v>541.23950000000002</v>
      </c>
      <c r="I152" s="248">
        <v>119.9</v>
      </c>
      <c r="J152" s="258">
        <f t="shared" si="27"/>
        <v>-8.3333333333324155E-4</v>
      </c>
      <c r="K152" s="298"/>
      <c r="L152" s="252">
        <v>300</v>
      </c>
      <c r="M152" s="263"/>
      <c r="N152" s="263"/>
      <c r="O152" s="473">
        <v>328.76</v>
      </c>
      <c r="P152" s="474">
        <v>328.76</v>
      </c>
      <c r="Q152" s="474">
        <v>430.86</v>
      </c>
      <c r="R152" s="475">
        <v>0.09</v>
      </c>
      <c r="S152" s="533">
        <f t="shared" si="28"/>
        <v>146</v>
      </c>
      <c r="T152" s="460">
        <v>75.260000000000005</v>
      </c>
      <c r="U152" s="460">
        <v>10.56</v>
      </c>
      <c r="V152" s="460">
        <v>353.76</v>
      </c>
      <c r="W152" s="460"/>
      <c r="X152" s="254">
        <v>51.09</v>
      </c>
      <c r="Y152" s="461">
        <v>7.4999999999999997E-2</v>
      </c>
      <c r="Z152" s="460">
        <v>22.5</v>
      </c>
      <c r="AA152" s="460">
        <v>10.26</v>
      </c>
      <c r="AB152" s="460">
        <v>437.73</v>
      </c>
      <c r="AC152" s="462">
        <v>353.75</v>
      </c>
      <c r="AD152" s="463">
        <v>0.3</v>
      </c>
      <c r="AE152" s="460">
        <v>40.83</v>
      </c>
      <c r="AF152" s="460">
        <v>61.32</v>
      </c>
      <c r="AG152" s="460">
        <v>20.62</v>
      </c>
      <c r="AH152" s="460"/>
      <c r="AI152" s="460"/>
      <c r="AJ152" s="460"/>
      <c r="AK152" s="460"/>
      <c r="AL152" s="253"/>
      <c r="AM152" s="273">
        <v>0.1</v>
      </c>
      <c r="AN152" s="255">
        <v>0.08</v>
      </c>
      <c r="AO152" s="160">
        <v>0.1</v>
      </c>
      <c r="AP152" s="536">
        <v>480.1</v>
      </c>
      <c r="AQ152" s="536"/>
      <c r="AR152" s="505">
        <f t="shared" si="29"/>
        <v>146</v>
      </c>
      <c r="AS152" s="480">
        <v>257.37</v>
      </c>
      <c r="AT152" s="480">
        <v>191.57</v>
      </c>
      <c r="AU152" s="480"/>
      <c r="AV152" s="480"/>
      <c r="AW152" s="480"/>
      <c r="AX152" s="480"/>
      <c r="AY152" s="480">
        <v>303.18</v>
      </c>
      <c r="AZ152" s="499" t="s">
        <v>5323</v>
      </c>
      <c r="BA152" s="502">
        <v>23.57</v>
      </c>
      <c r="BB152" s="502"/>
      <c r="BC152" s="510">
        <v>237.16</v>
      </c>
      <c r="BD152" s="510">
        <v>1222.49</v>
      </c>
      <c r="BE152" s="504">
        <v>0.2</v>
      </c>
      <c r="BF152" s="503">
        <v>0.22</v>
      </c>
      <c r="BG152" s="502">
        <v>16.66</v>
      </c>
      <c r="BH152" s="502">
        <v>1414.05</v>
      </c>
      <c r="BI152" s="502">
        <v>19.170000000000002</v>
      </c>
      <c r="BJ152" s="502"/>
      <c r="BK152" s="502"/>
      <c r="BL152" s="510"/>
      <c r="BM152" s="511">
        <v>0.16200000000000001</v>
      </c>
      <c r="BN152" s="511"/>
      <c r="BO152" s="511" t="s">
        <v>5340</v>
      </c>
      <c r="BP152" s="252"/>
      <c r="BQ152" s="252"/>
      <c r="BR152" s="511">
        <v>0.22</v>
      </c>
      <c r="BS152" s="252"/>
      <c r="BT152" s="252"/>
      <c r="BU152" s="524">
        <f t="shared" si="30"/>
        <v>146</v>
      </c>
      <c r="BV152" s="489">
        <v>158.63</v>
      </c>
      <c r="BW152" s="304">
        <v>4.4999999999999998E-2</v>
      </c>
      <c r="BX152" s="254">
        <v>366.18</v>
      </c>
      <c r="BY152" s="304">
        <v>3.9399999999999998E-2</v>
      </c>
      <c r="BZ152" s="494">
        <v>19.170000000000002</v>
      </c>
      <c r="CA152" s="497">
        <v>0.3</v>
      </c>
      <c r="CB152" s="497"/>
      <c r="CC152" s="494">
        <v>424</v>
      </c>
      <c r="CD152" s="241">
        <f t="shared" si="22"/>
        <v>146</v>
      </c>
      <c r="CE152" s="2"/>
      <c r="CF152" s="2">
        <v>490.8</v>
      </c>
      <c r="CG152" s="2"/>
      <c r="CH152" s="2"/>
      <c r="CI152" s="2"/>
      <c r="CJ152" s="252"/>
      <c r="CK152" s="252"/>
      <c r="CL152" s="252">
        <v>546.33000000000004</v>
      </c>
      <c r="CM152" s="253"/>
      <c r="CO152" s="253">
        <v>0.08</v>
      </c>
      <c r="CU152" s="266">
        <f t="shared" si="23"/>
        <v>181</v>
      </c>
      <c r="CV152" s="267">
        <f t="shared" si="24"/>
        <v>362</v>
      </c>
      <c r="CW152" s="268">
        <f t="shared" si="25"/>
        <v>904.99</v>
      </c>
      <c r="CX152" s="418">
        <v>184</v>
      </c>
      <c r="CY152" s="252"/>
      <c r="CZ152" s="252"/>
      <c r="DA152" s="252"/>
      <c r="DB152" s="252"/>
      <c r="DC152" s="252"/>
      <c r="DD152" s="252"/>
      <c r="DE152" s="252"/>
      <c r="DF152" s="252">
        <f t="shared" si="31"/>
        <v>0</v>
      </c>
      <c r="DG152" s="252"/>
      <c r="DH152" s="252">
        <v>489.06</v>
      </c>
      <c r="DI152" s="252"/>
      <c r="DK152" s="252"/>
      <c r="DL152" s="252"/>
      <c r="DP152" s="6">
        <v>7.2499999999999995E-2</v>
      </c>
      <c r="DQ152" s="252">
        <v>39.42</v>
      </c>
      <c r="DR152" s="3">
        <v>546.33000000000004</v>
      </c>
      <c r="DT152" s="241">
        <f t="shared" si="26"/>
        <v>146</v>
      </c>
      <c r="DU152" s="2"/>
      <c r="DV152" s="252">
        <v>720</v>
      </c>
      <c r="DY152" s="252">
        <v>405.18</v>
      </c>
      <c r="DZ152" s="264">
        <v>3.9399999999999998E-2</v>
      </c>
      <c r="EA152" s="252">
        <v>0</v>
      </c>
      <c r="EB152" s="253">
        <v>0</v>
      </c>
    </row>
    <row r="153" spans="1:132">
      <c r="A153">
        <v>147</v>
      </c>
      <c r="B153" s="259">
        <v>3.202</v>
      </c>
      <c r="C153">
        <v>147</v>
      </c>
      <c r="D153" s="168">
        <f t="shared" si="21"/>
        <v>3.9880358572685903E-3</v>
      </c>
      <c r="E153" s="246">
        <v>43891</v>
      </c>
      <c r="F153" s="186">
        <v>0.39</v>
      </c>
      <c r="G153" s="247">
        <v>217019.57889999999</v>
      </c>
      <c r="H153" s="247">
        <v>543.39800000000002</v>
      </c>
      <c r="I153" s="248">
        <v>120.4</v>
      </c>
      <c r="J153" s="258">
        <f t="shared" si="27"/>
        <v>4.17014178482078E-3</v>
      </c>
      <c r="K153" s="298"/>
      <c r="L153" s="252">
        <v>300</v>
      </c>
      <c r="M153" s="263"/>
      <c r="N153" s="263"/>
      <c r="O153" s="473">
        <v>328.76</v>
      </c>
      <c r="P153" s="474">
        <v>328.76</v>
      </c>
      <c r="Q153" s="474">
        <v>430.86</v>
      </c>
      <c r="R153" s="475">
        <v>0.09</v>
      </c>
      <c r="S153" s="533">
        <f t="shared" si="28"/>
        <v>147</v>
      </c>
      <c r="T153" s="460">
        <v>75.260000000000005</v>
      </c>
      <c r="U153" s="460">
        <v>10.56</v>
      </c>
      <c r="V153" s="460">
        <v>353.76</v>
      </c>
      <c r="W153" s="460"/>
      <c r="X153" s="254">
        <v>51.09</v>
      </c>
      <c r="Y153" s="461">
        <v>7.4999999999999997E-2</v>
      </c>
      <c r="Z153" s="460">
        <v>22.5</v>
      </c>
      <c r="AA153" s="460">
        <v>10.26</v>
      </c>
      <c r="AB153" s="460">
        <v>437.73</v>
      </c>
      <c r="AC153" s="462">
        <v>353.75</v>
      </c>
      <c r="AD153" s="463">
        <v>0.3</v>
      </c>
      <c r="AE153" s="460">
        <v>40.83</v>
      </c>
      <c r="AF153" s="460">
        <v>61.32</v>
      </c>
      <c r="AG153" s="460">
        <v>20.62</v>
      </c>
      <c r="AH153" s="460"/>
      <c r="AI153" s="460"/>
      <c r="AJ153" s="460"/>
      <c r="AK153" s="460"/>
      <c r="AL153" s="253"/>
      <c r="AM153" s="273">
        <v>0.1</v>
      </c>
      <c r="AN153" s="255">
        <v>0.08</v>
      </c>
      <c r="AO153" s="160">
        <v>0.1</v>
      </c>
      <c r="AP153" s="536">
        <v>480.1</v>
      </c>
      <c r="AQ153" s="536"/>
      <c r="AR153" s="505">
        <f t="shared" si="29"/>
        <v>147</v>
      </c>
      <c r="AS153" s="480">
        <v>257.37</v>
      </c>
      <c r="AT153" s="480">
        <v>191.57</v>
      </c>
      <c r="AU153" s="480"/>
      <c r="AV153" s="480"/>
      <c r="AW153" s="480"/>
      <c r="AX153" s="480"/>
      <c r="AY153" s="480">
        <v>303.18</v>
      </c>
      <c r="AZ153" s="499" t="s">
        <v>5323</v>
      </c>
      <c r="BA153" s="502">
        <v>23.57</v>
      </c>
      <c r="BB153" s="501"/>
      <c r="BC153" s="510">
        <v>237.16</v>
      </c>
      <c r="BD153" s="510">
        <v>1222.49</v>
      </c>
      <c r="BE153" s="504">
        <v>0.2</v>
      </c>
      <c r="BF153" s="503">
        <v>0.22</v>
      </c>
      <c r="BG153" s="502">
        <v>16.66</v>
      </c>
      <c r="BH153" s="502">
        <v>1414.05</v>
      </c>
      <c r="BI153" s="502">
        <v>19.170000000000002</v>
      </c>
      <c r="BJ153" s="502"/>
      <c r="BK153" s="502"/>
      <c r="BL153" s="510"/>
      <c r="BM153" s="511">
        <v>0.16200000000000001</v>
      </c>
      <c r="BN153" s="511"/>
      <c r="BO153" s="511" t="s">
        <v>5340</v>
      </c>
      <c r="BP153" s="252"/>
      <c r="BQ153" s="252"/>
      <c r="BR153" s="511">
        <v>0.22</v>
      </c>
      <c r="BS153" s="252"/>
      <c r="BT153" s="252"/>
      <c r="BU153" s="524">
        <f t="shared" si="30"/>
        <v>147</v>
      </c>
      <c r="BV153" s="489">
        <v>158.63</v>
      </c>
      <c r="BW153" s="304">
        <v>4.4999999999999998E-2</v>
      </c>
      <c r="BX153" s="254">
        <v>366.18</v>
      </c>
      <c r="BY153" s="304">
        <v>3.9399999999999998E-2</v>
      </c>
      <c r="BZ153" s="494">
        <v>19.170000000000002</v>
      </c>
      <c r="CA153" s="497">
        <v>0.3</v>
      </c>
      <c r="CB153" s="497"/>
      <c r="CC153" s="494">
        <v>424</v>
      </c>
      <c r="CD153" s="241">
        <f t="shared" si="22"/>
        <v>147</v>
      </c>
      <c r="CE153" s="2"/>
      <c r="CF153" s="2">
        <v>490.8</v>
      </c>
      <c r="CG153" s="2"/>
      <c r="CH153" s="2"/>
      <c r="CI153" s="2"/>
      <c r="CJ153" s="252"/>
      <c r="CK153" s="252"/>
      <c r="CL153" s="252">
        <v>546.33000000000004</v>
      </c>
      <c r="CM153" s="253"/>
      <c r="CO153" s="5">
        <v>0.08</v>
      </c>
      <c r="CU153" s="266">
        <f t="shared" si="23"/>
        <v>181</v>
      </c>
      <c r="CV153" s="267">
        <f t="shared" si="24"/>
        <v>362</v>
      </c>
      <c r="CW153" s="268">
        <f t="shared" si="25"/>
        <v>904.99</v>
      </c>
      <c r="CX153" s="418">
        <v>184</v>
      </c>
      <c r="CY153" s="252"/>
      <c r="CZ153" s="252"/>
      <c r="DA153" s="252"/>
      <c r="DB153" s="252"/>
      <c r="DC153" s="252"/>
      <c r="DD153" s="252"/>
      <c r="DE153" s="252"/>
      <c r="DF153" s="252">
        <f t="shared" si="31"/>
        <v>0</v>
      </c>
      <c r="DG153" s="252"/>
      <c r="DH153" s="252">
        <v>489.06</v>
      </c>
      <c r="DI153" s="252"/>
      <c r="DK153" s="252"/>
      <c r="DL153" s="252"/>
      <c r="DP153" s="6">
        <v>7.2499999999999995E-2</v>
      </c>
      <c r="DQ153" s="252">
        <v>39.42</v>
      </c>
      <c r="DR153" s="3">
        <v>546.33000000000004</v>
      </c>
      <c r="DT153" s="241">
        <f t="shared" si="26"/>
        <v>147</v>
      </c>
      <c r="DU153" s="2"/>
      <c r="DV153" s="252">
        <v>720</v>
      </c>
      <c r="DY153" s="252">
        <v>405.18</v>
      </c>
      <c r="DZ153" s="264">
        <v>3.9399999999999998E-2</v>
      </c>
      <c r="EA153" s="252">
        <v>0</v>
      </c>
      <c r="EB153" s="253">
        <v>0</v>
      </c>
    </row>
    <row r="154" spans="1:132">
      <c r="A154">
        <v>148</v>
      </c>
      <c r="B154" s="259">
        <v>4.202</v>
      </c>
      <c r="C154">
        <v>148</v>
      </c>
      <c r="D154" s="168">
        <f t="shared" si="21"/>
        <v>-2.9791459520706054E-3</v>
      </c>
      <c r="E154" s="246">
        <v>43922</v>
      </c>
      <c r="F154" s="186">
        <v>-0.3</v>
      </c>
      <c r="G154" s="247">
        <v>216373.0459</v>
      </c>
      <c r="H154" s="247">
        <v>541.77909999999997</v>
      </c>
      <c r="I154" s="248">
        <v>120</v>
      </c>
      <c r="J154" s="258">
        <f t="shared" si="27"/>
        <v>-3.3222591362126463E-3</v>
      </c>
      <c r="K154" s="298"/>
      <c r="L154" s="252">
        <v>300</v>
      </c>
      <c r="M154" s="263"/>
      <c r="N154" s="263"/>
      <c r="O154" s="473">
        <v>328.76</v>
      </c>
      <c r="P154" s="474">
        <v>328.76</v>
      </c>
      <c r="Q154" s="474">
        <v>430.86</v>
      </c>
      <c r="R154" s="475">
        <v>0.09</v>
      </c>
      <c r="S154" s="533">
        <f t="shared" si="28"/>
        <v>148</v>
      </c>
      <c r="T154" s="460">
        <v>75.260000000000005</v>
      </c>
      <c r="U154" s="460">
        <v>10.56</v>
      </c>
      <c r="V154" s="460">
        <v>353.76</v>
      </c>
      <c r="W154" s="460"/>
      <c r="X154" s="254">
        <v>51.09</v>
      </c>
      <c r="Y154" s="461">
        <v>7.4999999999999997E-2</v>
      </c>
      <c r="Z154" s="460">
        <v>22.5</v>
      </c>
      <c r="AA154" s="460">
        <v>10.26</v>
      </c>
      <c r="AB154" s="460">
        <v>437.73</v>
      </c>
      <c r="AC154" s="462">
        <v>353.75</v>
      </c>
      <c r="AD154" s="463">
        <v>0.3</v>
      </c>
      <c r="AE154" s="460">
        <v>40.83</v>
      </c>
      <c r="AF154" s="460">
        <v>61.32</v>
      </c>
      <c r="AG154" s="460">
        <v>20.62</v>
      </c>
      <c r="AH154" s="460"/>
      <c r="AI154" s="460"/>
      <c r="AJ154" s="460"/>
      <c r="AK154" s="460"/>
      <c r="AL154" s="253"/>
      <c r="AM154" s="273">
        <v>0.1</v>
      </c>
      <c r="AN154" s="255">
        <v>0.08</v>
      </c>
      <c r="AO154" s="160">
        <v>0.1</v>
      </c>
      <c r="AP154" s="536">
        <v>480.1</v>
      </c>
      <c r="AQ154" s="536"/>
      <c r="AR154" s="505">
        <f t="shared" si="29"/>
        <v>148</v>
      </c>
      <c r="AS154" s="480">
        <v>257.37</v>
      </c>
      <c r="AT154" s="480">
        <v>191.57</v>
      </c>
      <c r="AU154" s="480"/>
      <c r="AV154" s="480"/>
      <c r="AW154" s="480"/>
      <c r="AX154" s="480"/>
      <c r="AY154" s="480">
        <v>303.18</v>
      </c>
      <c r="AZ154" s="499" t="s">
        <v>5323</v>
      </c>
      <c r="BA154" s="502">
        <v>23.57</v>
      </c>
      <c r="BB154" s="502"/>
      <c r="BC154" s="510">
        <v>237.16</v>
      </c>
      <c r="BD154" s="510">
        <v>1222.49</v>
      </c>
      <c r="BE154" s="504">
        <v>0.2</v>
      </c>
      <c r="BF154" s="503">
        <v>0.22</v>
      </c>
      <c r="BG154" s="502">
        <v>16.66</v>
      </c>
      <c r="BH154" s="502">
        <v>1414.05</v>
      </c>
      <c r="BI154" s="502">
        <v>19.170000000000002</v>
      </c>
      <c r="BJ154" s="502"/>
      <c r="BK154" s="502"/>
      <c r="BL154" s="510"/>
      <c r="BM154" s="511">
        <v>0.16200000000000001</v>
      </c>
      <c r="BN154" s="511"/>
      <c r="BO154" s="511" t="s">
        <v>5340</v>
      </c>
      <c r="BP154" s="252"/>
      <c r="BQ154" s="252"/>
      <c r="BR154" s="511">
        <v>0.22</v>
      </c>
      <c r="BS154" s="252"/>
      <c r="BT154" s="252"/>
      <c r="BU154" s="524">
        <f t="shared" si="30"/>
        <v>148</v>
      </c>
      <c r="BV154" s="489">
        <v>158.63</v>
      </c>
      <c r="BW154" s="304">
        <v>4.4999999999999998E-2</v>
      </c>
      <c r="BX154" s="254">
        <v>366.18</v>
      </c>
      <c r="BY154" s="304">
        <v>3.9399999999999998E-2</v>
      </c>
      <c r="BZ154" s="494">
        <v>19.170000000000002</v>
      </c>
      <c r="CA154" s="497">
        <v>0.3</v>
      </c>
      <c r="CB154" s="497"/>
      <c r="CC154" s="494">
        <v>424</v>
      </c>
      <c r="CD154" s="241">
        <f t="shared" si="22"/>
        <v>148</v>
      </c>
      <c r="CE154" s="2"/>
      <c r="CF154" s="2">
        <v>490.8</v>
      </c>
      <c r="CG154" s="2"/>
      <c r="CH154" s="2"/>
      <c r="CI154" s="2"/>
      <c r="CJ154" s="252"/>
      <c r="CK154" s="252"/>
      <c r="CL154" s="252">
        <v>546.33000000000004</v>
      </c>
      <c r="CM154" s="253"/>
      <c r="CO154" s="253">
        <v>0.08</v>
      </c>
      <c r="CU154" s="266">
        <f t="shared" si="23"/>
        <v>181</v>
      </c>
      <c r="CV154" s="267">
        <f t="shared" si="24"/>
        <v>362</v>
      </c>
      <c r="CW154" s="268">
        <f t="shared" si="25"/>
        <v>904.99</v>
      </c>
      <c r="CX154" s="418">
        <v>184</v>
      </c>
      <c r="CY154" s="252"/>
      <c r="CZ154" s="252"/>
      <c r="DA154" s="252"/>
      <c r="DB154" s="252"/>
      <c r="DC154" s="252"/>
      <c r="DD154" s="252"/>
      <c r="DE154" s="252"/>
      <c r="DF154" s="252">
        <f t="shared" si="31"/>
        <v>0</v>
      </c>
      <c r="DG154" s="252"/>
      <c r="DH154" s="252">
        <v>489.06</v>
      </c>
      <c r="DI154" s="252"/>
      <c r="DK154" s="252"/>
      <c r="DL154" s="252"/>
      <c r="DP154" s="6">
        <v>7.2499999999999995E-2</v>
      </c>
      <c r="DQ154" s="252">
        <v>39.42</v>
      </c>
      <c r="DR154" s="3">
        <v>546.33000000000004</v>
      </c>
      <c r="DT154" s="241">
        <f t="shared" si="26"/>
        <v>148</v>
      </c>
      <c r="DU154" s="2"/>
      <c r="DV154" s="252">
        <v>720</v>
      </c>
      <c r="DY154" s="252">
        <v>405.18</v>
      </c>
      <c r="DZ154" s="264">
        <v>3.9399999999999998E-2</v>
      </c>
      <c r="EA154" s="252">
        <v>0</v>
      </c>
      <c r="EB154" s="253">
        <v>0</v>
      </c>
    </row>
    <row r="155" spans="1:132">
      <c r="A155">
        <v>149</v>
      </c>
      <c r="B155" s="259">
        <v>5.202</v>
      </c>
      <c r="C155">
        <v>149</v>
      </c>
      <c r="D155" s="168">
        <f t="shared" si="21"/>
        <v>-2.9880477825264817E-3</v>
      </c>
      <c r="E155" s="246">
        <v>43952</v>
      </c>
      <c r="F155" s="186">
        <v>-0.3</v>
      </c>
      <c r="G155" s="247">
        <v>215726.5129</v>
      </c>
      <c r="H155" s="247">
        <v>540.16030000000001</v>
      </c>
      <c r="I155" s="248">
        <v>119.6</v>
      </c>
      <c r="J155" s="258">
        <f t="shared" si="27"/>
        <v>-3.3333333333334103E-3</v>
      </c>
      <c r="K155" s="298"/>
      <c r="L155" s="252">
        <v>300</v>
      </c>
      <c r="M155" s="263"/>
      <c r="N155" s="263"/>
      <c r="O155" s="473">
        <v>328.76</v>
      </c>
      <c r="P155" s="474">
        <v>328.76</v>
      </c>
      <c r="Q155" s="474">
        <v>430.86</v>
      </c>
      <c r="R155" s="475">
        <v>0.09</v>
      </c>
      <c r="S155" s="533">
        <f t="shared" si="28"/>
        <v>149</v>
      </c>
      <c r="T155" s="460">
        <v>75.260000000000005</v>
      </c>
      <c r="U155" s="460">
        <v>10.56</v>
      </c>
      <c r="V155" s="460">
        <v>353.76</v>
      </c>
      <c r="W155" s="460"/>
      <c r="X155" s="254">
        <v>51.09</v>
      </c>
      <c r="Y155" s="461">
        <v>7.4999999999999997E-2</v>
      </c>
      <c r="Z155" s="460">
        <v>22.5</v>
      </c>
      <c r="AA155" s="460">
        <v>10.26</v>
      </c>
      <c r="AB155" s="460">
        <v>437.73</v>
      </c>
      <c r="AC155" s="462">
        <v>353.75</v>
      </c>
      <c r="AD155" s="463">
        <v>0.3</v>
      </c>
      <c r="AE155" s="460">
        <v>40.83</v>
      </c>
      <c r="AF155" s="460">
        <v>61.32</v>
      </c>
      <c r="AG155" s="460">
        <v>20.62</v>
      </c>
      <c r="AH155" s="460"/>
      <c r="AI155" s="460"/>
      <c r="AJ155" s="460"/>
      <c r="AK155" s="460"/>
      <c r="AL155" s="253"/>
      <c r="AM155" s="273">
        <v>0.1</v>
      </c>
      <c r="AN155" s="255">
        <v>0.08</v>
      </c>
      <c r="AO155" s="160">
        <v>0.1</v>
      </c>
      <c r="AP155" s="536">
        <v>480.1</v>
      </c>
      <c r="AQ155" s="536"/>
      <c r="AR155" s="505">
        <f t="shared" si="29"/>
        <v>149</v>
      </c>
      <c r="AS155" s="480">
        <v>257.37</v>
      </c>
      <c r="AT155" s="480">
        <v>191.57</v>
      </c>
      <c r="AU155" s="480"/>
      <c r="AV155" s="480"/>
      <c r="AW155" s="480"/>
      <c r="AX155" s="480"/>
      <c r="AY155" s="480">
        <v>303.18</v>
      </c>
      <c r="AZ155" s="499" t="s">
        <v>5323</v>
      </c>
      <c r="BA155" s="502">
        <v>23.57</v>
      </c>
      <c r="BB155" s="501"/>
      <c r="BC155" s="510">
        <v>237.16</v>
      </c>
      <c r="BD155" s="510">
        <v>1222.49</v>
      </c>
      <c r="BE155" s="504">
        <v>0.2</v>
      </c>
      <c r="BF155" s="503">
        <v>0.22</v>
      </c>
      <c r="BG155" s="502">
        <v>16.66</v>
      </c>
      <c r="BH155" s="502">
        <v>1414.05</v>
      </c>
      <c r="BI155" s="502">
        <v>19.170000000000002</v>
      </c>
      <c r="BJ155" s="502"/>
      <c r="BK155" s="502"/>
      <c r="BL155" s="510"/>
      <c r="BM155" s="511">
        <v>0.16200000000000001</v>
      </c>
      <c r="BN155" s="511"/>
      <c r="BO155" s="511" t="s">
        <v>5340</v>
      </c>
      <c r="BP155" s="252"/>
      <c r="BQ155" s="252"/>
      <c r="BR155" s="511">
        <v>0.22</v>
      </c>
      <c r="BS155" s="252"/>
      <c r="BT155" s="252"/>
      <c r="BU155" s="524">
        <f t="shared" si="30"/>
        <v>149</v>
      </c>
      <c r="BV155" s="489">
        <v>158.63</v>
      </c>
      <c r="BW155" s="304">
        <v>4.4999999999999998E-2</v>
      </c>
      <c r="BX155" s="254">
        <v>366.18</v>
      </c>
      <c r="BY155" s="304">
        <v>3.9399999999999998E-2</v>
      </c>
      <c r="BZ155" s="494">
        <v>19.170000000000002</v>
      </c>
      <c r="CA155" s="497">
        <v>0.3</v>
      </c>
      <c r="CB155" s="497"/>
      <c r="CC155" s="494">
        <v>424</v>
      </c>
      <c r="CD155" s="241">
        <f t="shared" si="22"/>
        <v>149</v>
      </c>
      <c r="CE155" s="2"/>
      <c r="CF155" s="2">
        <v>490.8</v>
      </c>
      <c r="CG155" s="2"/>
      <c r="CH155" s="2"/>
      <c r="CI155" s="2"/>
      <c r="CJ155" s="252"/>
      <c r="CK155" s="252"/>
      <c r="CL155" s="252">
        <v>546.33000000000004</v>
      </c>
      <c r="CM155" s="253"/>
      <c r="CO155" s="5">
        <v>0.08</v>
      </c>
      <c r="CU155" s="266">
        <f t="shared" si="23"/>
        <v>181</v>
      </c>
      <c r="CV155" s="267">
        <f t="shared" si="24"/>
        <v>362</v>
      </c>
      <c r="CW155" s="268">
        <f t="shared" si="25"/>
        <v>904.99</v>
      </c>
      <c r="CX155" s="418">
        <v>184</v>
      </c>
      <c r="CY155" s="252"/>
      <c r="CZ155" s="252"/>
      <c r="DA155" s="252"/>
      <c r="DB155" s="252"/>
      <c r="DC155" s="252"/>
      <c r="DD155" s="252"/>
      <c r="DE155" s="252"/>
      <c r="DF155" s="252">
        <f t="shared" si="31"/>
        <v>0</v>
      </c>
      <c r="DG155" s="252"/>
      <c r="DH155" s="252">
        <v>489.06</v>
      </c>
      <c r="DI155" s="252"/>
      <c r="DK155" s="252"/>
      <c r="DL155" s="252"/>
      <c r="DP155" s="6">
        <v>7.2499999999999995E-2</v>
      </c>
      <c r="DQ155" s="252">
        <v>39.42</v>
      </c>
      <c r="DR155" s="3">
        <v>546.33000000000004</v>
      </c>
      <c r="DT155" s="241">
        <f t="shared" si="26"/>
        <v>149</v>
      </c>
      <c r="DU155" s="2"/>
      <c r="DV155" s="252">
        <v>720</v>
      </c>
      <c r="DY155" s="252">
        <v>405.18</v>
      </c>
      <c r="DZ155" s="264">
        <v>3.9399999999999998E-2</v>
      </c>
      <c r="EA155" s="252">
        <v>0</v>
      </c>
      <c r="EB155" s="253">
        <v>0</v>
      </c>
    </row>
    <row r="156" spans="1:132">
      <c r="A156">
        <v>150</v>
      </c>
      <c r="B156" s="259">
        <v>6.202</v>
      </c>
      <c r="C156">
        <v>150</v>
      </c>
      <c r="D156" s="168">
        <f t="shared" si="21"/>
        <v>-9.9900099020233668E-4</v>
      </c>
      <c r="E156" s="246">
        <v>43983</v>
      </c>
      <c r="F156" s="186">
        <v>-0.1</v>
      </c>
      <c r="G156" s="247">
        <v>215511.0019</v>
      </c>
      <c r="H156" s="247">
        <v>539.62070000000006</v>
      </c>
      <c r="I156" s="248">
        <v>119.5</v>
      </c>
      <c r="J156" s="258">
        <f t="shared" si="27"/>
        <v>-8.3612040133773657E-4</v>
      </c>
      <c r="K156" s="298"/>
      <c r="L156" s="252">
        <v>300</v>
      </c>
      <c r="M156" s="263"/>
      <c r="N156" s="263"/>
      <c r="O156" s="473">
        <v>328.76</v>
      </c>
      <c r="P156" s="474">
        <v>328.76</v>
      </c>
      <c r="Q156" s="474">
        <v>430.86</v>
      </c>
      <c r="R156" s="475">
        <v>0.09</v>
      </c>
      <c r="S156" s="533">
        <f t="shared" si="28"/>
        <v>150</v>
      </c>
      <c r="T156" s="460">
        <v>75.260000000000005</v>
      </c>
      <c r="U156" s="460">
        <v>10.56</v>
      </c>
      <c r="V156" s="460">
        <v>353.76</v>
      </c>
      <c r="W156" s="460"/>
      <c r="X156" s="254">
        <v>51.09</v>
      </c>
      <c r="Y156" s="461">
        <v>7.4999999999999997E-2</v>
      </c>
      <c r="Z156" s="460">
        <v>22.5</v>
      </c>
      <c r="AA156" s="460">
        <v>10.26</v>
      </c>
      <c r="AB156" s="460">
        <v>437.73</v>
      </c>
      <c r="AC156" s="462">
        <v>353.75</v>
      </c>
      <c r="AD156" s="463">
        <v>0.3</v>
      </c>
      <c r="AE156" s="460">
        <v>40.83</v>
      </c>
      <c r="AF156" s="460">
        <v>61.32</v>
      </c>
      <c r="AG156" s="460">
        <v>20.62</v>
      </c>
      <c r="AH156" s="460"/>
      <c r="AI156" s="460"/>
      <c r="AJ156" s="460"/>
      <c r="AK156" s="460"/>
      <c r="AL156" s="253"/>
      <c r="AM156" s="273">
        <v>0.1</v>
      </c>
      <c r="AN156" s="255">
        <v>0.08</v>
      </c>
      <c r="AO156" s="160">
        <v>0.1</v>
      </c>
      <c r="AP156" s="536">
        <v>480.1</v>
      </c>
      <c r="AQ156" s="536"/>
      <c r="AR156" s="505">
        <f t="shared" si="29"/>
        <v>150</v>
      </c>
      <c r="AS156" s="480">
        <v>257.37</v>
      </c>
      <c r="AT156" s="480">
        <v>191.57</v>
      </c>
      <c r="AU156" s="480"/>
      <c r="AV156" s="480"/>
      <c r="AW156" s="480"/>
      <c r="AX156" s="480"/>
      <c r="AY156" s="480">
        <v>303.18</v>
      </c>
      <c r="AZ156" s="499" t="s">
        <v>5323</v>
      </c>
      <c r="BA156" s="502">
        <v>23.57</v>
      </c>
      <c r="BB156" s="502"/>
      <c r="BC156" s="510">
        <v>237.16</v>
      </c>
      <c r="BD156" s="510">
        <v>1222.49</v>
      </c>
      <c r="BE156" s="504">
        <v>0.2</v>
      </c>
      <c r="BF156" s="503">
        <v>0.22</v>
      </c>
      <c r="BG156" s="502">
        <v>16.66</v>
      </c>
      <c r="BH156" s="502">
        <v>1414.05</v>
      </c>
      <c r="BI156" s="502">
        <v>19.170000000000002</v>
      </c>
      <c r="BJ156" s="502"/>
      <c r="BK156" s="502"/>
      <c r="BL156" s="510"/>
      <c r="BM156" s="511">
        <v>0.16200000000000001</v>
      </c>
      <c r="BN156" s="511"/>
      <c r="BO156" s="511" t="s">
        <v>5340</v>
      </c>
      <c r="BP156" s="252"/>
      <c r="BQ156" s="252"/>
      <c r="BR156" s="511">
        <v>0.22</v>
      </c>
      <c r="BS156" s="252"/>
      <c r="BT156" s="252"/>
      <c r="BU156" s="524">
        <f t="shared" si="30"/>
        <v>150</v>
      </c>
      <c r="BV156" s="489">
        <v>158.63</v>
      </c>
      <c r="BW156" s="304">
        <v>4.4999999999999998E-2</v>
      </c>
      <c r="BX156" s="254">
        <v>366.18</v>
      </c>
      <c r="BY156" s="304">
        <v>3.9399999999999998E-2</v>
      </c>
      <c r="BZ156" s="494">
        <v>19.170000000000002</v>
      </c>
      <c r="CA156" s="497">
        <v>0.3</v>
      </c>
      <c r="CB156" s="497"/>
      <c r="CC156" s="494">
        <v>424</v>
      </c>
      <c r="CD156" s="241">
        <f t="shared" si="22"/>
        <v>150</v>
      </c>
      <c r="CE156" s="2"/>
      <c r="CF156" s="2">
        <v>490.8</v>
      </c>
      <c r="CG156" s="2"/>
      <c r="CH156" s="2"/>
      <c r="CI156" s="2"/>
      <c r="CJ156" s="252"/>
      <c r="CK156" s="252"/>
      <c r="CL156" s="252">
        <v>546.33000000000004</v>
      </c>
      <c r="CM156" s="253"/>
      <c r="CO156" s="253">
        <v>0.08</v>
      </c>
      <c r="CU156" s="266">
        <f t="shared" si="23"/>
        <v>181</v>
      </c>
      <c r="CV156" s="267">
        <f t="shared" si="24"/>
        <v>362</v>
      </c>
      <c r="CW156" s="268">
        <f t="shared" si="25"/>
        <v>904.99</v>
      </c>
      <c r="CX156" s="418">
        <v>184</v>
      </c>
      <c r="CY156" s="252"/>
      <c r="CZ156" s="252"/>
      <c r="DA156" s="252"/>
      <c r="DB156" s="252"/>
      <c r="DC156" s="252"/>
      <c r="DD156" s="252"/>
      <c r="DE156" s="252"/>
      <c r="DF156" s="252">
        <f t="shared" si="31"/>
        <v>0</v>
      </c>
      <c r="DG156" s="252"/>
      <c r="DH156" s="252">
        <v>489.06</v>
      </c>
      <c r="DI156" s="252"/>
      <c r="DK156" s="252"/>
      <c r="DL156" s="252"/>
      <c r="DP156" s="6">
        <v>7.2499999999999995E-2</v>
      </c>
      <c r="DQ156" s="252">
        <v>39.42</v>
      </c>
      <c r="DR156" s="3">
        <v>546.33000000000004</v>
      </c>
      <c r="DT156" s="241">
        <f t="shared" si="26"/>
        <v>150</v>
      </c>
      <c r="DU156" s="2"/>
      <c r="DV156" s="252">
        <v>720</v>
      </c>
      <c r="DY156" s="252">
        <v>405.18</v>
      </c>
      <c r="DZ156" s="264">
        <v>3.9399999999999998E-2</v>
      </c>
      <c r="EA156" s="252">
        <v>0</v>
      </c>
      <c r="EB156" s="253">
        <v>0</v>
      </c>
    </row>
    <row r="157" spans="1:132">
      <c r="A157">
        <v>151</v>
      </c>
      <c r="B157" s="259">
        <v>7.202</v>
      </c>
      <c r="C157">
        <v>151</v>
      </c>
      <c r="D157" s="168">
        <f t="shared" si="21"/>
        <v>1.9999999823674397E-3</v>
      </c>
      <c r="E157" s="246">
        <v>44013</v>
      </c>
      <c r="F157" s="186">
        <v>0.19</v>
      </c>
      <c r="G157" s="247">
        <v>215942.0239</v>
      </c>
      <c r="H157" s="247">
        <v>540.69989999999996</v>
      </c>
      <c r="I157" s="248">
        <v>119.8</v>
      </c>
      <c r="J157" s="258">
        <f t="shared" si="27"/>
        <v>2.5104602510459539E-3</v>
      </c>
      <c r="K157" s="298"/>
      <c r="L157" s="252">
        <v>300</v>
      </c>
      <c r="M157" s="263"/>
      <c r="N157" s="263"/>
      <c r="O157" s="473">
        <v>328.76</v>
      </c>
      <c r="P157" s="474">
        <v>328.76</v>
      </c>
      <c r="Q157" s="474">
        <v>430.86</v>
      </c>
      <c r="R157" s="475">
        <v>0.09</v>
      </c>
      <c r="S157" s="533">
        <f t="shared" si="28"/>
        <v>151</v>
      </c>
      <c r="T157" s="460">
        <v>75.260000000000005</v>
      </c>
      <c r="U157" s="460">
        <v>10.56</v>
      </c>
      <c r="V157" s="460">
        <v>353.76</v>
      </c>
      <c r="W157" s="460"/>
      <c r="X157" s="254">
        <v>51.09</v>
      </c>
      <c r="Y157" s="461">
        <v>7.4999999999999997E-2</v>
      </c>
      <c r="Z157" s="460">
        <v>22.5</v>
      </c>
      <c r="AA157" s="460">
        <v>10.26</v>
      </c>
      <c r="AB157" s="460">
        <v>437.73</v>
      </c>
      <c r="AC157" s="462">
        <v>353.75</v>
      </c>
      <c r="AD157" s="463">
        <v>0.3</v>
      </c>
      <c r="AE157" s="460">
        <v>40.83</v>
      </c>
      <c r="AF157" s="460">
        <v>61.32</v>
      </c>
      <c r="AG157" s="460">
        <v>20.62</v>
      </c>
      <c r="AH157" s="460"/>
      <c r="AI157" s="460"/>
      <c r="AJ157" s="460"/>
      <c r="AK157" s="460"/>
      <c r="AL157" s="253"/>
      <c r="AM157" s="273">
        <v>0.1</v>
      </c>
      <c r="AN157" s="255">
        <v>0.08</v>
      </c>
      <c r="AO157" s="160">
        <v>0.1</v>
      </c>
      <c r="AP157" s="536">
        <v>480.1</v>
      </c>
      <c r="AQ157" s="536"/>
      <c r="AR157" s="505">
        <f t="shared" si="29"/>
        <v>151</v>
      </c>
      <c r="AS157" s="480">
        <v>257.37</v>
      </c>
      <c r="AT157" s="480">
        <v>191.57</v>
      </c>
      <c r="AU157" s="480"/>
      <c r="AV157" s="480"/>
      <c r="AW157" s="480"/>
      <c r="AX157" s="480"/>
      <c r="AY157" s="480">
        <v>303.18</v>
      </c>
      <c r="AZ157" s="499" t="s">
        <v>5323</v>
      </c>
      <c r="BA157" s="502">
        <v>23.57</v>
      </c>
      <c r="BB157" s="501"/>
      <c r="BC157" s="510">
        <v>237.16</v>
      </c>
      <c r="BD157" s="510">
        <v>1222.49</v>
      </c>
      <c r="BE157" s="504">
        <v>0.2</v>
      </c>
      <c r="BF157" s="503">
        <v>0.22</v>
      </c>
      <c r="BG157" s="502">
        <v>16.66</v>
      </c>
      <c r="BH157" s="502">
        <v>1414.05</v>
      </c>
      <c r="BI157" s="502">
        <v>19.170000000000002</v>
      </c>
      <c r="BJ157" s="502"/>
      <c r="BK157" s="502"/>
      <c r="BL157" s="510"/>
      <c r="BM157" s="511">
        <v>0.16200000000000001</v>
      </c>
      <c r="BN157" s="511"/>
      <c r="BO157" s="511" t="s">
        <v>5340</v>
      </c>
      <c r="BP157" s="252"/>
      <c r="BQ157" s="252"/>
      <c r="BR157" s="511">
        <v>0.22</v>
      </c>
      <c r="BS157" s="252"/>
      <c r="BT157" s="252"/>
      <c r="BU157" s="524">
        <f t="shared" si="30"/>
        <v>151</v>
      </c>
      <c r="BV157" s="489">
        <v>158.63</v>
      </c>
      <c r="BW157" s="304">
        <v>4.4999999999999998E-2</v>
      </c>
      <c r="BX157" s="254">
        <v>366.18</v>
      </c>
      <c r="BY157" s="304">
        <v>3.9399999999999998E-2</v>
      </c>
      <c r="BZ157" s="494">
        <v>19.170000000000002</v>
      </c>
      <c r="CA157" s="497">
        <v>0.3</v>
      </c>
      <c r="CB157" s="497"/>
      <c r="CC157" s="494">
        <v>424</v>
      </c>
      <c r="CD157" s="241">
        <f t="shared" si="22"/>
        <v>151</v>
      </c>
      <c r="CE157" s="2"/>
      <c r="CF157" s="2">
        <v>490.8</v>
      </c>
      <c r="CG157" s="2"/>
      <c r="CH157" s="2"/>
      <c r="CI157" s="2"/>
      <c r="CJ157" s="252"/>
      <c r="CK157" s="252"/>
      <c r="CL157" s="252">
        <v>546.33000000000004</v>
      </c>
      <c r="CM157" s="253"/>
      <c r="CO157" s="5">
        <v>0.08</v>
      </c>
      <c r="CU157" s="266">
        <f t="shared" si="23"/>
        <v>181</v>
      </c>
      <c r="CV157" s="267">
        <f t="shared" si="24"/>
        <v>362</v>
      </c>
      <c r="CW157" s="268">
        <f t="shared" si="25"/>
        <v>904.99</v>
      </c>
      <c r="CX157" s="418">
        <v>184</v>
      </c>
      <c r="CY157" s="252"/>
      <c r="CZ157" s="252"/>
      <c r="DA157" s="252"/>
      <c r="DB157" s="252"/>
      <c r="DC157" s="252"/>
      <c r="DD157" s="252"/>
      <c r="DE157" s="252"/>
      <c r="DF157" s="252">
        <f t="shared" si="31"/>
        <v>0</v>
      </c>
      <c r="DG157" s="252"/>
      <c r="DH157" s="252">
        <v>489.06</v>
      </c>
      <c r="DI157" s="252"/>
      <c r="DK157" s="252"/>
      <c r="DL157" s="252"/>
      <c r="DP157" s="6">
        <v>7.2499999999999995E-2</v>
      </c>
      <c r="DQ157" s="252">
        <v>39.42</v>
      </c>
      <c r="DR157" s="3">
        <v>546.33000000000004</v>
      </c>
      <c r="DT157" s="241">
        <f t="shared" si="26"/>
        <v>151</v>
      </c>
      <c r="DU157" s="2"/>
      <c r="DV157" s="252">
        <v>720</v>
      </c>
      <c r="DY157" s="252">
        <v>405.18</v>
      </c>
      <c r="DZ157" s="264">
        <v>3.9399999999999998E-2</v>
      </c>
      <c r="EA157" s="252">
        <v>0</v>
      </c>
      <c r="EB157" s="253">
        <v>0</v>
      </c>
    </row>
    <row r="158" spans="1:132">
      <c r="A158">
        <v>152</v>
      </c>
      <c r="B158" s="259">
        <v>8.202</v>
      </c>
      <c r="C158">
        <v>152</v>
      </c>
      <c r="D158" s="168">
        <f t="shared" si="21"/>
        <v>0</v>
      </c>
      <c r="E158" s="246">
        <v>44044</v>
      </c>
      <c r="F158" s="186">
        <v>0</v>
      </c>
      <c r="G158" s="247">
        <v>215942.0239</v>
      </c>
      <c r="H158" s="247">
        <v>540.69989999999996</v>
      </c>
      <c r="I158" s="248">
        <v>119.8</v>
      </c>
      <c r="J158" s="258">
        <f t="shared" si="27"/>
        <v>0</v>
      </c>
      <c r="K158" s="298"/>
      <c r="L158" s="252">
        <v>300</v>
      </c>
      <c r="M158" s="263"/>
      <c r="N158" s="263"/>
      <c r="O158" s="473">
        <v>328.76</v>
      </c>
      <c r="P158" s="474">
        <v>328.76</v>
      </c>
      <c r="Q158" s="474">
        <v>430.86</v>
      </c>
      <c r="R158" s="475">
        <v>0.09</v>
      </c>
      <c r="S158" s="533">
        <f t="shared" si="28"/>
        <v>152</v>
      </c>
      <c r="T158" s="460">
        <v>75.260000000000005</v>
      </c>
      <c r="U158" s="460">
        <v>10.56</v>
      </c>
      <c r="V158" s="460">
        <v>353.76</v>
      </c>
      <c r="W158" s="460"/>
      <c r="X158" s="254">
        <v>51.09</v>
      </c>
      <c r="Y158" s="461">
        <v>7.4999999999999997E-2</v>
      </c>
      <c r="Z158" s="460">
        <v>22.5</v>
      </c>
      <c r="AA158" s="460">
        <v>10.26</v>
      </c>
      <c r="AB158" s="460">
        <v>437.73</v>
      </c>
      <c r="AC158" s="462">
        <v>353.75</v>
      </c>
      <c r="AD158" s="463">
        <v>0.3</v>
      </c>
      <c r="AE158" s="460">
        <v>40.83</v>
      </c>
      <c r="AF158" s="460">
        <v>61.32</v>
      </c>
      <c r="AG158" s="460">
        <v>20.62</v>
      </c>
      <c r="AH158" s="460"/>
      <c r="AI158" s="460"/>
      <c r="AJ158" s="460"/>
      <c r="AK158" s="460"/>
      <c r="AL158" s="253"/>
      <c r="AM158" s="273">
        <v>0.1</v>
      </c>
      <c r="AN158" s="255">
        <v>0.08</v>
      </c>
      <c r="AO158" s="160">
        <v>0.1</v>
      </c>
      <c r="AP158" s="536">
        <v>480.1</v>
      </c>
      <c r="AQ158" s="536"/>
      <c r="AR158" s="505">
        <f t="shared" si="29"/>
        <v>152</v>
      </c>
      <c r="AS158" s="480">
        <v>257.37</v>
      </c>
      <c r="AT158" s="480">
        <v>191.57</v>
      </c>
      <c r="AU158" s="480"/>
      <c r="AV158" s="480"/>
      <c r="AW158" s="480"/>
      <c r="AX158" s="480"/>
      <c r="AY158" s="480">
        <v>303.18</v>
      </c>
      <c r="AZ158" s="499" t="s">
        <v>5323</v>
      </c>
      <c r="BA158" s="502">
        <v>23.57</v>
      </c>
      <c r="BB158" s="502"/>
      <c r="BC158" s="510">
        <v>237.16</v>
      </c>
      <c r="BD158" s="510">
        <v>1222.49</v>
      </c>
      <c r="BE158" s="504">
        <v>0.2</v>
      </c>
      <c r="BF158" s="503">
        <v>0.22</v>
      </c>
      <c r="BG158" s="502">
        <v>16.66</v>
      </c>
      <c r="BH158" s="502">
        <v>1414.05</v>
      </c>
      <c r="BI158" s="502">
        <v>19.170000000000002</v>
      </c>
      <c r="BJ158" s="502"/>
      <c r="BK158" s="502"/>
      <c r="BL158" s="510"/>
      <c r="BM158" s="511">
        <v>0.16200000000000001</v>
      </c>
      <c r="BN158" s="511"/>
      <c r="BO158" s="511" t="s">
        <v>5340</v>
      </c>
      <c r="BP158" s="252"/>
      <c r="BQ158" s="252"/>
      <c r="BR158" s="511">
        <v>0.22</v>
      </c>
      <c r="BS158" s="252"/>
      <c r="BT158" s="252"/>
      <c r="BU158" s="524">
        <f t="shared" si="30"/>
        <v>152</v>
      </c>
      <c r="BV158" s="489">
        <v>158.63</v>
      </c>
      <c r="BW158" s="304">
        <v>4.4999999999999998E-2</v>
      </c>
      <c r="BX158" s="254">
        <v>366.18</v>
      </c>
      <c r="BY158" s="304">
        <v>3.9399999999999998E-2</v>
      </c>
      <c r="BZ158" s="494">
        <v>19.170000000000002</v>
      </c>
      <c r="CA158" s="497">
        <v>0.3</v>
      </c>
      <c r="CB158" s="497"/>
      <c r="CC158" s="494">
        <v>424</v>
      </c>
      <c r="CD158" s="241">
        <f t="shared" si="22"/>
        <v>152</v>
      </c>
      <c r="CE158" s="2"/>
      <c r="CF158" s="2">
        <v>490.8</v>
      </c>
      <c r="CG158" s="2"/>
      <c r="CH158" s="2"/>
      <c r="CI158" s="2"/>
      <c r="CJ158" s="252"/>
      <c r="CK158" s="252"/>
      <c r="CL158" s="252">
        <v>546.33000000000004</v>
      </c>
      <c r="CM158" s="253"/>
      <c r="CO158" s="253">
        <v>0.08</v>
      </c>
      <c r="CU158" s="266">
        <f t="shared" si="23"/>
        <v>181</v>
      </c>
      <c r="CV158" s="267">
        <f t="shared" si="24"/>
        <v>362</v>
      </c>
      <c r="CW158" s="268">
        <f t="shared" si="25"/>
        <v>904.99</v>
      </c>
      <c r="CX158" s="418">
        <v>184</v>
      </c>
      <c r="CY158" s="252"/>
      <c r="CZ158" s="252"/>
      <c r="DA158" s="252"/>
      <c r="DB158" s="252"/>
      <c r="DC158" s="252"/>
      <c r="DD158" s="252"/>
      <c r="DE158" s="252"/>
      <c r="DF158" s="252">
        <f t="shared" si="31"/>
        <v>0</v>
      </c>
      <c r="DG158" s="252"/>
      <c r="DH158" s="252">
        <v>489.06</v>
      </c>
      <c r="DI158" s="252"/>
      <c r="DK158" s="252"/>
      <c r="DL158" s="252"/>
      <c r="DP158" s="6">
        <v>7.2499999999999995E-2</v>
      </c>
      <c r="DQ158" s="252">
        <v>39.42</v>
      </c>
      <c r="DR158" s="3">
        <v>546.33000000000004</v>
      </c>
      <c r="DT158" s="241">
        <f t="shared" si="26"/>
        <v>152</v>
      </c>
      <c r="DU158" s="2"/>
      <c r="DV158" s="252">
        <v>720</v>
      </c>
      <c r="DY158" s="252">
        <v>405.18</v>
      </c>
      <c r="DZ158" s="264">
        <v>3.9399999999999998E-2</v>
      </c>
      <c r="EA158" s="252">
        <v>0</v>
      </c>
      <c r="EB158" s="253">
        <v>0</v>
      </c>
    </row>
    <row r="159" spans="1:132">
      <c r="A159">
        <v>153</v>
      </c>
      <c r="B159" s="259">
        <v>9.202</v>
      </c>
      <c r="C159">
        <v>153</v>
      </c>
      <c r="D159" s="168">
        <f t="shared" si="21"/>
        <v>-9.9800398323490747E-4</v>
      </c>
      <c r="E159" s="246">
        <v>44075</v>
      </c>
      <c r="F159" s="186">
        <v>-0.1</v>
      </c>
      <c r="G159" s="247">
        <v>215726.5129</v>
      </c>
      <c r="H159" s="247">
        <v>540.16030000000001</v>
      </c>
      <c r="I159" s="248">
        <v>119.6</v>
      </c>
      <c r="J159" s="258">
        <f t="shared" si="27"/>
        <v>-1.6694490818029983E-3</v>
      </c>
      <c r="K159" s="298"/>
      <c r="L159" s="252">
        <v>300</v>
      </c>
      <c r="M159" s="263"/>
      <c r="N159" s="263"/>
      <c r="O159" s="473">
        <v>328.76</v>
      </c>
      <c r="P159" s="474">
        <v>328.76</v>
      </c>
      <c r="Q159" s="474">
        <v>430.86</v>
      </c>
      <c r="R159" s="475">
        <v>0.09</v>
      </c>
      <c r="S159" s="533">
        <f t="shared" si="28"/>
        <v>153</v>
      </c>
      <c r="T159" s="460">
        <v>75.260000000000005</v>
      </c>
      <c r="U159" s="460">
        <v>10.56</v>
      </c>
      <c r="V159" s="460">
        <v>353.76</v>
      </c>
      <c r="W159" s="460"/>
      <c r="X159" s="254">
        <v>51.09</v>
      </c>
      <c r="Y159" s="461">
        <v>7.4999999999999997E-2</v>
      </c>
      <c r="Z159" s="460">
        <v>22.5</v>
      </c>
      <c r="AA159" s="460">
        <v>10.26</v>
      </c>
      <c r="AB159" s="460">
        <v>437.73</v>
      </c>
      <c r="AC159" s="462">
        <v>353.75</v>
      </c>
      <c r="AD159" s="463">
        <v>0.3</v>
      </c>
      <c r="AE159" s="460">
        <v>40.83</v>
      </c>
      <c r="AF159" s="460">
        <v>61.32</v>
      </c>
      <c r="AG159" s="460">
        <v>20.62</v>
      </c>
      <c r="AH159" s="460"/>
      <c r="AI159" s="460"/>
      <c r="AJ159" s="460"/>
      <c r="AK159" s="460"/>
      <c r="AL159" s="253"/>
      <c r="AM159" s="273">
        <v>0.1</v>
      </c>
      <c r="AN159" s="255">
        <v>0.08</v>
      </c>
      <c r="AO159" s="160">
        <v>0.1</v>
      </c>
      <c r="AP159" s="536">
        <v>480.1</v>
      </c>
      <c r="AQ159" s="536"/>
      <c r="AR159" s="505">
        <f t="shared" si="29"/>
        <v>153</v>
      </c>
      <c r="AS159" s="480">
        <v>257.37</v>
      </c>
      <c r="AT159" s="480">
        <v>191.57</v>
      </c>
      <c r="AU159" s="480"/>
      <c r="AV159" s="480"/>
      <c r="AW159" s="480"/>
      <c r="AX159" s="480"/>
      <c r="AY159" s="480">
        <v>303.18</v>
      </c>
      <c r="AZ159" s="499" t="s">
        <v>5323</v>
      </c>
      <c r="BA159" s="502">
        <v>23.57</v>
      </c>
      <c r="BB159" s="501"/>
      <c r="BC159" s="510">
        <v>237.16</v>
      </c>
      <c r="BD159" s="510">
        <v>1222.49</v>
      </c>
      <c r="BE159" s="504">
        <v>0.2</v>
      </c>
      <c r="BF159" s="503">
        <v>0.22</v>
      </c>
      <c r="BG159" s="502">
        <v>16.66</v>
      </c>
      <c r="BH159" s="502">
        <v>1414.05</v>
      </c>
      <c r="BI159" s="502">
        <v>19.170000000000002</v>
      </c>
      <c r="BJ159" s="502"/>
      <c r="BK159" s="502"/>
      <c r="BL159" s="510"/>
      <c r="BM159" s="511">
        <v>0.16200000000000001</v>
      </c>
      <c r="BN159" s="511"/>
      <c r="BO159" s="511" t="s">
        <v>5340</v>
      </c>
      <c r="BP159" s="252"/>
      <c r="BQ159" s="252"/>
      <c r="BR159" s="511">
        <v>0.22</v>
      </c>
      <c r="BS159" s="252"/>
      <c r="BT159" s="252"/>
      <c r="BU159" s="524">
        <f t="shared" si="30"/>
        <v>153</v>
      </c>
      <c r="BV159" s="489">
        <v>158.63</v>
      </c>
      <c r="BW159" s="304">
        <v>4.4999999999999998E-2</v>
      </c>
      <c r="BX159" s="254">
        <v>366.18</v>
      </c>
      <c r="BY159" s="304">
        <v>3.9399999999999998E-2</v>
      </c>
      <c r="BZ159" s="494">
        <v>19.170000000000002</v>
      </c>
      <c r="CA159" s="497">
        <v>0.3</v>
      </c>
      <c r="CB159" s="497"/>
      <c r="CC159" s="494">
        <v>424</v>
      </c>
      <c r="CD159" s="241">
        <f t="shared" si="22"/>
        <v>153</v>
      </c>
      <c r="CE159" s="2"/>
      <c r="CF159" s="2">
        <v>490.8</v>
      </c>
      <c r="CG159" s="2"/>
      <c r="CH159" s="2"/>
      <c r="CI159" s="2"/>
      <c r="CJ159" s="252"/>
      <c r="CK159" s="252"/>
      <c r="CL159" s="252">
        <v>546.33000000000004</v>
      </c>
      <c r="CM159" s="253"/>
      <c r="CO159" s="5">
        <v>0.08</v>
      </c>
      <c r="CU159" s="266">
        <f t="shared" si="23"/>
        <v>181</v>
      </c>
      <c r="CV159" s="267">
        <f t="shared" si="24"/>
        <v>362</v>
      </c>
      <c r="CW159" s="268">
        <f t="shared" si="25"/>
        <v>904.99</v>
      </c>
      <c r="CX159" s="418">
        <v>184</v>
      </c>
      <c r="CY159" s="252"/>
      <c r="CZ159" s="252"/>
      <c r="DA159" s="252"/>
      <c r="DB159" s="252"/>
      <c r="DC159" s="252"/>
      <c r="DD159" s="252"/>
      <c r="DE159" s="252"/>
      <c r="DF159" s="252">
        <f t="shared" si="31"/>
        <v>0</v>
      </c>
      <c r="DG159" s="252"/>
      <c r="DH159" s="252">
        <v>489.06</v>
      </c>
      <c r="DI159" s="252"/>
      <c r="DK159" s="252"/>
      <c r="DL159" s="252"/>
      <c r="DP159" s="6">
        <v>7.2499999999999995E-2</v>
      </c>
      <c r="DQ159" s="252">
        <v>39.42</v>
      </c>
      <c r="DR159" s="3">
        <v>546.33000000000004</v>
      </c>
      <c r="DT159" s="241">
        <f t="shared" si="26"/>
        <v>153</v>
      </c>
      <c r="DU159" s="2"/>
      <c r="DV159" s="252">
        <v>720</v>
      </c>
      <c r="DY159" s="252">
        <v>405.18</v>
      </c>
      <c r="DZ159" s="264">
        <v>3.9399999999999998E-2</v>
      </c>
      <c r="EA159" s="252">
        <v>0</v>
      </c>
      <c r="EB159" s="253">
        <v>0</v>
      </c>
    </row>
    <row r="160" spans="1:132">
      <c r="A160">
        <v>154</v>
      </c>
      <c r="B160" s="259">
        <v>10.202</v>
      </c>
      <c r="C160">
        <v>154</v>
      </c>
      <c r="D160" s="168">
        <f t="shared" si="21"/>
        <v>2.99700297060701E-3</v>
      </c>
      <c r="E160" s="246">
        <v>44105</v>
      </c>
      <c r="F160" s="186">
        <v>0.28999999999999998</v>
      </c>
      <c r="G160" s="247">
        <v>216373.0459</v>
      </c>
      <c r="H160" s="247">
        <v>541.77909999999997</v>
      </c>
      <c r="I160" s="248">
        <v>120</v>
      </c>
      <c r="J160" s="258">
        <f t="shared" si="27"/>
        <v>3.3444816053511683E-3</v>
      </c>
      <c r="K160" s="298"/>
      <c r="L160" s="252">
        <v>300</v>
      </c>
      <c r="M160" s="263"/>
      <c r="N160" s="263"/>
      <c r="O160" s="473">
        <v>328.76</v>
      </c>
      <c r="P160" s="474">
        <v>328.76</v>
      </c>
      <c r="Q160" s="474">
        <v>430.86</v>
      </c>
      <c r="R160" s="475">
        <v>0.09</v>
      </c>
      <c r="S160" s="533">
        <f t="shared" si="28"/>
        <v>154</v>
      </c>
      <c r="T160" s="460">
        <v>75.260000000000005</v>
      </c>
      <c r="U160" s="460">
        <v>10.56</v>
      </c>
      <c r="V160" s="460">
        <v>353.76</v>
      </c>
      <c r="W160" s="460"/>
      <c r="X160" s="254">
        <v>51.09</v>
      </c>
      <c r="Y160" s="461">
        <v>7.4999999999999997E-2</v>
      </c>
      <c r="Z160" s="460">
        <v>22.5</v>
      </c>
      <c r="AA160" s="460">
        <v>10.26</v>
      </c>
      <c r="AB160" s="460">
        <v>437.73</v>
      </c>
      <c r="AC160" s="462">
        <v>353.75</v>
      </c>
      <c r="AD160" s="463">
        <v>0.3</v>
      </c>
      <c r="AE160" s="460">
        <v>40.83</v>
      </c>
      <c r="AF160" s="460">
        <v>61.32</v>
      </c>
      <c r="AG160" s="460">
        <v>20.62</v>
      </c>
      <c r="AH160" s="460"/>
      <c r="AI160" s="460"/>
      <c r="AJ160" s="460"/>
      <c r="AK160" s="460"/>
      <c r="AL160" s="253"/>
      <c r="AM160" s="273">
        <v>0.1</v>
      </c>
      <c r="AN160" s="255">
        <v>0.08</v>
      </c>
      <c r="AO160" s="160">
        <v>0.1</v>
      </c>
      <c r="AP160" s="536">
        <v>480.1</v>
      </c>
      <c r="AQ160" s="536"/>
      <c r="AR160" s="505">
        <f t="shared" si="29"/>
        <v>154</v>
      </c>
      <c r="AS160" s="480">
        <v>257.37</v>
      </c>
      <c r="AT160" s="480">
        <v>191.57</v>
      </c>
      <c r="AU160" s="480"/>
      <c r="AV160" s="480"/>
      <c r="AW160" s="480"/>
      <c r="AX160" s="480"/>
      <c r="AY160" s="480">
        <v>303.18</v>
      </c>
      <c r="AZ160" s="499" t="s">
        <v>5323</v>
      </c>
      <c r="BA160" s="502">
        <v>23.57</v>
      </c>
      <c r="BB160" s="502"/>
      <c r="BC160" s="510">
        <v>237.16</v>
      </c>
      <c r="BD160" s="510">
        <v>1222.49</v>
      </c>
      <c r="BE160" s="504">
        <v>0.2</v>
      </c>
      <c r="BF160" s="503">
        <v>0.22</v>
      </c>
      <c r="BG160" s="502">
        <v>16.66</v>
      </c>
      <c r="BH160" s="502">
        <v>1414.05</v>
      </c>
      <c r="BI160" s="502">
        <v>19.170000000000002</v>
      </c>
      <c r="BJ160" s="502"/>
      <c r="BK160" s="502"/>
      <c r="BL160" s="510"/>
      <c r="BM160" s="511">
        <v>0.16200000000000001</v>
      </c>
      <c r="BN160" s="511"/>
      <c r="BO160" s="511" t="s">
        <v>5340</v>
      </c>
      <c r="BP160" s="252"/>
      <c r="BQ160" s="252"/>
      <c r="BR160" s="511">
        <v>0.22</v>
      </c>
      <c r="BS160" s="252"/>
      <c r="BT160" s="252"/>
      <c r="BU160" s="524">
        <f t="shared" si="30"/>
        <v>154</v>
      </c>
      <c r="BV160" s="489">
        <v>158.63</v>
      </c>
      <c r="BW160" s="304">
        <v>4.4999999999999998E-2</v>
      </c>
      <c r="BX160" s="254">
        <v>366.18</v>
      </c>
      <c r="BY160" s="304">
        <v>3.9399999999999998E-2</v>
      </c>
      <c r="BZ160" s="494">
        <v>19.170000000000002</v>
      </c>
      <c r="CA160" s="497">
        <v>0.3</v>
      </c>
      <c r="CB160" s="497"/>
      <c r="CC160" s="494">
        <v>424</v>
      </c>
      <c r="CD160" s="241">
        <f t="shared" si="22"/>
        <v>154</v>
      </c>
      <c r="CE160" s="2"/>
      <c r="CF160" s="2">
        <v>490.8</v>
      </c>
      <c r="CG160" s="2"/>
      <c r="CH160" s="2"/>
      <c r="CI160" s="2"/>
      <c r="CJ160" s="252"/>
      <c r="CK160" s="252"/>
      <c r="CL160" s="252">
        <v>546.33000000000004</v>
      </c>
      <c r="CM160" s="253"/>
      <c r="CO160" s="253">
        <v>0.08</v>
      </c>
      <c r="CU160" s="266">
        <f t="shared" si="23"/>
        <v>181</v>
      </c>
      <c r="CV160" s="267">
        <f t="shared" si="24"/>
        <v>362</v>
      </c>
      <c r="CW160" s="268">
        <f t="shared" si="25"/>
        <v>904.99</v>
      </c>
      <c r="CX160" s="418">
        <v>184</v>
      </c>
      <c r="CY160" s="252"/>
      <c r="CZ160" s="252"/>
      <c r="DA160" s="252"/>
      <c r="DB160" s="252"/>
      <c r="DC160" s="252"/>
      <c r="DD160" s="252"/>
      <c r="DE160" s="252"/>
      <c r="DF160" s="252">
        <f t="shared" si="31"/>
        <v>0</v>
      </c>
      <c r="DG160" s="252"/>
      <c r="DH160" s="252">
        <v>489.06</v>
      </c>
      <c r="DI160" s="252"/>
      <c r="DK160" s="252"/>
      <c r="DL160" s="252"/>
      <c r="DP160" s="6">
        <v>7.2499999999999995E-2</v>
      </c>
      <c r="DQ160" s="252">
        <v>39.42</v>
      </c>
      <c r="DR160" s="3">
        <v>546.33000000000004</v>
      </c>
      <c r="DT160" s="241">
        <f t="shared" si="26"/>
        <v>154</v>
      </c>
      <c r="DU160" s="2"/>
      <c r="DV160" s="252">
        <v>720</v>
      </c>
      <c r="DY160" s="252">
        <v>405.18</v>
      </c>
      <c r="DZ160" s="264">
        <v>3.9399999999999998E-2</v>
      </c>
      <c r="EA160" s="252">
        <v>0</v>
      </c>
      <c r="EB160" s="253">
        <v>0</v>
      </c>
    </row>
    <row r="161" spans="1:132">
      <c r="A161">
        <v>155</v>
      </c>
      <c r="B161" s="259">
        <v>11.202</v>
      </c>
      <c r="C161">
        <v>155</v>
      </c>
      <c r="D161" s="168">
        <f t="shared" si="21"/>
        <v>-1.9920318550176175E-3</v>
      </c>
      <c r="E161" s="246">
        <v>44136</v>
      </c>
      <c r="F161" s="186">
        <v>-0.2</v>
      </c>
      <c r="G161" s="247">
        <v>215942.0239</v>
      </c>
      <c r="H161" s="247">
        <v>540.69989999999996</v>
      </c>
      <c r="I161" s="248">
        <v>119.8</v>
      </c>
      <c r="J161" s="258">
        <f t="shared" si="27"/>
        <v>-1.6666666666667052E-3</v>
      </c>
      <c r="K161" s="298"/>
      <c r="L161" s="252">
        <v>300</v>
      </c>
      <c r="M161" s="263"/>
      <c r="N161" s="263"/>
      <c r="O161" s="473">
        <v>328.76</v>
      </c>
      <c r="P161" s="474">
        <v>328.76</v>
      </c>
      <c r="Q161" s="474">
        <v>430.86</v>
      </c>
      <c r="R161" s="475">
        <v>0.09</v>
      </c>
      <c r="S161" s="533">
        <f t="shared" si="28"/>
        <v>155</v>
      </c>
      <c r="T161" s="460">
        <v>75.260000000000005</v>
      </c>
      <c r="U161" s="460">
        <v>10.56</v>
      </c>
      <c r="V161" s="460">
        <v>353.76</v>
      </c>
      <c r="W161" s="460"/>
      <c r="X161" s="254">
        <v>51.09</v>
      </c>
      <c r="Y161" s="461">
        <v>7.4999999999999997E-2</v>
      </c>
      <c r="Z161" s="460">
        <v>22.5</v>
      </c>
      <c r="AA161" s="460">
        <v>10.26</v>
      </c>
      <c r="AB161" s="460">
        <v>437.73</v>
      </c>
      <c r="AC161" s="462">
        <v>353.75</v>
      </c>
      <c r="AD161" s="463">
        <v>0.3</v>
      </c>
      <c r="AE161" s="460">
        <v>40.83</v>
      </c>
      <c r="AF161" s="460">
        <v>61.32</v>
      </c>
      <c r="AG161" s="460">
        <v>20.62</v>
      </c>
      <c r="AH161" s="460"/>
      <c r="AI161" s="460"/>
      <c r="AJ161" s="460"/>
      <c r="AK161" s="460"/>
      <c r="AL161" s="253"/>
      <c r="AM161" s="273">
        <v>0.1</v>
      </c>
      <c r="AN161" s="255">
        <v>0.08</v>
      </c>
      <c r="AO161" s="160">
        <v>0.1</v>
      </c>
      <c r="AP161" s="536">
        <v>480.1</v>
      </c>
      <c r="AQ161" s="536"/>
      <c r="AR161" s="505">
        <f t="shared" si="29"/>
        <v>155</v>
      </c>
      <c r="AS161" s="480">
        <v>257.37</v>
      </c>
      <c r="AT161" s="480">
        <v>191.57</v>
      </c>
      <c r="AU161" s="480"/>
      <c r="AV161" s="480"/>
      <c r="AW161" s="480"/>
      <c r="AX161" s="480"/>
      <c r="AY161" s="480">
        <v>303.18</v>
      </c>
      <c r="AZ161" s="499" t="s">
        <v>5323</v>
      </c>
      <c r="BA161" s="502">
        <v>23.57</v>
      </c>
      <c r="BB161" s="501"/>
      <c r="BC161" s="510">
        <v>237.16</v>
      </c>
      <c r="BD161" s="510">
        <v>1222.49</v>
      </c>
      <c r="BE161" s="504">
        <v>0.2</v>
      </c>
      <c r="BF161" s="503">
        <v>0.22</v>
      </c>
      <c r="BG161" s="502">
        <v>16.66</v>
      </c>
      <c r="BH161" s="502">
        <v>1414.05</v>
      </c>
      <c r="BI161" s="502">
        <v>19.170000000000002</v>
      </c>
      <c r="BJ161" s="502"/>
      <c r="BK161" s="502"/>
      <c r="BL161" s="510"/>
      <c r="BM161" s="511">
        <v>0.16200000000000001</v>
      </c>
      <c r="BN161" s="511"/>
      <c r="BO161" s="511" t="s">
        <v>5340</v>
      </c>
      <c r="BP161" s="252"/>
      <c r="BQ161" s="252"/>
      <c r="BR161" s="511">
        <v>0.22</v>
      </c>
      <c r="BS161" s="252"/>
      <c r="BT161" s="252"/>
      <c r="BU161" s="524">
        <f t="shared" si="30"/>
        <v>155</v>
      </c>
      <c r="BV161" s="489">
        <v>158.63</v>
      </c>
      <c r="BW161" s="304">
        <v>4.4999999999999998E-2</v>
      </c>
      <c r="BX161" s="254">
        <v>366.18</v>
      </c>
      <c r="BY161" s="304">
        <v>3.9399999999999998E-2</v>
      </c>
      <c r="BZ161" s="494">
        <v>19.170000000000002</v>
      </c>
      <c r="CA161" s="497">
        <v>0.3</v>
      </c>
      <c r="CB161" s="497"/>
      <c r="CC161" s="494">
        <v>424</v>
      </c>
      <c r="CD161" s="241">
        <f t="shared" si="22"/>
        <v>155</v>
      </c>
      <c r="CE161" s="2"/>
      <c r="CF161" s="2">
        <v>490.8</v>
      </c>
      <c r="CG161" s="2"/>
      <c r="CH161" s="2"/>
      <c r="CI161" s="2"/>
      <c r="CJ161" s="252"/>
      <c r="CK161" s="252"/>
      <c r="CL161" s="252">
        <v>546.33000000000004</v>
      </c>
      <c r="CM161" s="253"/>
      <c r="CO161" s="5">
        <v>0.08</v>
      </c>
      <c r="CU161" s="266">
        <f t="shared" si="23"/>
        <v>181</v>
      </c>
      <c r="CV161" s="267">
        <f t="shared" si="24"/>
        <v>362</v>
      </c>
      <c r="CW161" s="268">
        <f t="shared" si="25"/>
        <v>904.99</v>
      </c>
      <c r="CX161" s="418">
        <v>184</v>
      </c>
      <c r="CY161" s="252"/>
      <c r="CZ161" s="252"/>
      <c r="DA161" s="252"/>
      <c r="DB161" s="252"/>
      <c r="DC161" s="252"/>
      <c r="DD161" s="252"/>
      <c r="DE161" s="252"/>
      <c r="DF161" s="252">
        <f t="shared" si="31"/>
        <v>0</v>
      </c>
      <c r="DG161" s="252"/>
      <c r="DH161" s="252">
        <v>489.06</v>
      </c>
      <c r="DI161" s="252"/>
      <c r="DK161" s="252"/>
      <c r="DL161" s="252"/>
      <c r="DP161" s="6">
        <v>7.2499999999999995E-2</v>
      </c>
      <c r="DQ161" s="252">
        <v>39.42</v>
      </c>
      <c r="DR161" s="3">
        <v>546.33000000000004</v>
      </c>
      <c r="DT161" s="241">
        <f t="shared" si="26"/>
        <v>155</v>
      </c>
      <c r="DU161" s="2"/>
      <c r="DV161" s="252">
        <v>720</v>
      </c>
      <c r="DY161" s="252">
        <v>405.18</v>
      </c>
      <c r="DZ161" s="264">
        <v>3.9399999999999998E-2</v>
      </c>
      <c r="EA161" s="252">
        <v>0</v>
      </c>
      <c r="EB161" s="253">
        <v>0</v>
      </c>
    </row>
    <row r="162" spans="1:132">
      <c r="A162">
        <v>156</v>
      </c>
      <c r="B162" s="259">
        <v>12.202</v>
      </c>
      <c r="C162">
        <v>156</v>
      </c>
      <c r="D162" s="168">
        <f t="shared" si="21"/>
        <v>-9.9800398323490747E-4</v>
      </c>
      <c r="E162" s="246">
        <v>44166</v>
      </c>
      <c r="F162" s="186">
        <v>-0.1</v>
      </c>
      <c r="G162" s="247">
        <v>215726.5129</v>
      </c>
      <c r="H162" s="247">
        <v>540.16030000000001</v>
      </c>
      <c r="I162" s="248">
        <v>119.6</v>
      </c>
      <c r="J162" s="258">
        <f t="shared" si="27"/>
        <v>-1.6694490818029983E-3</v>
      </c>
      <c r="K162" s="298"/>
      <c r="L162" s="252">
        <v>300</v>
      </c>
      <c r="M162" s="263"/>
      <c r="N162" s="263"/>
      <c r="O162" s="473">
        <v>328.76</v>
      </c>
      <c r="P162" s="474">
        <v>328.76</v>
      </c>
      <c r="Q162" s="474">
        <v>430.86</v>
      </c>
      <c r="R162" s="475">
        <v>0.09</v>
      </c>
      <c r="S162" s="533">
        <f t="shared" si="28"/>
        <v>156</v>
      </c>
      <c r="T162" s="460">
        <v>75.260000000000005</v>
      </c>
      <c r="U162" s="460">
        <v>10.56</v>
      </c>
      <c r="V162" s="460">
        <v>353.76</v>
      </c>
      <c r="W162" s="460"/>
      <c r="X162" s="254">
        <v>51.09</v>
      </c>
      <c r="Y162" s="461">
        <v>7.4999999999999997E-2</v>
      </c>
      <c r="Z162" s="460">
        <v>22.5</v>
      </c>
      <c r="AA162" s="460">
        <v>10.26</v>
      </c>
      <c r="AB162" s="460">
        <v>437.73</v>
      </c>
      <c r="AC162" s="462">
        <v>353.75</v>
      </c>
      <c r="AD162" s="463">
        <v>0.3</v>
      </c>
      <c r="AE162" s="460">
        <v>40.83</v>
      </c>
      <c r="AF162" s="460">
        <v>61.32</v>
      </c>
      <c r="AG162" s="460">
        <v>20.62</v>
      </c>
      <c r="AH162" s="460"/>
      <c r="AI162" s="460"/>
      <c r="AJ162" s="460"/>
      <c r="AK162" s="460"/>
      <c r="AL162" s="253"/>
      <c r="AM162" s="273">
        <v>0.1</v>
      </c>
      <c r="AN162" s="255">
        <v>0.08</v>
      </c>
      <c r="AO162" s="160">
        <v>0.1</v>
      </c>
      <c r="AP162" s="536">
        <v>480.1</v>
      </c>
      <c r="AQ162" s="536"/>
      <c r="AR162" s="505">
        <f t="shared" si="29"/>
        <v>156</v>
      </c>
      <c r="AS162" s="480">
        <v>257.37</v>
      </c>
      <c r="AT162" s="480">
        <v>191.57</v>
      </c>
      <c r="AU162" s="480"/>
      <c r="AV162" s="480"/>
      <c r="AW162" s="480"/>
      <c r="AX162" s="480"/>
      <c r="AY162" s="480">
        <v>303.18</v>
      </c>
      <c r="AZ162" s="499" t="s">
        <v>5323</v>
      </c>
      <c r="BA162" s="502">
        <v>23.57</v>
      </c>
      <c r="BB162" s="502"/>
      <c r="BC162" s="510">
        <v>237.16</v>
      </c>
      <c r="BD162" s="510">
        <v>1222.49</v>
      </c>
      <c r="BE162" s="504">
        <v>0.2</v>
      </c>
      <c r="BF162" s="503">
        <v>0.22</v>
      </c>
      <c r="BG162" s="502">
        <v>16.66</v>
      </c>
      <c r="BH162" s="502">
        <v>1414.05</v>
      </c>
      <c r="BI162" s="502">
        <v>19.170000000000002</v>
      </c>
      <c r="BJ162" s="502"/>
      <c r="BK162" s="502"/>
      <c r="BL162" s="510"/>
      <c r="BM162" s="511">
        <v>0.16200000000000001</v>
      </c>
      <c r="BN162" s="511"/>
      <c r="BO162" s="511" t="s">
        <v>5340</v>
      </c>
      <c r="BP162" s="252"/>
      <c r="BQ162" s="252"/>
      <c r="BR162" s="511">
        <v>0.22</v>
      </c>
      <c r="BS162" s="252"/>
      <c r="BT162" s="252"/>
      <c r="BU162" s="524">
        <f t="shared" si="30"/>
        <v>156</v>
      </c>
      <c r="BV162" s="489">
        <v>158.63</v>
      </c>
      <c r="BW162" s="304">
        <v>4.4999999999999998E-2</v>
      </c>
      <c r="BX162" s="254">
        <v>366.18</v>
      </c>
      <c r="BY162" s="304">
        <v>3.9399999999999998E-2</v>
      </c>
      <c r="BZ162" s="494">
        <v>19.170000000000002</v>
      </c>
      <c r="CA162" s="497">
        <v>0.3</v>
      </c>
      <c r="CB162" s="497"/>
      <c r="CC162" s="494">
        <v>424</v>
      </c>
      <c r="CD162" s="241">
        <f t="shared" si="22"/>
        <v>156</v>
      </c>
      <c r="CE162" s="2"/>
      <c r="CF162" s="2">
        <v>490.8</v>
      </c>
      <c r="CG162" s="2"/>
      <c r="CH162" s="2"/>
      <c r="CI162" s="2"/>
      <c r="CJ162" s="252"/>
      <c r="CK162" s="252"/>
      <c r="CL162" s="252">
        <v>546.33000000000004</v>
      </c>
      <c r="CM162" s="253"/>
      <c r="CO162" s="253">
        <v>0.08</v>
      </c>
      <c r="CU162" s="266">
        <f t="shared" si="23"/>
        <v>181</v>
      </c>
      <c r="CV162" s="267">
        <f t="shared" si="24"/>
        <v>362</v>
      </c>
      <c r="CW162" s="268">
        <f t="shared" si="25"/>
        <v>904.99</v>
      </c>
      <c r="CX162" s="418">
        <v>184</v>
      </c>
      <c r="CY162" s="252"/>
      <c r="CZ162" s="252"/>
      <c r="DA162" s="252"/>
      <c r="DB162" s="252"/>
      <c r="DC162" s="252"/>
      <c r="DD162" s="252"/>
      <c r="DE162" s="252"/>
      <c r="DF162" s="252">
        <f t="shared" si="31"/>
        <v>0</v>
      </c>
      <c r="DG162" s="252"/>
      <c r="DH162" s="252">
        <v>489.06</v>
      </c>
      <c r="DI162" s="252"/>
      <c r="DK162" s="252"/>
      <c r="DL162" s="252"/>
      <c r="DP162" s="6">
        <v>7.2499999999999995E-2</v>
      </c>
      <c r="DQ162" s="252">
        <v>39.42</v>
      </c>
      <c r="DR162" s="3">
        <v>546.33000000000004</v>
      </c>
      <c r="DT162" s="241">
        <f t="shared" si="26"/>
        <v>156</v>
      </c>
      <c r="DU162" s="2"/>
      <c r="DV162" s="252">
        <v>720</v>
      </c>
      <c r="DY162" s="252">
        <v>405.18</v>
      </c>
      <c r="DZ162" s="264">
        <v>3.9399999999999998E-2</v>
      </c>
      <c r="EA162" s="252">
        <v>0</v>
      </c>
      <c r="EB162" s="253">
        <v>0</v>
      </c>
    </row>
    <row r="163" spans="1:132">
      <c r="A163">
        <v>157</v>
      </c>
      <c r="B163" s="259">
        <v>1.2020999999999999</v>
      </c>
      <c r="C163">
        <v>157</v>
      </c>
      <c r="D163" s="168">
        <f t="shared" si="21"/>
        <v>-1.0079920037496803E-3</v>
      </c>
      <c r="E163" s="246">
        <v>44197</v>
      </c>
      <c r="F163" s="186">
        <v>-0.11</v>
      </c>
      <c r="G163" s="247">
        <v>215509.06229999999</v>
      </c>
      <c r="H163" s="247">
        <v>539.61580000000004</v>
      </c>
      <c r="I163" s="248">
        <v>119.5</v>
      </c>
      <c r="J163" s="258">
        <f t="shared" si="27"/>
        <v>-8.3612040133773657E-4</v>
      </c>
      <c r="K163" s="298">
        <v>0</v>
      </c>
      <c r="L163" s="252">
        <v>300</v>
      </c>
      <c r="M163" s="263"/>
      <c r="N163" s="263"/>
      <c r="O163" s="473">
        <v>328.76</v>
      </c>
      <c r="P163" s="474">
        <v>328.76</v>
      </c>
      <c r="Q163" s="474">
        <v>430.86</v>
      </c>
      <c r="R163" s="475">
        <v>0.09</v>
      </c>
      <c r="S163" s="533">
        <f t="shared" si="28"/>
        <v>157</v>
      </c>
      <c r="T163" s="460">
        <v>75.260000000000005</v>
      </c>
      <c r="U163" s="460">
        <v>10.56</v>
      </c>
      <c r="V163" s="460">
        <v>353.76</v>
      </c>
      <c r="W163" s="460"/>
      <c r="X163" s="254">
        <v>51.09</v>
      </c>
      <c r="Y163" s="461">
        <v>7.4999999999999997E-2</v>
      </c>
      <c r="Z163" s="460">
        <v>22.5</v>
      </c>
      <c r="AA163" s="460">
        <v>10.26</v>
      </c>
      <c r="AB163" s="460">
        <v>437.73</v>
      </c>
      <c r="AC163" s="462">
        <v>353.75</v>
      </c>
      <c r="AD163" s="463">
        <v>0.3</v>
      </c>
      <c r="AE163" s="460">
        <v>40.83</v>
      </c>
      <c r="AF163" s="460">
        <v>61.32</v>
      </c>
      <c r="AG163" s="460">
        <v>20.62</v>
      </c>
      <c r="AH163" s="460"/>
      <c r="AI163" s="460"/>
      <c r="AJ163" s="460"/>
      <c r="AK163" s="460"/>
      <c r="AL163" s="253"/>
      <c r="AM163" s="273">
        <v>0.1</v>
      </c>
      <c r="AN163" s="255">
        <v>0.08</v>
      </c>
      <c r="AO163" s="160">
        <v>0.1</v>
      </c>
      <c r="AP163" s="536">
        <v>480.1</v>
      </c>
      <c r="AQ163" s="536"/>
      <c r="AR163" s="505">
        <f t="shared" si="29"/>
        <v>157</v>
      </c>
      <c r="AS163" s="480">
        <v>257.37</v>
      </c>
      <c r="AT163" s="480">
        <v>191.57</v>
      </c>
      <c r="AU163" s="480"/>
      <c r="AV163" s="480"/>
      <c r="AW163" s="480"/>
      <c r="AX163" s="480"/>
      <c r="AY163" s="480">
        <v>303.18</v>
      </c>
      <c r="AZ163" s="499" t="s">
        <v>5323</v>
      </c>
      <c r="BA163" s="502">
        <v>23.57</v>
      </c>
      <c r="BB163" s="501"/>
      <c r="BC163" s="510">
        <v>237.16</v>
      </c>
      <c r="BD163" s="510">
        <v>1222.49</v>
      </c>
      <c r="BE163" s="504">
        <v>0.2</v>
      </c>
      <c r="BF163" s="503">
        <v>0.22</v>
      </c>
      <c r="BG163" s="502">
        <v>16.66</v>
      </c>
      <c r="BH163" s="502">
        <v>1414.05</v>
      </c>
      <c r="BI163" s="502">
        <v>19.170000000000002</v>
      </c>
      <c r="BJ163" s="502"/>
      <c r="BK163" s="502"/>
      <c r="BL163" s="510"/>
      <c r="BM163" s="511">
        <v>0.16200000000000001</v>
      </c>
      <c r="BN163" s="511"/>
      <c r="BO163" s="511" t="s">
        <v>5340</v>
      </c>
      <c r="BP163" s="252"/>
      <c r="BQ163" s="252"/>
      <c r="BR163" s="511">
        <v>0.22</v>
      </c>
      <c r="BS163" s="252"/>
      <c r="BT163" s="252"/>
      <c r="BU163" s="524">
        <f t="shared" si="30"/>
        <v>157</v>
      </c>
      <c r="BV163" s="489">
        <v>158.63</v>
      </c>
      <c r="BW163" s="304">
        <v>4.4999999999999998E-2</v>
      </c>
      <c r="BX163" s="254">
        <v>366.18</v>
      </c>
      <c r="BY163" s="304">
        <v>3.9399999999999998E-2</v>
      </c>
      <c r="BZ163" s="494">
        <v>19.170000000000002</v>
      </c>
      <c r="CA163" s="497">
        <v>0.3</v>
      </c>
      <c r="CB163" s="497"/>
      <c r="CC163" s="494">
        <v>424</v>
      </c>
      <c r="CD163" s="241">
        <f t="shared" si="22"/>
        <v>157</v>
      </c>
      <c r="CE163" s="2"/>
      <c r="CF163" s="2">
        <v>490.8</v>
      </c>
      <c r="CG163" s="2"/>
      <c r="CH163" s="2"/>
      <c r="CI163" s="2"/>
      <c r="CJ163" s="252"/>
      <c r="CK163" s="252"/>
      <c r="CL163" s="252">
        <v>546.33000000000004</v>
      </c>
      <c r="CM163" s="253"/>
      <c r="CO163" s="5">
        <v>0.08</v>
      </c>
      <c r="CU163" s="266">
        <f t="shared" si="23"/>
        <v>181</v>
      </c>
      <c r="CV163" s="267">
        <f t="shared" si="24"/>
        <v>362</v>
      </c>
      <c r="CW163" s="268">
        <f t="shared" si="25"/>
        <v>904.99</v>
      </c>
      <c r="CX163" s="418">
        <v>184</v>
      </c>
      <c r="CY163" s="252"/>
      <c r="CZ163" s="252"/>
      <c r="DA163" s="252"/>
      <c r="DB163" s="252"/>
      <c r="DC163" s="252"/>
      <c r="DD163" s="252"/>
      <c r="DE163" s="252"/>
      <c r="DF163" s="252">
        <f t="shared" si="31"/>
        <v>0</v>
      </c>
      <c r="DG163" s="252"/>
      <c r="DH163" s="252">
        <v>489.06</v>
      </c>
      <c r="DI163" s="252"/>
      <c r="DK163" s="252"/>
      <c r="DL163" s="252"/>
      <c r="DP163" s="6">
        <v>7.2499999999999995E-2</v>
      </c>
      <c r="DQ163" s="252">
        <v>39.42</v>
      </c>
      <c r="DR163" s="3">
        <v>546.33000000000004</v>
      </c>
      <c r="DT163" s="241">
        <f t="shared" si="26"/>
        <v>157</v>
      </c>
      <c r="DU163" s="2"/>
      <c r="DV163" s="252">
        <v>720</v>
      </c>
      <c r="DY163" s="252">
        <v>405.18</v>
      </c>
      <c r="DZ163" s="264">
        <v>3.9399999999999998E-2</v>
      </c>
      <c r="EA163" s="252">
        <v>0</v>
      </c>
      <c r="EB163" s="253">
        <v>0</v>
      </c>
    </row>
    <row r="164" spans="1:132">
      <c r="A164">
        <v>158</v>
      </c>
      <c r="B164" s="259">
        <v>2.2021000000000002</v>
      </c>
      <c r="C164">
        <v>158</v>
      </c>
      <c r="D164" s="168">
        <f t="shared" si="21"/>
        <v>3.0090270593692292E-3</v>
      </c>
      <c r="E164" s="246">
        <v>44228</v>
      </c>
      <c r="F164" s="186">
        <v>0.3</v>
      </c>
      <c r="G164" s="247">
        <v>216157.5349</v>
      </c>
      <c r="H164" s="247">
        <v>541.23950000000002</v>
      </c>
      <c r="I164" s="248">
        <v>119.9</v>
      </c>
      <c r="J164" s="258">
        <f t="shared" si="27"/>
        <v>3.3472803347280866E-3</v>
      </c>
      <c r="K164" s="298"/>
      <c r="L164" s="252">
        <v>300</v>
      </c>
      <c r="M164" s="263"/>
      <c r="N164" s="263"/>
      <c r="O164" s="473">
        <v>328.76</v>
      </c>
      <c r="P164" s="474">
        <v>328.76</v>
      </c>
      <c r="Q164" s="474">
        <v>430.86</v>
      </c>
      <c r="R164" s="475">
        <v>0.09</v>
      </c>
      <c r="S164" s="533">
        <f t="shared" si="28"/>
        <v>158</v>
      </c>
      <c r="T164" s="460">
        <v>75.260000000000005</v>
      </c>
      <c r="U164" s="460">
        <v>10.56</v>
      </c>
      <c r="V164" s="460">
        <v>353.76</v>
      </c>
      <c r="W164" s="460"/>
      <c r="X164" s="254">
        <v>51.09</v>
      </c>
      <c r="Y164" s="461">
        <v>7.4999999999999997E-2</v>
      </c>
      <c r="Z164" s="460">
        <v>22.5</v>
      </c>
      <c r="AA164" s="460">
        <v>10.26</v>
      </c>
      <c r="AB164" s="460">
        <v>437.73</v>
      </c>
      <c r="AC164" s="462">
        <v>353.75</v>
      </c>
      <c r="AD164" s="463">
        <v>0.3</v>
      </c>
      <c r="AE164" s="460">
        <v>40.83</v>
      </c>
      <c r="AF164" s="460">
        <v>61.32</v>
      </c>
      <c r="AG164" s="460">
        <v>20.62</v>
      </c>
      <c r="AH164" s="460"/>
      <c r="AI164" s="460"/>
      <c r="AJ164" s="460"/>
      <c r="AK164" s="460"/>
      <c r="AL164" s="253"/>
      <c r="AM164" s="273">
        <v>0.1</v>
      </c>
      <c r="AN164" s="255">
        <v>0.08</v>
      </c>
      <c r="AO164" s="160">
        <v>0.1</v>
      </c>
      <c r="AP164" s="536">
        <v>480.1</v>
      </c>
      <c r="AQ164" s="536"/>
      <c r="AR164" s="505">
        <f t="shared" si="29"/>
        <v>158</v>
      </c>
      <c r="AS164" s="480">
        <v>257.37</v>
      </c>
      <c r="AT164" s="480">
        <v>191.57</v>
      </c>
      <c r="AU164" s="480"/>
      <c r="AV164" s="480"/>
      <c r="AW164" s="480"/>
      <c r="AX164" s="480"/>
      <c r="AY164" s="480">
        <v>303.18</v>
      </c>
      <c r="AZ164" s="499" t="s">
        <v>5323</v>
      </c>
      <c r="BA164" s="502">
        <v>23.57</v>
      </c>
      <c r="BB164" s="502"/>
      <c r="BC164" s="510">
        <v>237.16</v>
      </c>
      <c r="BD164" s="510">
        <v>1222.49</v>
      </c>
      <c r="BE164" s="504">
        <v>0.2</v>
      </c>
      <c r="BF164" s="503">
        <v>0.22</v>
      </c>
      <c r="BG164" s="502">
        <v>16.66</v>
      </c>
      <c r="BH164" s="502">
        <v>1414.05</v>
      </c>
      <c r="BI164" s="502">
        <v>19.170000000000002</v>
      </c>
      <c r="BJ164" s="502"/>
      <c r="BK164" s="502"/>
      <c r="BL164" s="510"/>
      <c r="BM164" s="511">
        <v>0.16200000000000001</v>
      </c>
      <c r="BN164" s="511"/>
      <c r="BO164" s="511" t="s">
        <v>5340</v>
      </c>
      <c r="BP164" s="252"/>
      <c r="BQ164" s="252"/>
      <c r="BR164" s="511">
        <v>0.22</v>
      </c>
      <c r="BS164" s="252"/>
      <c r="BT164" s="252"/>
      <c r="BU164" s="524">
        <f t="shared" si="30"/>
        <v>158</v>
      </c>
      <c r="BV164" s="489">
        <v>158.63</v>
      </c>
      <c r="BW164" s="304">
        <v>4.4999999999999998E-2</v>
      </c>
      <c r="BX164" s="254">
        <v>366.18</v>
      </c>
      <c r="BY164" s="304">
        <v>3.9399999999999998E-2</v>
      </c>
      <c r="BZ164" s="494">
        <v>19.170000000000002</v>
      </c>
      <c r="CA164" s="497">
        <v>0.3</v>
      </c>
      <c r="CB164" s="497"/>
      <c r="CC164" s="494">
        <v>424</v>
      </c>
      <c r="CD164" s="241">
        <f t="shared" si="22"/>
        <v>158</v>
      </c>
      <c r="CE164" s="2"/>
      <c r="CF164" s="2">
        <v>490.8</v>
      </c>
      <c r="CG164" s="2"/>
      <c r="CH164" s="2"/>
      <c r="CI164" s="2"/>
      <c r="CJ164" s="252"/>
      <c r="CK164" s="252"/>
      <c r="CL164" s="252">
        <v>546.33000000000004</v>
      </c>
      <c r="CM164" s="253"/>
      <c r="CO164" s="253">
        <v>0.08</v>
      </c>
      <c r="CU164" s="266">
        <f t="shared" si="23"/>
        <v>181</v>
      </c>
      <c r="CV164" s="267">
        <f t="shared" si="24"/>
        <v>362</v>
      </c>
      <c r="CW164" s="268">
        <f t="shared" si="25"/>
        <v>904.99</v>
      </c>
      <c r="CX164" s="418">
        <v>184</v>
      </c>
      <c r="CY164" s="252"/>
      <c r="CZ164" s="252"/>
      <c r="DA164" s="252"/>
      <c r="DB164" s="252"/>
      <c r="DC164" s="252"/>
      <c r="DD164" s="252"/>
      <c r="DE164" s="252"/>
      <c r="DF164" s="252">
        <f t="shared" si="31"/>
        <v>0</v>
      </c>
      <c r="DG164" s="252"/>
      <c r="DH164" s="252">
        <v>489.06</v>
      </c>
      <c r="DI164" s="252"/>
      <c r="DK164" s="252"/>
      <c r="DL164" s="252"/>
      <c r="DP164" s="6">
        <v>7.2499999999999995E-2</v>
      </c>
      <c r="DQ164" s="252">
        <v>39.42</v>
      </c>
      <c r="DR164" s="3">
        <v>546.33000000000004</v>
      </c>
      <c r="DT164" s="241">
        <f t="shared" si="26"/>
        <v>158</v>
      </c>
      <c r="DU164" s="2"/>
      <c r="DV164" s="252">
        <v>720</v>
      </c>
      <c r="DY164" s="252">
        <v>405.18</v>
      </c>
      <c r="DZ164" s="264">
        <v>3.9399999999999998E-2</v>
      </c>
      <c r="EA164" s="252">
        <v>0</v>
      </c>
      <c r="EB164" s="253">
        <v>0</v>
      </c>
    </row>
    <row r="165" spans="1:132">
      <c r="A165">
        <v>159</v>
      </c>
      <c r="B165" s="259">
        <v>3.2021000000000002</v>
      </c>
      <c r="C165">
        <v>159</v>
      </c>
      <c r="D165" s="168">
        <f t="shared" si="21"/>
        <v>5.9999999565132356E-3</v>
      </c>
      <c r="E165" s="246">
        <v>44256</v>
      </c>
      <c r="F165" s="186">
        <v>0.59</v>
      </c>
      <c r="G165" s="247">
        <v>217454.48009999999</v>
      </c>
      <c r="H165" s="247">
        <v>544.48699999999997</v>
      </c>
      <c r="I165" s="248">
        <v>120.6</v>
      </c>
      <c r="J165" s="258">
        <f t="shared" si="27"/>
        <v>5.8381984987487812E-3</v>
      </c>
      <c r="K165" s="298"/>
      <c r="L165" s="252">
        <v>300</v>
      </c>
      <c r="M165" s="263"/>
      <c r="N165" s="263"/>
      <c r="O165" s="473">
        <v>328.76</v>
      </c>
      <c r="P165" s="474">
        <v>328.76</v>
      </c>
      <c r="Q165" s="474">
        <v>430.86</v>
      </c>
      <c r="R165" s="475">
        <v>0.09</v>
      </c>
      <c r="S165" s="533">
        <f t="shared" si="28"/>
        <v>159</v>
      </c>
      <c r="T165" s="460">
        <v>75.260000000000005</v>
      </c>
      <c r="U165" s="460">
        <v>10.56</v>
      </c>
      <c r="V165" s="460">
        <v>353.76</v>
      </c>
      <c r="W165" s="460"/>
      <c r="X165" s="254">
        <v>51.09</v>
      </c>
      <c r="Y165" s="461">
        <v>7.4999999999999997E-2</v>
      </c>
      <c r="Z165" s="460">
        <v>22.5</v>
      </c>
      <c r="AA165" s="460">
        <v>10.26</v>
      </c>
      <c r="AB165" s="460">
        <v>437.73</v>
      </c>
      <c r="AC165" s="462">
        <v>353.75</v>
      </c>
      <c r="AD165" s="463">
        <v>0.3</v>
      </c>
      <c r="AE165" s="460">
        <v>40.83</v>
      </c>
      <c r="AF165" s="460">
        <v>61.32</v>
      </c>
      <c r="AG165" s="460">
        <v>20.62</v>
      </c>
      <c r="AH165" s="460"/>
      <c r="AI165" s="460"/>
      <c r="AJ165" s="460"/>
      <c r="AK165" s="460"/>
      <c r="AL165" s="253"/>
      <c r="AM165" s="273">
        <v>0.1</v>
      </c>
      <c r="AN165" s="255">
        <v>0.08</v>
      </c>
      <c r="AO165" s="160">
        <v>0.1</v>
      </c>
      <c r="AP165" s="536">
        <v>480.1</v>
      </c>
      <c r="AQ165" s="536"/>
      <c r="AR165" s="505">
        <f t="shared" si="29"/>
        <v>159</v>
      </c>
      <c r="AS165" s="480">
        <v>257.37</v>
      </c>
      <c r="AT165" s="480">
        <v>191.57</v>
      </c>
      <c r="AU165" s="480"/>
      <c r="AV165" s="480"/>
      <c r="AW165" s="480"/>
      <c r="AX165" s="480"/>
      <c r="AY165" s="480">
        <v>303.18</v>
      </c>
      <c r="AZ165" s="499" t="s">
        <v>5323</v>
      </c>
      <c r="BA165" s="502">
        <v>23.57</v>
      </c>
      <c r="BB165" s="501"/>
      <c r="BC165" s="510">
        <v>237.16</v>
      </c>
      <c r="BD165" s="510">
        <v>1222.49</v>
      </c>
      <c r="BE165" s="504">
        <v>0.2</v>
      </c>
      <c r="BF165" s="503">
        <v>0.22</v>
      </c>
      <c r="BG165" s="502">
        <v>16.66</v>
      </c>
      <c r="BH165" s="502">
        <v>1414.05</v>
      </c>
      <c r="BI165" s="502">
        <v>19.170000000000002</v>
      </c>
      <c r="BJ165" s="502"/>
      <c r="BK165" s="502"/>
      <c r="BL165" s="510"/>
      <c r="BM165" s="511">
        <v>0.16200000000000001</v>
      </c>
      <c r="BN165" s="511"/>
      <c r="BO165" s="511" t="s">
        <v>5340</v>
      </c>
      <c r="BP165" s="252"/>
      <c r="BQ165" s="252"/>
      <c r="BR165" s="511">
        <v>0.22</v>
      </c>
      <c r="BS165" s="252"/>
      <c r="BT165" s="252"/>
      <c r="BU165" s="524">
        <f t="shared" si="30"/>
        <v>159</v>
      </c>
      <c r="BV165" s="489">
        <v>158.63</v>
      </c>
      <c r="BW165" s="304">
        <v>4.4999999999999998E-2</v>
      </c>
      <c r="BX165" s="254">
        <v>366.18</v>
      </c>
      <c r="BY165" s="304">
        <v>3.9399999999999998E-2</v>
      </c>
      <c r="BZ165" s="494">
        <v>19.170000000000002</v>
      </c>
      <c r="CA165" s="497">
        <v>0.3</v>
      </c>
      <c r="CB165" s="497"/>
      <c r="CC165" s="494">
        <v>424</v>
      </c>
      <c r="CD165" s="241">
        <f t="shared" si="22"/>
        <v>159</v>
      </c>
      <c r="CE165" s="2"/>
      <c r="CF165" s="2">
        <v>490.8</v>
      </c>
      <c r="CG165" s="2"/>
      <c r="CH165" s="2"/>
      <c r="CI165" s="2"/>
      <c r="CJ165" s="252"/>
      <c r="CK165" s="252"/>
      <c r="CL165" s="252">
        <v>546.33000000000004</v>
      </c>
      <c r="CM165" s="253"/>
      <c r="CO165" s="5">
        <v>0.08</v>
      </c>
      <c r="CU165" s="266">
        <f t="shared" si="23"/>
        <v>181</v>
      </c>
      <c r="CV165" s="267">
        <f t="shared" si="24"/>
        <v>362</v>
      </c>
      <c r="CW165" s="268">
        <f t="shared" si="25"/>
        <v>904.99</v>
      </c>
      <c r="CX165" s="418">
        <v>184</v>
      </c>
      <c r="CY165" s="252"/>
      <c r="CZ165" s="252"/>
      <c r="DA165" s="252"/>
      <c r="DB165" s="252"/>
      <c r="DC165" s="252"/>
      <c r="DD165" s="252"/>
      <c r="DE165" s="252"/>
      <c r="DF165" s="252">
        <f t="shared" si="31"/>
        <v>0</v>
      </c>
      <c r="DG165" s="252"/>
      <c r="DH165" s="252">
        <v>489.06</v>
      </c>
      <c r="DI165" s="252"/>
      <c r="DK165" s="252"/>
      <c r="DL165" s="252"/>
      <c r="DP165" s="6">
        <v>7.2499999999999995E-2</v>
      </c>
      <c r="DQ165" s="252">
        <v>39.42</v>
      </c>
      <c r="DR165" s="3">
        <v>546.33000000000004</v>
      </c>
      <c r="DT165" s="241">
        <f t="shared" si="26"/>
        <v>159</v>
      </c>
      <c r="DU165" s="2"/>
      <c r="DV165" s="252">
        <v>720</v>
      </c>
      <c r="DY165" s="252">
        <v>405.18</v>
      </c>
      <c r="DZ165" s="264">
        <v>3.9399999999999998E-2</v>
      </c>
      <c r="EA165" s="252">
        <v>0</v>
      </c>
      <c r="EB165" s="253">
        <v>0</v>
      </c>
    </row>
    <row r="166" spans="1:132">
      <c r="A166">
        <v>160</v>
      </c>
      <c r="B166" s="259">
        <v>4.2020999999999997</v>
      </c>
      <c r="C166">
        <v>160</v>
      </c>
      <c r="D166" s="168">
        <f t="shared" si="21"/>
        <v>2.9821073343800908E-3</v>
      </c>
      <c r="E166" s="246">
        <v>44287</v>
      </c>
      <c r="F166" s="186">
        <v>0.28999999999999998</v>
      </c>
      <c r="G166" s="247">
        <v>218102.95269999999</v>
      </c>
      <c r="H166" s="247">
        <v>546.11069999999995</v>
      </c>
      <c r="I166" s="248">
        <v>121</v>
      </c>
      <c r="J166" s="258">
        <f t="shared" si="27"/>
        <v>3.3167495854062867E-3</v>
      </c>
      <c r="K166" s="298"/>
      <c r="L166" s="252">
        <v>300</v>
      </c>
      <c r="M166" s="263"/>
      <c r="N166" s="263"/>
      <c r="O166" s="473">
        <v>328.76</v>
      </c>
      <c r="P166" s="474">
        <v>328.76</v>
      </c>
      <c r="Q166" s="474">
        <v>430.86</v>
      </c>
      <c r="R166" s="475">
        <v>0.09</v>
      </c>
      <c r="S166" s="533">
        <f t="shared" si="28"/>
        <v>160</v>
      </c>
      <c r="T166" s="460">
        <v>75.260000000000005</v>
      </c>
      <c r="U166" s="460">
        <v>10.56</v>
      </c>
      <c r="V166" s="460">
        <v>353.76</v>
      </c>
      <c r="W166" s="460"/>
      <c r="X166" s="254">
        <v>51.09</v>
      </c>
      <c r="Y166" s="461">
        <v>7.4999999999999997E-2</v>
      </c>
      <c r="Z166" s="460">
        <v>22.5</v>
      </c>
      <c r="AA166" s="460">
        <v>10.26</v>
      </c>
      <c r="AB166" s="460">
        <v>437.73</v>
      </c>
      <c r="AC166" s="462">
        <v>353.75</v>
      </c>
      <c r="AD166" s="463">
        <v>0.3</v>
      </c>
      <c r="AE166" s="460">
        <v>40.83</v>
      </c>
      <c r="AF166" s="460">
        <v>61.32</v>
      </c>
      <c r="AG166" s="460">
        <v>20.62</v>
      </c>
      <c r="AH166" s="460"/>
      <c r="AI166" s="460"/>
      <c r="AJ166" s="460"/>
      <c r="AK166" s="460"/>
      <c r="AL166" s="253"/>
      <c r="AM166" s="273">
        <v>0.1</v>
      </c>
      <c r="AN166" s="255">
        <v>0.08</v>
      </c>
      <c r="AO166" s="160">
        <v>0.1</v>
      </c>
      <c r="AP166" s="536">
        <v>480.1</v>
      </c>
      <c r="AQ166" s="536"/>
      <c r="AR166" s="505">
        <f t="shared" si="29"/>
        <v>160</v>
      </c>
      <c r="AS166" s="480">
        <v>257.37</v>
      </c>
      <c r="AT166" s="480">
        <v>191.57</v>
      </c>
      <c r="AU166" s="480"/>
      <c r="AV166" s="480"/>
      <c r="AW166" s="480"/>
      <c r="AX166" s="480"/>
      <c r="AY166" s="480">
        <v>303.18</v>
      </c>
      <c r="AZ166" s="499" t="s">
        <v>5323</v>
      </c>
      <c r="BA166" s="502">
        <v>23.57</v>
      </c>
      <c r="BB166" s="502"/>
      <c r="BC166" s="510">
        <v>237.16</v>
      </c>
      <c r="BD166" s="510">
        <v>1222.49</v>
      </c>
      <c r="BE166" s="504">
        <v>0.2</v>
      </c>
      <c r="BF166" s="503">
        <v>0.22</v>
      </c>
      <c r="BG166" s="502">
        <v>16.66</v>
      </c>
      <c r="BH166" s="502">
        <v>1414.05</v>
      </c>
      <c r="BI166" s="502">
        <v>19.170000000000002</v>
      </c>
      <c r="BJ166" s="502"/>
      <c r="BK166" s="502"/>
      <c r="BL166" s="510"/>
      <c r="BM166" s="511">
        <v>0.16200000000000001</v>
      </c>
      <c r="BN166" s="511"/>
      <c r="BO166" s="511" t="s">
        <v>5340</v>
      </c>
      <c r="BP166" s="252"/>
      <c r="BQ166" s="252"/>
      <c r="BR166" s="511">
        <v>0.22</v>
      </c>
      <c r="BS166" s="252"/>
      <c r="BT166" s="252"/>
      <c r="BU166" s="524">
        <f t="shared" si="30"/>
        <v>160</v>
      </c>
      <c r="BV166" s="489">
        <v>158.63</v>
      </c>
      <c r="BW166" s="304">
        <v>4.4999999999999998E-2</v>
      </c>
      <c r="BX166" s="254">
        <v>366.18</v>
      </c>
      <c r="BY166" s="304">
        <v>3.9399999999999998E-2</v>
      </c>
      <c r="BZ166" s="494">
        <v>19.170000000000002</v>
      </c>
      <c r="CA166" s="497">
        <v>0.3</v>
      </c>
      <c r="CB166" s="497"/>
      <c r="CC166" s="494">
        <v>424</v>
      </c>
      <c r="CD166" s="241">
        <f t="shared" si="22"/>
        <v>160</v>
      </c>
      <c r="CE166" s="2"/>
      <c r="CF166" s="2">
        <v>490.8</v>
      </c>
      <c r="CG166" s="2"/>
      <c r="CH166" s="2"/>
      <c r="CI166" s="2"/>
      <c r="CJ166" s="252"/>
      <c r="CK166" s="252"/>
      <c r="CL166" s="252">
        <v>546.33000000000004</v>
      </c>
      <c r="CM166" s="253"/>
      <c r="CO166" s="253">
        <v>0.08</v>
      </c>
      <c r="CU166" s="266">
        <f t="shared" si="23"/>
        <v>181</v>
      </c>
      <c r="CV166" s="267">
        <f t="shared" si="24"/>
        <v>362</v>
      </c>
      <c r="CW166" s="268">
        <f t="shared" si="25"/>
        <v>904.99</v>
      </c>
      <c r="CX166" s="418">
        <v>184</v>
      </c>
      <c r="CY166" s="252"/>
      <c r="CZ166" s="252"/>
      <c r="DA166" s="252"/>
      <c r="DB166" s="252"/>
      <c r="DC166" s="252"/>
      <c r="DD166" s="252"/>
      <c r="DE166" s="252"/>
      <c r="DF166" s="252">
        <f t="shared" si="31"/>
        <v>0</v>
      </c>
      <c r="DG166" s="252"/>
      <c r="DH166" s="252">
        <v>489.06</v>
      </c>
      <c r="DI166" s="252"/>
      <c r="DK166" s="252"/>
      <c r="DL166" s="252"/>
      <c r="DP166" s="6">
        <v>7.2499999999999995E-2</v>
      </c>
      <c r="DQ166" s="252">
        <v>39.42</v>
      </c>
      <c r="DR166" s="3">
        <v>546.33000000000004</v>
      </c>
      <c r="DT166" s="241">
        <f t="shared" si="26"/>
        <v>160</v>
      </c>
      <c r="DU166" s="2"/>
      <c r="DV166" s="252">
        <v>720</v>
      </c>
      <c r="DY166" s="252">
        <v>405.18</v>
      </c>
      <c r="DZ166" s="264">
        <v>3.9399999999999998E-2</v>
      </c>
      <c r="EA166" s="252">
        <v>0</v>
      </c>
      <c r="EB166" s="253">
        <v>0</v>
      </c>
    </row>
    <row r="167" spans="1:132">
      <c r="A167">
        <v>161</v>
      </c>
      <c r="B167" s="259">
        <v>5.2020999999999997</v>
      </c>
      <c r="C167">
        <v>161</v>
      </c>
      <c r="D167" s="168">
        <f t="shared" ref="D167:D230" si="32">+G167/G166-1</f>
        <v>3.9643213871995986E-3</v>
      </c>
      <c r="E167" s="246">
        <v>44317</v>
      </c>
      <c r="F167" s="186">
        <v>0.39</v>
      </c>
      <c r="G167" s="247">
        <v>218967.58290000001</v>
      </c>
      <c r="H167" s="247">
        <v>548.27560000000005</v>
      </c>
      <c r="I167" s="248">
        <v>121.4</v>
      </c>
      <c r="J167" s="258">
        <f t="shared" si="27"/>
        <v>3.3057851239670644E-3</v>
      </c>
      <c r="K167" s="298"/>
      <c r="L167" s="252">
        <v>300</v>
      </c>
      <c r="M167" s="263"/>
      <c r="N167" s="263"/>
      <c r="O167" s="473">
        <v>328.76</v>
      </c>
      <c r="P167" s="474">
        <v>328.76</v>
      </c>
      <c r="Q167" s="474">
        <v>430.86</v>
      </c>
      <c r="R167" s="475">
        <v>0.09</v>
      </c>
      <c r="S167" s="533">
        <f t="shared" si="28"/>
        <v>161</v>
      </c>
      <c r="T167" s="460">
        <v>75.260000000000005</v>
      </c>
      <c r="U167" s="460">
        <v>10.56</v>
      </c>
      <c r="V167" s="460">
        <v>353.76</v>
      </c>
      <c r="W167" s="460"/>
      <c r="X167" s="254">
        <v>51.09</v>
      </c>
      <c r="Y167" s="461">
        <v>7.4999999999999997E-2</v>
      </c>
      <c r="Z167" s="460">
        <v>22.5</v>
      </c>
      <c r="AA167" s="460">
        <v>10.26</v>
      </c>
      <c r="AB167" s="460">
        <v>437.73</v>
      </c>
      <c r="AC167" s="462">
        <v>353.75</v>
      </c>
      <c r="AD167" s="463">
        <v>0.3</v>
      </c>
      <c r="AE167" s="460">
        <v>40.83</v>
      </c>
      <c r="AF167" s="460">
        <v>61.32</v>
      </c>
      <c r="AG167" s="460">
        <v>20.62</v>
      </c>
      <c r="AH167" s="460"/>
      <c r="AI167" s="460"/>
      <c r="AJ167" s="460"/>
      <c r="AK167" s="460"/>
      <c r="AL167" s="253"/>
      <c r="AM167" s="273">
        <v>0.1</v>
      </c>
      <c r="AN167" s="255">
        <v>0.08</v>
      </c>
      <c r="AO167" s="160">
        <v>0.1</v>
      </c>
      <c r="AP167" s="536">
        <v>480.1</v>
      </c>
      <c r="AQ167" s="536"/>
      <c r="AR167" s="505">
        <f t="shared" si="29"/>
        <v>161</v>
      </c>
      <c r="AS167" s="480">
        <v>257.37</v>
      </c>
      <c r="AT167" s="480">
        <v>191.57</v>
      </c>
      <c r="AU167" s="480"/>
      <c r="AV167" s="480"/>
      <c r="AW167" s="480"/>
      <c r="AX167" s="480"/>
      <c r="AY167" s="480">
        <v>303.18</v>
      </c>
      <c r="AZ167" s="499" t="s">
        <v>5323</v>
      </c>
      <c r="BA167" s="502">
        <v>23.57</v>
      </c>
      <c r="BB167" s="501"/>
      <c r="BC167" s="510">
        <v>237.16</v>
      </c>
      <c r="BD167" s="510">
        <v>1222.49</v>
      </c>
      <c r="BE167" s="504">
        <v>0.2</v>
      </c>
      <c r="BF167" s="503">
        <v>0.22</v>
      </c>
      <c r="BG167" s="502">
        <v>16.66</v>
      </c>
      <c r="BH167" s="502">
        <v>1414.05</v>
      </c>
      <c r="BI167" s="502">
        <v>19.170000000000002</v>
      </c>
      <c r="BJ167" s="502"/>
      <c r="BK167" s="502"/>
      <c r="BL167" s="510"/>
      <c r="BM167" s="511">
        <v>0.16200000000000001</v>
      </c>
      <c r="BN167" s="511"/>
      <c r="BO167" s="511" t="s">
        <v>5340</v>
      </c>
      <c r="BP167" s="252"/>
      <c r="BQ167" s="252"/>
      <c r="BR167" s="511">
        <v>0.22</v>
      </c>
      <c r="BS167" s="252"/>
      <c r="BT167" s="252"/>
      <c r="BU167" s="524">
        <f t="shared" si="30"/>
        <v>161</v>
      </c>
      <c r="BV167" s="489">
        <v>158.63</v>
      </c>
      <c r="BW167" s="304">
        <v>4.4999999999999998E-2</v>
      </c>
      <c r="BX167" s="254">
        <v>366.18</v>
      </c>
      <c r="BY167" s="304">
        <v>3.9399999999999998E-2</v>
      </c>
      <c r="BZ167" s="494">
        <v>19.170000000000002</v>
      </c>
      <c r="CA167" s="497">
        <v>0.3</v>
      </c>
      <c r="CB167" s="497"/>
      <c r="CC167" s="494">
        <v>424</v>
      </c>
      <c r="CD167" s="241">
        <f t="shared" si="22"/>
        <v>161</v>
      </c>
      <c r="CE167" s="2"/>
      <c r="CF167" s="2">
        <v>490.8</v>
      </c>
      <c r="CG167" s="2"/>
      <c r="CH167" s="2"/>
      <c r="CI167" s="2"/>
      <c r="CJ167" s="252"/>
      <c r="CK167" s="252"/>
      <c r="CL167" s="252">
        <v>546.33000000000004</v>
      </c>
      <c r="CM167" s="253"/>
      <c r="CO167" s="5">
        <v>0.08</v>
      </c>
      <c r="CU167" s="266">
        <f t="shared" si="23"/>
        <v>181</v>
      </c>
      <c r="CV167" s="267">
        <f t="shared" si="24"/>
        <v>362</v>
      </c>
      <c r="CW167" s="268">
        <f t="shared" si="25"/>
        <v>904.99</v>
      </c>
      <c r="CX167" s="418">
        <v>184</v>
      </c>
      <c r="CY167" s="252"/>
      <c r="CZ167" s="252"/>
      <c r="DA167" s="252"/>
      <c r="DB167" s="252"/>
      <c r="DC167" s="252"/>
      <c r="DD167" s="252"/>
      <c r="DE167" s="252"/>
      <c r="DF167" s="252">
        <f t="shared" si="31"/>
        <v>0</v>
      </c>
      <c r="DG167" s="252"/>
      <c r="DH167" s="252">
        <v>489.06</v>
      </c>
      <c r="DI167" s="252"/>
      <c r="DK167" s="252"/>
      <c r="DL167" s="252"/>
      <c r="DP167" s="6">
        <v>7.2499999999999995E-2</v>
      </c>
      <c r="DQ167" s="252">
        <v>39.42</v>
      </c>
      <c r="DR167" s="3">
        <v>546.33000000000004</v>
      </c>
      <c r="DT167" s="241">
        <f t="shared" si="26"/>
        <v>161</v>
      </c>
      <c r="DU167" s="2"/>
      <c r="DV167" s="252">
        <v>720</v>
      </c>
      <c r="DY167" s="252">
        <v>405.18</v>
      </c>
      <c r="DZ167" s="264">
        <v>3.9399999999999998E-2</v>
      </c>
      <c r="EA167" s="252">
        <v>0</v>
      </c>
      <c r="EB167" s="253">
        <v>0</v>
      </c>
    </row>
    <row r="168" spans="1:132">
      <c r="A168">
        <v>162</v>
      </c>
      <c r="B168" s="259">
        <v>6.2020999999999997</v>
      </c>
      <c r="C168">
        <v>162</v>
      </c>
      <c r="D168" s="168">
        <f t="shared" si="32"/>
        <v>9.8716667160148042E-4</v>
      </c>
      <c r="E168" s="246">
        <v>44348</v>
      </c>
      <c r="F168" s="186">
        <v>0.09</v>
      </c>
      <c r="G168" s="247">
        <v>219183.74040000001</v>
      </c>
      <c r="H168" s="247">
        <v>548.81690000000003</v>
      </c>
      <c r="I168" s="248">
        <v>121.6</v>
      </c>
      <c r="J168" s="258">
        <f t="shared" si="27"/>
        <v>1.6474464579900872E-3</v>
      </c>
      <c r="K168" s="298"/>
      <c r="L168" s="252">
        <v>300</v>
      </c>
      <c r="M168" s="263"/>
      <c r="N168" s="263"/>
      <c r="O168" s="473">
        <v>328.76</v>
      </c>
      <c r="P168" s="474">
        <v>328.76</v>
      </c>
      <c r="Q168" s="474">
        <v>430.86</v>
      </c>
      <c r="R168" s="475">
        <v>0.09</v>
      </c>
      <c r="S168" s="533">
        <f t="shared" si="28"/>
        <v>162</v>
      </c>
      <c r="T168" s="460">
        <v>75.260000000000005</v>
      </c>
      <c r="U168" s="460">
        <v>10.56</v>
      </c>
      <c r="V168" s="460">
        <v>353.76</v>
      </c>
      <c r="W168" s="460"/>
      <c r="X168" s="254">
        <v>51.09</v>
      </c>
      <c r="Y168" s="461">
        <v>7.4999999999999997E-2</v>
      </c>
      <c r="Z168" s="460">
        <v>22.5</v>
      </c>
      <c r="AA168" s="460">
        <v>10.26</v>
      </c>
      <c r="AB168" s="460">
        <v>437.73</v>
      </c>
      <c r="AC168" s="462">
        <v>353.75</v>
      </c>
      <c r="AD168" s="463">
        <v>0.3</v>
      </c>
      <c r="AE168" s="460">
        <v>40.83</v>
      </c>
      <c r="AF168" s="460">
        <v>61.32</v>
      </c>
      <c r="AG168" s="460">
        <v>20.62</v>
      </c>
      <c r="AH168" s="460"/>
      <c r="AI168" s="460"/>
      <c r="AJ168" s="460"/>
      <c r="AK168" s="460"/>
      <c r="AL168" s="253"/>
      <c r="AM168" s="273">
        <v>0.1</v>
      </c>
      <c r="AN168" s="255">
        <v>0.08</v>
      </c>
      <c r="AO168" s="160">
        <v>0.1</v>
      </c>
      <c r="AP168" s="536">
        <v>480.1</v>
      </c>
      <c r="AQ168" s="536"/>
      <c r="AR168" s="505">
        <f t="shared" si="29"/>
        <v>162</v>
      </c>
      <c r="AS168" s="480">
        <v>257.37</v>
      </c>
      <c r="AT168" s="480">
        <v>191.57</v>
      </c>
      <c r="AU168" s="480"/>
      <c r="AV168" s="480"/>
      <c r="AW168" s="480"/>
      <c r="AX168" s="480"/>
      <c r="AY168" s="480">
        <v>303.18</v>
      </c>
      <c r="AZ168" s="499" t="s">
        <v>5323</v>
      </c>
      <c r="BA168" s="502">
        <v>23.57</v>
      </c>
      <c r="BB168" s="502"/>
      <c r="BC168" s="510">
        <v>237.16</v>
      </c>
      <c r="BD168" s="510">
        <v>1222.49</v>
      </c>
      <c r="BE168" s="504">
        <v>0.2</v>
      </c>
      <c r="BF168" s="503">
        <v>0.22</v>
      </c>
      <c r="BG168" s="502">
        <v>16.66</v>
      </c>
      <c r="BH168" s="502">
        <v>1414.05</v>
      </c>
      <c r="BI168" s="502">
        <v>19.170000000000002</v>
      </c>
      <c r="BJ168" s="502"/>
      <c r="BK168" s="502"/>
      <c r="BL168" s="510"/>
      <c r="BM168" s="511">
        <v>0.16200000000000001</v>
      </c>
      <c r="BN168" s="511"/>
      <c r="BO168" s="511" t="s">
        <v>5340</v>
      </c>
      <c r="BP168" s="252"/>
      <c r="BQ168" s="252"/>
      <c r="BR168" s="511">
        <v>0.22</v>
      </c>
      <c r="BS168" s="252"/>
      <c r="BT168" s="252"/>
      <c r="BU168" s="524">
        <f t="shared" si="30"/>
        <v>162</v>
      </c>
      <c r="BV168" s="489">
        <v>158.63</v>
      </c>
      <c r="BW168" s="304">
        <v>4.4999999999999998E-2</v>
      </c>
      <c r="BX168" s="254">
        <v>366.18</v>
      </c>
      <c r="BY168" s="304">
        <v>3.9399999999999998E-2</v>
      </c>
      <c r="BZ168" s="494">
        <v>19.170000000000002</v>
      </c>
      <c r="CA168" s="497">
        <v>0.3</v>
      </c>
      <c r="CB168" s="497"/>
      <c r="CC168" s="494">
        <v>424</v>
      </c>
      <c r="CD168" s="241">
        <f t="shared" si="22"/>
        <v>162</v>
      </c>
      <c r="CE168" s="2"/>
      <c r="CF168" s="2">
        <v>490.8</v>
      </c>
      <c r="CG168" s="2"/>
      <c r="CH168" s="2"/>
      <c r="CI168" s="2"/>
      <c r="CJ168" s="252"/>
      <c r="CK168" s="252"/>
      <c r="CL168" s="252">
        <v>546.33000000000004</v>
      </c>
      <c r="CM168" s="253"/>
      <c r="CO168" s="253">
        <v>0.08</v>
      </c>
      <c r="CU168" s="266">
        <f t="shared" si="23"/>
        <v>181</v>
      </c>
      <c r="CV168" s="267">
        <f t="shared" si="24"/>
        <v>362</v>
      </c>
      <c r="CW168" s="268">
        <f t="shared" si="25"/>
        <v>904.99</v>
      </c>
      <c r="CX168" s="418">
        <v>184</v>
      </c>
      <c r="CY168" s="252"/>
      <c r="CZ168" s="252"/>
      <c r="DA168" s="252"/>
      <c r="DB168" s="252"/>
      <c r="DC168" s="252"/>
      <c r="DD168" s="252"/>
      <c r="DE168" s="252"/>
      <c r="DF168" s="252">
        <f t="shared" si="31"/>
        <v>0</v>
      </c>
      <c r="DG168" s="252"/>
      <c r="DH168" s="252">
        <v>489.06</v>
      </c>
      <c r="DI168" s="252"/>
      <c r="DK168" s="252"/>
      <c r="DL168" s="252"/>
      <c r="DP168" s="6">
        <v>7.2499999999999995E-2</v>
      </c>
      <c r="DQ168" s="252">
        <v>39.42</v>
      </c>
      <c r="DR168" s="3">
        <v>546.33000000000004</v>
      </c>
      <c r="DT168" s="241">
        <f t="shared" si="26"/>
        <v>162</v>
      </c>
      <c r="DU168" s="2"/>
      <c r="DV168" s="252">
        <v>720</v>
      </c>
      <c r="DY168" s="252">
        <v>405.18</v>
      </c>
      <c r="DZ168" s="264">
        <v>3.9399999999999998E-2</v>
      </c>
      <c r="EA168" s="252">
        <v>0</v>
      </c>
      <c r="EB168" s="253">
        <v>0</v>
      </c>
    </row>
    <row r="169" spans="1:132">
      <c r="A169">
        <v>163</v>
      </c>
      <c r="B169" s="259">
        <v>7.2020999999999997</v>
      </c>
      <c r="C169">
        <v>163</v>
      </c>
      <c r="D169" s="168">
        <f t="shared" si="32"/>
        <v>3.9447729946668897E-3</v>
      </c>
      <c r="E169" s="246">
        <v>44378</v>
      </c>
      <c r="F169" s="186">
        <v>0.39</v>
      </c>
      <c r="G169" s="247">
        <v>220048.37049999999</v>
      </c>
      <c r="H169" s="247">
        <v>550.98180000000002</v>
      </c>
      <c r="I169" s="248">
        <v>122</v>
      </c>
      <c r="J169" s="258">
        <f t="shared" si="27"/>
        <v>3.2894736842106198E-3</v>
      </c>
      <c r="K169" s="298"/>
      <c r="L169" s="252">
        <v>300</v>
      </c>
      <c r="M169" s="263"/>
      <c r="N169" s="263"/>
      <c r="O169" s="473">
        <v>328.76</v>
      </c>
      <c r="P169" s="474">
        <v>328.76</v>
      </c>
      <c r="Q169" s="474">
        <v>430.86</v>
      </c>
      <c r="R169" s="475">
        <v>0.09</v>
      </c>
      <c r="S169" s="533">
        <f t="shared" si="28"/>
        <v>163</v>
      </c>
      <c r="T169" s="460">
        <v>75.260000000000005</v>
      </c>
      <c r="U169" s="460">
        <v>10.56</v>
      </c>
      <c r="V169" s="460">
        <v>353.76</v>
      </c>
      <c r="W169" s="460"/>
      <c r="X169" s="254">
        <v>51.09</v>
      </c>
      <c r="Y169" s="461">
        <v>7.4999999999999997E-2</v>
      </c>
      <c r="Z169" s="460">
        <v>22.5</v>
      </c>
      <c r="AA169" s="460">
        <v>10.26</v>
      </c>
      <c r="AB169" s="460">
        <v>437.73</v>
      </c>
      <c r="AC169" s="462">
        <v>353.75</v>
      </c>
      <c r="AD169" s="463">
        <v>0.3</v>
      </c>
      <c r="AE169" s="460">
        <v>40.83</v>
      </c>
      <c r="AF169" s="460">
        <v>61.32</v>
      </c>
      <c r="AG169" s="460">
        <v>20.62</v>
      </c>
      <c r="AH169" s="460"/>
      <c r="AI169" s="460"/>
      <c r="AJ169" s="460"/>
      <c r="AK169" s="460"/>
      <c r="AL169" s="253"/>
      <c r="AM169" s="273">
        <v>0.1</v>
      </c>
      <c r="AN169" s="255">
        <v>0.08</v>
      </c>
      <c r="AO169" s="160">
        <v>0.1</v>
      </c>
      <c r="AP169" s="536">
        <v>480.1</v>
      </c>
      <c r="AQ169" s="536"/>
      <c r="AR169" s="505">
        <f t="shared" si="29"/>
        <v>163</v>
      </c>
      <c r="AS169" s="480">
        <v>257.37</v>
      </c>
      <c r="AT169" s="480">
        <v>191.57</v>
      </c>
      <c r="AU169" s="480"/>
      <c r="AV169" s="480"/>
      <c r="AW169" s="480"/>
      <c r="AX169" s="480"/>
      <c r="AY169" s="480">
        <v>303.18</v>
      </c>
      <c r="AZ169" s="499" t="s">
        <v>5323</v>
      </c>
      <c r="BA169" s="502">
        <v>23.57</v>
      </c>
      <c r="BB169" s="501"/>
      <c r="BC169" s="510">
        <v>237.16</v>
      </c>
      <c r="BD169" s="510">
        <v>1222.49</v>
      </c>
      <c r="BE169" s="504">
        <v>0.2</v>
      </c>
      <c r="BF169" s="503">
        <v>0.22</v>
      </c>
      <c r="BG169" s="502">
        <v>16.66</v>
      </c>
      <c r="BH169" s="502">
        <v>1414.05</v>
      </c>
      <c r="BI169" s="502">
        <v>19.170000000000002</v>
      </c>
      <c r="BJ169" s="502"/>
      <c r="BK169" s="502"/>
      <c r="BL169" s="510"/>
      <c r="BM169" s="511">
        <v>0.16200000000000001</v>
      </c>
      <c r="BN169" s="511"/>
      <c r="BO169" s="511" t="s">
        <v>5340</v>
      </c>
      <c r="BP169" s="252"/>
      <c r="BQ169" s="252"/>
      <c r="BR169" s="511">
        <v>0.22</v>
      </c>
      <c r="BS169" s="252"/>
      <c r="BT169" s="252"/>
      <c r="BU169" s="524">
        <f t="shared" si="30"/>
        <v>163</v>
      </c>
      <c r="BV169" s="489">
        <v>158.63</v>
      </c>
      <c r="BW169" s="304">
        <v>4.4999999999999998E-2</v>
      </c>
      <c r="BX169" s="254">
        <v>366.18</v>
      </c>
      <c r="BY169" s="304">
        <v>3.9399999999999998E-2</v>
      </c>
      <c r="BZ169" s="494">
        <v>19.170000000000002</v>
      </c>
      <c r="CA169" s="497">
        <v>0.3</v>
      </c>
      <c r="CB169" s="497"/>
      <c r="CC169" s="494">
        <v>424</v>
      </c>
      <c r="CD169" s="241">
        <f t="shared" si="22"/>
        <v>163</v>
      </c>
      <c r="CE169" s="2"/>
      <c r="CF169" s="2">
        <v>490.8</v>
      </c>
      <c r="CG169" s="2"/>
      <c r="CH169" s="2"/>
      <c r="CI169" s="2"/>
      <c r="CJ169" s="252"/>
      <c r="CK169" s="252"/>
      <c r="CL169" s="252">
        <v>546.33000000000004</v>
      </c>
      <c r="CM169" s="253"/>
      <c r="CO169" s="5">
        <v>0.08</v>
      </c>
      <c r="CU169" s="266">
        <f t="shared" si="23"/>
        <v>181</v>
      </c>
      <c r="CV169" s="267">
        <f t="shared" si="24"/>
        <v>362</v>
      </c>
      <c r="CW169" s="268">
        <f t="shared" si="25"/>
        <v>904.99</v>
      </c>
      <c r="CX169" s="418">
        <v>184</v>
      </c>
      <c r="CY169" s="252"/>
      <c r="CZ169" s="252"/>
      <c r="DA169" s="252"/>
      <c r="DB169" s="252"/>
      <c r="DC169" s="252"/>
      <c r="DD169" s="252"/>
      <c r="DE169" s="252"/>
      <c r="DF169" s="252">
        <f t="shared" si="31"/>
        <v>0</v>
      </c>
      <c r="DG169" s="252"/>
      <c r="DH169" s="252">
        <v>489.06</v>
      </c>
      <c r="DI169" s="252"/>
      <c r="DK169" s="252"/>
      <c r="DL169" s="252"/>
      <c r="DP169" s="6">
        <v>7.2499999999999995E-2</v>
      </c>
      <c r="DQ169" s="252">
        <v>39.42</v>
      </c>
      <c r="DR169" s="3">
        <v>546.33000000000004</v>
      </c>
      <c r="DT169" s="241">
        <f t="shared" si="26"/>
        <v>163</v>
      </c>
      <c r="DU169" s="2"/>
      <c r="DV169" s="252">
        <v>720</v>
      </c>
      <c r="DY169" s="252">
        <v>405.18</v>
      </c>
      <c r="DZ169" s="264">
        <v>3.9399999999999998E-2</v>
      </c>
      <c r="EA169" s="252">
        <v>0</v>
      </c>
      <c r="EB169" s="253">
        <v>0</v>
      </c>
    </row>
    <row r="170" spans="1:132">
      <c r="A170">
        <v>164</v>
      </c>
      <c r="B170" s="259">
        <v>8.2020999999999997</v>
      </c>
      <c r="C170">
        <v>164</v>
      </c>
      <c r="D170" s="168">
        <f t="shared" si="32"/>
        <v>2.9469547923783868E-3</v>
      </c>
      <c r="E170" s="246">
        <v>44409</v>
      </c>
      <c r="F170" s="186">
        <v>0.28999999999999998</v>
      </c>
      <c r="G170" s="247">
        <v>220696.8431</v>
      </c>
      <c r="H170" s="247">
        <v>552.60559999999998</v>
      </c>
      <c r="I170" s="248">
        <v>122.4</v>
      </c>
      <c r="J170" s="258">
        <f t="shared" si="27"/>
        <v>3.2786885245901232E-3</v>
      </c>
      <c r="K170" s="298"/>
      <c r="L170" s="252">
        <v>300</v>
      </c>
      <c r="M170" s="263"/>
      <c r="N170" s="263"/>
      <c r="O170" s="473">
        <v>328.76</v>
      </c>
      <c r="P170" s="474">
        <v>328.76</v>
      </c>
      <c r="Q170" s="474">
        <v>430.86</v>
      </c>
      <c r="R170" s="475">
        <v>0.09</v>
      </c>
      <c r="S170" s="533">
        <f t="shared" si="28"/>
        <v>164</v>
      </c>
      <c r="T170" s="460">
        <v>75.260000000000005</v>
      </c>
      <c r="U170" s="460">
        <v>10.56</v>
      </c>
      <c r="V170" s="460">
        <v>353.76</v>
      </c>
      <c r="W170" s="460"/>
      <c r="X170" s="254">
        <v>51.09</v>
      </c>
      <c r="Y170" s="461">
        <v>7.4999999999999997E-2</v>
      </c>
      <c r="Z170" s="460">
        <v>22.5</v>
      </c>
      <c r="AA170" s="460">
        <v>10.26</v>
      </c>
      <c r="AB170" s="460">
        <v>437.73</v>
      </c>
      <c r="AC170" s="462">
        <v>353.75</v>
      </c>
      <c r="AD170" s="463">
        <v>0.3</v>
      </c>
      <c r="AE170" s="460">
        <v>40.83</v>
      </c>
      <c r="AF170" s="460">
        <v>61.32</v>
      </c>
      <c r="AG170" s="460">
        <v>20.62</v>
      </c>
      <c r="AH170" s="460"/>
      <c r="AI170" s="460"/>
      <c r="AJ170" s="460"/>
      <c r="AK170" s="460"/>
      <c r="AL170" s="253"/>
      <c r="AM170" s="273">
        <v>0.1</v>
      </c>
      <c r="AN170" s="255">
        <v>0.08</v>
      </c>
      <c r="AO170" s="160">
        <v>0.1</v>
      </c>
      <c r="AP170" s="536">
        <v>480.1</v>
      </c>
      <c r="AQ170" s="536"/>
      <c r="AR170" s="505">
        <f t="shared" si="29"/>
        <v>164</v>
      </c>
      <c r="AS170" s="480">
        <v>257.37</v>
      </c>
      <c r="AT170" s="480">
        <v>191.57</v>
      </c>
      <c r="AU170" s="480"/>
      <c r="AV170" s="480"/>
      <c r="AW170" s="480"/>
      <c r="AX170" s="480"/>
      <c r="AY170" s="480">
        <v>303.18</v>
      </c>
      <c r="AZ170" s="499" t="s">
        <v>5323</v>
      </c>
      <c r="BA170" s="502">
        <v>23.57</v>
      </c>
      <c r="BB170" s="502"/>
      <c r="BC170" s="510">
        <v>237.16</v>
      </c>
      <c r="BD170" s="510">
        <v>1222.49</v>
      </c>
      <c r="BE170" s="504">
        <v>0.2</v>
      </c>
      <c r="BF170" s="503">
        <v>0.22</v>
      </c>
      <c r="BG170" s="502">
        <v>16.66</v>
      </c>
      <c r="BH170" s="502">
        <v>1414.05</v>
      </c>
      <c r="BI170" s="502">
        <v>19.170000000000002</v>
      </c>
      <c r="BJ170" s="502"/>
      <c r="BK170" s="502"/>
      <c r="BL170" s="510"/>
      <c r="BM170" s="511">
        <v>0.16200000000000001</v>
      </c>
      <c r="BN170" s="511"/>
      <c r="BO170" s="511" t="s">
        <v>5340</v>
      </c>
      <c r="BP170" s="252"/>
      <c r="BQ170" s="252"/>
      <c r="BR170" s="511">
        <v>0.22</v>
      </c>
      <c r="BS170" s="252"/>
      <c r="BT170" s="252"/>
      <c r="BU170" s="524">
        <f t="shared" si="30"/>
        <v>164</v>
      </c>
      <c r="BV170" s="489">
        <v>158.63</v>
      </c>
      <c r="BW170" s="304">
        <v>4.4999999999999998E-2</v>
      </c>
      <c r="BX170" s="254">
        <v>366.18</v>
      </c>
      <c r="BY170" s="304">
        <v>3.9399999999999998E-2</v>
      </c>
      <c r="BZ170" s="494">
        <v>19.170000000000002</v>
      </c>
      <c r="CA170" s="497">
        <v>0.3</v>
      </c>
      <c r="CB170" s="497"/>
      <c r="CC170" s="494">
        <v>424</v>
      </c>
      <c r="CD170" s="241">
        <f t="shared" si="22"/>
        <v>164</v>
      </c>
      <c r="CE170" s="2"/>
      <c r="CF170" s="2">
        <v>490.8</v>
      </c>
      <c r="CG170" s="2"/>
      <c r="CH170" s="2"/>
      <c r="CI170" s="2"/>
      <c r="CJ170" s="252"/>
      <c r="CK170" s="252"/>
      <c r="CL170" s="252">
        <v>546.33000000000004</v>
      </c>
      <c r="CM170" s="253"/>
      <c r="CO170" s="253">
        <v>0.08</v>
      </c>
      <c r="CU170" s="266">
        <f t="shared" si="23"/>
        <v>181</v>
      </c>
      <c r="CV170" s="267">
        <f t="shared" si="24"/>
        <v>362</v>
      </c>
      <c r="CW170" s="268">
        <f t="shared" si="25"/>
        <v>904.99</v>
      </c>
      <c r="CX170" s="418">
        <v>184</v>
      </c>
      <c r="CY170" s="252"/>
      <c r="CZ170" s="252"/>
      <c r="DA170" s="252"/>
      <c r="DB170" s="252"/>
      <c r="DC170" s="252"/>
      <c r="DD170" s="252"/>
      <c r="DE170" s="252"/>
      <c r="DF170" s="252">
        <f t="shared" si="31"/>
        <v>0</v>
      </c>
      <c r="DG170" s="252"/>
      <c r="DH170" s="252">
        <v>489.06</v>
      </c>
      <c r="DI170" s="252"/>
      <c r="DK170" s="252"/>
      <c r="DL170" s="252"/>
      <c r="DP170" s="6">
        <v>7.2499999999999995E-2</v>
      </c>
      <c r="DQ170" s="252">
        <v>39.42</v>
      </c>
      <c r="DR170" s="3">
        <v>546.33000000000004</v>
      </c>
      <c r="DT170" s="241">
        <f t="shared" si="26"/>
        <v>164</v>
      </c>
      <c r="DU170" s="2"/>
      <c r="DV170" s="252">
        <v>720</v>
      </c>
      <c r="DY170" s="252">
        <v>405.18</v>
      </c>
      <c r="DZ170" s="264">
        <v>3.9399999999999998E-2</v>
      </c>
      <c r="EA170" s="252">
        <v>0</v>
      </c>
      <c r="EB170" s="253">
        <v>0</v>
      </c>
    </row>
    <row r="171" spans="1:132">
      <c r="A171">
        <v>165</v>
      </c>
      <c r="B171" s="259">
        <v>9.2020999999999997</v>
      </c>
      <c r="C171">
        <v>165</v>
      </c>
      <c r="D171" s="168">
        <f t="shared" si="32"/>
        <v>1.9588639960932408E-3</v>
      </c>
      <c r="E171" s="246">
        <v>44440</v>
      </c>
      <c r="F171" s="186">
        <v>0.19</v>
      </c>
      <c r="G171" s="247">
        <v>221129.15820000001</v>
      </c>
      <c r="H171" s="247">
        <v>553.68799999999999</v>
      </c>
      <c r="I171" s="248">
        <v>122.6</v>
      </c>
      <c r="J171" s="258">
        <f t="shared" si="27"/>
        <v>1.6339869281045694E-3</v>
      </c>
      <c r="K171" s="298"/>
      <c r="L171" s="252">
        <v>300</v>
      </c>
      <c r="M171" s="263"/>
      <c r="N171" s="263"/>
      <c r="O171" s="473">
        <v>328.76</v>
      </c>
      <c r="P171" s="474">
        <v>328.76</v>
      </c>
      <c r="Q171" s="474">
        <v>430.86</v>
      </c>
      <c r="R171" s="475">
        <v>0.09</v>
      </c>
      <c r="S171" s="533">
        <f t="shared" si="28"/>
        <v>165</v>
      </c>
      <c r="T171" s="460">
        <v>75.260000000000005</v>
      </c>
      <c r="U171" s="460">
        <v>10.56</v>
      </c>
      <c r="V171" s="460">
        <v>353.76</v>
      </c>
      <c r="W171" s="460"/>
      <c r="X171" s="254">
        <v>51.09</v>
      </c>
      <c r="Y171" s="461">
        <v>7.4999999999999997E-2</v>
      </c>
      <c r="Z171" s="460">
        <v>22.5</v>
      </c>
      <c r="AA171" s="460">
        <v>10.26</v>
      </c>
      <c r="AB171" s="460">
        <v>437.73</v>
      </c>
      <c r="AC171" s="462">
        <v>353.75</v>
      </c>
      <c r="AD171" s="463">
        <v>0.3</v>
      </c>
      <c r="AE171" s="460">
        <v>40.83</v>
      </c>
      <c r="AF171" s="460">
        <v>61.32</v>
      </c>
      <c r="AG171" s="460">
        <v>20.62</v>
      </c>
      <c r="AH171" s="460"/>
      <c r="AI171" s="460"/>
      <c r="AJ171" s="460"/>
      <c r="AK171" s="460"/>
      <c r="AL171" s="253"/>
      <c r="AM171" s="273">
        <v>0.1</v>
      </c>
      <c r="AN171" s="255">
        <v>0.08</v>
      </c>
      <c r="AO171" s="160">
        <v>0.1</v>
      </c>
      <c r="AP171" s="536">
        <v>480.1</v>
      </c>
      <c r="AQ171" s="536"/>
      <c r="AR171" s="505">
        <f t="shared" si="29"/>
        <v>165</v>
      </c>
      <c r="AS171" s="480">
        <v>257.37</v>
      </c>
      <c r="AT171" s="480">
        <v>191.57</v>
      </c>
      <c r="AU171" s="480"/>
      <c r="AV171" s="480"/>
      <c r="AW171" s="480"/>
      <c r="AX171" s="480"/>
      <c r="AY171" s="480">
        <v>303.18</v>
      </c>
      <c r="AZ171" s="499" t="s">
        <v>5323</v>
      </c>
      <c r="BA171" s="502">
        <v>23.57</v>
      </c>
      <c r="BB171" s="501"/>
      <c r="BC171" s="510">
        <v>237.16</v>
      </c>
      <c r="BD171" s="510">
        <v>1222.49</v>
      </c>
      <c r="BE171" s="504">
        <v>0.2</v>
      </c>
      <c r="BF171" s="503">
        <v>0.22</v>
      </c>
      <c r="BG171" s="502">
        <v>16.66</v>
      </c>
      <c r="BH171" s="502">
        <v>1414.05</v>
      </c>
      <c r="BI171" s="502">
        <v>19.170000000000002</v>
      </c>
      <c r="BJ171" s="502"/>
      <c r="BK171" s="502"/>
      <c r="BL171" s="510"/>
      <c r="BM171" s="511">
        <v>0.16200000000000001</v>
      </c>
      <c r="BN171" s="511"/>
      <c r="BO171" s="511" t="s">
        <v>5340</v>
      </c>
      <c r="BP171" s="252"/>
      <c r="BQ171" s="252"/>
      <c r="BR171" s="511">
        <v>0.22</v>
      </c>
      <c r="BS171" s="252"/>
      <c r="BT171" s="252"/>
      <c r="BU171" s="524">
        <f t="shared" si="30"/>
        <v>165</v>
      </c>
      <c r="BV171" s="489">
        <v>158.63</v>
      </c>
      <c r="BW171" s="304">
        <v>4.4999999999999998E-2</v>
      </c>
      <c r="BX171" s="254">
        <v>366.18</v>
      </c>
      <c r="BY171" s="304">
        <v>3.9399999999999998E-2</v>
      </c>
      <c r="BZ171" s="494">
        <v>19.170000000000002</v>
      </c>
      <c r="CA171" s="497">
        <v>0.3</v>
      </c>
      <c r="CB171" s="497"/>
      <c r="CC171" s="494">
        <v>424</v>
      </c>
      <c r="CD171" s="241">
        <f t="shared" si="22"/>
        <v>165</v>
      </c>
      <c r="CE171" s="2"/>
      <c r="CF171" s="2">
        <v>490.8</v>
      </c>
      <c r="CG171" s="2"/>
      <c r="CH171" s="2"/>
      <c r="CI171" s="2"/>
      <c r="CJ171" s="252"/>
      <c r="CK171" s="252"/>
      <c r="CL171" s="252">
        <v>546.33000000000004</v>
      </c>
      <c r="CM171" s="253"/>
      <c r="CO171" s="5">
        <v>0.08</v>
      </c>
      <c r="CU171" s="266">
        <f t="shared" si="23"/>
        <v>181</v>
      </c>
      <c r="CV171" s="267">
        <f t="shared" si="24"/>
        <v>362</v>
      </c>
      <c r="CW171" s="268">
        <f t="shared" si="25"/>
        <v>904.99</v>
      </c>
      <c r="CX171" s="418">
        <v>184</v>
      </c>
      <c r="CY171" s="252"/>
      <c r="CZ171" s="252"/>
      <c r="DA171" s="252"/>
      <c r="DB171" s="252"/>
      <c r="DC171" s="252"/>
      <c r="DD171" s="252"/>
      <c r="DE171" s="252"/>
      <c r="DF171" s="252">
        <f t="shared" si="31"/>
        <v>0</v>
      </c>
      <c r="DG171" s="252"/>
      <c r="DH171" s="252">
        <v>489.06</v>
      </c>
      <c r="DI171" s="252"/>
      <c r="DK171" s="252"/>
      <c r="DL171" s="252"/>
      <c r="DP171" s="6">
        <v>7.2499999999999995E-2</v>
      </c>
      <c r="DQ171" s="252">
        <v>39.42</v>
      </c>
      <c r="DR171" s="3">
        <v>546.33000000000004</v>
      </c>
      <c r="DT171" s="241">
        <f t="shared" si="26"/>
        <v>165</v>
      </c>
      <c r="DU171" s="2"/>
      <c r="DV171" s="252">
        <v>720</v>
      </c>
      <c r="DY171" s="252">
        <v>405.18</v>
      </c>
      <c r="DZ171" s="264">
        <v>3.9399999999999998E-2</v>
      </c>
      <c r="EA171" s="252">
        <v>0</v>
      </c>
      <c r="EB171" s="253">
        <v>0</v>
      </c>
    </row>
    <row r="172" spans="1:132">
      <c r="A172">
        <v>166</v>
      </c>
      <c r="B172" s="259">
        <v>10.2021</v>
      </c>
      <c r="C172">
        <v>166</v>
      </c>
      <c r="D172" s="168">
        <f t="shared" si="32"/>
        <v>9.7751694873493555E-4</v>
      </c>
      <c r="E172" s="246">
        <v>44470</v>
      </c>
      <c r="F172" s="186">
        <v>0.09</v>
      </c>
      <c r="G172" s="247">
        <v>221345.31570000001</v>
      </c>
      <c r="H172" s="247">
        <v>554.22929999999997</v>
      </c>
      <c r="I172" s="248">
        <v>122.8</v>
      </c>
      <c r="J172" s="258">
        <f t="shared" si="27"/>
        <v>1.6313213703100793E-3</v>
      </c>
      <c r="K172" s="298"/>
      <c r="L172" s="252">
        <v>300</v>
      </c>
      <c r="M172" s="263"/>
      <c r="N172" s="263"/>
      <c r="O172" s="473">
        <v>328.76</v>
      </c>
      <c r="P172" s="474">
        <v>328.76</v>
      </c>
      <c r="Q172" s="474">
        <v>430.86</v>
      </c>
      <c r="R172" s="475">
        <v>0.09</v>
      </c>
      <c r="S172" s="533">
        <f t="shared" si="28"/>
        <v>166</v>
      </c>
      <c r="T172" s="460">
        <v>75.260000000000005</v>
      </c>
      <c r="U172" s="460">
        <v>10.56</v>
      </c>
      <c r="V172" s="460">
        <v>353.76</v>
      </c>
      <c r="W172" s="460"/>
      <c r="X172" s="254">
        <v>51.09</v>
      </c>
      <c r="Y172" s="461">
        <v>7.4999999999999997E-2</v>
      </c>
      <c r="Z172" s="460">
        <v>22.5</v>
      </c>
      <c r="AA172" s="460">
        <v>10.26</v>
      </c>
      <c r="AB172" s="460">
        <v>437.73</v>
      </c>
      <c r="AC172" s="462">
        <v>353.75</v>
      </c>
      <c r="AD172" s="463">
        <v>0.3</v>
      </c>
      <c r="AE172" s="460">
        <v>40.83</v>
      </c>
      <c r="AF172" s="460">
        <v>61.32</v>
      </c>
      <c r="AG172" s="460">
        <v>20.62</v>
      </c>
      <c r="AH172" s="460"/>
      <c r="AI172" s="460"/>
      <c r="AJ172" s="460"/>
      <c r="AK172" s="460"/>
      <c r="AL172" s="253"/>
      <c r="AM172" s="273">
        <v>0.1</v>
      </c>
      <c r="AN172" s="255">
        <v>0.08</v>
      </c>
      <c r="AO172" s="160">
        <v>0.1</v>
      </c>
      <c r="AP172" s="536">
        <v>480.1</v>
      </c>
      <c r="AQ172" s="536"/>
      <c r="AR172" s="505">
        <f t="shared" si="29"/>
        <v>166</v>
      </c>
      <c r="AS172" s="480">
        <v>257.37</v>
      </c>
      <c r="AT172" s="480">
        <v>191.57</v>
      </c>
      <c r="AU172" s="480"/>
      <c r="AV172" s="480"/>
      <c r="AW172" s="480"/>
      <c r="AX172" s="480"/>
      <c r="AY172" s="480">
        <v>303.18</v>
      </c>
      <c r="AZ172" s="499" t="s">
        <v>5323</v>
      </c>
      <c r="BA172" s="502">
        <v>23.57</v>
      </c>
      <c r="BB172" s="502"/>
      <c r="BC172" s="510">
        <v>237.16</v>
      </c>
      <c r="BD172" s="510">
        <v>1222.49</v>
      </c>
      <c r="BE172" s="504">
        <v>0.2</v>
      </c>
      <c r="BF172" s="503">
        <v>0.22</v>
      </c>
      <c r="BG172" s="502">
        <v>16.66</v>
      </c>
      <c r="BH172" s="502">
        <v>1414.05</v>
      </c>
      <c r="BI172" s="502">
        <v>19.170000000000002</v>
      </c>
      <c r="BJ172" s="502"/>
      <c r="BK172" s="502"/>
      <c r="BL172" s="510"/>
      <c r="BM172" s="511">
        <v>0.16200000000000001</v>
      </c>
      <c r="BN172" s="511"/>
      <c r="BO172" s="511" t="s">
        <v>5340</v>
      </c>
      <c r="BP172" s="252"/>
      <c r="BQ172" s="252"/>
      <c r="BR172" s="511">
        <v>0.22</v>
      </c>
      <c r="BS172" s="252"/>
      <c r="BT172" s="252"/>
      <c r="BU172" s="524">
        <f t="shared" si="30"/>
        <v>166</v>
      </c>
      <c r="BV172" s="489">
        <v>158.63</v>
      </c>
      <c r="BW172" s="304">
        <v>4.4999999999999998E-2</v>
      </c>
      <c r="BX172" s="254">
        <v>366.18</v>
      </c>
      <c r="BY172" s="304">
        <v>3.9399999999999998E-2</v>
      </c>
      <c r="BZ172" s="494">
        <v>19.170000000000002</v>
      </c>
      <c r="CA172" s="497">
        <v>0.3</v>
      </c>
      <c r="CB172" s="497"/>
      <c r="CC172" s="494">
        <v>424</v>
      </c>
      <c r="CD172" s="241">
        <f t="shared" si="22"/>
        <v>166</v>
      </c>
      <c r="CE172" s="2"/>
      <c r="CF172" s="2">
        <v>490.8</v>
      </c>
      <c r="CG172" s="2"/>
      <c r="CH172" s="2"/>
      <c r="CI172" s="2"/>
      <c r="CJ172" s="252"/>
      <c r="CK172" s="252"/>
      <c r="CL172" s="252">
        <v>546.33000000000004</v>
      </c>
      <c r="CM172" s="253"/>
      <c r="CO172" s="253">
        <v>0.08</v>
      </c>
      <c r="CU172" s="266">
        <f t="shared" si="23"/>
        <v>181</v>
      </c>
      <c r="CV172" s="267">
        <f t="shared" si="24"/>
        <v>362</v>
      </c>
      <c r="CW172" s="268">
        <f t="shared" si="25"/>
        <v>904.99</v>
      </c>
      <c r="CX172" s="418">
        <v>184</v>
      </c>
      <c r="CY172" s="252"/>
      <c r="CZ172" s="252"/>
      <c r="DA172" s="252"/>
      <c r="DB172" s="252"/>
      <c r="DC172" s="252"/>
      <c r="DD172" s="252"/>
      <c r="DE172" s="252"/>
      <c r="DF172" s="252">
        <f t="shared" si="31"/>
        <v>0</v>
      </c>
      <c r="DG172" s="252"/>
      <c r="DH172" s="252">
        <v>489.06</v>
      </c>
      <c r="DI172" s="252"/>
      <c r="DK172" s="252"/>
      <c r="DL172" s="252"/>
      <c r="DP172" s="6">
        <v>7.2499999999999995E-2</v>
      </c>
      <c r="DQ172" s="252">
        <v>39.42</v>
      </c>
      <c r="DR172" s="3">
        <v>546.33000000000004</v>
      </c>
      <c r="DT172" s="241">
        <f t="shared" si="26"/>
        <v>166</v>
      </c>
      <c r="DU172" s="2"/>
      <c r="DV172" s="252">
        <v>720</v>
      </c>
      <c r="DY172" s="252">
        <v>405.18</v>
      </c>
      <c r="DZ172" s="264">
        <v>3.9399999999999998E-2</v>
      </c>
      <c r="EA172" s="252">
        <v>0</v>
      </c>
      <c r="EB172" s="253">
        <v>0</v>
      </c>
    </row>
    <row r="173" spans="1:132">
      <c r="A173">
        <v>167</v>
      </c>
      <c r="B173" s="259">
        <v>11.2021</v>
      </c>
      <c r="C173">
        <v>167</v>
      </c>
      <c r="D173" s="168">
        <f t="shared" si="32"/>
        <v>-9.765623424936587E-4</v>
      </c>
      <c r="E173" s="246">
        <v>44501</v>
      </c>
      <c r="F173" s="186">
        <v>-0.1</v>
      </c>
      <c r="G173" s="247">
        <v>221129.15820000001</v>
      </c>
      <c r="H173" s="247">
        <v>553.68799999999999</v>
      </c>
      <c r="I173" s="248">
        <v>122.6</v>
      </c>
      <c r="J173" s="258">
        <f t="shared" si="27"/>
        <v>-1.6286644951140072E-3</v>
      </c>
      <c r="K173" s="298"/>
      <c r="L173" s="252">
        <v>300</v>
      </c>
      <c r="M173" s="263"/>
      <c r="N173" s="263"/>
      <c r="O173" s="473">
        <v>328.76</v>
      </c>
      <c r="P173" s="474">
        <v>328.76</v>
      </c>
      <c r="Q173" s="474">
        <v>430.86</v>
      </c>
      <c r="R173" s="475">
        <v>0.09</v>
      </c>
      <c r="S173" s="533">
        <f t="shared" si="28"/>
        <v>167</v>
      </c>
      <c r="T173" s="460">
        <v>75.260000000000005</v>
      </c>
      <c r="U173" s="460">
        <v>10.56</v>
      </c>
      <c r="V173" s="460">
        <v>353.76</v>
      </c>
      <c r="W173" s="460"/>
      <c r="X173" s="254">
        <v>51.09</v>
      </c>
      <c r="Y173" s="461">
        <v>7.4999999999999997E-2</v>
      </c>
      <c r="Z173" s="460">
        <v>22.5</v>
      </c>
      <c r="AA173" s="460">
        <v>10.26</v>
      </c>
      <c r="AB173" s="460">
        <v>437.73</v>
      </c>
      <c r="AC173" s="462">
        <v>353.75</v>
      </c>
      <c r="AD173" s="463">
        <v>0.3</v>
      </c>
      <c r="AE173" s="460">
        <v>40.83</v>
      </c>
      <c r="AF173" s="460">
        <v>61.32</v>
      </c>
      <c r="AG173" s="460">
        <v>20.62</v>
      </c>
      <c r="AH173" s="460"/>
      <c r="AI173" s="460"/>
      <c r="AJ173" s="460"/>
      <c r="AK173" s="460"/>
      <c r="AL173" s="253"/>
      <c r="AM173" s="273">
        <v>0.1</v>
      </c>
      <c r="AN173" s="255">
        <v>0.08</v>
      </c>
      <c r="AO173" s="160">
        <v>0.1</v>
      </c>
      <c r="AP173" s="536">
        <v>480.1</v>
      </c>
      <c r="AQ173" s="536"/>
      <c r="AR173" s="505">
        <f t="shared" si="29"/>
        <v>167</v>
      </c>
      <c r="AS173" s="480">
        <v>257.37</v>
      </c>
      <c r="AT173" s="480">
        <v>191.57</v>
      </c>
      <c r="AU173" s="480"/>
      <c r="AV173" s="480"/>
      <c r="AW173" s="480"/>
      <c r="AX173" s="480"/>
      <c r="AY173" s="480">
        <v>303.18</v>
      </c>
      <c r="AZ173" s="499" t="s">
        <v>5323</v>
      </c>
      <c r="BA173" s="502">
        <v>23.57</v>
      </c>
      <c r="BB173" s="501"/>
      <c r="BC173" s="510">
        <v>237.16</v>
      </c>
      <c r="BD173" s="510">
        <v>1222.49</v>
      </c>
      <c r="BE173" s="504">
        <v>0.2</v>
      </c>
      <c r="BF173" s="503">
        <v>0.22</v>
      </c>
      <c r="BG173" s="502">
        <v>16.66</v>
      </c>
      <c r="BH173" s="502">
        <v>1414.05</v>
      </c>
      <c r="BI173" s="502">
        <v>19.170000000000002</v>
      </c>
      <c r="BJ173" s="502"/>
      <c r="BK173" s="502"/>
      <c r="BL173" s="510"/>
      <c r="BM173" s="511">
        <v>0.16200000000000001</v>
      </c>
      <c r="BN173" s="511"/>
      <c r="BO173" s="511" t="s">
        <v>5340</v>
      </c>
      <c r="BP173" s="252"/>
      <c r="BQ173" s="252"/>
      <c r="BR173" s="511">
        <v>0.22</v>
      </c>
      <c r="BS173" s="252"/>
      <c r="BT173" s="252"/>
      <c r="BU173" s="524">
        <f t="shared" si="30"/>
        <v>167</v>
      </c>
      <c r="BV173" s="489">
        <v>158.63</v>
      </c>
      <c r="BW173" s="304">
        <v>4.4999999999999998E-2</v>
      </c>
      <c r="BX173" s="254">
        <v>366.18</v>
      </c>
      <c r="BY173" s="304">
        <v>3.9399999999999998E-2</v>
      </c>
      <c r="BZ173" s="494">
        <v>19.170000000000002</v>
      </c>
      <c r="CA173" s="497">
        <v>0.3</v>
      </c>
      <c r="CB173" s="497"/>
      <c r="CC173" s="494">
        <v>424</v>
      </c>
      <c r="CD173" s="241">
        <f t="shared" si="22"/>
        <v>167</v>
      </c>
      <c r="CE173" s="2"/>
      <c r="CF173" s="2">
        <v>490.8</v>
      </c>
      <c r="CG173" s="2"/>
      <c r="CH173" s="2"/>
      <c r="CI173" s="2"/>
      <c r="CJ173" s="252"/>
      <c r="CK173" s="252"/>
      <c r="CL173" s="252">
        <v>546.33000000000004</v>
      </c>
      <c r="CM173" s="253"/>
      <c r="CO173" s="5">
        <v>0.08</v>
      </c>
      <c r="CU173" s="266">
        <f t="shared" si="23"/>
        <v>181</v>
      </c>
      <c r="CV173" s="267">
        <f t="shared" si="24"/>
        <v>362</v>
      </c>
      <c r="CW173" s="268">
        <f t="shared" si="25"/>
        <v>904.99</v>
      </c>
      <c r="CX173" s="418">
        <v>184</v>
      </c>
      <c r="CY173" s="252"/>
      <c r="CZ173" s="252"/>
      <c r="DA173" s="252"/>
      <c r="DB173" s="252"/>
      <c r="DC173" s="252"/>
      <c r="DD173" s="252"/>
      <c r="DE173" s="252"/>
      <c r="DF173" s="252">
        <f t="shared" si="31"/>
        <v>0</v>
      </c>
      <c r="DG173" s="252"/>
      <c r="DH173" s="252">
        <v>489.06</v>
      </c>
      <c r="DI173" s="252"/>
      <c r="DK173" s="252"/>
      <c r="DL173" s="252"/>
      <c r="DP173" s="6">
        <v>7.2499999999999995E-2</v>
      </c>
      <c r="DQ173" s="252">
        <v>39.42</v>
      </c>
      <c r="DR173" s="3">
        <v>546.33000000000004</v>
      </c>
      <c r="DT173" s="241">
        <f t="shared" si="26"/>
        <v>167</v>
      </c>
      <c r="DU173" s="2"/>
      <c r="DV173" s="252">
        <v>720</v>
      </c>
      <c r="DY173" s="252">
        <v>405.18</v>
      </c>
      <c r="DZ173" s="264">
        <v>3.9399999999999998E-2</v>
      </c>
      <c r="EA173" s="252">
        <v>0</v>
      </c>
      <c r="EB173" s="253">
        <v>0</v>
      </c>
    </row>
    <row r="174" spans="1:132">
      <c r="A174">
        <v>168</v>
      </c>
      <c r="B174" s="259">
        <v>12.2021</v>
      </c>
      <c r="C174">
        <v>168</v>
      </c>
      <c r="D174" s="168">
        <f t="shared" si="32"/>
        <v>2.9325512984292867E-3</v>
      </c>
      <c r="E174" s="246">
        <v>44531</v>
      </c>
      <c r="F174" s="186">
        <v>0.28999999999999998</v>
      </c>
      <c r="G174" s="247">
        <v>221777.63080000001</v>
      </c>
      <c r="H174" s="247">
        <v>555.31179999999995</v>
      </c>
      <c r="I174" s="248">
        <v>123</v>
      </c>
      <c r="J174" s="258">
        <f t="shared" si="27"/>
        <v>3.2626427406199365E-3</v>
      </c>
      <c r="K174" s="298"/>
      <c r="L174" s="252">
        <v>300</v>
      </c>
      <c r="M174" s="263"/>
      <c r="N174" s="263"/>
      <c r="O174" s="473">
        <v>328.76</v>
      </c>
      <c r="P174" s="474">
        <v>328.76</v>
      </c>
      <c r="Q174" s="474">
        <v>430.86</v>
      </c>
      <c r="R174" s="475">
        <v>0.09</v>
      </c>
      <c r="S174" s="533">
        <f t="shared" si="28"/>
        <v>168</v>
      </c>
      <c r="T174" s="460">
        <v>75.260000000000005</v>
      </c>
      <c r="U174" s="460">
        <v>10.56</v>
      </c>
      <c r="V174" s="460">
        <v>353.76</v>
      </c>
      <c r="W174" s="460"/>
      <c r="X174" s="254">
        <v>51.09</v>
      </c>
      <c r="Y174" s="461">
        <v>7.4999999999999997E-2</v>
      </c>
      <c r="Z174" s="460">
        <v>22.5</v>
      </c>
      <c r="AA174" s="460">
        <v>10.26</v>
      </c>
      <c r="AB174" s="460">
        <v>437.73</v>
      </c>
      <c r="AC174" s="462">
        <v>353.75</v>
      </c>
      <c r="AD174" s="463">
        <v>0.3</v>
      </c>
      <c r="AE174" s="460">
        <v>40.83</v>
      </c>
      <c r="AF174" s="460">
        <v>61.32</v>
      </c>
      <c r="AG174" s="460">
        <v>20.62</v>
      </c>
      <c r="AH174" s="460"/>
      <c r="AI174" s="460"/>
      <c r="AJ174" s="460"/>
      <c r="AK174" s="460"/>
      <c r="AL174" s="253"/>
      <c r="AM174" s="273">
        <v>0.1</v>
      </c>
      <c r="AN174" s="255">
        <v>0.08</v>
      </c>
      <c r="AO174" s="160">
        <v>0.1</v>
      </c>
      <c r="AP174" s="536">
        <v>480.1</v>
      </c>
      <c r="AQ174" s="536"/>
      <c r="AR174" s="505">
        <f t="shared" si="29"/>
        <v>168</v>
      </c>
      <c r="AS174" s="480">
        <v>257.37</v>
      </c>
      <c r="AT174" s="480">
        <v>191.57</v>
      </c>
      <c r="AU174" s="480"/>
      <c r="AV174" s="480"/>
      <c r="AW174" s="480"/>
      <c r="AX174" s="480"/>
      <c r="AY174" s="480">
        <v>303.18</v>
      </c>
      <c r="AZ174" s="499" t="s">
        <v>5323</v>
      </c>
      <c r="BA174" s="502">
        <v>23.57</v>
      </c>
      <c r="BB174" s="502"/>
      <c r="BC174" s="510">
        <v>237.16</v>
      </c>
      <c r="BD174" s="510">
        <v>1222.49</v>
      </c>
      <c r="BE174" s="504">
        <v>0.2</v>
      </c>
      <c r="BF174" s="503">
        <v>0.22</v>
      </c>
      <c r="BG174" s="502">
        <v>16.66</v>
      </c>
      <c r="BH174" s="502">
        <v>1414.05</v>
      </c>
      <c r="BI174" s="502">
        <v>19.170000000000002</v>
      </c>
      <c r="BJ174" s="502"/>
      <c r="BK174" s="502"/>
      <c r="BL174" s="510"/>
      <c r="BM174" s="511">
        <v>0.16200000000000001</v>
      </c>
      <c r="BN174" s="511"/>
      <c r="BO174" s="511" t="s">
        <v>5340</v>
      </c>
      <c r="BP174" s="252"/>
      <c r="BQ174" s="252"/>
      <c r="BR174" s="511">
        <v>0.22</v>
      </c>
      <c r="BS174" s="252"/>
      <c r="BT174" s="252"/>
      <c r="BU174" s="524">
        <f t="shared" si="30"/>
        <v>168</v>
      </c>
      <c r="BV174" s="489">
        <v>158.63</v>
      </c>
      <c r="BW174" s="304">
        <v>4.4999999999999998E-2</v>
      </c>
      <c r="BX174" s="254">
        <v>366.18</v>
      </c>
      <c r="BY174" s="304">
        <v>3.9399999999999998E-2</v>
      </c>
      <c r="BZ174" s="494">
        <v>19.170000000000002</v>
      </c>
      <c r="CA174" s="497">
        <v>0.3</v>
      </c>
      <c r="CB174" s="497"/>
      <c r="CC174" s="494">
        <v>424</v>
      </c>
      <c r="CD174" s="241">
        <f t="shared" si="22"/>
        <v>168</v>
      </c>
      <c r="CE174" s="2"/>
      <c r="CF174" s="2">
        <v>490.8</v>
      </c>
      <c r="CG174" s="2"/>
      <c r="CH174" s="2"/>
      <c r="CI174" s="2"/>
      <c r="CJ174" s="252"/>
      <c r="CK174" s="252"/>
      <c r="CL174" s="252">
        <v>546.33000000000004</v>
      </c>
      <c r="CM174" s="253"/>
      <c r="CO174" s="253">
        <v>0.08</v>
      </c>
      <c r="CU174" s="266">
        <f t="shared" si="23"/>
        <v>181</v>
      </c>
      <c r="CV174" s="267">
        <f t="shared" si="24"/>
        <v>362</v>
      </c>
      <c r="CW174" s="268">
        <f t="shared" si="25"/>
        <v>904.99</v>
      </c>
      <c r="CX174" s="418">
        <v>184</v>
      </c>
      <c r="CY174" s="252"/>
      <c r="CZ174" s="252"/>
      <c r="DA174" s="252"/>
      <c r="DB174" s="252"/>
      <c r="DC174" s="252"/>
      <c r="DD174" s="252"/>
      <c r="DE174" s="252"/>
      <c r="DF174" s="252">
        <f t="shared" si="31"/>
        <v>0</v>
      </c>
      <c r="DG174" s="252"/>
      <c r="DH174" s="252">
        <v>489.06</v>
      </c>
      <c r="DI174" s="252"/>
      <c r="DK174" s="252"/>
      <c r="DL174" s="252"/>
      <c r="DP174" s="6">
        <v>7.2499999999999995E-2</v>
      </c>
      <c r="DQ174" s="252">
        <v>39.42</v>
      </c>
      <c r="DR174" s="3">
        <v>546.33000000000004</v>
      </c>
      <c r="DT174" s="241">
        <f t="shared" si="26"/>
        <v>168</v>
      </c>
      <c r="DU174" s="2"/>
      <c r="DV174" s="252">
        <v>720</v>
      </c>
      <c r="DY174" s="252">
        <v>405.18</v>
      </c>
      <c r="DZ174" s="264">
        <v>3.9399999999999998E-2</v>
      </c>
      <c r="EA174" s="252">
        <v>0</v>
      </c>
      <c r="EB174" s="253">
        <v>0</v>
      </c>
    </row>
    <row r="175" spans="1:132">
      <c r="A175">
        <v>169</v>
      </c>
      <c r="B175" s="259">
        <v>1.2021999999999999</v>
      </c>
      <c r="C175">
        <v>169</v>
      </c>
      <c r="D175" s="168">
        <f t="shared" si="32"/>
        <v>1.9493178750287221E-3</v>
      </c>
      <c r="E175" s="246">
        <v>44562</v>
      </c>
      <c r="F175" s="186">
        <v>0.19</v>
      </c>
      <c r="G175" s="247">
        <v>222209.94589999999</v>
      </c>
      <c r="H175" s="247">
        <v>556.39419999999996</v>
      </c>
      <c r="I175" s="248">
        <v>123.2</v>
      </c>
      <c r="J175" s="258">
        <f t="shared" si="27"/>
        <v>1.6260162601626771E-3</v>
      </c>
      <c r="K175" s="298">
        <v>2.0899999999999998E-2</v>
      </c>
      <c r="L175" s="252">
        <v>300</v>
      </c>
      <c r="M175" s="263"/>
      <c r="N175" s="263"/>
      <c r="O175" s="473">
        <v>328.76</v>
      </c>
      <c r="P175" s="474">
        <v>328.76</v>
      </c>
      <c r="Q175" s="474">
        <v>430.86</v>
      </c>
      <c r="R175" s="475">
        <v>0.09</v>
      </c>
      <c r="S175" s="533">
        <f t="shared" si="28"/>
        <v>169</v>
      </c>
      <c r="T175" s="460">
        <v>75.260000000000005</v>
      </c>
      <c r="U175" s="460">
        <v>10.56</v>
      </c>
      <c r="V175" s="460">
        <v>353.76</v>
      </c>
      <c r="W175" s="460"/>
      <c r="X175" s="254">
        <v>51.09</v>
      </c>
      <c r="Y175" s="461">
        <v>7.4999999999999997E-2</v>
      </c>
      <c r="Z175" s="460">
        <v>22.5</v>
      </c>
      <c r="AA175" s="460">
        <v>10.26</v>
      </c>
      <c r="AB175" s="460">
        <v>437.73</v>
      </c>
      <c r="AC175" s="462">
        <v>353.75</v>
      </c>
      <c r="AD175" s="463">
        <v>0.3</v>
      </c>
      <c r="AE175" s="460">
        <v>40.83</v>
      </c>
      <c r="AF175" s="460">
        <v>61.32</v>
      </c>
      <c r="AG175" s="460">
        <v>20.62</v>
      </c>
      <c r="AH175" s="460"/>
      <c r="AI175" s="460">
        <v>557</v>
      </c>
      <c r="AJ175" s="460"/>
      <c r="AK175" s="460"/>
      <c r="AL175" s="253"/>
      <c r="AM175" s="273">
        <v>0.1</v>
      </c>
      <c r="AN175" s="255">
        <v>0.08</v>
      </c>
      <c r="AO175" s="160">
        <v>0.1</v>
      </c>
      <c r="AP175" s="536">
        <v>480.1</v>
      </c>
      <c r="AQ175" s="536"/>
      <c r="AR175" s="505">
        <f t="shared" si="29"/>
        <v>169</v>
      </c>
      <c r="AS175" s="480">
        <v>257.37</v>
      </c>
      <c r="AT175" s="480">
        <v>191.57</v>
      </c>
      <c r="AU175" s="480"/>
      <c r="AV175" s="480"/>
      <c r="AW175" s="480"/>
      <c r="AX175" s="480"/>
      <c r="AY175" s="480">
        <v>303.18</v>
      </c>
      <c r="AZ175" s="499" t="s">
        <v>5323</v>
      </c>
      <c r="BA175" s="502">
        <v>23.57</v>
      </c>
      <c r="BB175" s="501"/>
      <c r="BC175" s="510">
        <v>237.16</v>
      </c>
      <c r="BD175" s="510">
        <v>1222.49</v>
      </c>
      <c r="BE175" s="504">
        <v>0.2</v>
      </c>
      <c r="BF175" s="503">
        <v>0.22</v>
      </c>
      <c r="BG175" s="502">
        <v>16.66</v>
      </c>
      <c r="BH175" s="502">
        <v>1414.05</v>
      </c>
      <c r="BI175" s="502">
        <v>19.170000000000002</v>
      </c>
      <c r="BJ175" s="502"/>
      <c r="BK175" s="502"/>
      <c r="BL175" s="510"/>
      <c r="BM175" s="511">
        <v>0.16200000000000001</v>
      </c>
      <c r="BN175" s="511"/>
      <c r="BO175" s="511" t="s">
        <v>5340</v>
      </c>
      <c r="BP175" s="252"/>
      <c r="BQ175" s="252"/>
      <c r="BR175" s="511">
        <v>0.22</v>
      </c>
      <c r="BS175" s="252"/>
      <c r="BT175" s="252"/>
      <c r="BU175" s="524">
        <f t="shared" si="30"/>
        <v>169</v>
      </c>
      <c r="BV175" s="489">
        <v>158.63</v>
      </c>
      <c r="BW175" s="304">
        <v>4.4999999999999998E-2</v>
      </c>
      <c r="BX175" s="254">
        <v>373.87</v>
      </c>
      <c r="BY175" s="304">
        <v>3.9399999999999998E-2</v>
      </c>
      <c r="BZ175" s="494">
        <v>19.170000000000002</v>
      </c>
      <c r="CA175" s="497">
        <v>0.3</v>
      </c>
      <c r="CB175" s="497"/>
      <c r="CC175" s="494">
        <v>424</v>
      </c>
      <c r="CD175" s="241">
        <f t="shared" si="22"/>
        <v>169</v>
      </c>
      <c r="CE175" s="2"/>
      <c r="CF175" s="2">
        <v>490.8</v>
      </c>
      <c r="CG175" s="2"/>
      <c r="CH175" s="2"/>
      <c r="CI175" s="2"/>
      <c r="CJ175" s="252"/>
      <c r="CK175" s="252"/>
      <c r="CL175" s="252">
        <v>546.33000000000004</v>
      </c>
      <c r="CM175" s="253"/>
      <c r="CO175" s="5">
        <v>0.08</v>
      </c>
      <c r="CU175" s="266">
        <f t="shared" si="23"/>
        <v>181</v>
      </c>
      <c r="CV175" s="267">
        <f t="shared" si="24"/>
        <v>362</v>
      </c>
      <c r="CW175" s="268">
        <f t="shared" si="25"/>
        <v>904.99</v>
      </c>
      <c r="CX175" s="418">
        <v>184</v>
      </c>
      <c r="CY175" s="252"/>
      <c r="CZ175" s="252"/>
      <c r="DA175" s="252"/>
      <c r="DB175" s="252"/>
      <c r="DC175" s="252"/>
      <c r="DD175" s="252"/>
      <c r="DE175" s="252"/>
      <c r="DF175" s="252">
        <f t="shared" si="31"/>
        <v>0</v>
      </c>
      <c r="DG175" s="252"/>
      <c r="DH175" s="252">
        <v>489.06</v>
      </c>
      <c r="DI175" s="252"/>
      <c r="DK175" s="252"/>
      <c r="DL175" s="252"/>
      <c r="DP175" s="6">
        <v>7.2499999999999995E-2</v>
      </c>
      <c r="DQ175" s="252">
        <v>39.42</v>
      </c>
      <c r="DR175" s="3">
        <v>546.33000000000004</v>
      </c>
      <c r="DT175" s="241">
        <f t="shared" si="26"/>
        <v>169</v>
      </c>
      <c r="DU175" s="2"/>
      <c r="DV175" s="252">
        <v>720</v>
      </c>
      <c r="DY175" s="252">
        <v>405.18</v>
      </c>
      <c r="DZ175" s="264">
        <v>3.9399999999999998E-2</v>
      </c>
      <c r="EA175" s="252">
        <v>0</v>
      </c>
      <c r="EB175" s="253">
        <v>0</v>
      </c>
    </row>
    <row r="176" spans="1:132">
      <c r="A176">
        <v>170</v>
      </c>
      <c r="B176" s="259">
        <v>2.2021999999999999</v>
      </c>
      <c r="C176">
        <v>170</v>
      </c>
      <c r="D176" s="168">
        <f t="shared" si="32"/>
        <v>6.8093383213412295E-3</v>
      </c>
      <c r="E176" s="246">
        <v>44593</v>
      </c>
      <c r="F176" s="186">
        <v>0.68</v>
      </c>
      <c r="G176" s="247">
        <v>223723.04860000001</v>
      </c>
      <c r="H176" s="247">
        <v>560.18290000000002</v>
      </c>
      <c r="I176" s="248">
        <v>124.1</v>
      </c>
      <c r="J176" s="258">
        <f t="shared" si="27"/>
        <v>7.3051948051947591E-3</v>
      </c>
      <c r="K176" s="298"/>
      <c r="L176" s="252">
        <v>300</v>
      </c>
      <c r="M176" s="263"/>
      <c r="N176" s="263"/>
      <c r="O176" s="473">
        <v>328.76</v>
      </c>
      <c r="P176" s="474">
        <v>328.76</v>
      </c>
      <c r="Q176" s="474">
        <v>430.86</v>
      </c>
      <c r="R176" s="475">
        <v>0.09</v>
      </c>
      <c r="S176" s="533">
        <f t="shared" si="28"/>
        <v>170</v>
      </c>
      <c r="T176" s="460">
        <v>75.260000000000005</v>
      </c>
      <c r="U176" s="460">
        <v>10.56</v>
      </c>
      <c r="V176" s="460">
        <v>353.76</v>
      </c>
      <c r="W176" s="460"/>
      <c r="X176" s="254">
        <v>51.09</v>
      </c>
      <c r="Y176" s="461">
        <v>7.4999999999999997E-2</v>
      </c>
      <c r="Z176" s="460">
        <v>22.5</v>
      </c>
      <c r="AA176" s="460">
        <v>10.26</v>
      </c>
      <c r="AB176" s="460">
        <v>437.73</v>
      </c>
      <c r="AC176" s="462">
        <v>353.75</v>
      </c>
      <c r="AD176" s="463">
        <v>0.3</v>
      </c>
      <c r="AE176" s="460">
        <v>40.83</v>
      </c>
      <c r="AF176" s="460">
        <v>61.32</v>
      </c>
      <c r="AG176" s="460">
        <v>20.62</v>
      </c>
      <c r="AH176" s="460"/>
      <c r="AI176" s="460">
        <v>557</v>
      </c>
      <c r="AJ176" s="460"/>
      <c r="AK176" s="460"/>
      <c r="AL176" s="253"/>
      <c r="AM176" s="273">
        <v>0.1</v>
      </c>
      <c r="AN176" s="255">
        <v>0.08</v>
      </c>
      <c r="AO176" s="160">
        <v>0.1</v>
      </c>
      <c r="AP176" s="536">
        <v>480.1</v>
      </c>
      <c r="AQ176" s="536"/>
      <c r="AR176" s="505">
        <f t="shared" si="29"/>
        <v>170</v>
      </c>
      <c r="AS176" s="480">
        <v>257.37</v>
      </c>
      <c r="AT176" s="480">
        <v>191.57</v>
      </c>
      <c r="AU176" s="480"/>
      <c r="AV176" s="480"/>
      <c r="AW176" s="480"/>
      <c r="AX176" s="480"/>
      <c r="AY176" s="480">
        <v>303.18</v>
      </c>
      <c r="AZ176" s="499" t="s">
        <v>5323</v>
      </c>
      <c r="BA176" s="502">
        <v>23.57</v>
      </c>
      <c r="BB176" s="502"/>
      <c r="BC176" s="510">
        <v>237.16</v>
      </c>
      <c r="BD176" s="510">
        <v>1222.49</v>
      </c>
      <c r="BE176" s="504">
        <v>0.2</v>
      </c>
      <c r="BF176" s="503">
        <v>0.22</v>
      </c>
      <c r="BG176" s="502">
        <v>16.66</v>
      </c>
      <c r="BH176" s="502">
        <v>1414.05</v>
      </c>
      <c r="BI176" s="502">
        <v>19.170000000000002</v>
      </c>
      <c r="BJ176" s="502"/>
      <c r="BK176" s="502"/>
      <c r="BL176" s="510"/>
      <c r="BM176" s="511">
        <v>0.16200000000000001</v>
      </c>
      <c r="BN176" s="511"/>
      <c r="BO176" s="511" t="s">
        <v>5340</v>
      </c>
      <c r="BP176" s="252"/>
      <c r="BQ176" s="252"/>
      <c r="BR176" s="511">
        <v>0.22</v>
      </c>
      <c r="BS176" s="252"/>
      <c r="BT176" s="252"/>
      <c r="BU176" s="524">
        <f t="shared" si="30"/>
        <v>170</v>
      </c>
      <c r="BV176" s="489">
        <v>158.63</v>
      </c>
      <c r="BW176" s="304">
        <v>4.4999999999999998E-2</v>
      </c>
      <c r="BX176" s="254">
        <v>373.87</v>
      </c>
      <c r="BY176" s="304">
        <v>3.9399999999999998E-2</v>
      </c>
      <c r="BZ176" s="494">
        <v>19.170000000000002</v>
      </c>
      <c r="CA176" s="497">
        <v>0.3</v>
      </c>
      <c r="CB176" s="497"/>
      <c r="CC176" s="494">
        <v>424</v>
      </c>
      <c r="CD176" s="241">
        <f t="shared" si="22"/>
        <v>170</v>
      </c>
      <c r="CE176" s="2"/>
      <c r="CF176" s="2">
        <v>490.8</v>
      </c>
      <c r="CG176" s="2"/>
      <c r="CH176" s="2"/>
      <c r="CI176" s="2"/>
      <c r="CJ176" s="252"/>
      <c r="CK176" s="252"/>
      <c r="CL176" s="252">
        <v>546.33000000000004</v>
      </c>
      <c r="CM176" s="253"/>
      <c r="CO176" s="253">
        <v>0.08</v>
      </c>
      <c r="CU176" s="266">
        <f t="shared" si="23"/>
        <v>181</v>
      </c>
      <c r="CV176" s="267">
        <f t="shared" si="24"/>
        <v>362</v>
      </c>
      <c r="CW176" s="268">
        <f t="shared" si="25"/>
        <v>904.99</v>
      </c>
      <c r="CX176" s="418">
        <v>184</v>
      </c>
      <c r="CY176" s="252"/>
      <c r="CZ176" s="252"/>
      <c r="DA176" s="252"/>
      <c r="DB176" s="252"/>
      <c r="DC176" s="252"/>
      <c r="DD176" s="252"/>
      <c r="DE176" s="252"/>
      <c r="DF176" s="252">
        <f t="shared" si="31"/>
        <v>0</v>
      </c>
      <c r="DG176" s="252"/>
      <c r="DH176" s="252">
        <v>489.06</v>
      </c>
      <c r="DI176" s="252"/>
      <c r="DK176" s="252"/>
      <c r="DL176" s="252"/>
      <c r="DP176" s="6">
        <v>7.2499999999999995E-2</v>
      </c>
      <c r="DQ176" s="252">
        <v>39.42</v>
      </c>
      <c r="DR176" s="3">
        <v>546.33000000000004</v>
      </c>
      <c r="DT176" s="241">
        <f t="shared" si="26"/>
        <v>170</v>
      </c>
      <c r="DU176" s="2"/>
      <c r="DV176" s="252">
        <v>720</v>
      </c>
      <c r="DY176" s="252">
        <v>405.18</v>
      </c>
      <c r="DZ176" s="264">
        <v>3.9399999999999998E-2</v>
      </c>
      <c r="EA176" s="252">
        <v>0</v>
      </c>
      <c r="EB176" s="253">
        <v>0</v>
      </c>
    </row>
    <row r="177" spans="1:132">
      <c r="A177">
        <v>171</v>
      </c>
      <c r="B177" s="259">
        <v>3.2021999999999999</v>
      </c>
      <c r="C177">
        <v>171</v>
      </c>
      <c r="D177" s="168">
        <f t="shared" si="32"/>
        <v>5.7971014078161964E-3</v>
      </c>
      <c r="E177" s="246">
        <v>44621</v>
      </c>
      <c r="F177" s="186">
        <v>0.56999999999999995</v>
      </c>
      <c r="G177" s="247">
        <v>225019.9938</v>
      </c>
      <c r="H177" s="247">
        <v>563.43029999999999</v>
      </c>
      <c r="I177" s="248">
        <v>124.8</v>
      </c>
      <c r="J177" s="258">
        <f t="shared" si="27"/>
        <v>5.6406124093473231E-3</v>
      </c>
      <c r="K177" s="298"/>
      <c r="L177" s="252">
        <v>300</v>
      </c>
      <c r="M177" s="263"/>
      <c r="N177" s="263"/>
      <c r="O177" s="473">
        <v>328.76</v>
      </c>
      <c r="P177" s="474">
        <v>328.76</v>
      </c>
      <c r="Q177" s="474">
        <v>430.86</v>
      </c>
      <c r="R177" s="475">
        <v>0.09</v>
      </c>
      <c r="S177" s="533">
        <f t="shared" si="28"/>
        <v>171</v>
      </c>
      <c r="T177" s="460">
        <v>75.260000000000005</v>
      </c>
      <c r="U177" s="460">
        <v>10.56</v>
      </c>
      <c r="V177" s="460">
        <v>353.76</v>
      </c>
      <c r="W177" s="460"/>
      <c r="X177" s="254">
        <v>51.09</v>
      </c>
      <c r="Y177" s="461">
        <v>7.4999999999999997E-2</v>
      </c>
      <c r="Z177" s="460">
        <v>22.5</v>
      </c>
      <c r="AA177" s="460">
        <v>10.26</v>
      </c>
      <c r="AB177" s="460">
        <v>437.73</v>
      </c>
      <c r="AC177" s="462">
        <v>353.75</v>
      </c>
      <c r="AD177" s="463">
        <v>0.3</v>
      </c>
      <c r="AE177" s="460">
        <v>40.83</v>
      </c>
      <c r="AF177" s="460">
        <v>61.32</v>
      </c>
      <c r="AG177" s="460">
        <v>20.62</v>
      </c>
      <c r="AH177" s="460"/>
      <c r="AI177" s="460">
        <v>557</v>
      </c>
      <c r="AJ177" s="460"/>
      <c r="AK177" s="460"/>
      <c r="AL177" s="253"/>
      <c r="AM177" s="273">
        <v>0.1</v>
      </c>
      <c r="AN177" s="255">
        <v>0.08</v>
      </c>
      <c r="AO177" s="160">
        <v>0.1</v>
      </c>
      <c r="AP177" s="536">
        <v>480.1</v>
      </c>
      <c r="AQ177" s="536"/>
      <c r="AR177" s="505">
        <f t="shared" si="29"/>
        <v>171</v>
      </c>
      <c r="AS177" s="480">
        <v>257.37</v>
      </c>
      <c r="AT177" s="480">
        <v>191.57</v>
      </c>
      <c r="AU177" s="480"/>
      <c r="AV177" s="480"/>
      <c r="AW177" s="480"/>
      <c r="AX177" s="480"/>
      <c r="AY177" s="480">
        <v>303.18</v>
      </c>
      <c r="AZ177" s="499" t="s">
        <v>5323</v>
      </c>
      <c r="BA177" s="502">
        <v>23.57</v>
      </c>
      <c r="BB177" s="501"/>
      <c r="BC177" s="510">
        <v>237.16</v>
      </c>
      <c r="BD177" s="510">
        <v>1222.49</v>
      </c>
      <c r="BE177" s="504">
        <v>0.2</v>
      </c>
      <c r="BF177" s="503">
        <v>0.22</v>
      </c>
      <c r="BG177" s="502">
        <v>16.66</v>
      </c>
      <c r="BH177" s="502">
        <v>1414.05</v>
      </c>
      <c r="BI177" s="502">
        <v>19.170000000000002</v>
      </c>
      <c r="BJ177" s="502"/>
      <c r="BK177" s="502"/>
      <c r="BL177" s="510"/>
      <c r="BM177" s="511">
        <v>0.16200000000000001</v>
      </c>
      <c r="BN177" s="511"/>
      <c r="BO177" s="511" t="s">
        <v>5340</v>
      </c>
      <c r="BP177" s="252"/>
      <c r="BQ177" s="252"/>
      <c r="BR177" s="511">
        <v>0.22</v>
      </c>
      <c r="BS177" s="252"/>
      <c r="BT177" s="252"/>
      <c r="BU177" s="524">
        <f t="shared" si="30"/>
        <v>171</v>
      </c>
      <c r="BV177" s="489">
        <v>158.63</v>
      </c>
      <c r="BW177" s="304">
        <v>4.4999999999999998E-2</v>
      </c>
      <c r="BX177" s="254">
        <v>373.87</v>
      </c>
      <c r="BY177" s="304">
        <v>3.9399999999999998E-2</v>
      </c>
      <c r="BZ177" s="494">
        <v>19.170000000000002</v>
      </c>
      <c r="CA177" s="497">
        <v>0.3</v>
      </c>
      <c r="CB177" s="497"/>
      <c r="CC177" s="494">
        <v>424</v>
      </c>
      <c r="CD177" s="241">
        <f t="shared" si="22"/>
        <v>171</v>
      </c>
      <c r="CE177" s="2"/>
      <c r="CF177" s="2">
        <v>490.8</v>
      </c>
      <c r="CG177" s="2"/>
      <c r="CH177" s="2"/>
      <c r="CI177" s="2"/>
      <c r="CJ177" s="252"/>
      <c r="CK177" s="252"/>
      <c r="CL177" s="252">
        <v>546.33000000000004</v>
      </c>
      <c r="CM177" s="253"/>
      <c r="CO177" s="5">
        <v>0.08</v>
      </c>
      <c r="CU177" s="266">
        <f t="shared" si="23"/>
        <v>181</v>
      </c>
      <c r="CV177" s="267">
        <f t="shared" si="24"/>
        <v>362</v>
      </c>
      <c r="CW177" s="268">
        <f t="shared" si="25"/>
        <v>904.99</v>
      </c>
      <c r="CX177" s="418">
        <v>184</v>
      </c>
      <c r="CY177" s="252"/>
      <c r="CZ177" s="252"/>
      <c r="DA177" s="252"/>
      <c r="DB177" s="252"/>
      <c r="DC177" s="252"/>
      <c r="DD177" s="252"/>
      <c r="DE177" s="252"/>
      <c r="DF177" s="252">
        <f t="shared" si="31"/>
        <v>0</v>
      </c>
      <c r="DG177" s="252"/>
      <c r="DH177" s="252">
        <v>489.06</v>
      </c>
      <c r="DI177" s="252"/>
      <c r="DK177" s="252"/>
      <c r="DL177" s="252"/>
      <c r="DP177" s="6">
        <v>7.2499999999999995E-2</v>
      </c>
      <c r="DQ177" s="252">
        <v>39.42</v>
      </c>
      <c r="DR177" s="3">
        <v>546.33000000000004</v>
      </c>
      <c r="DT177" s="241">
        <f t="shared" si="26"/>
        <v>171</v>
      </c>
      <c r="DU177" s="2"/>
      <c r="DV177" s="252">
        <v>720</v>
      </c>
      <c r="DY177" s="252">
        <v>405.18</v>
      </c>
      <c r="DZ177" s="264">
        <v>3.9399999999999998E-2</v>
      </c>
      <c r="EA177" s="252">
        <v>0</v>
      </c>
      <c r="EB177" s="253">
        <v>0</v>
      </c>
    </row>
    <row r="178" spans="1:132">
      <c r="A178">
        <v>172</v>
      </c>
      <c r="B178" s="259">
        <v>4.2022000000000004</v>
      </c>
      <c r="C178">
        <v>172</v>
      </c>
      <c r="D178" s="168">
        <f t="shared" si="32"/>
        <v>7.6849184412339788E-3</v>
      </c>
      <c r="E178" s="246">
        <v>44652</v>
      </c>
      <c r="F178" s="186">
        <v>0.76</v>
      </c>
      <c r="G178" s="247">
        <v>226749.25409999999</v>
      </c>
      <c r="H178" s="247">
        <v>567.76030000000003</v>
      </c>
      <c r="I178" s="248">
        <v>125.8</v>
      </c>
      <c r="J178" s="258">
        <f t="shared" si="27"/>
        <v>8.0128205128204844E-3</v>
      </c>
      <c r="K178" s="298"/>
      <c r="L178" s="252">
        <v>300</v>
      </c>
      <c r="M178" s="263"/>
      <c r="N178" s="263"/>
      <c r="O178" s="473">
        <v>328.76</v>
      </c>
      <c r="P178" s="474">
        <v>328.76</v>
      </c>
      <c r="Q178" s="474">
        <v>430.86</v>
      </c>
      <c r="R178" s="475">
        <v>0.09</v>
      </c>
      <c r="S178" s="533">
        <f t="shared" si="28"/>
        <v>172</v>
      </c>
      <c r="T178" s="460">
        <v>75.260000000000005</v>
      </c>
      <c r="U178" s="460">
        <v>10.56</v>
      </c>
      <c r="V178" s="460">
        <v>353.76</v>
      </c>
      <c r="W178" s="460"/>
      <c r="X178" s="254">
        <v>51.09</v>
      </c>
      <c r="Y178" s="461">
        <v>7.4999999999999997E-2</v>
      </c>
      <c r="Z178" s="460">
        <v>22.5</v>
      </c>
      <c r="AA178" s="460">
        <v>10.26</v>
      </c>
      <c r="AB178" s="460">
        <v>437.73</v>
      </c>
      <c r="AC178" s="462">
        <v>353.75</v>
      </c>
      <c r="AD178" s="463">
        <v>0.3</v>
      </c>
      <c r="AE178" s="460">
        <v>40.83</v>
      </c>
      <c r="AF178" s="460">
        <v>61.32</v>
      </c>
      <c r="AG178" s="460">
        <v>20.62</v>
      </c>
      <c r="AH178" s="460"/>
      <c r="AI178" s="460">
        <v>557</v>
      </c>
      <c r="AJ178" s="460"/>
      <c r="AK178" s="460"/>
      <c r="AL178" s="253"/>
      <c r="AM178" s="273">
        <v>0.1</v>
      </c>
      <c r="AN178" s="255">
        <v>0.08</v>
      </c>
      <c r="AO178" s="160">
        <v>0.1</v>
      </c>
      <c r="AP178" s="536">
        <v>480.1</v>
      </c>
      <c r="AQ178" s="536"/>
      <c r="AR178" s="505">
        <f t="shared" si="29"/>
        <v>172</v>
      </c>
      <c r="AS178" s="480">
        <v>257.37</v>
      </c>
      <c r="AT178" s="480">
        <v>191.57</v>
      </c>
      <c r="AU178" s="480"/>
      <c r="AV178" s="480"/>
      <c r="AW178" s="480"/>
      <c r="AX178" s="480"/>
      <c r="AY178" s="480">
        <v>303.18</v>
      </c>
      <c r="AZ178" s="499" t="s">
        <v>5323</v>
      </c>
      <c r="BA178" s="502">
        <v>23.57</v>
      </c>
      <c r="BB178" s="502"/>
      <c r="BC178" s="510">
        <v>237.16</v>
      </c>
      <c r="BD178" s="510">
        <v>1222.49</v>
      </c>
      <c r="BE178" s="504">
        <v>0.2</v>
      </c>
      <c r="BF178" s="503">
        <v>0.22</v>
      </c>
      <c r="BG178" s="502">
        <v>16.66</v>
      </c>
      <c r="BH178" s="502">
        <v>1414.05</v>
      </c>
      <c r="BI178" s="502">
        <v>19.170000000000002</v>
      </c>
      <c r="BJ178" s="502"/>
      <c r="BK178" s="502"/>
      <c r="BL178" s="510"/>
      <c r="BM178" s="511">
        <v>0.16200000000000001</v>
      </c>
      <c r="BN178" s="511"/>
      <c r="BO178" s="511" t="s">
        <v>5340</v>
      </c>
      <c r="BP178" s="252"/>
      <c r="BQ178" s="252"/>
      <c r="BR178" s="511">
        <v>0.22</v>
      </c>
      <c r="BS178" s="252"/>
      <c r="BT178" s="252"/>
      <c r="BU178" s="524">
        <f t="shared" si="30"/>
        <v>172</v>
      </c>
      <c r="BV178" s="489">
        <v>158.63</v>
      </c>
      <c r="BW178" s="304">
        <v>4.4999999999999998E-2</v>
      </c>
      <c r="BX178" s="254">
        <v>373.87</v>
      </c>
      <c r="BY178" s="304">
        <v>3.9399999999999998E-2</v>
      </c>
      <c r="BZ178" s="494">
        <v>19.170000000000002</v>
      </c>
      <c r="CA178" s="497">
        <v>0.3</v>
      </c>
      <c r="CB178" s="497"/>
      <c r="CC178" s="494">
        <v>424</v>
      </c>
      <c r="CD178" s="241">
        <f t="shared" si="22"/>
        <v>172</v>
      </c>
      <c r="CE178" s="2"/>
      <c r="CF178" s="2">
        <v>490.8</v>
      </c>
      <c r="CG178" s="2"/>
      <c r="CH178" s="2"/>
      <c r="CI178" s="2"/>
      <c r="CJ178" s="252"/>
      <c r="CK178" s="252"/>
      <c r="CL178" s="252">
        <v>546.33000000000004</v>
      </c>
      <c r="CM178" s="253"/>
      <c r="CO178" s="253">
        <v>0.08</v>
      </c>
      <c r="CU178" s="266">
        <f t="shared" si="23"/>
        <v>181</v>
      </c>
      <c r="CV178" s="267">
        <f t="shared" si="24"/>
        <v>362</v>
      </c>
      <c r="CW178" s="268">
        <f t="shared" si="25"/>
        <v>904.99</v>
      </c>
      <c r="CX178" s="418">
        <v>184</v>
      </c>
      <c r="CY178" s="252"/>
      <c r="CZ178" s="252"/>
      <c r="DA178" s="252"/>
      <c r="DB178" s="252"/>
      <c r="DC178" s="252"/>
      <c r="DD178" s="252"/>
      <c r="DE178" s="252"/>
      <c r="DF178" s="252">
        <f t="shared" si="31"/>
        <v>0</v>
      </c>
      <c r="DG178" s="252"/>
      <c r="DH178" s="252">
        <v>489.06</v>
      </c>
      <c r="DI178" s="252"/>
      <c r="DK178" s="252"/>
      <c r="DL178" s="252"/>
      <c r="DP178" s="6">
        <v>7.2499999999999995E-2</v>
      </c>
      <c r="DQ178" s="252">
        <v>39.42</v>
      </c>
      <c r="DR178" s="3">
        <v>546.33000000000004</v>
      </c>
      <c r="DT178" s="241">
        <f t="shared" si="26"/>
        <v>172</v>
      </c>
      <c r="DU178" s="2"/>
      <c r="DV178" s="252">
        <v>720</v>
      </c>
      <c r="DY178" s="252">
        <v>405.18</v>
      </c>
      <c r="DZ178" s="264">
        <v>3.9399999999999998E-2</v>
      </c>
      <c r="EA178" s="252">
        <v>0</v>
      </c>
      <c r="EB178" s="253">
        <v>0</v>
      </c>
    </row>
    <row r="179" spans="1:132">
      <c r="A179">
        <v>173</v>
      </c>
      <c r="B179" s="259">
        <v>5.2022000000000004</v>
      </c>
      <c r="C179">
        <v>173</v>
      </c>
      <c r="D179" s="168">
        <f t="shared" si="32"/>
        <v>5.7197330379223921E-3</v>
      </c>
      <c r="E179" s="246">
        <v>44682</v>
      </c>
      <c r="F179" s="186">
        <v>0.56999999999999995</v>
      </c>
      <c r="G179" s="247">
        <v>228046.19930000001</v>
      </c>
      <c r="H179" s="247">
        <v>571.0077</v>
      </c>
      <c r="I179" s="248">
        <v>126.5</v>
      </c>
      <c r="J179" s="258">
        <f t="shared" si="27"/>
        <v>5.56438791732905E-3</v>
      </c>
      <c r="K179" s="298"/>
      <c r="L179" s="252">
        <v>300</v>
      </c>
      <c r="M179" s="263"/>
      <c r="N179" s="263"/>
      <c r="O179" s="473">
        <v>328.76</v>
      </c>
      <c r="P179" s="474">
        <v>328.76</v>
      </c>
      <c r="Q179" s="474">
        <v>430.86</v>
      </c>
      <c r="R179" s="475">
        <v>0.09</v>
      </c>
      <c r="S179" s="533">
        <f t="shared" si="28"/>
        <v>173</v>
      </c>
      <c r="T179" s="460">
        <v>75.260000000000005</v>
      </c>
      <c r="U179" s="460">
        <v>10.56</v>
      </c>
      <c r="V179" s="460">
        <v>353.76</v>
      </c>
      <c r="W179" s="460"/>
      <c r="X179" s="254">
        <v>51.09</v>
      </c>
      <c r="Y179" s="461">
        <v>7.4999999999999997E-2</v>
      </c>
      <c r="Z179" s="460">
        <v>22.5</v>
      </c>
      <c r="AA179" s="460">
        <v>10.26</v>
      </c>
      <c r="AB179" s="460">
        <v>437.73</v>
      </c>
      <c r="AC179" s="462">
        <v>353.75</v>
      </c>
      <c r="AD179" s="463">
        <v>0.3</v>
      </c>
      <c r="AE179" s="460">
        <v>40.83</v>
      </c>
      <c r="AF179" s="460">
        <v>61.32</v>
      </c>
      <c r="AG179" s="460">
        <v>20.62</v>
      </c>
      <c r="AH179" s="460"/>
      <c r="AI179" s="460">
        <v>557</v>
      </c>
      <c r="AJ179" s="460"/>
      <c r="AK179" s="460"/>
      <c r="AL179" s="253"/>
      <c r="AM179" s="273">
        <v>0.1</v>
      </c>
      <c r="AN179" s="255">
        <v>0.08</v>
      </c>
      <c r="AO179" s="160">
        <v>0.1</v>
      </c>
      <c r="AP179" s="536">
        <v>480.1</v>
      </c>
      <c r="AQ179" s="536"/>
      <c r="AR179" s="505">
        <f t="shared" si="29"/>
        <v>173</v>
      </c>
      <c r="AS179" s="480">
        <v>257.37</v>
      </c>
      <c r="AT179" s="480">
        <v>191.57</v>
      </c>
      <c r="AU179" s="480"/>
      <c r="AV179" s="480"/>
      <c r="AW179" s="480"/>
      <c r="AX179" s="480"/>
      <c r="AY179" s="480">
        <v>303.18</v>
      </c>
      <c r="AZ179" s="499" t="s">
        <v>5323</v>
      </c>
      <c r="BA179" s="502">
        <v>23.57</v>
      </c>
      <c r="BB179" s="501"/>
      <c r="BC179" s="510">
        <v>237.16</v>
      </c>
      <c r="BD179" s="510">
        <v>1222.49</v>
      </c>
      <c r="BE179" s="504">
        <v>0.2</v>
      </c>
      <c r="BF179" s="503">
        <v>0.22</v>
      </c>
      <c r="BG179" s="502">
        <v>16.66</v>
      </c>
      <c r="BH179" s="502">
        <v>1414.05</v>
      </c>
      <c r="BI179" s="502">
        <v>19.170000000000002</v>
      </c>
      <c r="BJ179" s="502"/>
      <c r="BK179" s="502"/>
      <c r="BL179" s="510"/>
      <c r="BM179" s="511">
        <v>0.16200000000000001</v>
      </c>
      <c r="BN179" s="511"/>
      <c r="BO179" s="511" t="s">
        <v>5340</v>
      </c>
      <c r="BP179" s="252"/>
      <c r="BQ179" s="252"/>
      <c r="BR179" s="511">
        <v>0.22</v>
      </c>
      <c r="BS179" s="252"/>
      <c r="BT179" s="252"/>
      <c r="BU179" s="524">
        <f t="shared" si="30"/>
        <v>173</v>
      </c>
      <c r="BV179" s="489">
        <v>158.63</v>
      </c>
      <c r="BW179" s="304">
        <v>4.4999999999999998E-2</v>
      </c>
      <c r="BX179" s="254">
        <v>373.87</v>
      </c>
      <c r="BY179" s="304">
        <v>3.9399999999999998E-2</v>
      </c>
      <c r="BZ179" s="494">
        <v>19.170000000000002</v>
      </c>
      <c r="CA179" s="497">
        <v>0.3</v>
      </c>
      <c r="CB179" s="497"/>
      <c r="CC179" s="494">
        <v>424</v>
      </c>
      <c r="CD179" s="241">
        <f t="shared" si="22"/>
        <v>173</v>
      </c>
      <c r="CE179" s="2"/>
      <c r="CF179" s="2">
        <v>490.8</v>
      </c>
      <c r="CG179" s="2"/>
      <c r="CH179" s="2"/>
      <c r="CI179" s="2"/>
      <c r="CJ179" s="252"/>
      <c r="CK179" s="252"/>
      <c r="CL179" s="252">
        <v>546.33000000000004</v>
      </c>
      <c r="CM179" s="253"/>
      <c r="CO179" s="5">
        <v>0.08</v>
      </c>
      <c r="CU179" s="266">
        <f t="shared" si="23"/>
        <v>181</v>
      </c>
      <c r="CV179" s="267">
        <f t="shared" si="24"/>
        <v>362</v>
      </c>
      <c r="CW179" s="268">
        <f t="shared" si="25"/>
        <v>904.99</v>
      </c>
      <c r="CX179" s="418">
        <v>184</v>
      </c>
      <c r="CY179" s="252"/>
      <c r="CZ179" s="252"/>
      <c r="DA179" s="252"/>
      <c r="DB179" s="252"/>
      <c r="DC179" s="252"/>
      <c r="DD179" s="252"/>
      <c r="DE179" s="252"/>
      <c r="DF179" s="252">
        <f t="shared" si="31"/>
        <v>0</v>
      </c>
      <c r="DG179" s="252"/>
      <c r="DH179" s="252">
        <v>489.06</v>
      </c>
      <c r="DI179" s="252"/>
      <c r="DK179" s="252"/>
      <c r="DL179" s="252"/>
      <c r="DP179" s="6">
        <v>7.2499999999999995E-2</v>
      </c>
      <c r="DQ179" s="252">
        <v>39.42</v>
      </c>
      <c r="DR179" s="3">
        <v>546.33000000000004</v>
      </c>
      <c r="DT179" s="241">
        <f t="shared" si="26"/>
        <v>173</v>
      </c>
      <c r="DU179" s="2"/>
      <c r="DV179" s="252">
        <v>720</v>
      </c>
      <c r="DY179" s="252">
        <v>405.18</v>
      </c>
      <c r="DZ179" s="264">
        <v>3.9399999999999998E-2</v>
      </c>
      <c r="EA179" s="252">
        <v>0</v>
      </c>
      <c r="EB179" s="253">
        <v>0</v>
      </c>
    </row>
    <row r="180" spans="1:132">
      <c r="A180">
        <v>174</v>
      </c>
      <c r="B180" s="259">
        <v>6.2022000000000004</v>
      </c>
      <c r="C180">
        <v>174</v>
      </c>
      <c r="D180" s="168">
        <f t="shared" si="32"/>
        <v>3.7914694594956E-3</v>
      </c>
      <c r="E180" s="246">
        <v>44713</v>
      </c>
      <c r="F180" s="186">
        <v>0.37</v>
      </c>
      <c r="G180" s="247">
        <v>228910.82949999999</v>
      </c>
      <c r="H180" s="247">
        <v>573.17269999999996</v>
      </c>
      <c r="I180" s="248">
        <v>127</v>
      </c>
      <c r="J180" s="258">
        <f t="shared" si="27"/>
        <v>3.9525691699604515E-3</v>
      </c>
      <c r="K180" s="298"/>
      <c r="L180" s="252">
        <v>300</v>
      </c>
      <c r="M180" s="263"/>
      <c r="N180" s="263"/>
      <c r="O180" s="473">
        <v>328.76</v>
      </c>
      <c r="P180" s="474">
        <v>328.76</v>
      </c>
      <c r="Q180" s="474">
        <v>430.86</v>
      </c>
      <c r="R180" s="475">
        <v>0.09</v>
      </c>
      <c r="S180" s="533">
        <f t="shared" si="28"/>
        <v>174</v>
      </c>
      <c r="T180" s="460">
        <v>75.260000000000005</v>
      </c>
      <c r="U180" s="460">
        <v>10.56</v>
      </c>
      <c r="V180" s="460">
        <v>353.76</v>
      </c>
      <c r="W180" s="460"/>
      <c r="X180" s="254">
        <v>51.09</v>
      </c>
      <c r="Y180" s="461">
        <v>7.4999999999999997E-2</v>
      </c>
      <c r="Z180" s="460">
        <v>22.5</v>
      </c>
      <c r="AA180" s="460">
        <v>10.26</v>
      </c>
      <c r="AB180" s="460">
        <v>437.73</v>
      </c>
      <c r="AC180" s="462">
        <v>353.75</v>
      </c>
      <c r="AD180" s="463">
        <v>0.3</v>
      </c>
      <c r="AE180" s="460">
        <v>40.83</v>
      </c>
      <c r="AF180" s="460">
        <v>61.32</v>
      </c>
      <c r="AG180" s="460">
        <v>20.62</v>
      </c>
      <c r="AH180" s="460"/>
      <c r="AI180" s="460">
        <v>557</v>
      </c>
      <c r="AJ180" s="460"/>
      <c r="AK180" s="460"/>
      <c r="AL180" s="253"/>
      <c r="AM180" s="273">
        <v>0.1</v>
      </c>
      <c r="AN180" s="255">
        <v>0.08</v>
      </c>
      <c r="AO180" s="160">
        <v>0.1</v>
      </c>
      <c r="AP180" s="536">
        <v>480.1</v>
      </c>
      <c r="AQ180" s="536"/>
      <c r="AR180" s="505">
        <f t="shared" si="29"/>
        <v>174</v>
      </c>
      <c r="AS180" s="480">
        <v>257.37</v>
      </c>
      <c r="AT180" s="480">
        <v>191.57</v>
      </c>
      <c r="AU180" s="480"/>
      <c r="AV180" s="480"/>
      <c r="AW180" s="480"/>
      <c r="AX180" s="480"/>
      <c r="AY180" s="480">
        <v>303.18</v>
      </c>
      <c r="AZ180" s="499" t="s">
        <v>5323</v>
      </c>
      <c r="BA180" s="502">
        <v>23.57</v>
      </c>
      <c r="BB180" s="502"/>
      <c r="BC180" s="510">
        <v>237.16</v>
      </c>
      <c r="BD180" s="510">
        <v>1222.49</v>
      </c>
      <c r="BE180" s="504">
        <v>0.2</v>
      </c>
      <c r="BF180" s="503">
        <v>0.22</v>
      </c>
      <c r="BG180" s="502">
        <v>16.66</v>
      </c>
      <c r="BH180" s="502">
        <v>1414.05</v>
      </c>
      <c r="BI180" s="502">
        <v>19.170000000000002</v>
      </c>
      <c r="BJ180" s="502"/>
      <c r="BK180" s="502"/>
      <c r="BL180" s="510"/>
      <c r="BM180" s="511">
        <v>0.16200000000000001</v>
      </c>
      <c r="BN180" s="511"/>
      <c r="BO180" s="511" t="s">
        <v>5340</v>
      </c>
      <c r="BP180" s="252"/>
      <c r="BQ180" s="252"/>
      <c r="BR180" s="511">
        <v>0.22</v>
      </c>
      <c r="BS180" s="252"/>
      <c r="BT180" s="252"/>
      <c r="BU180" s="524">
        <f t="shared" si="30"/>
        <v>174</v>
      </c>
      <c r="BV180" s="489">
        <v>158.63</v>
      </c>
      <c r="BW180" s="304">
        <v>4.4999999999999998E-2</v>
      </c>
      <c r="BX180" s="254">
        <v>373.87</v>
      </c>
      <c r="BY180" s="304">
        <v>3.9399999999999998E-2</v>
      </c>
      <c r="BZ180" s="494">
        <v>19.170000000000002</v>
      </c>
      <c r="CA180" s="497">
        <v>0.3</v>
      </c>
      <c r="CB180" s="497"/>
      <c r="CC180" s="494">
        <v>424</v>
      </c>
      <c r="CD180" s="241">
        <f t="shared" si="22"/>
        <v>174</v>
      </c>
      <c r="CE180" s="2"/>
      <c r="CF180" s="2">
        <v>490.8</v>
      </c>
      <c r="CG180" s="2"/>
      <c r="CH180" s="84">
        <v>0.03</v>
      </c>
      <c r="CI180" s="84">
        <v>0.03</v>
      </c>
      <c r="CJ180" s="252"/>
      <c r="CK180" s="252"/>
      <c r="CL180" s="252">
        <v>546.33000000000004</v>
      </c>
      <c r="CM180" s="253"/>
      <c r="CO180" s="253">
        <v>0.08</v>
      </c>
      <c r="CU180" s="266">
        <f t="shared" si="23"/>
        <v>181</v>
      </c>
      <c r="CV180" s="267">
        <f t="shared" si="24"/>
        <v>362</v>
      </c>
      <c r="CW180" s="268">
        <f t="shared" si="25"/>
        <v>904.99</v>
      </c>
      <c r="CX180" s="418">
        <v>184</v>
      </c>
      <c r="CY180" s="252"/>
      <c r="CZ180" s="252"/>
      <c r="DA180" s="252"/>
      <c r="DB180" s="252"/>
      <c r="DC180" s="252"/>
      <c r="DD180" s="252"/>
      <c r="DE180" s="252"/>
      <c r="DF180" s="252">
        <f t="shared" si="31"/>
        <v>0</v>
      </c>
      <c r="DG180" s="252"/>
      <c r="DH180" s="252">
        <v>489.06</v>
      </c>
      <c r="DI180" s="252"/>
      <c r="DK180" s="252"/>
      <c r="DL180" s="252"/>
      <c r="DP180" s="6">
        <v>7.2499999999999995E-2</v>
      </c>
      <c r="DQ180" s="252">
        <v>39.42</v>
      </c>
      <c r="DR180" s="3">
        <v>546.33000000000004</v>
      </c>
      <c r="DT180" s="241">
        <f t="shared" si="26"/>
        <v>174</v>
      </c>
      <c r="DU180" s="84"/>
      <c r="DV180" s="252">
        <v>720</v>
      </c>
      <c r="DY180" s="252">
        <v>405.18</v>
      </c>
      <c r="DZ180" s="264">
        <v>3.9399999999999998E-2</v>
      </c>
      <c r="EA180" s="252">
        <v>0</v>
      </c>
      <c r="EB180" s="253">
        <v>0</v>
      </c>
    </row>
    <row r="181" spans="1:132">
      <c r="A181">
        <v>175</v>
      </c>
      <c r="B181" s="259">
        <v>7.2022000000000004</v>
      </c>
      <c r="C181">
        <v>175</v>
      </c>
      <c r="D181" s="168">
        <f t="shared" si="32"/>
        <v>1.1331444675054092E-2</v>
      </c>
      <c r="E181" s="246">
        <v>44743</v>
      </c>
      <c r="F181" s="186">
        <v>1.1299999999999999</v>
      </c>
      <c r="G181" s="247">
        <v>231504.7199</v>
      </c>
      <c r="H181" s="247">
        <v>579.66750000000002</v>
      </c>
      <c r="I181" s="248">
        <v>128.4</v>
      </c>
      <c r="J181" s="258">
        <f t="shared" si="27"/>
        <v>1.1023622047244164E-2</v>
      </c>
      <c r="K181" s="298"/>
      <c r="L181" s="252">
        <v>300</v>
      </c>
      <c r="M181" s="263"/>
      <c r="N181" s="263"/>
      <c r="O181" s="473">
        <v>328.76</v>
      </c>
      <c r="P181" s="474">
        <v>328.76</v>
      </c>
      <c r="Q181" s="474">
        <v>430.86</v>
      </c>
      <c r="R181" s="475">
        <v>0.09</v>
      </c>
      <c r="S181" s="533">
        <f t="shared" si="28"/>
        <v>175</v>
      </c>
      <c r="T181" s="460">
        <v>75.260000000000005</v>
      </c>
      <c r="U181" s="460">
        <v>10.56</v>
      </c>
      <c r="V181" s="460">
        <v>353.76</v>
      </c>
      <c r="W181" s="460"/>
      <c r="X181" s="254">
        <v>51.09</v>
      </c>
      <c r="Y181" s="461">
        <v>7.4999999999999997E-2</v>
      </c>
      <c r="Z181" s="460">
        <v>22.5</v>
      </c>
      <c r="AA181" s="460">
        <v>10.26</v>
      </c>
      <c r="AB181" s="460">
        <v>437.73</v>
      </c>
      <c r="AC181" s="462">
        <v>353.75</v>
      </c>
      <c r="AD181" s="463">
        <v>0.3</v>
      </c>
      <c r="AE181" s="460">
        <v>40.83</v>
      </c>
      <c r="AF181" s="460">
        <v>61.32</v>
      </c>
      <c r="AG181" s="460">
        <v>20.62</v>
      </c>
      <c r="AH181" s="460"/>
      <c r="AI181" s="460">
        <v>557</v>
      </c>
      <c r="AJ181" s="460"/>
      <c r="AK181" s="460"/>
      <c r="AL181" s="253"/>
      <c r="AM181" s="273">
        <v>0.1</v>
      </c>
      <c r="AN181" s="255">
        <v>0.08</v>
      </c>
      <c r="AO181" s="160">
        <v>0.1</v>
      </c>
      <c r="AP181" s="536">
        <v>480.1</v>
      </c>
      <c r="AQ181" s="536"/>
      <c r="AR181" s="505">
        <f t="shared" si="29"/>
        <v>175</v>
      </c>
      <c r="AS181" s="480">
        <v>257.37</v>
      </c>
      <c r="AT181" s="480">
        <v>191.57</v>
      </c>
      <c r="AU181" s="480"/>
      <c r="AV181" s="480"/>
      <c r="AW181" s="480"/>
      <c r="AX181" s="480"/>
      <c r="AY181" s="480">
        <v>303.18</v>
      </c>
      <c r="AZ181" s="499" t="s">
        <v>5323</v>
      </c>
      <c r="BA181" s="502">
        <v>23.57</v>
      </c>
      <c r="BB181" s="501"/>
      <c r="BC181" s="510">
        <v>237.16</v>
      </c>
      <c r="BD181" s="510">
        <v>1222.49</v>
      </c>
      <c r="BE181" s="504">
        <v>0.2</v>
      </c>
      <c r="BF181" s="503">
        <v>0.22</v>
      </c>
      <c r="BG181" s="502">
        <v>16.66</v>
      </c>
      <c r="BH181" s="502">
        <v>1414.05</v>
      </c>
      <c r="BI181" s="502">
        <v>19.170000000000002</v>
      </c>
      <c r="BJ181" s="502"/>
      <c r="BK181" s="502"/>
      <c r="BL181" s="510"/>
      <c r="BM181" s="511">
        <v>0.16200000000000001</v>
      </c>
      <c r="BN181" s="511"/>
      <c r="BO181" s="511" t="s">
        <v>5340</v>
      </c>
      <c r="BP181" s="252"/>
      <c r="BQ181" s="252"/>
      <c r="BR181" s="511">
        <v>0.22</v>
      </c>
      <c r="BS181" s="252"/>
      <c r="BT181" s="252"/>
      <c r="BU181" s="524">
        <f t="shared" si="30"/>
        <v>175</v>
      </c>
      <c r="BV181" s="489">
        <v>158.63</v>
      </c>
      <c r="BW181" s="304">
        <v>4.4999999999999998E-2</v>
      </c>
      <c r="BX181" s="254">
        <v>373.87</v>
      </c>
      <c r="BY181" s="304">
        <v>3.9399999999999998E-2</v>
      </c>
      <c r="BZ181" s="494">
        <v>19.170000000000002</v>
      </c>
      <c r="CA181" s="497">
        <v>0.3</v>
      </c>
      <c r="CB181" s="497"/>
      <c r="CC181" s="494">
        <v>424</v>
      </c>
      <c r="CD181" s="241">
        <f t="shared" si="22"/>
        <v>175</v>
      </c>
      <c r="CE181" s="2"/>
      <c r="CF181" s="2">
        <v>490.8</v>
      </c>
      <c r="CG181" s="2"/>
      <c r="CH181" s="84">
        <v>0.03</v>
      </c>
      <c r="CI181" s="84">
        <v>0.03</v>
      </c>
      <c r="CJ181" s="252"/>
      <c r="CK181" s="252"/>
      <c r="CL181" s="252">
        <v>546.33000000000004</v>
      </c>
      <c r="CM181" s="253"/>
      <c r="CO181" s="5">
        <v>0.08</v>
      </c>
      <c r="CU181" s="266">
        <f t="shared" si="23"/>
        <v>181</v>
      </c>
      <c r="CV181" s="267">
        <f t="shared" si="24"/>
        <v>362</v>
      </c>
      <c r="CW181" s="268">
        <f t="shared" si="25"/>
        <v>904.99</v>
      </c>
      <c r="CX181" s="418">
        <v>184</v>
      </c>
      <c r="CY181" s="252"/>
      <c r="CZ181" s="252"/>
      <c r="DA181" s="252"/>
      <c r="DB181" s="252"/>
      <c r="DC181" s="252"/>
      <c r="DD181" s="252"/>
      <c r="DE181" s="252"/>
      <c r="DF181" s="252">
        <f t="shared" si="31"/>
        <v>0</v>
      </c>
      <c r="DG181" s="252"/>
      <c r="DH181" s="252">
        <v>489.06</v>
      </c>
      <c r="DI181" s="252"/>
      <c r="DK181" s="252"/>
      <c r="DL181" s="252"/>
      <c r="DP181" s="6">
        <v>7.2499999999999995E-2</v>
      </c>
      <c r="DQ181" s="252">
        <v>39.42</v>
      </c>
      <c r="DR181" s="3">
        <v>546.33000000000004</v>
      </c>
      <c r="DT181" s="241">
        <f t="shared" si="26"/>
        <v>175</v>
      </c>
      <c r="DU181" s="84"/>
      <c r="DV181" s="252">
        <v>720</v>
      </c>
      <c r="DY181" s="252">
        <v>405.18</v>
      </c>
      <c r="DZ181" s="264">
        <v>3.9399999999999998E-2</v>
      </c>
      <c r="EA181" s="252">
        <v>0</v>
      </c>
      <c r="EB181" s="253">
        <v>0</v>
      </c>
    </row>
    <row r="182" spans="1:132">
      <c r="A182">
        <v>176</v>
      </c>
      <c r="B182" s="259">
        <v>8.2021999999999995</v>
      </c>
      <c r="C182">
        <v>176</v>
      </c>
      <c r="D182" s="168">
        <f t="shared" si="32"/>
        <v>-2.8011204276099377E-3</v>
      </c>
      <c r="E182" s="246">
        <v>44774</v>
      </c>
      <c r="F182" s="186">
        <v>-0.28999999999999998</v>
      </c>
      <c r="G182" s="247">
        <v>230856.24729999999</v>
      </c>
      <c r="H182" s="247">
        <v>578.04380000000003</v>
      </c>
      <c r="I182" s="248">
        <v>128</v>
      </c>
      <c r="J182" s="258">
        <f t="shared" si="27"/>
        <v>-3.1152647975077885E-3</v>
      </c>
      <c r="K182" s="298"/>
      <c r="L182" s="252">
        <v>300</v>
      </c>
      <c r="M182" s="263"/>
      <c r="N182" s="263"/>
      <c r="O182" s="473">
        <v>328.76</v>
      </c>
      <c r="P182" s="474">
        <v>328.76</v>
      </c>
      <c r="Q182" s="474">
        <v>430.86</v>
      </c>
      <c r="R182" s="475">
        <v>0.09</v>
      </c>
      <c r="S182" s="533">
        <f t="shared" si="28"/>
        <v>176</v>
      </c>
      <c r="T182" s="460">
        <v>75.260000000000005</v>
      </c>
      <c r="U182" s="460">
        <v>10.56</v>
      </c>
      <c r="V182" s="460">
        <v>353.76</v>
      </c>
      <c r="W182" s="460"/>
      <c r="X182" s="254">
        <v>51.09</v>
      </c>
      <c r="Y182" s="461">
        <v>7.4999999999999997E-2</v>
      </c>
      <c r="Z182" s="460">
        <v>22.5</v>
      </c>
      <c r="AA182" s="460">
        <v>10.26</v>
      </c>
      <c r="AB182" s="460">
        <v>437.73</v>
      </c>
      <c r="AC182" s="462">
        <v>353.75</v>
      </c>
      <c r="AD182" s="463">
        <v>0.3</v>
      </c>
      <c r="AE182" s="460">
        <v>40.83</v>
      </c>
      <c r="AF182" s="460">
        <v>61.32</v>
      </c>
      <c r="AG182" s="460">
        <v>20.62</v>
      </c>
      <c r="AH182" s="460"/>
      <c r="AI182" s="460">
        <v>557</v>
      </c>
      <c r="AJ182" s="460"/>
      <c r="AK182" s="460"/>
      <c r="AL182" s="253"/>
      <c r="AM182" s="273">
        <v>0.1</v>
      </c>
      <c r="AN182" s="255">
        <v>0.08</v>
      </c>
      <c r="AO182" s="160">
        <v>0.1</v>
      </c>
      <c r="AP182" s="536">
        <v>480.1</v>
      </c>
      <c r="AQ182" s="536"/>
      <c r="AR182" s="505">
        <f t="shared" si="29"/>
        <v>176</v>
      </c>
      <c r="AS182" s="480">
        <v>257.37</v>
      </c>
      <c r="AT182" s="480">
        <v>191.57</v>
      </c>
      <c r="AU182" s="480"/>
      <c r="AV182" s="480"/>
      <c r="AW182" s="480"/>
      <c r="AX182" s="480"/>
      <c r="AY182" s="480">
        <v>303.18</v>
      </c>
      <c r="AZ182" s="499" t="s">
        <v>5323</v>
      </c>
      <c r="BA182" s="502">
        <v>23.57</v>
      </c>
      <c r="BB182" s="502"/>
      <c r="BC182" s="510">
        <v>237.16</v>
      </c>
      <c r="BD182" s="510">
        <v>1222.49</v>
      </c>
      <c r="BE182" s="504">
        <v>0.2</v>
      </c>
      <c r="BF182" s="503">
        <v>0.22</v>
      </c>
      <c r="BG182" s="502">
        <v>16.66</v>
      </c>
      <c r="BH182" s="502">
        <v>1414.05</v>
      </c>
      <c r="BI182" s="502">
        <v>19.170000000000002</v>
      </c>
      <c r="BJ182" s="502"/>
      <c r="BK182" s="502"/>
      <c r="BL182" s="510"/>
      <c r="BM182" s="511">
        <v>0.16200000000000001</v>
      </c>
      <c r="BN182" s="511"/>
      <c r="BO182" s="511" t="s">
        <v>5340</v>
      </c>
      <c r="BP182" s="252"/>
      <c r="BQ182" s="252"/>
      <c r="BR182" s="511">
        <v>0.22</v>
      </c>
      <c r="BS182" s="252"/>
      <c r="BT182" s="252"/>
      <c r="BU182" s="524">
        <f t="shared" si="30"/>
        <v>176</v>
      </c>
      <c r="BV182" s="489">
        <v>158.63</v>
      </c>
      <c r="BW182" s="304">
        <v>4.4999999999999998E-2</v>
      </c>
      <c r="BX182" s="254">
        <v>373.87</v>
      </c>
      <c r="BY182" s="304">
        <v>3.9399999999999998E-2</v>
      </c>
      <c r="BZ182" s="494">
        <v>19.170000000000002</v>
      </c>
      <c r="CA182" s="497">
        <v>0.3</v>
      </c>
      <c r="CB182" s="497"/>
      <c r="CC182" s="494">
        <v>424</v>
      </c>
      <c r="CD182" s="241">
        <f t="shared" si="22"/>
        <v>176</v>
      </c>
      <c r="CE182" s="2"/>
      <c r="CF182" s="2">
        <v>490.8</v>
      </c>
      <c r="CG182" s="2"/>
      <c r="CH182" s="84">
        <v>0.03</v>
      </c>
      <c r="CI182" s="84">
        <v>0.03</v>
      </c>
      <c r="CJ182" s="252"/>
      <c r="CK182" s="252"/>
      <c r="CL182" s="252">
        <v>546.33000000000004</v>
      </c>
      <c r="CM182" s="253"/>
      <c r="CO182" s="253">
        <v>0.08</v>
      </c>
      <c r="CU182" s="266">
        <f t="shared" si="23"/>
        <v>181</v>
      </c>
      <c r="CV182" s="267">
        <f t="shared" si="24"/>
        <v>362</v>
      </c>
      <c r="CW182" s="268">
        <f t="shared" si="25"/>
        <v>904.99</v>
      </c>
      <c r="CX182" s="418">
        <v>184</v>
      </c>
      <c r="CY182" s="252"/>
      <c r="CZ182" s="252"/>
      <c r="DA182" s="252"/>
      <c r="DB182" s="252"/>
      <c r="DC182" s="252"/>
      <c r="DD182" s="252"/>
      <c r="DE182" s="252"/>
      <c r="DF182" s="252">
        <f t="shared" si="31"/>
        <v>0</v>
      </c>
      <c r="DG182" s="252"/>
      <c r="DH182" s="252">
        <v>489.06</v>
      </c>
      <c r="DI182" s="252"/>
      <c r="DK182" s="252"/>
      <c r="DL182" s="252"/>
      <c r="DP182" s="6">
        <v>7.2499999999999995E-2</v>
      </c>
      <c r="DQ182" s="252">
        <v>39.42</v>
      </c>
      <c r="DR182" s="3">
        <v>546.33000000000004</v>
      </c>
      <c r="DT182" s="241">
        <f t="shared" si="26"/>
        <v>176</v>
      </c>
      <c r="DU182" s="84"/>
      <c r="DV182" s="252">
        <v>720</v>
      </c>
      <c r="DY182" s="252">
        <v>405.18</v>
      </c>
      <c r="DZ182" s="264">
        <v>3.9399999999999998E-2</v>
      </c>
      <c r="EA182" s="252">
        <v>0</v>
      </c>
      <c r="EB182" s="253">
        <v>0</v>
      </c>
    </row>
    <row r="183" spans="1:132">
      <c r="A183">
        <v>177</v>
      </c>
      <c r="B183" s="259">
        <v>9.2021999999999995</v>
      </c>
      <c r="C183">
        <v>177</v>
      </c>
      <c r="D183" s="168">
        <f t="shared" si="32"/>
        <v>1.8726593066298314E-3</v>
      </c>
      <c r="E183" s="246">
        <v>44805</v>
      </c>
      <c r="F183" s="186">
        <v>0.18</v>
      </c>
      <c r="G183" s="247">
        <v>231288.5624</v>
      </c>
      <c r="H183" s="247">
        <v>579.12630000000001</v>
      </c>
      <c r="I183" s="248">
        <v>128.30000000000001</v>
      </c>
      <c r="J183" s="258">
        <f t="shared" si="27"/>
        <v>2.3437500000000888E-3</v>
      </c>
      <c r="K183" s="298"/>
      <c r="L183" s="252">
        <v>300</v>
      </c>
      <c r="M183" s="263"/>
      <c r="N183" s="263"/>
      <c r="O183" s="473">
        <v>328.76</v>
      </c>
      <c r="P183" s="474">
        <v>328.76</v>
      </c>
      <c r="Q183" s="474">
        <v>430.86</v>
      </c>
      <c r="R183" s="475">
        <v>0.09</v>
      </c>
      <c r="S183" s="533">
        <f t="shared" si="28"/>
        <v>177</v>
      </c>
      <c r="T183" s="460">
        <v>75.260000000000005</v>
      </c>
      <c r="U183" s="460">
        <v>10.56</v>
      </c>
      <c r="V183" s="460">
        <v>353.76</v>
      </c>
      <c r="W183" s="460"/>
      <c r="X183" s="254">
        <v>51.09</v>
      </c>
      <c r="Y183" s="461">
        <v>7.4999999999999997E-2</v>
      </c>
      <c r="Z183" s="460">
        <v>22.5</v>
      </c>
      <c r="AA183" s="460">
        <v>10.26</v>
      </c>
      <c r="AB183" s="460">
        <v>437.73</v>
      </c>
      <c r="AC183" s="462">
        <v>353.75</v>
      </c>
      <c r="AD183" s="463">
        <v>0.3</v>
      </c>
      <c r="AE183" s="460">
        <v>40.83</v>
      </c>
      <c r="AF183" s="460">
        <v>61.32</v>
      </c>
      <c r="AG183" s="460">
        <v>20.62</v>
      </c>
      <c r="AH183" s="460"/>
      <c r="AI183" s="460">
        <v>557</v>
      </c>
      <c r="AJ183" s="460"/>
      <c r="AK183" s="460"/>
      <c r="AL183" s="253"/>
      <c r="AM183" s="273">
        <v>0.1</v>
      </c>
      <c r="AN183" s="255">
        <v>0.08</v>
      </c>
      <c r="AO183" s="160">
        <v>0.1</v>
      </c>
      <c r="AP183" s="536">
        <v>480.1</v>
      </c>
      <c r="AQ183" s="536"/>
      <c r="AR183" s="505">
        <f t="shared" si="29"/>
        <v>177</v>
      </c>
      <c r="AS183" s="480">
        <v>257.37</v>
      </c>
      <c r="AT183" s="480">
        <v>191.57</v>
      </c>
      <c r="AU183" s="480"/>
      <c r="AV183" s="480"/>
      <c r="AW183" s="480"/>
      <c r="AX183" s="480"/>
      <c r="AY183" s="480">
        <v>303.18</v>
      </c>
      <c r="AZ183" s="499" t="s">
        <v>5323</v>
      </c>
      <c r="BA183" s="502">
        <v>23.57</v>
      </c>
      <c r="BB183" s="501"/>
      <c r="BC183" s="510">
        <v>237.16</v>
      </c>
      <c r="BD183" s="510">
        <v>1222.49</v>
      </c>
      <c r="BE183" s="504">
        <v>0.2</v>
      </c>
      <c r="BF183" s="503">
        <v>0.22</v>
      </c>
      <c r="BG183" s="502">
        <v>16.66</v>
      </c>
      <c r="BH183" s="502">
        <v>1414.05</v>
      </c>
      <c r="BI183" s="502">
        <v>19.170000000000002</v>
      </c>
      <c r="BJ183" s="502"/>
      <c r="BK183" s="502"/>
      <c r="BL183" s="510"/>
      <c r="BM183" s="511">
        <v>0.16200000000000001</v>
      </c>
      <c r="BN183" s="511"/>
      <c r="BO183" s="511" t="s">
        <v>5340</v>
      </c>
      <c r="BP183" s="252"/>
      <c r="BQ183" s="252"/>
      <c r="BR183" s="511">
        <v>0.22</v>
      </c>
      <c r="BS183" s="252"/>
      <c r="BT183" s="252"/>
      <c r="BU183" s="524">
        <f t="shared" si="30"/>
        <v>177</v>
      </c>
      <c r="BV183" s="489">
        <v>158.63</v>
      </c>
      <c r="BW183" s="304">
        <v>4.4999999999999998E-2</v>
      </c>
      <c r="BX183" s="254">
        <v>373.87</v>
      </c>
      <c r="BY183" s="304">
        <v>3.9399999999999998E-2</v>
      </c>
      <c r="BZ183" s="494">
        <v>19.170000000000002</v>
      </c>
      <c r="CA183" s="497">
        <v>0.3</v>
      </c>
      <c r="CB183" s="497"/>
      <c r="CC183" s="494">
        <v>424</v>
      </c>
      <c r="CD183" s="241">
        <f t="shared" si="22"/>
        <v>177</v>
      </c>
      <c r="CE183" s="2"/>
      <c r="CF183" s="2">
        <v>490.8</v>
      </c>
      <c r="CG183" s="2"/>
      <c r="CH183" s="84">
        <v>0.03</v>
      </c>
      <c r="CI183" s="84">
        <v>0.03</v>
      </c>
      <c r="CJ183" s="252"/>
      <c r="CK183" s="252"/>
      <c r="CL183" s="252">
        <v>546.33000000000004</v>
      </c>
      <c r="CM183" s="253"/>
      <c r="CO183" s="5">
        <v>0.08</v>
      </c>
      <c r="CU183" s="266">
        <f t="shared" si="23"/>
        <v>181</v>
      </c>
      <c r="CV183" s="267">
        <f t="shared" si="24"/>
        <v>362</v>
      </c>
      <c r="CW183" s="268">
        <f t="shared" si="25"/>
        <v>904.99</v>
      </c>
      <c r="CX183" s="418">
        <v>184</v>
      </c>
      <c r="CY183" s="252"/>
      <c r="CZ183" s="252"/>
      <c r="DA183" s="252"/>
      <c r="DB183" s="252"/>
      <c r="DC183" s="252"/>
      <c r="DD183" s="252"/>
      <c r="DE183" s="252"/>
      <c r="DF183" s="252">
        <f t="shared" si="31"/>
        <v>0</v>
      </c>
      <c r="DG183" s="252"/>
      <c r="DH183" s="252">
        <v>489.06</v>
      </c>
      <c r="DI183" s="252"/>
      <c r="DK183" s="252"/>
      <c r="DL183" s="252"/>
      <c r="DP183" s="6">
        <v>7.2499999999999995E-2</v>
      </c>
      <c r="DQ183" s="252">
        <v>39.42</v>
      </c>
      <c r="DR183" s="3">
        <v>546.33000000000004</v>
      </c>
      <c r="DT183" s="241">
        <f t="shared" si="26"/>
        <v>177</v>
      </c>
      <c r="DU183" s="84"/>
      <c r="DV183" s="252">
        <v>720</v>
      </c>
      <c r="DY183" s="252">
        <v>405.18</v>
      </c>
      <c r="DZ183" s="264">
        <v>3.9399999999999998E-2</v>
      </c>
      <c r="EA183" s="252">
        <v>0</v>
      </c>
      <c r="EB183" s="253">
        <v>0</v>
      </c>
    </row>
    <row r="184" spans="1:132">
      <c r="A184">
        <v>178</v>
      </c>
      <c r="B184" s="259">
        <v>10.202199999999999</v>
      </c>
      <c r="C184">
        <v>178</v>
      </c>
      <c r="D184" s="168">
        <f t="shared" si="32"/>
        <v>5.6074765934903681E-3</v>
      </c>
      <c r="E184" s="246">
        <v>44835</v>
      </c>
      <c r="F184" s="186">
        <v>0.56000000000000005</v>
      </c>
      <c r="G184" s="247">
        <v>232585.50760000001</v>
      </c>
      <c r="H184" s="247">
        <v>582.37369999999999</v>
      </c>
      <c r="I184" s="248">
        <v>129</v>
      </c>
      <c r="J184" s="258">
        <f t="shared" si="27"/>
        <v>5.4559625876851037E-3</v>
      </c>
      <c r="K184" s="298"/>
      <c r="L184" s="252">
        <v>300</v>
      </c>
      <c r="M184" s="263"/>
      <c r="N184" s="263"/>
      <c r="O184" s="473">
        <v>328.76</v>
      </c>
      <c r="P184" s="474">
        <v>328.76</v>
      </c>
      <c r="Q184" s="474">
        <v>430.86</v>
      </c>
      <c r="R184" s="475">
        <v>0.09</v>
      </c>
      <c r="S184" s="533">
        <f t="shared" si="28"/>
        <v>178</v>
      </c>
      <c r="T184" s="460">
        <v>75.260000000000005</v>
      </c>
      <c r="U184" s="460">
        <v>10.56</v>
      </c>
      <c r="V184" s="460">
        <v>353.76</v>
      </c>
      <c r="W184" s="460"/>
      <c r="X184" s="254">
        <v>51.09</v>
      </c>
      <c r="Y184" s="461">
        <v>7.4999999999999997E-2</v>
      </c>
      <c r="Z184" s="460">
        <v>22.5</v>
      </c>
      <c r="AA184" s="460">
        <v>10.26</v>
      </c>
      <c r="AB184" s="460">
        <v>437.73</v>
      </c>
      <c r="AC184" s="462">
        <v>353.75</v>
      </c>
      <c r="AD184" s="463">
        <v>0.3</v>
      </c>
      <c r="AE184" s="460">
        <v>40.83</v>
      </c>
      <c r="AF184" s="460">
        <v>61.32</v>
      </c>
      <c r="AG184" s="460">
        <v>20.62</v>
      </c>
      <c r="AH184" s="460"/>
      <c r="AI184" s="460">
        <v>557</v>
      </c>
      <c r="AJ184" s="460"/>
      <c r="AK184" s="460"/>
      <c r="AL184" s="253"/>
      <c r="AM184" s="273">
        <v>0.1</v>
      </c>
      <c r="AN184" s="255">
        <v>0.08</v>
      </c>
      <c r="AO184" s="160">
        <v>0.1</v>
      </c>
      <c r="AP184" s="536">
        <v>480.1</v>
      </c>
      <c r="AQ184" s="536"/>
      <c r="AR184" s="505">
        <f t="shared" si="29"/>
        <v>178</v>
      </c>
      <c r="AS184" s="480">
        <v>257.37</v>
      </c>
      <c r="AT184" s="480">
        <v>191.57</v>
      </c>
      <c r="AU184" s="480"/>
      <c r="AV184" s="480"/>
      <c r="AW184" s="480"/>
      <c r="AX184" s="480"/>
      <c r="AY184" s="480">
        <v>303.18</v>
      </c>
      <c r="AZ184" s="499" t="s">
        <v>5323</v>
      </c>
      <c r="BA184" s="502">
        <v>23.57</v>
      </c>
      <c r="BB184" s="502"/>
      <c r="BC184" s="510">
        <v>237.16</v>
      </c>
      <c r="BD184" s="510">
        <v>1222.49</v>
      </c>
      <c r="BE184" s="504">
        <v>0.2</v>
      </c>
      <c r="BF184" s="503">
        <v>0.22</v>
      </c>
      <c r="BG184" s="502">
        <v>16.66</v>
      </c>
      <c r="BH184" s="502">
        <v>1414.05</v>
      </c>
      <c r="BI184" s="502">
        <v>19.170000000000002</v>
      </c>
      <c r="BJ184" s="502"/>
      <c r="BK184" s="502"/>
      <c r="BL184" s="510"/>
      <c r="BM184" s="511">
        <v>0.16200000000000001</v>
      </c>
      <c r="BN184" s="511"/>
      <c r="BO184" s="511" t="s">
        <v>5340</v>
      </c>
      <c r="BP184" s="252"/>
      <c r="BQ184" s="252"/>
      <c r="BR184" s="511">
        <v>0.22</v>
      </c>
      <c r="BS184" s="252"/>
      <c r="BT184" s="252"/>
      <c r="BU184" s="524">
        <f t="shared" si="30"/>
        <v>178</v>
      </c>
      <c r="BV184" s="489">
        <v>158.63</v>
      </c>
      <c r="BW184" s="304">
        <v>4.4999999999999998E-2</v>
      </c>
      <c r="BX184" s="254">
        <v>373.87</v>
      </c>
      <c r="BY184" s="304">
        <v>3.9399999999999998E-2</v>
      </c>
      <c r="BZ184" s="494">
        <v>19.170000000000002</v>
      </c>
      <c r="CA184" s="497">
        <v>0.3</v>
      </c>
      <c r="CB184" s="497"/>
      <c r="CC184" s="494">
        <v>424</v>
      </c>
      <c r="CD184" s="241">
        <f t="shared" si="22"/>
        <v>178</v>
      </c>
      <c r="CE184" s="2"/>
      <c r="CF184" s="2">
        <v>490.8</v>
      </c>
      <c r="CG184" s="2"/>
      <c r="CH184" s="84">
        <v>0.03</v>
      </c>
      <c r="CI184" s="84">
        <v>0.03</v>
      </c>
      <c r="CJ184" s="252"/>
      <c r="CK184" s="252"/>
      <c r="CL184" s="252">
        <v>546.33000000000004</v>
      </c>
      <c r="CM184" s="253"/>
      <c r="CO184" s="253">
        <v>0.08</v>
      </c>
      <c r="CU184" s="266">
        <f t="shared" si="23"/>
        <v>181</v>
      </c>
      <c r="CV184" s="267">
        <f t="shared" si="24"/>
        <v>362</v>
      </c>
      <c r="CW184" s="268">
        <f t="shared" si="25"/>
        <v>904.99</v>
      </c>
      <c r="CX184" s="418">
        <v>184</v>
      </c>
      <c r="CY184" s="252"/>
      <c r="CZ184" s="252"/>
      <c r="DA184" s="252"/>
      <c r="DB184" s="252"/>
      <c r="DC184" s="252"/>
      <c r="DD184" s="252"/>
      <c r="DE184" s="252"/>
      <c r="DF184" s="252">
        <f t="shared" si="31"/>
        <v>0</v>
      </c>
      <c r="DG184" s="252"/>
      <c r="DH184" s="252">
        <v>489.06</v>
      </c>
      <c r="DI184" s="252"/>
      <c r="DK184" s="252"/>
      <c r="DL184" s="252"/>
      <c r="DP184" s="6">
        <v>7.2499999999999995E-2</v>
      </c>
      <c r="DQ184" s="252">
        <v>39.42</v>
      </c>
      <c r="DR184" s="3">
        <v>546.33000000000004</v>
      </c>
      <c r="DT184" s="241">
        <f t="shared" si="26"/>
        <v>178</v>
      </c>
      <c r="DU184" s="84"/>
      <c r="DV184" s="252">
        <v>720</v>
      </c>
      <c r="DY184" s="252">
        <v>405.18</v>
      </c>
      <c r="DZ184" s="264">
        <v>3.9399999999999998E-2</v>
      </c>
      <c r="EA184" s="252">
        <v>0</v>
      </c>
      <c r="EB184" s="253">
        <v>0</v>
      </c>
    </row>
    <row r="185" spans="1:132">
      <c r="A185">
        <v>179</v>
      </c>
      <c r="B185" s="259">
        <v>11.202199999999999</v>
      </c>
      <c r="C185">
        <v>179</v>
      </c>
      <c r="D185" s="168">
        <f t="shared" si="32"/>
        <v>9.2936787949726707E-4</v>
      </c>
      <c r="E185" s="246">
        <v>44866</v>
      </c>
      <c r="F185" s="186">
        <v>0.09</v>
      </c>
      <c r="G185" s="247">
        <v>232801.66510000001</v>
      </c>
      <c r="H185" s="247">
        <v>582.91499999999996</v>
      </c>
      <c r="I185" s="248">
        <v>129.1</v>
      </c>
      <c r="J185" s="258">
        <f t="shared" si="27"/>
        <v>7.7519379844948055E-4</v>
      </c>
      <c r="K185" s="298"/>
      <c r="L185" s="252">
        <v>300</v>
      </c>
      <c r="M185" s="263"/>
      <c r="N185" s="263"/>
      <c r="O185" s="473">
        <v>328.76</v>
      </c>
      <c r="P185" s="474">
        <v>328.76</v>
      </c>
      <c r="Q185" s="474">
        <v>430.86</v>
      </c>
      <c r="R185" s="475">
        <v>0.09</v>
      </c>
      <c r="S185" s="533">
        <f t="shared" si="28"/>
        <v>179</v>
      </c>
      <c r="T185" s="460">
        <v>75.260000000000005</v>
      </c>
      <c r="U185" s="460">
        <v>10.56</v>
      </c>
      <c r="V185" s="460">
        <v>353.76</v>
      </c>
      <c r="W185" s="460"/>
      <c r="X185" s="254">
        <v>51.09</v>
      </c>
      <c r="Y185" s="461">
        <v>7.4999999999999997E-2</v>
      </c>
      <c r="Z185" s="460">
        <v>22.5</v>
      </c>
      <c r="AA185" s="460">
        <v>10.26</v>
      </c>
      <c r="AB185" s="460">
        <v>437.73</v>
      </c>
      <c r="AC185" s="462">
        <v>353.75</v>
      </c>
      <c r="AD185" s="463">
        <v>0.3</v>
      </c>
      <c r="AE185" s="460">
        <v>40.83</v>
      </c>
      <c r="AF185" s="460">
        <v>61.32</v>
      </c>
      <c r="AG185" s="460">
        <v>20.62</v>
      </c>
      <c r="AH185" s="460"/>
      <c r="AI185" s="460">
        <v>557</v>
      </c>
      <c r="AJ185" s="460"/>
      <c r="AK185" s="460"/>
      <c r="AL185" s="253"/>
      <c r="AM185" s="273">
        <v>0.1</v>
      </c>
      <c r="AN185" s="255">
        <v>0.08</v>
      </c>
      <c r="AO185" s="160">
        <v>0.1</v>
      </c>
      <c r="AP185" s="536">
        <v>480.1</v>
      </c>
      <c r="AQ185" s="536"/>
      <c r="AR185" s="505">
        <f t="shared" si="29"/>
        <v>179</v>
      </c>
      <c r="AS185" s="480">
        <v>257.37</v>
      </c>
      <c r="AT185" s="480">
        <v>191.57</v>
      </c>
      <c r="AU185" s="480"/>
      <c r="AV185" s="480"/>
      <c r="AW185" s="480"/>
      <c r="AX185" s="480"/>
      <c r="AY185" s="480">
        <v>303.18</v>
      </c>
      <c r="AZ185" s="499" t="s">
        <v>5323</v>
      </c>
      <c r="BA185" s="502">
        <v>23.57</v>
      </c>
      <c r="BB185" s="501"/>
      <c r="BC185" s="510">
        <v>237.16</v>
      </c>
      <c r="BD185" s="510">
        <v>1222.49</v>
      </c>
      <c r="BE185" s="504">
        <v>0.2</v>
      </c>
      <c r="BF185" s="503">
        <v>0.22</v>
      </c>
      <c r="BG185" s="502">
        <v>16.66</v>
      </c>
      <c r="BH185" s="502">
        <v>1414.05</v>
      </c>
      <c r="BI185" s="502">
        <v>19.170000000000002</v>
      </c>
      <c r="BJ185" s="502"/>
      <c r="BK185" s="502"/>
      <c r="BL185" s="510"/>
      <c r="BM185" s="511">
        <v>0.16200000000000001</v>
      </c>
      <c r="BN185" s="511"/>
      <c r="BO185" s="511" t="s">
        <v>5340</v>
      </c>
      <c r="BP185" s="252"/>
      <c r="BQ185" s="252"/>
      <c r="BR185" s="511">
        <v>0.22</v>
      </c>
      <c r="BS185" s="252"/>
      <c r="BT185" s="252"/>
      <c r="BU185" s="524">
        <f t="shared" si="30"/>
        <v>179</v>
      </c>
      <c r="BV185" s="489">
        <v>158.63</v>
      </c>
      <c r="BW185" s="304">
        <v>4.4999999999999998E-2</v>
      </c>
      <c r="BX185" s="254">
        <v>373.87</v>
      </c>
      <c r="BY185" s="304">
        <v>3.9399999999999998E-2</v>
      </c>
      <c r="BZ185" s="494">
        <v>19.170000000000002</v>
      </c>
      <c r="CA185" s="497">
        <v>0.3</v>
      </c>
      <c r="CB185" s="497"/>
      <c r="CC185" s="494">
        <v>424</v>
      </c>
      <c r="CD185" s="241">
        <f t="shared" si="22"/>
        <v>179</v>
      </c>
      <c r="CE185" s="2"/>
      <c r="CF185" s="2">
        <v>490.8</v>
      </c>
      <c r="CG185" s="2"/>
      <c r="CH185" s="84">
        <v>0.03</v>
      </c>
      <c r="CI185" s="84">
        <v>0.03</v>
      </c>
      <c r="CJ185" s="252"/>
      <c r="CK185" s="252"/>
      <c r="CL185" s="252">
        <v>546.33000000000004</v>
      </c>
      <c r="CM185" s="253"/>
      <c r="CO185" s="5">
        <v>0.08</v>
      </c>
      <c r="CU185" s="266">
        <f t="shared" si="23"/>
        <v>181</v>
      </c>
      <c r="CV185" s="267">
        <f t="shared" si="24"/>
        <v>362</v>
      </c>
      <c r="CW185" s="268">
        <f t="shared" si="25"/>
        <v>904.99</v>
      </c>
      <c r="CX185" s="418">
        <v>184</v>
      </c>
      <c r="CY185" s="252"/>
      <c r="CZ185" s="252"/>
      <c r="DA185" s="252"/>
      <c r="DB185" s="252"/>
      <c r="DC185" s="252"/>
      <c r="DD185" s="252"/>
      <c r="DE185" s="252"/>
      <c r="DF185" s="252">
        <f t="shared" si="31"/>
        <v>0</v>
      </c>
      <c r="DG185" s="252"/>
      <c r="DH185" s="252">
        <v>489.06</v>
      </c>
      <c r="DI185" s="252"/>
      <c r="DK185" s="252"/>
      <c r="DL185" s="252"/>
      <c r="DP185" s="6">
        <v>7.2499999999999995E-2</v>
      </c>
      <c r="DQ185" s="252">
        <v>39.42</v>
      </c>
      <c r="DR185" s="3">
        <v>546.33000000000004</v>
      </c>
      <c r="DT185" s="241">
        <f t="shared" si="26"/>
        <v>179</v>
      </c>
      <c r="DU185" s="84"/>
      <c r="DV185" s="252">
        <v>720</v>
      </c>
      <c r="DY185" s="252">
        <v>405.18</v>
      </c>
      <c r="DZ185" s="264">
        <v>3.9399999999999998E-2</v>
      </c>
      <c r="EA185" s="252">
        <v>0</v>
      </c>
      <c r="EB185" s="253">
        <v>0</v>
      </c>
    </row>
    <row r="186" spans="1:132">
      <c r="A186">
        <v>180</v>
      </c>
      <c r="B186" s="259">
        <v>12.202199999999999</v>
      </c>
      <c r="C186">
        <v>180</v>
      </c>
      <c r="D186" s="168">
        <f t="shared" si="32"/>
        <v>2.7855152999933797E-3</v>
      </c>
      <c r="E186" s="246">
        <v>44896</v>
      </c>
      <c r="F186" s="186">
        <v>0.27</v>
      </c>
      <c r="G186" s="247">
        <v>233450.13769999999</v>
      </c>
      <c r="H186" s="247">
        <v>584.53869999999995</v>
      </c>
      <c r="I186" s="248">
        <v>129.5</v>
      </c>
      <c r="J186" s="258">
        <f t="shared" si="27"/>
        <v>3.0983733539891034E-3</v>
      </c>
      <c r="K186" s="298"/>
      <c r="L186" s="252">
        <v>300</v>
      </c>
      <c r="M186" s="263"/>
      <c r="N186" s="263"/>
      <c r="O186" s="473">
        <v>328.76</v>
      </c>
      <c r="P186" s="474">
        <v>328.76</v>
      </c>
      <c r="Q186" s="474">
        <v>430.86</v>
      </c>
      <c r="R186" s="475">
        <v>0.09</v>
      </c>
      <c r="S186" s="533">
        <f t="shared" si="28"/>
        <v>180</v>
      </c>
      <c r="T186" s="460">
        <v>75.260000000000005</v>
      </c>
      <c r="U186" s="460">
        <v>10.56</v>
      </c>
      <c r="V186" s="460">
        <v>353.76</v>
      </c>
      <c r="W186" s="460"/>
      <c r="X186" s="254">
        <v>51.09</v>
      </c>
      <c r="Y186" s="461">
        <v>7.4999999999999997E-2</v>
      </c>
      <c r="Z186" s="460">
        <v>22.5</v>
      </c>
      <c r="AA186" s="460">
        <v>10.26</v>
      </c>
      <c r="AB186" s="460">
        <v>437.73</v>
      </c>
      <c r="AC186" s="462">
        <v>353.75</v>
      </c>
      <c r="AD186" s="463">
        <v>0.3</v>
      </c>
      <c r="AE186" s="460">
        <v>40.83</v>
      </c>
      <c r="AF186" s="460">
        <v>61.32</v>
      </c>
      <c r="AG186" s="460">
        <v>20.62</v>
      </c>
      <c r="AH186" s="460"/>
      <c r="AI186" s="460">
        <v>557</v>
      </c>
      <c r="AJ186" s="460"/>
      <c r="AK186" s="460"/>
      <c r="AL186" s="253"/>
      <c r="AM186" s="273">
        <v>0.1</v>
      </c>
      <c r="AN186" s="255">
        <v>0.08</v>
      </c>
      <c r="AO186" s="160">
        <v>0.1</v>
      </c>
      <c r="AP186" s="536">
        <v>480.1</v>
      </c>
      <c r="AQ186" s="536"/>
      <c r="AR186" s="505">
        <f t="shared" si="29"/>
        <v>180</v>
      </c>
      <c r="AS186" s="480">
        <v>257.37</v>
      </c>
      <c r="AT186" s="480">
        <v>191.57</v>
      </c>
      <c r="AU186" s="480"/>
      <c r="AV186" s="480"/>
      <c r="AW186" s="480"/>
      <c r="AX186" s="480"/>
      <c r="AY186" s="480">
        <v>303.18</v>
      </c>
      <c r="AZ186" s="499" t="s">
        <v>5323</v>
      </c>
      <c r="BA186" s="502">
        <v>23.57</v>
      </c>
      <c r="BB186" s="502"/>
      <c r="BC186" s="510">
        <v>237.16</v>
      </c>
      <c r="BD186" s="510">
        <v>1222.49</v>
      </c>
      <c r="BE186" s="504">
        <v>0.2</v>
      </c>
      <c r="BF186" s="503">
        <v>0.22</v>
      </c>
      <c r="BG186" s="502">
        <v>16.66</v>
      </c>
      <c r="BH186" s="502">
        <v>1414.05</v>
      </c>
      <c r="BI186" s="502">
        <v>19.170000000000002</v>
      </c>
      <c r="BJ186" s="502"/>
      <c r="BK186" s="502"/>
      <c r="BL186" s="510"/>
      <c r="BM186" s="511">
        <v>0.16200000000000001</v>
      </c>
      <c r="BN186" s="511"/>
      <c r="BO186" s="511" t="s">
        <v>5340</v>
      </c>
      <c r="BP186" s="252"/>
      <c r="BQ186" s="252"/>
      <c r="BR186" s="511">
        <v>0.22</v>
      </c>
      <c r="BS186" s="252"/>
      <c r="BT186" s="252"/>
      <c r="BU186" s="524">
        <f t="shared" si="30"/>
        <v>180</v>
      </c>
      <c r="BV186" s="489">
        <v>158.63</v>
      </c>
      <c r="BW186" s="304">
        <v>4.4999999999999998E-2</v>
      </c>
      <c r="BX186" s="254">
        <v>373.87</v>
      </c>
      <c r="BY186" s="304">
        <v>3.9399999999999998E-2</v>
      </c>
      <c r="BZ186" s="494">
        <v>19.170000000000002</v>
      </c>
      <c r="CA186" s="497">
        <v>0.3</v>
      </c>
      <c r="CB186" s="497"/>
      <c r="CC186" s="494">
        <v>424</v>
      </c>
      <c r="CD186" s="241">
        <f t="shared" si="22"/>
        <v>180</v>
      </c>
      <c r="CE186" s="2"/>
      <c r="CF186" s="2">
        <v>490.8</v>
      </c>
      <c r="CG186" s="2"/>
      <c r="CH186" s="84">
        <v>0.03</v>
      </c>
      <c r="CI186" s="84">
        <v>0.03</v>
      </c>
      <c r="CJ186" s="252"/>
      <c r="CK186" s="252"/>
      <c r="CL186" s="252">
        <v>546.33000000000004</v>
      </c>
      <c r="CM186" s="253"/>
      <c r="CO186" s="253">
        <v>0.08</v>
      </c>
      <c r="CU186" s="266">
        <f t="shared" si="23"/>
        <v>181</v>
      </c>
      <c r="CV186" s="267">
        <f t="shared" si="24"/>
        <v>362</v>
      </c>
      <c r="CW186" s="268">
        <f t="shared" si="25"/>
        <v>904.99</v>
      </c>
      <c r="CX186" s="418">
        <v>184</v>
      </c>
      <c r="CY186" s="252"/>
      <c r="CZ186" s="252"/>
      <c r="DA186" s="252"/>
      <c r="DB186" s="252"/>
      <c r="DC186" s="252"/>
      <c r="DD186" s="252"/>
      <c r="DE186" s="252"/>
      <c r="DF186" s="252">
        <f t="shared" si="31"/>
        <v>0</v>
      </c>
      <c r="DG186" s="252"/>
      <c r="DH186" s="252">
        <v>489.06</v>
      </c>
      <c r="DI186" s="252"/>
      <c r="DK186" s="252"/>
      <c r="DL186" s="252"/>
      <c r="DP186" s="6">
        <v>7.2499999999999995E-2</v>
      </c>
      <c r="DQ186" s="252">
        <v>39.42</v>
      </c>
      <c r="DR186" s="3">
        <v>546.33000000000004</v>
      </c>
      <c r="DT186" s="241">
        <f t="shared" si="26"/>
        <v>180</v>
      </c>
      <c r="DU186" s="84"/>
      <c r="DV186" s="252">
        <v>720</v>
      </c>
      <c r="DY186" s="252">
        <v>405.18</v>
      </c>
      <c r="DZ186" s="264">
        <v>3.9399999999999998E-2</v>
      </c>
      <c r="EA186" s="252">
        <v>0</v>
      </c>
      <c r="EB186" s="253">
        <v>0</v>
      </c>
    </row>
    <row r="187" spans="1:132">
      <c r="A187">
        <v>181</v>
      </c>
      <c r="B187" s="259">
        <v>1.2022999999999999</v>
      </c>
      <c r="C187">
        <v>181</v>
      </c>
      <c r="D187" s="168">
        <f t="shared" si="32"/>
        <v>3.10833314192549E-3</v>
      </c>
      <c r="E187" s="246">
        <v>44927</v>
      </c>
      <c r="F187" s="186">
        <v>0.31</v>
      </c>
      <c r="G187" s="247">
        <v>234175.77849999999</v>
      </c>
      <c r="H187" s="247">
        <v>586.35559999999998</v>
      </c>
      <c r="I187" s="248">
        <v>129.9</v>
      </c>
      <c r="J187" s="258">
        <f t="shared" si="27"/>
        <v>3.0888030888032159E-3</v>
      </c>
      <c r="K187" s="298">
        <v>5.2600000000000001E-2</v>
      </c>
      <c r="L187" s="252">
        <v>300</v>
      </c>
      <c r="M187" s="263"/>
      <c r="N187" s="263"/>
      <c r="O187" s="473">
        <v>328.76</v>
      </c>
      <c r="P187" s="474">
        <v>328.76</v>
      </c>
      <c r="Q187" s="474">
        <v>430.86</v>
      </c>
      <c r="R187" s="475">
        <v>0.09</v>
      </c>
      <c r="S187" s="533">
        <f t="shared" si="28"/>
        <v>181</v>
      </c>
      <c r="T187" s="460">
        <v>75.260000000000005</v>
      </c>
      <c r="U187" s="460">
        <v>10.56</v>
      </c>
      <c r="V187" s="460">
        <v>353.76</v>
      </c>
      <c r="W187" s="460"/>
      <c r="X187" s="254">
        <v>51.09</v>
      </c>
      <c r="Y187" s="461">
        <v>7.4999999999999997E-2</v>
      </c>
      <c r="Z187" s="460">
        <v>22.5</v>
      </c>
      <c r="AA187" s="460">
        <v>10.26</v>
      </c>
      <c r="AB187" s="460">
        <v>437.73</v>
      </c>
      <c r="AC187" s="462">
        <v>353.75</v>
      </c>
      <c r="AD187" s="463">
        <v>0.3</v>
      </c>
      <c r="AE187" s="460">
        <v>40.83</v>
      </c>
      <c r="AF187" s="460">
        <v>61.32</v>
      </c>
      <c r="AG187" s="460">
        <v>20.62</v>
      </c>
      <c r="AH187" s="460"/>
      <c r="AI187" s="460">
        <v>557</v>
      </c>
      <c r="AJ187" s="460"/>
      <c r="AK187" s="460"/>
      <c r="AL187" s="253"/>
      <c r="AM187" s="273">
        <v>0.1</v>
      </c>
      <c r="AN187" s="255">
        <v>0.08</v>
      </c>
      <c r="AO187" s="160">
        <v>0.1</v>
      </c>
      <c r="AP187" s="536">
        <v>480.1</v>
      </c>
      <c r="AQ187" s="536"/>
      <c r="AR187" s="505">
        <f t="shared" si="29"/>
        <v>181</v>
      </c>
      <c r="AS187" s="480">
        <v>257.37</v>
      </c>
      <c r="AT187" s="480">
        <v>191.57</v>
      </c>
      <c r="AU187" s="480"/>
      <c r="AV187" s="480"/>
      <c r="AW187" s="480"/>
      <c r="AX187" s="480"/>
      <c r="AY187" s="480">
        <v>303.18</v>
      </c>
      <c r="AZ187" s="499" t="s">
        <v>5323</v>
      </c>
      <c r="BA187" s="502">
        <v>23.57</v>
      </c>
      <c r="BB187" s="501"/>
      <c r="BC187" s="510">
        <v>237.16</v>
      </c>
      <c r="BD187" s="510">
        <v>1222.49</v>
      </c>
      <c r="BE187" s="504">
        <v>0.2</v>
      </c>
      <c r="BF187" s="503">
        <v>0.22</v>
      </c>
      <c r="BG187" s="502">
        <v>16.66</v>
      </c>
      <c r="BH187" s="502">
        <v>1414.05</v>
      </c>
      <c r="BI187" s="502">
        <v>19.170000000000002</v>
      </c>
      <c r="BJ187" s="502"/>
      <c r="BK187" s="502"/>
      <c r="BL187" s="510"/>
      <c r="BM187" s="511">
        <v>0.16200000000000001</v>
      </c>
      <c r="BN187" s="511"/>
      <c r="BO187" s="511" t="s">
        <v>5340</v>
      </c>
      <c r="BP187" s="252"/>
      <c r="BQ187" s="252"/>
      <c r="BR187" s="511">
        <v>0.22</v>
      </c>
      <c r="BS187" s="252"/>
      <c r="BT187" s="252"/>
      <c r="BU187" s="524">
        <f t="shared" si="30"/>
        <v>181</v>
      </c>
      <c r="BV187" s="489">
        <v>158.63</v>
      </c>
      <c r="BW187" s="304">
        <v>4.4999999999999998E-2</v>
      </c>
      <c r="BX187" s="254">
        <v>393.53</v>
      </c>
      <c r="BY187" s="304">
        <v>3.9399999999999998E-2</v>
      </c>
      <c r="BZ187" s="494">
        <v>19.170000000000002</v>
      </c>
      <c r="CA187" s="497">
        <v>0.3</v>
      </c>
      <c r="CB187" s="497"/>
      <c r="CC187" s="494">
        <v>424</v>
      </c>
      <c r="CD187" s="241">
        <f t="shared" si="22"/>
        <v>181</v>
      </c>
      <c r="CE187" s="2"/>
      <c r="CF187" s="2">
        <v>490.8</v>
      </c>
      <c r="CG187" s="2"/>
      <c r="CH187" s="84">
        <v>0.03</v>
      </c>
      <c r="CI187" s="84">
        <v>0.03</v>
      </c>
      <c r="CJ187" s="252"/>
      <c r="CK187" s="252"/>
      <c r="CL187" s="252">
        <v>546.33000000000004</v>
      </c>
      <c r="CM187" s="253"/>
      <c r="CO187" s="5">
        <v>0.08</v>
      </c>
      <c r="CU187" s="266">
        <f t="shared" si="23"/>
        <v>181</v>
      </c>
      <c r="CV187" s="267">
        <f t="shared" si="24"/>
        <v>362</v>
      </c>
      <c r="CW187" s="268">
        <f t="shared" si="25"/>
        <v>904.99</v>
      </c>
      <c r="CX187" s="418">
        <v>184</v>
      </c>
      <c r="CY187" s="252"/>
      <c r="CZ187" s="252"/>
      <c r="DA187" s="252"/>
      <c r="DB187" s="252"/>
      <c r="DC187" s="252"/>
      <c r="DD187" s="252"/>
      <c r="DE187" s="252"/>
      <c r="DF187" s="252">
        <f t="shared" si="31"/>
        <v>0</v>
      </c>
      <c r="DG187" s="252"/>
      <c r="DH187" s="252">
        <v>489.06</v>
      </c>
      <c r="DI187" s="252"/>
      <c r="DK187" s="252"/>
      <c r="DL187" s="252"/>
      <c r="DP187" s="6">
        <v>7.2499999999999995E-2</v>
      </c>
      <c r="DQ187" s="252">
        <v>39.42</v>
      </c>
      <c r="DR187" s="3">
        <v>546.33000000000004</v>
      </c>
      <c r="DT187" s="241">
        <f t="shared" si="26"/>
        <v>181</v>
      </c>
      <c r="DU187" s="84"/>
      <c r="DV187" s="252">
        <v>720</v>
      </c>
      <c r="DY187" s="252">
        <v>405.18</v>
      </c>
      <c r="DZ187" s="264">
        <v>3.9399999999999998E-2</v>
      </c>
      <c r="EA187" s="252">
        <v>400</v>
      </c>
      <c r="EB187" s="253">
        <v>0</v>
      </c>
    </row>
    <row r="188" spans="1:132">
      <c r="A188">
        <v>182</v>
      </c>
      <c r="B188" s="259">
        <v>2.2023000000000001</v>
      </c>
      <c r="C188">
        <v>182</v>
      </c>
      <c r="D188" s="168">
        <f t="shared" si="32"/>
        <v>4.8875857585759519E-3</v>
      </c>
      <c r="E188" s="246">
        <v>44958</v>
      </c>
      <c r="F188" s="186">
        <v>0.48</v>
      </c>
      <c r="G188" s="247">
        <v>235320.3327</v>
      </c>
      <c r="H188" s="247">
        <v>589.22149999999999</v>
      </c>
      <c r="I188" s="248">
        <v>130.5</v>
      </c>
      <c r="J188" s="258">
        <f t="shared" si="27"/>
        <v>4.6189376443417363E-3</v>
      </c>
      <c r="K188" s="298"/>
      <c r="L188" s="252">
        <v>300</v>
      </c>
      <c r="M188" s="263"/>
      <c r="N188" s="263"/>
      <c r="O188" s="473">
        <v>328.76</v>
      </c>
      <c r="P188" s="474">
        <v>328.76</v>
      </c>
      <c r="Q188" s="474">
        <v>430.86</v>
      </c>
      <c r="R188" s="475">
        <v>0.09</v>
      </c>
      <c r="S188" s="533">
        <f t="shared" si="28"/>
        <v>182</v>
      </c>
      <c r="T188" s="460">
        <v>75.260000000000005</v>
      </c>
      <c r="U188" s="460">
        <v>10.56</v>
      </c>
      <c r="V188" s="460">
        <v>353.76</v>
      </c>
      <c r="W188" s="460"/>
      <c r="X188" s="254">
        <v>51.09</v>
      </c>
      <c r="Y188" s="461">
        <v>7.4999999999999997E-2</v>
      </c>
      <c r="Z188" s="460">
        <v>22.5</v>
      </c>
      <c r="AA188" s="460">
        <v>10.26</v>
      </c>
      <c r="AB188" s="460">
        <v>437.73</v>
      </c>
      <c r="AC188" s="462">
        <v>353.75</v>
      </c>
      <c r="AD188" s="463">
        <v>0.3</v>
      </c>
      <c r="AE188" s="460">
        <v>40.83</v>
      </c>
      <c r="AF188" s="460">
        <v>61.32</v>
      </c>
      <c r="AG188" s="460">
        <v>20.62</v>
      </c>
      <c r="AH188" s="460"/>
      <c r="AI188" s="460">
        <v>557</v>
      </c>
      <c r="AJ188" s="460"/>
      <c r="AK188" s="460"/>
      <c r="AL188" s="253"/>
      <c r="AM188" s="273">
        <v>0.1</v>
      </c>
      <c r="AN188" s="255">
        <v>0.08</v>
      </c>
      <c r="AO188" s="160">
        <v>0.1</v>
      </c>
      <c r="AP188" s="536">
        <v>480.1</v>
      </c>
      <c r="AQ188" s="536"/>
      <c r="AR188" s="505">
        <f t="shared" si="29"/>
        <v>182</v>
      </c>
      <c r="AS188" s="480">
        <v>257.37</v>
      </c>
      <c r="AT188" s="480">
        <v>191.57</v>
      </c>
      <c r="AU188" s="480"/>
      <c r="AV188" s="480"/>
      <c r="AW188" s="480"/>
      <c r="AX188" s="480"/>
      <c r="AY188" s="480">
        <v>303.18</v>
      </c>
      <c r="AZ188" s="499" t="s">
        <v>5323</v>
      </c>
      <c r="BA188" s="502">
        <v>23.57</v>
      </c>
      <c r="BB188" s="502"/>
      <c r="BC188" s="510">
        <v>237.16</v>
      </c>
      <c r="BD188" s="510">
        <v>1222.49</v>
      </c>
      <c r="BE188" s="504">
        <v>0.2</v>
      </c>
      <c r="BF188" s="503">
        <v>0.22</v>
      </c>
      <c r="BG188" s="502">
        <v>16.66</v>
      </c>
      <c r="BH188" s="502">
        <v>1414.05</v>
      </c>
      <c r="BI188" s="502">
        <v>19.170000000000002</v>
      </c>
      <c r="BJ188" s="502"/>
      <c r="BK188" s="502"/>
      <c r="BL188" s="510"/>
      <c r="BM188" s="511">
        <v>0.16200000000000001</v>
      </c>
      <c r="BN188" s="511"/>
      <c r="BO188" s="511" t="s">
        <v>5340</v>
      </c>
      <c r="BP188" s="252"/>
      <c r="BQ188" s="252"/>
      <c r="BR188" s="511">
        <v>0.22</v>
      </c>
      <c r="BS188" s="252"/>
      <c r="BT188" s="252"/>
      <c r="BU188" s="524">
        <f t="shared" si="30"/>
        <v>182</v>
      </c>
      <c r="BV188" s="489">
        <v>158.63</v>
      </c>
      <c r="BW188" s="304">
        <v>4.4999999999999998E-2</v>
      </c>
      <c r="BX188" s="254">
        <v>393.53</v>
      </c>
      <c r="BY188" s="304">
        <v>3.9399999999999998E-2</v>
      </c>
      <c r="BZ188" s="494">
        <v>19.170000000000002</v>
      </c>
      <c r="CA188" s="497">
        <v>0.3</v>
      </c>
      <c r="CB188" s="497"/>
      <c r="CC188" s="494">
        <v>424</v>
      </c>
      <c r="CD188" s="241">
        <f t="shared" si="22"/>
        <v>182</v>
      </c>
      <c r="CE188" s="2"/>
      <c r="CF188" s="2">
        <v>490.8</v>
      </c>
      <c r="CG188" s="2"/>
      <c r="CH188" s="84">
        <v>0.03</v>
      </c>
      <c r="CI188" s="84">
        <v>0.03</v>
      </c>
      <c r="CJ188" s="252"/>
      <c r="CK188" s="252"/>
      <c r="CL188" s="252">
        <v>546.33000000000004</v>
      </c>
      <c r="CM188" s="253"/>
      <c r="CO188" s="253">
        <v>0.08</v>
      </c>
      <c r="CU188" s="266">
        <f t="shared" si="23"/>
        <v>181</v>
      </c>
      <c r="CV188" s="267">
        <f t="shared" si="24"/>
        <v>362</v>
      </c>
      <c r="CW188" s="268">
        <f t="shared" si="25"/>
        <v>904.99</v>
      </c>
      <c r="CX188" s="418">
        <v>184</v>
      </c>
      <c r="CY188" s="252"/>
      <c r="CZ188" s="252"/>
      <c r="DA188" s="252"/>
      <c r="DB188" s="252"/>
      <c r="DC188" s="252"/>
      <c r="DD188" s="252"/>
      <c r="DE188" s="252"/>
      <c r="DF188" s="252">
        <f t="shared" si="31"/>
        <v>0</v>
      </c>
      <c r="DG188" s="252"/>
      <c r="DH188" s="252">
        <v>489.06</v>
      </c>
      <c r="DI188" s="252"/>
      <c r="DK188" s="252"/>
      <c r="DL188" s="252"/>
      <c r="DP188" s="6">
        <v>7.2499999999999995E-2</v>
      </c>
      <c r="DQ188" s="252">
        <v>39.42</v>
      </c>
      <c r="DR188" s="3">
        <v>546.33000000000004</v>
      </c>
      <c r="DT188" s="241">
        <f t="shared" si="26"/>
        <v>182</v>
      </c>
      <c r="DU188" s="84"/>
      <c r="DV188" s="252">
        <v>720</v>
      </c>
      <c r="DY188" s="252">
        <v>405.18</v>
      </c>
      <c r="DZ188" s="264">
        <v>3.9399999999999998E-2</v>
      </c>
      <c r="EA188" s="252">
        <v>400</v>
      </c>
      <c r="EB188" s="253">
        <v>0</v>
      </c>
    </row>
    <row r="189" spans="1:132">
      <c r="A189">
        <v>183</v>
      </c>
      <c r="B189" s="259">
        <v>3.2023000000000001</v>
      </c>
      <c r="C189">
        <v>183</v>
      </c>
      <c r="D189" s="168">
        <f t="shared" si="32"/>
        <v>3.8910505075959723E-3</v>
      </c>
      <c r="E189" s="246">
        <v>44986</v>
      </c>
      <c r="F189" s="186">
        <v>0.38</v>
      </c>
      <c r="G189" s="247">
        <v>236235.976</v>
      </c>
      <c r="H189" s="247">
        <v>591.51419999999996</v>
      </c>
      <c r="I189" s="248">
        <v>131</v>
      </c>
      <c r="J189" s="258">
        <f t="shared" si="27"/>
        <v>3.8314176245211051E-3</v>
      </c>
      <c r="K189" s="298"/>
      <c r="L189" s="252">
        <v>300</v>
      </c>
      <c r="M189" s="263"/>
      <c r="N189" s="263"/>
      <c r="O189" s="473">
        <v>328.76</v>
      </c>
      <c r="P189" s="474">
        <v>328.76</v>
      </c>
      <c r="Q189" s="474">
        <v>430.86</v>
      </c>
      <c r="R189" s="475">
        <v>0.09</v>
      </c>
      <c r="S189" s="533">
        <f t="shared" si="28"/>
        <v>183</v>
      </c>
      <c r="T189" s="460">
        <v>75.260000000000005</v>
      </c>
      <c r="U189" s="460">
        <v>10.56</v>
      </c>
      <c r="V189" s="460">
        <v>353.76</v>
      </c>
      <c r="W189" s="460"/>
      <c r="X189" s="254">
        <v>51.09</v>
      </c>
      <c r="Y189" s="461">
        <v>7.4999999999999997E-2</v>
      </c>
      <c r="Z189" s="460">
        <v>22.5</v>
      </c>
      <c r="AA189" s="460">
        <v>10.26</v>
      </c>
      <c r="AB189" s="460">
        <v>437.73</v>
      </c>
      <c r="AC189" s="462">
        <v>353.75</v>
      </c>
      <c r="AD189" s="463">
        <v>0.3</v>
      </c>
      <c r="AE189" s="460">
        <v>40.83</v>
      </c>
      <c r="AF189" s="460">
        <v>61.32</v>
      </c>
      <c r="AG189" s="460">
        <v>20.62</v>
      </c>
      <c r="AH189" s="460"/>
      <c r="AI189" s="460">
        <v>557</v>
      </c>
      <c r="AJ189" s="460"/>
      <c r="AK189" s="460"/>
      <c r="AL189" s="253"/>
      <c r="AM189" s="273">
        <v>0.1</v>
      </c>
      <c r="AN189" s="255">
        <v>0.08</v>
      </c>
      <c r="AO189" s="160">
        <v>0.1</v>
      </c>
      <c r="AP189" s="536">
        <v>480.1</v>
      </c>
      <c r="AQ189" s="536"/>
      <c r="AR189" s="505">
        <f t="shared" si="29"/>
        <v>183</v>
      </c>
      <c r="AS189" s="480">
        <v>257.37</v>
      </c>
      <c r="AT189" s="480">
        <v>191.57</v>
      </c>
      <c r="AU189" s="480"/>
      <c r="AV189" s="480"/>
      <c r="AW189" s="480"/>
      <c r="AX189" s="480"/>
      <c r="AY189" s="480">
        <v>303.18</v>
      </c>
      <c r="AZ189" s="499" t="s">
        <v>5323</v>
      </c>
      <c r="BA189" s="502">
        <v>23.57</v>
      </c>
      <c r="BB189" s="501"/>
      <c r="BC189" s="510">
        <v>237.16</v>
      </c>
      <c r="BD189" s="510">
        <v>1222.49</v>
      </c>
      <c r="BE189" s="504">
        <v>0.2</v>
      </c>
      <c r="BF189" s="503">
        <v>0.22</v>
      </c>
      <c r="BG189" s="502">
        <v>16.66</v>
      </c>
      <c r="BH189" s="502">
        <v>1414.05</v>
      </c>
      <c r="BI189" s="502">
        <v>19.170000000000002</v>
      </c>
      <c r="BJ189" s="502"/>
      <c r="BK189" s="502"/>
      <c r="BL189" s="510"/>
      <c r="BM189" s="511">
        <v>0.16200000000000001</v>
      </c>
      <c r="BN189" s="511"/>
      <c r="BO189" s="511" t="s">
        <v>5340</v>
      </c>
      <c r="BP189" s="252"/>
      <c r="BQ189" s="252"/>
      <c r="BR189" s="511">
        <v>0.22</v>
      </c>
      <c r="BS189" s="252"/>
      <c r="BT189" s="252"/>
      <c r="BU189" s="524">
        <f t="shared" si="30"/>
        <v>183</v>
      </c>
      <c r="BV189" s="489">
        <v>158.63</v>
      </c>
      <c r="BW189" s="304">
        <v>4.4999999999999998E-2</v>
      </c>
      <c r="BX189" s="254">
        <v>393.53</v>
      </c>
      <c r="BY189" s="304">
        <v>3.9399999999999998E-2</v>
      </c>
      <c r="BZ189" s="494">
        <v>19.170000000000002</v>
      </c>
      <c r="CA189" s="497">
        <v>0.3</v>
      </c>
      <c r="CB189" s="497"/>
      <c r="CC189" s="494">
        <v>424</v>
      </c>
      <c r="CD189" s="241">
        <f t="shared" si="22"/>
        <v>183</v>
      </c>
      <c r="CE189" s="2"/>
      <c r="CF189" s="2">
        <v>490.8</v>
      </c>
      <c r="CG189" s="2"/>
      <c r="CH189" s="84">
        <v>0.03</v>
      </c>
      <c r="CI189" s="84">
        <v>0.03</v>
      </c>
      <c r="CJ189" s="252"/>
      <c r="CK189" s="252"/>
      <c r="CL189" s="252">
        <v>546.33000000000004</v>
      </c>
      <c r="CM189" s="253"/>
      <c r="CO189" s="5">
        <v>0.08</v>
      </c>
      <c r="CU189" s="266">
        <f t="shared" si="23"/>
        <v>181</v>
      </c>
      <c r="CV189" s="267">
        <f t="shared" si="24"/>
        <v>362</v>
      </c>
      <c r="CW189" s="268">
        <f t="shared" si="25"/>
        <v>904.99</v>
      </c>
      <c r="CX189" s="418">
        <v>184</v>
      </c>
      <c r="CY189" s="252"/>
      <c r="CZ189" s="252"/>
      <c r="DA189" s="252"/>
      <c r="DB189" s="252"/>
      <c r="DC189" s="252"/>
      <c r="DD189" s="252"/>
      <c r="DE189" s="252"/>
      <c r="DF189" s="252">
        <f t="shared" si="31"/>
        <v>0</v>
      </c>
      <c r="DG189" s="252"/>
      <c r="DH189" s="252">
        <v>489.06</v>
      </c>
      <c r="DI189" s="252"/>
      <c r="DK189" s="252"/>
      <c r="DL189" s="252"/>
      <c r="DP189" s="6">
        <v>7.2499999999999995E-2</v>
      </c>
      <c r="DQ189" s="252">
        <v>39.42</v>
      </c>
      <c r="DR189" s="3">
        <v>546.33000000000004</v>
      </c>
      <c r="DT189" s="241">
        <f t="shared" si="26"/>
        <v>183</v>
      </c>
      <c r="DU189" s="84"/>
      <c r="DV189" s="252">
        <v>720</v>
      </c>
      <c r="DY189" s="252">
        <v>405.18</v>
      </c>
      <c r="DZ189" s="264">
        <v>3.9399999999999998E-2</v>
      </c>
      <c r="EA189" s="252">
        <v>400</v>
      </c>
      <c r="EB189" s="253">
        <v>0</v>
      </c>
    </row>
    <row r="190" spans="1:132">
      <c r="A190">
        <v>184</v>
      </c>
      <c r="B190" s="259">
        <v>4.2023000000000001</v>
      </c>
      <c r="C190">
        <v>184</v>
      </c>
      <c r="D190" s="168">
        <f t="shared" si="32"/>
        <v>7.7519378335499933E-3</v>
      </c>
      <c r="E190" s="246">
        <v>45017</v>
      </c>
      <c r="F190" s="186">
        <v>0.77</v>
      </c>
      <c r="G190" s="247">
        <v>238067.26259999999</v>
      </c>
      <c r="H190" s="247">
        <v>596.09960000000001</v>
      </c>
      <c r="I190" s="248">
        <v>132</v>
      </c>
      <c r="J190" s="258">
        <f t="shared" si="27"/>
        <v>7.6335877862594437E-3</v>
      </c>
      <c r="K190" s="298"/>
      <c r="L190" s="252">
        <v>300</v>
      </c>
      <c r="M190" s="263"/>
      <c r="N190" s="263"/>
      <c r="O190" s="473">
        <v>328.76</v>
      </c>
      <c r="P190" s="474">
        <v>328.76</v>
      </c>
      <c r="Q190" s="474">
        <v>430.86</v>
      </c>
      <c r="R190" s="475">
        <v>0.09</v>
      </c>
      <c r="S190" s="533">
        <f t="shared" si="28"/>
        <v>184</v>
      </c>
      <c r="T190" s="460">
        <v>75.260000000000005</v>
      </c>
      <c r="U190" s="460">
        <v>10.56</v>
      </c>
      <c r="V190" s="460">
        <v>353.76</v>
      </c>
      <c r="W190" s="460"/>
      <c r="X190" s="254">
        <v>51.09</v>
      </c>
      <c r="Y190" s="461">
        <v>7.4999999999999997E-2</v>
      </c>
      <c r="Z190" s="460">
        <v>22.5</v>
      </c>
      <c r="AA190" s="460">
        <v>10.26</v>
      </c>
      <c r="AB190" s="460">
        <v>437.73</v>
      </c>
      <c r="AC190" s="462">
        <v>353.75</v>
      </c>
      <c r="AD190" s="463">
        <v>0.3</v>
      </c>
      <c r="AE190" s="460">
        <v>40.83</v>
      </c>
      <c r="AF190" s="460">
        <v>61.32</v>
      </c>
      <c r="AG190" s="460">
        <v>20.62</v>
      </c>
      <c r="AH190" s="460"/>
      <c r="AI190" s="460">
        <v>557</v>
      </c>
      <c r="AJ190" s="460"/>
      <c r="AK190" s="460"/>
      <c r="AL190" s="253"/>
      <c r="AM190" s="273">
        <v>0.1</v>
      </c>
      <c r="AN190" s="255">
        <v>0.08</v>
      </c>
      <c r="AO190" s="160">
        <v>0.1</v>
      </c>
      <c r="AP190" s="536">
        <v>480.1</v>
      </c>
      <c r="AQ190" s="536"/>
      <c r="AR190" s="505">
        <f t="shared" si="29"/>
        <v>184</v>
      </c>
      <c r="AS190" s="480">
        <v>257.37</v>
      </c>
      <c r="AT190" s="480">
        <v>191.57</v>
      </c>
      <c r="AU190" s="480"/>
      <c r="AV190" s="480"/>
      <c r="AW190" s="480"/>
      <c r="AX190" s="480"/>
      <c r="AY190" s="480">
        <v>303.18</v>
      </c>
      <c r="AZ190" s="499" t="s">
        <v>5323</v>
      </c>
      <c r="BA190" s="502">
        <v>23.57</v>
      </c>
      <c r="BB190" s="502"/>
      <c r="BC190" s="510">
        <v>237.16</v>
      </c>
      <c r="BD190" s="510">
        <v>1222.49</v>
      </c>
      <c r="BE190" s="504">
        <v>0.2</v>
      </c>
      <c r="BF190" s="503">
        <v>0.22</v>
      </c>
      <c r="BG190" s="502">
        <v>16.66</v>
      </c>
      <c r="BH190" s="502">
        <v>1414.05</v>
      </c>
      <c r="BI190" s="502">
        <v>19.170000000000002</v>
      </c>
      <c r="BJ190" s="502"/>
      <c r="BK190" s="502"/>
      <c r="BL190" s="510"/>
      <c r="BM190" s="511">
        <v>0.16200000000000001</v>
      </c>
      <c r="BN190" s="511"/>
      <c r="BO190" s="511" t="s">
        <v>5340</v>
      </c>
      <c r="BP190" s="252"/>
      <c r="BQ190" s="252"/>
      <c r="BR190" s="511">
        <v>0.22</v>
      </c>
      <c r="BS190" s="252"/>
      <c r="BT190" s="252"/>
      <c r="BU190" s="524">
        <f t="shared" si="30"/>
        <v>184</v>
      </c>
      <c r="BV190" s="489">
        <v>158.63</v>
      </c>
      <c r="BW190" s="304">
        <v>4.4999999999999998E-2</v>
      </c>
      <c r="BX190" s="254">
        <v>393.53</v>
      </c>
      <c r="BY190" s="304">
        <v>3.9399999999999998E-2</v>
      </c>
      <c r="BZ190" s="494">
        <v>19.170000000000002</v>
      </c>
      <c r="CA190" s="497">
        <v>0.3</v>
      </c>
      <c r="CB190" s="497"/>
      <c r="CC190" s="494">
        <v>424</v>
      </c>
      <c r="CD190" s="241">
        <f t="shared" si="22"/>
        <v>184</v>
      </c>
      <c r="CE190" s="2"/>
      <c r="CF190" s="2">
        <v>490.8</v>
      </c>
      <c r="CG190" s="2"/>
      <c r="CH190" s="84">
        <v>0.03</v>
      </c>
      <c r="CI190" s="84">
        <v>0.03</v>
      </c>
      <c r="CJ190" s="252"/>
      <c r="CK190" s="252"/>
      <c r="CL190" s="252">
        <v>546.33000000000004</v>
      </c>
      <c r="CM190" s="253"/>
      <c r="CO190" s="253">
        <v>0.08</v>
      </c>
      <c r="CU190" s="266">
        <f t="shared" si="23"/>
        <v>181</v>
      </c>
      <c r="CV190" s="267">
        <f t="shared" si="24"/>
        <v>362</v>
      </c>
      <c r="CW190" s="268">
        <f t="shared" si="25"/>
        <v>904.99</v>
      </c>
      <c r="CX190" s="418">
        <v>184</v>
      </c>
      <c r="CY190" s="252"/>
      <c r="CZ190" s="252"/>
      <c r="DA190" s="252"/>
      <c r="DB190" s="252"/>
      <c r="DC190" s="252"/>
      <c r="DD190" s="252"/>
      <c r="DE190" s="252"/>
      <c r="DF190" s="252">
        <f t="shared" si="31"/>
        <v>0</v>
      </c>
      <c r="DG190" s="252"/>
      <c r="DH190" s="252">
        <v>489.06</v>
      </c>
      <c r="DI190" s="252"/>
      <c r="DK190" s="252"/>
      <c r="DL190" s="252"/>
      <c r="DP190" s="6">
        <v>7.2499999999999995E-2</v>
      </c>
      <c r="DQ190" s="252">
        <v>39.42</v>
      </c>
      <c r="DR190" s="3">
        <v>546.33000000000004</v>
      </c>
      <c r="DT190" s="241">
        <f t="shared" si="26"/>
        <v>184</v>
      </c>
      <c r="DU190" s="84"/>
      <c r="DV190" s="252">
        <v>720</v>
      </c>
      <c r="DY190" s="252">
        <v>405.18</v>
      </c>
      <c r="DZ190" s="264">
        <v>3.9399999999999998E-2</v>
      </c>
      <c r="EA190" s="252">
        <v>400</v>
      </c>
      <c r="EB190" s="253">
        <v>0</v>
      </c>
    </row>
    <row r="191" spans="1:132">
      <c r="A191">
        <v>185</v>
      </c>
      <c r="B191" s="259">
        <v>5.2023000000000001</v>
      </c>
      <c r="C191">
        <v>185</v>
      </c>
      <c r="D191" s="168">
        <f t="shared" si="32"/>
        <v>1.9230770959433041E-3</v>
      </c>
      <c r="E191" s="246">
        <v>45047</v>
      </c>
      <c r="F191" s="186">
        <v>0.19</v>
      </c>
      <c r="G191" s="247">
        <v>238525.08429999999</v>
      </c>
      <c r="H191" s="247">
        <v>597.24590000000001</v>
      </c>
      <c r="I191" s="248">
        <v>132.30000000000001</v>
      </c>
      <c r="J191" s="258">
        <f t="shared" si="27"/>
        <v>2.2727272727274261E-3</v>
      </c>
      <c r="K191" s="298"/>
      <c r="L191" s="252">
        <v>300</v>
      </c>
      <c r="M191" s="263"/>
      <c r="N191" s="263"/>
      <c r="O191" s="473">
        <v>328.76</v>
      </c>
      <c r="P191" s="474">
        <v>328.76</v>
      </c>
      <c r="Q191" s="474">
        <v>430.86</v>
      </c>
      <c r="R191" s="475">
        <v>0.09</v>
      </c>
      <c r="S191" s="533">
        <f t="shared" si="28"/>
        <v>185</v>
      </c>
      <c r="T191" s="460">
        <v>75.260000000000005</v>
      </c>
      <c r="U191" s="460">
        <v>10.56</v>
      </c>
      <c r="V191" s="460">
        <v>353.76</v>
      </c>
      <c r="W191" s="460"/>
      <c r="X191" s="254">
        <v>51.09</v>
      </c>
      <c r="Y191" s="461">
        <v>7.4999999999999997E-2</v>
      </c>
      <c r="Z191" s="460">
        <v>22.5</v>
      </c>
      <c r="AA191" s="460">
        <v>10.26</v>
      </c>
      <c r="AB191" s="460">
        <v>437.73</v>
      </c>
      <c r="AC191" s="462">
        <v>353.75</v>
      </c>
      <c r="AD191" s="463">
        <v>0.3</v>
      </c>
      <c r="AE191" s="460">
        <v>40.83</v>
      </c>
      <c r="AF191" s="460">
        <v>61.32</v>
      </c>
      <c r="AG191" s="460">
        <v>20.62</v>
      </c>
      <c r="AH191" s="460"/>
      <c r="AI191" s="460">
        <v>557</v>
      </c>
      <c r="AJ191" s="460"/>
      <c r="AK191" s="460"/>
      <c r="AL191" s="253"/>
      <c r="AM191" s="273">
        <v>0.1</v>
      </c>
      <c r="AN191" s="255">
        <v>0.08</v>
      </c>
      <c r="AO191" s="160">
        <v>0.1</v>
      </c>
      <c r="AP191" s="536">
        <v>480.1</v>
      </c>
      <c r="AQ191" s="536"/>
      <c r="AR191" s="505">
        <f t="shared" si="29"/>
        <v>185</v>
      </c>
      <c r="AS191" s="480">
        <v>257.37</v>
      </c>
      <c r="AT191" s="480">
        <v>191.57</v>
      </c>
      <c r="AU191" s="480"/>
      <c r="AV191" s="480"/>
      <c r="AW191" s="480"/>
      <c r="AX191" s="480"/>
      <c r="AY191" s="480">
        <v>303.18</v>
      </c>
      <c r="AZ191" s="499" t="s">
        <v>5323</v>
      </c>
      <c r="BA191" s="502">
        <v>23.57</v>
      </c>
      <c r="BB191" s="501"/>
      <c r="BC191" s="510">
        <v>237.16</v>
      </c>
      <c r="BD191" s="510">
        <v>1222.49</v>
      </c>
      <c r="BE191" s="504">
        <v>0.2</v>
      </c>
      <c r="BF191" s="503">
        <v>0.22</v>
      </c>
      <c r="BG191" s="502">
        <v>16.66</v>
      </c>
      <c r="BH191" s="502">
        <v>1414.05</v>
      </c>
      <c r="BI191" s="502">
        <v>19.170000000000002</v>
      </c>
      <c r="BJ191" s="502"/>
      <c r="BK191" s="502"/>
      <c r="BL191" s="510"/>
      <c r="BM191" s="511">
        <v>0.16200000000000001</v>
      </c>
      <c r="BN191" s="511"/>
      <c r="BO191" s="511" t="s">
        <v>5340</v>
      </c>
      <c r="BP191" s="252"/>
      <c r="BQ191" s="252"/>
      <c r="BR191" s="511">
        <v>0.22</v>
      </c>
      <c r="BS191" s="252"/>
      <c r="BT191" s="252"/>
      <c r="BU191" s="524">
        <f t="shared" si="30"/>
        <v>185</v>
      </c>
      <c r="BV191" s="489">
        <v>158.63</v>
      </c>
      <c r="BW191" s="304">
        <v>4.4999999999999998E-2</v>
      </c>
      <c r="BX191" s="254">
        <v>393.53</v>
      </c>
      <c r="BY191" s="304">
        <v>3.9399999999999998E-2</v>
      </c>
      <c r="BZ191" s="494">
        <v>19.170000000000002</v>
      </c>
      <c r="CA191" s="497">
        <v>0.3</v>
      </c>
      <c r="CB191" s="497"/>
      <c r="CC191" s="494">
        <v>424</v>
      </c>
      <c r="CD191" s="241">
        <f t="shared" si="22"/>
        <v>185</v>
      </c>
      <c r="CE191" s="2"/>
      <c r="CF191" s="2">
        <v>490.8</v>
      </c>
      <c r="CG191" s="2"/>
      <c r="CH191" s="84">
        <v>0.03</v>
      </c>
      <c r="CI191" s="84">
        <v>0.03</v>
      </c>
      <c r="CJ191" s="252"/>
      <c r="CK191" s="252"/>
      <c r="CL191" s="252">
        <v>546.33000000000004</v>
      </c>
      <c r="CM191" s="253"/>
      <c r="CO191" s="5">
        <v>0.08</v>
      </c>
      <c r="CU191" s="266">
        <f t="shared" si="23"/>
        <v>181</v>
      </c>
      <c r="CV191" s="267">
        <f t="shared" si="24"/>
        <v>362</v>
      </c>
      <c r="CW191" s="268">
        <f t="shared" si="25"/>
        <v>904.99</v>
      </c>
      <c r="CX191" s="418">
        <v>184</v>
      </c>
      <c r="CY191" s="252"/>
      <c r="CZ191" s="252"/>
      <c r="DA191" s="252"/>
      <c r="DB191" s="252"/>
      <c r="DC191" s="252"/>
      <c r="DD191" s="252"/>
      <c r="DE191" s="252"/>
      <c r="DF191" s="252">
        <f t="shared" si="31"/>
        <v>0</v>
      </c>
      <c r="DG191" s="252"/>
      <c r="DH191" s="252">
        <v>489.06</v>
      </c>
      <c r="DI191" s="252"/>
      <c r="DK191" s="252"/>
      <c r="DL191" s="252"/>
      <c r="DP191" s="6">
        <v>7.2499999999999995E-2</v>
      </c>
      <c r="DQ191" s="252">
        <v>39.42</v>
      </c>
      <c r="DR191" s="3">
        <v>546.33000000000004</v>
      </c>
      <c r="DT191" s="241">
        <f t="shared" si="26"/>
        <v>185</v>
      </c>
      <c r="DU191" s="84"/>
      <c r="DV191" s="252">
        <v>720</v>
      </c>
      <c r="DY191" s="252">
        <v>405.18</v>
      </c>
      <c r="DZ191" s="264">
        <v>3.9399999999999998E-2</v>
      </c>
      <c r="EA191" s="252">
        <v>400</v>
      </c>
      <c r="EB191" s="253">
        <v>0</v>
      </c>
    </row>
    <row r="192" spans="1:132">
      <c r="A192">
        <v>186</v>
      </c>
      <c r="B192" s="259">
        <v>6.2023000000000001</v>
      </c>
      <c r="C192">
        <v>186</v>
      </c>
      <c r="D192" s="168">
        <f t="shared" si="32"/>
        <v>0</v>
      </c>
      <c r="E192" s="246">
        <v>45078</v>
      </c>
      <c r="F192" s="186">
        <v>0</v>
      </c>
      <c r="G192" s="247">
        <v>238525.08429999999</v>
      </c>
      <c r="H192" s="247">
        <v>597.24590000000001</v>
      </c>
      <c r="I192" s="248">
        <v>132.30000000000001</v>
      </c>
      <c r="J192" s="258">
        <f t="shared" si="27"/>
        <v>0</v>
      </c>
      <c r="K192" s="298"/>
      <c r="L192" s="252">
        <v>300</v>
      </c>
      <c r="M192" s="263"/>
      <c r="N192" s="263"/>
      <c r="O192" s="473">
        <v>328.76</v>
      </c>
      <c r="P192" s="474">
        <v>328.76</v>
      </c>
      <c r="Q192" s="474">
        <v>430.86</v>
      </c>
      <c r="R192" s="475">
        <v>0.09</v>
      </c>
      <c r="S192" s="533">
        <f t="shared" si="28"/>
        <v>186</v>
      </c>
      <c r="T192" s="460">
        <v>75.260000000000005</v>
      </c>
      <c r="U192" s="460">
        <v>10.56</v>
      </c>
      <c r="V192" s="460">
        <v>353.76</v>
      </c>
      <c r="W192" s="460"/>
      <c r="X192" s="254">
        <v>51.09</v>
      </c>
      <c r="Y192" s="461">
        <v>7.4999999999999997E-2</v>
      </c>
      <c r="Z192" s="460">
        <v>22.5</v>
      </c>
      <c r="AA192" s="460">
        <v>10.26</v>
      </c>
      <c r="AB192" s="460">
        <v>437.73</v>
      </c>
      <c r="AC192" s="462">
        <v>353.75</v>
      </c>
      <c r="AD192" s="463">
        <v>0.3</v>
      </c>
      <c r="AE192" s="460">
        <v>40.83</v>
      </c>
      <c r="AF192" s="460">
        <v>61.32</v>
      </c>
      <c r="AG192" s="460">
        <v>20.62</v>
      </c>
      <c r="AH192" s="460"/>
      <c r="AI192" s="460">
        <v>557</v>
      </c>
      <c r="AJ192" s="460"/>
      <c r="AK192" s="460"/>
      <c r="AL192" s="253"/>
      <c r="AM192" s="273">
        <v>0.1</v>
      </c>
      <c r="AN192" s="255">
        <v>0.08</v>
      </c>
      <c r="AO192" s="160">
        <v>0.1</v>
      </c>
      <c r="AP192" s="536">
        <v>480.1</v>
      </c>
      <c r="AQ192" s="536"/>
      <c r="AR192" s="505">
        <f t="shared" si="29"/>
        <v>186</v>
      </c>
      <c r="AS192" s="480">
        <v>257.37</v>
      </c>
      <c r="AT192" s="480">
        <v>191.57</v>
      </c>
      <c r="AU192" s="480"/>
      <c r="AV192" s="480"/>
      <c r="AW192" s="480"/>
      <c r="AX192" s="480"/>
      <c r="AY192" s="480">
        <v>303.18</v>
      </c>
      <c r="AZ192" s="499" t="s">
        <v>5323</v>
      </c>
      <c r="BA192" s="502">
        <v>23.57</v>
      </c>
      <c r="BB192" s="502"/>
      <c r="BC192" s="510">
        <v>237.16</v>
      </c>
      <c r="BD192" s="510">
        <v>1222.49</v>
      </c>
      <c r="BE192" s="504">
        <v>0.2</v>
      </c>
      <c r="BF192" s="503">
        <v>0.22</v>
      </c>
      <c r="BG192" s="502">
        <v>16.66</v>
      </c>
      <c r="BH192" s="502">
        <v>1414.05</v>
      </c>
      <c r="BI192" s="502">
        <v>19.170000000000002</v>
      </c>
      <c r="BJ192" s="502"/>
      <c r="BK192" s="502"/>
      <c r="BL192" s="510"/>
      <c r="BM192" s="511">
        <v>0.16200000000000001</v>
      </c>
      <c r="BN192" s="511"/>
      <c r="BO192" s="511" t="s">
        <v>5340</v>
      </c>
      <c r="BP192" s="252"/>
      <c r="BQ192" s="252"/>
      <c r="BR192" s="511">
        <v>0.22</v>
      </c>
      <c r="BS192" s="252"/>
      <c r="BT192" s="252"/>
      <c r="BU192" s="524">
        <f t="shared" si="30"/>
        <v>186</v>
      </c>
      <c r="BV192" s="489">
        <v>158.63</v>
      </c>
      <c r="BW192" s="304">
        <v>4.4999999999999998E-2</v>
      </c>
      <c r="BX192" s="254">
        <v>393.53</v>
      </c>
      <c r="BY192" s="304">
        <v>3.9399999999999998E-2</v>
      </c>
      <c r="BZ192" s="494">
        <v>19.170000000000002</v>
      </c>
      <c r="CA192" s="497">
        <v>0.3</v>
      </c>
      <c r="CB192" s="497"/>
      <c r="CC192" s="494">
        <v>424</v>
      </c>
      <c r="CD192" s="241">
        <f t="shared" si="22"/>
        <v>186</v>
      </c>
      <c r="CE192" s="2"/>
      <c r="CF192" s="2">
        <v>490.8</v>
      </c>
      <c r="CG192" s="2"/>
      <c r="CH192" s="84">
        <v>0.03</v>
      </c>
      <c r="CI192" s="84">
        <v>0.03</v>
      </c>
      <c r="CJ192" s="252"/>
      <c r="CK192" s="252"/>
      <c r="CL192" s="252">
        <v>546.33000000000004</v>
      </c>
      <c r="CM192" s="253"/>
      <c r="CO192" s="253">
        <v>0.08</v>
      </c>
      <c r="CU192" s="266">
        <f t="shared" si="23"/>
        <v>181</v>
      </c>
      <c r="CV192" s="267">
        <f t="shared" si="24"/>
        <v>362</v>
      </c>
      <c r="CW192" s="268">
        <f t="shared" si="25"/>
        <v>904.99</v>
      </c>
      <c r="CX192" s="418">
        <v>184</v>
      </c>
      <c r="CY192" s="252"/>
      <c r="CZ192" s="252"/>
      <c r="DA192" s="252"/>
      <c r="DB192" s="252"/>
      <c r="DC192" s="252"/>
      <c r="DD192" s="252"/>
      <c r="DE192" s="252"/>
      <c r="DF192" s="252">
        <f t="shared" si="31"/>
        <v>0</v>
      </c>
      <c r="DG192" s="252"/>
      <c r="DH192" s="252">
        <v>489.06</v>
      </c>
      <c r="DI192" s="252"/>
      <c r="DK192" s="252"/>
      <c r="DL192" s="252"/>
      <c r="DP192" s="6">
        <v>7.2499999999999995E-2</v>
      </c>
      <c r="DQ192" s="252">
        <v>39.42</v>
      </c>
      <c r="DR192" s="3">
        <v>546.33000000000004</v>
      </c>
      <c r="DT192" s="241">
        <f t="shared" si="26"/>
        <v>186</v>
      </c>
      <c r="DU192" s="84"/>
      <c r="DV192" s="252">
        <v>720</v>
      </c>
      <c r="DY192" s="252">
        <v>405.18</v>
      </c>
      <c r="DZ192" s="264">
        <v>3.9399999999999998E-2</v>
      </c>
      <c r="EA192" s="252">
        <v>400</v>
      </c>
      <c r="EB192" s="253">
        <v>0</v>
      </c>
    </row>
    <row r="193" spans="1:132">
      <c r="A193">
        <v>187</v>
      </c>
      <c r="B193" s="259">
        <v>7.2023000000000001</v>
      </c>
      <c r="C193">
        <v>187</v>
      </c>
      <c r="D193" s="168">
        <f t="shared" si="32"/>
        <v>2.879078743501351E-3</v>
      </c>
      <c r="E193" s="246">
        <v>45108</v>
      </c>
      <c r="F193" s="186">
        <v>0.28000000000000003</v>
      </c>
      <c r="G193" s="247">
        <v>239211.8168</v>
      </c>
      <c r="H193" s="247">
        <v>598.96540000000005</v>
      </c>
      <c r="I193" s="248">
        <v>132.69999999999999</v>
      </c>
      <c r="J193" s="258">
        <f t="shared" si="27"/>
        <v>3.023431594860071E-3</v>
      </c>
      <c r="K193" s="298"/>
      <c r="L193" s="252">
        <v>300</v>
      </c>
      <c r="M193" s="263"/>
      <c r="N193" s="263"/>
      <c r="O193" s="473">
        <v>328.76</v>
      </c>
      <c r="P193" s="474">
        <v>328.76</v>
      </c>
      <c r="Q193" s="474">
        <v>430.86</v>
      </c>
      <c r="R193" s="475">
        <v>0.09</v>
      </c>
      <c r="S193" s="533">
        <f t="shared" si="28"/>
        <v>187</v>
      </c>
      <c r="T193" s="460">
        <v>75.260000000000005</v>
      </c>
      <c r="U193" s="460">
        <v>10.56</v>
      </c>
      <c r="V193" s="460">
        <v>353.76</v>
      </c>
      <c r="W193" s="460"/>
      <c r="X193" s="254">
        <v>51.09</v>
      </c>
      <c r="Y193" s="461">
        <v>7.4999999999999997E-2</v>
      </c>
      <c r="Z193" s="460">
        <v>22.5</v>
      </c>
      <c r="AA193" s="460">
        <v>10.26</v>
      </c>
      <c r="AB193" s="460">
        <v>437.73</v>
      </c>
      <c r="AC193" s="462">
        <v>353.75</v>
      </c>
      <c r="AD193" s="463">
        <v>0.3</v>
      </c>
      <c r="AE193" s="460">
        <v>40.83</v>
      </c>
      <c r="AF193" s="460">
        <v>61.32</v>
      </c>
      <c r="AG193" s="460">
        <v>20.62</v>
      </c>
      <c r="AH193" s="460"/>
      <c r="AI193" s="460">
        <v>557</v>
      </c>
      <c r="AJ193" s="460"/>
      <c r="AK193" s="460"/>
      <c r="AL193" s="253"/>
      <c r="AM193" s="273">
        <v>0.1</v>
      </c>
      <c r="AN193" s="255">
        <v>0.08</v>
      </c>
      <c r="AO193" s="160">
        <v>0.1</v>
      </c>
      <c r="AP193" s="536">
        <v>480.1</v>
      </c>
      <c r="AQ193" s="536"/>
      <c r="AR193" s="505">
        <f t="shared" si="29"/>
        <v>187</v>
      </c>
      <c r="AS193" s="480">
        <v>257.37</v>
      </c>
      <c r="AT193" s="480">
        <v>191.57</v>
      </c>
      <c r="AU193" s="480"/>
      <c r="AV193" s="480"/>
      <c r="AW193" s="480"/>
      <c r="AX193" s="480"/>
      <c r="AY193" s="480">
        <v>303.18</v>
      </c>
      <c r="AZ193" s="499" t="s">
        <v>5323</v>
      </c>
      <c r="BA193" s="502">
        <v>23.57</v>
      </c>
      <c r="BB193" s="501"/>
      <c r="BC193" s="510">
        <v>237.16</v>
      </c>
      <c r="BD193" s="510">
        <v>1222.49</v>
      </c>
      <c r="BE193" s="504">
        <v>0.2</v>
      </c>
      <c r="BF193" s="503">
        <v>0.22</v>
      </c>
      <c r="BG193" s="502">
        <v>16.66</v>
      </c>
      <c r="BH193" s="502">
        <v>1414.05</v>
      </c>
      <c r="BI193" s="502">
        <v>19.170000000000002</v>
      </c>
      <c r="BJ193" s="502"/>
      <c r="BK193" s="502"/>
      <c r="BL193" s="510"/>
      <c r="BM193" s="511">
        <v>0.16200000000000001</v>
      </c>
      <c r="BN193" s="511"/>
      <c r="BO193" s="511" t="s">
        <v>5340</v>
      </c>
      <c r="BP193" s="252"/>
      <c r="BQ193" s="252"/>
      <c r="BR193" s="511">
        <v>0.22</v>
      </c>
      <c r="BS193" s="252"/>
      <c r="BT193" s="252"/>
      <c r="BU193" s="524">
        <f t="shared" si="30"/>
        <v>187</v>
      </c>
      <c r="BV193" s="489">
        <v>158.63</v>
      </c>
      <c r="BW193" s="304">
        <v>4.4999999999999998E-2</v>
      </c>
      <c r="BX193" s="254">
        <v>393.53</v>
      </c>
      <c r="BY193" s="304">
        <v>3.9399999999999998E-2</v>
      </c>
      <c r="BZ193" s="494">
        <v>19.170000000000002</v>
      </c>
      <c r="CA193" s="497">
        <v>0.3</v>
      </c>
      <c r="CB193" s="497"/>
      <c r="CC193" s="494">
        <v>424</v>
      </c>
      <c r="CD193" s="241">
        <f t="shared" si="22"/>
        <v>187</v>
      </c>
      <c r="CE193" s="2"/>
      <c r="CF193" s="2">
        <v>490.8</v>
      </c>
      <c r="CG193" s="2"/>
      <c r="CH193" s="84">
        <v>0.03</v>
      </c>
      <c r="CI193" s="84">
        <v>0.03</v>
      </c>
      <c r="CJ193" s="252"/>
      <c r="CK193" s="252"/>
      <c r="CL193" s="252">
        <v>546.33000000000004</v>
      </c>
      <c r="CM193" s="253"/>
      <c r="CO193" s="5">
        <v>0.08</v>
      </c>
      <c r="CU193" s="266">
        <f t="shared" si="23"/>
        <v>181</v>
      </c>
      <c r="CV193" s="267">
        <f t="shared" si="24"/>
        <v>362</v>
      </c>
      <c r="CW193" s="268">
        <f t="shared" si="25"/>
        <v>904.99</v>
      </c>
      <c r="CX193" s="418">
        <v>184</v>
      </c>
      <c r="CY193" s="252"/>
      <c r="CZ193" s="252"/>
      <c r="DA193" s="252"/>
      <c r="DB193" s="252"/>
      <c r="DC193" s="252"/>
      <c r="DD193" s="252"/>
      <c r="DE193" s="252"/>
      <c r="DF193" s="252">
        <f t="shared" si="31"/>
        <v>0</v>
      </c>
      <c r="DG193" s="252"/>
      <c r="DH193" s="252">
        <v>489.06</v>
      </c>
      <c r="DI193" s="252"/>
      <c r="DK193" s="252"/>
      <c r="DL193" s="252"/>
      <c r="DP193" s="6">
        <v>7.2499999999999995E-2</v>
      </c>
      <c r="DQ193" s="252">
        <v>39.42</v>
      </c>
      <c r="DR193" s="3">
        <v>546.33000000000004</v>
      </c>
      <c r="DT193" s="241">
        <f t="shared" si="26"/>
        <v>187</v>
      </c>
      <c r="DU193" s="84"/>
      <c r="DV193" s="252">
        <v>720</v>
      </c>
      <c r="DY193" s="252">
        <v>405.18</v>
      </c>
      <c r="DZ193" s="264">
        <v>3.9399999999999998E-2</v>
      </c>
      <c r="EA193" s="252">
        <v>400</v>
      </c>
      <c r="EB193" s="253">
        <v>0</v>
      </c>
    </row>
    <row r="194" spans="1:132">
      <c r="A194">
        <v>188</v>
      </c>
      <c r="B194" s="259">
        <v>8.2022999999999993</v>
      </c>
      <c r="C194">
        <v>188</v>
      </c>
      <c r="D194" s="168">
        <f t="shared" si="32"/>
        <v>4.7846887971965124E-3</v>
      </c>
      <c r="E194" s="246">
        <v>45139</v>
      </c>
      <c r="F194" s="186">
        <v>0.47</v>
      </c>
      <c r="G194" s="247">
        <v>240356.37090000001</v>
      </c>
      <c r="H194" s="247">
        <v>601.83130000000006</v>
      </c>
      <c r="I194" s="248">
        <v>133.30000000000001</v>
      </c>
      <c r="J194" s="258">
        <f t="shared" si="27"/>
        <v>4.5214770158252815E-3</v>
      </c>
      <c r="K194" s="298"/>
      <c r="L194" s="252">
        <v>300</v>
      </c>
      <c r="M194" s="263"/>
      <c r="N194" s="263"/>
      <c r="O194" s="473">
        <v>328.76</v>
      </c>
      <c r="P194" s="474">
        <v>328.76</v>
      </c>
      <c r="Q194" s="474">
        <v>430.86</v>
      </c>
      <c r="R194" s="475">
        <v>0.09</v>
      </c>
      <c r="S194" s="533">
        <f t="shared" si="28"/>
        <v>188</v>
      </c>
      <c r="T194" s="460">
        <v>75.260000000000005</v>
      </c>
      <c r="U194" s="460">
        <v>10.56</v>
      </c>
      <c r="V194" s="460">
        <v>353.76</v>
      </c>
      <c r="W194" s="460"/>
      <c r="X194" s="254">
        <v>51.09</v>
      </c>
      <c r="Y194" s="461">
        <v>7.4999999999999997E-2</v>
      </c>
      <c r="Z194" s="460">
        <v>22.5</v>
      </c>
      <c r="AA194" s="460">
        <v>10.26</v>
      </c>
      <c r="AB194" s="460">
        <v>437.73</v>
      </c>
      <c r="AC194" s="462">
        <v>353.75</v>
      </c>
      <c r="AD194" s="463">
        <v>0.3</v>
      </c>
      <c r="AE194" s="460">
        <v>40.83</v>
      </c>
      <c r="AF194" s="460">
        <v>61.32</v>
      </c>
      <c r="AG194" s="460">
        <v>20.62</v>
      </c>
      <c r="AH194" s="460"/>
      <c r="AI194" s="460">
        <v>557</v>
      </c>
      <c r="AJ194" s="460"/>
      <c r="AK194" s="460"/>
      <c r="AL194" s="253"/>
      <c r="AM194" s="273">
        <v>0.1</v>
      </c>
      <c r="AN194" s="255">
        <v>0.08</v>
      </c>
      <c r="AO194" s="160">
        <v>0.1</v>
      </c>
      <c r="AP194" s="536">
        <v>480.1</v>
      </c>
      <c r="AQ194" s="536"/>
      <c r="AR194" s="505">
        <f t="shared" si="29"/>
        <v>188</v>
      </c>
      <c r="AS194" s="480">
        <v>257.37</v>
      </c>
      <c r="AT194" s="480">
        <v>191.57</v>
      </c>
      <c r="AU194" s="480"/>
      <c r="AV194" s="480"/>
      <c r="AW194" s="480"/>
      <c r="AX194" s="480"/>
      <c r="AY194" s="480">
        <v>303.18</v>
      </c>
      <c r="AZ194" s="499" t="s">
        <v>5323</v>
      </c>
      <c r="BA194" s="502">
        <v>23.57</v>
      </c>
      <c r="BB194" s="502"/>
      <c r="BC194" s="510">
        <v>237.16</v>
      </c>
      <c r="BD194" s="510">
        <v>1222.49</v>
      </c>
      <c r="BE194" s="504">
        <v>0.2</v>
      </c>
      <c r="BF194" s="503">
        <v>0.22</v>
      </c>
      <c r="BG194" s="502">
        <v>16.66</v>
      </c>
      <c r="BH194" s="502">
        <v>1414.05</v>
      </c>
      <c r="BI194" s="502">
        <v>19.170000000000002</v>
      </c>
      <c r="BJ194" s="502"/>
      <c r="BK194" s="502"/>
      <c r="BL194" s="510"/>
      <c r="BM194" s="511">
        <v>0.16200000000000001</v>
      </c>
      <c r="BN194" s="511"/>
      <c r="BO194" s="511" t="s">
        <v>5340</v>
      </c>
      <c r="BP194" s="252"/>
      <c r="BQ194" s="252"/>
      <c r="BR194" s="511">
        <v>0.22</v>
      </c>
      <c r="BS194" s="252"/>
      <c r="BT194" s="252"/>
      <c r="BU194" s="524">
        <f t="shared" si="30"/>
        <v>188</v>
      </c>
      <c r="BV194" s="489">
        <v>158.63</v>
      </c>
      <c r="BW194" s="304">
        <v>4.4999999999999998E-2</v>
      </c>
      <c r="BX194" s="254">
        <v>393.53</v>
      </c>
      <c r="BY194" s="304">
        <v>3.9399999999999998E-2</v>
      </c>
      <c r="BZ194" s="494">
        <v>19.170000000000002</v>
      </c>
      <c r="CA194" s="497">
        <v>0.3</v>
      </c>
      <c r="CB194" s="497"/>
      <c r="CC194" s="494">
        <v>424</v>
      </c>
      <c r="CD194" s="241">
        <f t="shared" si="22"/>
        <v>188</v>
      </c>
      <c r="CE194" s="2"/>
      <c r="CF194" s="2">
        <v>490.8</v>
      </c>
      <c r="CG194" s="2"/>
      <c r="CH194" s="84">
        <v>0.03</v>
      </c>
      <c r="CI194" s="84">
        <v>0.03</v>
      </c>
      <c r="CJ194" s="252"/>
      <c r="CK194" s="252"/>
      <c r="CL194" s="252">
        <v>546.33000000000004</v>
      </c>
      <c r="CM194" s="253"/>
      <c r="CO194" s="253">
        <v>0.08</v>
      </c>
      <c r="CU194" s="266">
        <f t="shared" si="23"/>
        <v>181</v>
      </c>
      <c r="CV194" s="267">
        <f t="shared" si="24"/>
        <v>362</v>
      </c>
      <c r="CW194" s="268">
        <f t="shared" si="25"/>
        <v>904.99</v>
      </c>
      <c r="CX194" s="418">
        <v>184</v>
      </c>
      <c r="CY194" s="252"/>
      <c r="CZ194" s="252"/>
      <c r="DA194" s="252"/>
      <c r="DB194" s="252"/>
      <c r="DC194" s="252"/>
      <c r="DD194" s="252"/>
      <c r="DE194" s="252"/>
      <c r="DF194" s="252">
        <f t="shared" si="31"/>
        <v>0</v>
      </c>
      <c r="DG194" s="252"/>
      <c r="DH194" s="252">
        <v>489.06</v>
      </c>
      <c r="DI194" s="252"/>
      <c r="DK194" s="252"/>
      <c r="DL194" s="252"/>
      <c r="DP194" s="6">
        <v>7.2499999999999995E-2</v>
      </c>
      <c r="DQ194" s="252">
        <v>39.42</v>
      </c>
      <c r="DR194" s="3">
        <v>546.33000000000004</v>
      </c>
      <c r="DT194" s="241">
        <f t="shared" si="26"/>
        <v>188</v>
      </c>
      <c r="DU194" s="84"/>
      <c r="DV194" s="252">
        <v>720</v>
      </c>
      <c r="DY194" s="252">
        <v>405.18</v>
      </c>
      <c r="DZ194" s="264">
        <v>3.9399999999999998E-2</v>
      </c>
      <c r="EA194" s="252">
        <v>400</v>
      </c>
      <c r="EB194" s="253">
        <v>0</v>
      </c>
    </row>
    <row r="195" spans="1:132">
      <c r="A195">
        <v>189</v>
      </c>
      <c r="B195" s="259">
        <v>9.2022999999999993</v>
      </c>
      <c r="C195">
        <v>189</v>
      </c>
      <c r="D195" s="168">
        <f t="shared" si="32"/>
        <v>-9.5238082994375528E-4</v>
      </c>
      <c r="E195" s="246">
        <v>45170</v>
      </c>
      <c r="F195" s="186">
        <v>-0.1</v>
      </c>
      <c r="G195" s="247">
        <v>240127.4601</v>
      </c>
      <c r="H195" s="247">
        <v>601.25810000000001</v>
      </c>
      <c r="I195" s="248">
        <v>133.19999999999999</v>
      </c>
      <c r="J195" s="258">
        <f t="shared" si="27"/>
        <v>-7.5018754688693789E-4</v>
      </c>
      <c r="K195" s="298"/>
      <c r="L195" s="252">
        <v>300</v>
      </c>
      <c r="M195" s="263"/>
      <c r="N195" s="263"/>
      <c r="O195" s="473">
        <v>328.76</v>
      </c>
      <c r="P195" s="474">
        <v>328.76</v>
      </c>
      <c r="Q195" s="474">
        <v>430.86</v>
      </c>
      <c r="R195" s="475">
        <v>0.09</v>
      </c>
      <c r="S195" s="533">
        <f t="shared" si="28"/>
        <v>189</v>
      </c>
      <c r="T195" s="460">
        <v>75.260000000000005</v>
      </c>
      <c r="U195" s="460">
        <v>10.56</v>
      </c>
      <c r="V195" s="460">
        <v>353.76</v>
      </c>
      <c r="W195" s="460"/>
      <c r="X195" s="254">
        <v>51.09</v>
      </c>
      <c r="Y195" s="461">
        <v>7.4999999999999997E-2</v>
      </c>
      <c r="Z195" s="460">
        <v>22.5</v>
      </c>
      <c r="AA195" s="460">
        <v>10.26</v>
      </c>
      <c r="AB195" s="460">
        <v>437.73</v>
      </c>
      <c r="AC195" s="462">
        <v>353.75</v>
      </c>
      <c r="AD195" s="463">
        <v>0.3</v>
      </c>
      <c r="AE195" s="460">
        <v>40.83</v>
      </c>
      <c r="AF195" s="460">
        <v>61.32</v>
      </c>
      <c r="AG195" s="460">
        <v>20.62</v>
      </c>
      <c r="AH195" s="460"/>
      <c r="AI195" s="460">
        <v>557</v>
      </c>
      <c r="AJ195" s="460"/>
      <c r="AK195" s="460"/>
      <c r="AL195" s="253"/>
      <c r="AM195" s="273">
        <v>0.1</v>
      </c>
      <c r="AN195" s="255">
        <v>0.08</v>
      </c>
      <c r="AO195" s="160">
        <v>0.1</v>
      </c>
      <c r="AP195" s="536">
        <v>480.1</v>
      </c>
      <c r="AQ195" s="536"/>
      <c r="AR195" s="505">
        <f t="shared" si="29"/>
        <v>189</v>
      </c>
      <c r="AS195" s="480">
        <v>257.37</v>
      </c>
      <c r="AT195" s="480">
        <v>191.57</v>
      </c>
      <c r="AU195" s="480"/>
      <c r="AV195" s="480"/>
      <c r="AW195" s="480"/>
      <c r="AX195" s="480"/>
      <c r="AY195" s="480">
        <v>303.18</v>
      </c>
      <c r="AZ195" s="499" t="s">
        <v>5323</v>
      </c>
      <c r="BA195" s="502">
        <v>23.57</v>
      </c>
      <c r="BB195" s="501"/>
      <c r="BC195" s="510">
        <v>237.16</v>
      </c>
      <c r="BD195" s="510">
        <v>1222.49</v>
      </c>
      <c r="BE195" s="504">
        <v>0.2</v>
      </c>
      <c r="BF195" s="503">
        <v>0.22</v>
      </c>
      <c r="BG195" s="502">
        <v>16.66</v>
      </c>
      <c r="BH195" s="502">
        <v>1414.05</v>
      </c>
      <c r="BI195" s="502">
        <v>19.170000000000002</v>
      </c>
      <c r="BJ195" s="502"/>
      <c r="BK195" s="502"/>
      <c r="BL195" s="510"/>
      <c r="BM195" s="511">
        <v>0.16200000000000001</v>
      </c>
      <c r="BN195" s="511"/>
      <c r="BO195" s="511" t="s">
        <v>5340</v>
      </c>
      <c r="BP195" s="252"/>
      <c r="BQ195" s="252"/>
      <c r="BR195" s="511">
        <v>0.22</v>
      </c>
      <c r="BS195" s="252"/>
      <c r="BT195" s="252"/>
      <c r="BU195" s="524">
        <f t="shared" si="30"/>
        <v>189</v>
      </c>
      <c r="BV195" s="489">
        <v>158.63</v>
      </c>
      <c r="BW195" s="304">
        <v>4.4999999999999998E-2</v>
      </c>
      <c r="BX195" s="254">
        <v>393.53</v>
      </c>
      <c r="BY195" s="304">
        <v>3.9399999999999998E-2</v>
      </c>
      <c r="BZ195" s="494">
        <v>19.170000000000002</v>
      </c>
      <c r="CA195" s="497">
        <v>0.3</v>
      </c>
      <c r="CB195" s="497"/>
      <c r="CC195" s="494">
        <v>424</v>
      </c>
      <c r="CD195" s="241">
        <f t="shared" si="22"/>
        <v>189</v>
      </c>
      <c r="CE195" s="2"/>
      <c r="CF195" s="2">
        <v>490.8</v>
      </c>
      <c r="CG195" s="2"/>
      <c r="CH195" s="84">
        <v>0.03</v>
      </c>
      <c r="CI195" s="84">
        <v>0.03</v>
      </c>
      <c r="CJ195" s="252"/>
      <c r="CK195" s="252"/>
      <c r="CL195" s="252">
        <v>546.33000000000004</v>
      </c>
      <c r="CM195" s="253"/>
      <c r="CO195" s="5">
        <v>0.08</v>
      </c>
      <c r="CU195" s="266">
        <f t="shared" si="23"/>
        <v>181</v>
      </c>
      <c r="CV195" s="267">
        <f t="shared" si="24"/>
        <v>362</v>
      </c>
      <c r="CW195" s="268">
        <f t="shared" si="25"/>
        <v>904.99</v>
      </c>
      <c r="CX195" s="418">
        <v>184</v>
      </c>
      <c r="CY195" s="252"/>
      <c r="CZ195" s="252"/>
      <c r="DA195" s="252"/>
      <c r="DB195" s="252"/>
      <c r="DC195" s="252"/>
      <c r="DD195" s="252"/>
      <c r="DE195" s="252"/>
      <c r="DF195" s="252">
        <f t="shared" si="31"/>
        <v>0</v>
      </c>
      <c r="DG195" s="252"/>
      <c r="DH195" s="252">
        <v>489.06</v>
      </c>
      <c r="DI195" s="252"/>
      <c r="DK195" s="252"/>
      <c r="DL195" s="252"/>
      <c r="DP195" s="6">
        <v>7.2499999999999995E-2</v>
      </c>
      <c r="DQ195" s="252">
        <v>39.42</v>
      </c>
      <c r="DR195" s="3">
        <v>546.33000000000004</v>
      </c>
      <c r="DT195" s="241">
        <f t="shared" si="26"/>
        <v>189</v>
      </c>
      <c r="DU195" s="84"/>
      <c r="DV195" s="252">
        <v>720</v>
      </c>
      <c r="DY195" s="252">
        <v>405.18</v>
      </c>
      <c r="DZ195" s="264">
        <v>3.9399999999999998E-2</v>
      </c>
      <c r="EA195" s="252">
        <v>400</v>
      </c>
      <c r="EB195" s="253">
        <v>0</v>
      </c>
    </row>
    <row r="196" spans="1:132">
      <c r="A196">
        <v>190</v>
      </c>
      <c r="B196" s="259">
        <v>10.202299999999999</v>
      </c>
      <c r="C196">
        <v>190</v>
      </c>
      <c r="D196" s="168">
        <f t="shared" si="32"/>
        <v>4.7664444521395843E-3</v>
      </c>
      <c r="E196" s="246">
        <v>45200</v>
      </c>
      <c r="F196" s="186">
        <v>0.47</v>
      </c>
      <c r="G196" s="247">
        <v>241272.01430000001</v>
      </c>
      <c r="H196" s="247">
        <v>604.12400000000002</v>
      </c>
      <c r="I196" s="248">
        <v>133.80000000000001</v>
      </c>
      <c r="J196" s="258">
        <f t="shared" si="27"/>
        <v>4.5045045045046805E-3</v>
      </c>
      <c r="K196" s="298"/>
      <c r="L196" s="252">
        <v>300</v>
      </c>
      <c r="M196" s="263"/>
      <c r="N196" s="263"/>
      <c r="O196" s="473">
        <v>328.76</v>
      </c>
      <c r="P196" s="474">
        <v>328.76</v>
      </c>
      <c r="Q196" s="474">
        <v>430.86</v>
      </c>
      <c r="R196" s="475">
        <v>0.09</v>
      </c>
      <c r="S196" s="533">
        <f t="shared" si="28"/>
        <v>190</v>
      </c>
      <c r="T196" s="460">
        <v>75.260000000000005</v>
      </c>
      <c r="U196" s="460">
        <v>10.56</v>
      </c>
      <c r="V196" s="460">
        <v>353.76</v>
      </c>
      <c r="W196" s="460"/>
      <c r="X196" s="254">
        <v>51.09</v>
      </c>
      <c r="Y196" s="461">
        <v>7.4999999999999997E-2</v>
      </c>
      <c r="Z196" s="460">
        <v>22.5</v>
      </c>
      <c r="AA196" s="460">
        <v>10.26</v>
      </c>
      <c r="AB196" s="460">
        <v>437.73</v>
      </c>
      <c r="AC196" s="462">
        <v>353.75</v>
      </c>
      <c r="AD196" s="463">
        <v>0.3</v>
      </c>
      <c r="AE196" s="460">
        <v>40.83</v>
      </c>
      <c r="AF196" s="460">
        <v>61.32</v>
      </c>
      <c r="AG196" s="460">
        <v>20.62</v>
      </c>
      <c r="AH196" s="460"/>
      <c r="AI196" s="460">
        <v>557</v>
      </c>
      <c r="AJ196" s="460"/>
      <c r="AK196" s="460"/>
      <c r="AL196" s="253"/>
      <c r="AM196" s="273">
        <v>0.1</v>
      </c>
      <c r="AN196" s="255">
        <v>0.08</v>
      </c>
      <c r="AO196" s="160">
        <v>0.1</v>
      </c>
      <c r="AP196" s="536">
        <v>480.1</v>
      </c>
      <c r="AQ196" s="536"/>
      <c r="AR196" s="505">
        <f t="shared" si="29"/>
        <v>190</v>
      </c>
      <c r="AS196" s="480">
        <v>257.37</v>
      </c>
      <c r="AT196" s="480">
        <v>191.57</v>
      </c>
      <c r="AU196" s="480"/>
      <c r="AV196" s="480"/>
      <c r="AW196" s="480"/>
      <c r="AX196" s="480"/>
      <c r="AY196" s="480">
        <v>303.18</v>
      </c>
      <c r="AZ196" s="499" t="s">
        <v>5323</v>
      </c>
      <c r="BA196" s="502">
        <v>23.57</v>
      </c>
      <c r="BB196" s="502"/>
      <c r="BC196" s="510">
        <v>237.16</v>
      </c>
      <c r="BD196" s="510">
        <v>1222.49</v>
      </c>
      <c r="BE196" s="504">
        <v>0.2</v>
      </c>
      <c r="BF196" s="503">
        <v>0.22</v>
      </c>
      <c r="BG196" s="502">
        <v>16.66</v>
      </c>
      <c r="BH196" s="502">
        <v>1414.05</v>
      </c>
      <c r="BI196" s="502">
        <v>19.170000000000002</v>
      </c>
      <c r="BJ196" s="502"/>
      <c r="BK196" s="502"/>
      <c r="BL196" s="510"/>
      <c r="BM196" s="511">
        <v>0.16200000000000001</v>
      </c>
      <c r="BN196" s="511"/>
      <c r="BO196" s="511" t="s">
        <v>5340</v>
      </c>
      <c r="BP196" s="252"/>
      <c r="BQ196" s="252"/>
      <c r="BR196" s="511">
        <v>0.22</v>
      </c>
      <c r="BS196" s="252"/>
      <c r="BT196" s="252"/>
      <c r="BU196" s="524">
        <f t="shared" si="30"/>
        <v>190</v>
      </c>
      <c r="BV196" s="489">
        <v>158.63</v>
      </c>
      <c r="BW196" s="304">
        <v>4.4999999999999998E-2</v>
      </c>
      <c r="BX196" s="254">
        <v>393.53</v>
      </c>
      <c r="BY196" s="304">
        <v>3.9399999999999998E-2</v>
      </c>
      <c r="BZ196" s="494">
        <v>19.170000000000002</v>
      </c>
      <c r="CA196" s="497">
        <v>0.3</v>
      </c>
      <c r="CB196" s="497"/>
      <c r="CC196" s="494">
        <v>424</v>
      </c>
      <c r="CD196" s="241">
        <f t="shared" si="22"/>
        <v>190</v>
      </c>
      <c r="CE196" s="2"/>
      <c r="CF196" s="2">
        <v>490.8</v>
      </c>
      <c r="CG196" s="2"/>
      <c r="CH196" s="84">
        <v>0.03</v>
      </c>
      <c r="CI196" s="84">
        <v>0.03</v>
      </c>
      <c r="CJ196" s="252"/>
      <c r="CK196" s="252"/>
      <c r="CL196" s="252">
        <v>546.33000000000004</v>
      </c>
      <c r="CM196" s="253"/>
      <c r="CO196" s="253">
        <v>0.08</v>
      </c>
      <c r="CU196" s="266">
        <f t="shared" si="23"/>
        <v>181</v>
      </c>
      <c r="CV196" s="267">
        <f t="shared" si="24"/>
        <v>362</v>
      </c>
      <c r="CW196" s="268">
        <f t="shared" si="25"/>
        <v>904.99</v>
      </c>
      <c r="CX196" s="418">
        <v>184</v>
      </c>
      <c r="CY196" s="252"/>
      <c r="CZ196" s="252"/>
      <c r="DA196" s="252"/>
      <c r="DB196" s="252"/>
      <c r="DC196" s="252"/>
      <c r="DD196" s="252"/>
      <c r="DE196" s="252"/>
      <c r="DF196" s="252">
        <f t="shared" si="31"/>
        <v>0</v>
      </c>
      <c r="DG196" s="252"/>
      <c r="DH196" s="252">
        <v>489.06</v>
      </c>
      <c r="DI196" s="252"/>
      <c r="DK196" s="252"/>
      <c r="DL196" s="252"/>
      <c r="DP196" s="6">
        <v>7.2499999999999995E-2</v>
      </c>
      <c r="DQ196" s="252">
        <v>39.42</v>
      </c>
      <c r="DR196" s="3">
        <v>546.33000000000004</v>
      </c>
      <c r="DT196" s="241">
        <f t="shared" si="26"/>
        <v>190</v>
      </c>
      <c r="DU196" s="84"/>
      <c r="DV196" s="252">
        <v>720</v>
      </c>
      <c r="DY196" s="252">
        <v>405.18</v>
      </c>
      <c r="DZ196" s="264">
        <v>3.9399999999999998E-2</v>
      </c>
      <c r="EA196" s="252">
        <v>400</v>
      </c>
      <c r="EB196" s="253">
        <v>0</v>
      </c>
    </row>
    <row r="197" spans="1:132">
      <c r="A197">
        <v>191</v>
      </c>
      <c r="B197" s="259">
        <v>11.202299999999999</v>
      </c>
      <c r="C197">
        <v>191</v>
      </c>
      <c r="D197" s="168">
        <f t="shared" si="32"/>
        <v>-2.8462998578282495E-3</v>
      </c>
      <c r="E197" s="246">
        <v>45231</v>
      </c>
      <c r="F197" s="186">
        <v>-0.28999999999999998</v>
      </c>
      <c r="G197" s="247">
        <v>240585.2818</v>
      </c>
      <c r="H197" s="247">
        <v>602.40449999999998</v>
      </c>
      <c r="I197" s="248">
        <v>133.4</v>
      </c>
      <c r="J197" s="258">
        <f t="shared" si="27"/>
        <v>-2.989536621823663E-3</v>
      </c>
      <c r="K197" s="298"/>
      <c r="L197" s="252">
        <v>300</v>
      </c>
      <c r="M197" s="263"/>
      <c r="N197" s="263"/>
      <c r="O197" s="473">
        <v>328.76</v>
      </c>
      <c r="P197" s="474">
        <v>328.76</v>
      </c>
      <c r="Q197" s="474">
        <v>430.86</v>
      </c>
      <c r="R197" s="475">
        <v>0.09</v>
      </c>
      <c r="S197" s="533">
        <f t="shared" si="28"/>
        <v>191</v>
      </c>
      <c r="T197" s="460">
        <v>75.260000000000005</v>
      </c>
      <c r="U197" s="460">
        <v>10.56</v>
      </c>
      <c r="V197" s="460">
        <v>353.76</v>
      </c>
      <c r="W197" s="460"/>
      <c r="X197" s="254">
        <v>51.09</v>
      </c>
      <c r="Y197" s="461">
        <v>7.4999999999999997E-2</v>
      </c>
      <c r="Z197" s="460">
        <v>22.5</v>
      </c>
      <c r="AA197" s="460">
        <v>10.26</v>
      </c>
      <c r="AB197" s="460">
        <v>437.73</v>
      </c>
      <c r="AC197" s="462">
        <v>353.75</v>
      </c>
      <c r="AD197" s="463">
        <v>0.3</v>
      </c>
      <c r="AE197" s="460">
        <v>40.83</v>
      </c>
      <c r="AF197" s="460">
        <v>61.32</v>
      </c>
      <c r="AG197" s="460">
        <v>20.62</v>
      </c>
      <c r="AH197" s="460"/>
      <c r="AI197" s="460">
        <v>557</v>
      </c>
      <c r="AJ197" s="460"/>
      <c r="AK197" s="460"/>
      <c r="AL197" s="253"/>
      <c r="AM197" s="273">
        <v>0.1</v>
      </c>
      <c r="AN197" s="255">
        <v>0.08</v>
      </c>
      <c r="AO197" s="160">
        <v>0.1</v>
      </c>
      <c r="AP197" s="536">
        <v>480.1</v>
      </c>
      <c r="AQ197" s="536"/>
      <c r="AR197" s="505">
        <f t="shared" si="29"/>
        <v>191</v>
      </c>
      <c r="AS197" s="480">
        <v>257.37</v>
      </c>
      <c r="AT197" s="480">
        <v>191.57</v>
      </c>
      <c r="AU197" s="480"/>
      <c r="AV197" s="480"/>
      <c r="AW197" s="480"/>
      <c r="AX197" s="480"/>
      <c r="AY197" s="480">
        <v>303.18</v>
      </c>
      <c r="AZ197" s="499" t="s">
        <v>5323</v>
      </c>
      <c r="BA197" s="502">
        <v>23.57</v>
      </c>
      <c r="BB197" s="501"/>
      <c r="BC197" s="510">
        <v>237.16</v>
      </c>
      <c r="BD197" s="510">
        <v>1222.49</v>
      </c>
      <c r="BE197" s="504">
        <v>0.2</v>
      </c>
      <c r="BF197" s="503">
        <v>0.22</v>
      </c>
      <c r="BG197" s="502">
        <v>16.66</v>
      </c>
      <c r="BH197" s="502">
        <v>1414.05</v>
      </c>
      <c r="BI197" s="502">
        <v>19.170000000000002</v>
      </c>
      <c r="BJ197" s="502"/>
      <c r="BK197" s="502"/>
      <c r="BL197" s="510"/>
      <c r="BM197" s="511">
        <v>0.16200000000000001</v>
      </c>
      <c r="BN197" s="511"/>
      <c r="BO197" s="511" t="s">
        <v>5340</v>
      </c>
      <c r="BP197" s="252"/>
      <c r="BQ197" s="252"/>
      <c r="BR197" s="511">
        <v>0.22</v>
      </c>
      <c r="BS197" s="252"/>
      <c r="BT197" s="252"/>
      <c r="BU197" s="524">
        <f t="shared" si="30"/>
        <v>191</v>
      </c>
      <c r="BV197" s="489">
        <v>158.63</v>
      </c>
      <c r="BW197" s="304">
        <v>4.4999999999999998E-2</v>
      </c>
      <c r="BX197" s="254">
        <v>393.53</v>
      </c>
      <c r="BY197" s="304">
        <v>3.9399999999999998E-2</v>
      </c>
      <c r="BZ197" s="494">
        <v>19.170000000000002</v>
      </c>
      <c r="CA197" s="497">
        <v>0.3</v>
      </c>
      <c r="CB197" s="497"/>
      <c r="CC197" s="494">
        <v>424</v>
      </c>
      <c r="CD197" s="241">
        <f t="shared" si="22"/>
        <v>191</v>
      </c>
      <c r="CE197" s="2"/>
      <c r="CF197" s="2">
        <v>490.8</v>
      </c>
      <c r="CG197" s="2"/>
      <c r="CH197" s="84">
        <v>0.03</v>
      </c>
      <c r="CI197" s="84">
        <v>0.03</v>
      </c>
      <c r="CJ197" s="252"/>
      <c r="CK197" s="252"/>
      <c r="CL197" s="252">
        <v>546.33000000000004</v>
      </c>
      <c r="CM197" s="253"/>
      <c r="CO197" s="5">
        <v>0.08</v>
      </c>
      <c r="CU197" s="266">
        <f t="shared" si="23"/>
        <v>181</v>
      </c>
      <c r="CV197" s="267">
        <f t="shared" si="24"/>
        <v>362</v>
      </c>
      <c r="CW197" s="268">
        <f t="shared" si="25"/>
        <v>904.99</v>
      </c>
      <c r="CX197" s="418">
        <v>184</v>
      </c>
      <c r="CY197" s="252"/>
      <c r="CZ197" s="252"/>
      <c r="DA197" s="252"/>
      <c r="DB197" s="252"/>
      <c r="DC197" s="252"/>
      <c r="DD197" s="252"/>
      <c r="DE197" s="252"/>
      <c r="DF197" s="252">
        <f t="shared" si="31"/>
        <v>0</v>
      </c>
      <c r="DG197" s="252"/>
      <c r="DH197" s="252">
        <v>489.06</v>
      </c>
      <c r="DI197" s="252"/>
      <c r="DK197" s="252"/>
      <c r="DL197" s="252"/>
      <c r="DP197" s="6">
        <v>7.2499999999999995E-2</v>
      </c>
      <c r="DQ197" s="252">
        <v>39.42</v>
      </c>
      <c r="DR197" s="3">
        <v>546.33000000000004</v>
      </c>
      <c r="DT197" s="241">
        <f t="shared" si="26"/>
        <v>191</v>
      </c>
      <c r="DU197" s="84"/>
      <c r="DV197" s="252">
        <v>720</v>
      </c>
      <c r="DY197" s="252">
        <v>405.18</v>
      </c>
      <c r="DZ197" s="264">
        <v>3.9399999999999998E-2</v>
      </c>
      <c r="EA197" s="252">
        <v>400</v>
      </c>
      <c r="EB197" s="253">
        <v>0</v>
      </c>
    </row>
    <row r="198" spans="1:132">
      <c r="A198">
        <v>192</v>
      </c>
      <c r="B198" s="259">
        <v>12.202299999999999</v>
      </c>
      <c r="C198">
        <v>192</v>
      </c>
      <c r="D198" s="168">
        <f t="shared" si="32"/>
        <v>-9.514750789713089E-4</v>
      </c>
      <c r="E198" s="246">
        <v>45261</v>
      </c>
      <c r="F198" s="186">
        <v>-0.1</v>
      </c>
      <c r="G198" s="247">
        <v>240356.37090000001</v>
      </c>
      <c r="H198" s="247">
        <v>601.83130000000006</v>
      </c>
      <c r="I198" s="248">
        <v>133.30000000000001</v>
      </c>
      <c r="J198" s="258">
        <f t="shared" si="27"/>
        <v>-7.496251874062887E-4</v>
      </c>
      <c r="K198" s="298"/>
      <c r="L198" s="252">
        <v>300</v>
      </c>
      <c r="M198" s="263"/>
      <c r="N198" s="263"/>
      <c r="O198" s="473">
        <v>328.76</v>
      </c>
      <c r="P198" s="474">
        <v>328.76</v>
      </c>
      <c r="Q198" s="474">
        <v>430.86</v>
      </c>
      <c r="R198" s="475">
        <v>0.09</v>
      </c>
      <c r="S198" s="533">
        <f t="shared" si="28"/>
        <v>192</v>
      </c>
      <c r="T198" s="460">
        <v>75.260000000000005</v>
      </c>
      <c r="U198" s="460">
        <v>10.56</v>
      </c>
      <c r="V198" s="460">
        <v>353.76</v>
      </c>
      <c r="W198" s="460"/>
      <c r="X198" s="254">
        <v>51.09</v>
      </c>
      <c r="Y198" s="461">
        <v>7.4999999999999997E-2</v>
      </c>
      <c r="Z198" s="460">
        <v>22.5</v>
      </c>
      <c r="AA198" s="460">
        <v>10.26</v>
      </c>
      <c r="AB198" s="460">
        <v>437.73</v>
      </c>
      <c r="AC198" s="462">
        <v>353.75</v>
      </c>
      <c r="AD198" s="463">
        <v>0.3</v>
      </c>
      <c r="AE198" s="460">
        <v>40.83</v>
      </c>
      <c r="AF198" s="460">
        <v>61.32</v>
      </c>
      <c r="AG198" s="460">
        <v>20.62</v>
      </c>
      <c r="AH198" s="460"/>
      <c r="AI198" s="460">
        <v>557</v>
      </c>
      <c r="AJ198" s="460"/>
      <c r="AK198" s="460"/>
      <c r="AL198" s="253"/>
      <c r="AM198" s="273">
        <v>0.1</v>
      </c>
      <c r="AN198" s="255">
        <v>0.08</v>
      </c>
      <c r="AO198" s="160">
        <v>0.1</v>
      </c>
      <c r="AP198" s="536">
        <v>480.1</v>
      </c>
      <c r="AQ198" s="536"/>
      <c r="AR198" s="505">
        <f t="shared" si="29"/>
        <v>192</v>
      </c>
      <c r="AS198" s="480">
        <v>257.37</v>
      </c>
      <c r="AT198" s="480">
        <v>191.57</v>
      </c>
      <c r="AU198" s="480"/>
      <c r="AV198" s="480"/>
      <c r="AW198" s="480"/>
      <c r="AX198" s="480"/>
      <c r="AY198" s="480">
        <v>303.18</v>
      </c>
      <c r="AZ198" s="499" t="s">
        <v>5323</v>
      </c>
      <c r="BA198" s="502">
        <v>23.57</v>
      </c>
      <c r="BB198" s="502"/>
      <c r="BC198" s="510">
        <v>237.16</v>
      </c>
      <c r="BD198" s="510">
        <v>1222.49</v>
      </c>
      <c r="BE198" s="504">
        <v>0.2</v>
      </c>
      <c r="BF198" s="503">
        <v>0.22</v>
      </c>
      <c r="BG198" s="502">
        <v>16.66</v>
      </c>
      <c r="BH198" s="502">
        <v>1414.05</v>
      </c>
      <c r="BI198" s="502">
        <v>19.170000000000002</v>
      </c>
      <c r="BJ198" s="502"/>
      <c r="BK198" s="502"/>
      <c r="BL198" s="510"/>
      <c r="BM198" s="511">
        <v>0.16200000000000001</v>
      </c>
      <c r="BN198" s="511"/>
      <c r="BO198" s="511" t="s">
        <v>5340</v>
      </c>
      <c r="BP198" s="252"/>
      <c r="BQ198" s="252"/>
      <c r="BR198" s="511">
        <v>0.22</v>
      </c>
      <c r="BS198" s="252"/>
      <c r="BT198" s="252"/>
      <c r="BU198" s="524">
        <f t="shared" si="30"/>
        <v>192</v>
      </c>
      <c r="BV198" s="489">
        <v>158.63</v>
      </c>
      <c r="BW198" s="304">
        <v>4.4999999999999998E-2</v>
      </c>
      <c r="BX198" s="254">
        <v>393.53</v>
      </c>
      <c r="BY198" s="304">
        <v>3.9399999999999998E-2</v>
      </c>
      <c r="BZ198" s="494">
        <v>19.170000000000002</v>
      </c>
      <c r="CA198" s="497">
        <v>0.3</v>
      </c>
      <c r="CB198" s="497"/>
      <c r="CC198" s="494">
        <v>424</v>
      </c>
      <c r="CD198" s="241">
        <f t="shared" ref="CD198:CD234" si="33">+C198</f>
        <v>192</v>
      </c>
      <c r="CE198" s="2"/>
      <c r="CF198" s="2">
        <v>490.8</v>
      </c>
      <c r="CG198" s="2"/>
      <c r="CH198" s="84">
        <v>0.03</v>
      </c>
      <c r="CI198" s="84">
        <v>0.03</v>
      </c>
      <c r="CJ198" s="252"/>
      <c r="CK198" s="252"/>
      <c r="CL198" s="252">
        <v>546.33000000000004</v>
      </c>
      <c r="CM198" s="253"/>
      <c r="CO198" s="253">
        <v>0.08</v>
      </c>
      <c r="CU198" s="266">
        <f t="shared" ref="CU198:CU234" si="34">+$CU$3</f>
        <v>181</v>
      </c>
      <c r="CV198" s="267">
        <f t="shared" ref="CV198:CV234" si="35">+$CV$3</f>
        <v>362</v>
      </c>
      <c r="CW198" s="268">
        <f t="shared" ref="CW198:CW234" si="36">+$CW$3</f>
        <v>904.99</v>
      </c>
      <c r="CX198" s="418">
        <v>184</v>
      </c>
      <c r="CY198" s="252"/>
      <c r="CZ198" s="252"/>
      <c r="DA198" s="252"/>
      <c r="DB198" s="252"/>
      <c r="DC198" s="252"/>
      <c r="DD198" s="252"/>
      <c r="DE198" s="252"/>
      <c r="DF198" s="252">
        <f t="shared" si="31"/>
        <v>0</v>
      </c>
      <c r="DG198" s="252"/>
      <c r="DH198" s="252">
        <v>489.06</v>
      </c>
      <c r="DI198" s="252"/>
      <c r="DK198" s="252"/>
      <c r="DL198" s="252"/>
      <c r="DP198" s="6">
        <v>7.2499999999999995E-2</v>
      </c>
      <c r="DQ198" s="252">
        <v>39.42</v>
      </c>
      <c r="DR198" s="3">
        <v>546.33000000000004</v>
      </c>
      <c r="DT198" s="241">
        <f t="shared" ref="DT198:DT234" si="37">+C198</f>
        <v>192</v>
      </c>
      <c r="DU198" s="84"/>
      <c r="DV198" s="252">
        <v>720</v>
      </c>
      <c r="DY198" s="252">
        <v>405.18</v>
      </c>
      <c r="DZ198" s="264">
        <v>3.9399999999999998E-2</v>
      </c>
      <c r="EA198" s="252">
        <v>400</v>
      </c>
      <c r="EB198" s="253">
        <v>0</v>
      </c>
    </row>
    <row r="199" spans="1:132">
      <c r="A199">
        <v>193</v>
      </c>
      <c r="B199" s="259">
        <v>1.2023999999999999</v>
      </c>
      <c r="C199">
        <v>193</v>
      </c>
      <c r="D199" s="168">
        <f t="shared" si="32"/>
        <v>0</v>
      </c>
      <c r="E199" s="246">
        <v>45292</v>
      </c>
      <c r="F199" s="186">
        <v>0</v>
      </c>
      <c r="G199" s="247">
        <v>240356.37090000001</v>
      </c>
      <c r="H199" s="247">
        <v>601.83130000000006</v>
      </c>
      <c r="I199" s="248">
        <v>133.30000000000001</v>
      </c>
      <c r="J199" s="258">
        <f t="shared" ref="J199:J205" si="38">+I199/I198-1</f>
        <v>0</v>
      </c>
      <c r="K199" s="298">
        <v>2.9600000000000001E-2</v>
      </c>
      <c r="L199" s="252">
        <v>300</v>
      </c>
      <c r="M199" s="263"/>
      <c r="N199" s="263"/>
      <c r="O199" s="473">
        <v>328.76</v>
      </c>
      <c r="P199" s="474">
        <v>328.76</v>
      </c>
      <c r="Q199" s="474">
        <v>430.86</v>
      </c>
      <c r="R199" s="475">
        <v>0.09</v>
      </c>
      <c r="S199" s="533">
        <f t="shared" si="28"/>
        <v>193</v>
      </c>
      <c r="T199" s="460">
        <v>75.260000000000005</v>
      </c>
      <c r="U199" s="460">
        <v>10.56</v>
      </c>
      <c r="V199" s="460">
        <v>353.76</v>
      </c>
      <c r="W199" s="460"/>
      <c r="X199" s="254">
        <v>51.09</v>
      </c>
      <c r="Y199" s="461">
        <v>7.4999999999999997E-2</v>
      </c>
      <c r="Z199" s="460">
        <v>22.5</v>
      </c>
      <c r="AA199" s="460">
        <v>10.26</v>
      </c>
      <c r="AB199" s="460">
        <v>437.73</v>
      </c>
      <c r="AC199" s="462">
        <v>353.75</v>
      </c>
      <c r="AD199" s="463">
        <v>0.3</v>
      </c>
      <c r="AE199" s="460">
        <v>40.83</v>
      </c>
      <c r="AF199" s="460">
        <v>61.32</v>
      </c>
      <c r="AG199" s="460">
        <v>20.62</v>
      </c>
      <c r="AH199" s="460"/>
      <c r="AI199" s="460">
        <v>557</v>
      </c>
      <c r="AJ199" s="460"/>
      <c r="AK199" s="460"/>
      <c r="AL199" s="253"/>
      <c r="AM199" s="273">
        <v>0.1</v>
      </c>
      <c r="AN199" s="255">
        <v>0.08</v>
      </c>
      <c r="AO199" s="160">
        <v>0.1</v>
      </c>
      <c r="AP199" s="536">
        <v>480.1</v>
      </c>
      <c r="AQ199" s="536"/>
      <c r="AR199" s="505">
        <f t="shared" si="29"/>
        <v>193</v>
      </c>
      <c r="AS199" s="480">
        <v>257.37</v>
      </c>
      <c r="AT199" s="480">
        <v>191.57</v>
      </c>
      <c r="AU199" s="480"/>
      <c r="AV199" s="480"/>
      <c r="AW199" s="480"/>
      <c r="AX199" s="480"/>
      <c r="AY199" s="480">
        <v>303.18</v>
      </c>
      <c r="AZ199" s="499" t="s">
        <v>5323</v>
      </c>
      <c r="BA199" s="502">
        <v>23.57</v>
      </c>
      <c r="BB199" s="501">
        <v>116.41</v>
      </c>
      <c r="BC199" s="510">
        <v>237.16</v>
      </c>
      <c r="BD199" s="510">
        <v>1222.49</v>
      </c>
      <c r="BE199" s="504">
        <v>0.2</v>
      </c>
      <c r="BF199" s="503">
        <v>0.22</v>
      </c>
      <c r="BG199" s="502">
        <v>16.66</v>
      </c>
      <c r="BH199" s="502">
        <v>1414.05</v>
      </c>
      <c r="BI199" s="502">
        <v>19.170000000000002</v>
      </c>
      <c r="BJ199" s="502"/>
      <c r="BK199" s="502"/>
      <c r="BL199" s="510">
        <v>750</v>
      </c>
      <c r="BM199" s="511">
        <v>0.16200000000000001</v>
      </c>
      <c r="BN199" s="511"/>
      <c r="BO199" s="511" t="s">
        <v>5340</v>
      </c>
      <c r="BP199" s="510">
        <v>933</v>
      </c>
      <c r="BQ199" s="510"/>
      <c r="BR199" s="511">
        <v>0.22</v>
      </c>
      <c r="BS199" s="252"/>
      <c r="BT199" s="252"/>
      <c r="BU199" s="524">
        <f t="shared" si="30"/>
        <v>193</v>
      </c>
      <c r="BV199" s="489">
        <v>158.63</v>
      </c>
      <c r="BW199" s="304">
        <v>4.4999999999999998E-2</v>
      </c>
      <c r="BX199" s="254">
        <v>405.18</v>
      </c>
      <c r="BY199" s="304">
        <v>3.9399999999999998E-2</v>
      </c>
      <c r="BZ199" s="494">
        <v>19.170000000000002</v>
      </c>
      <c r="CA199" s="497">
        <v>0.3</v>
      </c>
      <c r="CB199" s="497"/>
      <c r="CC199" s="494">
        <v>424</v>
      </c>
      <c r="CD199" s="241">
        <f t="shared" si="33"/>
        <v>193</v>
      </c>
      <c r="CE199" s="2">
        <v>546.33000000000004</v>
      </c>
      <c r="CF199" s="2">
        <v>490.8</v>
      </c>
      <c r="CG199" s="2"/>
      <c r="CH199" s="84">
        <v>0.06</v>
      </c>
      <c r="CI199" s="84">
        <v>0.06</v>
      </c>
      <c r="CJ199" s="252"/>
      <c r="CK199" s="252"/>
      <c r="CL199" s="252">
        <v>546.33000000000004</v>
      </c>
      <c r="CM199" s="253"/>
      <c r="CO199" s="5">
        <v>0.08</v>
      </c>
      <c r="CU199" s="266">
        <f t="shared" si="34"/>
        <v>181</v>
      </c>
      <c r="CV199" s="267">
        <f t="shared" si="35"/>
        <v>362</v>
      </c>
      <c r="CW199" s="268">
        <f t="shared" si="36"/>
        <v>904.99</v>
      </c>
      <c r="CX199" s="418">
        <v>184</v>
      </c>
      <c r="CY199" s="252"/>
      <c r="CZ199" s="252"/>
      <c r="DA199" s="252"/>
      <c r="DB199" s="252"/>
      <c r="DC199" s="252"/>
      <c r="DD199" s="252"/>
      <c r="DE199" s="252"/>
      <c r="DF199" s="252">
        <f t="shared" si="31"/>
        <v>0</v>
      </c>
      <c r="DG199" s="252"/>
      <c r="DH199" s="252">
        <v>489.06</v>
      </c>
      <c r="DI199" s="252"/>
      <c r="DK199" s="252"/>
      <c r="DL199" s="252"/>
      <c r="DP199" s="6">
        <v>7.2499999999999995E-2</v>
      </c>
      <c r="DQ199" s="252">
        <v>39.42</v>
      </c>
      <c r="DR199" s="3">
        <v>546.33000000000004</v>
      </c>
      <c r="DT199" s="241">
        <f t="shared" si="37"/>
        <v>193</v>
      </c>
      <c r="DU199" s="84"/>
      <c r="DV199" s="252">
        <v>720</v>
      </c>
      <c r="DY199" s="252">
        <v>405.18</v>
      </c>
      <c r="DZ199" s="264">
        <v>3.9399999999999998E-2</v>
      </c>
      <c r="EA199" s="252">
        <v>400</v>
      </c>
      <c r="EB199" s="253">
        <v>0</v>
      </c>
    </row>
    <row r="200" spans="1:132">
      <c r="A200">
        <v>194</v>
      </c>
      <c r="B200" s="259">
        <v>2.2023999999999999</v>
      </c>
      <c r="C200">
        <v>194</v>
      </c>
      <c r="D200" s="168">
        <f t="shared" si="32"/>
        <v>3.8095241518725231E-3</v>
      </c>
      <c r="E200" s="246">
        <v>45323</v>
      </c>
      <c r="F200" s="186">
        <v>0.38</v>
      </c>
      <c r="G200" s="247">
        <v>241272.01430000001</v>
      </c>
      <c r="H200" s="247">
        <v>604.12400000000002</v>
      </c>
      <c r="I200" s="248">
        <v>133.80000000000001</v>
      </c>
      <c r="J200" s="258">
        <f t="shared" si="38"/>
        <v>3.7509377344335793E-3</v>
      </c>
      <c r="K200" s="298"/>
      <c r="L200" s="252">
        <v>300</v>
      </c>
      <c r="M200" s="263"/>
      <c r="N200" s="263"/>
      <c r="O200" s="473">
        <v>328.76</v>
      </c>
      <c r="P200" s="474">
        <v>328.76</v>
      </c>
      <c r="Q200" s="474">
        <v>430.86</v>
      </c>
      <c r="R200" s="475">
        <v>0.09</v>
      </c>
      <c r="S200" s="533">
        <f t="shared" ref="S200:S234" si="39">+C200</f>
        <v>194</v>
      </c>
      <c r="T200" s="460">
        <v>75.260000000000005</v>
      </c>
      <c r="U200" s="460">
        <v>10.56</v>
      </c>
      <c r="V200" s="460">
        <v>353.76</v>
      </c>
      <c r="W200" s="460"/>
      <c r="X200" s="254">
        <v>51.09</v>
      </c>
      <c r="Y200" s="461">
        <v>7.4999999999999997E-2</v>
      </c>
      <c r="Z200" s="460">
        <v>22.5</v>
      </c>
      <c r="AA200" s="460">
        <v>10.26</v>
      </c>
      <c r="AB200" s="460">
        <v>437.73</v>
      </c>
      <c r="AC200" s="462">
        <v>353.75</v>
      </c>
      <c r="AD200" s="463">
        <v>0.3</v>
      </c>
      <c r="AE200" s="460">
        <v>40.83</v>
      </c>
      <c r="AF200" s="460">
        <v>61.32</v>
      </c>
      <c r="AG200" s="460">
        <v>20.62</v>
      </c>
      <c r="AH200" s="460"/>
      <c r="AI200" s="460">
        <v>557</v>
      </c>
      <c r="AJ200" s="460"/>
      <c r="AK200" s="460"/>
      <c r="AL200" s="253"/>
      <c r="AM200" s="273">
        <v>0.1</v>
      </c>
      <c r="AN200" s="255">
        <v>0.08</v>
      </c>
      <c r="AO200" s="160">
        <v>0.1</v>
      </c>
      <c r="AP200" s="536">
        <v>480.1</v>
      </c>
      <c r="AQ200" s="536"/>
      <c r="AR200" s="505">
        <f t="shared" ref="AR200:AR234" si="40">+C200</f>
        <v>194</v>
      </c>
      <c r="AS200" s="480">
        <v>257.37</v>
      </c>
      <c r="AT200" s="480">
        <v>191.57</v>
      </c>
      <c r="AU200" s="480"/>
      <c r="AV200" s="480"/>
      <c r="AW200" s="480"/>
      <c r="AX200" s="480"/>
      <c r="AY200" s="480">
        <v>303.18</v>
      </c>
      <c r="AZ200" s="499" t="s">
        <v>5323</v>
      </c>
      <c r="BA200" s="502">
        <v>23.57</v>
      </c>
      <c r="BB200" s="501">
        <v>116.41</v>
      </c>
      <c r="BC200" s="510">
        <v>237.16</v>
      </c>
      <c r="BD200" s="510">
        <v>1222.49</v>
      </c>
      <c r="BE200" s="504">
        <v>0.2</v>
      </c>
      <c r="BF200" s="503">
        <v>0.22</v>
      </c>
      <c r="BG200" s="502">
        <v>16.66</v>
      </c>
      <c r="BH200" s="502">
        <v>1414.05</v>
      </c>
      <c r="BI200" s="502">
        <v>19.170000000000002</v>
      </c>
      <c r="BJ200" s="502"/>
      <c r="BK200" s="502"/>
      <c r="BL200" s="510">
        <v>750</v>
      </c>
      <c r="BM200" s="511">
        <v>0.16200000000000001</v>
      </c>
      <c r="BN200" s="511"/>
      <c r="BO200" s="511" t="s">
        <v>5340</v>
      </c>
      <c r="BP200" s="510">
        <v>933</v>
      </c>
      <c r="BQ200" s="510"/>
      <c r="BR200" s="511">
        <v>0.22</v>
      </c>
      <c r="BS200" s="252"/>
      <c r="BT200" s="252"/>
      <c r="BU200" s="524">
        <f t="shared" ref="BU200:BU234" si="41">+C200</f>
        <v>194</v>
      </c>
      <c r="BV200" s="489">
        <v>158.63</v>
      </c>
      <c r="BW200" s="304">
        <v>4.4999999999999998E-2</v>
      </c>
      <c r="BX200" s="254">
        <v>405.18</v>
      </c>
      <c r="BY200" s="304">
        <v>3.9399999999999998E-2</v>
      </c>
      <c r="BZ200" s="494">
        <v>19.170000000000002</v>
      </c>
      <c r="CA200" s="497">
        <v>0.3</v>
      </c>
      <c r="CB200" s="497"/>
      <c r="CC200" s="494">
        <v>424</v>
      </c>
      <c r="CD200" s="241">
        <f t="shared" si="33"/>
        <v>194</v>
      </c>
      <c r="CE200" s="2">
        <v>546.33000000000004</v>
      </c>
      <c r="CF200" s="2">
        <v>490.8</v>
      </c>
      <c r="CG200" s="2"/>
      <c r="CH200" s="84">
        <v>0.06</v>
      </c>
      <c r="CI200" s="84">
        <v>0.06</v>
      </c>
      <c r="CJ200" s="252"/>
      <c r="CK200" s="252"/>
      <c r="CL200" s="252">
        <v>546.33000000000004</v>
      </c>
      <c r="CM200" s="253"/>
      <c r="CO200" s="253">
        <v>0.08</v>
      </c>
      <c r="CU200" s="266">
        <f t="shared" si="34"/>
        <v>181</v>
      </c>
      <c r="CV200" s="267">
        <f t="shared" si="35"/>
        <v>362</v>
      </c>
      <c r="CW200" s="268">
        <f t="shared" si="36"/>
        <v>904.99</v>
      </c>
      <c r="CX200" s="418">
        <v>184</v>
      </c>
      <c r="CY200" s="252"/>
      <c r="CZ200" s="252"/>
      <c r="DA200" s="252"/>
      <c r="DB200" s="252"/>
      <c r="DC200" s="252"/>
      <c r="DD200" s="252"/>
      <c r="DE200" s="252"/>
      <c r="DF200" s="252">
        <f t="shared" ref="DF200:DF234" si="42">+DF199</f>
        <v>0</v>
      </c>
      <c r="DG200" s="252"/>
      <c r="DH200" s="252">
        <v>489.06</v>
      </c>
      <c r="DI200" s="252"/>
      <c r="DK200" s="252"/>
      <c r="DL200" s="252"/>
      <c r="DP200" s="6">
        <v>7.2499999999999995E-2</v>
      </c>
      <c r="DQ200" s="252">
        <v>39.42</v>
      </c>
      <c r="DR200" s="3">
        <v>546.33000000000004</v>
      </c>
      <c r="DT200" s="241">
        <f t="shared" si="37"/>
        <v>194</v>
      </c>
      <c r="DU200" s="84"/>
      <c r="DV200" s="252">
        <v>720</v>
      </c>
      <c r="DY200" s="252">
        <v>405.18</v>
      </c>
      <c r="DZ200" s="264">
        <v>3.9399999999999998E-2</v>
      </c>
      <c r="EA200" s="252">
        <v>400</v>
      </c>
      <c r="EB200" s="253">
        <v>0</v>
      </c>
    </row>
    <row r="201" spans="1:132">
      <c r="A201">
        <v>195</v>
      </c>
      <c r="B201" s="259">
        <v>3.2023999999999999</v>
      </c>
      <c r="C201">
        <v>195</v>
      </c>
      <c r="D201" s="168">
        <f t="shared" si="32"/>
        <v>5.692599301186263E-3</v>
      </c>
      <c r="E201" s="246">
        <v>45352</v>
      </c>
      <c r="F201" s="186">
        <v>0.56000000000000005</v>
      </c>
      <c r="G201" s="247">
        <v>242645.4792</v>
      </c>
      <c r="H201" s="247">
        <v>607.56299999999999</v>
      </c>
      <c r="I201" s="248">
        <v>134.6</v>
      </c>
      <c r="J201" s="258">
        <f t="shared" si="38"/>
        <v>5.9790732436471039E-3</v>
      </c>
      <c r="K201" s="298"/>
      <c r="L201" s="252">
        <v>300</v>
      </c>
      <c r="M201" s="263"/>
      <c r="N201" s="263"/>
      <c r="O201" s="473">
        <v>328.76</v>
      </c>
      <c r="P201" s="474">
        <v>328.76</v>
      </c>
      <c r="Q201" s="474">
        <v>430.86</v>
      </c>
      <c r="R201" s="475">
        <v>0.09</v>
      </c>
      <c r="S201" s="533">
        <f t="shared" si="39"/>
        <v>195</v>
      </c>
      <c r="T201" s="460">
        <v>75.260000000000005</v>
      </c>
      <c r="U201" s="460">
        <v>10.56</v>
      </c>
      <c r="V201" s="460">
        <v>353.76</v>
      </c>
      <c r="W201" s="460"/>
      <c r="X201" s="254">
        <v>51.09</v>
      </c>
      <c r="Y201" s="461">
        <v>7.4999999999999997E-2</v>
      </c>
      <c r="Z201" s="460">
        <v>22.5</v>
      </c>
      <c r="AA201" s="460">
        <v>10.26</v>
      </c>
      <c r="AB201" s="460">
        <v>437.73</v>
      </c>
      <c r="AC201" s="462">
        <v>353.75</v>
      </c>
      <c r="AD201" s="463">
        <v>0.3</v>
      </c>
      <c r="AE201" s="460">
        <v>40.83</v>
      </c>
      <c r="AF201" s="460">
        <v>61.32</v>
      </c>
      <c r="AG201" s="460">
        <v>20.62</v>
      </c>
      <c r="AH201" s="460"/>
      <c r="AI201" s="460">
        <v>557</v>
      </c>
      <c r="AJ201" s="460"/>
      <c r="AK201" s="460"/>
      <c r="AL201" s="253"/>
      <c r="AM201" s="273">
        <v>0.1</v>
      </c>
      <c r="AN201" s="255">
        <v>0.08</v>
      </c>
      <c r="AO201" s="160">
        <v>0.1</v>
      </c>
      <c r="AP201" s="536">
        <v>480.1</v>
      </c>
      <c r="AQ201" s="536"/>
      <c r="AR201" s="505">
        <f t="shared" si="40"/>
        <v>195</v>
      </c>
      <c r="AS201" s="480">
        <v>257.37</v>
      </c>
      <c r="AT201" s="480">
        <v>191.57</v>
      </c>
      <c r="AU201" s="480"/>
      <c r="AV201" s="480"/>
      <c r="AW201" s="480"/>
      <c r="AX201" s="480"/>
      <c r="AY201" s="480">
        <v>303.18</v>
      </c>
      <c r="AZ201" s="499" t="s">
        <v>5323</v>
      </c>
      <c r="BA201" s="502">
        <v>23.57</v>
      </c>
      <c r="BB201" s="501">
        <v>116.41</v>
      </c>
      <c r="BC201" s="510">
        <v>237.16</v>
      </c>
      <c r="BD201" s="510">
        <v>1222.49</v>
      </c>
      <c r="BE201" s="504">
        <v>0.2</v>
      </c>
      <c r="BF201" s="503">
        <v>0.22</v>
      </c>
      <c r="BG201" s="502">
        <v>16.66</v>
      </c>
      <c r="BH201" s="502">
        <v>1414.05</v>
      </c>
      <c r="BI201" s="502">
        <v>19.170000000000002</v>
      </c>
      <c r="BJ201" s="502"/>
      <c r="BK201" s="502"/>
      <c r="BL201" s="510">
        <v>750</v>
      </c>
      <c r="BM201" s="511">
        <v>0.16200000000000001</v>
      </c>
      <c r="BN201" s="511"/>
      <c r="BO201" s="511" t="s">
        <v>5340</v>
      </c>
      <c r="BP201" s="510">
        <v>933</v>
      </c>
      <c r="BQ201" s="510"/>
      <c r="BR201" s="511">
        <v>0.22</v>
      </c>
      <c r="BS201" s="252"/>
      <c r="BT201" s="252"/>
      <c r="BU201" s="524">
        <f t="shared" si="41"/>
        <v>195</v>
      </c>
      <c r="BV201" s="489">
        <v>158.63</v>
      </c>
      <c r="BW201" s="304">
        <v>4.4999999999999998E-2</v>
      </c>
      <c r="BX201" s="254">
        <v>405.18</v>
      </c>
      <c r="BY201" s="304">
        <v>3.9399999999999998E-2</v>
      </c>
      <c r="BZ201" s="494">
        <v>19.170000000000002</v>
      </c>
      <c r="CA201" s="497">
        <v>0.3</v>
      </c>
      <c r="CB201" s="497"/>
      <c r="CC201" s="494">
        <v>424</v>
      </c>
      <c r="CD201" s="241">
        <f t="shared" si="33"/>
        <v>195</v>
      </c>
      <c r="CE201" s="2">
        <v>546.33000000000004</v>
      </c>
      <c r="CF201" s="2">
        <v>490.8</v>
      </c>
      <c r="CG201" s="2"/>
      <c r="CH201" s="84">
        <v>0.06</v>
      </c>
      <c r="CI201" s="84">
        <v>0.06</v>
      </c>
      <c r="CJ201" s="252"/>
      <c r="CK201" s="252"/>
      <c r="CL201" s="252">
        <v>546.33000000000004</v>
      </c>
      <c r="CM201" s="253"/>
      <c r="CO201" s="5">
        <v>0.08</v>
      </c>
      <c r="CU201" s="266">
        <f t="shared" si="34"/>
        <v>181</v>
      </c>
      <c r="CV201" s="267">
        <f t="shared" si="35"/>
        <v>362</v>
      </c>
      <c r="CW201" s="268">
        <f t="shared" si="36"/>
        <v>904.99</v>
      </c>
      <c r="CX201" s="418">
        <v>184</v>
      </c>
      <c r="CY201" s="252"/>
      <c r="CZ201" s="252"/>
      <c r="DA201" s="252"/>
      <c r="DB201" s="252"/>
      <c r="DC201" s="252"/>
      <c r="DD201" s="252"/>
      <c r="DE201" s="252"/>
      <c r="DF201" s="252">
        <f t="shared" si="42"/>
        <v>0</v>
      </c>
      <c r="DG201" s="252"/>
      <c r="DH201" s="252">
        <v>489.06</v>
      </c>
      <c r="DI201" s="252"/>
      <c r="DK201" s="252"/>
      <c r="DL201" s="252"/>
      <c r="DP201" s="6">
        <v>7.2499999999999995E-2</v>
      </c>
      <c r="DQ201" s="252">
        <v>39.42</v>
      </c>
      <c r="DR201" s="3">
        <v>546.33000000000004</v>
      </c>
      <c r="DT201" s="241">
        <f t="shared" si="37"/>
        <v>195</v>
      </c>
      <c r="DU201" s="84"/>
      <c r="DV201" s="252">
        <v>720</v>
      </c>
      <c r="DY201" s="252">
        <v>405.18</v>
      </c>
      <c r="DZ201" s="264">
        <v>3.9399999999999998E-2</v>
      </c>
      <c r="EA201" s="252">
        <v>400</v>
      </c>
      <c r="EB201" s="253">
        <v>0</v>
      </c>
    </row>
    <row r="202" spans="1:132">
      <c r="A202">
        <v>196</v>
      </c>
      <c r="B202" s="259">
        <v>4.2023999999999999</v>
      </c>
      <c r="C202">
        <v>196</v>
      </c>
      <c r="D202" s="168">
        <f t="shared" si="32"/>
        <v>8.4905661823679868E-3</v>
      </c>
      <c r="E202" s="246">
        <v>45383</v>
      </c>
      <c r="F202" s="186">
        <v>0.84</v>
      </c>
      <c r="G202" s="247">
        <v>244705.67670000001</v>
      </c>
      <c r="H202" s="247">
        <v>612.72159999999997</v>
      </c>
      <c r="I202" s="248">
        <v>135.69999999999999</v>
      </c>
      <c r="J202" s="258">
        <f t="shared" si="38"/>
        <v>8.1723625557206248E-3</v>
      </c>
      <c r="K202" s="298"/>
      <c r="L202" s="252">
        <v>300</v>
      </c>
      <c r="M202" s="263"/>
      <c r="N202" s="263"/>
      <c r="O202" s="473">
        <v>328.76</v>
      </c>
      <c r="P202" s="474">
        <v>328.76</v>
      </c>
      <c r="Q202" s="474">
        <v>430.86</v>
      </c>
      <c r="R202" s="475">
        <v>0.09</v>
      </c>
      <c r="S202" s="533">
        <f t="shared" si="39"/>
        <v>196</v>
      </c>
      <c r="T202" s="460">
        <v>75.260000000000005</v>
      </c>
      <c r="U202" s="460">
        <v>10.56</v>
      </c>
      <c r="V202" s="460">
        <v>353.76</v>
      </c>
      <c r="W202" s="460"/>
      <c r="X202" s="254">
        <v>51.09</v>
      </c>
      <c r="Y202" s="461">
        <v>7.4999999999999997E-2</v>
      </c>
      <c r="Z202" s="460">
        <v>22.5</v>
      </c>
      <c r="AA202" s="460">
        <v>10.26</v>
      </c>
      <c r="AB202" s="460">
        <v>437.73</v>
      </c>
      <c r="AC202" s="462">
        <v>353.75</v>
      </c>
      <c r="AD202" s="463">
        <v>0.3</v>
      </c>
      <c r="AE202" s="460">
        <v>40.83</v>
      </c>
      <c r="AF202" s="460">
        <v>61.32</v>
      </c>
      <c r="AG202" s="460">
        <v>20.62</v>
      </c>
      <c r="AH202" s="460"/>
      <c r="AI202" s="460">
        <v>557</v>
      </c>
      <c r="AJ202" s="460"/>
      <c r="AK202" s="460"/>
      <c r="AL202" s="253"/>
      <c r="AM202" s="273">
        <v>0.1</v>
      </c>
      <c r="AN202" s="255">
        <v>0.08</v>
      </c>
      <c r="AO202" s="160">
        <v>0.1</v>
      </c>
      <c r="AP202" s="536">
        <v>480.1</v>
      </c>
      <c r="AQ202" s="536"/>
      <c r="AR202" s="505">
        <f t="shared" si="40"/>
        <v>196</v>
      </c>
      <c r="AS202" s="480">
        <v>257.37</v>
      </c>
      <c r="AT202" s="480">
        <v>191.57</v>
      </c>
      <c r="AU202" s="480"/>
      <c r="AV202" s="480"/>
      <c r="AW202" s="480"/>
      <c r="AX202" s="480"/>
      <c r="AY202" s="480">
        <v>303.18</v>
      </c>
      <c r="AZ202" s="499" t="s">
        <v>5323</v>
      </c>
      <c r="BA202" s="502">
        <v>23.57</v>
      </c>
      <c r="BB202" s="501">
        <v>116.41</v>
      </c>
      <c r="BC202" s="510">
        <v>237.16</v>
      </c>
      <c r="BD202" s="510">
        <v>1222.49</v>
      </c>
      <c r="BE202" s="504">
        <v>0.2</v>
      </c>
      <c r="BF202" s="503">
        <v>0.22</v>
      </c>
      <c r="BG202" s="502">
        <v>16.66</v>
      </c>
      <c r="BH202" s="502">
        <v>1414.05</v>
      </c>
      <c r="BI202" s="502">
        <v>19.170000000000002</v>
      </c>
      <c r="BJ202" s="502"/>
      <c r="BK202" s="502"/>
      <c r="BL202" s="510">
        <v>750</v>
      </c>
      <c r="BM202" s="511">
        <v>0.16200000000000001</v>
      </c>
      <c r="BN202" s="511"/>
      <c r="BO202" s="511" t="s">
        <v>5340</v>
      </c>
      <c r="BP202" s="510">
        <v>933</v>
      </c>
      <c r="BQ202" s="510"/>
      <c r="BR202" s="511">
        <v>0.22</v>
      </c>
      <c r="BS202" s="252"/>
      <c r="BT202" s="252"/>
      <c r="BU202" s="524">
        <f t="shared" si="41"/>
        <v>196</v>
      </c>
      <c r="BV202" s="489">
        <v>158.63</v>
      </c>
      <c r="BW202" s="304">
        <v>4.4999999999999998E-2</v>
      </c>
      <c r="BX202" s="254">
        <v>405.18</v>
      </c>
      <c r="BY202" s="304">
        <v>3.9399999999999998E-2</v>
      </c>
      <c r="BZ202" s="494">
        <v>19.170000000000002</v>
      </c>
      <c r="CA202" s="497">
        <v>0.3</v>
      </c>
      <c r="CB202" s="497"/>
      <c r="CC202" s="494">
        <v>424</v>
      </c>
      <c r="CD202" s="241">
        <f t="shared" si="33"/>
        <v>196</v>
      </c>
      <c r="CE202" s="2">
        <v>546.33000000000004</v>
      </c>
      <c r="CF202" s="2">
        <v>490.8</v>
      </c>
      <c r="CG202" s="2"/>
      <c r="CH202" s="84">
        <v>0.06</v>
      </c>
      <c r="CI202" s="84">
        <v>0.06</v>
      </c>
      <c r="CJ202" s="252"/>
      <c r="CK202" s="252"/>
      <c r="CL202" s="252">
        <v>546.33000000000004</v>
      </c>
      <c r="CM202" s="253"/>
      <c r="CO202" s="253">
        <v>0.08</v>
      </c>
      <c r="CU202" s="266">
        <f t="shared" si="34"/>
        <v>181</v>
      </c>
      <c r="CV202" s="267">
        <f t="shared" si="35"/>
        <v>362</v>
      </c>
      <c r="CW202" s="268">
        <f t="shared" si="36"/>
        <v>904.99</v>
      </c>
      <c r="CX202" s="418">
        <v>184</v>
      </c>
      <c r="CY202" s="252"/>
      <c r="CZ202" s="252"/>
      <c r="DA202" s="252"/>
      <c r="DB202" s="252"/>
      <c r="DC202" s="252"/>
      <c r="DD202" s="252"/>
      <c r="DE202" s="252"/>
      <c r="DF202" s="252">
        <f t="shared" si="42"/>
        <v>0</v>
      </c>
      <c r="DG202" s="252"/>
      <c r="DH202" s="252">
        <v>489.06</v>
      </c>
      <c r="DI202" s="252"/>
      <c r="DK202" s="252"/>
      <c r="DL202" s="252"/>
      <c r="DP202" s="6">
        <v>7.2499999999999995E-2</v>
      </c>
      <c r="DQ202" s="252">
        <v>39.42</v>
      </c>
      <c r="DR202" s="3">
        <v>546.33000000000004</v>
      </c>
      <c r="DT202" s="241">
        <f t="shared" si="37"/>
        <v>196</v>
      </c>
      <c r="DU202" s="84"/>
      <c r="DV202" s="252">
        <v>720</v>
      </c>
      <c r="DY202" s="252">
        <v>405.18</v>
      </c>
      <c r="DZ202" s="264">
        <v>3.9399999999999998E-2</v>
      </c>
      <c r="EA202" s="252">
        <v>400</v>
      </c>
      <c r="EB202" s="253">
        <v>0</v>
      </c>
    </row>
    <row r="203" spans="1:132">
      <c r="A203">
        <v>197</v>
      </c>
      <c r="B203" s="259">
        <v>5.2023999999999999</v>
      </c>
      <c r="C203">
        <v>197</v>
      </c>
      <c r="D203" s="168">
        <f t="shared" si="32"/>
        <v>1.870907557903756E-3</v>
      </c>
      <c r="E203" s="246">
        <v>45413</v>
      </c>
      <c r="F203" s="186">
        <v>0.18</v>
      </c>
      <c r="G203" s="247">
        <v>245163.49840000001</v>
      </c>
      <c r="H203" s="247">
        <v>613.86789999999996</v>
      </c>
      <c r="I203" s="248">
        <v>136</v>
      </c>
      <c r="J203" s="258">
        <f t="shared" si="38"/>
        <v>2.2107590272661959E-3</v>
      </c>
      <c r="K203" s="298"/>
      <c r="L203" s="252">
        <v>300</v>
      </c>
      <c r="M203" s="263"/>
      <c r="N203" s="263"/>
      <c r="O203" s="473">
        <v>328.76</v>
      </c>
      <c r="P203" s="474">
        <v>328.76</v>
      </c>
      <c r="Q203" s="474">
        <v>430.86</v>
      </c>
      <c r="R203" s="475">
        <v>0.09</v>
      </c>
      <c r="S203" s="533">
        <f t="shared" si="39"/>
        <v>197</v>
      </c>
      <c r="T203" s="460">
        <v>75.260000000000005</v>
      </c>
      <c r="U203" s="460">
        <v>10.56</v>
      </c>
      <c r="V203" s="460">
        <v>353.76</v>
      </c>
      <c r="W203" s="460"/>
      <c r="X203" s="254">
        <v>51.09</v>
      </c>
      <c r="Y203" s="461">
        <v>7.4999999999999997E-2</v>
      </c>
      <c r="Z203" s="460">
        <v>22.5</v>
      </c>
      <c r="AA203" s="460">
        <v>10.26</v>
      </c>
      <c r="AB203" s="460">
        <v>437.73</v>
      </c>
      <c r="AC203" s="462">
        <v>353.75</v>
      </c>
      <c r="AD203" s="463">
        <v>0.3</v>
      </c>
      <c r="AE203" s="460">
        <v>40.83</v>
      </c>
      <c r="AF203" s="460">
        <v>61.32</v>
      </c>
      <c r="AG203" s="460">
        <v>20.62</v>
      </c>
      <c r="AH203" s="460"/>
      <c r="AI203" s="460">
        <v>557</v>
      </c>
      <c r="AJ203" s="460"/>
      <c r="AK203" s="460"/>
      <c r="AL203" s="253"/>
      <c r="AM203" s="273">
        <v>0.1</v>
      </c>
      <c r="AN203" s="255">
        <v>0.08</v>
      </c>
      <c r="AO203" s="160">
        <v>0.1</v>
      </c>
      <c r="AP203" s="536">
        <v>480.1</v>
      </c>
      <c r="AQ203" s="536"/>
      <c r="AR203" s="505">
        <f t="shared" si="40"/>
        <v>197</v>
      </c>
      <c r="AS203" s="480">
        <v>257.37</v>
      </c>
      <c r="AT203" s="480">
        <v>191.57</v>
      </c>
      <c r="AU203" s="480"/>
      <c r="AV203" s="480"/>
      <c r="AW203" s="480"/>
      <c r="AX203" s="480"/>
      <c r="AY203" s="480">
        <v>303.18</v>
      </c>
      <c r="AZ203" s="499" t="s">
        <v>5323</v>
      </c>
      <c r="BA203" s="502">
        <v>23.57</v>
      </c>
      <c r="BB203" s="501">
        <v>116.41</v>
      </c>
      <c r="BC203" s="510">
        <v>237.16</v>
      </c>
      <c r="BD203" s="510">
        <v>1222.49</v>
      </c>
      <c r="BE203" s="504">
        <v>0.2</v>
      </c>
      <c r="BF203" s="503">
        <v>0.22</v>
      </c>
      <c r="BG203" s="502">
        <v>16.66</v>
      </c>
      <c r="BH203" s="502">
        <v>1414.05</v>
      </c>
      <c r="BI203" s="502">
        <v>19.170000000000002</v>
      </c>
      <c r="BJ203" s="502"/>
      <c r="BK203" s="502"/>
      <c r="BL203" s="510">
        <v>750</v>
      </c>
      <c r="BM203" s="511">
        <v>0.16200000000000001</v>
      </c>
      <c r="BN203" s="511"/>
      <c r="BO203" s="511" t="s">
        <v>5340</v>
      </c>
      <c r="BP203" s="510">
        <v>933</v>
      </c>
      <c r="BQ203" s="510"/>
      <c r="BR203" s="511">
        <v>0.22</v>
      </c>
      <c r="BS203" s="252"/>
      <c r="BT203" s="252"/>
      <c r="BU203" s="524">
        <f t="shared" si="41"/>
        <v>197</v>
      </c>
      <c r="BV203" s="489">
        <v>158.63</v>
      </c>
      <c r="BW203" s="304">
        <v>4.4999999999999998E-2</v>
      </c>
      <c r="BX203" s="254">
        <v>405.18</v>
      </c>
      <c r="BY203" s="304">
        <v>3.9399999999999998E-2</v>
      </c>
      <c r="BZ203" s="494">
        <v>19.170000000000002</v>
      </c>
      <c r="CA203" s="497">
        <v>0.3</v>
      </c>
      <c r="CB203" s="497"/>
      <c r="CC203" s="494">
        <v>424</v>
      </c>
      <c r="CD203" s="241">
        <f t="shared" si="33"/>
        <v>197</v>
      </c>
      <c r="CE203" s="2">
        <v>546.33000000000004</v>
      </c>
      <c r="CF203" s="2">
        <v>490.8</v>
      </c>
      <c r="CG203" s="2"/>
      <c r="CH203" s="84">
        <v>0.06</v>
      </c>
      <c r="CI203" s="84">
        <v>0.06</v>
      </c>
      <c r="CJ203" s="252"/>
      <c r="CK203" s="252"/>
      <c r="CL203" s="252">
        <v>546.33000000000004</v>
      </c>
      <c r="CM203" s="253"/>
      <c r="CO203" s="5">
        <v>0.08</v>
      </c>
      <c r="CU203" s="266">
        <f t="shared" si="34"/>
        <v>181</v>
      </c>
      <c r="CV203" s="267">
        <f t="shared" si="35"/>
        <v>362</v>
      </c>
      <c r="CW203" s="268">
        <f t="shared" si="36"/>
        <v>904.99</v>
      </c>
      <c r="CX203" s="418">
        <v>184</v>
      </c>
      <c r="CY203" s="252"/>
      <c r="CZ203" s="252"/>
      <c r="DA203" s="252"/>
      <c r="DB203" s="252"/>
      <c r="DC203" s="252"/>
      <c r="DD203" s="252"/>
      <c r="DE203" s="252"/>
      <c r="DF203" s="252">
        <f t="shared" si="42"/>
        <v>0</v>
      </c>
      <c r="DG203" s="252"/>
      <c r="DH203" s="252">
        <v>489.06</v>
      </c>
      <c r="DI203" s="252"/>
      <c r="DK203" s="252"/>
      <c r="DL203" s="252"/>
      <c r="DP203" s="6">
        <v>7.2499999999999995E-2</v>
      </c>
      <c r="DQ203" s="252">
        <v>39.42</v>
      </c>
      <c r="DR203" s="3">
        <v>546.33000000000004</v>
      </c>
      <c r="DT203" s="241">
        <f t="shared" si="37"/>
        <v>197</v>
      </c>
      <c r="DU203" s="84"/>
      <c r="DV203" s="252">
        <v>720</v>
      </c>
      <c r="DY203" s="252">
        <v>405.18</v>
      </c>
      <c r="DZ203" s="264">
        <v>3.9399999999999998E-2</v>
      </c>
      <c r="EA203" s="252">
        <v>400</v>
      </c>
      <c r="EB203" s="253">
        <v>0</v>
      </c>
    </row>
    <row r="204" spans="1:132">
      <c r="A204">
        <v>198</v>
      </c>
      <c r="B204" s="259">
        <v>6.2023999999999999</v>
      </c>
      <c r="C204">
        <v>198</v>
      </c>
      <c r="D204" s="168">
        <f t="shared" si="32"/>
        <v>9.3370669571091192E-4</v>
      </c>
      <c r="E204" s="246">
        <v>45444</v>
      </c>
      <c r="F204" s="186">
        <v>0.09</v>
      </c>
      <c r="G204" s="247">
        <v>245392.40919999999</v>
      </c>
      <c r="H204" s="247">
        <v>614.44110000000001</v>
      </c>
      <c r="I204" s="248">
        <v>136.1</v>
      </c>
      <c r="J204" s="258">
        <f t="shared" si="38"/>
        <v>7.3529411764705621E-4</v>
      </c>
      <c r="K204" s="298"/>
      <c r="L204" s="252">
        <v>300</v>
      </c>
      <c r="M204" s="263"/>
      <c r="N204" s="263"/>
      <c r="O204" s="473">
        <v>328.76</v>
      </c>
      <c r="P204" s="474">
        <v>328.76</v>
      </c>
      <c r="Q204" s="474">
        <v>430.86</v>
      </c>
      <c r="R204" s="475">
        <v>0.09</v>
      </c>
      <c r="S204" s="533">
        <f t="shared" si="39"/>
        <v>198</v>
      </c>
      <c r="T204" s="460">
        <v>75.260000000000005</v>
      </c>
      <c r="U204" s="460">
        <v>10.56</v>
      </c>
      <c r="V204" s="460">
        <v>353.76</v>
      </c>
      <c r="W204" s="460"/>
      <c r="X204" s="254">
        <v>51.09</v>
      </c>
      <c r="Y204" s="461">
        <v>7.4999999999999997E-2</v>
      </c>
      <c r="Z204" s="460">
        <v>22.5</v>
      </c>
      <c r="AA204" s="460">
        <v>10.26</v>
      </c>
      <c r="AB204" s="460">
        <v>437.73</v>
      </c>
      <c r="AC204" s="462">
        <v>353.75</v>
      </c>
      <c r="AD204" s="463">
        <v>0.3</v>
      </c>
      <c r="AE204" s="460">
        <v>40.83</v>
      </c>
      <c r="AF204" s="460">
        <v>61.32</v>
      </c>
      <c r="AG204" s="460">
        <v>20.62</v>
      </c>
      <c r="AH204" s="460"/>
      <c r="AI204" s="460">
        <v>557</v>
      </c>
      <c r="AJ204" s="460"/>
      <c r="AK204" s="460"/>
      <c r="AL204" s="253"/>
      <c r="AM204" s="273">
        <v>0.1</v>
      </c>
      <c r="AN204" s="255">
        <v>0.08</v>
      </c>
      <c r="AO204" s="160">
        <v>0.1</v>
      </c>
      <c r="AP204" s="536">
        <v>480.1</v>
      </c>
      <c r="AQ204" s="536"/>
      <c r="AR204" s="505">
        <f t="shared" si="40"/>
        <v>198</v>
      </c>
      <c r="AS204" s="480">
        <v>257.37</v>
      </c>
      <c r="AT204" s="480">
        <v>191.57</v>
      </c>
      <c r="AU204" s="480"/>
      <c r="AV204" s="480"/>
      <c r="AW204" s="480"/>
      <c r="AX204" s="480"/>
      <c r="AY204" s="480">
        <v>303.18</v>
      </c>
      <c r="AZ204" s="499" t="s">
        <v>5323</v>
      </c>
      <c r="BA204" s="502">
        <v>23.57</v>
      </c>
      <c r="BB204" s="501">
        <v>116.41</v>
      </c>
      <c r="BC204" s="510">
        <v>237.16</v>
      </c>
      <c r="BD204" s="510">
        <v>1222.49</v>
      </c>
      <c r="BE204" s="504">
        <v>0.2</v>
      </c>
      <c r="BF204" s="503">
        <v>0.22</v>
      </c>
      <c r="BG204" s="502">
        <v>16.66</v>
      </c>
      <c r="BH204" s="502">
        <v>1414.05</v>
      </c>
      <c r="BI204" s="502">
        <v>19.170000000000002</v>
      </c>
      <c r="BJ204" s="502"/>
      <c r="BK204" s="502"/>
      <c r="BL204" s="510">
        <v>750</v>
      </c>
      <c r="BM204" s="511">
        <v>0.16200000000000001</v>
      </c>
      <c r="BN204" s="511"/>
      <c r="BO204" s="511" t="s">
        <v>5340</v>
      </c>
      <c r="BP204" s="510">
        <v>933</v>
      </c>
      <c r="BQ204" s="510"/>
      <c r="BR204" s="511">
        <v>0.22</v>
      </c>
      <c r="BS204" s="252"/>
      <c r="BT204" s="252"/>
      <c r="BU204" s="524">
        <f t="shared" si="41"/>
        <v>198</v>
      </c>
      <c r="BV204" s="489">
        <v>158.63</v>
      </c>
      <c r="BW204" s="304">
        <v>4.4999999999999998E-2</v>
      </c>
      <c r="BX204" s="254">
        <v>405.18</v>
      </c>
      <c r="BY204" s="304">
        <v>3.9399999999999998E-2</v>
      </c>
      <c r="BZ204" s="494">
        <v>19.170000000000002</v>
      </c>
      <c r="CA204" s="497">
        <v>0.3</v>
      </c>
      <c r="CB204" s="497"/>
      <c r="CC204" s="494">
        <v>424</v>
      </c>
      <c r="CD204" s="241">
        <f t="shared" si="33"/>
        <v>198</v>
      </c>
      <c r="CE204" s="2">
        <v>546.33000000000004</v>
      </c>
      <c r="CF204" s="2">
        <v>490.8</v>
      </c>
      <c r="CG204" s="2"/>
      <c r="CH204" s="84">
        <v>0.06</v>
      </c>
      <c r="CI204" s="84">
        <v>0.06</v>
      </c>
      <c r="CJ204" s="252"/>
      <c r="CK204" s="252"/>
      <c r="CL204" s="252">
        <v>546.33000000000004</v>
      </c>
      <c r="CM204" s="253"/>
      <c r="CO204" s="253">
        <v>0.08</v>
      </c>
      <c r="CU204" s="266">
        <f t="shared" si="34"/>
        <v>181</v>
      </c>
      <c r="CV204" s="267">
        <f t="shared" si="35"/>
        <v>362</v>
      </c>
      <c r="CW204" s="268">
        <f t="shared" si="36"/>
        <v>904.99</v>
      </c>
      <c r="CX204" s="418">
        <v>184</v>
      </c>
      <c r="CY204" s="252"/>
      <c r="CZ204" s="252"/>
      <c r="DA204" s="252"/>
      <c r="DB204" s="252"/>
      <c r="DC204" s="252"/>
      <c r="DD204" s="252"/>
      <c r="DE204" s="252"/>
      <c r="DF204" s="252">
        <f t="shared" si="42"/>
        <v>0</v>
      </c>
      <c r="DG204" s="252"/>
      <c r="DH204" s="252">
        <v>489.06</v>
      </c>
      <c r="DI204" s="252"/>
      <c r="DK204" s="252"/>
      <c r="DL204" s="252"/>
      <c r="DP204" s="6">
        <v>7.2499999999999995E-2</v>
      </c>
      <c r="DQ204" s="252">
        <v>39.42</v>
      </c>
      <c r="DR204" s="3">
        <v>546.33000000000004</v>
      </c>
      <c r="DT204" s="241">
        <f t="shared" si="37"/>
        <v>198</v>
      </c>
      <c r="DU204" s="84"/>
      <c r="DV204" s="252">
        <v>720</v>
      </c>
      <c r="DY204" s="252">
        <v>405.18</v>
      </c>
      <c r="DZ204" s="264">
        <v>3.9399999999999998E-2</v>
      </c>
      <c r="EA204" s="252">
        <v>400</v>
      </c>
      <c r="EB204" s="253">
        <v>0</v>
      </c>
    </row>
    <row r="205" spans="1:132">
      <c r="A205">
        <v>199</v>
      </c>
      <c r="B205" s="259">
        <v>7.2023999999999999</v>
      </c>
      <c r="C205">
        <v>199</v>
      </c>
      <c r="D205" s="168">
        <f t="shared" si="32"/>
        <v>5.5970150196480439E-3</v>
      </c>
      <c r="E205" s="246">
        <v>45474</v>
      </c>
      <c r="F205" s="186">
        <v>0.55000000000000004</v>
      </c>
      <c r="G205" s="247">
        <v>246765.87419999999</v>
      </c>
      <c r="H205" s="247">
        <v>617.88009999999997</v>
      </c>
      <c r="I205" s="248">
        <v>136.9</v>
      </c>
      <c r="J205" s="258">
        <f t="shared" si="38"/>
        <v>5.8780308596619868E-3</v>
      </c>
      <c r="K205" s="298"/>
      <c r="L205" s="252">
        <v>300</v>
      </c>
      <c r="M205" s="263"/>
      <c r="N205" s="263"/>
      <c r="O205" s="473">
        <v>328.76</v>
      </c>
      <c r="P205" s="474">
        <v>328.76</v>
      </c>
      <c r="Q205" s="474">
        <v>430.86</v>
      </c>
      <c r="R205" s="475">
        <v>0.09</v>
      </c>
      <c r="S205" s="533">
        <f t="shared" si="39"/>
        <v>199</v>
      </c>
      <c r="T205" s="460">
        <v>75.260000000000005</v>
      </c>
      <c r="U205" s="460">
        <v>10.56</v>
      </c>
      <c r="V205" s="460">
        <v>353.76</v>
      </c>
      <c r="W205" s="460"/>
      <c r="X205" s="254">
        <v>51.09</v>
      </c>
      <c r="Y205" s="461">
        <v>7.4999999999999997E-2</v>
      </c>
      <c r="Z205" s="460">
        <v>22.5</v>
      </c>
      <c r="AA205" s="460">
        <v>10.26</v>
      </c>
      <c r="AB205" s="460">
        <v>437.73</v>
      </c>
      <c r="AC205" s="462">
        <v>353.75</v>
      </c>
      <c r="AD205" s="463">
        <v>0.3</v>
      </c>
      <c r="AE205" s="460">
        <v>40.83</v>
      </c>
      <c r="AF205" s="460">
        <v>61.32</v>
      </c>
      <c r="AG205" s="460">
        <v>20.62</v>
      </c>
      <c r="AH205" s="460"/>
      <c r="AI205" s="460">
        <v>557</v>
      </c>
      <c r="AJ205" s="460"/>
      <c r="AK205" s="460"/>
      <c r="AL205" s="253"/>
      <c r="AM205" s="273">
        <v>0.1</v>
      </c>
      <c r="AN205" s="255">
        <v>0.08</v>
      </c>
      <c r="AO205" s="160">
        <v>0.1</v>
      </c>
      <c r="AP205" s="536">
        <v>480.1</v>
      </c>
      <c r="AQ205" s="536"/>
      <c r="AR205" s="505">
        <f t="shared" si="40"/>
        <v>199</v>
      </c>
      <c r="AS205" s="480">
        <v>257.37</v>
      </c>
      <c r="AT205" s="480">
        <v>191.57</v>
      </c>
      <c r="AU205" s="480"/>
      <c r="AV205" s="480"/>
      <c r="AW205" s="480"/>
      <c r="AX205" s="480"/>
      <c r="AY205" s="480">
        <v>303.18</v>
      </c>
      <c r="AZ205" s="499" t="s">
        <v>5323</v>
      </c>
      <c r="BA205" s="502">
        <v>23.57</v>
      </c>
      <c r="BB205" s="501">
        <v>116.41</v>
      </c>
      <c r="BC205" s="510">
        <v>237.16</v>
      </c>
      <c r="BD205" s="510">
        <v>1222.49</v>
      </c>
      <c r="BE205" s="504">
        <v>0.2</v>
      </c>
      <c r="BF205" s="503">
        <v>0.22</v>
      </c>
      <c r="BG205" s="502">
        <v>16.66</v>
      </c>
      <c r="BH205" s="502">
        <v>1414.05</v>
      </c>
      <c r="BI205" s="502">
        <v>19.170000000000002</v>
      </c>
      <c r="BJ205" s="502"/>
      <c r="BK205" s="502"/>
      <c r="BL205" s="510">
        <v>750</v>
      </c>
      <c r="BM205" s="511">
        <v>0.16200000000000001</v>
      </c>
      <c r="BN205" s="511"/>
      <c r="BO205" s="511" t="s">
        <v>5340</v>
      </c>
      <c r="BP205" s="510">
        <v>933</v>
      </c>
      <c r="BQ205" s="510"/>
      <c r="BR205" s="511">
        <v>0.22</v>
      </c>
      <c r="BS205" s="252"/>
      <c r="BT205" s="252"/>
      <c r="BU205" s="524">
        <f t="shared" si="41"/>
        <v>199</v>
      </c>
      <c r="BV205" s="489">
        <v>158.63</v>
      </c>
      <c r="BW205" s="304">
        <v>4.4999999999999998E-2</v>
      </c>
      <c r="BX205" s="254">
        <v>405.18</v>
      </c>
      <c r="BY205" s="304">
        <v>3.9399999999999998E-2</v>
      </c>
      <c r="BZ205" s="494">
        <v>19.170000000000002</v>
      </c>
      <c r="CA205" s="497">
        <v>0.3</v>
      </c>
      <c r="CB205" s="497"/>
      <c r="CC205" s="494">
        <v>424</v>
      </c>
      <c r="CD205" s="241">
        <f t="shared" si="33"/>
        <v>199</v>
      </c>
      <c r="CE205" s="2">
        <v>546.33000000000004</v>
      </c>
      <c r="CF205" s="2">
        <v>490.8</v>
      </c>
      <c r="CG205" s="2"/>
      <c r="CH205" s="84">
        <v>0.06</v>
      </c>
      <c r="CI205" s="84">
        <v>0.06</v>
      </c>
      <c r="CJ205" s="252"/>
      <c r="CK205" s="252"/>
      <c r="CL205" s="252">
        <v>546.33000000000004</v>
      </c>
      <c r="CM205" s="253"/>
      <c r="CO205" s="5">
        <v>0.08</v>
      </c>
      <c r="CU205" s="266">
        <f t="shared" si="34"/>
        <v>181</v>
      </c>
      <c r="CV205" s="267">
        <f t="shared" si="35"/>
        <v>362</v>
      </c>
      <c r="CW205" s="268">
        <f t="shared" si="36"/>
        <v>904.99</v>
      </c>
      <c r="CX205" s="418">
        <v>184</v>
      </c>
      <c r="CY205" s="252"/>
      <c r="CZ205" s="252"/>
      <c r="DA205" s="252"/>
      <c r="DB205" s="252"/>
      <c r="DC205" s="252"/>
      <c r="DD205" s="252"/>
      <c r="DE205" s="252"/>
      <c r="DF205" s="252">
        <f t="shared" si="42"/>
        <v>0</v>
      </c>
      <c r="DG205" s="252"/>
      <c r="DH205" s="252">
        <v>489.06</v>
      </c>
      <c r="DI205" s="252"/>
      <c r="DK205" s="252"/>
      <c r="DL205" s="252"/>
      <c r="DP205" s="6">
        <v>7.2499999999999995E-2</v>
      </c>
      <c r="DQ205" s="252">
        <v>39.42</v>
      </c>
      <c r="DR205" s="3">
        <v>546.33000000000004</v>
      </c>
      <c r="DT205" s="241">
        <f t="shared" si="37"/>
        <v>199</v>
      </c>
      <c r="DU205" s="84"/>
      <c r="DV205" s="252">
        <v>720</v>
      </c>
      <c r="DY205" s="252">
        <v>405.18</v>
      </c>
      <c r="DZ205" s="264">
        <v>3.9399999999999998E-2</v>
      </c>
      <c r="EA205" s="252">
        <v>400</v>
      </c>
      <c r="EB205" s="253">
        <v>0</v>
      </c>
    </row>
    <row r="206" spans="1:132">
      <c r="A206">
        <v>200</v>
      </c>
      <c r="B206" s="259">
        <v>8.2024000000000008</v>
      </c>
      <c r="C206">
        <v>200</v>
      </c>
      <c r="D206" s="168">
        <f t="shared" si="32"/>
        <v>9.2764378681662318E-3</v>
      </c>
      <c r="E206" s="246">
        <v>45505</v>
      </c>
      <c r="F206" s="186">
        <v>0.92</v>
      </c>
      <c r="G206" s="247">
        <v>249054.98250000001</v>
      </c>
      <c r="H206" s="247">
        <v>623.61180000000002</v>
      </c>
      <c r="I206" s="248">
        <v>138.1</v>
      </c>
      <c r="J206" s="258">
        <f t="shared" ref="J206:J210" si="43">+I206/I205-1</f>
        <v>8.765522279035709E-3</v>
      </c>
      <c r="K206" s="298"/>
      <c r="L206" s="252">
        <v>300</v>
      </c>
      <c r="M206" s="263"/>
      <c r="N206" s="263"/>
      <c r="O206" s="473">
        <v>328.76</v>
      </c>
      <c r="P206" s="474">
        <v>328.76</v>
      </c>
      <c r="Q206" s="474">
        <v>430.86</v>
      </c>
      <c r="R206" s="475">
        <v>0.09</v>
      </c>
      <c r="S206" s="533">
        <f t="shared" si="39"/>
        <v>200</v>
      </c>
      <c r="T206" s="460">
        <v>75.260000000000005</v>
      </c>
      <c r="U206" s="460">
        <v>10.56</v>
      </c>
      <c r="V206" s="460">
        <v>353.76</v>
      </c>
      <c r="W206" s="460"/>
      <c r="X206" s="254">
        <v>51.09</v>
      </c>
      <c r="Y206" s="461">
        <v>7.4999999999999997E-2</v>
      </c>
      <c r="Z206" s="460">
        <v>22.5</v>
      </c>
      <c r="AA206" s="460">
        <v>10.26</v>
      </c>
      <c r="AB206" s="460">
        <v>437.73</v>
      </c>
      <c r="AC206" s="462">
        <v>353.75</v>
      </c>
      <c r="AD206" s="463">
        <v>0.3</v>
      </c>
      <c r="AE206" s="460">
        <v>40.83</v>
      </c>
      <c r="AF206" s="460">
        <v>61.32</v>
      </c>
      <c r="AG206" s="460">
        <v>20.62</v>
      </c>
      <c r="AH206" s="460"/>
      <c r="AI206" s="460">
        <v>557</v>
      </c>
      <c r="AJ206" s="460"/>
      <c r="AK206" s="460"/>
      <c r="AL206" s="253"/>
      <c r="AM206" s="273">
        <v>0.1</v>
      </c>
      <c r="AN206" s="255">
        <v>0.08</v>
      </c>
      <c r="AO206" s="160">
        <v>0.1</v>
      </c>
      <c r="AP206" s="536">
        <v>480.1</v>
      </c>
      <c r="AQ206" s="536"/>
      <c r="AR206" s="505">
        <f t="shared" si="40"/>
        <v>200</v>
      </c>
      <c r="AS206" s="480">
        <v>257.37</v>
      </c>
      <c r="AT206" s="480">
        <v>191.57</v>
      </c>
      <c r="AU206" s="480"/>
      <c r="AV206" s="480"/>
      <c r="AW206" s="480"/>
      <c r="AX206" s="480"/>
      <c r="AY206" s="480">
        <v>303.18</v>
      </c>
      <c r="AZ206" s="499" t="s">
        <v>5323</v>
      </c>
      <c r="BA206" s="502">
        <v>23.57</v>
      </c>
      <c r="BB206" s="501">
        <v>116.41</v>
      </c>
      <c r="BC206" s="510">
        <v>237.16</v>
      </c>
      <c r="BD206" s="510">
        <v>1222.49</v>
      </c>
      <c r="BE206" s="504">
        <v>0.2</v>
      </c>
      <c r="BF206" s="503">
        <v>0.22</v>
      </c>
      <c r="BG206" s="502">
        <v>16.66</v>
      </c>
      <c r="BH206" s="502">
        <v>1414.05</v>
      </c>
      <c r="BI206" s="502">
        <v>19.170000000000002</v>
      </c>
      <c r="BJ206" s="502"/>
      <c r="BK206" s="502"/>
      <c r="BL206" s="510">
        <v>750</v>
      </c>
      <c r="BM206" s="511">
        <v>0.16200000000000001</v>
      </c>
      <c r="BN206" s="511"/>
      <c r="BO206" s="511" t="s">
        <v>5340</v>
      </c>
      <c r="BP206" s="510">
        <v>933</v>
      </c>
      <c r="BQ206" s="510"/>
      <c r="BR206" s="511">
        <v>0.22</v>
      </c>
      <c r="BS206" s="252"/>
      <c r="BT206" s="252"/>
      <c r="BU206" s="524">
        <f t="shared" si="41"/>
        <v>200</v>
      </c>
      <c r="BV206" s="489">
        <v>158.63</v>
      </c>
      <c r="BW206" s="304">
        <v>4.4999999999999998E-2</v>
      </c>
      <c r="BX206" s="254">
        <v>405.18</v>
      </c>
      <c r="BY206" s="304">
        <v>3.9399999999999998E-2</v>
      </c>
      <c r="BZ206" s="494">
        <v>19.170000000000002</v>
      </c>
      <c r="CA206" s="497">
        <v>0.3</v>
      </c>
      <c r="CB206" s="497"/>
      <c r="CC206" s="494">
        <v>424</v>
      </c>
      <c r="CD206" s="241">
        <f t="shared" si="33"/>
        <v>200</v>
      </c>
      <c r="CE206" s="2">
        <v>546.33000000000004</v>
      </c>
      <c r="CF206" s="2">
        <v>490.8</v>
      </c>
      <c r="CG206" s="2"/>
      <c r="CH206" s="84">
        <v>0.06</v>
      </c>
      <c r="CI206" s="84">
        <v>0.06</v>
      </c>
      <c r="CJ206" s="252"/>
      <c r="CK206" s="252"/>
      <c r="CL206" s="252">
        <v>546.33000000000004</v>
      </c>
      <c r="CM206" s="253"/>
      <c r="CO206" s="253">
        <v>0.08</v>
      </c>
      <c r="CU206" s="266">
        <f t="shared" si="34"/>
        <v>181</v>
      </c>
      <c r="CV206" s="267">
        <f t="shared" si="35"/>
        <v>362</v>
      </c>
      <c r="CW206" s="268">
        <f t="shared" si="36"/>
        <v>904.99</v>
      </c>
      <c r="CX206" s="418">
        <v>184</v>
      </c>
      <c r="CY206" s="252"/>
      <c r="CZ206" s="252"/>
      <c r="DA206" s="252"/>
      <c r="DB206" s="252"/>
      <c r="DC206" s="252"/>
      <c r="DD206" s="252"/>
      <c r="DE206" s="252"/>
      <c r="DF206" s="252">
        <f t="shared" si="42"/>
        <v>0</v>
      </c>
      <c r="DG206" s="252"/>
      <c r="DH206" s="252">
        <v>489.06</v>
      </c>
      <c r="DI206" s="252"/>
      <c r="DK206" s="252"/>
      <c r="DL206" s="252"/>
      <c r="DP206" s="6">
        <v>7.2499999999999995E-2</v>
      </c>
      <c r="DQ206" s="252">
        <v>39.42</v>
      </c>
      <c r="DR206" s="3">
        <v>546.33000000000004</v>
      </c>
      <c r="DT206" s="241">
        <f t="shared" si="37"/>
        <v>200</v>
      </c>
      <c r="DU206" s="84"/>
      <c r="DV206" s="252">
        <v>720</v>
      </c>
      <c r="DY206" s="252">
        <v>405.18</v>
      </c>
      <c r="DZ206" s="264">
        <v>3.9399999999999998E-2</v>
      </c>
      <c r="EA206" s="252">
        <v>400</v>
      </c>
      <c r="EB206" s="253">
        <v>0</v>
      </c>
    </row>
    <row r="207" spans="1:132">
      <c r="A207">
        <v>201</v>
      </c>
      <c r="B207" s="259">
        <v>9.2024000000000008</v>
      </c>
      <c r="C207">
        <v>201</v>
      </c>
      <c r="D207" s="168">
        <f t="shared" si="32"/>
        <v>-1.8382354587104244E-3</v>
      </c>
      <c r="E207" s="246">
        <v>45536</v>
      </c>
      <c r="F207" s="186">
        <v>-0.19</v>
      </c>
      <c r="G207" s="247">
        <v>248597.16080000001</v>
      </c>
      <c r="H207" s="247">
        <v>622.46550000000002</v>
      </c>
      <c r="I207" s="248">
        <v>137.9</v>
      </c>
      <c r="J207" s="258">
        <f t="shared" si="43"/>
        <v>-1.4482259232438954E-3</v>
      </c>
      <c r="K207" s="298"/>
      <c r="L207" s="252">
        <v>300</v>
      </c>
      <c r="M207" s="263"/>
      <c r="N207" s="263"/>
      <c r="O207" s="473">
        <v>328.76</v>
      </c>
      <c r="P207" s="474">
        <v>328.76</v>
      </c>
      <c r="Q207" s="474">
        <v>430.86</v>
      </c>
      <c r="R207" s="475">
        <v>0.09</v>
      </c>
      <c r="S207" s="533">
        <f t="shared" si="39"/>
        <v>201</v>
      </c>
      <c r="T207" s="460">
        <v>75.260000000000005</v>
      </c>
      <c r="U207" s="460">
        <v>10.56</v>
      </c>
      <c r="V207" s="460">
        <v>353.76</v>
      </c>
      <c r="W207" s="460"/>
      <c r="X207" s="254">
        <v>51.09</v>
      </c>
      <c r="Y207" s="461">
        <v>7.4999999999999997E-2</v>
      </c>
      <c r="Z207" s="460">
        <v>22.5</v>
      </c>
      <c r="AA207" s="460">
        <v>10.26</v>
      </c>
      <c r="AB207" s="460">
        <v>437.73</v>
      </c>
      <c r="AC207" s="462">
        <v>353.75</v>
      </c>
      <c r="AD207" s="463">
        <v>0.3</v>
      </c>
      <c r="AE207" s="460">
        <v>40.83</v>
      </c>
      <c r="AF207" s="460">
        <v>61.32</v>
      </c>
      <c r="AG207" s="460">
        <v>20.62</v>
      </c>
      <c r="AH207" s="460"/>
      <c r="AI207" s="460">
        <v>557</v>
      </c>
      <c r="AJ207" s="460"/>
      <c r="AK207" s="460"/>
      <c r="AL207" s="253"/>
      <c r="AM207" s="273">
        <v>0.1</v>
      </c>
      <c r="AN207" s="255">
        <v>0.08</v>
      </c>
      <c r="AO207" s="160">
        <v>0.1</v>
      </c>
      <c r="AP207" s="536">
        <v>480.1</v>
      </c>
      <c r="AQ207" s="536"/>
      <c r="AR207" s="505">
        <f t="shared" si="40"/>
        <v>201</v>
      </c>
      <c r="AS207" s="480">
        <v>257.37</v>
      </c>
      <c r="AT207" s="480">
        <v>191.57</v>
      </c>
      <c r="AU207" s="480"/>
      <c r="AV207" s="480"/>
      <c r="AW207" s="480"/>
      <c r="AX207" s="480"/>
      <c r="AY207" s="480">
        <v>303.18</v>
      </c>
      <c r="AZ207" s="499" t="s">
        <v>5323</v>
      </c>
      <c r="BA207" s="502">
        <v>23.57</v>
      </c>
      <c r="BB207" s="501">
        <v>116.41</v>
      </c>
      <c r="BC207" s="510">
        <v>237.16</v>
      </c>
      <c r="BD207" s="510">
        <v>1222.49</v>
      </c>
      <c r="BE207" s="504">
        <v>0.2</v>
      </c>
      <c r="BF207" s="503">
        <v>0.22</v>
      </c>
      <c r="BG207" s="502">
        <v>16.66</v>
      </c>
      <c r="BH207" s="502">
        <v>1414.05</v>
      </c>
      <c r="BI207" s="502">
        <v>19.170000000000002</v>
      </c>
      <c r="BJ207" s="502"/>
      <c r="BK207" s="502"/>
      <c r="BL207" s="510">
        <v>750</v>
      </c>
      <c r="BM207" s="511">
        <v>0.16200000000000001</v>
      </c>
      <c r="BN207" s="511"/>
      <c r="BO207" s="511" t="s">
        <v>5340</v>
      </c>
      <c r="BP207" s="510">
        <v>933</v>
      </c>
      <c r="BQ207" s="510"/>
      <c r="BR207" s="511">
        <v>0.22</v>
      </c>
      <c r="BS207" s="252"/>
      <c r="BT207" s="252"/>
      <c r="BU207" s="524">
        <f t="shared" si="41"/>
        <v>201</v>
      </c>
      <c r="BV207" s="489">
        <v>158.63</v>
      </c>
      <c r="BW207" s="304">
        <v>4.4999999999999998E-2</v>
      </c>
      <c r="BX207" s="254">
        <v>405.18</v>
      </c>
      <c r="BY207" s="304">
        <v>3.9399999999999998E-2</v>
      </c>
      <c r="BZ207" s="494">
        <v>19.170000000000002</v>
      </c>
      <c r="CA207" s="497">
        <v>0.3</v>
      </c>
      <c r="CB207" s="497"/>
      <c r="CC207" s="494">
        <v>424</v>
      </c>
      <c r="CD207" s="241">
        <f t="shared" si="33"/>
        <v>201</v>
      </c>
      <c r="CE207" s="2">
        <v>546.33000000000004</v>
      </c>
      <c r="CF207" s="2">
        <v>490.8</v>
      </c>
      <c r="CG207" s="2"/>
      <c r="CH207" s="84">
        <v>0.06</v>
      </c>
      <c r="CI207" s="84">
        <v>0.06</v>
      </c>
      <c r="CJ207" s="252"/>
      <c r="CK207" s="252"/>
      <c r="CL207" s="252">
        <v>546.33000000000004</v>
      </c>
      <c r="CM207" s="253"/>
      <c r="CO207" s="5">
        <v>0.08</v>
      </c>
      <c r="CU207" s="266">
        <f t="shared" si="34"/>
        <v>181</v>
      </c>
      <c r="CV207" s="267">
        <f t="shared" si="35"/>
        <v>362</v>
      </c>
      <c r="CW207" s="268">
        <f t="shared" si="36"/>
        <v>904.99</v>
      </c>
      <c r="CX207" s="418">
        <v>184</v>
      </c>
      <c r="CY207" s="252"/>
      <c r="CZ207" s="252"/>
      <c r="DA207" s="252"/>
      <c r="DB207" s="252"/>
      <c r="DC207" s="252"/>
      <c r="DD207" s="252"/>
      <c r="DE207" s="252"/>
      <c r="DF207" s="252">
        <f t="shared" si="42"/>
        <v>0</v>
      </c>
      <c r="DG207" s="252"/>
      <c r="DH207" s="252">
        <v>489.06</v>
      </c>
      <c r="DI207" s="252"/>
      <c r="DK207" s="252"/>
      <c r="DL207" s="252"/>
      <c r="DP207" s="6">
        <v>7.2499999999999995E-2</v>
      </c>
      <c r="DQ207" s="252">
        <v>39.42</v>
      </c>
      <c r="DR207" s="3">
        <v>546.33000000000004</v>
      </c>
      <c r="DT207" s="241">
        <f t="shared" si="37"/>
        <v>201</v>
      </c>
      <c r="DU207" s="84"/>
      <c r="DV207" s="252">
        <v>720</v>
      </c>
      <c r="DY207" s="252">
        <v>405.18</v>
      </c>
      <c r="DZ207" s="264">
        <v>3.9399999999999998E-2</v>
      </c>
      <c r="EA207" s="252">
        <v>400</v>
      </c>
      <c r="EB207" s="253">
        <v>0</v>
      </c>
    </row>
    <row r="208" spans="1:132">
      <c r="A208">
        <v>202</v>
      </c>
      <c r="B208" s="259">
        <v>10.202400000000001</v>
      </c>
      <c r="C208">
        <v>202</v>
      </c>
      <c r="D208" s="168">
        <f t="shared" si="32"/>
        <v>4.6040513749905365E-3</v>
      </c>
      <c r="E208" s="246">
        <v>45566</v>
      </c>
      <c r="F208" s="186">
        <v>0.46</v>
      </c>
      <c r="G208" s="247">
        <v>249741.71489999999</v>
      </c>
      <c r="H208" s="247">
        <v>625.33140000000003</v>
      </c>
      <c r="I208" s="248">
        <v>138.5</v>
      </c>
      <c r="J208" s="258">
        <f t="shared" si="43"/>
        <v>4.35097897026826E-3</v>
      </c>
      <c r="K208" s="298"/>
      <c r="L208" s="252">
        <v>300</v>
      </c>
      <c r="M208" s="263"/>
      <c r="N208" s="263"/>
      <c r="O208" s="473">
        <v>328.76</v>
      </c>
      <c r="P208" s="474">
        <v>328.76</v>
      </c>
      <c r="Q208" s="474">
        <v>430.86</v>
      </c>
      <c r="R208" s="475">
        <v>0.09</v>
      </c>
      <c r="S208" s="533">
        <f t="shared" si="39"/>
        <v>202</v>
      </c>
      <c r="T208" s="460">
        <v>75.260000000000005</v>
      </c>
      <c r="U208" s="460">
        <v>10.56</v>
      </c>
      <c r="V208" s="460">
        <v>353.76</v>
      </c>
      <c r="W208" s="460"/>
      <c r="X208" s="254">
        <v>51.09</v>
      </c>
      <c r="Y208" s="461">
        <v>7.4999999999999997E-2</v>
      </c>
      <c r="Z208" s="460">
        <v>22.5</v>
      </c>
      <c r="AA208" s="460">
        <v>10.26</v>
      </c>
      <c r="AB208" s="460">
        <v>437.73</v>
      </c>
      <c r="AC208" s="462">
        <v>353.75</v>
      </c>
      <c r="AD208" s="463">
        <v>0.3</v>
      </c>
      <c r="AE208" s="460">
        <v>40.83</v>
      </c>
      <c r="AF208" s="460">
        <v>61.32</v>
      </c>
      <c r="AG208" s="460">
        <v>20.62</v>
      </c>
      <c r="AH208" s="460"/>
      <c r="AI208" s="460">
        <v>557</v>
      </c>
      <c r="AJ208" s="460">
        <v>720</v>
      </c>
      <c r="AK208" s="460"/>
      <c r="AL208" s="253"/>
      <c r="AM208" s="273">
        <v>0.1</v>
      </c>
      <c r="AN208" s="255">
        <v>0.08</v>
      </c>
      <c r="AO208" s="160">
        <v>0.1</v>
      </c>
      <c r="AP208" s="536">
        <v>480.1</v>
      </c>
      <c r="AQ208" s="536"/>
      <c r="AR208" s="505">
        <f t="shared" si="40"/>
        <v>202</v>
      </c>
      <c r="AS208" s="480">
        <v>257.37</v>
      </c>
      <c r="AT208" s="480">
        <v>191.57</v>
      </c>
      <c r="AU208" s="480"/>
      <c r="AV208" s="480"/>
      <c r="AW208" s="480"/>
      <c r="AX208" s="480"/>
      <c r="AY208" s="480">
        <v>303.18</v>
      </c>
      <c r="AZ208" s="499" t="s">
        <v>5323</v>
      </c>
      <c r="BA208" s="502">
        <v>23.57</v>
      </c>
      <c r="BB208" s="501">
        <v>116.41</v>
      </c>
      <c r="BC208" s="510">
        <v>237.16</v>
      </c>
      <c r="BD208" s="510">
        <v>1222.49</v>
      </c>
      <c r="BE208" s="504">
        <v>0.2</v>
      </c>
      <c r="BF208" s="503">
        <v>0.22</v>
      </c>
      <c r="BG208" s="502">
        <v>16.66</v>
      </c>
      <c r="BH208" s="502">
        <v>1414.05</v>
      </c>
      <c r="BI208" s="502">
        <v>19.170000000000002</v>
      </c>
      <c r="BJ208" s="502"/>
      <c r="BK208" s="502"/>
      <c r="BL208" s="510">
        <v>750</v>
      </c>
      <c r="BM208" s="511">
        <v>0.16200000000000001</v>
      </c>
      <c r="BN208" s="511"/>
      <c r="BO208" s="511" t="s">
        <v>5340</v>
      </c>
      <c r="BP208" s="510">
        <v>933</v>
      </c>
      <c r="BQ208" s="510"/>
      <c r="BR208" s="511">
        <v>0.22</v>
      </c>
      <c r="BS208" s="252"/>
      <c r="BT208" s="252"/>
      <c r="BU208" s="524">
        <f t="shared" si="41"/>
        <v>202</v>
      </c>
      <c r="BV208" s="489">
        <v>158.63</v>
      </c>
      <c r="BW208" s="304">
        <v>4.4999999999999998E-2</v>
      </c>
      <c r="BX208" s="254">
        <v>405.18</v>
      </c>
      <c r="BY208" s="304">
        <v>3.9399999999999998E-2</v>
      </c>
      <c r="BZ208" s="494">
        <v>19.170000000000002</v>
      </c>
      <c r="CA208" s="497">
        <v>0.3</v>
      </c>
      <c r="CB208" s="497"/>
      <c r="CC208" s="494">
        <v>424</v>
      </c>
      <c r="CD208" s="241">
        <f t="shared" si="33"/>
        <v>202</v>
      </c>
      <c r="CE208" s="2">
        <v>546.33000000000004</v>
      </c>
      <c r="CF208" s="2">
        <v>490.8</v>
      </c>
      <c r="CG208" s="2"/>
      <c r="CH208" s="84">
        <v>0.06</v>
      </c>
      <c r="CI208" s="84">
        <v>0.06</v>
      </c>
      <c r="CJ208" s="252"/>
      <c r="CK208" s="252"/>
      <c r="CL208" s="252">
        <v>546.33000000000004</v>
      </c>
      <c r="CM208" s="253"/>
      <c r="CO208" s="253">
        <v>0.08</v>
      </c>
      <c r="CU208" s="266">
        <f t="shared" si="34"/>
        <v>181</v>
      </c>
      <c r="CV208" s="267">
        <f t="shared" si="35"/>
        <v>362</v>
      </c>
      <c r="CW208" s="268">
        <f t="shared" si="36"/>
        <v>904.99</v>
      </c>
      <c r="CX208" s="418">
        <v>184</v>
      </c>
      <c r="CY208" s="252"/>
      <c r="CZ208" s="252"/>
      <c r="DA208" s="252"/>
      <c r="DB208" s="252"/>
      <c r="DC208" s="252"/>
      <c r="DD208" s="252"/>
      <c r="DE208" s="252"/>
      <c r="DF208" s="252">
        <f t="shared" si="42"/>
        <v>0</v>
      </c>
      <c r="DG208" s="252"/>
      <c r="DH208" s="252">
        <v>489.06</v>
      </c>
      <c r="DI208" s="252"/>
      <c r="DK208" s="252"/>
      <c r="DL208" s="252"/>
      <c r="DP208" s="6">
        <v>7.2499999999999995E-2</v>
      </c>
      <c r="DQ208" s="252">
        <v>39.42</v>
      </c>
      <c r="DR208" s="3">
        <v>546.33000000000004</v>
      </c>
      <c r="DT208" s="241">
        <f t="shared" si="37"/>
        <v>202</v>
      </c>
      <c r="DU208" s="84"/>
      <c r="DV208" s="252">
        <v>720</v>
      </c>
      <c r="DY208" s="252">
        <v>405.18</v>
      </c>
      <c r="DZ208" s="264">
        <v>3.9399999999999998E-2</v>
      </c>
      <c r="EA208" s="252">
        <v>500</v>
      </c>
      <c r="EB208" s="253">
        <v>0</v>
      </c>
    </row>
    <row r="209" spans="1:132">
      <c r="A209">
        <v>203</v>
      </c>
      <c r="B209" s="259">
        <v>11.202400000000001</v>
      </c>
      <c r="C209">
        <v>203</v>
      </c>
      <c r="D209" s="168">
        <f t="shared" si="32"/>
        <v>-3.666361065738033E-3</v>
      </c>
      <c r="E209" s="246">
        <v>45597</v>
      </c>
      <c r="F209" s="186">
        <v>-0.37</v>
      </c>
      <c r="G209" s="247">
        <v>248826.0716</v>
      </c>
      <c r="H209" s="247">
        <v>623.03869999999995</v>
      </c>
      <c r="I209" s="248">
        <v>138</v>
      </c>
      <c r="J209" s="258">
        <f t="shared" si="43"/>
        <v>-3.6101083032491488E-3</v>
      </c>
      <c r="K209" s="298"/>
      <c r="L209" s="252">
        <v>300</v>
      </c>
      <c r="M209" s="263"/>
      <c r="N209" s="263"/>
      <c r="O209" s="473">
        <v>328.76</v>
      </c>
      <c r="P209" s="474">
        <v>328.76</v>
      </c>
      <c r="Q209" s="474">
        <v>430.86</v>
      </c>
      <c r="R209" s="475">
        <v>0.09</v>
      </c>
      <c r="S209" s="533">
        <f t="shared" si="39"/>
        <v>203</v>
      </c>
      <c r="T209" s="460">
        <v>75.260000000000005</v>
      </c>
      <c r="U209" s="460">
        <v>10.56</v>
      </c>
      <c r="V209" s="460">
        <v>353.76</v>
      </c>
      <c r="W209" s="460"/>
      <c r="X209" s="254">
        <v>51.09</v>
      </c>
      <c r="Y209" s="461">
        <v>7.4999999999999997E-2</v>
      </c>
      <c r="Z209" s="460">
        <v>22.5</v>
      </c>
      <c r="AA209" s="460">
        <v>10.26</v>
      </c>
      <c r="AB209" s="460">
        <v>437.73</v>
      </c>
      <c r="AC209" s="462">
        <v>353.75</v>
      </c>
      <c r="AD209" s="463">
        <v>0.3</v>
      </c>
      <c r="AE209" s="460">
        <v>40.83</v>
      </c>
      <c r="AF209" s="460">
        <v>61.32</v>
      </c>
      <c r="AG209" s="460">
        <v>20.62</v>
      </c>
      <c r="AH209" s="460"/>
      <c r="AI209" s="460">
        <v>557</v>
      </c>
      <c r="AJ209" s="460">
        <v>720</v>
      </c>
      <c r="AK209" s="460"/>
      <c r="AL209" s="253"/>
      <c r="AM209" s="273">
        <v>0.1</v>
      </c>
      <c r="AN209" s="255">
        <v>0.08</v>
      </c>
      <c r="AO209" s="160">
        <v>0.1</v>
      </c>
      <c r="AP209" s="536">
        <v>480.1</v>
      </c>
      <c r="AQ209" s="536"/>
      <c r="AR209" s="505">
        <f t="shared" si="40"/>
        <v>203</v>
      </c>
      <c r="AS209" s="480">
        <v>257.37</v>
      </c>
      <c r="AT209" s="480">
        <v>191.57</v>
      </c>
      <c r="AU209" s="480"/>
      <c r="AV209" s="480"/>
      <c r="AW209" s="480"/>
      <c r="AX209" s="480"/>
      <c r="AY209" s="480">
        <v>303.18</v>
      </c>
      <c r="AZ209" s="499" t="s">
        <v>5323</v>
      </c>
      <c r="BA209" s="502">
        <v>23.57</v>
      </c>
      <c r="BB209" s="501">
        <v>116.41</v>
      </c>
      <c r="BC209" s="510">
        <v>237.16</v>
      </c>
      <c r="BD209" s="510">
        <v>1222.49</v>
      </c>
      <c r="BE209" s="504">
        <v>0.2</v>
      </c>
      <c r="BF209" s="503">
        <v>0.22</v>
      </c>
      <c r="BG209" s="502">
        <v>16.66</v>
      </c>
      <c r="BH209" s="502">
        <v>1414.05</v>
      </c>
      <c r="BI209" s="502">
        <v>19.170000000000002</v>
      </c>
      <c r="BJ209" s="502"/>
      <c r="BK209" s="502"/>
      <c r="BL209" s="510">
        <v>750</v>
      </c>
      <c r="BM209" s="511">
        <v>0.16200000000000001</v>
      </c>
      <c r="BN209" s="511"/>
      <c r="BO209" s="511" t="s">
        <v>5340</v>
      </c>
      <c r="BP209" s="510">
        <v>933</v>
      </c>
      <c r="BQ209" s="510"/>
      <c r="BR209" s="511">
        <v>0.22</v>
      </c>
      <c r="BS209" s="252"/>
      <c r="BT209" s="252"/>
      <c r="BU209" s="524">
        <f t="shared" si="41"/>
        <v>203</v>
      </c>
      <c r="BV209" s="489">
        <v>158.63</v>
      </c>
      <c r="BW209" s="304">
        <v>4.4999999999999998E-2</v>
      </c>
      <c r="BX209" s="254">
        <v>405.18</v>
      </c>
      <c r="BY209" s="304">
        <v>3.9399999999999998E-2</v>
      </c>
      <c r="BZ209" s="494">
        <v>19.170000000000002</v>
      </c>
      <c r="CA209" s="497">
        <v>0.3</v>
      </c>
      <c r="CB209" s="497"/>
      <c r="CC209" s="494">
        <v>424</v>
      </c>
      <c r="CD209" s="241">
        <f t="shared" si="33"/>
        <v>203</v>
      </c>
      <c r="CE209" s="2">
        <v>546.33000000000004</v>
      </c>
      <c r="CF209" s="2">
        <v>490.8</v>
      </c>
      <c r="CG209" s="2"/>
      <c r="CH209" s="84">
        <v>0.06</v>
      </c>
      <c r="CI209" s="84">
        <v>0.06</v>
      </c>
      <c r="CJ209" s="252"/>
      <c r="CK209" s="252"/>
      <c r="CL209" s="252">
        <v>546.33000000000004</v>
      </c>
      <c r="CM209" s="253"/>
      <c r="CO209" s="5">
        <v>0.08</v>
      </c>
      <c r="CU209" s="266">
        <f t="shared" si="34"/>
        <v>181</v>
      </c>
      <c r="CV209" s="267">
        <f t="shared" si="35"/>
        <v>362</v>
      </c>
      <c r="CW209" s="268">
        <f t="shared" si="36"/>
        <v>904.99</v>
      </c>
      <c r="CX209" s="418">
        <v>184</v>
      </c>
      <c r="CY209" s="252"/>
      <c r="CZ209" s="252"/>
      <c r="DA209" s="252"/>
      <c r="DB209" s="252"/>
      <c r="DC209" s="252"/>
      <c r="DD209" s="252"/>
      <c r="DE209" s="252"/>
      <c r="DF209" s="252">
        <f t="shared" si="42"/>
        <v>0</v>
      </c>
      <c r="DG209" s="252"/>
      <c r="DH209" s="252">
        <v>489.06</v>
      </c>
      <c r="DI209" s="252"/>
      <c r="DK209" s="252"/>
      <c r="DL209" s="252"/>
      <c r="DP209" s="6">
        <v>7.2499999999999995E-2</v>
      </c>
      <c r="DQ209" s="252">
        <v>39.42</v>
      </c>
      <c r="DR209" s="3">
        <v>546.33000000000004</v>
      </c>
      <c r="DT209" s="241">
        <f t="shared" si="37"/>
        <v>203</v>
      </c>
      <c r="DU209" s="84"/>
      <c r="DV209" s="252">
        <v>720</v>
      </c>
      <c r="DY209" s="252">
        <v>405.18</v>
      </c>
      <c r="DZ209" s="264">
        <v>3.9399999999999998E-2</v>
      </c>
      <c r="EA209" s="252">
        <v>500</v>
      </c>
      <c r="EB209" s="253">
        <v>0</v>
      </c>
    </row>
    <row r="210" spans="1:132">
      <c r="A210">
        <v>204</v>
      </c>
      <c r="B210" s="259">
        <v>12.202400000000001</v>
      </c>
      <c r="C210">
        <v>204</v>
      </c>
      <c r="D210" s="168">
        <f t="shared" si="32"/>
        <v>-2.7598896513704174E-3</v>
      </c>
      <c r="E210" s="246">
        <v>45627</v>
      </c>
      <c r="F210" s="186">
        <v>-0.3</v>
      </c>
      <c r="G210" s="247">
        <v>248139.33910000001</v>
      </c>
      <c r="H210" s="247">
        <v>621.31920000000002</v>
      </c>
      <c r="I210" s="248">
        <v>137.6</v>
      </c>
      <c r="J210" s="258">
        <f t="shared" si="43"/>
        <v>-2.8985507246377384E-3</v>
      </c>
      <c r="K210" s="298"/>
      <c r="L210" s="252">
        <v>300</v>
      </c>
      <c r="M210" s="263"/>
      <c r="N210" s="263"/>
      <c r="O210" s="473">
        <v>328.76</v>
      </c>
      <c r="P210" s="474">
        <v>328.76</v>
      </c>
      <c r="Q210" s="474">
        <v>430.86</v>
      </c>
      <c r="R210" s="475">
        <v>0.09</v>
      </c>
      <c r="S210" s="533">
        <f t="shared" si="39"/>
        <v>204</v>
      </c>
      <c r="T210" s="460">
        <v>75.260000000000005</v>
      </c>
      <c r="U210" s="460">
        <v>10.56</v>
      </c>
      <c r="V210" s="460">
        <v>353.76</v>
      </c>
      <c r="W210" s="460"/>
      <c r="X210" s="254">
        <v>51.09</v>
      </c>
      <c r="Y210" s="461">
        <v>7.4999999999999997E-2</v>
      </c>
      <c r="Z210" s="460">
        <v>22.5</v>
      </c>
      <c r="AA210" s="460">
        <v>10.26</v>
      </c>
      <c r="AB210" s="460">
        <v>437.73</v>
      </c>
      <c r="AC210" s="462">
        <v>353.75</v>
      </c>
      <c r="AD210" s="463">
        <v>0.3</v>
      </c>
      <c r="AE210" s="460">
        <v>40.83</v>
      </c>
      <c r="AF210" s="460">
        <v>61.32</v>
      </c>
      <c r="AG210" s="460">
        <v>20.62</v>
      </c>
      <c r="AH210" s="460"/>
      <c r="AI210" s="460">
        <v>557</v>
      </c>
      <c r="AJ210" s="460">
        <v>720</v>
      </c>
      <c r="AK210" s="460"/>
      <c r="AL210" s="253"/>
      <c r="AM210" s="273">
        <v>0.1</v>
      </c>
      <c r="AN210" s="255">
        <v>0.08</v>
      </c>
      <c r="AO210" s="160">
        <v>0.1</v>
      </c>
      <c r="AP210" s="536">
        <v>480.1</v>
      </c>
      <c r="AQ210" s="536"/>
      <c r="AR210" s="505">
        <f t="shared" si="40"/>
        <v>204</v>
      </c>
      <c r="AS210" s="480">
        <v>257.37</v>
      </c>
      <c r="AT210" s="480">
        <v>191.57</v>
      </c>
      <c r="AU210" s="480"/>
      <c r="AV210" s="480"/>
      <c r="AW210" s="480"/>
      <c r="AX210" s="480"/>
      <c r="AY210" s="480">
        <v>303.18</v>
      </c>
      <c r="AZ210" s="499" t="s">
        <v>5323</v>
      </c>
      <c r="BA210" s="502">
        <v>23.57</v>
      </c>
      <c r="BB210" s="501">
        <v>116.41</v>
      </c>
      <c r="BC210" s="510">
        <v>237.16</v>
      </c>
      <c r="BD210" s="510">
        <v>1222.49</v>
      </c>
      <c r="BE210" s="504">
        <v>0.2</v>
      </c>
      <c r="BF210" s="503">
        <v>0.22</v>
      </c>
      <c r="BG210" s="502">
        <v>16.66</v>
      </c>
      <c r="BH210" s="502">
        <v>1414.05</v>
      </c>
      <c r="BI210" s="502">
        <v>19.170000000000002</v>
      </c>
      <c r="BJ210" s="502"/>
      <c r="BK210" s="502"/>
      <c r="BL210" s="510">
        <v>750</v>
      </c>
      <c r="BM210" s="511">
        <v>0.16200000000000001</v>
      </c>
      <c r="BN210" s="511"/>
      <c r="BO210" s="511" t="s">
        <v>5340</v>
      </c>
      <c r="BP210" s="510">
        <v>933</v>
      </c>
      <c r="BQ210" s="510"/>
      <c r="BR210" s="511">
        <v>0.22</v>
      </c>
      <c r="BS210" s="252"/>
      <c r="BT210" s="510">
        <v>704.63</v>
      </c>
      <c r="BU210" s="524">
        <f t="shared" si="41"/>
        <v>204</v>
      </c>
      <c r="BV210" s="489">
        <v>158.63</v>
      </c>
      <c r="BW210" s="304">
        <v>4.4999999999999998E-2</v>
      </c>
      <c r="BX210" s="254">
        <v>405.18</v>
      </c>
      <c r="BY210" s="304">
        <v>3.9399999999999998E-2</v>
      </c>
      <c r="BZ210" s="494">
        <v>19.170000000000002</v>
      </c>
      <c r="CA210" s="497">
        <v>0.3</v>
      </c>
      <c r="CB210" s="497"/>
      <c r="CC210" s="494">
        <v>424</v>
      </c>
      <c r="CD210" s="241">
        <f t="shared" si="33"/>
        <v>204</v>
      </c>
      <c r="CE210" s="2">
        <v>546.33000000000004</v>
      </c>
      <c r="CF210" s="2">
        <v>490.8</v>
      </c>
      <c r="CG210" s="2"/>
      <c r="CH210" s="84">
        <v>0.06</v>
      </c>
      <c r="CI210" s="84">
        <v>0.06</v>
      </c>
      <c r="CJ210" s="252"/>
      <c r="CK210" s="252"/>
      <c r="CL210" s="252">
        <v>546.33000000000004</v>
      </c>
      <c r="CM210" s="253"/>
      <c r="CO210" s="253">
        <v>0.08</v>
      </c>
      <c r="CU210" s="266">
        <f t="shared" si="34"/>
        <v>181</v>
      </c>
      <c r="CV210" s="267">
        <f t="shared" si="35"/>
        <v>362</v>
      </c>
      <c r="CW210" s="268">
        <f t="shared" si="36"/>
        <v>904.99</v>
      </c>
      <c r="CX210" s="418">
        <v>184</v>
      </c>
      <c r="CY210" s="252"/>
      <c r="CZ210" s="252"/>
      <c r="DA210" s="252"/>
      <c r="DB210" s="252"/>
      <c r="DC210" s="252"/>
      <c r="DD210" s="252"/>
      <c r="DE210" s="252"/>
      <c r="DF210" s="252">
        <f t="shared" si="42"/>
        <v>0</v>
      </c>
      <c r="DG210" s="252"/>
      <c r="DH210" s="252">
        <v>489.06</v>
      </c>
      <c r="DI210" s="252"/>
      <c r="DK210" s="252"/>
      <c r="DL210" s="252"/>
      <c r="DP210" s="6">
        <v>7.2499999999999995E-2</v>
      </c>
      <c r="DQ210" s="252">
        <v>39.42</v>
      </c>
      <c r="DR210" s="3">
        <v>546.33000000000004</v>
      </c>
      <c r="DT210" s="241">
        <f t="shared" si="37"/>
        <v>204</v>
      </c>
      <c r="DU210" s="84"/>
      <c r="DV210" s="252">
        <v>720</v>
      </c>
      <c r="DY210" s="252">
        <v>405.18</v>
      </c>
      <c r="DZ210" s="264">
        <v>3.9399999999999998E-2</v>
      </c>
      <c r="EA210" s="252">
        <v>500</v>
      </c>
      <c r="EB210" s="253">
        <v>0.02</v>
      </c>
    </row>
    <row r="211" spans="1:132">
      <c r="A211">
        <v>205</v>
      </c>
      <c r="B211" s="259">
        <v>1.2024999999999999</v>
      </c>
      <c r="C211">
        <v>205</v>
      </c>
      <c r="D211" s="168">
        <f t="shared" si="32"/>
        <v>5.6365314950579393E-3</v>
      </c>
      <c r="E211" s="246">
        <v>45658</v>
      </c>
      <c r="F211" s="186">
        <v>0.6</v>
      </c>
      <c r="G211" s="247">
        <v>249537.98430000001</v>
      </c>
      <c r="H211" s="247">
        <v>624.82119999999998</v>
      </c>
      <c r="I211" s="248">
        <v>138.4</v>
      </c>
      <c r="J211" s="258">
        <f>+I211/I210-1</f>
        <v>5.8139534883721034E-3</v>
      </c>
      <c r="K211" s="298"/>
      <c r="L211" s="252">
        <v>300</v>
      </c>
      <c r="M211" s="263"/>
      <c r="N211" s="263"/>
      <c r="O211" s="473">
        <v>328.76</v>
      </c>
      <c r="P211" s="474">
        <v>328.76</v>
      </c>
      <c r="Q211" s="474">
        <v>430.86</v>
      </c>
      <c r="R211" s="475">
        <v>0.09</v>
      </c>
      <c r="S211" s="533">
        <f t="shared" si="39"/>
        <v>205</v>
      </c>
      <c r="T211" s="460">
        <v>75.260000000000005</v>
      </c>
      <c r="U211" s="460">
        <v>10.56</v>
      </c>
      <c r="V211" s="460">
        <v>353.76</v>
      </c>
      <c r="W211" s="460"/>
      <c r="X211" s="254">
        <v>51.09</v>
      </c>
      <c r="Y211" s="461">
        <v>7.4999999999999997E-2</v>
      </c>
      <c r="Z211" s="460">
        <v>22.5</v>
      </c>
      <c r="AA211" s="460">
        <v>10.26</v>
      </c>
      <c r="AB211" s="460">
        <v>437.73</v>
      </c>
      <c r="AC211" s="462">
        <v>353.75</v>
      </c>
      <c r="AD211" s="463">
        <v>0.3</v>
      </c>
      <c r="AE211" s="460">
        <v>40.83</v>
      </c>
      <c r="AF211" s="460">
        <v>61.32</v>
      </c>
      <c r="AG211" s="460">
        <v>20.62</v>
      </c>
      <c r="AH211" s="460"/>
      <c r="AI211" s="460">
        <v>557</v>
      </c>
      <c r="AJ211" s="460">
        <v>720</v>
      </c>
      <c r="AK211" s="460"/>
      <c r="AL211" s="253"/>
      <c r="AM211" s="273">
        <v>0.1</v>
      </c>
      <c r="AN211" s="255">
        <v>0.08</v>
      </c>
      <c r="AO211" s="160">
        <v>0.1</v>
      </c>
      <c r="AP211" s="536">
        <v>480.1</v>
      </c>
      <c r="AQ211" s="536"/>
      <c r="AR211" s="505">
        <f t="shared" si="40"/>
        <v>205</v>
      </c>
      <c r="AS211" s="480">
        <v>257.37</v>
      </c>
      <c r="AT211" s="480">
        <v>191.57</v>
      </c>
      <c r="AU211" s="480"/>
      <c r="AV211" s="480"/>
      <c r="AW211" s="480"/>
      <c r="AX211" s="480"/>
      <c r="AY211" s="480">
        <v>303.18</v>
      </c>
      <c r="AZ211" s="499" t="s">
        <v>5323</v>
      </c>
      <c r="BA211" s="502">
        <v>23.57</v>
      </c>
      <c r="BB211" s="501"/>
      <c r="BC211" s="510">
        <v>237.16</v>
      </c>
      <c r="BD211" s="510">
        <v>1222.49</v>
      </c>
      <c r="BE211" s="504">
        <v>0.2</v>
      </c>
      <c r="BF211" s="503">
        <v>0.22</v>
      </c>
      <c r="BG211" s="502">
        <v>16.66</v>
      </c>
      <c r="BH211" s="502">
        <v>1414.05</v>
      </c>
      <c r="BI211" s="502">
        <v>19.170000000000002</v>
      </c>
      <c r="BJ211" s="502"/>
      <c r="BK211" s="502"/>
      <c r="BL211" s="510">
        <v>750</v>
      </c>
      <c r="BM211" s="511">
        <v>0.16200000000000001</v>
      </c>
      <c r="BN211" s="511"/>
      <c r="BO211" s="511" t="s">
        <v>5340</v>
      </c>
      <c r="BP211" s="252"/>
      <c r="BQ211" s="252"/>
      <c r="BR211" s="511">
        <v>0.22</v>
      </c>
      <c r="BS211" s="252"/>
      <c r="BT211" s="252"/>
      <c r="BU211" s="524">
        <f t="shared" si="41"/>
        <v>205</v>
      </c>
      <c r="BV211" s="489">
        <v>158.63</v>
      </c>
      <c r="BW211" s="304">
        <v>4.4999999999999998E-2</v>
      </c>
      <c r="BX211" s="254">
        <v>418.3</v>
      </c>
      <c r="BY211" s="304">
        <v>3.9399999999999998E-2</v>
      </c>
      <c r="BZ211" s="494">
        <v>19.170000000000002</v>
      </c>
      <c r="CA211" s="497">
        <v>0.3</v>
      </c>
      <c r="CB211" s="497"/>
      <c r="CC211" s="494">
        <v>424</v>
      </c>
      <c r="CD211" s="241">
        <f t="shared" si="33"/>
        <v>205</v>
      </c>
      <c r="CE211" s="2">
        <v>564.02</v>
      </c>
      <c r="CF211" s="2">
        <v>490.8</v>
      </c>
      <c r="CG211" s="2"/>
      <c r="CH211" s="84">
        <v>0.06</v>
      </c>
      <c r="CI211" s="84">
        <v>0.06</v>
      </c>
      <c r="CJ211" s="252"/>
      <c r="CK211" s="252"/>
      <c r="CL211" s="252">
        <v>546.33000000000004</v>
      </c>
      <c r="CM211" s="253"/>
      <c r="CO211" s="5">
        <v>0.08</v>
      </c>
      <c r="CU211" s="266">
        <f t="shared" si="34"/>
        <v>181</v>
      </c>
      <c r="CV211" s="267">
        <f t="shared" si="35"/>
        <v>362</v>
      </c>
      <c r="CW211" s="268">
        <f t="shared" si="36"/>
        <v>904.99</v>
      </c>
      <c r="CX211" s="418">
        <v>184</v>
      </c>
      <c r="CY211" s="252"/>
      <c r="CZ211" s="252"/>
      <c r="DA211" s="252"/>
      <c r="DB211" s="252"/>
      <c r="DC211" s="252"/>
      <c r="DD211" s="252"/>
      <c r="DE211" s="252"/>
      <c r="DF211" s="252">
        <f t="shared" si="42"/>
        <v>0</v>
      </c>
      <c r="DG211" s="252"/>
      <c r="DH211" s="252">
        <v>489.06</v>
      </c>
      <c r="DI211" s="252"/>
      <c r="DK211" s="252"/>
      <c r="DL211" s="252"/>
      <c r="DP211" s="6">
        <v>7.2499999999999995E-2</v>
      </c>
      <c r="DQ211" s="252">
        <v>39.42</v>
      </c>
      <c r="DR211" s="3">
        <v>546.33000000000004</v>
      </c>
      <c r="DT211" s="241">
        <f t="shared" si="37"/>
        <v>205</v>
      </c>
      <c r="DU211" s="84"/>
      <c r="DV211" s="252">
        <v>720</v>
      </c>
      <c r="DY211" s="252">
        <v>405.18</v>
      </c>
      <c r="DZ211" s="264">
        <v>3.9399999999999998E-2</v>
      </c>
      <c r="EA211" s="252">
        <v>500</v>
      </c>
      <c r="EB211" s="253">
        <v>0.02</v>
      </c>
    </row>
    <row r="212" spans="1:132">
      <c r="A212">
        <v>206</v>
      </c>
      <c r="B212" s="259">
        <v>2.2025000000000001</v>
      </c>
      <c r="C212">
        <v>206</v>
      </c>
      <c r="D212" s="168">
        <f t="shared" si="32"/>
        <v>0</v>
      </c>
      <c r="E212" s="246">
        <v>45689</v>
      </c>
      <c r="F212" s="373">
        <v>0</v>
      </c>
      <c r="G212" s="374">
        <f>+G211*(1+F212/100)</f>
        <v>249537.98430000001</v>
      </c>
      <c r="H212" s="7">
        <f>+H211*(1+F212/100)</f>
        <v>624.82119999999998</v>
      </c>
      <c r="I212" s="248">
        <f>+I211*(1+F212/100)</f>
        <v>138.4</v>
      </c>
      <c r="J212" s="258">
        <f>+I212/I211-1</f>
        <v>0</v>
      </c>
      <c r="K212" s="67"/>
      <c r="L212" s="252">
        <v>300</v>
      </c>
      <c r="M212" s="263"/>
      <c r="N212" s="263"/>
      <c r="O212" s="473">
        <v>328.76</v>
      </c>
      <c r="P212" s="474">
        <v>328.76</v>
      </c>
      <c r="Q212" s="474">
        <v>430.86</v>
      </c>
      <c r="R212" s="475">
        <v>0.09</v>
      </c>
      <c r="S212" s="533">
        <f t="shared" si="39"/>
        <v>206</v>
      </c>
      <c r="T212" s="460">
        <v>75.260000000000005</v>
      </c>
      <c r="U212" s="460">
        <v>10.56</v>
      </c>
      <c r="V212" s="460">
        <v>353.76</v>
      </c>
      <c r="W212" s="460"/>
      <c r="X212" s="254">
        <v>51.09</v>
      </c>
      <c r="Y212" s="461">
        <v>7.4999999999999997E-2</v>
      </c>
      <c r="Z212" s="460">
        <v>22.5</v>
      </c>
      <c r="AA212" s="460">
        <v>10.26</v>
      </c>
      <c r="AB212" s="460">
        <v>437.73</v>
      </c>
      <c r="AC212" s="462">
        <v>353.75</v>
      </c>
      <c r="AD212" s="463">
        <v>0.3</v>
      </c>
      <c r="AE212" s="460">
        <v>40.83</v>
      </c>
      <c r="AF212" s="460">
        <v>61.32</v>
      </c>
      <c r="AG212" s="460">
        <v>20.62</v>
      </c>
      <c r="AH212" s="460"/>
      <c r="AI212" s="460">
        <v>557</v>
      </c>
      <c r="AJ212" s="460">
        <v>720</v>
      </c>
      <c r="AK212" s="460"/>
      <c r="AL212" s="253"/>
      <c r="AM212" s="273">
        <v>0.1</v>
      </c>
      <c r="AN212" s="255">
        <v>0.08</v>
      </c>
      <c r="AO212" s="160">
        <v>0.1</v>
      </c>
      <c r="AP212" s="536">
        <v>480.1</v>
      </c>
      <c r="AQ212" s="536"/>
      <c r="AR212" s="505">
        <f t="shared" si="40"/>
        <v>206</v>
      </c>
      <c r="AS212" s="480">
        <v>257.37</v>
      </c>
      <c r="AT212" s="480">
        <v>191.57</v>
      </c>
      <c r="AU212" s="480"/>
      <c r="AV212" s="480"/>
      <c r="AW212" s="480"/>
      <c r="AX212" s="480"/>
      <c r="AY212" s="480">
        <v>303.18</v>
      </c>
      <c r="AZ212" s="499" t="s">
        <v>5323</v>
      </c>
      <c r="BA212" s="502">
        <v>23.57</v>
      </c>
      <c r="BB212" s="503"/>
      <c r="BC212" s="510">
        <v>237.16</v>
      </c>
      <c r="BD212" s="510">
        <v>1222.49</v>
      </c>
      <c r="BE212" s="504">
        <v>0.2</v>
      </c>
      <c r="BF212" s="503">
        <v>0.22</v>
      </c>
      <c r="BG212" s="502">
        <v>16.66</v>
      </c>
      <c r="BH212" s="502">
        <v>1414.05</v>
      </c>
      <c r="BI212" s="502">
        <v>19.170000000000002</v>
      </c>
      <c r="BJ212" s="502"/>
      <c r="BK212" s="502"/>
      <c r="BL212" s="510">
        <v>750</v>
      </c>
      <c r="BM212" s="511">
        <v>0.16200000000000001</v>
      </c>
      <c r="BN212" s="511"/>
      <c r="BO212" s="511" t="s">
        <v>5340</v>
      </c>
      <c r="BP212" s="252"/>
      <c r="BQ212" s="252"/>
      <c r="BR212" s="511">
        <v>0.22</v>
      </c>
      <c r="BS212" s="252"/>
      <c r="BT212" s="252"/>
      <c r="BU212" s="524">
        <f t="shared" si="41"/>
        <v>206</v>
      </c>
      <c r="BV212" s="489">
        <v>158.63</v>
      </c>
      <c r="BW212" s="304">
        <v>4.4999999999999998E-2</v>
      </c>
      <c r="BX212" s="254">
        <v>418.3</v>
      </c>
      <c r="BY212" s="304">
        <v>3.9399999999999998E-2</v>
      </c>
      <c r="BZ212" s="494">
        <v>19.170000000000002</v>
      </c>
      <c r="CA212" s="497">
        <v>0.3</v>
      </c>
      <c r="CB212" s="497"/>
      <c r="CC212" s="494">
        <v>424</v>
      </c>
      <c r="CD212" s="241">
        <f t="shared" si="33"/>
        <v>206</v>
      </c>
      <c r="CE212" s="2">
        <v>564.02</v>
      </c>
      <c r="CF212" s="2">
        <v>490.8</v>
      </c>
      <c r="CG212" s="2"/>
      <c r="CH212" s="84">
        <v>0.06</v>
      </c>
      <c r="CI212" s="84">
        <v>0.06</v>
      </c>
      <c r="CJ212" s="252"/>
      <c r="CK212" s="252"/>
      <c r="CL212" s="252">
        <v>546.33000000000004</v>
      </c>
      <c r="CM212" s="253"/>
      <c r="CO212" s="253">
        <v>0.08</v>
      </c>
      <c r="CU212" s="266">
        <f t="shared" si="34"/>
        <v>181</v>
      </c>
      <c r="CV212" s="267">
        <f t="shared" si="35"/>
        <v>362</v>
      </c>
      <c r="CW212" s="268">
        <f t="shared" si="36"/>
        <v>904.99</v>
      </c>
      <c r="CX212" s="418">
        <v>184</v>
      </c>
      <c r="CY212" s="252"/>
      <c r="CZ212" s="252"/>
      <c r="DA212" s="252"/>
      <c r="DB212" s="252"/>
      <c r="DC212" s="252"/>
      <c r="DD212" s="252"/>
      <c r="DE212" s="252"/>
      <c r="DF212" s="252">
        <f t="shared" si="42"/>
        <v>0</v>
      </c>
      <c r="DG212" s="252"/>
      <c r="DH212" s="252">
        <v>489.06</v>
      </c>
      <c r="DI212" s="252"/>
      <c r="DK212" s="252"/>
      <c r="DL212" s="252"/>
      <c r="DP212" s="6">
        <v>7.2499999999999995E-2</v>
      </c>
      <c r="DQ212" s="252">
        <v>39.42</v>
      </c>
      <c r="DR212" s="3">
        <v>546.33000000000004</v>
      </c>
      <c r="DT212" s="241">
        <f t="shared" si="37"/>
        <v>206</v>
      </c>
      <c r="DU212" s="84"/>
      <c r="DV212" s="252">
        <v>720</v>
      </c>
      <c r="DY212" s="252">
        <v>405.18</v>
      </c>
      <c r="DZ212" s="264">
        <v>3.9399999999999998E-2</v>
      </c>
      <c r="EA212" s="252">
        <v>500</v>
      </c>
      <c r="EB212" s="253">
        <v>0.02</v>
      </c>
    </row>
    <row r="213" spans="1:132">
      <c r="A213">
        <v>207</v>
      </c>
      <c r="B213" s="259">
        <v>3.2025000000000001</v>
      </c>
      <c r="C213">
        <v>207</v>
      </c>
      <c r="D213" s="168">
        <f t="shared" si="32"/>
        <v>4.9999999999998934E-3</v>
      </c>
      <c r="E213" s="246">
        <v>45717</v>
      </c>
      <c r="F213" s="373">
        <v>0.5</v>
      </c>
      <c r="G213" s="374">
        <f t="shared" ref="G213:G234" si="44">+G212*(1+F213/100)</f>
        <v>250785.6742215</v>
      </c>
      <c r="H213" s="7">
        <f t="shared" ref="H213:H234" si="45">+H212*(1+F213/100)</f>
        <v>627.94530599999996</v>
      </c>
      <c r="I213" s="248">
        <f>+I212*(1+F213/100)</f>
        <v>139.09199999999998</v>
      </c>
      <c r="J213" s="258">
        <f t="shared" ref="J213:J234" si="46">+I213/I212-1</f>
        <v>4.9999999999998934E-3</v>
      </c>
      <c r="K213" s="67"/>
      <c r="L213" s="252">
        <v>300</v>
      </c>
      <c r="M213" s="263"/>
      <c r="N213" s="263"/>
      <c r="O213" s="473">
        <v>328.76</v>
      </c>
      <c r="P213" s="474">
        <v>328.76</v>
      </c>
      <c r="Q213" s="474">
        <v>430.86</v>
      </c>
      <c r="R213" s="475">
        <v>0.09</v>
      </c>
      <c r="S213" s="533">
        <f t="shared" si="39"/>
        <v>207</v>
      </c>
      <c r="T213" s="460">
        <v>75.260000000000005</v>
      </c>
      <c r="U213" s="460">
        <v>10.56</v>
      </c>
      <c r="V213" s="460">
        <v>353.76</v>
      </c>
      <c r="W213" s="460"/>
      <c r="X213" s="254">
        <v>51.09</v>
      </c>
      <c r="Y213" s="461">
        <v>7.4999999999999997E-2</v>
      </c>
      <c r="Z213" s="460">
        <v>22.5</v>
      </c>
      <c r="AA213" s="460">
        <v>10.26</v>
      </c>
      <c r="AB213" s="460">
        <v>437.73</v>
      </c>
      <c r="AC213" s="462">
        <v>353.75</v>
      </c>
      <c r="AD213" s="463">
        <v>0.3</v>
      </c>
      <c r="AE213" s="460">
        <v>40.83</v>
      </c>
      <c r="AF213" s="460">
        <v>61.32</v>
      </c>
      <c r="AG213" s="460">
        <v>20.62</v>
      </c>
      <c r="AH213" s="460"/>
      <c r="AI213" s="460">
        <v>557</v>
      </c>
      <c r="AJ213" s="460">
        <v>720</v>
      </c>
      <c r="AK213" s="460"/>
      <c r="AL213" s="253"/>
      <c r="AM213" s="273">
        <v>0.1</v>
      </c>
      <c r="AN213" s="255">
        <v>0.08</v>
      </c>
      <c r="AO213" s="160">
        <v>0.1</v>
      </c>
      <c r="AP213" s="536">
        <v>480.1</v>
      </c>
      <c r="AQ213" s="536"/>
      <c r="AR213" s="505">
        <f t="shared" si="40"/>
        <v>207</v>
      </c>
      <c r="AS213" s="480">
        <v>257.37</v>
      </c>
      <c r="AT213" s="480">
        <v>191.57</v>
      </c>
      <c r="AU213" s="480"/>
      <c r="AV213" s="480"/>
      <c r="AW213" s="480"/>
      <c r="AX213" s="480"/>
      <c r="AY213" s="480">
        <v>303.18</v>
      </c>
      <c r="AZ213" s="499" t="s">
        <v>5323</v>
      </c>
      <c r="BA213" s="502">
        <v>23.57</v>
      </c>
      <c r="BB213" s="504"/>
      <c r="BC213" s="510">
        <v>237.16</v>
      </c>
      <c r="BD213" s="510">
        <v>1222.49</v>
      </c>
      <c r="BE213" s="504">
        <v>0.2</v>
      </c>
      <c r="BF213" s="503">
        <v>0.22</v>
      </c>
      <c r="BG213" s="502">
        <v>16.66</v>
      </c>
      <c r="BH213" s="502">
        <v>1414.05</v>
      </c>
      <c r="BI213" s="502">
        <v>19.170000000000002</v>
      </c>
      <c r="BJ213" s="502"/>
      <c r="BK213" s="502"/>
      <c r="BL213" s="510">
        <v>750</v>
      </c>
      <c r="BM213" s="511">
        <v>0.16200000000000001</v>
      </c>
      <c r="BN213" s="511"/>
      <c r="BO213" s="511" t="s">
        <v>5340</v>
      </c>
      <c r="BP213" s="252"/>
      <c r="BQ213" s="252"/>
      <c r="BR213" s="511">
        <v>0.22</v>
      </c>
      <c r="BS213" s="252"/>
      <c r="BT213" s="252"/>
      <c r="BU213" s="524">
        <f t="shared" si="41"/>
        <v>207</v>
      </c>
      <c r="BV213" s="489">
        <v>158.63</v>
      </c>
      <c r="BW213" s="304">
        <v>4.4999999999999998E-2</v>
      </c>
      <c r="BX213" s="254">
        <v>418.3</v>
      </c>
      <c r="BY213" s="304">
        <v>3.9399999999999998E-2</v>
      </c>
      <c r="BZ213" s="494">
        <v>19.170000000000002</v>
      </c>
      <c r="CA213" s="497">
        <v>0.3</v>
      </c>
      <c r="CB213" s="497"/>
      <c r="CC213" s="494">
        <v>424</v>
      </c>
      <c r="CD213" s="241">
        <f t="shared" si="33"/>
        <v>207</v>
      </c>
      <c r="CE213" s="2">
        <v>564.02</v>
      </c>
      <c r="CF213" s="2">
        <v>490.8</v>
      </c>
      <c r="CG213" s="2"/>
      <c r="CH213" s="84">
        <v>0.06</v>
      </c>
      <c r="CI213" s="84">
        <v>0.06</v>
      </c>
      <c r="CJ213" s="252"/>
      <c r="CK213" s="252"/>
      <c r="CL213" s="252">
        <v>546.33000000000004</v>
      </c>
      <c r="CM213" s="253"/>
      <c r="CO213" s="5">
        <v>0.08</v>
      </c>
      <c r="CU213" s="266">
        <f t="shared" si="34"/>
        <v>181</v>
      </c>
      <c r="CV213" s="267">
        <f t="shared" si="35"/>
        <v>362</v>
      </c>
      <c r="CW213" s="268">
        <f t="shared" si="36"/>
        <v>904.99</v>
      </c>
      <c r="CX213" s="418">
        <v>184</v>
      </c>
      <c r="CY213" s="252"/>
      <c r="CZ213" s="252"/>
      <c r="DA213" s="252"/>
      <c r="DB213" s="252"/>
      <c r="DC213" s="252"/>
      <c r="DD213" s="252"/>
      <c r="DE213" s="252"/>
      <c r="DF213" s="252">
        <f t="shared" si="42"/>
        <v>0</v>
      </c>
      <c r="DG213" s="252"/>
      <c r="DH213" s="252">
        <v>489.06</v>
      </c>
      <c r="DI213" s="252"/>
      <c r="DK213" s="252"/>
      <c r="DL213" s="252"/>
      <c r="DP213" s="6">
        <v>7.2499999999999995E-2</v>
      </c>
      <c r="DQ213" s="252">
        <v>39.42</v>
      </c>
      <c r="DR213" s="3">
        <v>546.33000000000004</v>
      </c>
      <c r="DT213" s="241">
        <f t="shared" si="37"/>
        <v>207</v>
      </c>
      <c r="DU213" s="84"/>
      <c r="DV213" s="252">
        <v>720</v>
      </c>
      <c r="DY213" s="252">
        <v>405.18</v>
      </c>
      <c r="DZ213" s="264">
        <v>3.9399999999999998E-2</v>
      </c>
      <c r="EA213" s="252">
        <v>500</v>
      </c>
      <c r="EB213" s="253">
        <v>0.02</v>
      </c>
    </row>
    <row r="214" spans="1:132">
      <c r="A214">
        <v>208</v>
      </c>
      <c r="B214" s="259">
        <v>4.2024999999999997</v>
      </c>
      <c r="C214">
        <v>208</v>
      </c>
      <c r="D214" s="168">
        <f t="shared" si="32"/>
        <v>0</v>
      </c>
      <c r="E214" s="246">
        <v>45748</v>
      </c>
      <c r="G214" s="374">
        <f t="shared" si="44"/>
        <v>250785.6742215</v>
      </c>
      <c r="H214" s="7">
        <f t="shared" si="45"/>
        <v>627.94530599999996</v>
      </c>
      <c r="I214" s="248">
        <f t="shared" ref="I214:I234" si="47">+I213*(1+F214/100)</f>
        <v>139.09199999999998</v>
      </c>
      <c r="J214" s="258">
        <f t="shared" si="46"/>
        <v>0</v>
      </c>
      <c r="K214" s="67"/>
      <c r="L214" s="252">
        <v>300</v>
      </c>
      <c r="M214" s="263"/>
      <c r="N214" s="263"/>
      <c r="O214" s="473">
        <v>328.76</v>
      </c>
      <c r="P214" s="474">
        <v>328.76</v>
      </c>
      <c r="Q214" s="474">
        <v>430.86</v>
      </c>
      <c r="R214" s="475">
        <v>0.09</v>
      </c>
      <c r="S214" s="533">
        <f t="shared" si="39"/>
        <v>208</v>
      </c>
      <c r="T214" s="460">
        <v>75.260000000000005</v>
      </c>
      <c r="U214" s="460">
        <v>10.56</v>
      </c>
      <c r="V214" s="460">
        <v>353.76</v>
      </c>
      <c r="W214" s="460"/>
      <c r="X214" s="254">
        <v>51.09</v>
      </c>
      <c r="Y214" s="461">
        <v>7.4999999999999997E-2</v>
      </c>
      <c r="Z214" s="460">
        <v>22.5</v>
      </c>
      <c r="AA214" s="460">
        <v>10.26</v>
      </c>
      <c r="AB214" s="460">
        <v>437.73</v>
      </c>
      <c r="AC214" s="462">
        <v>353.75</v>
      </c>
      <c r="AD214" s="463">
        <v>0.3</v>
      </c>
      <c r="AE214" s="460">
        <v>40.83</v>
      </c>
      <c r="AF214" s="460">
        <v>61.32</v>
      </c>
      <c r="AG214" s="460">
        <v>20.62</v>
      </c>
      <c r="AH214" s="460"/>
      <c r="AI214" s="460">
        <v>557</v>
      </c>
      <c r="AJ214" s="460">
        <v>720</v>
      </c>
      <c r="AK214" s="460"/>
      <c r="AL214" s="253"/>
      <c r="AM214" s="273">
        <v>0.1</v>
      </c>
      <c r="AN214" s="255">
        <v>0.08</v>
      </c>
      <c r="AO214" s="160">
        <v>0.1</v>
      </c>
      <c r="AP214" s="536">
        <v>480.1</v>
      </c>
      <c r="AQ214" s="536"/>
      <c r="AR214" s="505">
        <f t="shared" si="40"/>
        <v>208</v>
      </c>
      <c r="AS214" s="480">
        <v>257.37</v>
      </c>
      <c r="AT214" s="480">
        <v>191.57</v>
      </c>
      <c r="AU214" s="480"/>
      <c r="AV214" s="480"/>
      <c r="AW214" s="480"/>
      <c r="AX214" s="480"/>
      <c r="AY214" s="480">
        <v>303.18</v>
      </c>
      <c r="AZ214" s="499" t="s">
        <v>5323</v>
      </c>
      <c r="BA214" s="502">
        <v>23.57</v>
      </c>
      <c r="BB214" s="503"/>
      <c r="BC214" s="510">
        <v>237.16</v>
      </c>
      <c r="BD214" s="510">
        <v>1222.49</v>
      </c>
      <c r="BE214" s="504">
        <v>0.2</v>
      </c>
      <c r="BF214" s="503">
        <v>0.22</v>
      </c>
      <c r="BG214" s="502">
        <v>16.66</v>
      </c>
      <c r="BH214" s="502">
        <v>1414.05</v>
      </c>
      <c r="BI214" s="502">
        <v>19.170000000000002</v>
      </c>
      <c r="BJ214" s="502"/>
      <c r="BK214" s="502"/>
      <c r="BL214" s="510">
        <v>750</v>
      </c>
      <c r="BM214" s="511">
        <v>0.16200000000000001</v>
      </c>
      <c r="BN214" s="511"/>
      <c r="BO214" s="511" t="s">
        <v>5340</v>
      </c>
      <c r="BP214" s="252"/>
      <c r="BQ214" s="252"/>
      <c r="BR214" s="511">
        <v>0.22</v>
      </c>
      <c r="BS214" s="252"/>
      <c r="BT214" s="252"/>
      <c r="BU214" s="524">
        <f t="shared" si="41"/>
        <v>208</v>
      </c>
      <c r="BV214" s="489">
        <v>158.63</v>
      </c>
      <c r="BW214" s="304">
        <v>4.4999999999999998E-2</v>
      </c>
      <c r="BX214" s="254">
        <v>418.3</v>
      </c>
      <c r="BY214" s="304">
        <v>3.9399999999999998E-2</v>
      </c>
      <c r="BZ214" s="494">
        <v>19.170000000000002</v>
      </c>
      <c r="CA214" s="497">
        <v>0.3</v>
      </c>
      <c r="CB214" s="497"/>
      <c r="CC214" s="494">
        <v>424</v>
      </c>
      <c r="CD214" s="241">
        <f t="shared" si="33"/>
        <v>208</v>
      </c>
      <c r="CE214" s="2">
        <v>564.02</v>
      </c>
      <c r="CF214" s="2">
        <v>490.8</v>
      </c>
      <c r="CG214" s="2"/>
      <c r="CH214" s="84">
        <v>0.06</v>
      </c>
      <c r="CI214" s="84">
        <v>0.06</v>
      </c>
      <c r="CJ214" s="252"/>
      <c r="CK214" s="252"/>
      <c r="CL214" s="252">
        <v>546.33000000000004</v>
      </c>
      <c r="CM214" s="253"/>
      <c r="CO214" s="253">
        <v>0.08</v>
      </c>
      <c r="CU214" s="266">
        <f t="shared" si="34"/>
        <v>181</v>
      </c>
      <c r="CV214" s="267">
        <f t="shared" si="35"/>
        <v>362</v>
      </c>
      <c r="CW214" s="268">
        <f t="shared" si="36"/>
        <v>904.99</v>
      </c>
      <c r="CX214" s="418">
        <v>184</v>
      </c>
      <c r="CY214" s="252"/>
      <c r="CZ214" s="252"/>
      <c r="DA214" s="252"/>
      <c r="DB214" s="252"/>
      <c r="DC214" s="252"/>
      <c r="DD214" s="252"/>
      <c r="DE214" s="252"/>
      <c r="DF214" s="252">
        <f t="shared" si="42"/>
        <v>0</v>
      </c>
      <c r="DG214" s="252"/>
      <c r="DH214" s="252">
        <v>489.06</v>
      </c>
      <c r="DI214" s="252"/>
      <c r="DK214" s="252"/>
      <c r="DL214" s="252"/>
      <c r="DP214" s="6">
        <v>7.2499999999999995E-2</v>
      </c>
      <c r="DQ214" s="252">
        <v>39.42</v>
      </c>
      <c r="DR214" s="3">
        <v>546.33000000000004</v>
      </c>
      <c r="DT214" s="241">
        <f t="shared" si="37"/>
        <v>208</v>
      </c>
      <c r="DU214" s="84"/>
      <c r="DV214" s="252">
        <v>720</v>
      </c>
      <c r="DY214" s="252">
        <v>405.18</v>
      </c>
      <c r="DZ214" s="264">
        <v>3.9399999999999998E-2</v>
      </c>
      <c r="EA214" s="252">
        <v>500</v>
      </c>
      <c r="EB214" s="534">
        <v>3.5000000000000003E-2</v>
      </c>
    </row>
    <row r="215" spans="1:132">
      <c r="A215">
        <v>209</v>
      </c>
      <c r="B215" s="259">
        <v>5.2024999999999997</v>
      </c>
      <c r="C215">
        <v>209</v>
      </c>
      <c r="D215" s="168">
        <f t="shared" si="32"/>
        <v>0</v>
      </c>
      <c r="E215" s="246">
        <v>45778</v>
      </c>
      <c r="G215" s="374">
        <f t="shared" si="44"/>
        <v>250785.6742215</v>
      </c>
      <c r="H215" s="7">
        <f t="shared" si="45"/>
        <v>627.94530599999996</v>
      </c>
      <c r="I215" s="248">
        <f t="shared" si="47"/>
        <v>139.09199999999998</v>
      </c>
      <c r="J215" s="258">
        <f t="shared" si="46"/>
        <v>0</v>
      </c>
      <c r="K215" s="67"/>
      <c r="L215" s="252">
        <v>300</v>
      </c>
      <c r="M215" s="263"/>
      <c r="N215" s="263"/>
      <c r="O215" s="473">
        <v>328.76</v>
      </c>
      <c r="P215" s="474">
        <v>328.76</v>
      </c>
      <c r="Q215" s="474">
        <v>430.86</v>
      </c>
      <c r="R215" s="475">
        <v>0.09</v>
      </c>
      <c r="S215" s="533">
        <f t="shared" si="39"/>
        <v>209</v>
      </c>
      <c r="T215" s="460">
        <v>75.260000000000005</v>
      </c>
      <c r="U215" s="460">
        <v>10.56</v>
      </c>
      <c r="V215" s="460">
        <v>353.76</v>
      </c>
      <c r="W215" s="460"/>
      <c r="X215" s="254">
        <v>51.09</v>
      </c>
      <c r="Y215" s="461">
        <v>7.4999999999999997E-2</v>
      </c>
      <c r="Z215" s="460">
        <v>22.5</v>
      </c>
      <c r="AA215" s="460">
        <v>10.26</v>
      </c>
      <c r="AB215" s="460">
        <v>437.73</v>
      </c>
      <c r="AC215" s="462">
        <v>353.75</v>
      </c>
      <c r="AD215" s="463">
        <v>0.3</v>
      </c>
      <c r="AE215" s="460">
        <v>40.83</v>
      </c>
      <c r="AF215" s="460">
        <v>61.32</v>
      </c>
      <c r="AG215" s="460">
        <v>20.62</v>
      </c>
      <c r="AH215" s="460"/>
      <c r="AI215" s="460">
        <v>557</v>
      </c>
      <c r="AJ215" s="460">
        <v>720</v>
      </c>
      <c r="AK215" s="460"/>
      <c r="AL215" s="253"/>
      <c r="AM215" s="273">
        <v>0.1</v>
      </c>
      <c r="AN215" s="255">
        <v>0.08</v>
      </c>
      <c r="AO215" s="160">
        <v>0.1</v>
      </c>
      <c r="AP215" s="536">
        <v>480.1</v>
      </c>
      <c r="AQ215" s="536"/>
      <c r="AR215" s="505">
        <f t="shared" si="40"/>
        <v>209</v>
      </c>
      <c r="AS215" s="480">
        <v>257.37</v>
      </c>
      <c r="AT215" s="480">
        <v>191.57</v>
      </c>
      <c r="AU215" s="480"/>
      <c r="AV215" s="480"/>
      <c r="AW215" s="480"/>
      <c r="AX215" s="480"/>
      <c r="AY215" s="480">
        <v>303.18</v>
      </c>
      <c r="AZ215" s="499" t="s">
        <v>5323</v>
      </c>
      <c r="BA215" s="502">
        <v>23.57</v>
      </c>
      <c r="BB215" s="504"/>
      <c r="BC215" s="510">
        <v>237.16</v>
      </c>
      <c r="BD215" s="510">
        <v>1222.49</v>
      </c>
      <c r="BE215" s="504">
        <v>0.2</v>
      </c>
      <c r="BF215" s="503">
        <v>0.22</v>
      </c>
      <c r="BG215" s="502">
        <v>16.66</v>
      </c>
      <c r="BH215" s="502">
        <v>1414.05</v>
      </c>
      <c r="BI215" s="502">
        <v>19.170000000000002</v>
      </c>
      <c r="BJ215" s="502"/>
      <c r="BK215" s="502"/>
      <c r="BL215" s="510">
        <v>750</v>
      </c>
      <c r="BM215" s="511">
        <v>0.16200000000000001</v>
      </c>
      <c r="BN215" s="511"/>
      <c r="BO215" s="511" t="s">
        <v>5340</v>
      </c>
      <c r="BP215" s="252"/>
      <c r="BQ215" s="252"/>
      <c r="BR215" s="511">
        <v>0.22</v>
      </c>
      <c r="BS215" s="252"/>
      <c r="BT215" s="252"/>
      <c r="BU215" s="524">
        <f t="shared" si="41"/>
        <v>209</v>
      </c>
      <c r="BV215" s="489">
        <v>158.63</v>
      </c>
      <c r="BW215" s="304">
        <v>4.4999999999999998E-2</v>
      </c>
      <c r="BX215" s="254">
        <v>418.3</v>
      </c>
      <c r="BY215" s="304">
        <v>3.9399999999999998E-2</v>
      </c>
      <c r="BZ215" s="494">
        <v>19.170000000000002</v>
      </c>
      <c r="CA215" s="497">
        <v>0.3</v>
      </c>
      <c r="CB215" s="497"/>
      <c r="CC215" s="494">
        <v>424</v>
      </c>
      <c r="CD215" s="241">
        <f t="shared" si="33"/>
        <v>209</v>
      </c>
      <c r="CE215" s="2">
        <v>564.02</v>
      </c>
      <c r="CF215" s="2">
        <v>490.8</v>
      </c>
      <c r="CG215" s="2"/>
      <c r="CH215" s="84">
        <v>0.06</v>
      </c>
      <c r="CI215" s="84">
        <v>0.06</v>
      </c>
      <c r="CJ215" s="252"/>
      <c r="CK215" s="252"/>
      <c r="CL215" s="252">
        <v>546.33000000000004</v>
      </c>
      <c r="CM215" s="253"/>
      <c r="CO215" s="5">
        <v>0.08</v>
      </c>
      <c r="CU215" s="266">
        <f t="shared" si="34"/>
        <v>181</v>
      </c>
      <c r="CV215" s="267">
        <f t="shared" si="35"/>
        <v>362</v>
      </c>
      <c r="CW215" s="268">
        <f t="shared" si="36"/>
        <v>904.99</v>
      </c>
      <c r="CX215" s="418">
        <v>184</v>
      </c>
      <c r="CY215" s="252"/>
      <c r="CZ215" s="252"/>
      <c r="DA215" s="252"/>
      <c r="DB215" s="252"/>
      <c r="DC215" s="252"/>
      <c r="DD215" s="252"/>
      <c r="DE215" s="252"/>
      <c r="DF215" s="252">
        <f t="shared" si="42"/>
        <v>0</v>
      </c>
      <c r="DG215" s="252"/>
      <c r="DH215" s="252">
        <v>489.06</v>
      </c>
      <c r="DI215" s="252"/>
      <c r="DK215" s="252"/>
      <c r="DL215" s="252"/>
      <c r="DP215" s="6">
        <v>7.2499999999999995E-2</v>
      </c>
      <c r="DQ215" s="252">
        <v>39.42</v>
      </c>
      <c r="DR215" s="3">
        <v>546.33000000000004</v>
      </c>
      <c r="DT215" s="241">
        <f t="shared" si="37"/>
        <v>209</v>
      </c>
      <c r="DU215" s="84"/>
      <c r="DV215" s="252">
        <v>720</v>
      </c>
      <c r="DY215" s="252">
        <v>405.18</v>
      </c>
      <c r="DZ215" s="264">
        <v>3.9399999999999998E-2</v>
      </c>
      <c r="EA215" s="252">
        <v>500</v>
      </c>
      <c r="EB215" s="534">
        <v>3.5000000000000003E-2</v>
      </c>
    </row>
    <row r="216" spans="1:132">
      <c r="A216">
        <v>210</v>
      </c>
      <c r="B216" s="259">
        <v>6.2024999999999997</v>
      </c>
      <c r="C216">
        <v>210</v>
      </c>
      <c r="D216" s="168">
        <f t="shared" si="32"/>
        <v>0</v>
      </c>
      <c r="E216" s="246">
        <v>45809</v>
      </c>
      <c r="G216" s="374">
        <f t="shared" si="44"/>
        <v>250785.6742215</v>
      </c>
      <c r="H216" s="7">
        <f t="shared" si="45"/>
        <v>627.94530599999996</v>
      </c>
      <c r="I216" s="248">
        <f t="shared" si="47"/>
        <v>139.09199999999998</v>
      </c>
      <c r="J216" s="258">
        <f t="shared" si="46"/>
        <v>0</v>
      </c>
      <c r="K216" s="67"/>
      <c r="L216" s="252">
        <v>300</v>
      </c>
      <c r="M216" s="263"/>
      <c r="N216" s="263"/>
      <c r="O216" s="473">
        <v>328.76</v>
      </c>
      <c r="P216" s="474">
        <v>328.76</v>
      </c>
      <c r="Q216" s="474">
        <v>430.86</v>
      </c>
      <c r="R216" s="475">
        <v>0.09</v>
      </c>
      <c r="S216" s="533">
        <f t="shared" si="39"/>
        <v>210</v>
      </c>
      <c r="T216" s="460">
        <v>75.260000000000005</v>
      </c>
      <c r="U216" s="460">
        <v>10.56</v>
      </c>
      <c r="V216" s="460">
        <v>353.76</v>
      </c>
      <c r="W216" s="460"/>
      <c r="X216" s="254">
        <v>51.09</v>
      </c>
      <c r="Y216" s="461">
        <v>7.4999999999999997E-2</v>
      </c>
      <c r="Z216" s="460">
        <v>22.5</v>
      </c>
      <c r="AA216" s="460">
        <v>10.26</v>
      </c>
      <c r="AB216" s="460">
        <v>437.73</v>
      </c>
      <c r="AC216" s="462">
        <v>353.75</v>
      </c>
      <c r="AD216" s="463">
        <v>0.3</v>
      </c>
      <c r="AE216" s="460">
        <v>40.83</v>
      </c>
      <c r="AF216" s="460">
        <v>61.32</v>
      </c>
      <c r="AG216" s="460">
        <v>20.62</v>
      </c>
      <c r="AH216" s="460"/>
      <c r="AI216" s="460">
        <v>557</v>
      </c>
      <c r="AJ216" s="460">
        <v>720</v>
      </c>
      <c r="AK216" s="460"/>
      <c r="AL216" s="253"/>
      <c r="AM216" s="273">
        <v>0.1</v>
      </c>
      <c r="AN216" s="255">
        <v>0.08</v>
      </c>
      <c r="AO216" s="160">
        <v>0.1</v>
      </c>
      <c r="AP216" s="536">
        <v>480.1</v>
      </c>
      <c r="AQ216" s="536"/>
      <c r="AR216" s="505">
        <f t="shared" si="40"/>
        <v>210</v>
      </c>
      <c r="AS216" s="480">
        <v>257.37</v>
      </c>
      <c r="AT216" s="480">
        <v>191.57</v>
      </c>
      <c r="AU216" s="480"/>
      <c r="AV216" s="480"/>
      <c r="AW216" s="480"/>
      <c r="AX216" s="480"/>
      <c r="AY216" s="480">
        <v>303.18</v>
      </c>
      <c r="AZ216" s="499" t="s">
        <v>5323</v>
      </c>
      <c r="BA216" s="502">
        <v>23.57</v>
      </c>
      <c r="BB216" s="503"/>
      <c r="BC216" s="510">
        <v>237.16</v>
      </c>
      <c r="BD216" s="510">
        <v>1222.49</v>
      </c>
      <c r="BE216" s="504">
        <v>0.2</v>
      </c>
      <c r="BF216" s="503">
        <v>0.22</v>
      </c>
      <c r="BG216" s="502">
        <v>16.66</v>
      </c>
      <c r="BH216" s="502">
        <v>1414.05</v>
      </c>
      <c r="BI216" s="502">
        <v>19.170000000000002</v>
      </c>
      <c r="BJ216" s="502"/>
      <c r="BK216" s="502"/>
      <c r="BL216" s="510">
        <v>750</v>
      </c>
      <c r="BM216" s="511">
        <v>0.16200000000000001</v>
      </c>
      <c r="BN216" s="511"/>
      <c r="BO216" s="511" t="s">
        <v>5340</v>
      </c>
      <c r="BP216" s="252"/>
      <c r="BQ216" s="252"/>
      <c r="BR216" s="511">
        <v>0.22</v>
      </c>
      <c r="BS216" s="252"/>
      <c r="BT216" s="252"/>
      <c r="BU216" s="524">
        <f t="shared" si="41"/>
        <v>210</v>
      </c>
      <c r="BV216" s="489">
        <v>158.63</v>
      </c>
      <c r="BW216" s="304">
        <v>4.4999999999999998E-2</v>
      </c>
      <c r="BX216" s="254">
        <v>418.3</v>
      </c>
      <c r="BY216" s="304">
        <v>3.9399999999999998E-2</v>
      </c>
      <c r="BZ216" s="494">
        <v>19.170000000000002</v>
      </c>
      <c r="CA216" s="497">
        <v>0.3</v>
      </c>
      <c r="CB216" s="497"/>
      <c r="CC216" s="494">
        <v>424</v>
      </c>
      <c r="CD216" s="241">
        <f t="shared" si="33"/>
        <v>210</v>
      </c>
      <c r="CE216" s="2">
        <v>564.02</v>
      </c>
      <c r="CF216" s="2">
        <v>490.8</v>
      </c>
      <c r="CG216" s="2"/>
      <c r="CH216" s="84">
        <v>0.06</v>
      </c>
      <c r="CI216" s="84">
        <v>0.06</v>
      </c>
      <c r="CJ216" s="252"/>
      <c r="CK216" s="252"/>
      <c r="CL216" s="252">
        <v>546.33000000000004</v>
      </c>
      <c r="CM216" s="253"/>
      <c r="CO216" s="253">
        <v>0.08</v>
      </c>
      <c r="CU216" s="266">
        <f t="shared" si="34"/>
        <v>181</v>
      </c>
      <c r="CV216" s="267">
        <f t="shared" si="35"/>
        <v>362</v>
      </c>
      <c r="CW216" s="268">
        <f t="shared" si="36"/>
        <v>904.99</v>
      </c>
      <c r="CX216" s="418">
        <v>184</v>
      </c>
      <c r="CY216" s="252"/>
      <c r="CZ216" s="252"/>
      <c r="DA216" s="252"/>
      <c r="DB216" s="252"/>
      <c r="DC216" s="252"/>
      <c r="DD216" s="252"/>
      <c r="DE216" s="252"/>
      <c r="DF216" s="252">
        <f t="shared" si="42"/>
        <v>0</v>
      </c>
      <c r="DG216" s="252"/>
      <c r="DH216" s="252">
        <v>489.06</v>
      </c>
      <c r="DI216" s="252"/>
      <c r="DK216" s="252"/>
      <c r="DL216" s="252"/>
      <c r="DP216" s="6">
        <v>7.2499999999999995E-2</v>
      </c>
      <c r="DQ216" s="252">
        <v>39.42</v>
      </c>
      <c r="DR216" s="3">
        <v>546.33000000000004</v>
      </c>
      <c r="DT216" s="241">
        <f t="shared" si="37"/>
        <v>210</v>
      </c>
      <c r="DU216" s="84"/>
      <c r="DV216" s="252">
        <v>720</v>
      </c>
      <c r="DY216" s="252">
        <v>405.18</v>
      </c>
      <c r="DZ216" s="264">
        <v>3.9399999999999998E-2</v>
      </c>
      <c r="EA216" s="252">
        <v>500</v>
      </c>
      <c r="EB216" s="534">
        <v>3.5000000000000003E-2</v>
      </c>
    </row>
    <row r="217" spans="1:132">
      <c r="A217">
        <v>211</v>
      </c>
      <c r="B217" s="259">
        <v>7.2024999999999997</v>
      </c>
      <c r="C217">
        <v>211</v>
      </c>
      <c r="D217" s="168">
        <f t="shared" si="32"/>
        <v>0</v>
      </c>
      <c r="E217" s="246">
        <v>45839</v>
      </c>
      <c r="G217" s="374">
        <f t="shared" si="44"/>
        <v>250785.6742215</v>
      </c>
      <c r="H217" s="7">
        <f t="shared" si="45"/>
        <v>627.94530599999996</v>
      </c>
      <c r="I217" s="248">
        <f t="shared" si="47"/>
        <v>139.09199999999998</v>
      </c>
      <c r="J217" s="258">
        <f t="shared" si="46"/>
        <v>0</v>
      </c>
      <c r="K217" s="67"/>
      <c r="L217" s="252">
        <v>300</v>
      </c>
      <c r="M217" s="263"/>
      <c r="N217" s="263"/>
      <c r="O217" s="473">
        <v>328.76</v>
      </c>
      <c r="P217" s="474">
        <v>328.76</v>
      </c>
      <c r="Q217" s="474">
        <v>430.86</v>
      </c>
      <c r="R217" s="475">
        <v>0.09</v>
      </c>
      <c r="S217" s="533">
        <f t="shared" si="39"/>
        <v>211</v>
      </c>
      <c r="T217" s="460">
        <v>75.260000000000005</v>
      </c>
      <c r="U217" s="460">
        <v>10.56</v>
      </c>
      <c r="V217" s="460">
        <v>353.76</v>
      </c>
      <c r="W217" s="460"/>
      <c r="X217" s="254">
        <v>51.09</v>
      </c>
      <c r="Y217" s="461">
        <v>7.4999999999999997E-2</v>
      </c>
      <c r="Z217" s="460">
        <v>22.5</v>
      </c>
      <c r="AA217" s="460">
        <v>10.26</v>
      </c>
      <c r="AB217" s="460">
        <v>437.73</v>
      </c>
      <c r="AC217" s="462">
        <v>353.75</v>
      </c>
      <c r="AD217" s="463">
        <v>0.3</v>
      </c>
      <c r="AE217" s="460">
        <v>40.83</v>
      </c>
      <c r="AF217" s="460">
        <v>61.32</v>
      </c>
      <c r="AG217" s="460">
        <v>20.62</v>
      </c>
      <c r="AH217" s="460"/>
      <c r="AI217" s="460">
        <v>557</v>
      </c>
      <c r="AJ217" s="460">
        <v>720</v>
      </c>
      <c r="AK217" s="460"/>
      <c r="AL217" s="253"/>
      <c r="AM217" s="273">
        <v>0.1</v>
      </c>
      <c r="AN217" s="255">
        <v>0.08</v>
      </c>
      <c r="AO217" s="160">
        <v>0.1</v>
      </c>
      <c r="AP217" s="536">
        <v>480.1</v>
      </c>
      <c r="AQ217" s="536"/>
      <c r="AR217" s="505">
        <f t="shared" si="40"/>
        <v>211</v>
      </c>
      <c r="AS217" s="480">
        <v>257.37</v>
      </c>
      <c r="AT217" s="480">
        <v>191.57</v>
      </c>
      <c r="AU217" s="480"/>
      <c r="AV217" s="480"/>
      <c r="AW217" s="480"/>
      <c r="AX217" s="480"/>
      <c r="AY217" s="480">
        <v>303.18</v>
      </c>
      <c r="AZ217" s="499" t="s">
        <v>5323</v>
      </c>
      <c r="BA217" s="502">
        <v>23.57</v>
      </c>
      <c r="BB217" s="504"/>
      <c r="BC217" s="510">
        <v>237.16</v>
      </c>
      <c r="BD217" s="510">
        <v>1222.49</v>
      </c>
      <c r="BE217" s="504">
        <v>0.2</v>
      </c>
      <c r="BF217" s="503">
        <v>0.22</v>
      </c>
      <c r="BG217" s="502">
        <v>16.66</v>
      </c>
      <c r="BH217" s="502">
        <v>1414.05</v>
      </c>
      <c r="BI217" s="502">
        <v>19.170000000000002</v>
      </c>
      <c r="BJ217" s="502"/>
      <c r="BK217" s="502"/>
      <c r="BL217" s="510">
        <v>750</v>
      </c>
      <c r="BM217" s="511">
        <v>0.16200000000000001</v>
      </c>
      <c r="BN217" s="511"/>
      <c r="BO217" s="511" t="s">
        <v>5340</v>
      </c>
      <c r="BP217" s="252"/>
      <c r="BQ217" s="252"/>
      <c r="BR217" s="511">
        <v>0.22</v>
      </c>
      <c r="BS217" s="252"/>
      <c r="BT217" s="252"/>
      <c r="BU217" s="524">
        <f t="shared" si="41"/>
        <v>211</v>
      </c>
      <c r="BV217" s="489">
        <v>158.63</v>
      </c>
      <c r="BW217" s="304">
        <v>4.4999999999999998E-2</v>
      </c>
      <c r="BX217" s="254">
        <v>418.3</v>
      </c>
      <c r="BY217" s="304">
        <v>3.9399999999999998E-2</v>
      </c>
      <c r="BZ217" s="494">
        <v>19.170000000000002</v>
      </c>
      <c r="CA217" s="497">
        <v>0.3</v>
      </c>
      <c r="CB217" s="497"/>
      <c r="CC217" s="494">
        <v>424</v>
      </c>
      <c r="CD217" s="241">
        <f t="shared" si="33"/>
        <v>211</v>
      </c>
      <c r="CE217" s="2">
        <v>564.02</v>
      </c>
      <c r="CF217" s="2">
        <v>490.8</v>
      </c>
      <c r="CG217" s="2"/>
      <c r="CH217" s="84">
        <v>0.06</v>
      </c>
      <c r="CI217" s="84">
        <v>0.06</v>
      </c>
      <c r="CJ217" s="252"/>
      <c r="CK217" s="252"/>
      <c r="CL217" s="252">
        <v>546.33000000000004</v>
      </c>
      <c r="CM217" s="253"/>
      <c r="CO217" s="5">
        <v>0.08</v>
      </c>
      <c r="CU217" s="266">
        <f t="shared" si="34"/>
        <v>181</v>
      </c>
      <c r="CV217" s="267">
        <f t="shared" si="35"/>
        <v>362</v>
      </c>
      <c r="CW217" s="268">
        <f t="shared" si="36"/>
        <v>904.99</v>
      </c>
      <c r="CX217" s="418">
        <v>184</v>
      </c>
      <c r="CY217" s="252"/>
      <c r="CZ217" s="252"/>
      <c r="DA217" s="252"/>
      <c r="DB217" s="252"/>
      <c r="DC217" s="252"/>
      <c r="DD217" s="252"/>
      <c r="DE217" s="252"/>
      <c r="DF217" s="252">
        <f t="shared" si="42"/>
        <v>0</v>
      </c>
      <c r="DG217" s="252"/>
      <c r="DH217" s="252">
        <v>489.06</v>
      </c>
      <c r="DI217" s="252"/>
      <c r="DK217" s="252"/>
      <c r="DL217" s="252"/>
      <c r="DP217" s="6">
        <v>7.2499999999999995E-2</v>
      </c>
      <c r="DQ217" s="252">
        <v>39.42</v>
      </c>
      <c r="DR217" s="3">
        <v>546.33000000000004</v>
      </c>
      <c r="DT217" s="241">
        <f t="shared" si="37"/>
        <v>211</v>
      </c>
      <c r="DU217" s="84"/>
      <c r="DV217" s="252">
        <v>720</v>
      </c>
      <c r="DY217" s="252">
        <v>405.18</v>
      </c>
      <c r="DZ217" s="264">
        <v>3.9399999999999998E-2</v>
      </c>
      <c r="EA217" s="252">
        <v>500</v>
      </c>
      <c r="EB217" s="534">
        <v>3.5000000000000003E-2</v>
      </c>
    </row>
    <row r="218" spans="1:132">
      <c r="A218">
        <v>212</v>
      </c>
      <c r="B218" s="259">
        <v>8.2025000000000006</v>
      </c>
      <c r="C218">
        <v>212</v>
      </c>
      <c r="D218" s="168">
        <f t="shared" si="32"/>
        <v>0</v>
      </c>
      <c r="E218" s="246">
        <v>45870</v>
      </c>
      <c r="G218" s="374">
        <f t="shared" si="44"/>
        <v>250785.6742215</v>
      </c>
      <c r="H218" s="7">
        <f t="shared" si="45"/>
        <v>627.94530599999996</v>
      </c>
      <c r="I218" s="248">
        <f t="shared" si="47"/>
        <v>139.09199999999998</v>
      </c>
      <c r="J218" s="258">
        <f t="shared" si="46"/>
        <v>0</v>
      </c>
      <c r="K218" s="67"/>
      <c r="L218" s="252">
        <v>300</v>
      </c>
      <c r="M218" s="263"/>
      <c r="N218" s="263"/>
      <c r="O218" s="473">
        <v>328.76</v>
      </c>
      <c r="P218" s="474">
        <v>328.76</v>
      </c>
      <c r="Q218" s="474">
        <v>430.86</v>
      </c>
      <c r="R218" s="475">
        <v>0.09</v>
      </c>
      <c r="S218" s="533">
        <f t="shared" si="39"/>
        <v>212</v>
      </c>
      <c r="T218" s="460">
        <v>75.260000000000005</v>
      </c>
      <c r="U218" s="460">
        <v>10.56</v>
      </c>
      <c r="V218" s="460">
        <v>353.76</v>
      </c>
      <c r="W218" s="460"/>
      <c r="X218" s="254">
        <v>51.09</v>
      </c>
      <c r="Y218" s="461">
        <v>7.4999999999999997E-2</v>
      </c>
      <c r="Z218" s="460">
        <v>22.5</v>
      </c>
      <c r="AA218" s="460">
        <v>10.26</v>
      </c>
      <c r="AB218" s="460">
        <v>437.73</v>
      </c>
      <c r="AC218" s="462">
        <v>353.75</v>
      </c>
      <c r="AD218" s="463">
        <v>0.3</v>
      </c>
      <c r="AE218" s="460">
        <v>40.83</v>
      </c>
      <c r="AF218" s="460">
        <v>61.32</v>
      </c>
      <c r="AG218" s="460">
        <v>20.62</v>
      </c>
      <c r="AH218" s="460"/>
      <c r="AI218" s="460">
        <v>557</v>
      </c>
      <c r="AJ218" s="460">
        <v>720</v>
      </c>
      <c r="AK218" s="460"/>
      <c r="AL218" s="253"/>
      <c r="AM218" s="273">
        <v>0.1</v>
      </c>
      <c r="AN218" s="255">
        <v>0.08</v>
      </c>
      <c r="AO218" s="160">
        <v>0.1</v>
      </c>
      <c r="AP218" s="536">
        <v>480.1</v>
      </c>
      <c r="AQ218" s="536"/>
      <c r="AR218" s="505">
        <f t="shared" si="40"/>
        <v>212</v>
      </c>
      <c r="AS218" s="480">
        <v>257.37</v>
      </c>
      <c r="AT218" s="480">
        <v>191.57</v>
      </c>
      <c r="AU218" s="480"/>
      <c r="AV218" s="480"/>
      <c r="AW218" s="480"/>
      <c r="AX218" s="480"/>
      <c r="AY218" s="480">
        <v>303.18</v>
      </c>
      <c r="AZ218" s="499" t="s">
        <v>5323</v>
      </c>
      <c r="BA218" s="502">
        <v>23.57</v>
      </c>
      <c r="BB218" s="503"/>
      <c r="BC218" s="510">
        <v>237.16</v>
      </c>
      <c r="BD218" s="510">
        <v>1222.49</v>
      </c>
      <c r="BE218" s="504">
        <v>0.2</v>
      </c>
      <c r="BF218" s="503">
        <v>0.22</v>
      </c>
      <c r="BG218" s="502">
        <v>16.66</v>
      </c>
      <c r="BH218" s="502">
        <v>1414.05</v>
      </c>
      <c r="BI218" s="502">
        <v>19.170000000000002</v>
      </c>
      <c r="BJ218" s="502"/>
      <c r="BK218" s="502"/>
      <c r="BL218" s="510">
        <v>750</v>
      </c>
      <c r="BM218" s="511">
        <v>0.16200000000000001</v>
      </c>
      <c r="BN218" s="511"/>
      <c r="BO218" s="511" t="s">
        <v>5340</v>
      </c>
      <c r="BP218" s="252"/>
      <c r="BQ218" s="252"/>
      <c r="BR218" s="511">
        <v>0.22</v>
      </c>
      <c r="BS218" s="252"/>
      <c r="BT218" s="252"/>
      <c r="BU218" s="524">
        <f t="shared" si="41"/>
        <v>212</v>
      </c>
      <c r="BV218" s="489">
        <v>158.63</v>
      </c>
      <c r="BW218" s="304">
        <v>4.4999999999999998E-2</v>
      </c>
      <c r="BX218" s="254">
        <v>418.3</v>
      </c>
      <c r="BY218" s="304">
        <v>3.9399999999999998E-2</v>
      </c>
      <c r="BZ218" s="494">
        <v>19.170000000000002</v>
      </c>
      <c r="CA218" s="497">
        <v>0.3</v>
      </c>
      <c r="CB218" s="497"/>
      <c r="CC218" s="494">
        <v>424</v>
      </c>
      <c r="CD218" s="241">
        <f t="shared" si="33"/>
        <v>212</v>
      </c>
      <c r="CE218" s="2">
        <v>564.02</v>
      </c>
      <c r="CF218" s="2">
        <v>490.8</v>
      </c>
      <c r="CG218" s="2"/>
      <c r="CH218" s="84">
        <v>0.06</v>
      </c>
      <c r="CI218" s="84">
        <v>0.06</v>
      </c>
      <c r="CJ218" s="252"/>
      <c r="CK218" s="252"/>
      <c r="CL218" s="252">
        <v>546.33000000000004</v>
      </c>
      <c r="CM218" s="253"/>
      <c r="CO218" s="253">
        <v>0.08</v>
      </c>
      <c r="CU218" s="266">
        <f t="shared" si="34"/>
        <v>181</v>
      </c>
      <c r="CV218" s="267">
        <f t="shared" si="35"/>
        <v>362</v>
      </c>
      <c r="CW218" s="268">
        <f t="shared" si="36"/>
        <v>904.99</v>
      </c>
      <c r="CX218" s="418">
        <v>184</v>
      </c>
      <c r="CY218" s="252"/>
      <c r="CZ218" s="252"/>
      <c r="DA218" s="252"/>
      <c r="DB218" s="252"/>
      <c r="DC218" s="252"/>
      <c r="DD218" s="252"/>
      <c r="DE218" s="252"/>
      <c r="DF218" s="252">
        <f t="shared" si="42"/>
        <v>0</v>
      </c>
      <c r="DG218" s="252"/>
      <c r="DH218" s="252">
        <v>489.06</v>
      </c>
      <c r="DI218" s="252"/>
      <c r="DK218" s="252"/>
      <c r="DL218" s="252"/>
      <c r="DP218" s="6">
        <v>7.2499999999999995E-2</v>
      </c>
      <c r="DQ218" s="252">
        <v>39.42</v>
      </c>
      <c r="DR218" s="3">
        <v>546.33000000000004</v>
      </c>
      <c r="DT218" s="241">
        <f t="shared" si="37"/>
        <v>212</v>
      </c>
      <c r="DU218" s="84"/>
      <c r="DV218" s="252">
        <v>720</v>
      </c>
      <c r="DY218" s="252">
        <v>405.18</v>
      </c>
      <c r="DZ218" s="264">
        <v>3.9399999999999998E-2</v>
      </c>
      <c r="EA218" s="252">
        <v>500</v>
      </c>
      <c r="EB218" s="534">
        <v>3.5000000000000003E-2</v>
      </c>
    </row>
    <row r="219" spans="1:132">
      <c r="A219">
        <v>213</v>
      </c>
      <c r="B219" s="259">
        <v>9.2025000000000006</v>
      </c>
      <c r="C219">
        <v>213</v>
      </c>
      <c r="D219" s="168">
        <f t="shared" si="32"/>
        <v>0</v>
      </c>
      <c r="E219" s="246">
        <v>45901</v>
      </c>
      <c r="G219" s="374">
        <f t="shared" si="44"/>
        <v>250785.6742215</v>
      </c>
      <c r="H219" s="7">
        <f t="shared" si="45"/>
        <v>627.94530599999996</v>
      </c>
      <c r="I219" s="248">
        <f t="shared" si="47"/>
        <v>139.09199999999998</v>
      </c>
      <c r="J219" s="258">
        <f t="shared" si="46"/>
        <v>0</v>
      </c>
      <c r="K219" s="67"/>
      <c r="L219" s="252">
        <v>300</v>
      </c>
      <c r="M219" s="263"/>
      <c r="N219" s="263"/>
      <c r="O219" s="473">
        <v>328.76</v>
      </c>
      <c r="P219" s="474">
        <v>328.76</v>
      </c>
      <c r="Q219" s="474">
        <v>430.86</v>
      </c>
      <c r="R219" s="475">
        <v>0.09</v>
      </c>
      <c r="S219" s="533">
        <f t="shared" si="39"/>
        <v>213</v>
      </c>
      <c r="T219" s="460">
        <v>75.260000000000005</v>
      </c>
      <c r="U219" s="460">
        <v>10.56</v>
      </c>
      <c r="V219" s="460">
        <v>353.76</v>
      </c>
      <c r="W219" s="460"/>
      <c r="X219" s="254">
        <v>51.09</v>
      </c>
      <c r="Y219" s="461">
        <v>7.4999999999999997E-2</v>
      </c>
      <c r="Z219" s="460">
        <v>22.5</v>
      </c>
      <c r="AA219" s="460">
        <v>10.26</v>
      </c>
      <c r="AB219" s="460">
        <v>437.73</v>
      </c>
      <c r="AC219" s="462">
        <v>353.75</v>
      </c>
      <c r="AD219" s="463">
        <v>0.3</v>
      </c>
      <c r="AE219" s="460">
        <v>40.83</v>
      </c>
      <c r="AF219" s="460">
        <v>61.32</v>
      </c>
      <c r="AG219" s="460">
        <v>20.62</v>
      </c>
      <c r="AH219" s="460"/>
      <c r="AI219" s="460">
        <v>557</v>
      </c>
      <c r="AJ219" s="460">
        <v>720</v>
      </c>
      <c r="AK219" s="460"/>
      <c r="AL219" s="253"/>
      <c r="AM219" s="273">
        <v>0.1</v>
      </c>
      <c r="AN219" s="255">
        <v>0.08</v>
      </c>
      <c r="AO219" s="160">
        <v>0.1</v>
      </c>
      <c r="AP219" s="536">
        <v>480.1</v>
      </c>
      <c r="AQ219" s="536"/>
      <c r="AR219" s="505">
        <f t="shared" si="40"/>
        <v>213</v>
      </c>
      <c r="AS219" s="480">
        <v>257.37</v>
      </c>
      <c r="AT219" s="480">
        <v>191.57</v>
      </c>
      <c r="AU219" s="480"/>
      <c r="AV219" s="480"/>
      <c r="AW219" s="480"/>
      <c r="AX219" s="480"/>
      <c r="AY219" s="480">
        <v>303.18</v>
      </c>
      <c r="AZ219" s="499" t="s">
        <v>5323</v>
      </c>
      <c r="BA219" s="502">
        <v>23.57</v>
      </c>
      <c r="BB219" s="504"/>
      <c r="BC219" s="510">
        <v>237.16</v>
      </c>
      <c r="BD219" s="510">
        <v>1222.49</v>
      </c>
      <c r="BE219" s="504">
        <v>0.2</v>
      </c>
      <c r="BF219" s="503">
        <v>0.22</v>
      </c>
      <c r="BG219" s="502">
        <v>16.66</v>
      </c>
      <c r="BH219" s="502">
        <v>1414.05</v>
      </c>
      <c r="BI219" s="502">
        <v>19.170000000000002</v>
      </c>
      <c r="BJ219" s="502"/>
      <c r="BK219" s="502"/>
      <c r="BL219" s="510">
        <v>750</v>
      </c>
      <c r="BM219" s="511">
        <v>0.16200000000000001</v>
      </c>
      <c r="BN219" s="511"/>
      <c r="BO219" s="511" t="s">
        <v>5340</v>
      </c>
      <c r="BP219" s="252"/>
      <c r="BQ219" s="252"/>
      <c r="BR219" s="511">
        <v>0.22</v>
      </c>
      <c r="BS219" s="252"/>
      <c r="BT219" s="252"/>
      <c r="BU219" s="524">
        <f t="shared" si="41"/>
        <v>213</v>
      </c>
      <c r="BV219" s="489">
        <v>158.63</v>
      </c>
      <c r="BW219" s="304">
        <v>4.4999999999999998E-2</v>
      </c>
      <c r="BX219" s="254">
        <v>418.3</v>
      </c>
      <c r="BY219" s="304">
        <v>3.9399999999999998E-2</v>
      </c>
      <c r="BZ219" s="494">
        <v>19.170000000000002</v>
      </c>
      <c r="CA219" s="497">
        <v>0.3</v>
      </c>
      <c r="CB219" s="497"/>
      <c r="CC219" s="494">
        <v>424</v>
      </c>
      <c r="CD219" s="241">
        <f t="shared" si="33"/>
        <v>213</v>
      </c>
      <c r="CE219" s="2">
        <v>564.02</v>
      </c>
      <c r="CF219" s="2">
        <v>490.8</v>
      </c>
      <c r="CG219" s="2"/>
      <c r="CH219" s="84">
        <v>0.06</v>
      </c>
      <c r="CI219" s="84">
        <v>0.06</v>
      </c>
      <c r="CJ219" s="252"/>
      <c r="CK219" s="252"/>
      <c r="CL219" s="252">
        <v>546.33000000000004</v>
      </c>
      <c r="CM219" s="253"/>
      <c r="CO219" s="5">
        <v>0.08</v>
      </c>
      <c r="CU219" s="266">
        <f t="shared" si="34"/>
        <v>181</v>
      </c>
      <c r="CV219" s="267">
        <f t="shared" si="35"/>
        <v>362</v>
      </c>
      <c r="CW219" s="268">
        <f t="shared" si="36"/>
        <v>904.99</v>
      </c>
      <c r="CX219" s="418">
        <v>184</v>
      </c>
      <c r="CY219" s="252"/>
      <c r="CZ219" s="252"/>
      <c r="DA219" s="252"/>
      <c r="DB219" s="252"/>
      <c r="DC219" s="252"/>
      <c r="DD219" s="252"/>
      <c r="DE219" s="252"/>
      <c r="DF219" s="252">
        <f t="shared" si="42"/>
        <v>0</v>
      </c>
      <c r="DG219" s="252"/>
      <c r="DH219" s="252">
        <v>489.06</v>
      </c>
      <c r="DI219" s="252"/>
      <c r="DK219" s="252"/>
      <c r="DL219" s="252"/>
      <c r="DP219" s="6">
        <v>7.2499999999999995E-2</v>
      </c>
      <c r="DQ219" s="252">
        <v>39.42</v>
      </c>
      <c r="DR219" s="3">
        <v>546.33000000000004</v>
      </c>
      <c r="DT219" s="241">
        <f t="shared" si="37"/>
        <v>213</v>
      </c>
      <c r="DU219" s="84"/>
      <c r="DV219" s="252">
        <v>720</v>
      </c>
      <c r="DY219" s="252">
        <v>405.18</v>
      </c>
      <c r="DZ219" s="264">
        <v>3.9399999999999998E-2</v>
      </c>
      <c r="EA219" s="252">
        <v>500</v>
      </c>
      <c r="EB219" s="534">
        <v>3.5000000000000003E-2</v>
      </c>
    </row>
    <row r="220" spans="1:132">
      <c r="A220">
        <v>214</v>
      </c>
      <c r="B220" s="259">
        <v>10.202500000000001</v>
      </c>
      <c r="C220">
        <v>214</v>
      </c>
      <c r="D220" s="168">
        <f t="shared" si="32"/>
        <v>0</v>
      </c>
      <c r="E220" s="246">
        <v>45931</v>
      </c>
      <c r="G220" s="374">
        <f t="shared" si="44"/>
        <v>250785.6742215</v>
      </c>
      <c r="H220" s="7">
        <f t="shared" si="45"/>
        <v>627.94530599999996</v>
      </c>
      <c r="I220" s="248">
        <f t="shared" si="47"/>
        <v>139.09199999999998</v>
      </c>
      <c r="J220" s="258">
        <f t="shared" si="46"/>
        <v>0</v>
      </c>
      <c r="K220" s="67"/>
      <c r="L220" s="252">
        <v>300</v>
      </c>
      <c r="M220" s="263"/>
      <c r="N220" s="263"/>
      <c r="O220" s="473">
        <v>328.76</v>
      </c>
      <c r="P220" s="474">
        <v>328.76</v>
      </c>
      <c r="Q220" s="474">
        <v>430.86</v>
      </c>
      <c r="R220" s="475">
        <v>0.09</v>
      </c>
      <c r="S220" s="533">
        <f t="shared" si="39"/>
        <v>214</v>
      </c>
      <c r="T220" s="460">
        <v>75.260000000000005</v>
      </c>
      <c r="U220" s="460">
        <v>10.56</v>
      </c>
      <c r="V220" s="460">
        <v>353.76</v>
      </c>
      <c r="W220" s="460"/>
      <c r="X220" s="254">
        <v>51.09</v>
      </c>
      <c r="Y220" s="461">
        <v>7.4999999999999997E-2</v>
      </c>
      <c r="Z220" s="460">
        <v>22.5</v>
      </c>
      <c r="AA220" s="460">
        <v>10.26</v>
      </c>
      <c r="AB220" s="460">
        <v>437.73</v>
      </c>
      <c r="AC220" s="462">
        <v>353.75</v>
      </c>
      <c r="AD220" s="463">
        <v>0.3</v>
      </c>
      <c r="AE220" s="460">
        <v>40.83</v>
      </c>
      <c r="AF220" s="460">
        <v>61.32</v>
      </c>
      <c r="AG220" s="460">
        <v>20.62</v>
      </c>
      <c r="AH220" s="460"/>
      <c r="AI220" s="460">
        <v>557</v>
      </c>
      <c r="AJ220" s="460">
        <v>720</v>
      </c>
      <c r="AK220" s="460"/>
      <c r="AL220" s="253"/>
      <c r="AM220" s="273">
        <v>0.1</v>
      </c>
      <c r="AN220" s="255">
        <v>0.08</v>
      </c>
      <c r="AO220" s="160">
        <v>0.1</v>
      </c>
      <c r="AP220" s="536">
        <v>480.1</v>
      </c>
      <c r="AQ220" s="536"/>
      <c r="AR220" s="505">
        <f t="shared" si="40"/>
        <v>214</v>
      </c>
      <c r="AS220" s="480">
        <v>257.37</v>
      </c>
      <c r="AT220" s="480">
        <v>191.57</v>
      </c>
      <c r="AU220" s="480"/>
      <c r="AV220" s="480"/>
      <c r="AW220" s="480"/>
      <c r="AX220" s="480"/>
      <c r="AY220" s="480">
        <v>303.18</v>
      </c>
      <c r="AZ220" s="499" t="s">
        <v>5323</v>
      </c>
      <c r="BA220" s="502">
        <v>23.57</v>
      </c>
      <c r="BB220" s="503"/>
      <c r="BC220" s="510">
        <v>237.16</v>
      </c>
      <c r="BD220" s="510">
        <v>1222.49</v>
      </c>
      <c r="BE220" s="504">
        <v>0.2</v>
      </c>
      <c r="BF220" s="503">
        <v>0.22</v>
      </c>
      <c r="BG220" s="502">
        <v>16.66</v>
      </c>
      <c r="BH220" s="502">
        <v>1414.05</v>
      </c>
      <c r="BI220" s="502">
        <v>19.170000000000002</v>
      </c>
      <c r="BJ220" s="502"/>
      <c r="BK220" s="502"/>
      <c r="BL220" s="510">
        <v>750</v>
      </c>
      <c r="BM220" s="511">
        <v>0.16200000000000001</v>
      </c>
      <c r="BN220" s="511"/>
      <c r="BO220" s="511" t="s">
        <v>5340</v>
      </c>
      <c r="BP220" s="252"/>
      <c r="BQ220" s="252"/>
      <c r="BR220" s="511">
        <v>0.22</v>
      </c>
      <c r="BS220" s="252"/>
      <c r="BT220" s="252"/>
      <c r="BU220" s="524">
        <f t="shared" si="41"/>
        <v>214</v>
      </c>
      <c r="BV220" s="489">
        <v>158.63</v>
      </c>
      <c r="BW220" s="304">
        <v>4.4999999999999998E-2</v>
      </c>
      <c r="BX220" s="254">
        <v>418.3</v>
      </c>
      <c r="BY220" s="304">
        <v>3.9399999999999998E-2</v>
      </c>
      <c r="BZ220" s="494">
        <v>19.170000000000002</v>
      </c>
      <c r="CA220" s="497">
        <v>0.3</v>
      </c>
      <c r="CB220" s="497"/>
      <c r="CC220" s="494">
        <v>424</v>
      </c>
      <c r="CD220" s="241">
        <f t="shared" si="33"/>
        <v>214</v>
      </c>
      <c r="CE220" s="2">
        <v>564.02</v>
      </c>
      <c r="CF220" s="2">
        <v>490.8</v>
      </c>
      <c r="CG220" s="2"/>
      <c r="CH220" s="84">
        <v>0.06</v>
      </c>
      <c r="CI220" s="84">
        <v>0.06</v>
      </c>
      <c r="CJ220" s="252"/>
      <c r="CK220" s="252"/>
      <c r="CL220" s="252">
        <v>546.33000000000004</v>
      </c>
      <c r="CM220" s="253"/>
      <c r="CO220" s="253">
        <v>0.08</v>
      </c>
      <c r="CU220" s="266">
        <f t="shared" si="34"/>
        <v>181</v>
      </c>
      <c r="CV220" s="267">
        <f t="shared" si="35"/>
        <v>362</v>
      </c>
      <c r="CW220" s="268">
        <f t="shared" si="36"/>
        <v>904.99</v>
      </c>
      <c r="CX220" s="418">
        <v>184</v>
      </c>
      <c r="CY220" s="252"/>
      <c r="CZ220" s="252"/>
      <c r="DA220" s="252"/>
      <c r="DB220" s="252"/>
      <c r="DC220" s="252"/>
      <c r="DD220" s="252"/>
      <c r="DE220" s="252"/>
      <c r="DF220" s="252">
        <f t="shared" si="42"/>
        <v>0</v>
      </c>
      <c r="DG220" s="252"/>
      <c r="DH220" s="252">
        <v>489.06</v>
      </c>
      <c r="DI220" s="252"/>
      <c r="DK220" s="252"/>
      <c r="DL220" s="252"/>
      <c r="DP220" s="6">
        <v>7.2499999999999995E-2</v>
      </c>
      <c r="DQ220" s="252">
        <v>39.42</v>
      </c>
      <c r="DR220" s="3">
        <v>546.33000000000004</v>
      </c>
      <c r="DT220" s="241">
        <f t="shared" si="37"/>
        <v>214</v>
      </c>
      <c r="DU220" s="84"/>
      <c r="DV220" s="252">
        <v>720</v>
      </c>
      <c r="DY220" s="252">
        <v>405.18</v>
      </c>
      <c r="DZ220" s="264">
        <v>3.9399999999999998E-2</v>
      </c>
      <c r="EA220" s="252">
        <v>500</v>
      </c>
      <c r="EB220" s="534">
        <v>3.5000000000000003E-2</v>
      </c>
    </row>
    <row r="221" spans="1:132">
      <c r="A221">
        <v>215</v>
      </c>
      <c r="B221" s="259">
        <v>11.202500000000001</v>
      </c>
      <c r="C221">
        <v>215</v>
      </c>
      <c r="D221" s="168">
        <f t="shared" si="32"/>
        <v>0</v>
      </c>
      <c r="E221" s="246">
        <v>45962</v>
      </c>
      <c r="G221" s="374">
        <f t="shared" si="44"/>
        <v>250785.6742215</v>
      </c>
      <c r="H221" s="7">
        <f t="shared" si="45"/>
        <v>627.94530599999996</v>
      </c>
      <c r="I221" s="248">
        <f t="shared" si="47"/>
        <v>139.09199999999998</v>
      </c>
      <c r="J221" s="258">
        <f t="shared" si="46"/>
        <v>0</v>
      </c>
      <c r="K221" s="67"/>
      <c r="L221" s="252">
        <v>300</v>
      </c>
      <c r="M221" s="263"/>
      <c r="N221" s="263"/>
      <c r="O221" s="473">
        <v>328.76</v>
      </c>
      <c r="P221" s="474">
        <v>328.76</v>
      </c>
      <c r="Q221" s="474">
        <v>430.86</v>
      </c>
      <c r="R221" s="475">
        <v>0.09</v>
      </c>
      <c r="S221" s="533">
        <f t="shared" si="39"/>
        <v>215</v>
      </c>
      <c r="T221" s="460">
        <v>75.260000000000005</v>
      </c>
      <c r="U221" s="460">
        <v>10.56</v>
      </c>
      <c r="V221" s="460">
        <v>353.76</v>
      </c>
      <c r="W221" s="460"/>
      <c r="X221" s="254">
        <v>51.09</v>
      </c>
      <c r="Y221" s="461">
        <v>7.4999999999999997E-2</v>
      </c>
      <c r="Z221" s="460">
        <v>22.5</v>
      </c>
      <c r="AA221" s="460">
        <v>10.26</v>
      </c>
      <c r="AB221" s="460">
        <v>437.73</v>
      </c>
      <c r="AC221" s="462">
        <v>353.75</v>
      </c>
      <c r="AD221" s="463">
        <v>0.3</v>
      </c>
      <c r="AE221" s="460">
        <v>40.83</v>
      </c>
      <c r="AF221" s="460">
        <v>61.32</v>
      </c>
      <c r="AG221" s="460">
        <v>20.62</v>
      </c>
      <c r="AH221" s="460"/>
      <c r="AI221" s="460">
        <v>557</v>
      </c>
      <c r="AJ221" s="460">
        <v>720</v>
      </c>
      <c r="AK221" s="460">
        <v>15.32</v>
      </c>
      <c r="AL221" s="253"/>
      <c r="AM221" s="273">
        <v>0.1</v>
      </c>
      <c r="AN221" s="255">
        <v>0.08</v>
      </c>
      <c r="AO221" s="160">
        <v>0.1</v>
      </c>
      <c r="AP221" s="536">
        <v>480.1</v>
      </c>
      <c r="AQ221" s="536"/>
      <c r="AR221" s="505">
        <f t="shared" si="40"/>
        <v>215</v>
      </c>
      <c r="AS221" s="480">
        <v>257.37</v>
      </c>
      <c r="AT221" s="480">
        <v>191.57</v>
      </c>
      <c r="AU221" s="480"/>
      <c r="AV221" s="480"/>
      <c r="AW221" s="480"/>
      <c r="AX221" s="480"/>
      <c r="AY221" s="480">
        <v>303.18</v>
      </c>
      <c r="AZ221" s="499" t="s">
        <v>5323</v>
      </c>
      <c r="BA221" s="502">
        <v>23.57</v>
      </c>
      <c r="BB221" s="504"/>
      <c r="BC221" s="510">
        <v>237.16</v>
      </c>
      <c r="BD221" s="510">
        <v>1222.49</v>
      </c>
      <c r="BE221" s="504">
        <v>0.2</v>
      </c>
      <c r="BF221" s="503">
        <v>0.22</v>
      </c>
      <c r="BG221" s="502">
        <v>16.66</v>
      </c>
      <c r="BH221" s="502">
        <v>1414.05</v>
      </c>
      <c r="BI221" s="502">
        <v>19.170000000000002</v>
      </c>
      <c r="BJ221" s="502"/>
      <c r="BK221" s="502"/>
      <c r="BL221" s="510">
        <v>750</v>
      </c>
      <c r="BM221" s="511">
        <v>0.16200000000000001</v>
      </c>
      <c r="BN221" s="511"/>
      <c r="BO221" s="511" t="s">
        <v>5340</v>
      </c>
      <c r="BP221" s="252"/>
      <c r="BQ221" s="252"/>
      <c r="BR221" s="511">
        <v>0.22</v>
      </c>
      <c r="BS221" s="252"/>
      <c r="BT221" s="252"/>
      <c r="BU221" s="524">
        <f t="shared" si="41"/>
        <v>215</v>
      </c>
      <c r="BV221" s="489">
        <v>158.63</v>
      </c>
      <c r="BW221" s="304">
        <v>4.4999999999999998E-2</v>
      </c>
      <c r="BX221" s="254">
        <v>418.3</v>
      </c>
      <c r="BY221" s="304">
        <v>3.9399999999999998E-2</v>
      </c>
      <c r="BZ221" s="494">
        <v>19.170000000000002</v>
      </c>
      <c r="CA221" s="497">
        <v>0.3</v>
      </c>
      <c r="CB221" s="497"/>
      <c r="CC221" s="494">
        <v>424</v>
      </c>
      <c r="CD221" s="241">
        <f t="shared" si="33"/>
        <v>215</v>
      </c>
      <c r="CE221" s="2">
        <v>564.02</v>
      </c>
      <c r="CF221" s="2">
        <v>490.8</v>
      </c>
      <c r="CG221" s="2"/>
      <c r="CH221" s="84">
        <v>0.06</v>
      </c>
      <c r="CI221" s="84">
        <v>0.06</v>
      </c>
      <c r="CJ221" s="252"/>
      <c r="CK221" s="252"/>
      <c r="CL221" s="252">
        <v>546.33000000000004</v>
      </c>
      <c r="CM221" s="253"/>
      <c r="CO221" s="5">
        <v>0.08</v>
      </c>
      <c r="CU221" s="266">
        <f t="shared" si="34"/>
        <v>181</v>
      </c>
      <c r="CV221" s="267">
        <f t="shared" si="35"/>
        <v>362</v>
      </c>
      <c r="CW221" s="268">
        <f t="shared" si="36"/>
        <v>904.99</v>
      </c>
      <c r="CX221" s="418">
        <v>184</v>
      </c>
      <c r="CY221" s="252"/>
      <c r="CZ221" s="252"/>
      <c r="DA221" s="252"/>
      <c r="DB221" s="252"/>
      <c r="DC221" s="252"/>
      <c r="DD221" s="252"/>
      <c r="DE221" s="252"/>
      <c r="DF221" s="252">
        <f t="shared" si="42"/>
        <v>0</v>
      </c>
      <c r="DG221" s="252"/>
      <c r="DH221" s="252">
        <v>489.06</v>
      </c>
      <c r="DI221" s="252"/>
      <c r="DK221" s="252"/>
      <c r="DL221" s="252"/>
      <c r="DP221" s="6">
        <v>7.2499999999999995E-2</v>
      </c>
      <c r="DQ221" s="252">
        <v>39.42</v>
      </c>
      <c r="DR221" s="3">
        <v>546.33000000000004</v>
      </c>
      <c r="DT221" s="241">
        <f t="shared" si="37"/>
        <v>215</v>
      </c>
      <c r="DU221" s="84"/>
      <c r="DV221" s="252">
        <v>720</v>
      </c>
      <c r="DY221" s="252">
        <v>405.18</v>
      </c>
      <c r="DZ221" s="264">
        <v>3.9399999999999998E-2</v>
      </c>
      <c r="EA221" s="252">
        <v>500</v>
      </c>
      <c r="EB221" s="534">
        <v>3.5000000000000003E-2</v>
      </c>
    </row>
    <row r="222" spans="1:132">
      <c r="A222">
        <v>216</v>
      </c>
      <c r="B222" s="259">
        <v>12.202500000000001</v>
      </c>
      <c r="C222">
        <v>216</v>
      </c>
      <c r="D222" s="168">
        <f t="shared" si="32"/>
        <v>0</v>
      </c>
      <c r="E222" s="246">
        <v>45992</v>
      </c>
      <c r="G222" s="374">
        <f t="shared" si="44"/>
        <v>250785.6742215</v>
      </c>
      <c r="H222" s="7">
        <f t="shared" si="45"/>
        <v>627.94530599999996</v>
      </c>
      <c r="I222" s="248">
        <f t="shared" si="47"/>
        <v>139.09199999999998</v>
      </c>
      <c r="J222" s="258">
        <f t="shared" si="46"/>
        <v>0</v>
      </c>
      <c r="K222" s="67"/>
      <c r="L222" s="252">
        <v>300</v>
      </c>
      <c r="M222" s="263"/>
      <c r="N222" s="263"/>
      <c r="O222" s="473">
        <v>328.76</v>
      </c>
      <c r="P222" s="474">
        <v>328.76</v>
      </c>
      <c r="Q222" s="474">
        <v>430.86</v>
      </c>
      <c r="R222" s="475">
        <v>0.09</v>
      </c>
      <c r="S222" s="533">
        <f t="shared" si="39"/>
        <v>216</v>
      </c>
      <c r="T222" s="460">
        <v>75.260000000000005</v>
      </c>
      <c r="U222" s="460">
        <v>10.56</v>
      </c>
      <c r="V222" s="460">
        <v>353.76</v>
      </c>
      <c r="W222" s="460"/>
      <c r="X222" s="254">
        <v>51.09</v>
      </c>
      <c r="Y222" s="461">
        <v>7.4999999999999997E-2</v>
      </c>
      <c r="Z222" s="460">
        <v>22.5</v>
      </c>
      <c r="AA222" s="460">
        <v>10.26</v>
      </c>
      <c r="AB222" s="460">
        <v>437.73</v>
      </c>
      <c r="AC222" s="462">
        <v>353.75</v>
      </c>
      <c r="AD222" s="463">
        <v>0.3</v>
      </c>
      <c r="AE222" s="460">
        <v>40.83</v>
      </c>
      <c r="AF222" s="460">
        <v>61.32</v>
      </c>
      <c r="AG222" s="460">
        <v>20.62</v>
      </c>
      <c r="AH222" s="460"/>
      <c r="AI222" s="460">
        <v>557</v>
      </c>
      <c r="AJ222" s="460">
        <v>720</v>
      </c>
      <c r="AK222" s="460">
        <v>15.32</v>
      </c>
      <c r="AL222" s="253"/>
      <c r="AM222" s="273">
        <v>0.1</v>
      </c>
      <c r="AN222" s="255">
        <v>0.08</v>
      </c>
      <c r="AO222" s="160">
        <v>0.1</v>
      </c>
      <c r="AP222" s="536">
        <v>480.1</v>
      </c>
      <c r="AQ222" s="536"/>
      <c r="AR222" s="505">
        <f t="shared" si="40"/>
        <v>216</v>
      </c>
      <c r="AS222" s="480">
        <v>257.37</v>
      </c>
      <c r="AT222" s="480">
        <v>191.57</v>
      </c>
      <c r="AU222" s="480"/>
      <c r="AV222" s="480"/>
      <c r="AW222" s="480"/>
      <c r="AX222" s="480"/>
      <c r="AY222" s="480">
        <v>303.18</v>
      </c>
      <c r="AZ222" s="499" t="s">
        <v>5323</v>
      </c>
      <c r="BA222" s="502">
        <v>23.57</v>
      </c>
      <c r="BB222" s="503"/>
      <c r="BC222" s="510">
        <v>237.16</v>
      </c>
      <c r="BD222" s="510">
        <v>1222.49</v>
      </c>
      <c r="BE222" s="504">
        <v>0.2</v>
      </c>
      <c r="BF222" s="503">
        <v>0.22</v>
      </c>
      <c r="BG222" s="502">
        <v>16.66</v>
      </c>
      <c r="BH222" s="502">
        <v>1414.05</v>
      </c>
      <c r="BI222" s="502">
        <v>19.170000000000002</v>
      </c>
      <c r="BJ222" s="502"/>
      <c r="BK222" s="502"/>
      <c r="BL222" s="510">
        <v>750</v>
      </c>
      <c r="BM222" s="511">
        <v>0.16200000000000001</v>
      </c>
      <c r="BN222" s="511"/>
      <c r="BO222" s="511" t="s">
        <v>5340</v>
      </c>
      <c r="BP222" s="252"/>
      <c r="BQ222" s="252"/>
      <c r="BR222" s="511">
        <v>0.22</v>
      </c>
      <c r="BS222" s="252"/>
      <c r="BT222" s="252"/>
      <c r="BU222" s="524">
        <f t="shared" si="41"/>
        <v>216</v>
      </c>
      <c r="BV222" s="489">
        <v>158.63</v>
      </c>
      <c r="BW222" s="304">
        <v>4.4999999999999998E-2</v>
      </c>
      <c r="BX222" s="254">
        <v>418.3</v>
      </c>
      <c r="BY222" s="304">
        <v>3.9399999999999998E-2</v>
      </c>
      <c r="BZ222" s="494">
        <v>19.170000000000002</v>
      </c>
      <c r="CA222" s="497">
        <v>0.3</v>
      </c>
      <c r="CB222" s="497"/>
      <c r="CC222" s="494">
        <v>424</v>
      </c>
      <c r="CD222" s="241">
        <f t="shared" si="33"/>
        <v>216</v>
      </c>
      <c r="CE222" s="2">
        <v>564.02</v>
      </c>
      <c r="CF222" s="2">
        <v>490.8</v>
      </c>
      <c r="CG222" s="2"/>
      <c r="CH222" s="84">
        <v>0.06</v>
      </c>
      <c r="CI222" s="84">
        <v>0.06</v>
      </c>
      <c r="CJ222" s="252"/>
      <c r="CK222" s="252"/>
      <c r="CL222" s="252">
        <v>546.33000000000004</v>
      </c>
      <c r="CM222" s="253"/>
      <c r="CO222" s="253">
        <v>0.08</v>
      </c>
      <c r="CU222" s="266">
        <f t="shared" si="34"/>
        <v>181</v>
      </c>
      <c r="CV222" s="267">
        <f t="shared" si="35"/>
        <v>362</v>
      </c>
      <c r="CW222" s="268">
        <f t="shared" si="36"/>
        <v>904.99</v>
      </c>
      <c r="CX222" s="418">
        <v>184</v>
      </c>
      <c r="CY222" s="252"/>
      <c r="CZ222" s="252"/>
      <c r="DA222" s="252"/>
      <c r="DB222" s="252"/>
      <c r="DC222" s="252"/>
      <c r="DD222" s="252"/>
      <c r="DE222" s="252"/>
      <c r="DF222" s="252">
        <f t="shared" si="42"/>
        <v>0</v>
      </c>
      <c r="DG222" s="252"/>
      <c r="DH222" s="252">
        <v>489.06</v>
      </c>
      <c r="DI222" s="252"/>
      <c r="DK222" s="252"/>
      <c r="DL222" s="252"/>
      <c r="DP222" s="6">
        <v>7.2499999999999995E-2</v>
      </c>
      <c r="DQ222" s="252">
        <v>39.42</v>
      </c>
      <c r="DR222" s="3">
        <v>546.33000000000004</v>
      </c>
      <c r="DT222" s="241">
        <f t="shared" si="37"/>
        <v>216</v>
      </c>
      <c r="DU222" s="84"/>
      <c r="DV222" s="252">
        <v>720</v>
      </c>
      <c r="DY222" s="252">
        <v>405.18</v>
      </c>
      <c r="DZ222" s="264">
        <v>3.9399999999999998E-2</v>
      </c>
      <c r="EA222" s="252">
        <v>500</v>
      </c>
      <c r="EB222" s="534">
        <v>3.5000000000000003E-2</v>
      </c>
    </row>
    <row r="223" spans="1:132">
      <c r="A223">
        <v>217</v>
      </c>
      <c r="B223" s="259">
        <v>1.2025999999999999</v>
      </c>
      <c r="C223">
        <v>217</v>
      </c>
      <c r="D223" s="168">
        <f t="shared" si="32"/>
        <v>0</v>
      </c>
      <c r="E223" s="246">
        <v>46023</v>
      </c>
      <c r="G223" s="374">
        <f t="shared" si="44"/>
        <v>250785.6742215</v>
      </c>
      <c r="H223" s="7">
        <f t="shared" si="45"/>
        <v>627.94530599999996</v>
      </c>
      <c r="I223" s="248">
        <f t="shared" si="47"/>
        <v>139.09199999999998</v>
      </c>
      <c r="J223" s="258">
        <f t="shared" si="46"/>
        <v>0</v>
      </c>
      <c r="K223" s="67"/>
      <c r="L223" s="252">
        <v>300</v>
      </c>
      <c r="M223" s="263"/>
      <c r="N223" s="263"/>
      <c r="O223" s="473">
        <v>328.76</v>
      </c>
      <c r="P223" s="474">
        <v>328.76</v>
      </c>
      <c r="Q223" s="474">
        <v>430.86</v>
      </c>
      <c r="R223" s="475">
        <v>0.09</v>
      </c>
      <c r="S223" s="533">
        <f t="shared" si="39"/>
        <v>217</v>
      </c>
      <c r="T223" s="460">
        <v>75.260000000000005</v>
      </c>
      <c r="U223" s="460">
        <v>10.56</v>
      </c>
      <c r="V223" s="460">
        <v>353.76</v>
      </c>
      <c r="W223" s="460"/>
      <c r="X223" s="254">
        <v>51.09</v>
      </c>
      <c r="Y223" s="461">
        <v>7.4999999999999997E-2</v>
      </c>
      <c r="Z223" s="460">
        <v>22.5</v>
      </c>
      <c r="AA223" s="460">
        <v>10.26</v>
      </c>
      <c r="AB223" s="460">
        <v>437.73</v>
      </c>
      <c r="AC223" s="462">
        <v>353.75</v>
      </c>
      <c r="AD223" s="463">
        <v>0.3</v>
      </c>
      <c r="AE223" s="460">
        <v>40.83</v>
      </c>
      <c r="AF223" s="460">
        <v>61.32</v>
      </c>
      <c r="AG223" s="460">
        <v>20.62</v>
      </c>
      <c r="AH223" s="460"/>
      <c r="AI223" s="460">
        <v>557</v>
      </c>
      <c r="AJ223" s="460">
        <v>720</v>
      </c>
      <c r="AK223" s="460">
        <v>15.32</v>
      </c>
      <c r="AL223" s="253"/>
      <c r="AM223" s="273">
        <v>0.1</v>
      </c>
      <c r="AN223" s="255">
        <v>0.08</v>
      </c>
      <c r="AO223" s="160">
        <v>0.1</v>
      </c>
      <c r="AP223" s="536">
        <v>480.1</v>
      </c>
      <c r="AQ223" s="536"/>
      <c r="AR223" s="505">
        <f t="shared" si="40"/>
        <v>217</v>
      </c>
      <c r="AS223" s="480">
        <v>257.37</v>
      </c>
      <c r="AT223" s="480">
        <v>191.57</v>
      </c>
      <c r="AU223" s="480"/>
      <c r="AV223" s="480"/>
      <c r="AW223" s="480"/>
      <c r="AX223" s="480"/>
      <c r="AY223" s="480">
        <v>303.18</v>
      </c>
      <c r="AZ223" s="499" t="s">
        <v>5323</v>
      </c>
      <c r="BA223" s="502">
        <v>23.57</v>
      </c>
      <c r="BB223" s="504"/>
      <c r="BC223" s="510">
        <v>237.16</v>
      </c>
      <c r="BD223" s="510">
        <v>1222.49</v>
      </c>
      <c r="BE223" s="504">
        <v>0.2</v>
      </c>
      <c r="BF223" s="503">
        <v>0.22</v>
      </c>
      <c r="BG223" s="502">
        <v>16.66</v>
      </c>
      <c r="BH223" s="502">
        <v>1414.05</v>
      </c>
      <c r="BI223" s="502">
        <v>19.170000000000002</v>
      </c>
      <c r="BJ223" s="502"/>
      <c r="BK223" s="502"/>
      <c r="BL223" s="510">
        <v>750</v>
      </c>
      <c r="BM223" s="511">
        <v>0.16200000000000001</v>
      </c>
      <c r="BN223" s="511"/>
      <c r="BO223" s="511" t="s">
        <v>5340</v>
      </c>
      <c r="BP223" s="252"/>
      <c r="BQ223" s="252"/>
      <c r="BR223" s="511">
        <v>0.22</v>
      </c>
      <c r="BS223" s="252"/>
      <c r="BT223" s="252"/>
      <c r="BU223" s="524">
        <f t="shared" si="41"/>
        <v>217</v>
      </c>
      <c r="BV223" s="489">
        <v>158.63</v>
      </c>
      <c r="BW223" s="304">
        <v>4.4999999999999998E-2</v>
      </c>
      <c r="BX223" s="254">
        <v>418.3</v>
      </c>
      <c r="BY223" s="304">
        <v>3.9399999999999998E-2</v>
      </c>
      <c r="BZ223" s="494">
        <v>19.170000000000002</v>
      </c>
      <c r="CA223" s="497">
        <v>0.3</v>
      </c>
      <c r="CB223" s="497"/>
      <c r="CC223" s="494">
        <v>424</v>
      </c>
      <c r="CD223" s="241">
        <f t="shared" si="33"/>
        <v>217</v>
      </c>
      <c r="CE223" s="2">
        <v>564.02</v>
      </c>
      <c r="CF223" s="2">
        <v>490.8</v>
      </c>
      <c r="CG223" s="2"/>
      <c r="CH223" s="84">
        <v>0.06</v>
      </c>
      <c r="CI223" s="84">
        <v>0.06</v>
      </c>
      <c r="CJ223" s="252"/>
      <c r="CK223" s="252"/>
      <c r="CL223" s="252">
        <v>546.33000000000004</v>
      </c>
      <c r="CM223" s="253"/>
      <c r="CO223" s="5">
        <v>0.08</v>
      </c>
      <c r="CU223" s="266">
        <f t="shared" si="34"/>
        <v>181</v>
      </c>
      <c r="CV223" s="267">
        <f t="shared" si="35"/>
        <v>362</v>
      </c>
      <c r="CW223" s="268">
        <f t="shared" si="36"/>
        <v>904.99</v>
      </c>
      <c r="CX223" s="418">
        <v>184</v>
      </c>
      <c r="CY223" s="252"/>
      <c r="CZ223" s="252"/>
      <c r="DA223" s="252"/>
      <c r="DB223" s="252"/>
      <c r="DC223" s="252"/>
      <c r="DD223" s="252"/>
      <c r="DE223" s="252"/>
      <c r="DF223" s="252">
        <f t="shared" si="42"/>
        <v>0</v>
      </c>
      <c r="DG223" s="252"/>
      <c r="DH223" s="252">
        <v>489.06</v>
      </c>
      <c r="DI223" s="252"/>
      <c r="DK223" s="252"/>
      <c r="DL223" s="252"/>
      <c r="DP223" s="6">
        <v>7.2499999999999995E-2</v>
      </c>
      <c r="DQ223" s="252">
        <v>39.42</v>
      </c>
      <c r="DR223" s="3">
        <v>546.33000000000004</v>
      </c>
      <c r="DT223" s="241">
        <f t="shared" si="37"/>
        <v>217</v>
      </c>
      <c r="DU223" s="84"/>
      <c r="DV223" s="252">
        <v>720</v>
      </c>
      <c r="DY223" s="252">
        <v>405.18</v>
      </c>
      <c r="DZ223" s="264">
        <v>3.9399999999999998E-2</v>
      </c>
      <c r="EA223" s="252">
        <v>500</v>
      </c>
      <c r="EB223" s="534">
        <v>3.5000000000000003E-2</v>
      </c>
    </row>
    <row r="224" spans="1:132">
      <c r="A224">
        <v>218</v>
      </c>
      <c r="B224" s="259">
        <v>2.2025999999999999</v>
      </c>
      <c r="C224">
        <v>218</v>
      </c>
      <c r="D224" s="168">
        <f t="shared" si="32"/>
        <v>0</v>
      </c>
      <c r="E224" s="246">
        <v>46054</v>
      </c>
      <c r="G224" s="374">
        <f t="shared" si="44"/>
        <v>250785.6742215</v>
      </c>
      <c r="H224" s="7">
        <f t="shared" si="45"/>
        <v>627.94530599999996</v>
      </c>
      <c r="I224" s="248">
        <f t="shared" si="47"/>
        <v>139.09199999999998</v>
      </c>
      <c r="J224" s="258">
        <f t="shared" si="46"/>
        <v>0</v>
      </c>
      <c r="K224" s="67"/>
      <c r="L224" s="252">
        <v>300</v>
      </c>
      <c r="M224" s="263"/>
      <c r="N224" s="263"/>
      <c r="O224" s="473">
        <v>328.76</v>
      </c>
      <c r="P224" s="474">
        <v>328.76</v>
      </c>
      <c r="Q224" s="474">
        <v>430.86</v>
      </c>
      <c r="R224" s="475">
        <v>0.09</v>
      </c>
      <c r="S224" s="533">
        <f t="shared" si="39"/>
        <v>218</v>
      </c>
      <c r="T224" s="460">
        <v>75.260000000000005</v>
      </c>
      <c r="U224" s="460">
        <v>10.56</v>
      </c>
      <c r="V224" s="460">
        <v>353.76</v>
      </c>
      <c r="W224" s="460"/>
      <c r="X224" s="254">
        <v>51.09</v>
      </c>
      <c r="Y224" s="461">
        <v>7.4999999999999997E-2</v>
      </c>
      <c r="Z224" s="460">
        <v>22.5</v>
      </c>
      <c r="AA224" s="460">
        <v>10.26</v>
      </c>
      <c r="AB224" s="460">
        <v>437.73</v>
      </c>
      <c r="AC224" s="462">
        <v>353.75</v>
      </c>
      <c r="AD224" s="463">
        <v>0.3</v>
      </c>
      <c r="AE224" s="460">
        <v>40.83</v>
      </c>
      <c r="AF224" s="460">
        <v>61.32</v>
      </c>
      <c r="AG224" s="460">
        <v>20.62</v>
      </c>
      <c r="AH224" s="460"/>
      <c r="AI224" s="460">
        <v>557</v>
      </c>
      <c r="AJ224" s="460">
        <v>720</v>
      </c>
      <c r="AK224" s="460">
        <v>15.32</v>
      </c>
      <c r="AL224" s="253"/>
      <c r="AM224" s="273">
        <v>0.1</v>
      </c>
      <c r="AN224" s="255">
        <v>0.08</v>
      </c>
      <c r="AO224" s="160">
        <v>0.1</v>
      </c>
      <c r="AP224" s="536">
        <v>480.1</v>
      </c>
      <c r="AQ224" s="536"/>
      <c r="AR224" s="505">
        <f t="shared" si="40"/>
        <v>218</v>
      </c>
      <c r="AS224" s="480">
        <v>257.37</v>
      </c>
      <c r="AT224" s="480">
        <v>191.57</v>
      </c>
      <c r="AU224" s="480"/>
      <c r="AV224" s="480"/>
      <c r="AW224" s="480"/>
      <c r="AX224" s="480"/>
      <c r="AY224" s="480">
        <v>303.18</v>
      </c>
      <c r="AZ224" s="499" t="s">
        <v>5323</v>
      </c>
      <c r="BA224" s="502">
        <v>23.57</v>
      </c>
      <c r="BB224" s="503"/>
      <c r="BC224" s="510">
        <v>237.16</v>
      </c>
      <c r="BD224" s="510">
        <v>1222.49</v>
      </c>
      <c r="BE224" s="504">
        <v>0.2</v>
      </c>
      <c r="BF224" s="503">
        <v>0.22</v>
      </c>
      <c r="BG224" s="502">
        <v>16.66</v>
      </c>
      <c r="BH224" s="502">
        <v>1414.05</v>
      </c>
      <c r="BI224" s="502">
        <v>19.170000000000002</v>
      </c>
      <c r="BJ224" s="502"/>
      <c r="BK224" s="502"/>
      <c r="BL224" s="510">
        <v>750</v>
      </c>
      <c r="BM224" s="511">
        <v>0.16200000000000001</v>
      </c>
      <c r="BN224" s="511"/>
      <c r="BO224" s="511" t="s">
        <v>5340</v>
      </c>
      <c r="BP224" s="252"/>
      <c r="BQ224" s="252"/>
      <c r="BR224" s="511">
        <v>0.22</v>
      </c>
      <c r="BS224" s="252"/>
      <c r="BT224" s="252"/>
      <c r="BU224" s="524">
        <f t="shared" si="41"/>
        <v>218</v>
      </c>
      <c r="BV224" s="489">
        <v>158.63</v>
      </c>
      <c r="BW224" s="304">
        <v>4.4999999999999998E-2</v>
      </c>
      <c r="BX224" s="254">
        <v>418.3</v>
      </c>
      <c r="BY224" s="304">
        <v>3.9399999999999998E-2</v>
      </c>
      <c r="BZ224" s="494">
        <v>19.170000000000002</v>
      </c>
      <c r="CA224" s="497">
        <v>0.3</v>
      </c>
      <c r="CB224" s="497"/>
      <c r="CC224" s="494">
        <v>424</v>
      </c>
      <c r="CD224" s="241">
        <f t="shared" si="33"/>
        <v>218</v>
      </c>
      <c r="CE224" s="2">
        <v>564.02</v>
      </c>
      <c r="CF224" s="2">
        <v>490.8</v>
      </c>
      <c r="CG224" s="2"/>
      <c r="CH224" s="84">
        <v>0.06</v>
      </c>
      <c r="CI224" s="84">
        <v>0.06</v>
      </c>
      <c r="CJ224" s="252"/>
      <c r="CK224" s="252"/>
      <c r="CL224" s="252">
        <v>546.33000000000004</v>
      </c>
      <c r="CM224" s="253"/>
      <c r="CO224" s="253">
        <v>0.08</v>
      </c>
      <c r="CU224" s="266">
        <f t="shared" si="34"/>
        <v>181</v>
      </c>
      <c r="CV224" s="267">
        <f t="shared" si="35"/>
        <v>362</v>
      </c>
      <c r="CW224" s="268">
        <f t="shared" si="36"/>
        <v>904.99</v>
      </c>
      <c r="CX224" s="418">
        <v>184</v>
      </c>
      <c r="CY224" s="252"/>
      <c r="CZ224" s="252"/>
      <c r="DA224" s="252"/>
      <c r="DB224" s="252"/>
      <c r="DC224" s="252"/>
      <c r="DD224" s="252"/>
      <c r="DE224" s="252"/>
      <c r="DF224" s="252">
        <f t="shared" si="42"/>
        <v>0</v>
      </c>
      <c r="DG224" s="252"/>
      <c r="DH224" s="252">
        <v>489.06</v>
      </c>
      <c r="DI224" s="252"/>
      <c r="DK224" s="252"/>
      <c r="DL224" s="252"/>
      <c r="DP224" s="6">
        <v>7.2499999999999995E-2</v>
      </c>
      <c r="DQ224" s="252">
        <v>39.42</v>
      </c>
      <c r="DR224" s="3">
        <v>546.33000000000004</v>
      </c>
      <c r="DT224" s="241">
        <f t="shared" si="37"/>
        <v>218</v>
      </c>
      <c r="DU224" s="84"/>
      <c r="DV224" s="252">
        <v>720</v>
      </c>
      <c r="DY224" s="252">
        <v>405.18</v>
      </c>
      <c r="DZ224" s="264">
        <v>3.9399999999999998E-2</v>
      </c>
      <c r="EA224" s="252">
        <v>500</v>
      </c>
      <c r="EB224" s="534">
        <v>3.5000000000000003E-2</v>
      </c>
    </row>
    <row r="225" spans="1:132">
      <c r="A225">
        <v>219</v>
      </c>
      <c r="B225" s="259">
        <v>3.2025999999999999</v>
      </c>
      <c r="C225">
        <v>219</v>
      </c>
      <c r="D225" s="168">
        <f t="shared" si="32"/>
        <v>0</v>
      </c>
      <c r="E225" s="246">
        <v>46082</v>
      </c>
      <c r="G225" s="374">
        <f t="shared" si="44"/>
        <v>250785.6742215</v>
      </c>
      <c r="H225" s="7">
        <f t="shared" si="45"/>
        <v>627.94530599999996</v>
      </c>
      <c r="I225" s="248">
        <f t="shared" si="47"/>
        <v>139.09199999999998</v>
      </c>
      <c r="J225" s="258">
        <f t="shared" si="46"/>
        <v>0</v>
      </c>
      <c r="K225" s="67"/>
      <c r="L225" s="252">
        <v>300</v>
      </c>
      <c r="M225" s="263"/>
      <c r="N225" s="263"/>
      <c r="O225" s="473">
        <v>328.76</v>
      </c>
      <c r="P225" s="474">
        <v>328.76</v>
      </c>
      <c r="Q225" s="474">
        <v>430.86</v>
      </c>
      <c r="R225" s="475">
        <v>0.09</v>
      </c>
      <c r="S225" s="533">
        <f t="shared" si="39"/>
        <v>219</v>
      </c>
      <c r="T225" s="460">
        <v>75.260000000000005</v>
      </c>
      <c r="U225" s="460">
        <v>10.56</v>
      </c>
      <c r="V225" s="460">
        <v>353.76</v>
      </c>
      <c r="W225" s="460"/>
      <c r="X225" s="254">
        <v>51.09</v>
      </c>
      <c r="Y225" s="461">
        <v>7.4999999999999997E-2</v>
      </c>
      <c r="Z225" s="460">
        <v>22.5</v>
      </c>
      <c r="AA225" s="460">
        <v>10.26</v>
      </c>
      <c r="AB225" s="460">
        <v>437.73</v>
      </c>
      <c r="AC225" s="462">
        <v>353.75</v>
      </c>
      <c r="AD225" s="463">
        <v>0.3</v>
      </c>
      <c r="AE225" s="460">
        <v>40.83</v>
      </c>
      <c r="AF225" s="460">
        <v>61.32</v>
      </c>
      <c r="AG225" s="460">
        <v>20.62</v>
      </c>
      <c r="AH225" s="460"/>
      <c r="AI225" s="460"/>
      <c r="AJ225" s="460"/>
      <c r="AK225" s="460">
        <v>15.32</v>
      </c>
      <c r="AL225" s="253"/>
      <c r="AM225" s="273">
        <v>0.1</v>
      </c>
      <c r="AN225" s="255">
        <v>0.08</v>
      </c>
      <c r="AO225" s="160">
        <v>0.1</v>
      </c>
      <c r="AP225" s="536">
        <v>480.1</v>
      </c>
      <c r="AQ225" s="536"/>
      <c r="AR225" s="505">
        <f t="shared" si="40"/>
        <v>219</v>
      </c>
      <c r="AS225" s="480">
        <v>257.37</v>
      </c>
      <c r="AT225" s="480">
        <v>191.57</v>
      </c>
      <c r="AU225" s="480"/>
      <c r="AV225" s="480"/>
      <c r="AW225" s="480"/>
      <c r="AX225" s="480"/>
      <c r="AY225" s="480">
        <v>303.18</v>
      </c>
      <c r="AZ225" s="499" t="s">
        <v>5323</v>
      </c>
      <c r="BA225" s="502">
        <v>23.57</v>
      </c>
      <c r="BB225" s="504"/>
      <c r="BC225" s="510">
        <v>237.16</v>
      </c>
      <c r="BD225" s="510">
        <v>1222.49</v>
      </c>
      <c r="BE225" s="504">
        <v>0.2</v>
      </c>
      <c r="BF225" s="503">
        <v>0.22</v>
      </c>
      <c r="BG225" s="502">
        <v>16.66</v>
      </c>
      <c r="BH225" s="502">
        <v>1414.05</v>
      </c>
      <c r="BI225" s="502">
        <v>19.170000000000002</v>
      </c>
      <c r="BJ225" s="502"/>
      <c r="BK225" s="502"/>
      <c r="BL225" s="510">
        <v>750</v>
      </c>
      <c r="BM225" s="511">
        <v>0.16200000000000001</v>
      </c>
      <c r="BN225" s="511"/>
      <c r="BO225" s="511" t="s">
        <v>5340</v>
      </c>
      <c r="BP225" s="252"/>
      <c r="BQ225" s="252"/>
      <c r="BR225" s="511">
        <v>0.22</v>
      </c>
      <c r="BS225" s="252"/>
      <c r="BT225" s="252"/>
      <c r="BU225" s="524">
        <f t="shared" si="41"/>
        <v>219</v>
      </c>
      <c r="BV225" s="489">
        <v>158.63</v>
      </c>
      <c r="BW225" s="304">
        <v>4.4999999999999998E-2</v>
      </c>
      <c r="BX225" s="254">
        <v>418.3</v>
      </c>
      <c r="BY225" s="304">
        <v>3.9399999999999998E-2</v>
      </c>
      <c r="BZ225" s="494">
        <v>19.170000000000002</v>
      </c>
      <c r="CA225" s="497">
        <v>0.3</v>
      </c>
      <c r="CB225" s="497"/>
      <c r="CC225" s="494">
        <v>424</v>
      </c>
      <c r="CD225" s="241">
        <f t="shared" si="33"/>
        <v>219</v>
      </c>
      <c r="CE225" s="2">
        <v>564.02</v>
      </c>
      <c r="CF225" s="2">
        <v>490.8</v>
      </c>
      <c r="CG225" s="2"/>
      <c r="CH225" s="84">
        <v>0.06</v>
      </c>
      <c r="CI225" s="84">
        <v>0.06</v>
      </c>
      <c r="CJ225" s="252"/>
      <c r="CK225" s="252"/>
      <c r="CL225" s="252">
        <v>546.33000000000004</v>
      </c>
      <c r="CM225" s="253"/>
      <c r="CO225" s="5">
        <v>0.08</v>
      </c>
      <c r="CU225" s="266">
        <f t="shared" si="34"/>
        <v>181</v>
      </c>
      <c r="CV225" s="267">
        <f t="shared" si="35"/>
        <v>362</v>
      </c>
      <c r="CW225" s="268">
        <f t="shared" si="36"/>
        <v>904.99</v>
      </c>
      <c r="CX225" s="418">
        <v>184</v>
      </c>
      <c r="CY225" s="252"/>
      <c r="CZ225" s="252"/>
      <c r="DA225" s="252"/>
      <c r="DB225" s="252"/>
      <c r="DC225" s="252"/>
      <c r="DD225" s="252"/>
      <c r="DE225" s="252"/>
      <c r="DF225" s="252">
        <f t="shared" si="42"/>
        <v>0</v>
      </c>
      <c r="DG225" s="252"/>
      <c r="DH225" s="252">
        <v>489.06</v>
      </c>
      <c r="DI225" s="252"/>
      <c r="DK225" s="252"/>
      <c r="DL225" s="252"/>
      <c r="DP225" s="6">
        <v>7.2499999999999995E-2</v>
      </c>
      <c r="DQ225" s="252">
        <v>39.42</v>
      </c>
      <c r="DR225" s="3">
        <v>546.33000000000004</v>
      </c>
      <c r="DT225" s="241">
        <f t="shared" si="37"/>
        <v>219</v>
      </c>
      <c r="DU225" s="84"/>
      <c r="DV225" s="252">
        <v>720</v>
      </c>
      <c r="DY225" s="252">
        <v>405.18</v>
      </c>
      <c r="DZ225" s="264">
        <v>3.9399999999999998E-2</v>
      </c>
      <c r="EA225" s="252">
        <v>500</v>
      </c>
      <c r="EB225" s="534">
        <v>3.5000000000000003E-2</v>
      </c>
    </row>
    <row r="226" spans="1:132">
      <c r="A226">
        <v>220</v>
      </c>
      <c r="B226" s="259">
        <v>4.2026000000000003</v>
      </c>
      <c r="C226">
        <v>220</v>
      </c>
      <c r="D226" s="168">
        <f t="shared" si="32"/>
        <v>0</v>
      </c>
      <c r="E226" s="246">
        <v>46113</v>
      </c>
      <c r="G226" s="374">
        <f t="shared" si="44"/>
        <v>250785.6742215</v>
      </c>
      <c r="H226" s="7">
        <f t="shared" si="45"/>
        <v>627.94530599999996</v>
      </c>
      <c r="I226" s="248">
        <f t="shared" si="47"/>
        <v>139.09199999999998</v>
      </c>
      <c r="J226" s="258">
        <f t="shared" si="46"/>
        <v>0</v>
      </c>
      <c r="K226" s="67"/>
      <c r="L226" s="252">
        <v>300</v>
      </c>
      <c r="M226" s="263"/>
      <c r="N226" s="263"/>
      <c r="O226" s="473">
        <v>328.76</v>
      </c>
      <c r="P226" s="474">
        <v>328.76</v>
      </c>
      <c r="Q226" s="474">
        <v>430.86</v>
      </c>
      <c r="R226" s="475">
        <v>0.09</v>
      </c>
      <c r="S226" s="533">
        <f t="shared" si="39"/>
        <v>220</v>
      </c>
      <c r="T226" s="460">
        <v>75.260000000000005</v>
      </c>
      <c r="U226" s="460">
        <v>10.56</v>
      </c>
      <c r="V226" s="460">
        <v>353.76</v>
      </c>
      <c r="W226" s="460"/>
      <c r="X226" s="254">
        <v>51.09</v>
      </c>
      <c r="Y226" s="461">
        <v>7.4999999999999997E-2</v>
      </c>
      <c r="Z226" s="460">
        <v>22.5</v>
      </c>
      <c r="AA226" s="460">
        <v>10.26</v>
      </c>
      <c r="AB226" s="460">
        <v>437.73</v>
      </c>
      <c r="AC226" s="462">
        <v>353.75</v>
      </c>
      <c r="AD226" s="463">
        <v>0.3</v>
      </c>
      <c r="AE226" s="460">
        <v>40.83</v>
      </c>
      <c r="AF226" s="460">
        <v>61.32</v>
      </c>
      <c r="AG226" s="460">
        <v>20.62</v>
      </c>
      <c r="AH226" s="460"/>
      <c r="AI226" s="460"/>
      <c r="AJ226" s="460"/>
      <c r="AK226" s="460">
        <v>15.32</v>
      </c>
      <c r="AL226" s="253"/>
      <c r="AM226" s="273">
        <v>0.1</v>
      </c>
      <c r="AN226" s="255">
        <v>0.08</v>
      </c>
      <c r="AO226" s="160">
        <v>0.1</v>
      </c>
      <c r="AP226" s="536">
        <v>480.1</v>
      </c>
      <c r="AQ226" s="536"/>
      <c r="AR226" s="505">
        <f t="shared" si="40"/>
        <v>220</v>
      </c>
      <c r="AS226" s="480">
        <v>257.37</v>
      </c>
      <c r="AT226" s="480">
        <v>191.57</v>
      </c>
      <c r="AU226" s="480"/>
      <c r="AV226" s="480"/>
      <c r="AW226" s="480"/>
      <c r="AX226" s="480"/>
      <c r="AY226" s="480">
        <v>303.18</v>
      </c>
      <c r="AZ226" s="499" t="s">
        <v>5323</v>
      </c>
      <c r="BA226" s="502">
        <v>23.57</v>
      </c>
      <c r="BB226" s="503"/>
      <c r="BC226" s="510">
        <v>237.16</v>
      </c>
      <c r="BD226" s="510">
        <v>1222.49</v>
      </c>
      <c r="BE226" s="504">
        <v>0.2</v>
      </c>
      <c r="BF226" s="503">
        <v>0.22</v>
      </c>
      <c r="BG226" s="502">
        <v>16.66</v>
      </c>
      <c r="BH226" s="502">
        <v>1414.05</v>
      </c>
      <c r="BI226" s="502">
        <v>19.170000000000002</v>
      </c>
      <c r="BJ226" s="502"/>
      <c r="BK226" s="502"/>
      <c r="BL226" s="510">
        <v>750</v>
      </c>
      <c r="BM226" s="511">
        <v>0.16200000000000001</v>
      </c>
      <c r="BN226" s="511"/>
      <c r="BO226" s="511" t="s">
        <v>5340</v>
      </c>
      <c r="BP226" s="252"/>
      <c r="BQ226" s="252"/>
      <c r="BR226" s="511">
        <v>0.22</v>
      </c>
      <c r="BS226" s="252"/>
      <c r="BT226" s="252"/>
      <c r="BU226" s="524">
        <f t="shared" si="41"/>
        <v>220</v>
      </c>
      <c r="BV226" s="489">
        <v>158.63</v>
      </c>
      <c r="BW226" s="304">
        <v>4.4999999999999998E-2</v>
      </c>
      <c r="BX226" s="254">
        <v>418.3</v>
      </c>
      <c r="BY226" s="304">
        <v>3.9399999999999998E-2</v>
      </c>
      <c r="BZ226" s="494">
        <v>19.170000000000002</v>
      </c>
      <c r="CA226" s="497">
        <v>0.3</v>
      </c>
      <c r="CB226" s="497"/>
      <c r="CC226" s="494">
        <v>424</v>
      </c>
      <c r="CD226" s="241">
        <f t="shared" si="33"/>
        <v>220</v>
      </c>
      <c r="CE226" s="2">
        <v>564.02</v>
      </c>
      <c r="CF226" s="2">
        <v>490.8</v>
      </c>
      <c r="CG226" s="2"/>
      <c r="CH226" s="84">
        <v>0.06</v>
      </c>
      <c r="CI226" s="84">
        <v>0.06</v>
      </c>
      <c r="CJ226" s="252"/>
      <c r="CK226" s="252"/>
      <c r="CL226" s="252">
        <v>546.33000000000004</v>
      </c>
      <c r="CM226" s="253"/>
      <c r="CO226" s="253">
        <v>0.08</v>
      </c>
      <c r="CU226" s="266">
        <f t="shared" si="34"/>
        <v>181</v>
      </c>
      <c r="CV226" s="267">
        <f t="shared" si="35"/>
        <v>362</v>
      </c>
      <c r="CW226" s="268">
        <f t="shared" si="36"/>
        <v>904.99</v>
      </c>
      <c r="CX226" s="418">
        <v>184</v>
      </c>
      <c r="CY226" s="252"/>
      <c r="CZ226" s="252"/>
      <c r="DA226" s="252"/>
      <c r="DB226" s="252"/>
      <c r="DC226" s="252"/>
      <c r="DD226" s="252"/>
      <c r="DE226" s="252"/>
      <c r="DF226" s="252">
        <f t="shared" si="42"/>
        <v>0</v>
      </c>
      <c r="DG226" s="252"/>
      <c r="DH226" s="252">
        <v>489.06</v>
      </c>
      <c r="DI226" s="252"/>
      <c r="DK226" s="252"/>
      <c r="DL226" s="252"/>
      <c r="DP226" s="6">
        <v>7.2499999999999995E-2</v>
      </c>
      <c r="DQ226" s="252">
        <v>39.42</v>
      </c>
      <c r="DR226" s="3">
        <v>546.33000000000004</v>
      </c>
      <c r="DT226" s="241">
        <f t="shared" si="37"/>
        <v>220</v>
      </c>
      <c r="DU226" s="84"/>
      <c r="DV226" s="252">
        <v>720</v>
      </c>
      <c r="DY226" s="252">
        <v>405.18</v>
      </c>
      <c r="DZ226" s="264">
        <v>3.9399999999999998E-2</v>
      </c>
      <c r="EA226" s="252">
        <v>500</v>
      </c>
      <c r="EB226" s="534">
        <v>3.5000000000000003E-2</v>
      </c>
    </row>
    <row r="227" spans="1:132">
      <c r="A227">
        <v>221</v>
      </c>
      <c r="B227" s="259">
        <v>5.2026000000000003</v>
      </c>
      <c r="C227">
        <v>221</v>
      </c>
      <c r="D227" s="168">
        <f t="shared" si="32"/>
        <v>0</v>
      </c>
      <c r="E227" s="246">
        <v>46143</v>
      </c>
      <c r="G227" s="374">
        <f t="shared" si="44"/>
        <v>250785.6742215</v>
      </c>
      <c r="H227" s="7">
        <f t="shared" si="45"/>
        <v>627.94530599999996</v>
      </c>
      <c r="I227" s="248">
        <f t="shared" si="47"/>
        <v>139.09199999999998</v>
      </c>
      <c r="J227" s="258">
        <f t="shared" si="46"/>
        <v>0</v>
      </c>
      <c r="K227" s="67"/>
      <c r="L227" s="252">
        <v>300</v>
      </c>
      <c r="M227" s="263"/>
      <c r="N227" s="263"/>
      <c r="O227" s="473">
        <v>328.76</v>
      </c>
      <c r="P227" s="474">
        <v>328.76</v>
      </c>
      <c r="Q227" s="474">
        <v>430.86</v>
      </c>
      <c r="R227" s="475">
        <v>0.09</v>
      </c>
      <c r="S227" s="533">
        <f t="shared" si="39"/>
        <v>221</v>
      </c>
      <c r="T227" s="460">
        <v>75.260000000000005</v>
      </c>
      <c r="U227" s="460">
        <v>10.56</v>
      </c>
      <c r="V227" s="460">
        <v>353.76</v>
      </c>
      <c r="W227" s="460"/>
      <c r="X227" s="254">
        <v>51.09</v>
      </c>
      <c r="Y227" s="461">
        <v>7.4999999999999997E-2</v>
      </c>
      <c r="Z227" s="460">
        <v>22.5</v>
      </c>
      <c r="AA227" s="460">
        <v>10.26</v>
      </c>
      <c r="AB227" s="460">
        <v>437.73</v>
      </c>
      <c r="AC227" s="462">
        <v>353.75</v>
      </c>
      <c r="AD227" s="463">
        <v>0.3</v>
      </c>
      <c r="AE227" s="460">
        <v>40.83</v>
      </c>
      <c r="AF227" s="460">
        <v>61.32</v>
      </c>
      <c r="AG227" s="460">
        <v>20.62</v>
      </c>
      <c r="AH227" s="460"/>
      <c r="AI227" s="460"/>
      <c r="AJ227" s="460"/>
      <c r="AK227" s="460">
        <v>15.32</v>
      </c>
      <c r="AL227" s="253"/>
      <c r="AM227" s="273">
        <v>0.1</v>
      </c>
      <c r="AN227" s="255">
        <v>0.08</v>
      </c>
      <c r="AO227" s="160">
        <v>0.1</v>
      </c>
      <c r="AP227" s="536">
        <v>480.1</v>
      </c>
      <c r="AQ227" s="536"/>
      <c r="AR227" s="505">
        <f t="shared" si="40"/>
        <v>221</v>
      </c>
      <c r="AS227" s="480">
        <v>257.37</v>
      </c>
      <c r="AT227" s="480">
        <v>191.57</v>
      </c>
      <c r="AU227" s="480"/>
      <c r="AV227" s="480"/>
      <c r="AW227" s="480"/>
      <c r="AX227" s="480"/>
      <c r="AY227" s="480">
        <v>303.18</v>
      </c>
      <c r="AZ227" s="499" t="s">
        <v>5323</v>
      </c>
      <c r="BA227" s="502">
        <v>23.57</v>
      </c>
      <c r="BB227" s="504"/>
      <c r="BC227" s="510">
        <v>237.16</v>
      </c>
      <c r="BD227" s="510">
        <v>1222.49</v>
      </c>
      <c r="BE227" s="504">
        <v>0.2</v>
      </c>
      <c r="BF227" s="503">
        <v>0.22</v>
      </c>
      <c r="BG227" s="502">
        <v>16.66</v>
      </c>
      <c r="BH227" s="502">
        <v>1414.05</v>
      </c>
      <c r="BI227" s="502">
        <v>19.170000000000002</v>
      </c>
      <c r="BJ227" s="502"/>
      <c r="BK227" s="502"/>
      <c r="BL227" s="510">
        <v>750</v>
      </c>
      <c r="BM227" s="511">
        <v>0.16200000000000001</v>
      </c>
      <c r="BN227" s="511"/>
      <c r="BO227" s="511" t="s">
        <v>5340</v>
      </c>
      <c r="BP227" s="252"/>
      <c r="BQ227" s="252"/>
      <c r="BR227" s="511">
        <v>0.22</v>
      </c>
      <c r="BS227" s="252"/>
      <c r="BT227" s="252"/>
      <c r="BU227" s="524">
        <f t="shared" si="41"/>
        <v>221</v>
      </c>
      <c r="BV227" s="489">
        <v>158.63</v>
      </c>
      <c r="BW227" s="304">
        <v>4.4999999999999998E-2</v>
      </c>
      <c r="BX227" s="254">
        <v>418.3</v>
      </c>
      <c r="BY227" s="304">
        <v>3.9399999999999998E-2</v>
      </c>
      <c r="BZ227" s="494">
        <v>19.170000000000002</v>
      </c>
      <c r="CA227" s="497">
        <v>0.3</v>
      </c>
      <c r="CB227" s="497"/>
      <c r="CC227" s="494">
        <v>424</v>
      </c>
      <c r="CD227" s="241">
        <f t="shared" si="33"/>
        <v>221</v>
      </c>
      <c r="CE227" s="2">
        <v>564.02</v>
      </c>
      <c r="CF227" s="2">
        <v>490.8</v>
      </c>
      <c r="CG227" s="2"/>
      <c r="CH227" s="84">
        <v>0.06</v>
      </c>
      <c r="CI227" s="84">
        <v>0.06</v>
      </c>
      <c r="CJ227" s="252"/>
      <c r="CK227" s="252"/>
      <c r="CL227" s="252">
        <v>546.33000000000004</v>
      </c>
      <c r="CM227" s="253"/>
      <c r="CO227" s="5">
        <v>0.08</v>
      </c>
      <c r="CU227" s="266">
        <f t="shared" si="34"/>
        <v>181</v>
      </c>
      <c r="CV227" s="267">
        <f t="shared" si="35"/>
        <v>362</v>
      </c>
      <c r="CW227" s="268">
        <f t="shared" si="36"/>
        <v>904.99</v>
      </c>
      <c r="CX227" s="418">
        <v>184</v>
      </c>
      <c r="CY227" s="252"/>
      <c r="CZ227" s="252"/>
      <c r="DA227" s="252"/>
      <c r="DB227" s="252"/>
      <c r="DC227" s="252"/>
      <c r="DD227" s="252"/>
      <c r="DE227" s="252"/>
      <c r="DF227" s="252">
        <f t="shared" si="42"/>
        <v>0</v>
      </c>
      <c r="DG227" s="252"/>
      <c r="DH227" s="252">
        <v>489.06</v>
      </c>
      <c r="DI227" s="252"/>
      <c r="DK227" s="252"/>
      <c r="DL227" s="252"/>
      <c r="DP227" s="6">
        <v>7.2499999999999995E-2</v>
      </c>
      <c r="DQ227" s="252">
        <v>39.42</v>
      </c>
      <c r="DR227" s="3">
        <v>546.33000000000004</v>
      </c>
      <c r="DT227" s="241">
        <f t="shared" si="37"/>
        <v>221</v>
      </c>
      <c r="DU227" s="84"/>
      <c r="DV227" s="252">
        <v>720</v>
      </c>
      <c r="DY227" s="252">
        <v>405.18</v>
      </c>
      <c r="DZ227" s="264">
        <v>3.9399999999999998E-2</v>
      </c>
      <c r="EA227" s="252">
        <v>500</v>
      </c>
      <c r="EB227" s="534">
        <v>3.5000000000000003E-2</v>
      </c>
    </row>
    <row r="228" spans="1:132">
      <c r="A228">
        <v>222</v>
      </c>
      <c r="B228" s="259">
        <v>6.2026000000000003</v>
      </c>
      <c r="C228">
        <v>222</v>
      </c>
      <c r="D228" s="168">
        <f t="shared" si="32"/>
        <v>0</v>
      </c>
      <c r="E228" s="246">
        <v>46174</v>
      </c>
      <c r="G228" s="374">
        <f t="shared" si="44"/>
        <v>250785.6742215</v>
      </c>
      <c r="H228" s="7">
        <f t="shared" si="45"/>
        <v>627.94530599999996</v>
      </c>
      <c r="I228" s="248">
        <f t="shared" si="47"/>
        <v>139.09199999999998</v>
      </c>
      <c r="J228" s="258">
        <f t="shared" si="46"/>
        <v>0</v>
      </c>
      <c r="K228" s="67"/>
      <c r="L228" s="252">
        <v>300</v>
      </c>
      <c r="M228" s="263"/>
      <c r="N228" s="263"/>
      <c r="O228" s="473">
        <v>328.76</v>
      </c>
      <c r="P228" s="474">
        <v>328.76</v>
      </c>
      <c r="Q228" s="474">
        <v>430.86</v>
      </c>
      <c r="R228" s="475">
        <v>0.09</v>
      </c>
      <c r="S228" s="533">
        <f t="shared" si="39"/>
        <v>222</v>
      </c>
      <c r="T228" s="460">
        <v>75.260000000000005</v>
      </c>
      <c r="U228" s="460">
        <v>10.56</v>
      </c>
      <c r="V228" s="460">
        <v>353.76</v>
      </c>
      <c r="W228" s="460"/>
      <c r="X228" s="254">
        <v>51.09</v>
      </c>
      <c r="Y228" s="461">
        <v>7.4999999999999997E-2</v>
      </c>
      <c r="Z228" s="460">
        <v>22.5</v>
      </c>
      <c r="AA228" s="460">
        <v>10.26</v>
      </c>
      <c r="AB228" s="460">
        <v>437.73</v>
      </c>
      <c r="AC228" s="462">
        <v>353.75</v>
      </c>
      <c r="AD228" s="463">
        <v>0.3</v>
      </c>
      <c r="AE228" s="460">
        <v>40.83</v>
      </c>
      <c r="AF228" s="460">
        <v>61.32</v>
      </c>
      <c r="AG228" s="460">
        <v>20.62</v>
      </c>
      <c r="AH228" s="460"/>
      <c r="AI228" s="460"/>
      <c r="AJ228" s="460"/>
      <c r="AK228" s="460">
        <v>15.32</v>
      </c>
      <c r="AL228" s="253"/>
      <c r="AM228" s="273">
        <v>0.1</v>
      </c>
      <c r="AN228" s="255">
        <v>0.08</v>
      </c>
      <c r="AO228" s="160">
        <v>0.1</v>
      </c>
      <c r="AP228" s="536">
        <v>480.1</v>
      </c>
      <c r="AQ228" s="536"/>
      <c r="AR228" s="505">
        <f t="shared" si="40"/>
        <v>222</v>
      </c>
      <c r="AS228" s="480">
        <v>257.37</v>
      </c>
      <c r="AT228" s="480">
        <v>191.57</v>
      </c>
      <c r="AU228" s="480"/>
      <c r="AV228" s="480"/>
      <c r="AW228" s="480"/>
      <c r="AX228" s="480"/>
      <c r="AY228" s="480">
        <v>303.18</v>
      </c>
      <c r="AZ228" s="499" t="s">
        <v>5323</v>
      </c>
      <c r="BA228" s="502">
        <v>23.57</v>
      </c>
      <c r="BB228" s="503"/>
      <c r="BC228" s="510">
        <v>237.16</v>
      </c>
      <c r="BD228" s="510">
        <v>1222.49</v>
      </c>
      <c r="BE228" s="504">
        <v>0.2</v>
      </c>
      <c r="BF228" s="503">
        <v>0.22</v>
      </c>
      <c r="BG228" s="502">
        <v>16.66</v>
      </c>
      <c r="BH228" s="502">
        <v>1414.05</v>
      </c>
      <c r="BI228" s="502">
        <v>19.170000000000002</v>
      </c>
      <c r="BJ228" s="502"/>
      <c r="BK228" s="502"/>
      <c r="BL228" s="510">
        <v>750</v>
      </c>
      <c r="BM228" s="511">
        <v>0.16200000000000001</v>
      </c>
      <c r="BN228" s="511"/>
      <c r="BO228" s="511" t="s">
        <v>5340</v>
      </c>
      <c r="BP228" s="252"/>
      <c r="BQ228" s="252"/>
      <c r="BR228" s="511">
        <v>0.22</v>
      </c>
      <c r="BS228" s="252"/>
      <c r="BT228" s="252"/>
      <c r="BU228" s="524">
        <f t="shared" si="41"/>
        <v>222</v>
      </c>
      <c r="BV228" s="489">
        <v>158.63</v>
      </c>
      <c r="BW228" s="304">
        <v>4.4999999999999998E-2</v>
      </c>
      <c r="BX228" s="254">
        <v>418.3</v>
      </c>
      <c r="BY228" s="304">
        <v>3.9399999999999998E-2</v>
      </c>
      <c r="BZ228" s="494">
        <v>19.170000000000002</v>
      </c>
      <c r="CA228" s="497">
        <v>0.3</v>
      </c>
      <c r="CB228" s="497"/>
      <c r="CC228" s="494">
        <v>424</v>
      </c>
      <c r="CD228" s="241">
        <f t="shared" si="33"/>
        <v>222</v>
      </c>
      <c r="CE228" s="2">
        <v>564.02</v>
      </c>
      <c r="CF228" s="2">
        <v>490.8</v>
      </c>
      <c r="CG228" s="2"/>
      <c r="CH228" s="84">
        <v>0.06</v>
      </c>
      <c r="CI228" s="84">
        <v>0.06</v>
      </c>
      <c r="CJ228" s="252"/>
      <c r="CK228" s="252"/>
      <c r="CL228" s="252">
        <v>546.33000000000004</v>
      </c>
      <c r="CM228" s="253"/>
      <c r="CO228" s="253">
        <v>0.08</v>
      </c>
      <c r="CU228" s="266">
        <f t="shared" si="34"/>
        <v>181</v>
      </c>
      <c r="CV228" s="267">
        <f t="shared" si="35"/>
        <v>362</v>
      </c>
      <c r="CW228" s="268">
        <f t="shared" si="36"/>
        <v>904.99</v>
      </c>
      <c r="CX228" s="418">
        <v>184</v>
      </c>
      <c r="CY228" s="252"/>
      <c r="CZ228" s="252"/>
      <c r="DA228" s="252"/>
      <c r="DB228" s="252"/>
      <c r="DC228" s="252"/>
      <c r="DD228" s="252"/>
      <c r="DE228" s="252"/>
      <c r="DF228" s="252">
        <f t="shared" si="42"/>
        <v>0</v>
      </c>
      <c r="DG228" s="252"/>
      <c r="DH228" s="252">
        <v>489.06</v>
      </c>
      <c r="DI228" s="252"/>
      <c r="DK228" s="252"/>
      <c r="DL228" s="252"/>
      <c r="DP228" s="6">
        <v>7.2499999999999995E-2</v>
      </c>
      <c r="DQ228" s="252">
        <v>39.42</v>
      </c>
      <c r="DR228" s="3">
        <v>546.33000000000004</v>
      </c>
      <c r="DT228" s="241">
        <f t="shared" si="37"/>
        <v>222</v>
      </c>
      <c r="DU228" s="84"/>
      <c r="DV228" s="252">
        <v>720</v>
      </c>
      <c r="DY228" s="252">
        <v>405.18</v>
      </c>
      <c r="DZ228" s="264">
        <v>3.9399999999999998E-2</v>
      </c>
      <c r="EA228" s="252">
        <v>500</v>
      </c>
      <c r="EB228" s="534">
        <v>3.5000000000000003E-2</v>
      </c>
    </row>
    <row r="229" spans="1:132">
      <c r="A229">
        <v>223</v>
      </c>
      <c r="B229" s="259">
        <v>7.2026000000000003</v>
      </c>
      <c r="C229">
        <v>223</v>
      </c>
      <c r="D229" s="168">
        <f t="shared" si="32"/>
        <v>0</v>
      </c>
      <c r="E229" s="246">
        <v>46204</v>
      </c>
      <c r="G229" s="374">
        <f t="shared" si="44"/>
        <v>250785.6742215</v>
      </c>
      <c r="H229" s="7">
        <f t="shared" si="45"/>
        <v>627.94530599999996</v>
      </c>
      <c r="I229" s="248">
        <f t="shared" si="47"/>
        <v>139.09199999999998</v>
      </c>
      <c r="J229" s="258">
        <f t="shared" si="46"/>
        <v>0</v>
      </c>
      <c r="K229" s="67"/>
      <c r="L229" s="252">
        <v>300</v>
      </c>
      <c r="M229" s="263"/>
      <c r="N229" s="263"/>
      <c r="O229" s="473">
        <v>328.76</v>
      </c>
      <c r="P229" s="474">
        <v>328.76</v>
      </c>
      <c r="Q229" s="474">
        <v>430.86</v>
      </c>
      <c r="R229" s="475">
        <v>0.09</v>
      </c>
      <c r="S229" s="533">
        <f t="shared" si="39"/>
        <v>223</v>
      </c>
      <c r="T229" s="460">
        <v>75.260000000000005</v>
      </c>
      <c r="U229" s="460">
        <v>10.56</v>
      </c>
      <c r="V229" s="460">
        <v>353.76</v>
      </c>
      <c r="W229" s="460"/>
      <c r="X229" s="254">
        <v>51.09</v>
      </c>
      <c r="Y229" s="461">
        <v>7.4999999999999997E-2</v>
      </c>
      <c r="Z229" s="460">
        <v>22.5</v>
      </c>
      <c r="AA229" s="460">
        <v>10.26</v>
      </c>
      <c r="AB229" s="460">
        <v>437.73</v>
      </c>
      <c r="AC229" s="462">
        <v>353.75</v>
      </c>
      <c r="AD229" s="463">
        <v>0.3</v>
      </c>
      <c r="AE229" s="460">
        <v>40.83</v>
      </c>
      <c r="AF229" s="460">
        <v>61.32</v>
      </c>
      <c r="AG229" s="460">
        <v>20.62</v>
      </c>
      <c r="AH229" s="460"/>
      <c r="AI229" s="460"/>
      <c r="AJ229" s="460"/>
      <c r="AK229" s="460">
        <v>15.32</v>
      </c>
      <c r="AL229" s="253"/>
      <c r="AM229" s="273">
        <v>0.1</v>
      </c>
      <c r="AN229" s="255">
        <v>0.08</v>
      </c>
      <c r="AO229" s="160">
        <v>0.1</v>
      </c>
      <c r="AP229" s="536">
        <v>480.1</v>
      </c>
      <c r="AQ229" s="536"/>
      <c r="AR229" s="505">
        <f t="shared" si="40"/>
        <v>223</v>
      </c>
      <c r="AS229" s="480">
        <v>257.37</v>
      </c>
      <c r="AT229" s="480">
        <v>191.57</v>
      </c>
      <c r="AU229" s="480"/>
      <c r="AV229" s="480"/>
      <c r="AW229" s="480"/>
      <c r="AX229" s="480"/>
      <c r="AY229" s="480">
        <v>303.18</v>
      </c>
      <c r="AZ229" s="499" t="s">
        <v>5323</v>
      </c>
      <c r="BA229" s="502">
        <v>23.57</v>
      </c>
      <c r="BB229" s="504"/>
      <c r="BC229" s="510">
        <v>237.16</v>
      </c>
      <c r="BD229" s="510">
        <v>1222.49</v>
      </c>
      <c r="BE229" s="504">
        <v>0.2</v>
      </c>
      <c r="BF229" s="503">
        <v>0.22</v>
      </c>
      <c r="BG229" s="502">
        <v>16.66</v>
      </c>
      <c r="BH229" s="502">
        <v>1414.05</v>
      </c>
      <c r="BI229" s="502">
        <v>19.170000000000002</v>
      </c>
      <c r="BJ229" s="502"/>
      <c r="BK229" s="502"/>
      <c r="BL229" s="510">
        <v>750</v>
      </c>
      <c r="BM229" s="511">
        <v>0.16200000000000001</v>
      </c>
      <c r="BN229" s="511"/>
      <c r="BO229" s="511" t="s">
        <v>5340</v>
      </c>
      <c r="BP229" s="252"/>
      <c r="BQ229" s="252"/>
      <c r="BR229" s="511">
        <v>0.22</v>
      </c>
      <c r="BS229" s="252"/>
      <c r="BT229" s="252"/>
      <c r="BU229" s="524">
        <f t="shared" si="41"/>
        <v>223</v>
      </c>
      <c r="BV229" s="489">
        <v>158.63</v>
      </c>
      <c r="BW229" s="304">
        <v>4.4999999999999998E-2</v>
      </c>
      <c r="BX229" s="254">
        <v>418.3</v>
      </c>
      <c r="BY229" s="304">
        <v>3.9399999999999998E-2</v>
      </c>
      <c r="BZ229" s="494">
        <v>19.170000000000002</v>
      </c>
      <c r="CA229" s="497">
        <v>0.3</v>
      </c>
      <c r="CB229" s="497"/>
      <c r="CC229" s="494">
        <v>424</v>
      </c>
      <c r="CD229" s="241">
        <f t="shared" si="33"/>
        <v>223</v>
      </c>
      <c r="CE229" s="2">
        <v>564.02</v>
      </c>
      <c r="CF229" s="2">
        <v>490.8</v>
      </c>
      <c r="CG229" s="2"/>
      <c r="CH229" s="84">
        <v>0.06</v>
      </c>
      <c r="CI229" s="84">
        <v>0.06</v>
      </c>
      <c r="CJ229" s="252"/>
      <c r="CK229" s="252"/>
      <c r="CL229" s="252">
        <v>546.33000000000004</v>
      </c>
      <c r="CM229" s="253"/>
      <c r="CO229" s="5">
        <v>0.08</v>
      </c>
      <c r="CU229" s="266">
        <f t="shared" si="34"/>
        <v>181</v>
      </c>
      <c r="CV229" s="267">
        <f t="shared" si="35"/>
        <v>362</v>
      </c>
      <c r="CW229" s="268">
        <f t="shared" si="36"/>
        <v>904.99</v>
      </c>
      <c r="CX229" s="418">
        <v>184</v>
      </c>
      <c r="CY229" s="252"/>
      <c r="CZ229" s="252"/>
      <c r="DA229" s="252"/>
      <c r="DB229" s="252"/>
      <c r="DC229" s="252"/>
      <c r="DD229" s="252"/>
      <c r="DE229" s="252"/>
      <c r="DF229" s="252">
        <f t="shared" si="42"/>
        <v>0</v>
      </c>
      <c r="DG229" s="252"/>
      <c r="DH229" s="252">
        <v>489.06</v>
      </c>
      <c r="DI229" s="252"/>
      <c r="DK229" s="252"/>
      <c r="DL229" s="252"/>
      <c r="DP229" s="6">
        <v>7.2499999999999995E-2</v>
      </c>
      <c r="DQ229" s="252">
        <v>39.42</v>
      </c>
      <c r="DR229" s="3">
        <v>546.33000000000004</v>
      </c>
      <c r="DT229" s="241">
        <f t="shared" si="37"/>
        <v>223</v>
      </c>
      <c r="DU229" s="84"/>
      <c r="DV229" s="252">
        <v>720</v>
      </c>
      <c r="DY229" s="252">
        <v>405.18</v>
      </c>
      <c r="DZ229" s="264">
        <v>3.9399999999999998E-2</v>
      </c>
      <c r="EA229" s="252">
        <v>500</v>
      </c>
      <c r="EB229" s="534">
        <v>3.5000000000000003E-2</v>
      </c>
    </row>
    <row r="230" spans="1:132">
      <c r="A230">
        <v>224</v>
      </c>
      <c r="B230" s="259">
        <v>8.2026000000000003</v>
      </c>
      <c r="C230">
        <v>224</v>
      </c>
      <c r="D230" s="168">
        <f t="shared" si="32"/>
        <v>0</v>
      </c>
      <c r="E230" s="246">
        <v>46235</v>
      </c>
      <c r="G230" s="374">
        <f t="shared" si="44"/>
        <v>250785.6742215</v>
      </c>
      <c r="H230" s="7">
        <f t="shared" si="45"/>
        <v>627.94530599999996</v>
      </c>
      <c r="I230" s="248">
        <f t="shared" si="47"/>
        <v>139.09199999999998</v>
      </c>
      <c r="J230" s="258">
        <f t="shared" si="46"/>
        <v>0</v>
      </c>
      <c r="K230" s="67"/>
      <c r="L230" s="252">
        <v>300</v>
      </c>
      <c r="M230" s="263"/>
      <c r="N230" s="263"/>
      <c r="O230" s="473">
        <v>328.76</v>
      </c>
      <c r="P230" s="474">
        <v>328.76</v>
      </c>
      <c r="Q230" s="474">
        <v>430.86</v>
      </c>
      <c r="R230" s="475">
        <v>0.09</v>
      </c>
      <c r="S230" s="533">
        <f t="shared" si="39"/>
        <v>224</v>
      </c>
      <c r="T230" s="460">
        <v>75.260000000000005</v>
      </c>
      <c r="U230" s="460">
        <v>10.56</v>
      </c>
      <c r="V230" s="460">
        <v>353.76</v>
      </c>
      <c r="W230" s="460"/>
      <c r="X230" s="254">
        <v>51.09</v>
      </c>
      <c r="Y230" s="461">
        <v>7.4999999999999997E-2</v>
      </c>
      <c r="Z230" s="460">
        <v>22.5</v>
      </c>
      <c r="AA230" s="460">
        <v>10.26</v>
      </c>
      <c r="AB230" s="460">
        <v>437.73</v>
      </c>
      <c r="AC230" s="462">
        <v>353.75</v>
      </c>
      <c r="AD230" s="463">
        <v>0.3</v>
      </c>
      <c r="AE230" s="460">
        <v>40.83</v>
      </c>
      <c r="AF230" s="460">
        <v>61.32</v>
      </c>
      <c r="AG230" s="460">
        <v>20.62</v>
      </c>
      <c r="AH230" s="460"/>
      <c r="AI230" s="460"/>
      <c r="AJ230" s="460"/>
      <c r="AK230" s="460">
        <v>15.32</v>
      </c>
      <c r="AL230" s="253"/>
      <c r="AM230" s="273">
        <v>0.1</v>
      </c>
      <c r="AN230" s="255">
        <v>0.08</v>
      </c>
      <c r="AO230" s="160">
        <v>0.1</v>
      </c>
      <c r="AP230" s="536">
        <v>480.1</v>
      </c>
      <c r="AQ230" s="536"/>
      <c r="AR230" s="505">
        <f t="shared" si="40"/>
        <v>224</v>
      </c>
      <c r="AS230" s="480">
        <v>257.37</v>
      </c>
      <c r="AT230" s="480">
        <v>191.57</v>
      </c>
      <c r="AU230" s="480"/>
      <c r="AV230" s="480"/>
      <c r="AW230" s="480"/>
      <c r="AX230" s="480"/>
      <c r="AY230" s="480">
        <v>303.18</v>
      </c>
      <c r="AZ230" s="499" t="s">
        <v>5323</v>
      </c>
      <c r="BA230" s="502">
        <v>23.57</v>
      </c>
      <c r="BB230" s="503"/>
      <c r="BC230" s="510">
        <v>237.16</v>
      </c>
      <c r="BD230" s="510">
        <v>1222.49</v>
      </c>
      <c r="BE230" s="504">
        <v>0.2</v>
      </c>
      <c r="BF230" s="503">
        <v>0.22</v>
      </c>
      <c r="BG230" s="502">
        <v>16.66</v>
      </c>
      <c r="BH230" s="502">
        <v>1414.05</v>
      </c>
      <c r="BI230" s="502">
        <v>19.170000000000002</v>
      </c>
      <c r="BJ230" s="502"/>
      <c r="BK230" s="502"/>
      <c r="BL230" s="510">
        <v>750</v>
      </c>
      <c r="BM230" s="511">
        <v>0.16200000000000001</v>
      </c>
      <c r="BN230" s="511"/>
      <c r="BO230" s="511" t="s">
        <v>5340</v>
      </c>
      <c r="BP230" s="252"/>
      <c r="BQ230" s="252"/>
      <c r="BR230" s="511">
        <v>0.22</v>
      </c>
      <c r="BS230" s="252"/>
      <c r="BT230" s="252"/>
      <c r="BU230" s="524">
        <f t="shared" si="41"/>
        <v>224</v>
      </c>
      <c r="BV230" s="489">
        <v>158.63</v>
      </c>
      <c r="BW230" s="304">
        <v>4.4999999999999998E-2</v>
      </c>
      <c r="BX230" s="254">
        <v>418.3</v>
      </c>
      <c r="BY230" s="304">
        <v>3.9399999999999998E-2</v>
      </c>
      <c r="BZ230" s="494">
        <v>19.170000000000002</v>
      </c>
      <c r="CA230" s="497">
        <v>0.3</v>
      </c>
      <c r="CB230" s="497"/>
      <c r="CC230" s="494">
        <v>424</v>
      </c>
      <c r="CD230" s="241">
        <f t="shared" si="33"/>
        <v>224</v>
      </c>
      <c r="CE230" s="2">
        <v>564.02</v>
      </c>
      <c r="CF230" s="2">
        <v>490.8</v>
      </c>
      <c r="CG230" s="2"/>
      <c r="CH230" s="84">
        <v>0.06</v>
      </c>
      <c r="CI230" s="84">
        <v>0.06</v>
      </c>
      <c r="CJ230" s="252"/>
      <c r="CK230" s="252"/>
      <c r="CL230" s="252">
        <v>546.33000000000004</v>
      </c>
      <c r="CM230" s="253"/>
      <c r="CO230" s="253">
        <v>0.08</v>
      </c>
      <c r="CU230" s="266">
        <f t="shared" si="34"/>
        <v>181</v>
      </c>
      <c r="CV230" s="267">
        <f t="shared" si="35"/>
        <v>362</v>
      </c>
      <c r="CW230" s="268">
        <f t="shared" si="36"/>
        <v>904.99</v>
      </c>
      <c r="CX230" s="418">
        <v>184</v>
      </c>
      <c r="CY230" s="252"/>
      <c r="CZ230" s="252"/>
      <c r="DA230" s="252"/>
      <c r="DB230" s="252"/>
      <c r="DC230" s="252"/>
      <c r="DD230" s="252"/>
      <c r="DE230" s="252"/>
      <c r="DF230" s="252">
        <f t="shared" si="42"/>
        <v>0</v>
      </c>
      <c r="DG230" s="252"/>
      <c r="DH230" s="252">
        <v>489.06</v>
      </c>
      <c r="DI230" s="252"/>
      <c r="DK230" s="252"/>
      <c r="DL230" s="252"/>
      <c r="DP230" s="6">
        <v>7.2499999999999995E-2</v>
      </c>
      <c r="DQ230" s="252">
        <v>39.42</v>
      </c>
      <c r="DR230" s="3">
        <v>546.33000000000004</v>
      </c>
      <c r="DT230" s="241">
        <f t="shared" si="37"/>
        <v>224</v>
      </c>
      <c r="DU230" s="84"/>
      <c r="DV230" s="252">
        <v>720</v>
      </c>
      <c r="DY230" s="252">
        <v>405.18</v>
      </c>
      <c r="DZ230" s="264">
        <v>3.9399999999999998E-2</v>
      </c>
      <c r="EA230" s="252">
        <v>500</v>
      </c>
      <c r="EB230" s="534">
        <v>3.5000000000000003E-2</v>
      </c>
    </row>
    <row r="231" spans="1:132">
      <c r="A231">
        <v>225</v>
      </c>
      <c r="B231" s="259">
        <v>9.2026000000000003</v>
      </c>
      <c r="C231">
        <v>225</v>
      </c>
      <c r="D231" s="168">
        <f t="shared" ref="D231:D234" si="48">+G231/G230-1</f>
        <v>0</v>
      </c>
      <c r="E231" s="246">
        <v>46266</v>
      </c>
      <c r="G231" s="374">
        <f t="shared" si="44"/>
        <v>250785.6742215</v>
      </c>
      <c r="H231" s="7">
        <f t="shared" si="45"/>
        <v>627.94530599999996</v>
      </c>
      <c r="I231" s="248">
        <f t="shared" si="47"/>
        <v>139.09199999999998</v>
      </c>
      <c r="J231" s="258">
        <f t="shared" si="46"/>
        <v>0</v>
      </c>
      <c r="K231" s="67"/>
      <c r="L231" s="252">
        <v>300</v>
      </c>
      <c r="M231" s="263"/>
      <c r="N231" s="263"/>
      <c r="O231" s="473">
        <v>328.76</v>
      </c>
      <c r="P231" s="474">
        <v>328.76</v>
      </c>
      <c r="Q231" s="474">
        <v>430.86</v>
      </c>
      <c r="R231" s="475">
        <v>0.09</v>
      </c>
      <c r="S231" s="533">
        <f t="shared" si="39"/>
        <v>225</v>
      </c>
      <c r="T231" s="460">
        <v>75.260000000000005</v>
      </c>
      <c r="U231" s="460">
        <v>10.56</v>
      </c>
      <c r="V231" s="460">
        <v>353.76</v>
      </c>
      <c r="W231" s="460"/>
      <c r="X231" s="254">
        <v>51.09</v>
      </c>
      <c r="Y231" s="461">
        <v>7.4999999999999997E-2</v>
      </c>
      <c r="Z231" s="460">
        <v>22.5</v>
      </c>
      <c r="AA231" s="460">
        <v>10.26</v>
      </c>
      <c r="AB231" s="460">
        <v>437.73</v>
      </c>
      <c r="AC231" s="462">
        <v>353.75</v>
      </c>
      <c r="AD231" s="463">
        <v>0.3</v>
      </c>
      <c r="AE231" s="460">
        <v>40.83</v>
      </c>
      <c r="AF231" s="460">
        <v>61.32</v>
      </c>
      <c r="AG231" s="460">
        <v>20.62</v>
      </c>
      <c r="AH231" s="460"/>
      <c r="AI231" s="460"/>
      <c r="AJ231" s="460"/>
      <c r="AK231" s="460">
        <v>15.32</v>
      </c>
      <c r="AL231" s="253"/>
      <c r="AM231" s="273">
        <v>0.1</v>
      </c>
      <c r="AN231" s="255">
        <v>0.08</v>
      </c>
      <c r="AO231" s="160">
        <v>0.1</v>
      </c>
      <c r="AP231" s="536">
        <v>480.1</v>
      </c>
      <c r="AQ231" s="536"/>
      <c r="AR231" s="505">
        <f t="shared" si="40"/>
        <v>225</v>
      </c>
      <c r="AS231" s="480">
        <v>257.37</v>
      </c>
      <c r="AT231" s="480">
        <v>191.57</v>
      </c>
      <c r="AU231" s="480"/>
      <c r="AV231" s="480"/>
      <c r="AW231" s="480"/>
      <c r="AX231" s="480"/>
      <c r="AY231" s="480">
        <v>303.18</v>
      </c>
      <c r="AZ231" s="499" t="s">
        <v>5323</v>
      </c>
      <c r="BA231" s="502">
        <v>23.57</v>
      </c>
      <c r="BB231" s="504"/>
      <c r="BC231" s="510">
        <v>237.16</v>
      </c>
      <c r="BD231" s="510">
        <v>1222.49</v>
      </c>
      <c r="BE231" s="504">
        <v>0.2</v>
      </c>
      <c r="BF231" s="503">
        <v>0.22</v>
      </c>
      <c r="BG231" s="502">
        <v>16.66</v>
      </c>
      <c r="BH231" s="502">
        <v>1414.05</v>
      </c>
      <c r="BI231" s="502">
        <v>19.170000000000002</v>
      </c>
      <c r="BJ231" s="502"/>
      <c r="BK231" s="502"/>
      <c r="BL231" s="510">
        <v>750</v>
      </c>
      <c r="BM231" s="511">
        <v>0.16200000000000001</v>
      </c>
      <c r="BN231" s="511"/>
      <c r="BO231" s="511" t="s">
        <v>5340</v>
      </c>
      <c r="BP231" s="252"/>
      <c r="BQ231" s="252"/>
      <c r="BR231" s="511">
        <v>0.22</v>
      </c>
      <c r="BS231" s="252"/>
      <c r="BT231" s="252"/>
      <c r="BU231" s="524">
        <f t="shared" si="41"/>
        <v>225</v>
      </c>
      <c r="BV231" s="489">
        <v>158.63</v>
      </c>
      <c r="BW231" s="304">
        <v>4.4999999999999998E-2</v>
      </c>
      <c r="BX231" s="254">
        <v>418.3</v>
      </c>
      <c r="BY231" s="304">
        <v>3.9399999999999998E-2</v>
      </c>
      <c r="BZ231" s="494">
        <v>19.170000000000002</v>
      </c>
      <c r="CA231" s="497">
        <v>0.3</v>
      </c>
      <c r="CB231" s="497"/>
      <c r="CC231" s="494">
        <v>424</v>
      </c>
      <c r="CD231" s="241">
        <f t="shared" si="33"/>
        <v>225</v>
      </c>
      <c r="CE231" s="2">
        <v>564.02</v>
      </c>
      <c r="CF231" s="2">
        <v>490.8</v>
      </c>
      <c r="CG231" s="2"/>
      <c r="CH231" s="84">
        <v>0.06</v>
      </c>
      <c r="CI231" s="84">
        <v>0.06</v>
      </c>
      <c r="CJ231" s="252"/>
      <c r="CK231" s="252"/>
      <c r="CL231" s="252">
        <v>546.33000000000004</v>
      </c>
      <c r="CM231" s="253"/>
      <c r="CO231" s="5">
        <v>0.08</v>
      </c>
      <c r="CU231" s="266">
        <f t="shared" si="34"/>
        <v>181</v>
      </c>
      <c r="CV231" s="267">
        <f t="shared" si="35"/>
        <v>362</v>
      </c>
      <c r="CW231" s="268">
        <f t="shared" si="36"/>
        <v>904.99</v>
      </c>
      <c r="CX231" s="418">
        <v>184</v>
      </c>
      <c r="CY231" s="252"/>
      <c r="CZ231" s="252"/>
      <c r="DA231" s="252"/>
      <c r="DB231" s="252"/>
      <c r="DC231" s="252"/>
      <c r="DD231" s="252"/>
      <c r="DE231" s="252"/>
      <c r="DF231" s="252">
        <f t="shared" si="42"/>
        <v>0</v>
      </c>
      <c r="DG231" s="252"/>
      <c r="DH231" s="252">
        <v>489.06</v>
      </c>
      <c r="DI231" s="252"/>
      <c r="DK231" s="252"/>
      <c r="DL231" s="252"/>
      <c r="DP231" s="6">
        <v>7.2499999999999995E-2</v>
      </c>
      <c r="DQ231" s="252">
        <v>39.42</v>
      </c>
      <c r="DR231" s="3">
        <v>546.33000000000004</v>
      </c>
      <c r="DT231" s="241">
        <f t="shared" si="37"/>
        <v>225</v>
      </c>
      <c r="DU231" s="84"/>
      <c r="DV231" s="252">
        <v>720</v>
      </c>
      <c r="DY231" s="252">
        <v>405.18</v>
      </c>
      <c r="DZ231" s="264">
        <v>3.9399999999999998E-2</v>
      </c>
      <c r="EA231" s="252">
        <v>500</v>
      </c>
      <c r="EB231" s="534">
        <v>3.5000000000000003E-2</v>
      </c>
    </row>
    <row r="232" spans="1:132">
      <c r="A232">
        <v>226</v>
      </c>
      <c r="B232" s="259">
        <v>10.2026</v>
      </c>
      <c r="C232">
        <v>226</v>
      </c>
      <c r="D232" s="168">
        <f t="shared" si="48"/>
        <v>0</v>
      </c>
      <c r="E232" s="246">
        <v>46296</v>
      </c>
      <c r="G232" s="374">
        <f t="shared" si="44"/>
        <v>250785.6742215</v>
      </c>
      <c r="H232" s="7">
        <f t="shared" si="45"/>
        <v>627.94530599999996</v>
      </c>
      <c r="I232" s="248">
        <f t="shared" si="47"/>
        <v>139.09199999999998</v>
      </c>
      <c r="J232" s="258">
        <f t="shared" si="46"/>
        <v>0</v>
      </c>
      <c r="K232" s="67"/>
      <c r="L232" s="252">
        <v>300</v>
      </c>
      <c r="M232" s="263"/>
      <c r="N232" s="263"/>
      <c r="O232" s="473">
        <v>328.76</v>
      </c>
      <c r="P232" s="474">
        <v>328.76</v>
      </c>
      <c r="Q232" s="474">
        <v>430.86</v>
      </c>
      <c r="R232" s="475">
        <v>0.09</v>
      </c>
      <c r="S232" s="533">
        <f t="shared" si="39"/>
        <v>226</v>
      </c>
      <c r="T232" s="460">
        <v>75.260000000000005</v>
      </c>
      <c r="U232" s="460">
        <v>10.56</v>
      </c>
      <c r="V232" s="460">
        <v>353.76</v>
      </c>
      <c r="W232" s="460"/>
      <c r="X232" s="254">
        <v>51.09</v>
      </c>
      <c r="Y232" s="461">
        <v>7.4999999999999997E-2</v>
      </c>
      <c r="Z232" s="460">
        <v>22.5</v>
      </c>
      <c r="AA232" s="460">
        <v>10.26</v>
      </c>
      <c r="AB232" s="460">
        <v>437.73</v>
      </c>
      <c r="AC232" s="462">
        <v>353.75</v>
      </c>
      <c r="AD232" s="463">
        <v>0.3</v>
      </c>
      <c r="AE232" s="460">
        <v>40.83</v>
      </c>
      <c r="AF232" s="460">
        <v>61.32</v>
      </c>
      <c r="AG232" s="460">
        <v>20.62</v>
      </c>
      <c r="AH232" s="460"/>
      <c r="AI232" s="460"/>
      <c r="AJ232" s="460"/>
      <c r="AK232" s="460">
        <v>15.32</v>
      </c>
      <c r="AL232" s="253"/>
      <c r="AM232" s="273">
        <v>0.1</v>
      </c>
      <c r="AN232" s="255">
        <v>0.08</v>
      </c>
      <c r="AO232" s="160">
        <v>0.1</v>
      </c>
      <c r="AP232" s="536">
        <v>480.1</v>
      </c>
      <c r="AQ232" s="536"/>
      <c r="AR232" s="505">
        <f t="shared" si="40"/>
        <v>226</v>
      </c>
      <c r="AS232" s="480">
        <v>257.37</v>
      </c>
      <c r="AT232" s="480">
        <v>191.57</v>
      </c>
      <c r="AU232" s="480"/>
      <c r="AV232" s="480"/>
      <c r="AW232" s="480"/>
      <c r="AX232" s="480"/>
      <c r="AY232" s="480">
        <v>303.18</v>
      </c>
      <c r="AZ232" s="499" t="s">
        <v>5323</v>
      </c>
      <c r="BA232" s="502">
        <v>23.57</v>
      </c>
      <c r="BB232" s="503"/>
      <c r="BC232" s="510">
        <v>237.16</v>
      </c>
      <c r="BD232" s="510">
        <v>1222.49</v>
      </c>
      <c r="BE232" s="504">
        <v>0.2</v>
      </c>
      <c r="BF232" s="503">
        <v>0.22</v>
      </c>
      <c r="BG232" s="502">
        <v>16.66</v>
      </c>
      <c r="BH232" s="502">
        <v>1414.05</v>
      </c>
      <c r="BI232" s="502">
        <v>19.170000000000002</v>
      </c>
      <c r="BJ232" s="502"/>
      <c r="BK232" s="502"/>
      <c r="BL232" s="510">
        <v>750</v>
      </c>
      <c r="BM232" s="511">
        <v>0.16200000000000001</v>
      </c>
      <c r="BN232" s="511"/>
      <c r="BO232" s="511" t="s">
        <v>5340</v>
      </c>
      <c r="BP232" s="252"/>
      <c r="BQ232" s="252"/>
      <c r="BR232" s="511">
        <v>0.22</v>
      </c>
      <c r="BS232" s="252"/>
      <c r="BT232" s="252"/>
      <c r="BU232" s="524">
        <f t="shared" si="41"/>
        <v>226</v>
      </c>
      <c r="BV232" s="489">
        <v>158.63</v>
      </c>
      <c r="BW232" s="304">
        <v>4.4999999999999998E-2</v>
      </c>
      <c r="BX232" s="254">
        <v>418.3</v>
      </c>
      <c r="BY232" s="304">
        <v>3.9399999999999998E-2</v>
      </c>
      <c r="BZ232" s="494">
        <v>19.170000000000002</v>
      </c>
      <c r="CA232" s="497">
        <v>0.3</v>
      </c>
      <c r="CB232" s="497"/>
      <c r="CC232" s="494">
        <v>424</v>
      </c>
      <c r="CD232" s="241">
        <f t="shared" si="33"/>
        <v>226</v>
      </c>
      <c r="CE232" s="2">
        <v>564.02</v>
      </c>
      <c r="CF232" s="2">
        <v>490.8</v>
      </c>
      <c r="CG232" s="2"/>
      <c r="CH232" s="84">
        <v>0.06</v>
      </c>
      <c r="CI232" s="84">
        <v>0.06</v>
      </c>
      <c r="CJ232" s="252"/>
      <c r="CK232" s="252"/>
      <c r="CL232" s="252">
        <v>546.33000000000004</v>
      </c>
      <c r="CM232" s="253"/>
      <c r="CO232" s="253">
        <v>0.08</v>
      </c>
      <c r="CU232" s="266">
        <f t="shared" si="34"/>
        <v>181</v>
      </c>
      <c r="CV232" s="267">
        <f t="shared" si="35"/>
        <v>362</v>
      </c>
      <c r="CW232" s="268">
        <f t="shared" si="36"/>
        <v>904.99</v>
      </c>
      <c r="CX232" s="418">
        <v>184</v>
      </c>
      <c r="CY232" s="252"/>
      <c r="CZ232" s="252"/>
      <c r="DA232" s="252"/>
      <c r="DB232" s="252"/>
      <c r="DC232" s="252"/>
      <c r="DD232" s="252"/>
      <c r="DE232" s="252"/>
      <c r="DF232" s="252">
        <f t="shared" si="42"/>
        <v>0</v>
      </c>
      <c r="DG232" s="252"/>
      <c r="DH232" s="252">
        <v>489.06</v>
      </c>
      <c r="DI232" s="252"/>
      <c r="DK232" s="252"/>
      <c r="DL232" s="252"/>
      <c r="DP232" s="6">
        <v>7.2499999999999995E-2</v>
      </c>
      <c r="DQ232" s="252">
        <v>39.42</v>
      </c>
      <c r="DR232" s="3">
        <v>546.33000000000004</v>
      </c>
      <c r="DT232" s="241">
        <f t="shared" si="37"/>
        <v>226</v>
      </c>
      <c r="DU232" s="84"/>
      <c r="DV232" s="252">
        <v>720</v>
      </c>
      <c r="DY232" s="252">
        <v>405.18</v>
      </c>
      <c r="DZ232" s="264">
        <v>3.9399999999999998E-2</v>
      </c>
      <c r="EA232" s="252">
        <v>500</v>
      </c>
      <c r="EB232" s="534">
        <v>3.5000000000000003E-2</v>
      </c>
    </row>
    <row r="233" spans="1:132">
      <c r="A233">
        <v>227</v>
      </c>
      <c r="B233" s="259">
        <v>11.2026</v>
      </c>
      <c r="C233">
        <v>227</v>
      </c>
      <c r="D233" s="168">
        <f t="shared" si="48"/>
        <v>0</v>
      </c>
      <c r="E233" s="246">
        <v>46327</v>
      </c>
      <c r="G233" s="374">
        <f t="shared" si="44"/>
        <v>250785.6742215</v>
      </c>
      <c r="H233" s="7">
        <f t="shared" si="45"/>
        <v>627.94530599999996</v>
      </c>
      <c r="I233" s="248">
        <f t="shared" si="47"/>
        <v>139.09199999999998</v>
      </c>
      <c r="J233" s="258">
        <f t="shared" si="46"/>
        <v>0</v>
      </c>
      <c r="K233" s="67"/>
      <c r="L233" s="252">
        <v>300</v>
      </c>
      <c r="M233" s="263"/>
      <c r="N233" s="263"/>
      <c r="O233" s="473">
        <v>328.76</v>
      </c>
      <c r="P233" s="474">
        <v>328.76</v>
      </c>
      <c r="Q233" s="474">
        <v>430.86</v>
      </c>
      <c r="R233" s="475">
        <v>0.09</v>
      </c>
      <c r="S233" s="533">
        <f t="shared" si="39"/>
        <v>227</v>
      </c>
      <c r="T233" s="460">
        <v>75.260000000000005</v>
      </c>
      <c r="U233" s="460">
        <v>10.56</v>
      </c>
      <c r="V233" s="460">
        <v>353.76</v>
      </c>
      <c r="W233" s="460"/>
      <c r="X233" s="254">
        <v>51.09</v>
      </c>
      <c r="Y233" s="461">
        <v>7.4999999999999997E-2</v>
      </c>
      <c r="Z233" s="460">
        <v>22.5</v>
      </c>
      <c r="AA233" s="460">
        <v>10.26</v>
      </c>
      <c r="AB233" s="460">
        <v>437.73</v>
      </c>
      <c r="AC233" s="462">
        <v>353.75</v>
      </c>
      <c r="AD233" s="463">
        <v>0.3</v>
      </c>
      <c r="AE233" s="460">
        <v>40.83</v>
      </c>
      <c r="AF233" s="460">
        <v>61.32</v>
      </c>
      <c r="AG233" s="460">
        <v>20.62</v>
      </c>
      <c r="AH233" s="460"/>
      <c r="AI233" s="460"/>
      <c r="AJ233" s="460"/>
      <c r="AK233" s="460">
        <v>15.32</v>
      </c>
      <c r="AL233" s="253"/>
      <c r="AM233" s="273">
        <v>0.1</v>
      </c>
      <c r="AN233" s="255">
        <v>0.08</v>
      </c>
      <c r="AO233" s="160">
        <v>0.1</v>
      </c>
      <c r="AP233" s="536">
        <v>480.1</v>
      </c>
      <c r="AQ233" s="536"/>
      <c r="AR233" s="505">
        <f t="shared" si="40"/>
        <v>227</v>
      </c>
      <c r="AS233" s="480">
        <v>257.37</v>
      </c>
      <c r="AT233" s="480">
        <v>191.57</v>
      </c>
      <c r="AU233" s="480"/>
      <c r="AV233" s="480"/>
      <c r="AW233" s="480"/>
      <c r="AX233" s="480"/>
      <c r="AY233" s="480">
        <v>303.18</v>
      </c>
      <c r="AZ233" s="499" t="s">
        <v>5323</v>
      </c>
      <c r="BA233" s="502">
        <v>23.57</v>
      </c>
      <c r="BB233" s="504"/>
      <c r="BC233" s="510">
        <v>237.16</v>
      </c>
      <c r="BD233" s="510">
        <v>1222.49</v>
      </c>
      <c r="BE233" s="504">
        <v>0.2</v>
      </c>
      <c r="BF233" s="503">
        <v>0.22</v>
      </c>
      <c r="BG233" s="502">
        <v>16.66</v>
      </c>
      <c r="BH233" s="502">
        <v>1414.05</v>
      </c>
      <c r="BI233" s="502">
        <v>19.170000000000002</v>
      </c>
      <c r="BJ233" s="502"/>
      <c r="BK233" s="502"/>
      <c r="BL233" s="510">
        <v>750</v>
      </c>
      <c r="BM233" s="511">
        <v>0.16200000000000001</v>
      </c>
      <c r="BN233" s="511"/>
      <c r="BO233" s="511" t="s">
        <v>5340</v>
      </c>
      <c r="BP233" s="252"/>
      <c r="BQ233" s="252"/>
      <c r="BR233" s="511">
        <v>0.22</v>
      </c>
      <c r="BS233" s="252"/>
      <c r="BT233" s="252"/>
      <c r="BU233" s="524">
        <f t="shared" si="41"/>
        <v>227</v>
      </c>
      <c r="BV233" s="489">
        <v>158.63</v>
      </c>
      <c r="BW233" s="304">
        <v>4.4999999999999998E-2</v>
      </c>
      <c r="BX233" s="254">
        <v>418.3</v>
      </c>
      <c r="BY233" s="304">
        <v>3.9399999999999998E-2</v>
      </c>
      <c r="BZ233" s="494">
        <v>19.170000000000002</v>
      </c>
      <c r="CA233" s="497">
        <v>0.3</v>
      </c>
      <c r="CB233" s="497"/>
      <c r="CC233" s="494">
        <v>424</v>
      </c>
      <c r="CD233" s="241">
        <f t="shared" si="33"/>
        <v>227</v>
      </c>
      <c r="CE233" s="2">
        <v>564.02</v>
      </c>
      <c r="CF233" s="2">
        <v>490.8</v>
      </c>
      <c r="CG233" s="2"/>
      <c r="CH233" s="84">
        <v>0.06</v>
      </c>
      <c r="CI233" s="84">
        <v>0.06</v>
      </c>
      <c r="CJ233" s="252"/>
      <c r="CK233" s="252"/>
      <c r="CL233" s="252">
        <v>546.33000000000004</v>
      </c>
      <c r="CM233" s="253"/>
      <c r="CO233" s="5">
        <v>0.08</v>
      </c>
      <c r="CU233" s="266">
        <f t="shared" si="34"/>
        <v>181</v>
      </c>
      <c r="CV233" s="267">
        <f t="shared" si="35"/>
        <v>362</v>
      </c>
      <c r="CW233" s="268">
        <f t="shared" si="36"/>
        <v>904.99</v>
      </c>
      <c r="CX233" s="418">
        <v>184</v>
      </c>
      <c r="CY233" s="252"/>
      <c r="CZ233" s="252"/>
      <c r="DA233" s="252"/>
      <c r="DB233" s="252"/>
      <c r="DC233" s="252"/>
      <c r="DD233" s="252"/>
      <c r="DE233" s="252"/>
      <c r="DF233" s="252">
        <f t="shared" si="42"/>
        <v>0</v>
      </c>
      <c r="DG233" s="252"/>
      <c r="DH233" s="252">
        <v>489.06</v>
      </c>
      <c r="DI233" s="252"/>
      <c r="DK233" s="252"/>
      <c r="DL233" s="252"/>
      <c r="DP233" s="6">
        <v>7.2499999999999995E-2</v>
      </c>
      <c r="DQ233" s="252">
        <v>39.42</v>
      </c>
      <c r="DR233" s="3">
        <v>546.33000000000004</v>
      </c>
      <c r="DT233" s="241">
        <f t="shared" si="37"/>
        <v>227</v>
      </c>
      <c r="DU233" s="84"/>
      <c r="DV233" s="252">
        <v>720</v>
      </c>
      <c r="DY233" s="252">
        <v>405.18</v>
      </c>
      <c r="DZ233" s="264">
        <v>3.9399999999999998E-2</v>
      </c>
      <c r="EA233" s="252">
        <v>500</v>
      </c>
      <c r="EB233" s="534">
        <v>3.5000000000000003E-2</v>
      </c>
    </row>
    <row r="234" spans="1:132">
      <c r="A234">
        <v>228</v>
      </c>
      <c r="B234" s="259">
        <v>12.2026</v>
      </c>
      <c r="C234">
        <v>228</v>
      </c>
      <c r="D234" s="168">
        <f t="shared" si="48"/>
        <v>0</v>
      </c>
      <c r="E234" s="246">
        <v>46357</v>
      </c>
      <c r="G234" s="374">
        <f t="shared" si="44"/>
        <v>250785.6742215</v>
      </c>
      <c r="H234" s="7">
        <f t="shared" si="45"/>
        <v>627.94530599999996</v>
      </c>
      <c r="I234" s="248">
        <f t="shared" si="47"/>
        <v>139.09199999999998</v>
      </c>
      <c r="J234" s="258">
        <f t="shared" si="46"/>
        <v>0</v>
      </c>
      <c r="K234" s="67"/>
      <c r="L234" s="252">
        <v>300</v>
      </c>
      <c r="M234" s="263"/>
      <c r="N234" s="263"/>
      <c r="O234" s="473">
        <v>328.76</v>
      </c>
      <c r="P234" s="474">
        <v>328.76</v>
      </c>
      <c r="Q234" s="474">
        <v>430.86</v>
      </c>
      <c r="R234" s="475">
        <v>0.09</v>
      </c>
      <c r="S234" s="533">
        <f t="shared" si="39"/>
        <v>228</v>
      </c>
      <c r="T234" s="460">
        <v>75.260000000000005</v>
      </c>
      <c r="U234" s="460">
        <v>10.56</v>
      </c>
      <c r="V234" s="460">
        <v>353.76</v>
      </c>
      <c r="W234" s="460"/>
      <c r="X234" s="254">
        <v>51.09</v>
      </c>
      <c r="Y234" s="461">
        <v>7.4999999999999997E-2</v>
      </c>
      <c r="Z234" s="460">
        <v>22.5</v>
      </c>
      <c r="AA234" s="460">
        <v>10.26</v>
      </c>
      <c r="AB234" s="460">
        <v>437.73</v>
      </c>
      <c r="AC234" s="462">
        <v>353.75</v>
      </c>
      <c r="AD234" s="463">
        <v>0.3</v>
      </c>
      <c r="AE234" s="460">
        <v>40.83</v>
      </c>
      <c r="AF234" s="460">
        <v>61.32</v>
      </c>
      <c r="AG234" s="460">
        <v>20.62</v>
      </c>
      <c r="AH234" s="460"/>
      <c r="AI234" s="460"/>
      <c r="AJ234" s="460"/>
      <c r="AK234" s="460">
        <v>15.32</v>
      </c>
      <c r="AL234" s="253"/>
      <c r="AM234" s="273">
        <v>0.1</v>
      </c>
      <c r="AN234" s="255">
        <v>0.08</v>
      </c>
      <c r="AO234" s="160">
        <v>0.1</v>
      </c>
      <c r="AP234" s="536">
        <v>480.1</v>
      </c>
      <c r="AQ234" s="536"/>
      <c r="AR234" s="505">
        <f t="shared" si="40"/>
        <v>228</v>
      </c>
      <c r="AS234" s="480">
        <v>257.37</v>
      </c>
      <c r="AT234" s="480">
        <v>191.57</v>
      </c>
      <c r="AU234" s="480"/>
      <c r="AV234" s="480"/>
      <c r="AW234" s="480"/>
      <c r="AX234" s="480"/>
      <c r="AY234" s="480">
        <v>303.18</v>
      </c>
      <c r="AZ234" s="499" t="s">
        <v>5323</v>
      </c>
      <c r="BA234" s="502">
        <v>23.57</v>
      </c>
      <c r="BB234" s="503"/>
      <c r="BC234" s="510">
        <v>237.16</v>
      </c>
      <c r="BD234" s="510">
        <v>1222.49</v>
      </c>
      <c r="BE234" s="504">
        <v>0.2</v>
      </c>
      <c r="BF234" s="503">
        <v>0.22</v>
      </c>
      <c r="BG234" s="502">
        <v>16.66</v>
      </c>
      <c r="BH234" s="502">
        <v>1414.05</v>
      </c>
      <c r="BI234" s="502">
        <v>19.170000000000002</v>
      </c>
      <c r="BJ234" s="502"/>
      <c r="BK234" s="502"/>
      <c r="BL234" s="510">
        <v>750</v>
      </c>
      <c r="BM234" s="511">
        <v>0.16200000000000001</v>
      </c>
      <c r="BN234" s="511"/>
      <c r="BO234" s="511" t="s">
        <v>5340</v>
      </c>
      <c r="BP234" s="252"/>
      <c r="BQ234" s="252"/>
      <c r="BR234" s="511">
        <v>0.22</v>
      </c>
      <c r="BS234" s="252"/>
      <c r="BT234" s="252"/>
      <c r="BU234" s="524">
        <f t="shared" si="41"/>
        <v>228</v>
      </c>
      <c r="BV234" s="489">
        <v>158.63</v>
      </c>
      <c r="BW234" s="304">
        <v>4.4999999999999998E-2</v>
      </c>
      <c r="BX234" s="254">
        <v>418.3</v>
      </c>
      <c r="BY234" s="304">
        <v>3.9399999999999998E-2</v>
      </c>
      <c r="BZ234" s="494">
        <v>19.170000000000002</v>
      </c>
      <c r="CA234" s="497">
        <v>0.3</v>
      </c>
      <c r="CB234" s="497"/>
      <c r="CC234" s="494">
        <v>424</v>
      </c>
      <c r="CD234" s="241">
        <f t="shared" si="33"/>
        <v>228</v>
      </c>
      <c r="CE234" s="2">
        <v>564.02</v>
      </c>
      <c r="CF234" s="2">
        <v>490.8</v>
      </c>
      <c r="CG234" s="2"/>
      <c r="CH234" s="84">
        <v>0.06</v>
      </c>
      <c r="CI234" s="84">
        <v>0.06</v>
      </c>
      <c r="CJ234" s="252"/>
      <c r="CK234" s="252"/>
      <c r="CL234" s="252">
        <v>546.33000000000004</v>
      </c>
      <c r="CM234" s="253"/>
      <c r="CO234" s="253">
        <v>0.08</v>
      </c>
      <c r="CU234" s="266">
        <f t="shared" si="34"/>
        <v>181</v>
      </c>
      <c r="CV234" s="267">
        <f t="shared" si="35"/>
        <v>362</v>
      </c>
      <c r="CW234" s="268">
        <f t="shared" si="36"/>
        <v>904.99</v>
      </c>
      <c r="CX234" s="418">
        <v>184</v>
      </c>
      <c r="CY234" s="252"/>
      <c r="CZ234" s="252"/>
      <c r="DA234" s="252"/>
      <c r="DB234" s="252"/>
      <c r="DC234" s="252"/>
      <c r="DD234" s="252"/>
      <c r="DE234" s="252"/>
      <c r="DF234" s="252">
        <f t="shared" si="42"/>
        <v>0</v>
      </c>
      <c r="DG234" s="252"/>
      <c r="DH234" s="252">
        <v>489.06</v>
      </c>
      <c r="DI234" s="252"/>
      <c r="DK234" s="252"/>
      <c r="DL234" s="252"/>
      <c r="DP234" s="6">
        <v>7.2499999999999995E-2</v>
      </c>
      <c r="DQ234" s="252">
        <v>39.42</v>
      </c>
      <c r="DR234" s="3">
        <v>546.33000000000004</v>
      </c>
      <c r="DT234" s="241">
        <f t="shared" si="37"/>
        <v>228</v>
      </c>
      <c r="DU234" s="84"/>
      <c r="DV234" s="252">
        <v>720</v>
      </c>
      <c r="DY234" s="252">
        <v>405.18</v>
      </c>
      <c r="DZ234" s="264">
        <v>3.9399999999999998E-2</v>
      </c>
      <c r="EA234" s="252">
        <v>500</v>
      </c>
      <c r="EB234" s="534">
        <v>3.5000000000000003E-2</v>
      </c>
    </row>
  </sheetData>
  <phoneticPr fontId="37"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297B0-C881-44DC-9CEC-EDD758EF17D9}">
  <sheetPr codeName="גיליון8"/>
  <dimension ref="A1:BY81"/>
  <sheetViews>
    <sheetView rightToLeft="1" workbookViewId="0">
      <pane xSplit="11172" ySplit="1788" topLeftCell="AC1" activePane="bottomRight"/>
      <selection activeCell="D4" sqref="D4"/>
      <selection pane="topRight" activeCell="AD3" sqref="AD3"/>
      <selection pane="bottomLeft" activeCell="A21" sqref="A21:XFD21"/>
      <selection pane="bottomRight" activeCell="AG4" sqref="AG4"/>
    </sheetView>
  </sheetViews>
  <sheetFormatPr defaultRowHeight="14.4"/>
  <cols>
    <col min="1" max="1" width="3" bestFit="1" customWidth="1"/>
    <col min="2" max="2" width="24.21875" bestFit="1" customWidth="1"/>
    <col min="3" max="3" width="3" bestFit="1" customWidth="1"/>
    <col min="5" max="5" width="9.33203125" bestFit="1" customWidth="1"/>
    <col min="6" max="6" width="7.109375" customWidth="1"/>
    <col min="23" max="23" width="7.77734375" customWidth="1"/>
    <col min="24" max="24" width="3" bestFit="1" customWidth="1"/>
    <col min="47" max="47" width="3" bestFit="1" customWidth="1"/>
    <col min="50" max="50" width="10.33203125" customWidth="1"/>
  </cols>
  <sheetData>
    <row r="1" spans="1:77">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1</v>
      </c>
      <c r="AV1">
        <v>2</v>
      </c>
      <c r="AW1">
        <v>3</v>
      </c>
      <c r="AX1">
        <v>4</v>
      </c>
      <c r="AY1">
        <v>5</v>
      </c>
      <c r="AZ1">
        <v>6</v>
      </c>
      <c r="BA1">
        <v>7</v>
      </c>
      <c r="BB1">
        <v>8</v>
      </c>
      <c r="BC1">
        <v>9</v>
      </c>
      <c r="BD1">
        <v>10</v>
      </c>
      <c r="BE1">
        <v>11</v>
      </c>
      <c r="BF1">
        <v>12</v>
      </c>
      <c r="BG1">
        <v>13</v>
      </c>
      <c r="BH1">
        <v>14</v>
      </c>
      <c r="BI1">
        <v>15</v>
      </c>
      <c r="BJ1">
        <v>16</v>
      </c>
      <c r="BK1">
        <v>17</v>
      </c>
      <c r="BL1">
        <v>18</v>
      </c>
      <c r="BM1">
        <v>19</v>
      </c>
      <c r="BN1">
        <v>20</v>
      </c>
      <c r="BO1">
        <v>21</v>
      </c>
      <c r="BP1">
        <v>22</v>
      </c>
      <c r="BQ1">
        <v>23</v>
      </c>
      <c r="BR1">
        <v>24</v>
      </c>
      <c r="BS1">
        <v>25</v>
      </c>
      <c r="BT1">
        <v>26</v>
      </c>
      <c r="BU1">
        <v>27</v>
      </c>
      <c r="BV1">
        <v>28</v>
      </c>
      <c r="BW1">
        <v>29</v>
      </c>
      <c r="BX1">
        <v>30</v>
      </c>
      <c r="BY1">
        <v>31</v>
      </c>
    </row>
    <row r="2" spans="1:77">
      <c r="A2" s="18"/>
      <c r="B2" s="18" t="s">
        <v>51</v>
      </c>
      <c r="C2" s="18">
        <f>+'Netunei Gimlai'!B4</f>
        <v>9</v>
      </c>
      <c r="D2" s="18"/>
      <c r="E2" s="18" t="s">
        <v>3261</v>
      </c>
      <c r="F2" s="436">
        <f>VLOOKUP($C$2,$C$5:$W$81,4,0)</f>
        <v>0</v>
      </c>
      <c r="G2" s="436">
        <f>VLOOKUP($C$2,$C$5:$W$81,5,0)</f>
        <v>0</v>
      </c>
      <c r="H2" s="436">
        <f>VLOOKUP($C$2,$C$5:$W$81,6,0)</f>
        <v>0</v>
      </c>
      <c r="I2" s="436">
        <f>VLOOKUP($C$2,$C$5:$W$81,7,0)</f>
        <v>0</v>
      </c>
      <c r="J2" s="436">
        <f>VLOOKUP($C$2,$C$5:$W$81,8,0)</f>
        <v>0</v>
      </c>
      <c r="K2" s="436">
        <f>VLOOKUP($C$2,$C$5:$W$81,9,0)</f>
        <v>0</v>
      </c>
      <c r="L2" s="436">
        <f>VLOOKUP($C$2,$C$5:$W$81,10,0)</f>
        <v>0</v>
      </c>
      <c r="M2" s="436">
        <f>VLOOKUP($C$2,$C$5:$W$81,11,0)</f>
        <v>0</v>
      </c>
      <c r="N2" s="436">
        <f>VLOOKUP($C$2,$C$5:$W$81,12,0)</f>
        <v>0</v>
      </c>
      <c r="O2" s="436">
        <f>VLOOKUP($C$2,$C$5:$W$81,13,0)</f>
        <v>0</v>
      </c>
      <c r="P2" s="436">
        <f>VLOOKUP($C$2,$C$5:$W$81,14,0)</f>
        <v>0</v>
      </c>
      <c r="Q2" s="436">
        <f>VLOOKUP($C$2,$C$5:$W$81,15,0)</f>
        <v>0</v>
      </c>
      <c r="R2" s="436">
        <f>VLOOKUP($C$2,$C$5:$W$81,16,0)</f>
        <v>0</v>
      </c>
      <c r="S2" s="436">
        <f>VLOOKUP($C$2,$C$5:$W$81,17,0)</f>
        <v>0</v>
      </c>
      <c r="T2" s="436">
        <f>VLOOKUP($C$2,$C$5:$W$81,18,0)</f>
        <v>0</v>
      </c>
      <c r="U2" s="436">
        <f>VLOOKUP($C$2,$C$5:$W$81,19,0)</f>
        <v>0</v>
      </c>
      <c r="V2" s="436">
        <f>VLOOKUP($C$2,$C$5:$W$81,20,0)</f>
        <v>0</v>
      </c>
      <c r="W2" s="436">
        <f>VLOOKUP($C$2,$C$5:$W$81,21,0)</f>
        <v>0</v>
      </c>
      <c r="X2" s="437"/>
      <c r="Y2" s="437"/>
      <c r="Z2" s="437">
        <f>VLOOKUP($C$2,$X$5:$AR$81,Z1,0)</f>
        <v>1</v>
      </c>
      <c r="AA2" s="437">
        <f>VLOOKUP($C$2,$X$5:$AR$81,AA1,0)</f>
        <v>1</v>
      </c>
      <c r="AB2" s="437">
        <f>VLOOKUP($C$2,$X$5:$AR$81,AB1,0)</f>
        <v>0</v>
      </c>
      <c r="AC2" s="437">
        <f>VLOOKUP($C$2,$X$5:$AR$81,AC1,0)</f>
        <v>1</v>
      </c>
      <c r="AD2" s="437">
        <f>VLOOKUP($C$2,$X$5:$AT$81,AD1,0)</f>
        <v>0</v>
      </c>
      <c r="AE2" s="437">
        <f t="shared" ref="AE2:AT2" si="0">VLOOKUP($C$2,$X$5:$AT$81,AE1,0)</f>
        <v>1</v>
      </c>
      <c r="AF2" s="437">
        <f t="shared" si="0"/>
        <v>1</v>
      </c>
      <c r="AG2" s="437">
        <f t="shared" si="0"/>
        <v>1</v>
      </c>
      <c r="AH2" s="437">
        <f t="shared" si="0"/>
        <v>1</v>
      </c>
      <c r="AI2" s="437">
        <f t="shared" si="0"/>
        <v>1</v>
      </c>
      <c r="AJ2" s="437">
        <f t="shared" si="0"/>
        <v>1</v>
      </c>
      <c r="AK2" s="437">
        <f t="shared" si="0"/>
        <v>1</v>
      </c>
      <c r="AL2" s="437">
        <f t="shared" si="0"/>
        <v>1</v>
      </c>
      <c r="AM2" s="437">
        <f t="shared" si="0"/>
        <v>1</v>
      </c>
      <c r="AN2" s="437">
        <f t="shared" si="0"/>
        <v>1</v>
      </c>
      <c r="AO2" s="437">
        <f t="shared" si="0"/>
        <v>1</v>
      </c>
      <c r="AP2" s="437">
        <f t="shared" si="0"/>
        <v>1</v>
      </c>
      <c r="AQ2" s="437">
        <f t="shared" si="0"/>
        <v>1</v>
      </c>
      <c r="AR2" s="437">
        <f t="shared" si="0"/>
        <v>1</v>
      </c>
      <c r="AS2" s="437">
        <f t="shared" si="0"/>
        <v>1</v>
      </c>
      <c r="AT2" s="437">
        <f t="shared" si="0"/>
        <v>1</v>
      </c>
      <c r="AU2" s="481"/>
      <c r="AV2" s="481"/>
      <c r="AW2" s="481">
        <f>VLOOKUP($C$2,$AU$5:$BY$81,AW1,0)</f>
        <v>0</v>
      </c>
      <c r="AX2" s="481">
        <f>VLOOKUP($C$2,$AU$5:$BY$81,AX1,0)</f>
        <v>0</v>
      </c>
      <c r="AY2" s="481">
        <f>VLOOKUP($C$2,$AU$5:$BY$81,AY1,0)</f>
        <v>0</v>
      </c>
      <c r="AZ2" s="481">
        <f>VLOOKUP($C$2,$AU$5:$BY$81,AZ1,0)</f>
        <v>0</v>
      </c>
      <c r="BA2" s="481">
        <f>VLOOKUP($C$2,$AU$5:$BY$81,BA1,0)</f>
        <v>0</v>
      </c>
      <c r="BB2" s="481">
        <f>VLOOKUP($C$2,$AU$5:$BY$81,BB1,0)</f>
        <v>0</v>
      </c>
      <c r="BC2" s="481">
        <f>VLOOKUP($C$2,$AU$5:$BY$81,BC1,0)</f>
        <v>0</v>
      </c>
      <c r="BD2" s="481">
        <f>VLOOKUP($C$2,$AU$5:$BY$81,BD1,0)</f>
        <v>0</v>
      </c>
      <c r="BE2" s="481">
        <f>VLOOKUP($C$2,$AU$5:$BY$81,BE1,0)</f>
        <v>0</v>
      </c>
      <c r="BF2" s="481">
        <f>VLOOKUP($C$2,$AU$5:$BY$81,BF1,0)</f>
        <v>0</v>
      </c>
      <c r="BG2" s="481">
        <f>VLOOKUP($C$2,$AU$5:$BY$81,BG1,0)</f>
        <v>0</v>
      </c>
      <c r="BH2" s="481">
        <f>VLOOKUP($C$2,$AU$5:$BY$81,BH1,0)</f>
        <v>0</v>
      </c>
      <c r="BI2" s="481">
        <f>VLOOKUP($C$2,$AU$5:$BY$81,BI1,0)</f>
        <v>0</v>
      </c>
      <c r="BJ2" s="481">
        <f>VLOOKUP($C$2,$AU$5:$BY$81,BJ1,0)</f>
        <v>1</v>
      </c>
      <c r="BK2" s="481">
        <f>VLOOKUP($C$2,$AU$5:$BY$81,BK1,0)</f>
        <v>0</v>
      </c>
      <c r="BL2" s="481">
        <f>VLOOKUP($C$2,$AU$5:$BY$81,BL1,0)</f>
        <v>0</v>
      </c>
      <c r="BM2" s="481">
        <f>VLOOKUP($C$2,$AU$5:$BY$81,BM1,0)</f>
        <v>0</v>
      </c>
      <c r="BN2" s="481">
        <f>VLOOKUP($C$2,$AU$5:$BY$81,BN1,0)</f>
        <v>0</v>
      </c>
      <c r="BO2" s="481">
        <f>VLOOKUP($C$2,$AU$5:$BY$81,BO1,0)</f>
        <v>0</v>
      </c>
      <c r="BP2" s="481">
        <f t="shared" ref="BP2:BY2" si="1">VLOOKUP($C$2,$AU$5:$BY$81,BP1,0)</f>
        <v>0</v>
      </c>
      <c r="BQ2" s="481">
        <f t="shared" si="1"/>
        <v>0</v>
      </c>
      <c r="BR2" s="481">
        <f t="shared" ref="BR2" si="2">VLOOKUP($C$2,$AU$5:$BY$81,BR1,0)</f>
        <v>0</v>
      </c>
      <c r="BS2" s="481">
        <f t="shared" ref="BS2" si="3">VLOOKUP($C$2,$AU$5:$BY$81,BS1,0)</f>
        <v>0</v>
      </c>
      <c r="BT2" s="481">
        <f t="shared" ref="BT2" si="4">VLOOKUP($C$2,$AU$5:$BY$81,BT1,0)</f>
        <v>0</v>
      </c>
      <c r="BU2" s="481">
        <f t="shared" ref="BU2" si="5">VLOOKUP($C$2,$AU$5:$BY$81,BU1,0)</f>
        <v>0</v>
      </c>
      <c r="BV2" s="481">
        <f t="shared" ref="BV2" si="6">VLOOKUP($C$2,$AU$5:$BY$81,BV1,0)</f>
        <v>0</v>
      </c>
      <c r="BW2" s="481">
        <f t="shared" ref="BW2" si="7">VLOOKUP($C$2,$AU$5:$BY$81,BW1,0)</f>
        <v>0</v>
      </c>
      <c r="BX2" s="481">
        <f t="shared" ref="BX2" si="8">VLOOKUP($C$2,$AU$5:$BY$81,BX1,0)</f>
        <v>0</v>
      </c>
      <c r="BY2" s="481">
        <f t="shared" ref="BY2" si="9">VLOOKUP($C$2,$AU$5:$BY$81,BY1,0)</f>
        <v>0</v>
      </c>
    </row>
    <row r="3" spans="1:77" ht="15" thickBot="1">
      <c r="A3" s="18"/>
      <c r="B3" s="18"/>
      <c r="C3" s="18"/>
      <c r="D3" s="18" t="s">
        <v>6</v>
      </c>
      <c r="E3" s="18">
        <v>35</v>
      </c>
      <c r="F3" s="436">
        <v>705</v>
      </c>
      <c r="G3" s="436">
        <v>735</v>
      </c>
      <c r="H3" s="436">
        <v>737</v>
      </c>
      <c r="I3" s="436">
        <v>738</v>
      </c>
      <c r="J3" s="436">
        <v>741</v>
      </c>
      <c r="K3" s="436">
        <v>808</v>
      </c>
      <c r="L3" s="436">
        <v>1389</v>
      </c>
      <c r="M3" s="436">
        <v>1657</v>
      </c>
      <c r="N3" s="436">
        <v>1961</v>
      </c>
      <c r="O3" s="436">
        <v>1967</v>
      </c>
      <c r="P3" s="436">
        <v>4147</v>
      </c>
      <c r="Q3" s="436">
        <v>4220</v>
      </c>
      <c r="R3" s="436">
        <v>4221</v>
      </c>
      <c r="S3" s="436">
        <v>4932</v>
      </c>
      <c r="T3" s="436">
        <v>5251</v>
      </c>
      <c r="U3" s="436">
        <v>5253</v>
      </c>
      <c r="V3" s="436">
        <v>5254</v>
      </c>
      <c r="W3" s="436">
        <v>5270</v>
      </c>
      <c r="X3" s="437"/>
      <c r="Y3" s="437" t="s">
        <v>6</v>
      </c>
      <c r="Z3" s="437">
        <v>600</v>
      </c>
      <c r="AA3" s="437">
        <v>626</v>
      </c>
      <c r="AB3" s="437">
        <v>636</v>
      </c>
      <c r="AC3" s="437">
        <v>659</v>
      </c>
      <c r="AD3" s="437">
        <v>669</v>
      </c>
      <c r="AE3" s="437">
        <v>697</v>
      </c>
      <c r="AF3" s="437">
        <v>728</v>
      </c>
      <c r="AG3" s="437">
        <v>733</v>
      </c>
      <c r="AH3" s="437">
        <v>736</v>
      </c>
      <c r="AI3" s="437">
        <v>764</v>
      </c>
      <c r="AJ3" s="437">
        <v>798</v>
      </c>
      <c r="AK3" s="437">
        <v>956</v>
      </c>
      <c r="AL3" s="437">
        <v>957</v>
      </c>
      <c r="AM3" s="437">
        <v>959</v>
      </c>
      <c r="AN3" s="437">
        <v>1063</v>
      </c>
      <c r="AO3" s="437">
        <v>1082</v>
      </c>
      <c r="AP3" s="437">
        <v>1096</v>
      </c>
      <c r="AQ3" s="437">
        <v>1233</v>
      </c>
      <c r="AR3" s="437">
        <v>5216</v>
      </c>
      <c r="AS3" s="437">
        <v>5340</v>
      </c>
      <c r="AT3" s="437">
        <v>5539</v>
      </c>
      <c r="AU3" s="481"/>
      <c r="AV3" s="481" t="s">
        <v>6</v>
      </c>
      <c r="AW3" s="481">
        <v>628</v>
      </c>
      <c r="AX3" s="481">
        <v>642</v>
      </c>
      <c r="AY3" s="481">
        <v>658</v>
      </c>
      <c r="AZ3" s="481">
        <v>678</v>
      </c>
      <c r="BA3" s="481">
        <v>681</v>
      </c>
      <c r="BB3" s="481">
        <v>739</v>
      </c>
      <c r="BC3" s="481">
        <v>756</v>
      </c>
      <c r="BD3" s="481">
        <v>768</v>
      </c>
      <c r="BE3" s="481">
        <v>805</v>
      </c>
      <c r="BF3" s="481">
        <v>809</v>
      </c>
      <c r="BG3" s="481">
        <v>858</v>
      </c>
      <c r="BH3" s="481">
        <v>875</v>
      </c>
      <c r="BI3" s="481">
        <v>883</v>
      </c>
      <c r="BJ3" s="481">
        <v>907</v>
      </c>
      <c r="BK3" s="481">
        <v>918</v>
      </c>
      <c r="BL3" s="481">
        <v>920</v>
      </c>
      <c r="BM3" s="481">
        <v>1297</v>
      </c>
      <c r="BN3" s="481">
        <v>1358</v>
      </c>
      <c r="BO3" s="481">
        <v>4180</v>
      </c>
      <c r="BP3" s="481">
        <v>4318</v>
      </c>
      <c r="BQ3" s="481">
        <v>4319</v>
      </c>
      <c r="BR3" s="481">
        <v>4374</v>
      </c>
      <c r="BS3" s="481">
        <v>4406</v>
      </c>
      <c r="BT3" s="481">
        <v>4427</v>
      </c>
      <c r="BU3" s="481">
        <v>4428</v>
      </c>
      <c r="BV3" s="481">
        <v>4429</v>
      </c>
      <c r="BW3" s="481">
        <v>4651</v>
      </c>
      <c r="BX3" s="481">
        <v>4683</v>
      </c>
      <c r="BY3" s="481">
        <v>5268</v>
      </c>
    </row>
    <row r="4" spans="1:77" s="311" customFormat="1" ht="31.8" customHeight="1" thickTop="1" thickBot="1">
      <c r="A4" s="438"/>
      <c r="B4" s="420" t="s">
        <v>89</v>
      </c>
      <c r="C4" s="438"/>
      <c r="D4" s="420" t="s">
        <v>90</v>
      </c>
      <c r="E4" s="439" t="s">
        <v>69</v>
      </c>
      <c r="F4" s="440" t="s">
        <v>25</v>
      </c>
      <c r="G4" s="440" t="s">
        <v>5312</v>
      </c>
      <c r="H4" s="440" t="s">
        <v>1364</v>
      </c>
      <c r="I4" s="440" t="s">
        <v>1376</v>
      </c>
      <c r="J4" s="440" t="s">
        <v>27</v>
      </c>
      <c r="K4" s="440" t="s">
        <v>1319</v>
      </c>
      <c r="L4" s="440" t="s">
        <v>1588</v>
      </c>
      <c r="M4" s="440" t="s">
        <v>5313</v>
      </c>
      <c r="N4" s="440" t="s">
        <v>36</v>
      </c>
      <c r="O4" s="440" t="s">
        <v>36</v>
      </c>
      <c r="P4" s="440" t="s">
        <v>35</v>
      </c>
      <c r="Q4" s="440" t="s">
        <v>5314</v>
      </c>
      <c r="R4" s="440" t="s">
        <v>5069</v>
      </c>
      <c r="S4" s="440" t="s">
        <v>1026</v>
      </c>
      <c r="T4" s="440" t="s">
        <v>5315</v>
      </c>
      <c r="U4" s="440" t="s">
        <v>28</v>
      </c>
      <c r="V4" s="440" t="s">
        <v>78</v>
      </c>
      <c r="W4" s="440" t="s">
        <v>32</v>
      </c>
      <c r="X4" s="441"/>
      <c r="Y4" s="435" t="s">
        <v>90</v>
      </c>
      <c r="Z4" s="435" t="s">
        <v>803</v>
      </c>
      <c r="AA4" s="435" t="s">
        <v>1204</v>
      </c>
      <c r="AB4" s="435" t="s">
        <v>94</v>
      </c>
      <c r="AC4" s="435" t="s">
        <v>5342</v>
      </c>
      <c r="AD4" s="435" t="s">
        <v>825</v>
      </c>
      <c r="AE4" s="435" t="s">
        <v>1420</v>
      </c>
      <c r="AF4" s="435" t="s">
        <v>1201</v>
      </c>
      <c r="AG4" s="445" t="s">
        <v>5797</v>
      </c>
      <c r="AH4" s="435" t="s">
        <v>5353</v>
      </c>
      <c r="AI4" s="435" t="s">
        <v>20</v>
      </c>
      <c r="AJ4" s="435" t="s">
        <v>11</v>
      </c>
      <c r="AK4" s="435" t="s">
        <v>5317</v>
      </c>
      <c r="AL4" s="435" t="s">
        <v>1557</v>
      </c>
      <c r="AM4" s="435" t="s">
        <v>5317</v>
      </c>
      <c r="AN4" s="435" t="s">
        <v>23</v>
      </c>
      <c r="AO4" s="435" t="s">
        <v>5785</v>
      </c>
      <c r="AP4" s="435" t="s">
        <v>5350</v>
      </c>
      <c r="AQ4" s="435" t="s">
        <v>5782</v>
      </c>
      <c r="AR4" s="435" t="s">
        <v>40</v>
      </c>
      <c r="AS4" s="435" t="s">
        <v>73</v>
      </c>
      <c r="AT4" s="435" t="s">
        <v>3232</v>
      </c>
      <c r="AU4" s="482"/>
      <c r="AV4" s="483" t="s">
        <v>90</v>
      </c>
      <c r="AW4" s="483" t="s">
        <v>807</v>
      </c>
      <c r="AX4" s="483" t="s">
        <v>5791</v>
      </c>
      <c r="AY4" s="483" t="s">
        <v>68</v>
      </c>
      <c r="AZ4" s="483" t="s">
        <v>1294</v>
      </c>
      <c r="BA4" s="483" t="s">
        <v>5351</v>
      </c>
      <c r="BB4" s="483" t="s">
        <v>1332</v>
      </c>
      <c r="BC4" s="483" t="s">
        <v>855</v>
      </c>
      <c r="BD4" s="483" t="s">
        <v>5324</v>
      </c>
      <c r="BE4" s="483" t="s">
        <v>868</v>
      </c>
      <c r="BF4" s="483" t="s">
        <v>1536</v>
      </c>
      <c r="BG4" s="483" t="s">
        <v>855</v>
      </c>
      <c r="BH4" s="483" t="s">
        <v>879</v>
      </c>
      <c r="BI4" s="483" t="s">
        <v>1536</v>
      </c>
      <c r="BJ4" s="483" t="s">
        <v>5176</v>
      </c>
      <c r="BK4" s="483" t="s">
        <v>1332</v>
      </c>
      <c r="BL4" s="483" t="s">
        <v>896</v>
      </c>
      <c r="BM4" s="483" t="s">
        <v>4385</v>
      </c>
      <c r="BN4" s="483" t="s">
        <v>5328</v>
      </c>
      <c r="BO4" s="483" t="s">
        <v>5789</v>
      </c>
      <c r="BP4" s="483" t="s">
        <v>5266</v>
      </c>
      <c r="BQ4" s="483" t="s">
        <v>5795</v>
      </c>
      <c r="BR4" s="483" t="s">
        <v>2601</v>
      </c>
      <c r="BS4" s="483" t="s">
        <v>5209</v>
      </c>
      <c r="BT4" s="483" t="s">
        <v>5269</v>
      </c>
      <c r="BU4" s="483" t="s">
        <v>2625</v>
      </c>
      <c r="BV4" s="483" t="s">
        <v>954</v>
      </c>
      <c r="BW4" s="483" t="s">
        <v>954</v>
      </c>
      <c r="BX4" s="483" t="s">
        <v>954</v>
      </c>
      <c r="BY4" s="483" t="s">
        <v>5149</v>
      </c>
    </row>
    <row r="5" spans="1:77" ht="15" thickTop="1">
      <c r="A5">
        <v>1</v>
      </c>
      <c r="B5" t="s">
        <v>270</v>
      </c>
      <c r="C5">
        <v>1</v>
      </c>
      <c r="D5">
        <v>41</v>
      </c>
      <c r="X5">
        <v>1</v>
      </c>
      <c r="Y5">
        <v>41</v>
      </c>
      <c r="AU5">
        <v>1</v>
      </c>
      <c r="AV5">
        <v>41</v>
      </c>
    </row>
    <row r="6" spans="1:77">
      <c r="A6">
        <v>2</v>
      </c>
      <c r="B6" t="s">
        <v>271</v>
      </c>
      <c r="C6">
        <v>2</v>
      </c>
      <c r="D6">
        <v>91</v>
      </c>
      <c r="X6">
        <v>2</v>
      </c>
      <c r="Y6">
        <v>91</v>
      </c>
      <c r="AU6">
        <v>2</v>
      </c>
      <c r="AV6">
        <v>91</v>
      </c>
    </row>
    <row r="7" spans="1:77">
      <c r="A7">
        <v>3</v>
      </c>
      <c r="B7" t="s">
        <v>285</v>
      </c>
      <c r="C7">
        <v>3</v>
      </c>
      <c r="D7">
        <v>101</v>
      </c>
      <c r="X7">
        <v>3</v>
      </c>
      <c r="Y7">
        <v>101</v>
      </c>
      <c r="AU7">
        <v>3</v>
      </c>
      <c r="AV7">
        <v>101</v>
      </c>
    </row>
    <row r="8" spans="1:77">
      <c r="A8">
        <v>4</v>
      </c>
      <c r="B8" t="s">
        <v>289</v>
      </c>
      <c r="C8">
        <v>4</v>
      </c>
      <c r="D8">
        <v>102</v>
      </c>
      <c r="X8">
        <v>4</v>
      </c>
      <c r="Y8">
        <v>102</v>
      </c>
      <c r="AU8">
        <v>4</v>
      </c>
      <c r="AV8">
        <v>102</v>
      </c>
    </row>
    <row r="9" spans="1:77">
      <c r="A9">
        <v>5</v>
      </c>
      <c r="B9" t="s">
        <v>317</v>
      </c>
      <c r="C9">
        <v>5</v>
      </c>
      <c r="D9">
        <v>103</v>
      </c>
      <c r="X9">
        <v>5</v>
      </c>
      <c r="Y9">
        <v>103</v>
      </c>
      <c r="AU9">
        <v>5</v>
      </c>
      <c r="AV9">
        <v>103</v>
      </c>
      <c r="BL9">
        <v>1</v>
      </c>
    </row>
    <row r="10" spans="1:77">
      <c r="A10">
        <v>6</v>
      </c>
      <c r="B10" t="s">
        <v>322</v>
      </c>
      <c r="C10">
        <v>6</v>
      </c>
      <c r="D10">
        <v>104</v>
      </c>
      <c r="X10">
        <v>6</v>
      </c>
      <c r="Y10">
        <v>104</v>
      </c>
      <c r="AU10">
        <v>6</v>
      </c>
      <c r="AV10">
        <v>104</v>
      </c>
      <c r="BC10">
        <v>1</v>
      </c>
      <c r="BD10">
        <v>1</v>
      </c>
      <c r="BF10">
        <v>1</v>
      </c>
      <c r="BJ10">
        <v>1</v>
      </c>
      <c r="BN10">
        <v>1</v>
      </c>
      <c r="BP10">
        <v>1</v>
      </c>
      <c r="BQ10">
        <v>1</v>
      </c>
      <c r="BR10">
        <v>1</v>
      </c>
      <c r="BT10">
        <v>1</v>
      </c>
      <c r="BU10">
        <v>1</v>
      </c>
      <c r="BX10">
        <v>1</v>
      </c>
    </row>
    <row r="11" spans="1:77">
      <c r="A11">
        <v>7</v>
      </c>
      <c r="B11" t="s">
        <v>327</v>
      </c>
      <c r="C11">
        <v>7</v>
      </c>
      <c r="D11">
        <v>105</v>
      </c>
      <c r="X11">
        <v>7</v>
      </c>
      <c r="Y11">
        <v>105</v>
      </c>
      <c r="AU11">
        <v>7</v>
      </c>
      <c r="AV11">
        <v>105</v>
      </c>
      <c r="BJ11">
        <v>1</v>
      </c>
      <c r="BK11">
        <v>1</v>
      </c>
    </row>
    <row r="12" spans="1:77">
      <c r="A12">
        <v>8</v>
      </c>
      <c r="B12" t="s">
        <v>342</v>
      </c>
      <c r="C12">
        <v>8</v>
      </c>
      <c r="D12">
        <v>106</v>
      </c>
      <c r="X12">
        <v>8</v>
      </c>
      <c r="Y12">
        <v>106</v>
      </c>
      <c r="AU12">
        <v>8</v>
      </c>
      <c r="AV12">
        <v>106</v>
      </c>
    </row>
    <row r="13" spans="1:77">
      <c r="A13">
        <v>9</v>
      </c>
      <c r="B13" t="s">
        <v>343</v>
      </c>
      <c r="C13">
        <v>9</v>
      </c>
      <c r="D13">
        <v>107</v>
      </c>
      <c r="X13">
        <v>9</v>
      </c>
      <c r="Y13">
        <v>107</v>
      </c>
      <c r="Z13">
        <v>1</v>
      </c>
      <c r="AA13">
        <v>1</v>
      </c>
      <c r="AC13">
        <v>1</v>
      </c>
      <c r="AE13">
        <v>1</v>
      </c>
      <c r="AF13">
        <v>1</v>
      </c>
      <c r="AG13">
        <v>1</v>
      </c>
      <c r="AH13">
        <v>1</v>
      </c>
      <c r="AI13">
        <v>1</v>
      </c>
      <c r="AJ13">
        <v>1</v>
      </c>
      <c r="AK13">
        <v>1</v>
      </c>
      <c r="AL13">
        <v>1</v>
      </c>
      <c r="AM13">
        <v>1</v>
      </c>
      <c r="AN13">
        <v>1</v>
      </c>
      <c r="AO13">
        <v>1</v>
      </c>
      <c r="AP13">
        <v>1</v>
      </c>
      <c r="AQ13">
        <v>1</v>
      </c>
      <c r="AR13">
        <v>1</v>
      </c>
      <c r="AS13">
        <v>1</v>
      </c>
      <c r="AT13">
        <v>1</v>
      </c>
      <c r="AU13">
        <v>9</v>
      </c>
      <c r="AV13">
        <v>107</v>
      </c>
      <c r="BJ13">
        <v>1</v>
      </c>
    </row>
    <row r="14" spans="1:77">
      <c r="A14">
        <v>10</v>
      </c>
      <c r="B14" t="s">
        <v>488</v>
      </c>
      <c r="C14">
        <v>10</v>
      </c>
      <c r="D14">
        <v>108</v>
      </c>
      <c r="X14">
        <v>10</v>
      </c>
      <c r="Y14">
        <v>108</v>
      </c>
      <c r="AU14">
        <v>10</v>
      </c>
      <c r="AV14">
        <v>108</v>
      </c>
      <c r="BH14">
        <v>1</v>
      </c>
    </row>
    <row r="15" spans="1:77">
      <c r="A15">
        <v>11</v>
      </c>
      <c r="B15" t="s">
        <v>494</v>
      </c>
      <c r="C15">
        <v>11</v>
      </c>
      <c r="D15">
        <v>109</v>
      </c>
      <c r="X15">
        <v>11</v>
      </c>
      <c r="Y15">
        <v>109</v>
      </c>
      <c r="AU15">
        <v>11</v>
      </c>
      <c r="AV15">
        <v>109</v>
      </c>
      <c r="BC15">
        <v>1</v>
      </c>
      <c r="BF15">
        <v>1</v>
      </c>
      <c r="BM15">
        <v>1</v>
      </c>
      <c r="BY15">
        <v>1</v>
      </c>
    </row>
    <row r="16" spans="1:77">
      <c r="A16">
        <v>12</v>
      </c>
      <c r="B16" t="s">
        <v>506</v>
      </c>
      <c r="C16">
        <v>12</v>
      </c>
      <c r="D16">
        <v>110</v>
      </c>
      <c r="X16">
        <v>12</v>
      </c>
      <c r="Y16">
        <v>110</v>
      </c>
      <c r="AU16">
        <v>12</v>
      </c>
      <c r="AV16">
        <v>110</v>
      </c>
    </row>
    <row r="17" spans="1:76">
      <c r="A17">
        <v>13</v>
      </c>
      <c r="B17" t="s">
        <v>517</v>
      </c>
      <c r="C17">
        <v>13</v>
      </c>
      <c r="D17">
        <v>111</v>
      </c>
      <c r="X17">
        <v>13</v>
      </c>
      <c r="Y17">
        <v>111</v>
      </c>
      <c r="AU17">
        <v>13</v>
      </c>
      <c r="AV17">
        <v>111</v>
      </c>
      <c r="AW17">
        <v>1</v>
      </c>
      <c r="BC17">
        <v>1</v>
      </c>
      <c r="BV17">
        <v>1</v>
      </c>
      <c r="BW17">
        <v>1</v>
      </c>
    </row>
    <row r="18" spans="1:76">
      <c r="A18">
        <v>14</v>
      </c>
      <c r="B18" t="s">
        <v>519</v>
      </c>
      <c r="C18">
        <v>14</v>
      </c>
      <c r="D18">
        <v>112</v>
      </c>
      <c r="X18">
        <v>14</v>
      </c>
      <c r="Y18">
        <v>112</v>
      </c>
      <c r="AU18">
        <v>14</v>
      </c>
      <c r="AV18">
        <v>112</v>
      </c>
    </row>
    <row r="19" spans="1:76">
      <c r="A19">
        <v>15</v>
      </c>
      <c r="B19" t="s">
        <v>520</v>
      </c>
      <c r="C19">
        <v>15</v>
      </c>
      <c r="D19">
        <v>113</v>
      </c>
      <c r="X19">
        <v>15</v>
      </c>
      <c r="Y19">
        <v>113</v>
      </c>
      <c r="AE19">
        <v>1</v>
      </c>
      <c r="AU19">
        <v>15</v>
      </c>
      <c r="AV19">
        <v>113</v>
      </c>
      <c r="BD19">
        <v>1</v>
      </c>
      <c r="BI19">
        <v>1</v>
      </c>
      <c r="BJ19">
        <v>1</v>
      </c>
    </row>
    <row r="20" spans="1:76">
      <c r="A20">
        <v>16</v>
      </c>
      <c r="B20" t="s">
        <v>523</v>
      </c>
      <c r="C20">
        <v>16</v>
      </c>
      <c r="D20">
        <v>115</v>
      </c>
      <c r="X20">
        <v>16</v>
      </c>
      <c r="Y20">
        <v>115</v>
      </c>
      <c r="AU20">
        <v>16</v>
      </c>
      <c r="AV20">
        <v>115</v>
      </c>
    </row>
    <row r="21" spans="1:76">
      <c r="A21">
        <v>17</v>
      </c>
      <c r="B21" t="s">
        <v>525</v>
      </c>
      <c r="C21">
        <v>17</v>
      </c>
      <c r="D21">
        <v>116</v>
      </c>
      <c r="X21">
        <v>17</v>
      </c>
      <c r="Y21">
        <v>116</v>
      </c>
      <c r="AU21">
        <v>17</v>
      </c>
      <c r="AV21">
        <v>116</v>
      </c>
      <c r="BG21">
        <v>1</v>
      </c>
      <c r="BH21">
        <v>1</v>
      </c>
      <c r="BJ21">
        <v>1</v>
      </c>
      <c r="BO21">
        <v>1</v>
      </c>
      <c r="BS21">
        <v>1</v>
      </c>
    </row>
    <row r="22" spans="1:76">
      <c r="A22">
        <v>18</v>
      </c>
      <c r="B22" t="s">
        <v>527</v>
      </c>
      <c r="C22">
        <v>18</v>
      </c>
      <c r="D22">
        <v>118</v>
      </c>
      <c r="K22">
        <v>1</v>
      </c>
      <c r="X22">
        <v>18</v>
      </c>
      <c r="Y22">
        <v>118</v>
      </c>
      <c r="Z22">
        <v>1</v>
      </c>
      <c r="AA22">
        <v>1</v>
      </c>
      <c r="AB22">
        <v>1</v>
      </c>
      <c r="AD22">
        <v>1</v>
      </c>
      <c r="AE22">
        <v>1</v>
      </c>
      <c r="AF22">
        <v>1</v>
      </c>
      <c r="AI22">
        <v>1</v>
      </c>
      <c r="AJ22">
        <v>1</v>
      </c>
      <c r="AM22">
        <v>1</v>
      </c>
      <c r="AR22">
        <v>1</v>
      </c>
      <c r="AU22">
        <v>18</v>
      </c>
      <c r="AV22">
        <v>118</v>
      </c>
      <c r="BJ22">
        <v>1</v>
      </c>
    </row>
    <row r="23" spans="1:76">
      <c r="A23">
        <v>19</v>
      </c>
      <c r="B23" t="s">
        <v>538</v>
      </c>
      <c r="C23">
        <v>19</v>
      </c>
      <c r="D23">
        <v>119</v>
      </c>
      <c r="H23">
        <v>1</v>
      </c>
      <c r="I23">
        <v>1</v>
      </c>
      <c r="J23">
        <v>1</v>
      </c>
      <c r="S23">
        <v>1</v>
      </c>
      <c r="U23">
        <v>1</v>
      </c>
      <c r="X23">
        <v>19</v>
      </c>
      <c r="Y23">
        <v>119</v>
      </c>
      <c r="AU23">
        <v>19</v>
      </c>
      <c r="AV23">
        <v>119</v>
      </c>
      <c r="BE23">
        <v>1</v>
      </c>
    </row>
    <row r="24" spans="1:76">
      <c r="A24">
        <v>20</v>
      </c>
      <c r="B24" t="s">
        <v>540</v>
      </c>
      <c r="C24">
        <v>20</v>
      </c>
      <c r="D24">
        <v>120</v>
      </c>
      <c r="X24">
        <v>20</v>
      </c>
      <c r="Y24">
        <v>120</v>
      </c>
      <c r="AU24">
        <v>20</v>
      </c>
      <c r="AV24">
        <v>120</v>
      </c>
      <c r="BJ24">
        <v>1</v>
      </c>
    </row>
    <row r="25" spans="1:76">
      <c r="A25">
        <v>21</v>
      </c>
      <c r="B25" t="s">
        <v>547</v>
      </c>
      <c r="C25">
        <v>21</v>
      </c>
      <c r="D25">
        <v>121</v>
      </c>
      <c r="X25">
        <v>21</v>
      </c>
      <c r="Y25">
        <v>121</v>
      </c>
      <c r="AU25">
        <v>21</v>
      </c>
      <c r="AV25">
        <v>121</v>
      </c>
    </row>
    <row r="26" spans="1:76">
      <c r="A26">
        <v>22</v>
      </c>
      <c r="B26" t="s">
        <v>548</v>
      </c>
      <c r="C26">
        <v>22</v>
      </c>
      <c r="D26">
        <v>122</v>
      </c>
      <c r="X26">
        <v>22</v>
      </c>
      <c r="Y26">
        <v>122</v>
      </c>
      <c r="AU26">
        <v>22</v>
      </c>
      <c r="AV26">
        <v>122</v>
      </c>
      <c r="BC26">
        <v>1</v>
      </c>
      <c r="BJ26">
        <v>1</v>
      </c>
    </row>
    <row r="27" spans="1:76">
      <c r="A27">
        <v>23</v>
      </c>
      <c r="B27" t="s">
        <v>549</v>
      </c>
      <c r="C27">
        <v>23</v>
      </c>
      <c r="D27">
        <v>123</v>
      </c>
      <c r="X27">
        <v>23</v>
      </c>
      <c r="Y27">
        <v>123</v>
      </c>
      <c r="AU27">
        <v>23</v>
      </c>
      <c r="AV27">
        <v>123</v>
      </c>
    </row>
    <row r="28" spans="1:76">
      <c r="A28">
        <v>24</v>
      </c>
      <c r="B28" t="s">
        <v>5077</v>
      </c>
      <c r="C28">
        <v>24</v>
      </c>
      <c r="D28">
        <v>125</v>
      </c>
      <c r="X28">
        <v>24</v>
      </c>
      <c r="Y28">
        <v>125</v>
      </c>
      <c r="AE28">
        <v>1</v>
      </c>
      <c r="AU28">
        <v>24</v>
      </c>
      <c r="AV28">
        <v>125</v>
      </c>
      <c r="BD28">
        <v>1</v>
      </c>
      <c r="BI28">
        <v>1</v>
      </c>
      <c r="BJ28">
        <v>1</v>
      </c>
    </row>
    <row r="29" spans="1:76">
      <c r="A29">
        <v>25</v>
      </c>
      <c r="B29" t="s">
        <v>550</v>
      </c>
      <c r="C29">
        <v>25</v>
      </c>
      <c r="D29">
        <v>126</v>
      </c>
      <c r="X29">
        <v>25</v>
      </c>
      <c r="Y29">
        <v>126</v>
      </c>
      <c r="AU29">
        <v>25</v>
      </c>
      <c r="AV29">
        <v>126</v>
      </c>
      <c r="BD29">
        <v>1</v>
      </c>
      <c r="BE29">
        <v>1</v>
      </c>
      <c r="BF29">
        <v>1</v>
      </c>
      <c r="BH29">
        <v>1</v>
      </c>
      <c r="BI29">
        <v>1</v>
      </c>
      <c r="BO29">
        <v>1</v>
      </c>
    </row>
    <row r="30" spans="1:76">
      <c r="A30">
        <v>26</v>
      </c>
      <c r="B30" t="s">
        <v>552</v>
      </c>
      <c r="C30">
        <v>26</v>
      </c>
      <c r="D30">
        <v>127</v>
      </c>
      <c r="X30">
        <v>26</v>
      </c>
      <c r="Y30">
        <v>127</v>
      </c>
      <c r="AU30">
        <v>26</v>
      </c>
      <c r="AV30">
        <v>127</v>
      </c>
    </row>
    <row r="31" spans="1:76">
      <c r="A31">
        <v>27</v>
      </c>
      <c r="B31" t="s">
        <v>554</v>
      </c>
      <c r="C31">
        <v>27</v>
      </c>
      <c r="D31">
        <v>135</v>
      </c>
      <c r="X31">
        <v>27</v>
      </c>
      <c r="Y31">
        <v>135</v>
      </c>
      <c r="AU31">
        <v>27</v>
      </c>
      <c r="AV31">
        <v>135</v>
      </c>
      <c r="BX31">
        <v>1</v>
      </c>
    </row>
    <row r="32" spans="1:76">
      <c r="A32">
        <v>28</v>
      </c>
      <c r="B32" t="s">
        <v>560</v>
      </c>
      <c r="C32">
        <v>28</v>
      </c>
      <c r="D32">
        <v>136</v>
      </c>
      <c r="X32">
        <v>28</v>
      </c>
      <c r="Y32">
        <v>136</v>
      </c>
      <c r="AU32">
        <v>28</v>
      </c>
      <c r="AV32">
        <v>136</v>
      </c>
      <c r="BF32">
        <v>1</v>
      </c>
      <c r="BJ32">
        <v>1</v>
      </c>
    </row>
    <row r="33" spans="1:62">
      <c r="A33">
        <v>29</v>
      </c>
      <c r="B33" t="s">
        <v>562</v>
      </c>
      <c r="C33">
        <v>29</v>
      </c>
      <c r="D33">
        <v>138</v>
      </c>
      <c r="X33">
        <v>29</v>
      </c>
      <c r="Y33">
        <v>138</v>
      </c>
      <c r="AU33">
        <v>29</v>
      </c>
      <c r="AV33">
        <v>138</v>
      </c>
    </row>
    <row r="34" spans="1:62">
      <c r="A34">
        <v>30</v>
      </c>
      <c r="B34" t="s">
        <v>563</v>
      </c>
      <c r="C34">
        <v>30</v>
      </c>
      <c r="D34">
        <v>139</v>
      </c>
      <c r="X34">
        <v>30</v>
      </c>
      <c r="Y34">
        <v>139</v>
      </c>
      <c r="AU34">
        <v>30</v>
      </c>
      <c r="AV34">
        <v>139</v>
      </c>
    </row>
    <row r="35" spans="1:62">
      <c r="A35">
        <v>31</v>
      </c>
      <c r="B35" t="s">
        <v>564</v>
      </c>
      <c r="C35">
        <v>31</v>
      </c>
      <c r="D35">
        <v>142</v>
      </c>
      <c r="X35">
        <v>31</v>
      </c>
      <c r="Y35">
        <v>142</v>
      </c>
      <c r="AU35">
        <v>31</v>
      </c>
      <c r="AV35">
        <v>142</v>
      </c>
      <c r="BD35">
        <v>1</v>
      </c>
      <c r="BE35">
        <v>1</v>
      </c>
    </row>
    <row r="36" spans="1:62">
      <c r="A36">
        <v>32</v>
      </c>
      <c r="B36" t="s">
        <v>566</v>
      </c>
      <c r="C36">
        <v>32</v>
      </c>
      <c r="D36">
        <v>145</v>
      </c>
      <c r="X36">
        <v>32</v>
      </c>
      <c r="Y36">
        <v>145</v>
      </c>
      <c r="AT36">
        <v>1</v>
      </c>
      <c r="AU36">
        <v>32</v>
      </c>
      <c r="AV36">
        <v>145</v>
      </c>
      <c r="BA36">
        <v>1</v>
      </c>
    </row>
    <row r="37" spans="1:62">
      <c r="A37">
        <v>33</v>
      </c>
      <c r="B37" t="s">
        <v>96</v>
      </c>
      <c r="C37">
        <v>33</v>
      </c>
      <c r="D37">
        <v>146</v>
      </c>
      <c r="F37">
        <v>1</v>
      </c>
      <c r="H37">
        <v>1</v>
      </c>
      <c r="I37">
        <v>1</v>
      </c>
      <c r="J37">
        <v>1</v>
      </c>
      <c r="K37">
        <v>1</v>
      </c>
      <c r="N37">
        <v>1</v>
      </c>
      <c r="P37">
        <v>1</v>
      </c>
      <c r="S37">
        <v>1</v>
      </c>
      <c r="U37">
        <v>1</v>
      </c>
      <c r="W37">
        <v>1</v>
      </c>
      <c r="X37">
        <v>33</v>
      </c>
      <c r="Y37">
        <v>146</v>
      </c>
      <c r="AU37">
        <v>33</v>
      </c>
      <c r="AV37">
        <v>146</v>
      </c>
      <c r="BE37">
        <v>1</v>
      </c>
      <c r="BJ37">
        <v>1</v>
      </c>
    </row>
    <row r="38" spans="1:62">
      <c r="A38">
        <v>34</v>
      </c>
      <c r="B38" t="s">
        <v>567</v>
      </c>
      <c r="C38">
        <v>34</v>
      </c>
      <c r="D38">
        <v>148</v>
      </c>
      <c r="X38">
        <v>34</v>
      </c>
      <c r="Y38">
        <v>148</v>
      </c>
      <c r="AU38">
        <v>34</v>
      </c>
      <c r="AV38">
        <v>148</v>
      </c>
      <c r="BB38">
        <v>1</v>
      </c>
    </row>
    <row r="39" spans="1:62">
      <c r="A39">
        <v>35</v>
      </c>
      <c r="B39" t="s">
        <v>568</v>
      </c>
      <c r="C39">
        <v>35</v>
      </c>
      <c r="D39">
        <v>149</v>
      </c>
      <c r="X39">
        <v>35</v>
      </c>
      <c r="Y39">
        <v>149</v>
      </c>
      <c r="AU39">
        <v>35</v>
      </c>
      <c r="AV39">
        <v>149</v>
      </c>
      <c r="AX39">
        <v>1</v>
      </c>
      <c r="AY39">
        <v>1</v>
      </c>
      <c r="AZ39">
        <v>1</v>
      </c>
    </row>
    <row r="40" spans="1:62">
      <c r="A40">
        <v>36</v>
      </c>
      <c r="B40" t="s">
        <v>569</v>
      </c>
      <c r="C40">
        <v>36</v>
      </c>
      <c r="D40">
        <v>150</v>
      </c>
      <c r="X40">
        <v>36</v>
      </c>
      <c r="Y40">
        <v>150</v>
      </c>
      <c r="AU40">
        <v>36</v>
      </c>
      <c r="AV40">
        <v>150</v>
      </c>
    </row>
    <row r="41" spans="1:62">
      <c r="A41">
        <v>37</v>
      </c>
      <c r="B41" t="s">
        <v>586</v>
      </c>
      <c r="C41">
        <v>37</v>
      </c>
      <c r="D41">
        <v>162</v>
      </c>
      <c r="X41">
        <v>37</v>
      </c>
      <c r="Y41">
        <v>162</v>
      </c>
      <c r="AU41">
        <v>37</v>
      </c>
      <c r="AV41">
        <v>162</v>
      </c>
    </row>
    <row r="42" spans="1:62">
      <c r="A42">
        <v>38</v>
      </c>
      <c r="B42" t="s">
        <v>588</v>
      </c>
      <c r="C42">
        <v>38</v>
      </c>
      <c r="D42">
        <v>163</v>
      </c>
      <c r="X42">
        <v>38</v>
      </c>
      <c r="Y42">
        <v>163</v>
      </c>
      <c r="AU42">
        <v>38</v>
      </c>
      <c r="AV42">
        <v>163</v>
      </c>
    </row>
    <row r="43" spans="1:62">
      <c r="A43">
        <v>39</v>
      </c>
      <c r="B43" t="s">
        <v>589</v>
      </c>
      <c r="C43">
        <v>39</v>
      </c>
      <c r="D43">
        <v>164</v>
      </c>
      <c r="X43">
        <v>39</v>
      </c>
      <c r="Y43">
        <v>164</v>
      </c>
      <c r="AU43">
        <v>39</v>
      </c>
      <c r="AV43">
        <v>164</v>
      </c>
      <c r="BJ43">
        <v>1</v>
      </c>
    </row>
    <row r="44" spans="1:62">
      <c r="A44">
        <v>40</v>
      </c>
      <c r="B44" t="s">
        <v>590</v>
      </c>
      <c r="C44">
        <v>40</v>
      </c>
      <c r="D44">
        <v>165</v>
      </c>
      <c r="X44">
        <v>40</v>
      </c>
      <c r="Y44">
        <v>165</v>
      </c>
      <c r="AU44">
        <v>40</v>
      </c>
      <c r="AV44">
        <v>165</v>
      </c>
      <c r="AW44">
        <v>1</v>
      </c>
    </row>
    <row r="45" spans="1:62">
      <c r="A45">
        <v>41</v>
      </c>
      <c r="B45" t="s">
        <v>591</v>
      </c>
      <c r="C45">
        <v>41</v>
      </c>
      <c r="D45">
        <v>166</v>
      </c>
      <c r="X45">
        <v>41</v>
      </c>
      <c r="Y45">
        <v>166</v>
      </c>
      <c r="AU45">
        <v>41</v>
      </c>
      <c r="AV45">
        <v>166</v>
      </c>
    </row>
    <row r="46" spans="1:62">
      <c r="A46">
        <v>42</v>
      </c>
      <c r="B46" t="s">
        <v>592</v>
      </c>
      <c r="C46">
        <v>42</v>
      </c>
      <c r="D46">
        <v>167</v>
      </c>
      <c r="X46">
        <v>42</v>
      </c>
      <c r="Y46">
        <v>167</v>
      </c>
      <c r="AU46">
        <v>42</v>
      </c>
      <c r="AV46">
        <v>167</v>
      </c>
    </row>
    <row r="47" spans="1:62">
      <c r="A47">
        <v>43</v>
      </c>
      <c r="B47" t="s">
        <v>593</v>
      </c>
      <c r="C47">
        <v>43</v>
      </c>
      <c r="D47">
        <v>169</v>
      </c>
      <c r="X47">
        <v>43</v>
      </c>
      <c r="Y47">
        <v>169</v>
      </c>
      <c r="AU47">
        <v>43</v>
      </c>
      <c r="AV47">
        <v>169</v>
      </c>
    </row>
    <row r="48" spans="1:62">
      <c r="A48">
        <v>44</v>
      </c>
      <c r="B48" t="s">
        <v>594</v>
      </c>
      <c r="C48">
        <v>44</v>
      </c>
      <c r="D48">
        <v>170</v>
      </c>
      <c r="F48">
        <v>1</v>
      </c>
      <c r="G48">
        <v>1</v>
      </c>
      <c r="H48">
        <v>1</v>
      </c>
      <c r="I48">
        <v>1</v>
      </c>
      <c r="J48">
        <v>1</v>
      </c>
      <c r="L48">
        <v>1</v>
      </c>
      <c r="M48">
        <v>1</v>
      </c>
      <c r="Q48">
        <v>1</v>
      </c>
      <c r="R48">
        <v>1</v>
      </c>
      <c r="S48">
        <v>1</v>
      </c>
      <c r="T48">
        <v>1</v>
      </c>
      <c r="U48">
        <v>1</v>
      </c>
      <c r="V48">
        <v>1</v>
      </c>
      <c r="W48">
        <v>1</v>
      </c>
      <c r="X48">
        <v>44</v>
      </c>
      <c r="Y48">
        <v>170</v>
      </c>
      <c r="AU48">
        <v>44</v>
      </c>
      <c r="AV48">
        <v>170</v>
      </c>
      <c r="BC48">
        <v>1</v>
      </c>
      <c r="BE48">
        <v>1</v>
      </c>
      <c r="BJ48">
        <v>1</v>
      </c>
    </row>
    <row r="49" spans="1:73">
      <c r="A49">
        <v>45</v>
      </c>
      <c r="B49" t="s">
        <v>595</v>
      </c>
      <c r="C49">
        <v>45</v>
      </c>
      <c r="D49">
        <v>172</v>
      </c>
      <c r="X49">
        <v>45</v>
      </c>
      <c r="Y49">
        <v>172</v>
      </c>
      <c r="AU49">
        <v>45</v>
      </c>
      <c r="AV49">
        <v>172</v>
      </c>
    </row>
    <row r="50" spans="1:73">
      <c r="A50">
        <v>46</v>
      </c>
      <c r="B50" t="s">
        <v>596</v>
      </c>
      <c r="C50">
        <v>46</v>
      </c>
      <c r="D50">
        <v>175</v>
      </c>
      <c r="X50">
        <v>46</v>
      </c>
      <c r="Y50">
        <v>175</v>
      </c>
      <c r="AU50">
        <v>46</v>
      </c>
      <c r="AV50">
        <v>175</v>
      </c>
    </row>
    <row r="51" spans="1:73">
      <c r="A51">
        <v>47</v>
      </c>
      <c r="B51" t="s">
        <v>597</v>
      </c>
      <c r="C51">
        <v>47</v>
      </c>
      <c r="D51">
        <v>180</v>
      </c>
      <c r="X51">
        <v>47</v>
      </c>
      <c r="Y51">
        <v>180</v>
      </c>
      <c r="AU51">
        <v>47</v>
      </c>
      <c r="AV51">
        <v>180</v>
      </c>
      <c r="AW51">
        <v>1</v>
      </c>
      <c r="BC51">
        <v>1</v>
      </c>
    </row>
    <row r="52" spans="1:73">
      <c r="A52">
        <v>48</v>
      </c>
      <c r="B52" t="s">
        <v>599</v>
      </c>
      <c r="C52">
        <v>48</v>
      </c>
      <c r="D52">
        <v>184</v>
      </c>
      <c r="X52">
        <v>48</v>
      </c>
      <c r="Y52">
        <v>184</v>
      </c>
      <c r="AU52">
        <v>48</v>
      </c>
      <c r="AV52">
        <v>184</v>
      </c>
    </row>
    <row r="53" spans="1:73">
      <c r="A53">
        <v>49</v>
      </c>
      <c r="B53" t="s">
        <v>600</v>
      </c>
      <c r="C53">
        <v>49</v>
      </c>
      <c r="D53">
        <v>185</v>
      </c>
      <c r="X53">
        <v>49</v>
      </c>
      <c r="Y53">
        <v>185</v>
      </c>
      <c r="AU53">
        <v>49</v>
      </c>
      <c r="AV53">
        <v>185</v>
      </c>
    </row>
    <row r="54" spans="1:73">
      <c r="A54">
        <v>50</v>
      </c>
      <c r="B54" t="s">
        <v>5272</v>
      </c>
      <c r="C54">
        <v>50</v>
      </c>
      <c r="D54">
        <v>186</v>
      </c>
      <c r="X54">
        <v>50</v>
      </c>
      <c r="Y54">
        <v>186</v>
      </c>
      <c r="AU54">
        <v>50</v>
      </c>
      <c r="AV54">
        <v>186</v>
      </c>
      <c r="BP54">
        <v>1</v>
      </c>
      <c r="BQ54">
        <v>1</v>
      </c>
      <c r="BR54">
        <v>1</v>
      </c>
      <c r="BT54">
        <v>1</v>
      </c>
      <c r="BU54">
        <v>1</v>
      </c>
    </row>
    <row r="55" spans="1:73">
      <c r="A55">
        <v>51</v>
      </c>
      <c r="B55" t="s">
        <v>601</v>
      </c>
      <c r="C55">
        <v>51</v>
      </c>
      <c r="D55">
        <v>187</v>
      </c>
      <c r="X55">
        <v>51</v>
      </c>
      <c r="Y55">
        <v>187</v>
      </c>
      <c r="AU55">
        <v>51</v>
      </c>
      <c r="AV55">
        <v>187</v>
      </c>
    </row>
    <row r="56" spans="1:73">
      <c r="A56">
        <v>52</v>
      </c>
      <c r="B56" t="s">
        <v>602</v>
      </c>
      <c r="C56">
        <v>52</v>
      </c>
      <c r="D56">
        <v>188</v>
      </c>
      <c r="X56">
        <v>52</v>
      </c>
      <c r="Y56">
        <v>188</v>
      </c>
      <c r="AU56">
        <v>52</v>
      </c>
      <c r="AV56">
        <v>188</v>
      </c>
    </row>
    <row r="57" spans="1:73">
      <c r="A57">
        <v>53</v>
      </c>
      <c r="B57" t="s">
        <v>603</v>
      </c>
      <c r="C57">
        <v>53</v>
      </c>
      <c r="D57">
        <v>189</v>
      </c>
      <c r="X57">
        <v>53</v>
      </c>
      <c r="Y57">
        <v>189</v>
      </c>
      <c r="AU57">
        <v>53</v>
      </c>
      <c r="AV57">
        <v>189</v>
      </c>
    </row>
    <row r="58" spans="1:73">
      <c r="A58">
        <v>54</v>
      </c>
      <c r="B58" t="s">
        <v>604</v>
      </c>
      <c r="C58">
        <v>54</v>
      </c>
      <c r="D58">
        <v>190</v>
      </c>
      <c r="X58">
        <v>54</v>
      </c>
      <c r="Y58">
        <v>190</v>
      </c>
      <c r="AU58">
        <v>54</v>
      </c>
      <c r="AV58">
        <v>190</v>
      </c>
    </row>
    <row r="59" spans="1:73">
      <c r="A59">
        <v>55</v>
      </c>
      <c r="B59" t="s">
        <v>605</v>
      </c>
      <c r="C59">
        <v>55</v>
      </c>
      <c r="D59">
        <v>191</v>
      </c>
      <c r="X59">
        <v>55</v>
      </c>
      <c r="Y59">
        <v>191</v>
      </c>
      <c r="AU59">
        <v>55</v>
      </c>
      <c r="AV59">
        <v>191</v>
      </c>
    </row>
    <row r="60" spans="1:73">
      <c r="A60">
        <v>56</v>
      </c>
      <c r="B60" t="s">
        <v>606</v>
      </c>
      <c r="C60">
        <v>56</v>
      </c>
      <c r="D60">
        <v>193</v>
      </c>
      <c r="X60">
        <v>56</v>
      </c>
      <c r="Y60">
        <v>193</v>
      </c>
      <c r="AU60">
        <v>56</v>
      </c>
      <c r="AV60">
        <v>193</v>
      </c>
    </row>
    <row r="61" spans="1:73">
      <c r="A61">
        <v>57</v>
      </c>
      <c r="B61" t="s">
        <v>607</v>
      </c>
      <c r="C61">
        <v>57</v>
      </c>
      <c r="D61">
        <v>194</v>
      </c>
      <c r="X61">
        <v>57</v>
      </c>
      <c r="Y61">
        <v>194</v>
      </c>
      <c r="AU61">
        <v>57</v>
      </c>
      <c r="AV61">
        <v>194</v>
      </c>
    </row>
    <row r="62" spans="1:73">
      <c r="A62">
        <v>58</v>
      </c>
      <c r="B62" t="s">
        <v>608</v>
      </c>
      <c r="C62">
        <v>58</v>
      </c>
      <c r="D62">
        <v>195</v>
      </c>
      <c r="X62">
        <v>58</v>
      </c>
      <c r="Y62">
        <v>195</v>
      </c>
      <c r="AE62">
        <v>1</v>
      </c>
      <c r="AU62">
        <v>58</v>
      </c>
      <c r="AV62">
        <v>195</v>
      </c>
    </row>
    <row r="63" spans="1:73">
      <c r="A63">
        <v>59</v>
      </c>
      <c r="B63" t="s">
        <v>610</v>
      </c>
      <c r="C63">
        <v>59</v>
      </c>
      <c r="D63">
        <v>196</v>
      </c>
      <c r="X63">
        <v>59</v>
      </c>
      <c r="Y63">
        <v>196</v>
      </c>
      <c r="AU63">
        <v>59</v>
      </c>
      <c r="AV63">
        <v>196</v>
      </c>
    </row>
    <row r="64" spans="1:73">
      <c r="A64">
        <v>60</v>
      </c>
      <c r="B64" t="s">
        <v>611</v>
      </c>
      <c r="C64">
        <v>60</v>
      </c>
      <c r="D64">
        <v>206</v>
      </c>
      <c r="X64">
        <v>60</v>
      </c>
      <c r="Y64">
        <v>206</v>
      </c>
      <c r="AU64">
        <v>60</v>
      </c>
      <c r="AV64">
        <v>206</v>
      </c>
    </row>
    <row r="65" spans="1:48">
      <c r="A65">
        <v>61</v>
      </c>
      <c r="B65" t="s">
        <v>612</v>
      </c>
      <c r="C65">
        <v>61</v>
      </c>
      <c r="D65">
        <v>241</v>
      </c>
      <c r="X65">
        <v>61</v>
      </c>
      <c r="Y65">
        <v>241</v>
      </c>
      <c r="AU65">
        <v>61</v>
      </c>
      <c r="AV65">
        <v>241</v>
      </c>
    </row>
    <row r="66" spans="1:48">
      <c r="A66">
        <v>62</v>
      </c>
      <c r="B66" t="s">
        <v>613</v>
      </c>
      <c r="C66">
        <v>62</v>
      </c>
      <c r="D66">
        <v>243</v>
      </c>
      <c r="X66">
        <v>62</v>
      </c>
      <c r="Y66">
        <v>243</v>
      </c>
      <c r="AU66">
        <v>62</v>
      </c>
      <c r="AV66">
        <v>243</v>
      </c>
    </row>
    <row r="67" spans="1:48">
      <c r="A67">
        <v>63</v>
      </c>
      <c r="B67" t="s">
        <v>629</v>
      </c>
      <c r="C67">
        <v>63</v>
      </c>
      <c r="D67">
        <v>245</v>
      </c>
      <c r="X67">
        <v>63</v>
      </c>
      <c r="Y67">
        <v>245</v>
      </c>
      <c r="AU67">
        <v>63</v>
      </c>
      <c r="AV67">
        <v>245</v>
      </c>
    </row>
    <row r="68" spans="1:48">
      <c r="A68">
        <v>64</v>
      </c>
      <c r="B68" t="s">
        <v>93</v>
      </c>
      <c r="C68">
        <v>64</v>
      </c>
      <c r="D68">
        <v>260</v>
      </c>
      <c r="E68" s="192">
        <v>300</v>
      </c>
      <c r="X68">
        <v>64</v>
      </c>
      <c r="Y68">
        <v>260</v>
      </c>
      <c r="AU68">
        <v>64</v>
      </c>
      <c r="AV68">
        <v>260</v>
      </c>
    </row>
    <row r="69" spans="1:48">
      <c r="A69">
        <v>65</v>
      </c>
      <c r="B69" t="s">
        <v>635</v>
      </c>
      <c r="C69">
        <v>65</v>
      </c>
      <c r="D69">
        <v>278</v>
      </c>
      <c r="X69">
        <v>65</v>
      </c>
      <c r="Y69">
        <v>278</v>
      </c>
      <c r="AU69">
        <v>65</v>
      </c>
      <c r="AV69">
        <v>278</v>
      </c>
    </row>
    <row r="70" spans="1:48">
      <c r="A70">
        <v>66</v>
      </c>
      <c r="B70" t="s">
        <v>636</v>
      </c>
      <c r="C70">
        <v>66</v>
      </c>
      <c r="D70">
        <v>284</v>
      </c>
      <c r="X70">
        <v>66</v>
      </c>
      <c r="Y70">
        <v>284</v>
      </c>
      <c r="AU70">
        <v>66</v>
      </c>
      <c r="AV70">
        <v>284</v>
      </c>
    </row>
    <row r="71" spans="1:48">
      <c r="A71">
        <v>67</v>
      </c>
      <c r="B71" t="s">
        <v>637</v>
      </c>
      <c r="C71">
        <v>67</v>
      </c>
      <c r="D71">
        <v>306</v>
      </c>
      <c r="X71">
        <v>67</v>
      </c>
      <c r="Y71">
        <v>306</v>
      </c>
      <c r="AU71">
        <v>67</v>
      </c>
      <c r="AV71">
        <v>306</v>
      </c>
    </row>
    <row r="72" spans="1:48">
      <c r="A72">
        <v>68</v>
      </c>
      <c r="B72" t="s">
        <v>488</v>
      </c>
      <c r="C72">
        <v>68</v>
      </c>
      <c r="D72">
        <v>315</v>
      </c>
      <c r="X72">
        <v>68</v>
      </c>
      <c r="Y72">
        <v>315</v>
      </c>
      <c r="AU72">
        <v>68</v>
      </c>
      <c r="AV72">
        <v>315</v>
      </c>
    </row>
    <row r="73" spans="1:48">
      <c r="A73">
        <v>69</v>
      </c>
      <c r="B73" t="s">
        <v>638</v>
      </c>
      <c r="C73">
        <v>69</v>
      </c>
      <c r="D73">
        <v>327</v>
      </c>
      <c r="X73">
        <v>69</v>
      </c>
      <c r="Y73">
        <v>327</v>
      </c>
      <c r="AU73">
        <v>69</v>
      </c>
      <c r="AV73">
        <v>327</v>
      </c>
    </row>
    <row r="74" spans="1:48">
      <c r="A74">
        <v>70</v>
      </c>
      <c r="B74" t="s">
        <v>639</v>
      </c>
      <c r="C74">
        <v>70</v>
      </c>
      <c r="D74">
        <v>345</v>
      </c>
      <c r="X74">
        <v>70</v>
      </c>
      <c r="Y74">
        <v>345</v>
      </c>
      <c r="AU74">
        <v>70</v>
      </c>
      <c r="AV74">
        <v>345</v>
      </c>
    </row>
    <row r="75" spans="1:48">
      <c r="A75">
        <v>71</v>
      </c>
      <c r="B75" t="s">
        <v>640</v>
      </c>
      <c r="C75">
        <v>71</v>
      </c>
      <c r="D75">
        <v>388</v>
      </c>
      <c r="X75">
        <v>71</v>
      </c>
      <c r="Y75">
        <v>388</v>
      </c>
      <c r="AU75">
        <v>71</v>
      </c>
      <c r="AV75">
        <v>388</v>
      </c>
    </row>
    <row r="76" spans="1:48">
      <c r="A76">
        <v>72</v>
      </c>
      <c r="B76" t="s">
        <v>1074</v>
      </c>
      <c r="C76">
        <v>72</v>
      </c>
      <c r="D76">
        <v>401</v>
      </c>
      <c r="X76">
        <v>72</v>
      </c>
      <c r="Y76">
        <v>401</v>
      </c>
      <c r="AU76">
        <v>72</v>
      </c>
      <c r="AV76">
        <v>401</v>
      </c>
    </row>
    <row r="77" spans="1:48">
      <c r="A77">
        <v>73</v>
      </c>
      <c r="B77" t="s">
        <v>641</v>
      </c>
      <c r="C77">
        <v>73</v>
      </c>
      <c r="D77">
        <v>404</v>
      </c>
      <c r="X77">
        <v>73</v>
      </c>
      <c r="Y77">
        <v>404</v>
      </c>
      <c r="AU77">
        <v>73</v>
      </c>
      <c r="AV77">
        <v>404</v>
      </c>
    </row>
    <row r="78" spans="1:48">
      <c r="A78">
        <v>74</v>
      </c>
      <c r="B78" t="s">
        <v>1075</v>
      </c>
      <c r="C78">
        <v>74</v>
      </c>
      <c r="D78">
        <v>988</v>
      </c>
      <c r="X78">
        <v>74</v>
      </c>
      <c r="Y78">
        <v>988</v>
      </c>
      <c r="AU78">
        <v>74</v>
      </c>
      <c r="AV78">
        <v>988</v>
      </c>
    </row>
    <row r="79" spans="1:48">
      <c r="A79">
        <v>75</v>
      </c>
      <c r="B79" t="s">
        <v>642</v>
      </c>
      <c r="C79">
        <v>75</v>
      </c>
      <c r="D79">
        <v>990</v>
      </c>
      <c r="X79">
        <v>75</v>
      </c>
      <c r="Y79">
        <v>990</v>
      </c>
      <c r="AU79">
        <v>75</v>
      </c>
      <c r="AV79">
        <v>990</v>
      </c>
    </row>
    <row r="80" spans="1:48">
      <c r="A80">
        <v>76</v>
      </c>
      <c r="B80" t="s">
        <v>649</v>
      </c>
      <c r="C80">
        <v>76</v>
      </c>
      <c r="D80">
        <v>995</v>
      </c>
      <c r="X80">
        <v>76</v>
      </c>
      <c r="Y80">
        <v>995</v>
      </c>
      <c r="AU80">
        <v>76</v>
      </c>
      <c r="AV80">
        <v>995</v>
      </c>
    </row>
    <row r="81" spans="1:48">
      <c r="A81">
        <v>77</v>
      </c>
      <c r="B81" t="s">
        <v>650</v>
      </c>
      <c r="C81">
        <v>77</v>
      </c>
      <c r="D81">
        <v>999</v>
      </c>
      <c r="X81">
        <v>77</v>
      </c>
      <c r="Y81">
        <v>999</v>
      </c>
      <c r="AU81">
        <v>77</v>
      </c>
      <c r="AV81">
        <v>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BC951-01B5-4675-B446-338A2D8E58F5}">
  <sheetPr codeName="גיליון6"/>
  <dimension ref="A1:L28"/>
  <sheetViews>
    <sheetView rightToLeft="1" topLeftCell="A4" workbookViewId="0">
      <selection activeCell="D13" sqref="D13"/>
    </sheetView>
  </sheetViews>
  <sheetFormatPr defaultRowHeight="14.4"/>
  <cols>
    <col min="1" max="1" width="63.77734375" customWidth="1"/>
    <col min="3" max="3" width="11.109375" bestFit="1" customWidth="1"/>
    <col min="4" max="4" width="10.77734375" bestFit="1" customWidth="1"/>
    <col min="6" max="6" width="36.21875" style="1" bestFit="1" customWidth="1"/>
    <col min="7" max="7" width="10.77734375" bestFit="1" customWidth="1"/>
    <col min="9" max="9" width="14.33203125" bestFit="1" customWidth="1"/>
    <col min="10" max="10" width="9.33203125" bestFit="1" customWidth="1"/>
    <col min="11" max="11" width="14.33203125" bestFit="1" customWidth="1"/>
    <col min="12" max="12" width="10.77734375" bestFit="1" customWidth="1"/>
  </cols>
  <sheetData>
    <row r="1" spans="1:12" ht="40.799999999999997">
      <c r="A1" s="375" t="s">
        <v>3696</v>
      </c>
    </row>
    <row r="2" spans="1:12" ht="102">
      <c r="A2" s="375" t="s">
        <v>5072</v>
      </c>
      <c r="F2" s="85" t="s">
        <v>5073</v>
      </c>
    </row>
    <row r="3" spans="1:12">
      <c r="B3">
        <v>10002</v>
      </c>
      <c r="C3" t="s">
        <v>68</v>
      </c>
      <c r="D3" s="2">
        <f>+SACHAR!AA11</f>
        <v>2940.3864564429573</v>
      </c>
      <c r="F3" s="376" t="s">
        <v>5279</v>
      </c>
      <c r="G3" s="2"/>
      <c r="I3" t="s">
        <v>7</v>
      </c>
      <c r="J3">
        <f>+'Netunei Gimlai'!B4</f>
        <v>9</v>
      </c>
      <c r="K3" t="str">
        <f>VLOOKUP($J$3,MISRAD!$A$5:$B$81,2,0)</f>
        <v>הבריאות</v>
      </c>
      <c r="L3">
        <f>VLOOKUP($J$3,MISRAD!$A$5:$D$81,4,0)</f>
        <v>107</v>
      </c>
    </row>
    <row r="4" spans="1:12">
      <c r="A4" s="1" t="s">
        <v>5078</v>
      </c>
      <c r="B4">
        <v>658</v>
      </c>
      <c r="C4" t="s">
        <v>68</v>
      </c>
      <c r="D4" s="192">
        <f>+SACHAR!AL11</f>
        <v>0</v>
      </c>
      <c r="F4" s="372" t="s">
        <v>5281</v>
      </c>
      <c r="G4" s="2">
        <f>+SACHAR!AG11</f>
        <v>0</v>
      </c>
      <c r="I4" t="s">
        <v>5080</v>
      </c>
      <c r="K4" s="2">
        <f>IF(K14=1,0,IF(L3=J9,K9,IF(L3=J10,K10,IF(L3=J11,K11,IF(L3=J12,K12,K8)))))</f>
        <v>714.7</v>
      </c>
    </row>
    <row r="5" spans="1:12">
      <c r="B5">
        <v>678</v>
      </c>
      <c r="C5" t="s">
        <v>1294</v>
      </c>
      <c r="D5" s="192">
        <f>+SACHAR!AO11</f>
        <v>0</v>
      </c>
      <c r="F5" s="1" t="s">
        <v>5786</v>
      </c>
      <c r="G5" s="2">
        <f>+SACHAR!AI11</f>
        <v>0</v>
      </c>
    </row>
    <row r="6" spans="1:12" ht="16.2">
      <c r="B6">
        <v>4624</v>
      </c>
      <c r="C6" t="s">
        <v>5071</v>
      </c>
      <c r="D6" s="320">
        <f>+SACHAR!DA11</f>
        <v>117.61545825771829</v>
      </c>
      <c r="F6" s="372" t="s">
        <v>5280</v>
      </c>
      <c r="G6" s="2">
        <f>+SACHAR!AJ11</f>
        <v>0</v>
      </c>
    </row>
    <row r="7" spans="1:12">
      <c r="D7" s="79">
        <f>SUM(D3:D6)</f>
        <v>3058.0019147006756</v>
      </c>
      <c r="F7" s="372" t="s">
        <v>5282</v>
      </c>
      <c r="G7" s="2">
        <f>+SACHAR!AP11</f>
        <v>0</v>
      </c>
      <c r="I7" s="108" t="s">
        <v>7</v>
      </c>
      <c r="J7" s="108" t="s">
        <v>51</v>
      </c>
      <c r="K7" s="108" t="s">
        <v>5079</v>
      </c>
    </row>
    <row r="8" spans="1:12">
      <c r="F8" s="372" t="s">
        <v>5283</v>
      </c>
      <c r="G8" s="2">
        <f>+SACHAR!AQ11</f>
        <v>0</v>
      </c>
      <c r="I8" t="s">
        <v>5075</v>
      </c>
      <c r="K8" s="2">
        <v>714.7</v>
      </c>
      <c r="L8" s="2">
        <v>714.7</v>
      </c>
    </row>
    <row r="9" spans="1:12">
      <c r="B9">
        <v>4550</v>
      </c>
      <c r="C9" s="5">
        <v>0.22</v>
      </c>
      <c r="D9" s="2">
        <f>+D7*C9</f>
        <v>672.76042123414868</v>
      </c>
      <c r="F9" s="372" t="s">
        <v>5284</v>
      </c>
      <c r="G9" s="2">
        <f>+SACHAR!AR11</f>
        <v>0</v>
      </c>
      <c r="I9" t="s">
        <v>525</v>
      </c>
      <c r="J9">
        <v>116</v>
      </c>
      <c r="K9" s="192">
        <v>714.7</v>
      </c>
      <c r="L9" s="192">
        <v>801</v>
      </c>
    </row>
    <row r="10" spans="1:12">
      <c r="F10" s="372" t="s">
        <v>5285</v>
      </c>
      <c r="G10" s="2">
        <f>+SACHAR!AV11</f>
        <v>0</v>
      </c>
      <c r="I10" t="s">
        <v>550</v>
      </c>
      <c r="J10">
        <v>126</v>
      </c>
      <c r="K10" s="2">
        <v>801</v>
      </c>
      <c r="L10" s="2">
        <v>801</v>
      </c>
    </row>
    <row r="11" spans="1:12">
      <c r="B11" t="s">
        <v>5073</v>
      </c>
      <c r="D11" s="79">
        <f>+G28</f>
        <v>917.40057441020269</v>
      </c>
      <c r="F11" s="372" t="s">
        <v>5286</v>
      </c>
      <c r="G11" s="2">
        <f>+SACHAR!AZ11</f>
        <v>0</v>
      </c>
      <c r="I11" t="s">
        <v>5076</v>
      </c>
      <c r="J11">
        <v>127</v>
      </c>
      <c r="K11" s="2">
        <v>1001.49</v>
      </c>
      <c r="L11" s="2">
        <v>1001.49</v>
      </c>
    </row>
    <row r="12" spans="1:12">
      <c r="F12" s="372" t="s">
        <v>5287</v>
      </c>
      <c r="G12" s="2">
        <f>+SACHAR!BA11</f>
        <v>0</v>
      </c>
      <c r="I12" t="s">
        <v>5077</v>
      </c>
      <c r="J12">
        <v>125</v>
      </c>
      <c r="K12" s="2">
        <v>1001.49</v>
      </c>
      <c r="L12" s="2">
        <v>1001.49</v>
      </c>
    </row>
    <row r="13" spans="1:12">
      <c r="B13" t="s">
        <v>5081</v>
      </c>
      <c r="D13" s="2">
        <f>IF(K14=1,0,MAX(+D9-D11,0,K4-D11))</f>
        <v>0</v>
      </c>
      <c r="F13" s="1" t="s">
        <v>5278</v>
      </c>
      <c r="G13" s="2">
        <f>+SACHAR!BD11</f>
        <v>917.40057441020269</v>
      </c>
    </row>
    <row r="14" spans="1:12">
      <c r="D14" s="319"/>
      <c r="F14" s="372" t="s">
        <v>5288</v>
      </c>
      <c r="G14" s="2">
        <f>+SACHAR!BI11</f>
        <v>0</v>
      </c>
      <c r="I14" s="108" t="s">
        <v>5273</v>
      </c>
      <c r="K14">
        <f>SUM(K15:K20)</f>
        <v>0</v>
      </c>
    </row>
    <row r="15" spans="1:12">
      <c r="F15" s="372" t="s">
        <v>5289</v>
      </c>
      <c r="G15" s="2">
        <f>+SACHAR!BJ11</f>
        <v>0</v>
      </c>
      <c r="I15" t="s">
        <v>5272</v>
      </c>
      <c r="J15">
        <v>186</v>
      </c>
      <c r="K15">
        <f>IF(L3=J15,1,0)</f>
        <v>0</v>
      </c>
    </row>
    <row r="16" spans="1:12">
      <c r="F16" s="372" t="s">
        <v>5290</v>
      </c>
      <c r="G16" s="2">
        <f>+SACHAR!BN11</f>
        <v>0</v>
      </c>
    </row>
    <row r="17" spans="6:7">
      <c r="F17" s="578" t="s">
        <v>5772</v>
      </c>
      <c r="G17" s="2">
        <f>+SACHAR!BU11</f>
        <v>0</v>
      </c>
    </row>
    <row r="18" spans="6:7">
      <c r="F18" s="578"/>
      <c r="G18" s="2"/>
    </row>
    <row r="19" spans="6:7">
      <c r="F19" s="372" t="s">
        <v>5291</v>
      </c>
      <c r="G19" s="2">
        <f>+SACHAR!CB11</f>
        <v>0</v>
      </c>
    </row>
    <row r="20" spans="6:7">
      <c r="F20" s="372" t="s">
        <v>5292</v>
      </c>
      <c r="G20" s="2">
        <f>+SACHAR!CC11</f>
        <v>0</v>
      </c>
    </row>
    <row r="21" spans="6:7">
      <c r="F21" s="372" t="s">
        <v>5293</v>
      </c>
      <c r="G21" s="2"/>
    </row>
    <row r="22" spans="6:7">
      <c r="F22" s="372" t="s">
        <v>5294</v>
      </c>
      <c r="G22" s="2"/>
    </row>
    <row r="23" spans="6:7">
      <c r="F23" s="372" t="s">
        <v>5295</v>
      </c>
      <c r="G23" s="2">
        <f>+SACHAR!CU11</f>
        <v>0</v>
      </c>
    </row>
    <row r="24" spans="6:7">
      <c r="F24" s="372" t="s">
        <v>5296</v>
      </c>
      <c r="G24" s="2">
        <f>+SACHAR!DC11</f>
        <v>0</v>
      </c>
    </row>
    <row r="25" spans="6:7">
      <c r="F25" s="372" t="s">
        <v>5297</v>
      </c>
      <c r="G25" s="2">
        <f>+SACHAR!DE11</f>
        <v>0</v>
      </c>
    </row>
    <row r="26" spans="6:7">
      <c r="F26" s="372" t="s">
        <v>5298</v>
      </c>
      <c r="G26" s="2"/>
    </row>
    <row r="27" spans="6:7">
      <c r="F27" s="1" t="s">
        <v>5299</v>
      </c>
      <c r="G27" s="2">
        <f>+SACHAR!CT11</f>
        <v>0</v>
      </c>
    </row>
    <row r="28" spans="6:7">
      <c r="F28" s="1" t="s">
        <v>5074</v>
      </c>
      <c r="G28" s="2">
        <f>SUM(G3:G27)</f>
        <v>917.40057441020269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0594E-01CB-42BA-A47A-705BA17C05FA}">
  <sheetPr codeName="גיליון5"/>
  <dimension ref="A1:AF305"/>
  <sheetViews>
    <sheetView rightToLeft="1" topLeftCell="A76" workbookViewId="0">
      <pane xSplit="12012" topLeftCell="L1"/>
      <selection activeCell="D80" sqref="D80"/>
      <selection pane="topRight" activeCell="Z6" sqref="Z6"/>
    </sheetView>
  </sheetViews>
  <sheetFormatPr defaultRowHeight="14.4"/>
  <cols>
    <col min="1" max="1" width="14" customWidth="1"/>
    <col min="2" max="2" width="26.33203125" customWidth="1"/>
    <col min="3" max="3" width="11.88671875" bestFit="1" customWidth="1"/>
    <col min="4" max="4" width="17.21875" bestFit="1" customWidth="1"/>
    <col min="5" max="5" width="7.109375" customWidth="1"/>
    <col min="6" max="6" width="3.88671875" bestFit="1" customWidth="1"/>
    <col min="7" max="7" width="11.21875" customWidth="1"/>
    <col min="8" max="8" width="19.88671875" bestFit="1" customWidth="1"/>
    <col min="9" max="9" width="10" style="84" bestFit="1" customWidth="1"/>
    <col min="10" max="10" width="11.77734375" style="2" bestFit="1" customWidth="1"/>
    <col min="11" max="11" width="3.77734375" style="2" customWidth="1"/>
    <col min="12" max="12" width="17" style="2" bestFit="1" customWidth="1"/>
    <col min="13" max="13" width="11.77734375" style="2" customWidth="1"/>
    <col min="14" max="14" width="10.77734375" bestFit="1" customWidth="1"/>
    <col min="15" max="15" width="15.5546875" customWidth="1"/>
    <col min="16" max="16" width="11.77734375" bestFit="1" customWidth="1"/>
    <col min="17" max="17" width="10.77734375" bestFit="1" customWidth="1"/>
    <col min="18" max="19" width="10.77734375" customWidth="1"/>
    <col min="20" max="20" width="10.77734375" bestFit="1" customWidth="1"/>
    <col min="21" max="22" width="10.77734375" customWidth="1"/>
    <col min="27" max="27" width="10.77734375" bestFit="1" customWidth="1"/>
    <col min="28" max="28" width="10.77734375" customWidth="1"/>
    <col min="30" max="31" width="9.5546875" customWidth="1"/>
    <col min="32" max="32" width="10.77734375" bestFit="1" customWidth="1"/>
  </cols>
  <sheetData>
    <row r="1" spans="1:32" ht="17.399999999999999" thickTop="1" thickBot="1">
      <c r="B1" s="322" t="s">
        <v>9</v>
      </c>
      <c r="C1" s="323">
        <f>+SACHAR!B9</f>
        <v>1</v>
      </c>
      <c r="D1" s="324">
        <f>+SACHAR!C9</f>
        <v>1.2008000000000001</v>
      </c>
      <c r="L1" s="325" t="s">
        <v>1400</v>
      </c>
      <c r="M1" s="340">
        <v>1699</v>
      </c>
      <c r="N1" s="320"/>
      <c r="O1" s="325" t="s">
        <v>1430</v>
      </c>
      <c r="P1" s="326">
        <v>5260</v>
      </c>
      <c r="X1" t="s">
        <v>5221</v>
      </c>
    </row>
    <row r="2" spans="1:32" ht="15" thickTop="1">
      <c r="L2" s="321" t="s">
        <v>1395</v>
      </c>
      <c r="M2" s="326">
        <f>MATCH(C1,AE8:AE17,1)</f>
        <v>1</v>
      </c>
      <c r="O2" s="326" t="s">
        <v>1398</v>
      </c>
      <c r="P2" s="326">
        <f>MATCH(C1,Z4:Z15,1)</f>
        <v>2</v>
      </c>
      <c r="X2" t="s">
        <v>5222</v>
      </c>
    </row>
    <row r="3" spans="1:32" ht="16.2">
      <c r="G3" s="319"/>
      <c r="H3" s="79"/>
      <c r="I3" s="209"/>
      <c r="L3" s="321" t="s">
        <v>1393</v>
      </c>
      <c r="M3" s="321">
        <f>VLOOKUP(C1,S4:T237,2,0)</f>
        <v>3710</v>
      </c>
      <c r="N3" s="79"/>
      <c r="O3" s="326" t="s">
        <v>1397</v>
      </c>
      <c r="P3" s="321">
        <f>VLOOKUP(P2,X4:AA15,4,0)</f>
        <v>3710</v>
      </c>
      <c r="Q3" s="79"/>
      <c r="R3" s="529" t="s">
        <v>1402</v>
      </c>
      <c r="S3" s="529" t="s">
        <v>5267</v>
      </c>
      <c r="T3" s="529" t="s">
        <v>1220</v>
      </c>
      <c r="U3" s="529"/>
      <c r="V3" s="529"/>
      <c r="Y3" s="108" t="s">
        <v>1219</v>
      </c>
      <c r="Z3" s="108" t="s">
        <v>49</v>
      </c>
      <c r="AA3" s="108" t="s">
        <v>1220</v>
      </c>
      <c r="AB3" s="108"/>
      <c r="AD3" s="108" t="s">
        <v>1219</v>
      </c>
      <c r="AE3" s="108" t="s">
        <v>49</v>
      </c>
      <c r="AF3" s="108" t="s">
        <v>1393</v>
      </c>
    </row>
    <row r="4" spans="1:32">
      <c r="I4" s="209"/>
      <c r="L4" s="321" t="s">
        <v>1396</v>
      </c>
      <c r="M4" s="321">
        <f>SUM(M8:M30)</f>
        <v>3701.3805744102033</v>
      </c>
      <c r="N4" s="319"/>
      <c r="O4" s="326" t="s">
        <v>1396</v>
      </c>
      <c r="P4" s="321">
        <f>+P29+M6</f>
        <v>3868.5588496079918</v>
      </c>
      <c r="Q4" s="319">
        <f>+P4-P3</f>
        <v>158.55884960799176</v>
      </c>
      <c r="R4" s="527">
        <v>1.2008000000000001</v>
      </c>
      <c r="S4" s="528">
        <v>1</v>
      </c>
      <c r="T4" s="79">
        <f>+AA5</f>
        <v>3710</v>
      </c>
      <c r="U4" s="79"/>
      <c r="V4" s="79"/>
      <c r="X4">
        <v>1</v>
      </c>
      <c r="Y4">
        <v>6.2005999999999997</v>
      </c>
      <c r="Z4" s="108"/>
      <c r="AA4" s="2">
        <v>3585.18</v>
      </c>
      <c r="AB4" s="2"/>
      <c r="AD4" s="120"/>
      <c r="AE4" s="120"/>
      <c r="AF4" s="2"/>
    </row>
    <row r="5" spans="1:32">
      <c r="I5" s="209"/>
      <c r="R5" s="527">
        <v>2.2008000000000001</v>
      </c>
      <c r="S5" s="528">
        <v>2</v>
      </c>
      <c r="T5" s="79">
        <f>+AA5</f>
        <v>3710</v>
      </c>
      <c r="U5" s="79"/>
      <c r="V5" s="79"/>
      <c r="X5">
        <v>2</v>
      </c>
      <c r="Y5">
        <v>4.2007000000000003</v>
      </c>
      <c r="Z5" s="108">
        <v>1</v>
      </c>
      <c r="AA5" s="2">
        <v>3710</v>
      </c>
      <c r="AB5" s="2"/>
    </row>
    <row r="6" spans="1:32" ht="15" thickBot="1">
      <c r="C6">
        <v>1699</v>
      </c>
      <c r="D6">
        <v>5260</v>
      </c>
      <c r="H6" s="108" t="s">
        <v>1399</v>
      </c>
      <c r="I6" s="209"/>
      <c r="L6" s="327" t="s">
        <v>1394</v>
      </c>
      <c r="M6" s="321">
        <f>MAX(0,M3-M4)</f>
        <v>8.6194255897967196</v>
      </c>
      <c r="O6" s="327" t="s">
        <v>10</v>
      </c>
      <c r="P6" s="321">
        <f>MAX(0,P3-P4)</f>
        <v>0</v>
      </c>
      <c r="R6" s="527">
        <v>3.2008000000000001</v>
      </c>
      <c r="S6" s="528">
        <v>3</v>
      </c>
      <c r="T6" s="79">
        <f>+AA5</f>
        <v>3710</v>
      </c>
      <c r="U6" s="79"/>
      <c r="V6" s="79"/>
      <c r="X6">
        <v>3</v>
      </c>
      <c r="Y6">
        <v>4.2008000000000001</v>
      </c>
      <c r="Z6">
        <f>VLOOKUP(Y6,'tosafot '!$B$7:$C$234,2,0)</f>
        <v>4</v>
      </c>
      <c r="AA6" s="2">
        <v>3850</v>
      </c>
      <c r="AB6" s="2"/>
    </row>
    <row r="7" spans="1:32" ht="15.6" thickTop="1" thickBot="1">
      <c r="A7" s="110" t="s">
        <v>783</v>
      </c>
      <c r="B7" s="110" t="s">
        <v>91</v>
      </c>
      <c r="C7" s="110" t="s">
        <v>8</v>
      </c>
      <c r="D7" s="110" t="s">
        <v>1269</v>
      </c>
      <c r="M7"/>
      <c r="R7" s="527">
        <v>4.2008000000000001</v>
      </c>
      <c r="S7" s="528">
        <v>4</v>
      </c>
      <c r="T7" s="79">
        <f>+$AA$6</f>
        <v>3850</v>
      </c>
      <c r="U7" s="79"/>
      <c r="V7" s="79"/>
      <c r="X7">
        <v>4</v>
      </c>
      <c r="Y7">
        <v>7.2011000000000003</v>
      </c>
      <c r="Z7">
        <f>VLOOKUP(Y7,'tosafot '!$B$7:$C$234,2,0)</f>
        <v>43</v>
      </c>
      <c r="AA7" s="2">
        <v>4100</v>
      </c>
      <c r="AB7" s="2"/>
    </row>
    <row r="8" spans="1:32" ht="15.6" thickTop="1" thickBot="1">
      <c r="A8" s="305">
        <v>10002</v>
      </c>
      <c r="B8" s="299" t="s">
        <v>68</v>
      </c>
      <c r="C8" s="299" t="s">
        <v>115</v>
      </c>
      <c r="D8" s="299" t="s">
        <v>115</v>
      </c>
      <c r="F8" s="332">
        <v>1</v>
      </c>
      <c r="G8" s="1">
        <f>IF(F8=" "," ",HLOOKUP(F8,SACHAR!$AA$3:$EE$11,7,0))</f>
        <v>10002</v>
      </c>
      <c r="H8" t="str">
        <f>IF(F8=" "," ",HLOOKUP(F8,SACHAR!$AA$3:$EE$11,8,0))</f>
        <v>שכר משולב</v>
      </c>
      <c r="I8" s="333" t="str">
        <f>IF(F8=" "," ",HLOOKUP(F8,SACHAR!$AA$3:$EE$11,4,0))</f>
        <v xml:space="preserve"> </v>
      </c>
      <c r="J8" s="239">
        <f>IF(F8=" "," ",HLOOKUP(F8,SACHAR!$AA$3:$EE$11,9,0))</f>
        <v>2940.3864564429573</v>
      </c>
      <c r="L8" s="19" t="s">
        <v>1362</v>
      </c>
      <c r="M8" s="2">
        <f>+SACHAR!Y11</f>
        <v>2344.71</v>
      </c>
      <c r="P8" s="79">
        <f>+M8</f>
        <v>2344.71</v>
      </c>
      <c r="R8" s="527">
        <v>5.2008000000000001</v>
      </c>
      <c r="S8" s="528">
        <v>5</v>
      </c>
      <c r="T8" s="79">
        <f t="shared" ref="T8:T45" si="0">+$AA$6</f>
        <v>3850</v>
      </c>
      <c r="U8" s="79"/>
      <c r="V8" s="79"/>
      <c r="X8">
        <v>5</v>
      </c>
      <c r="Y8">
        <v>10.2012</v>
      </c>
      <c r="Z8">
        <f>VLOOKUP(Y8,'tosafot '!$B$7:$C$234,2,0)</f>
        <v>58</v>
      </c>
      <c r="AA8" s="2">
        <v>4300</v>
      </c>
      <c r="AB8" s="2"/>
      <c r="AC8">
        <v>1</v>
      </c>
      <c r="AD8">
        <v>1.2008000000000001</v>
      </c>
      <c r="AE8">
        <f>VLOOKUP(AD8,'tosafot '!$B$7:$C$234,2,0)</f>
        <v>1</v>
      </c>
      <c r="AF8" s="2">
        <v>3850</v>
      </c>
    </row>
    <row r="9" spans="1:32" ht="15.6" thickTop="1" thickBot="1">
      <c r="A9" s="305">
        <v>10001</v>
      </c>
      <c r="B9" s="299" t="s">
        <v>1270</v>
      </c>
      <c r="C9" s="299" t="s">
        <v>115</v>
      </c>
      <c r="D9" s="299" t="s">
        <v>115</v>
      </c>
      <c r="F9" s="332">
        <f>IF(F8=" "," ",IF(G8=99998," ",+F8+1))</f>
        <v>2</v>
      </c>
      <c r="G9" s="1">
        <f>IF(F9=" "," ",HLOOKUP(F9,SACHAR!$AA$3:$EE$11,7,0))</f>
        <v>600</v>
      </c>
      <c r="H9" t="str">
        <f>IF(F9=" "," ",HLOOKUP(F9,SACHAR!$AA$3:$EE$11,8,0))</f>
        <v>תוספת בית חולים</v>
      </c>
      <c r="I9" s="333" t="str">
        <f>IF(F9=" "," ",HLOOKUP(F9,SACHAR!$AA$3:$EE$11,4,0))</f>
        <v xml:space="preserve"> </v>
      </c>
      <c r="J9" s="239">
        <f>IF(F9=" "," ",HLOOKUP(F9,SACHAR!$AA$3:$EE$11,9,0))</f>
        <v>75.260000000000005</v>
      </c>
      <c r="L9" t="str">
        <f>IF(J9=" "," ",IF(G9=99999," ",VLOOKUP(G9,$A$7:$D$304,3,0)))</f>
        <v>כן</v>
      </c>
      <c r="M9" s="2">
        <f t="shared" ref="M9:M17" si="1">IF(G9=99998,0,IF(L9="כן",J9,0))</f>
        <v>75.260000000000005</v>
      </c>
      <c r="O9" t="str">
        <f>IF(J9=" "," ",IF(G9=99998,0,VLOOKUP(G9,$A$7:$D$304,4,0)))</f>
        <v>כן</v>
      </c>
      <c r="P9" s="2">
        <f t="shared" ref="P9:P22" si="2">IF(O9="כן",J9,0)</f>
        <v>75.260000000000005</v>
      </c>
      <c r="R9" s="527">
        <v>6.2008000000000001</v>
      </c>
      <c r="S9" s="528">
        <v>6</v>
      </c>
      <c r="T9" s="79">
        <f t="shared" si="0"/>
        <v>3850</v>
      </c>
      <c r="U9" s="79"/>
      <c r="V9" s="79"/>
      <c r="X9">
        <v>6</v>
      </c>
      <c r="Y9">
        <v>4.2015000000000002</v>
      </c>
      <c r="Z9">
        <f>VLOOKUP(Y9,'tosafot '!$B$7:$C$234,2,0)</f>
        <v>88</v>
      </c>
      <c r="AA9" s="2">
        <v>4650</v>
      </c>
      <c r="AB9" s="2"/>
      <c r="AC9">
        <v>2</v>
      </c>
      <c r="AD9" s="240">
        <v>4.2015000000000002</v>
      </c>
      <c r="AE9">
        <f>VLOOKUP(AD9,'tosafot '!$B$7:$C$234,2,0)</f>
        <v>88</v>
      </c>
      <c r="AF9" s="2">
        <v>4333.43</v>
      </c>
    </row>
    <row r="10" spans="1:32" ht="15.6" thickTop="1" thickBot="1">
      <c r="A10" s="305">
        <v>31</v>
      </c>
      <c r="B10" s="299" t="s">
        <v>69</v>
      </c>
      <c r="C10" s="299" t="s">
        <v>115</v>
      </c>
      <c r="D10" s="299" t="s">
        <v>115</v>
      </c>
      <c r="F10" s="332">
        <f t="shared" ref="F10:F28" si="3">IF(F9=" "," ",IF(G9=99998," ",+F9+1))</f>
        <v>3</v>
      </c>
      <c r="G10" s="1">
        <f>IF(F10=" "," ",HLOOKUP(F10,SACHAR!$AA$3:$EE$11,7,0))</f>
        <v>733</v>
      </c>
      <c r="H10" t="str">
        <f>IF(F10=" "," ",HLOOKUP(F10,SACHAR!$AA$3:$EE$11,8,0))</f>
        <v>ס. ניק כלים</v>
      </c>
      <c r="I10" s="333" t="str">
        <f>IF(F10=" "," ",HLOOKUP(F10,SACHAR!$AA$3:$EE$11,4,0))</f>
        <v xml:space="preserve"> </v>
      </c>
      <c r="J10" s="239">
        <f>IF(F10=" "," ",HLOOKUP(F10,SACHAR!$AA$3:$EE$11,9,0))</f>
        <v>10.26</v>
      </c>
      <c r="L10" t="str">
        <f>IF(J10=" "," ",IF(G10=99999," ",VLOOKUP(G10,$A$7:$D$304,3,0)))</f>
        <v>כן</v>
      </c>
      <c r="M10" s="2">
        <f t="shared" si="1"/>
        <v>10.26</v>
      </c>
      <c r="O10" t="str">
        <f>IF(J10=" "," ",IF(G10=99998,0,VLOOKUP(G10,$A$7:$D$304,4,0)))</f>
        <v>כן</v>
      </c>
      <c r="P10" s="2">
        <f t="shared" si="2"/>
        <v>10.26</v>
      </c>
      <c r="R10" s="527">
        <v>7.2008000000000001</v>
      </c>
      <c r="S10" s="528">
        <v>7</v>
      </c>
      <c r="T10" s="79">
        <f t="shared" si="0"/>
        <v>3850</v>
      </c>
      <c r="U10" s="79"/>
      <c r="V10" s="79"/>
      <c r="X10">
        <v>7</v>
      </c>
      <c r="Y10">
        <v>7.2016</v>
      </c>
      <c r="Z10">
        <f>VLOOKUP(Y10,'tosafot '!$B$7:$C$234,2,0)</f>
        <v>103</v>
      </c>
      <c r="AA10" s="2">
        <v>4825</v>
      </c>
      <c r="AB10" s="2"/>
      <c r="AC10">
        <v>3</v>
      </c>
      <c r="AD10" s="240">
        <v>4.2016</v>
      </c>
      <c r="AE10">
        <f>VLOOKUP(AD10,'tosafot '!$B$7:$C$234,2,0)</f>
        <v>100</v>
      </c>
      <c r="AF10" s="2">
        <v>4433.6499999999996</v>
      </c>
    </row>
    <row r="11" spans="1:32" ht="15.6" thickTop="1" thickBot="1">
      <c r="A11" s="306">
        <v>507</v>
      </c>
      <c r="B11" s="300" t="s">
        <v>1271</v>
      </c>
      <c r="C11" s="299" t="s">
        <v>115</v>
      </c>
      <c r="D11" s="299" t="s">
        <v>115</v>
      </c>
      <c r="F11" s="332">
        <f t="shared" si="3"/>
        <v>4</v>
      </c>
      <c r="G11" s="1">
        <f>IF(F11=" "," ",HLOOKUP(F11,SACHAR!$AA$3:$EE$11,7,0))</f>
        <v>764</v>
      </c>
      <c r="H11" t="str">
        <f>IF(F11=" "," ",HLOOKUP(F11,SACHAR!$AA$3:$EE$11,8,0))</f>
        <v>מנמ"ש</v>
      </c>
      <c r="I11" s="333" t="str">
        <f>IF(F11=" "," ",HLOOKUP(F11,SACHAR!$AA$3:$EE$11,4,0))</f>
        <v xml:space="preserve"> </v>
      </c>
      <c r="J11" s="239">
        <f>IF(F11=" "," ",HLOOKUP(F11,SACHAR!$AA$3:$EE$11,9,0))</f>
        <v>353.75</v>
      </c>
      <c r="L11" t="str">
        <f>IF(J11=" "," ",IF(G11=99999," ",VLOOKUP(G11,$A$7:$D$304,3,0)))</f>
        <v>כן</v>
      </c>
      <c r="M11" s="2">
        <f t="shared" si="1"/>
        <v>353.75</v>
      </c>
      <c r="O11" t="str">
        <f>IF(J11=" "," ",IF(G11=99998,0,VLOOKUP(G11,$A$7:$D$304,4,0)))</f>
        <v>כן</v>
      </c>
      <c r="P11" s="2">
        <f t="shared" si="2"/>
        <v>353.75</v>
      </c>
      <c r="R11" s="527">
        <v>8.2007999999999992</v>
      </c>
      <c r="S11" s="528">
        <v>8</v>
      </c>
      <c r="T11" s="79">
        <f t="shared" si="0"/>
        <v>3850</v>
      </c>
      <c r="U11" s="79"/>
      <c r="V11" s="79"/>
      <c r="X11">
        <v>8</v>
      </c>
      <c r="Y11">
        <v>1.2017</v>
      </c>
      <c r="Z11">
        <f>VLOOKUP(Y11,'tosafot '!$B$7:$C$234,2,0)</f>
        <v>109</v>
      </c>
      <c r="AA11" s="2">
        <v>5000</v>
      </c>
      <c r="AB11" s="2"/>
      <c r="AC11">
        <v>4</v>
      </c>
      <c r="AD11" s="240">
        <v>4.2016999999999998</v>
      </c>
      <c r="AE11">
        <f>VLOOKUP(AD11,'tosafot '!$B$7:$C$234,2,0)</f>
        <v>112</v>
      </c>
      <c r="AF11" s="2">
        <v>4532.93</v>
      </c>
    </row>
    <row r="12" spans="1:32" ht="15.6" thickTop="1" thickBot="1">
      <c r="A12" s="306">
        <v>509</v>
      </c>
      <c r="B12" s="300" t="s">
        <v>785</v>
      </c>
      <c r="C12" s="299" t="s">
        <v>115</v>
      </c>
      <c r="D12" s="299" t="s">
        <v>115</v>
      </c>
      <c r="F12" s="332">
        <f t="shared" si="3"/>
        <v>5</v>
      </c>
      <c r="G12" s="1">
        <f>IF(F12=" "," ",HLOOKUP(F12,SACHAR!$AA$3:$EE$11,7,0))</f>
        <v>798</v>
      </c>
      <c r="H12" t="str">
        <f>IF(F12=" "," ",HLOOKUP(F12,SACHAR!$AA$3:$EE$11,8,0))</f>
        <v>דריכות בית חולים</v>
      </c>
      <c r="I12" s="333">
        <f>IF(F12=" "," ",HLOOKUP(F12,SACHAR!$AA$3:$EE$11,4,0))</f>
        <v>0.3</v>
      </c>
      <c r="J12" s="239">
        <f>IF(F12=" "," ",HLOOKUP(F12,SACHAR!$AA$3:$EE$11,9,0))</f>
        <v>917.40057441020269</v>
      </c>
      <c r="L12" t="str">
        <f>IF(J12=" "," ",IF(G12=99999," ",VLOOKUP(G12,$A$7:$D$304,3,0)))</f>
        <v>כן</v>
      </c>
      <c r="M12" s="2">
        <f t="shared" si="1"/>
        <v>917.40057441020269</v>
      </c>
      <c r="O12" t="str">
        <f>IF(J12=" "," ",IF(G12=99998,0,VLOOKUP(G12,$A$7:$D$304,4,0)))</f>
        <v>כן</v>
      </c>
      <c r="P12" s="2">
        <f t="shared" si="2"/>
        <v>917.40057441020269</v>
      </c>
      <c r="R12" s="527">
        <v>9.2007999999999992</v>
      </c>
      <c r="S12" s="528">
        <v>9</v>
      </c>
      <c r="T12" s="79">
        <f t="shared" si="0"/>
        <v>3850</v>
      </c>
      <c r="U12" s="79"/>
      <c r="V12" s="79"/>
      <c r="X12">
        <v>9</v>
      </c>
      <c r="Y12">
        <v>12.201700000000001</v>
      </c>
      <c r="Z12">
        <f>VLOOKUP(Y12,'tosafot '!$B$7:$C$234,2,0)</f>
        <v>120</v>
      </c>
      <c r="AA12" s="2">
        <v>5300</v>
      </c>
      <c r="AB12" s="2"/>
      <c r="AC12">
        <v>5</v>
      </c>
      <c r="AD12" s="240">
        <v>4.2018000000000004</v>
      </c>
      <c r="AE12">
        <f>VLOOKUP(AD12,'tosafot '!$B$7:$C$234,2,0)</f>
        <v>124</v>
      </c>
      <c r="AF12" s="2">
        <v>4655.95</v>
      </c>
    </row>
    <row r="13" spans="1:32" ht="15.6" thickTop="1" thickBot="1">
      <c r="A13" s="306">
        <v>512</v>
      </c>
      <c r="B13" s="300" t="s">
        <v>1272</v>
      </c>
      <c r="C13" s="299" t="s">
        <v>115</v>
      </c>
      <c r="D13" s="299" t="s">
        <v>115</v>
      </c>
      <c r="F13" s="332">
        <f t="shared" si="3"/>
        <v>6</v>
      </c>
      <c r="G13" s="1">
        <f>IF(F13=" "," ",HLOOKUP(F13,SACHAR!$AA$3:$EE$11,7,0))</f>
        <v>4544</v>
      </c>
      <c r="H13" t="str">
        <f>IF(F13=" "," ",HLOOKUP(F13,SACHAR!$AA$3:$EE$11,8,0))</f>
        <v>הסכם 2001 / תוספת 3.6</v>
      </c>
      <c r="I13" s="333">
        <f>IF(F13=" "," ",HLOOKUP(F13,SACHAR!$AA$3:$EE$11,4,0))</f>
        <v>3.5999999999999997E-2</v>
      </c>
      <c r="J13" s="239">
        <f>IF(F13=" "," ",HLOOKUP(F13,SACHAR!$AA$3:$EE$11,9,0))</f>
        <v>158.55884960799162</v>
      </c>
      <c r="L13" t="str">
        <f>IF(J13=" "," ",IF(G13=99999," ",VLOOKUP(G13,$A$7:$D$304,3,0)))</f>
        <v>לא</v>
      </c>
      <c r="M13" s="2">
        <f t="shared" si="1"/>
        <v>0</v>
      </c>
      <c r="O13" t="str">
        <f>IF(J13=" "," ",IF(G13=99998,0,VLOOKUP(G13,$A$7:$D$304,4,0)))</f>
        <v>כן</v>
      </c>
      <c r="P13" s="2">
        <f t="shared" si="2"/>
        <v>158.55884960799162</v>
      </c>
      <c r="R13" s="527">
        <v>10.200799999999999</v>
      </c>
      <c r="S13" s="528">
        <v>10</v>
      </c>
      <c r="T13" s="79">
        <f t="shared" si="0"/>
        <v>3850</v>
      </c>
      <c r="U13" s="79"/>
      <c r="V13" s="79"/>
      <c r="X13">
        <v>10</v>
      </c>
      <c r="Y13">
        <v>4.2023000000000001</v>
      </c>
      <c r="Z13">
        <f>VLOOKUP(Y13,'tosafot '!$B$7:$C$234,2,0)</f>
        <v>184</v>
      </c>
      <c r="AA13" s="2">
        <v>5571.75</v>
      </c>
      <c r="AB13" s="2"/>
      <c r="AC13">
        <v>6</v>
      </c>
      <c r="AD13" s="240">
        <v>4.2019000000000002</v>
      </c>
      <c r="AE13">
        <f>VLOOKUP(AD13,'tosafot '!$B$7:$C$234,2,0)</f>
        <v>136</v>
      </c>
      <c r="AF13" s="2">
        <v>4816.0200000000004</v>
      </c>
    </row>
    <row r="14" spans="1:32" ht="15.6" thickTop="1" thickBot="1">
      <c r="A14" s="306">
        <v>516</v>
      </c>
      <c r="B14" s="300" t="s">
        <v>1273</v>
      </c>
      <c r="C14" s="299" t="s">
        <v>115</v>
      </c>
      <c r="D14" s="299" t="s">
        <v>115</v>
      </c>
      <c r="F14" s="332">
        <f t="shared" si="3"/>
        <v>7</v>
      </c>
      <c r="G14" s="1">
        <f>IF(F14=" "," ",HLOOKUP(F14,SACHAR!$AA$3:$EE$11,7,0))</f>
        <v>4624</v>
      </c>
      <c r="H14" t="str">
        <f>IF(F14=" "," ",HLOOKUP(F14,SACHAR!$AA$3:$EE$11,8,0))</f>
        <v>הסכם 1999</v>
      </c>
      <c r="I14" s="333">
        <f>IF(F14=" "," ",HLOOKUP(F14,SACHAR!$AA$3:$EE$11,4,0))</f>
        <v>0.04</v>
      </c>
      <c r="J14" s="239">
        <f>IF(F14=" "," ",HLOOKUP(F14,SACHAR!$AA$3:$EE$11,9,0))</f>
        <v>117.61545825771829</v>
      </c>
      <c r="L14" t="str">
        <f>IF(J14=" "," ",IF(G14=99999," ",VLOOKUP(G14,$A$7:$D$304,3,0)))</f>
        <v>לא</v>
      </c>
      <c r="M14" s="2">
        <f t="shared" si="1"/>
        <v>0</v>
      </c>
      <c r="O14" t="str">
        <f>IF(J14=" "," ",IF(G14=99998,0,VLOOKUP(G14,$A$7:$D$304,4,0)))</f>
        <v>לא</v>
      </c>
      <c r="P14" s="2">
        <f t="shared" si="2"/>
        <v>0</v>
      </c>
      <c r="R14" s="527">
        <v>11.200799999999999</v>
      </c>
      <c r="S14" s="528">
        <v>11</v>
      </c>
      <c r="T14" s="79">
        <f t="shared" si="0"/>
        <v>3850</v>
      </c>
      <c r="U14" s="79"/>
      <c r="V14" s="79"/>
      <c r="X14">
        <v>11</v>
      </c>
      <c r="Y14">
        <v>4.2023999999999999</v>
      </c>
      <c r="Z14">
        <f>VLOOKUP(Y14,'tosafot '!$B$7:$C$234,2,0)</f>
        <v>196</v>
      </c>
      <c r="AA14" s="2">
        <v>5880</v>
      </c>
      <c r="AB14" s="2"/>
      <c r="AC14">
        <v>7</v>
      </c>
      <c r="AD14" s="240">
        <v>4.202</v>
      </c>
      <c r="AE14">
        <f>VLOOKUP(AD14,'tosafot '!$B$7:$C$234,2,0)</f>
        <v>148</v>
      </c>
      <c r="AF14" s="2">
        <v>4953.3</v>
      </c>
    </row>
    <row r="15" spans="1:32" ht="15.6" thickTop="1" thickBot="1">
      <c r="A15" s="306">
        <v>520</v>
      </c>
      <c r="B15" s="300" t="s">
        <v>1274</v>
      </c>
      <c r="C15" s="299" t="s">
        <v>115</v>
      </c>
      <c r="D15" s="299" t="s">
        <v>115</v>
      </c>
      <c r="F15" s="332">
        <f t="shared" si="3"/>
        <v>8</v>
      </c>
      <c r="G15" s="1">
        <f>IF(F15=" "," ",HLOOKUP(F15,SACHAR!$AA$3:$EE$11,7,0))</f>
        <v>99998</v>
      </c>
      <c r="H15" t="str">
        <f>IF(F15=" "," ",HLOOKUP(F15,SACHAR!$AA$3:$EE$11,8,0))</f>
        <v>עיגול לחישוב מינימום</v>
      </c>
      <c r="I15" s="333" t="str">
        <f>IF(F15=" "," ",HLOOKUP(F15,SACHAR!$AA$3:$EE$11,4,0))</f>
        <v xml:space="preserve"> </v>
      </c>
      <c r="J15" s="239">
        <f>IF(F15=" "," ",HLOOKUP(F15,SACHAR!$AA$3:$EE$11,9,0))</f>
        <v>1E-3</v>
      </c>
      <c r="L15" t="str">
        <f>IF(J15=" "," ",IF(G15=99999," ",VLOOKUP(G15,$A$7:$D$304,3,0)))</f>
        <v>כן</v>
      </c>
      <c r="M15" s="2">
        <f t="shared" si="1"/>
        <v>0</v>
      </c>
      <c r="O15">
        <f>IF(J15=" "," ",IF(G15=99998,0,VLOOKUP(G15,$A$7:$D$304,4,0)))</f>
        <v>0</v>
      </c>
      <c r="P15" s="2">
        <f t="shared" si="2"/>
        <v>0</v>
      </c>
      <c r="R15" s="527">
        <v>12.200799999999999</v>
      </c>
      <c r="S15" s="528">
        <v>12</v>
      </c>
      <c r="T15" s="79">
        <f t="shared" si="0"/>
        <v>3850</v>
      </c>
      <c r="U15" s="79"/>
      <c r="V15" s="79"/>
      <c r="X15">
        <v>12</v>
      </c>
      <c r="Y15">
        <v>4.2024999999999997</v>
      </c>
      <c r="Z15">
        <f>VLOOKUP(Y15,'tosafot '!$B$7:$C$234,2,0)</f>
        <v>208</v>
      </c>
      <c r="AA15" s="2">
        <v>6247</v>
      </c>
      <c r="AB15" s="2"/>
      <c r="AC15">
        <v>8</v>
      </c>
      <c r="AD15">
        <v>4.2023000000000001</v>
      </c>
      <c r="AE15">
        <f>VLOOKUP(AD15,'tosafot '!$B$7:$C$234,2,0)</f>
        <v>184</v>
      </c>
      <c r="AF15" s="2">
        <v>5571.75</v>
      </c>
    </row>
    <row r="16" spans="1:32" ht="15.6" thickTop="1" thickBot="1">
      <c r="A16" s="306">
        <v>522</v>
      </c>
      <c r="B16" s="300" t="s">
        <v>1275</v>
      </c>
      <c r="C16" s="299" t="s">
        <v>115</v>
      </c>
      <c r="D16" s="299" t="s">
        <v>115</v>
      </c>
      <c r="F16" s="332" t="str">
        <f t="shared" si="3"/>
        <v xml:space="preserve"> </v>
      </c>
      <c r="G16" s="372" t="str">
        <f>IF(F16=" "," ",HLOOKUP(F16,SACHAR!$AA$3:$EE$11,7,0))</f>
        <v xml:space="preserve"> </v>
      </c>
      <c r="H16" t="str">
        <f>IF(F16=" "," ",HLOOKUP(F16,SACHAR!$AA$3:$EE$11,8,0))</f>
        <v xml:space="preserve"> </v>
      </c>
      <c r="I16" s="333" t="str">
        <f>IF(F16=" "," ",HLOOKUP(F16,SACHAR!$AA$3:$EE$11,4,0))</f>
        <v xml:space="preserve"> </v>
      </c>
      <c r="J16" s="239" t="str">
        <f>IF(F16=" "," ",HLOOKUP(F16,SACHAR!$AA$3:$EE$11,9,0))</f>
        <v xml:space="preserve"> </v>
      </c>
      <c r="L16" t="str">
        <f>IF(J16=" "," ",IF(G16=99999," ",VLOOKUP(G16,$A$7:$D$304,3,0)))</f>
        <v xml:space="preserve"> </v>
      </c>
      <c r="M16" s="2">
        <f t="shared" si="1"/>
        <v>0</v>
      </c>
      <c r="O16" t="str">
        <f>IF(J16=" "," ",IF(G16=99998,0,VLOOKUP(G16,$A$7:$D$304,4,0)))</f>
        <v xml:space="preserve"> </v>
      </c>
      <c r="P16" s="2">
        <f t="shared" si="2"/>
        <v>0</v>
      </c>
      <c r="R16" s="527">
        <v>1.2009000000000001</v>
      </c>
      <c r="S16" s="528">
        <v>13</v>
      </c>
      <c r="T16" s="79">
        <f t="shared" si="0"/>
        <v>3850</v>
      </c>
      <c r="U16" s="79"/>
      <c r="V16" s="79"/>
      <c r="X16">
        <v>13</v>
      </c>
      <c r="Y16">
        <v>4.2026000000000003</v>
      </c>
      <c r="Z16">
        <v>220</v>
      </c>
      <c r="AA16" s="2">
        <v>6443.85</v>
      </c>
      <c r="AC16">
        <v>9</v>
      </c>
      <c r="AD16">
        <v>4.2023999999999999</v>
      </c>
      <c r="AE16">
        <f>VLOOKUP(AD16,'tosafot '!$B$7:$C$234,2,0)</f>
        <v>196</v>
      </c>
      <c r="AF16" s="2">
        <v>5880</v>
      </c>
    </row>
    <row r="17" spans="1:32" ht="15.6" thickTop="1" thickBot="1">
      <c r="A17" s="306">
        <v>524</v>
      </c>
      <c r="B17" s="300" t="s">
        <v>1276</v>
      </c>
      <c r="C17" s="299" t="s">
        <v>115</v>
      </c>
      <c r="D17" s="299" t="s">
        <v>115</v>
      </c>
      <c r="F17" s="332" t="str">
        <f t="shared" si="3"/>
        <v xml:space="preserve"> </v>
      </c>
      <c r="G17" s="1" t="str">
        <f>IF(F17=" "," ",HLOOKUP(F17,SACHAR!$AA$3:$EE$11,7,0))</f>
        <v xml:space="preserve"> </v>
      </c>
      <c r="H17" t="str">
        <f>IF(F17=" "," ",HLOOKUP(F17,SACHAR!$AA$3:$EE$11,8,0))</f>
        <v xml:space="preserve"> </v>
      </c>
      <c r="I17" s="333" t="str">
        <f>IF(F17=" "," ",HLOOKUP(F17,SACHAR!$AA$3:$EE$11,4,0))</f>
        <v xml:space="preserve"> </v>
      </c>
      <c r="J17" s="239" t="str">
        <f>IF(F17=" "," ",HLOOKUP(F17,SACHAR!$AA$3:$EE$11,9,0))</f>
        <v xml:space="preserve"> </v>
      </c>
      <c r="L17" t="str">
        <f>IF(J17=" "," ",IF(G17=99999," ",VLOOKUP(G17,$A$7:$D$304,3,0)))</f>
        <v xml:space="preserve"> </v>
      </c>
      <c r="M17" s="2">
        <f t="shared" si="1"/>
        <v>0</v>
      </c>
      <c r="O17" t="str">
        <f>IF(J17=" "," ",IF(G17=99998,0,VLOOKUP(G17,$A$7:$D$304,4,0)))</f>
        <v xml:space="preserve"> </v>
      </c>
      <c r="P17" s="2">
        <f t="shared" si="2"/>
        <v>0</v>
      </c>
      <c r="R17" s="527">
        <v>2.2008999999999999</v>
      </c>
      <c r="S17" s="528">
        <v>14</v>
      </c>
      <c r="T17" s="79">
        <f t="shared" si="0"/>
        <v>3850</v>
      </c>
      <c r="U17" s="79"/>
      <c r="V17" s="79"/>
      <c r="AC17">
        <v>10</v>
      </c>
      <c r="AD17">
        <v>4.2024999999999997</v>
      </c>
      <c r="AE17">
        <f>VLOOKUP(AD17,'tosafot '!$B$7:$C$234,2,0)</f>
        <v>208</v>
      </c>
      <c r="AF17" s="2">
        <v>6247</v>
      </c>
    </row>
    <row r="18" spans="1:32" ht="15.6" thickTop="1" thickBot="1">
      <c r="A18" s="306">
        <v>528</v>
      </c>
      <c r="B18" s="300" t="s">
        <v>1277</v>
      </c>
      <c r="C18" s="299" t="s">
        <v>115</v>
      </c>
      <c r="D18" s="299" t="s">
        <v>115</v>
      </c>
      <c r="F18" s="332" t="str">
        <f t="shared" si="3"/>
        <v xml:space="preserve"> </v>
      </c>
      <c r="G18" s="1" t="str">
        <f>IF(F18=" "," ",HLOOKUP(F18,SACHAR!$AA$3:$EE$11,7,0))</f>
        <v xml:space="preserve"> </v>
      </c>
      <c r="H18" t="str">
        <f>IF(F18=" "," ",HLOOKUP(F18,SACHAR!$AA$3:$EE$11,8,0))</f>
        <v xml:space="preserve"> </v>
      </c>
      <c r="I18" s="333" t="str">
        <f>IF(F18=" "," ",HLOOKUP(F18,SACHAR!$AA$3:$EE$11,4,0))</f>
        <v xml:space="preserve"> </v>
      </c>
      <c r="J18" s="239" t="str">
        <f>IF(F18=" "," ",HLOOKUP(F18,SACHAR!$AA$3:$EE$11,9,0))</f>
        <v xml:space="preserve"> </v>
      </c>
      <c r="L18" t="str">
        <f>IF(J18=" "," ",IF(G18=99999," ",VLOOKUP(G18,$A$7:$D$304,3,0)))</f>
        <v xml:space="preserve"> </v>
      </c>
      <c r="M18" s="2">
        <f>IF(G18=99998,0,IF(L18="כן",J18,0))</f>
        <v>0</v>
      </c>
      <c r="O18" t="str">
        <f>IF(J18=" "," ",IF(G18=99998,0,VLOOKUP(G18,$A$7:$D$304,4,0)))</f>
        <v xml:space="preserve"> </v>
      </c>
      <c r="P18" s="2">
        <f t="shared" si="2"/>
        <v>0</v>
      </c>
      <c r="R18" s="527">
        <v>3.2008999999999999</v>
      </c>
      <c r="S18" s="528">
        <v>15</v>
      </c>
      <c r="T18" s="79">
        <f t="shared" si="0"/>
        <v>3850</v>
      </c>
      <c r="U18" s="79"/>
      <c r="V18" s="79"/>
    </row>
    <row r="19" spans="1:32" ht="15.6" thickTop="1" thickBot="1">
      <c r="A19" s="306">
        <v>529</v>
      </c>
      <c r="B19" s="300" t="s">
        <v>1278</v>
      </c>
      <c r="C19" s="299" t="s">
        <v>115</v>
      </c>
      <c r="D19" s="299" t="s">
        <v>115</v>
      </c>
      <c r="F19" s="332" t="str">
        <f t="shared" si="3"/>
        <v xml:space="preserve"> </v>
      </c>
      <c r="G19" s="1" t="str">
        <f>IF(F19=" "," ",HLOOKUP(F19,SACHAR!$AA$3:$EE$11,7,0))</f>
        <v xml:space="preserve"> </v>
      </c>
      <c r="H19" t="str">
        <f>IF(F19=" "," ",HLOOKUP(F19,SACHAR!$AA$3:$EE$11,8,0))</f>
        <v xml:space="preserve"> </v>
      </c>
      <c r="I19" s="333" t="str">
        <f>IF(F19=" "," ",HLOOKUP(F19,SACHAR!$AA$3:$EE$11,4,0))</f>
        <v xml:space="preserve"> </v>
      </c>
      <c r="J19" s="239" t="str">
        <f>IF(F19=" "," ",HLOOKUP(F19,SACHAR!$AA$3:$EE$11,9,0))</f>
        <v xml:space="preserve"> </v>
      </c>
      <c r="L19" t="str">
        <f>IF(J19=" "," ",IF(G19=99999," ",VLOOKUP(G19,$A$7:$D$304,3,0)))</f>
        <v xml:space="preserve"> </v>
      </c>
      <c r="M19" s="2">
        <f t="shared" ref="M19:M28" si="4">IF(G19=99998,0,IF(L19="כן",J19,0))</f>
        <v>0</v>
      </c>
      <c r="O19" t="str">
        <f>IF(J19=" "," ",IF(G19=99998,0,VLOOKUP(G19,$A$7:$D$304,4,0)))</f>
        <v xml:space="preserve"> </v>
      </c>
      <c r="P19" s="2">
        <f t="shared" si="2"/>
        <v>0</v>
      </c>
      <c r="R19" s="527">
        <v>4.2008999999999999</v>
      </c>
      <c r="S19" s="528">
        <v>16</v>
      </c>
      <c r="T19" s="79">
        <f t="shared" si="0"/>
        <v>3850</v>
      </c>
      <c r="U19" s="79"/>
      <c r="V19" s="79"/>
    </row>
    <row r="20" spans="1:32" ht="15.6" thickTop="1" thickBot="1">
      <c r="A20" s="306">
        <v>534</v>
      </c>
      <c r="B20" s="300" t="s">
        <v>787</v>
      </c>
      <c r="C20" s="299" t="s">
        <v>115</v>
      </c>
      <c r="D20" s="299" t="s">
        <v>115</v>
      </c>
      <c r="F20" s="332" t="str">
        <f t="shared" si="3"/>
        <v xml:space="preserve"> </v>
      </c>
      <c r="G20" s="1" t="str">
        <f>IF(F20=" "," ",HLOOKUP(F20,SACHAR!$AA$3:$EE$11,7,0))</f>
        <v xml:space="preserve"> </v>
      </c>
      <c r="H20" t="str">
        <f>IF(F20=" "," ",HLOOKUP(F20,SACHAR!$AA$3:$EE$11,8,0))</f>
        <v xml:space="preserve"> </v>
      </c>
      <c r="I20" s="333" t="str">
        <f>IF(F20=" "," ",HLOOKUP(F20,SACHAR!$AA$3:$EE$11,4,0))</f>
        <v xml:space="preserve"> </v>
      </c>
      <c r="J20" s="239" t="str">
        <f>IF(F20=" "," ",HLOOKUP(F20,SACHAR!$AA$3:$EE$11,9,0))</f>
        <v xml:space="preserve"> </v>
      </c>
      <c r="L20" t="str">
        <f>IF(J20=" "," ",IF(G20=99999," ",VLOOKUP(G20,$A$7:$D$304,3,0)))</f>
        <v xml:space="preserve"> </v>
      </c>
      <c r="M20" s="2">
        <f t="shared" si="4"/>
        <v>0</v>
      </c>
      <c r="O20" t="str">
        <f>IF(J20=" "," ",IF(G20=99998,0,VLOOKUP(G20,$A$7:$D$304,4,0)))</f>
        <v xml:space="preserve"> </v>
      </c>
      <c r="P20" s="2">
        <f t="shared" si="2"/>
        <v>0</v>
      </c>
      <c r="R20" s="527">
        <v>5.2008999999999999</v>
      </c>
      <c r="S20" s="528">
        <v>17</v>
      </c>
      <c r="T20" s="79">
        <f t="shared" si="0"/>
        <v>3850</v>
      </c>
      <c r="U20" s="79"/>
      <c r="V20" s="79"/>
    </row>
    <row r="21" spans="1:32" ht="15.6" thickTop="1" thickBot="1">
      <c r="A21" s="306">
        <v>549</v>
      </c>
      <c r="B21" s="300" t="s">
        <v>789</v>
      </c>
      <c r="C21" s="299" t="s">
        <v>115</v>
      </c>
      <c r="D21" s="299" t="s">
        <v>115</v>
      </c>
      <c r="F21" s="332" t="str">
        <f t="shared" si="3"/>
        <v xml:space="preserve"> </v>
      </c>
      <c r="G21" s="1" t="str">
        <f>IF(F21=" "," ",HLOOKUP(F21,SACHAR!$AA$3:$EE$11,7,0))</f>
        <v xml:space="preserve"> </v>
      </c>
      <c r="H21" t="str">
        <f>IF(F21=" "," ",HLOOKUP(F21,SACHAR!$AA$3:$EE$11,8,0))</f>
        <v xml:space="preserve"> </v>
      </c>
      <c r="I21" s="333" t="str">
        <f>IF(F21=" "," ",HLOOKUP(F21,SACHAR!$AA$3:$EE$11,4,0))</f>
        <v xml:space="preserve"> </v>
      </c>
      <c r="J21" s="239" t="str">
        <f>IF(F21=" "," ",HLOOKUP(F21,SACHAR!$AA$3:$EE$11,9,0))</f>
        <v xml:space="preserve"> </v>
      </c>
      <c r="L21" t="str">
        <f>IF(J21=" "," ",IF(G21=99999," ",VLOOKUP(G21,$A$7:$D$304,3,0)))</f>
        <v xml:space="preserve"> </v>
      </c>
      <c r="M21" s="2">
        <f t="shared" si="4"/>
        <v>0</v>
      </c>
      <c r="O21" t="str">
        <f>IF(J21=" "," ",IF(G21=99998,0,VLOOKUP(G21,$A$7:$D$304,4,0)))</f>
        <v xml:space="preserve"> </v>
      </c>
      <c r="P21" s="2">
        <f t="shared" si="2"/>
        <v>0</v>
      </c>
      <c r="R21" s="527">
        <v>6.2008999999999999</v>
      </c>
      <c r="S21" s="528">
        <v>18</v>
      </c>
      <c r="T21" s="79">
        <f t="shared" si="0"/>
        <v>3850</v>
      </c>
      <c r="U21" s="79"/>
      <c r="V21" s="79"/>
    </row>
    <row r="22" spans="1:32" ht="15.6" thickTop="1" thickBot="1">
      <c r="A22" s="306">
        <v>559</v>
      </c>
      <c r="B22" s="300" t="s">
        <v>791</v>
      </c>
      <c r="C22" s="299" t="s">
        <v>115</v>
      </c>
      <c r="D22" s="299" t="s">
        <v>115</v>
      </c>
      <c r="F22" s="332" t="str">
        <f>IF(F21=" "," ",IF(G21=99998," ",+F21+1))</f>
        <v xml:space="preserve"> </v>
      </c>
      <c r="G22" s="1" t="str">
        <f>IF(F22=" "," ",HLOOKUP(F22,SACHAR!$AA$3:$EE$11,7,0))</f>
        <v xml:space="preserve"> </v>
      </c>
      <c r="H22" t="str">
        <f>IF(F22=" "," ",HLOOKUP(F22,SACHAR!$AA$3:$EE$11,8,0))</f>
        <v xml:space="preserve"> </v>
      </c>
      <c r="I22" s="333" t="str">
        <f>IF(F22=" "," ",HLOOKUP(F22,SACHAR!$AA$3:$EE$11,4,0))</f>
        <v xml:space="preserve"> </v>
      </c>
      <c r="J22" s="239" t="str">
        <f>IF(F22=" "," ",HLOOKUP(F22,SACHAR!$AA$3:$EE$11,9,0))</f>
        <v xml:space="preserve"> </v>
      </c>
      <c r="L22" t="str">
        <f>IF(J22=" "," ",IF(G22=99999," ",VLOOKUP(G22,$A$7:$D$304,3,0)))</f>
        <v xml:space="preserve"> </v>
      </c>
      <c r="M22" s="2">
        <f t="shared" si="4"/>
        <v>0</v>
      </c>
      <c r="O22" t="str">
        <f>IF(J22=" "," ",IF(G22=99998,0,VLOOKUP(G22,$A$7:$D$304,4,0)))</f>
        <v xml:space="preserve"> </v>
      </c>
      <c r="P22" s="2">
        <f t="shared" si="2"/>
        <v>0</v>
      </c>
      <c r="R22" s="527">
        <v>7.2008999999999999</v>
      </c>
      <c r="S22" s="528">
        <v>19</v>
      </c>
      <c r="T22" s="79">
        <f t="shared" si="0"/>
        <v>3850</v>
      </c>
      <c r="U22" s="79"/>
      <c r="V22" s="79"/>
    </row>
    <row r="23" spans="1:32" ht="15.6" thickTop="1" thickBot="1">
      <c r="A23" s="306">
        <v>569</v>
      </c>
      <c r="B23" s="300" t="s">
        <v>793</v>
      </c>
      <c r="C23" s="299" t="s">
        <v>115</v>
      </c>
      <c r="D23" s="299" t="s">
        <v>115</v>
      </c>
      <c r="F23" s="332" t="str">
        <f t="shared" si="3"/>
        <v xml:space="preserve"> </v>
      </c>
      <c r="G23" s="1" t="str">
        <f>IF(F23=" "," ",HLOOKUP(F23,SACHAR!$AA$3:$EE$11,7,0))</f>
        <v xml:space="preserve"> </v>
      </c>
      <c r="H23" t="str">
        <f>IF(F23=" "," ",HLOOKUP(F23,SACHAR!$AA$3:$EE$11,8,0))</f>
        <v xml:space="preserve"> </v>
      </c>
      <c r="I23" s="333" t="str">
        <f>IF(F23=" "," ",HLOOKUP(F23,SACHAR!$AA$3:$EE$11,4,0))</f>
        <v xml:space="preserve"> </v>
      </c>
      <c r="J23" s="239" t="str">
        <f>IF(F23=" "," ",HLOOKUP(F23,SACHAR!$AA$3:$EE$11,9,0))</f>
        <v xml:space="preserve"> </v>
      </c>
      <c r="L23" t="str">
        <f>IF(J23=" "," ",IF(G23=99999," ",VLOOKUP(G23,$A$7:$D$304,3,0)))</f>
        <v xml:space="preserve"> </v>
      </c>
      <c r="M23" s="2">
        <f t="shared" si="4"/>
        <v>0</v>
      </c>
      <c r="O23" t="str">
        <f>IF(J23=" "," ",IF(G23=99998,0,VLOOKUP(G23,$A$7:$D$304,4,0)))</f>
        <v xml:space="preserve"> </v>
      </c>
      <c r="P23" s="2">
        <f t="shared" ref="P23:P28" si="5">IF(O23="כן",J23,0)</f>
        <v>0</v>
      </c>
      <c r="R23" s="527">
        <v>8.2009000000000007</v>
      </c>
      <c r="S23" s="528">
        <v>20</v>
      </c>
      <c r="T23" s="79">
        <f t="shared" si="0"/>
        <v>3850</v>
      </c>
      <c r="U23" s="79"/>
      <c r="V23" s="79"/>
    </row>
    <row r="24" spans="1:32" ht="15.6" thickTop="1" thickBot="1">
      <c r="A24" s="306">
        <v>570</v>
      </c>
      <c r="B24" s="300" t="s">
        <v>795</v>
      </c>
      <c r="C24" s="299" t="s">
        <v>115</v>
      </c>
      <c r="D24" s="299" t="s">
        <v>115</v>
      </c>
      <c r="F24" s="332" t="str">
        <f t="shared" si="3"/>
        <v xml:space="preserve"> </v>
      </c>
      <c r="G24" s="1" t="str">
        <f>IF(F24=" "," ",HLOOKUP(F24,SACHAR!$AA$3:$EE$11,7,0))</f>
        <v xml:space="preserve"> </v>
      </c>
      <c r="H24" t="str">
        <f>IF(F24=" "," ",HLOOKUP(F24,SACHAR!$AA$3:$EE$11,8,0))</f>
        <v xml:space="preserve"> </v>
      </c>
      <c r="I24" s="333" t="str">
        <f>IF(F24=" "," ",HLOOKUP(F24,SACHAR!$AA$3:$EE$11,4,0))</f>
        <v xml:space="preserve"> </v>
      </c>
      <c r="J24" s="239" t="str">
        <f>IF(F24=" "," ",HLOOKUP(F24,SACHAR!$AA$3:$EE$11,9,0))</f>
        <v xml:space="preserve"> </v>
      </c>
      <c r="L24" t="str">
        <f>IF(J24=" "," ",IF(G24=99999," ",VLOOKUP(G24,$A$7:$D$304,3,0)))</f>
        <v xml:space="preserve"> </v>
      </c>
      <c r="M24" s="2">
        <f t="shared" si="4"/>
        <v>0</v>
      </c>
      <c r="O24" t="str">
        <f>IF(J24=" "," ",IF(G24=99998,0,VLOOKUP(G24,$A$7:$D$304,4,0)))</f>
        <v xml:space="preserve"> </v>
      </c>
      <c r="P24" s="2">
        <f t="shared" si="5"/>
        <v>0</v>
      </c>
      <c r="R24" s="527">
        <v>9.2009000000000007</v>
      </c>
      <c r="S24" s="528">
        <v>21</v>
      </c>
      <c r="T24" s="79">
        <f t="shared" si="0"/>
        <v>3850</v>
      </c>
      <c r="U24" s="79"/>
      <c r="V24" s="79"/>
    </row>
    <row r="25" spans="1:32" ht="15.6" thickTop="1" thickBot="1">
      <c r="A25" s="306">
        <v>571</v>
      </c>
      <c r="B25" s="300" t="s">
        <v>1279</v>
      </c>
      <c r="C25" s="299" t="s">
        <v>115</v>
      </c>
      <c r="D25" s="299" t="s">
        <v>115</v>
      </c>
      <c r="F25" s="332" t="str">
        <f t="shared" si="3"/>
        <v xml:space="preserve"> </v>
      </c>
      <c r="G25" s="1" t="str">
        <f>IF(F25=" "," ",HLOOKUP(F25,SACHAR!$AA$3:$EE$11,7,0))</f>
        <v xml:space="preserve"> </v>
      </c>
      <c r="H25" t="str">
        <f>IF(F25=" "," ",HLOOKUP(F25,SACHAR!$AA$3:$EE$11,8,0))</f>
        <v xml:space="preserve"> </v>
      </c>
      <c r="I25" s="333" t="str">
        <f>IF(F25=" "," ",HLOOKUP(F25,SACHAR!$AA$3:$EE$11,4,0))</f>
        <v xml:space="preserve"> </v>
      </c>
      <c r="J25" s="239" t="str">
        <f>IF(F25=" "," ",HLOOKUP(F25,SACHAR!$AA$3:$EE$11,9,0))</f>
        <v xml:space="preserve"> </v>
      </c>
      <c r="L25" t="str">
        <f>IF(J25=" "," ",IF(G25=99999," ",VLOOKUP(G25,$A$7:$D$304,3,0)))</f>
        <v xml:space="preserve"> </v>
      </c>
      <c r="M25" s="2">
        <f t="shared" si="4"/>
        <v>0</v>
      </c>
      <c r="O25" t="str">
        <f>IF(J25=" "," ",IF(G25=99998,0,VLOOKUP(G25,$A$7:$D$304,4,0)))</f>
        <v xml:space="preserve"> </v>
      </c>
      <c r="P25" s="2">
        <f t="shared" si="5"/>
        <v>0</v>
      </c>
      <c r="R25" s="527">
        <v>10.200900000000001</v>
      </c>
      <c r="S25" s="528">
        <v>22</v>
      </c>
      <c r="T25" s="79">
        <f t="shared" si="0"/>
        <v>3850</v>
      </c>
      <c r="U25" s="79"/>
      <c r="V25" s="79"/>
    </row>
    <row r="26" spans="1:32" ht="15.6" thickTop="1" thickBot="1">
      <c r="A26" s="306">
        <v>576</v>
      </c>
      <c r="B26" s="300" t="s">
        <v>1280</v>
      </c>
      <c r="C26" s="299" t="s">
        <v>115</v>
      </c>
      <c r="D26" s="299" t="s">
        <v>115</v>
      </c>
      <c r="F26" s="332" t="str">
        <f t="shared" si="3"/>
        <v xml:space="preserve"> </v>
      </c>
      <c r="G26" s="1" t="str">
        <f>IF(F26=" "," ",HLOOKUP(F26,SACHAR!$AA$3:$EE$11,7,0))</f>
        <v xml:space="preserve"> </v>
      </c>
      <c r="H26" t="str">
        <f>IF(F26=" "," ",HLOOKUP(F26,SACHAR!$AA$3:$EE$11,8,0))</f>
        <v xml:space="preserve"> </v>
      </c>
      <c r="I26" s="333" t="str">
        <f>IF(F26=" "," ",HLOOKUP(F26,SACHAR!$AA$3:$EE$11,4,0))</f>
        <v xml:space="preserve"> </v>
      </c>
      <c r="J26" s="239" t="str">
        <f>IF(F26=" "," ",HLOOKUP(F26,SACHAR!$AA$3:$EE$11,9,0))</f>
        <v xml:space="preserve"> </v>
      </c>
      <c r="L26" t="str">
        <f>IF(J26=" "," ",IF(G26=99999," ",VLOOKUP(G26,$A$7:$D$304,3,0)))</f>
        <v xml:space="preserve"> </v>
      </c>
      <c r="M26" s="2">
        <f t="shared" si="4"/>
        <v>0</v>
      </c>
      <c r="O26" t="str">
        <f>IF(J26=" "," ",IF(G26=99998,0,VLOOKUP(G26,$A$7:$D$304,4,0)))</f>
        <v xml:space="preserve"> </v>
      </c>
      <c r="P26" s="2">
        <f t="shared" si="5"/>
        <v>0</v>
      </c>
      <c r="R26" s="527">
        <v>11.200900000000001</v>
      </c>
      <c r="S26" s="528">
        <v>23</v>
      </c>
      <c r="T26" s="79">
        <f t="shared" si="0"/>
        <v>3850</v>
      </c>
      <c r="U26" s="79"/>
      <c r="V26" s="79"/>
    </row>
    <row r="27" spans="1:32" ht="15.6" thickTop="1" thickBot="1">
      <c r="A27" s="306">
        <v>578</v>
      </c>
      <c r="B27" s="300" t="s">
        <v>797</v>
      </c>
      <c r="C27" s="299" t="s">
        <v>115</v>
      </c>
      <c r="D27" s="299" t="s">
        <v>115</v>
      </c>
      <c r="F27" s="332" t="str">
        <f t="shared" si="3"/>
        <v xml:space="preserve"> </v>
      </c>
      <c r="G27" s="1" t="str">
        <f>IF(F27=" "," ",HLOOKUP(F27,SACHAR!$AA$3:$EE$11,7,0))</f>
        <v xml:space="preserve"> </v>
      </c>
      <c r="H27" t="str">
        <f>IF(F27=" "," ",HLOOKUP(F27,SACHAR!$AA$3:$EE$11,8,0))</f>
        <v xml:space="preserve"> </v>
      </c>
      <c r="I27" s="333" t="str">
        <f>IF(F27=" "," ",HLOOKUP(F27,SACHAR!$AA$3:$EE$11,4,0))</f>
        <v xml:space="preserve"> </v>
      </c>
      <c r="J27" s="239" t="str">
        <f>IF(F27=" "," ",HLOOKUP(F27,SACHAR!$AA$3:$EE$11,9,0))</f>
        <v xml:space="preserve"> </v>
      </c>
      <c r="L27" t="str">
        <f>IF(J27=" "," ",IF(G27=99999," ",VLOOKUP(G27,$A$7:$D$304,3,0)))</f>
        <v xml:space="preserve"> </v>
      </c>
      <c r="M27" s="2">
        <f t="shared" si="4"/>
        <v>0</v>
      </c>
      <c r="O27" t="str">
        <f>IF(J27=" "," ",IF(G27=99998,0,VLOOKUP(G27,$A$7:$D$304,4,0)))</f>
        <v xml:space="preserve"> </v>
      </c>
      <c r="P27" s="2">
        <f t="shared" si="5"/>
        <v>0</v>
      </c>
      <c r="R27" s="527">
        <v>12.200900000000001</v>
      </c>
      <c r="S27" s="528">
        <v>24</v>
      </c>
      <c r="T27" s="79">
        <f t="shared" si="0"/>
        <v>3850</v>
      </c>
      <c r="U27" s="79"/>
      <c r="V27" s="79"/>
    </row>
    <row r="28" spans="1:32" ht="15.6" thickTop="1" thickBot="1">
      <c r="A28" s="306">
        <v>585</v>
      </c>
      <c r="B28" s="300" t="s">
        <v>799</v>
      </c>
      <c r="C28" s="299" t="s">
        <v>115</v>
      </c>
      <c r="D28" s="299" t="s">
        <v>115</v>
      </c>
      <c r="F28" s="332" t="str">
        <f t="shared" si="3"/>
        <v xml:space="preserve"> </v>
      </c>
      <c r="G28" s="1" t="str">
        <f>IF(F28=" "," ",HLOOKUP(F28,SACHAR!$AA$3:$EE$11,7,0))</f>
        <v xml:space="preserve"> </v>
      </c>
      <c r="H28" t="str">
        <f>IF(F28=" "," ",HLOOKUP(F28,SACHAR!$AA$3:$EE$11,8,0))</f>
        <v xml:space="preserve"> </v>
      </c>
      <c r="I28" s="333" t="str">
        <f>IF(F28=" "," ",HLOOKUP(F28,SACHAR!$AA$3:$EE$11,4,0))</f>
        <v xml:space="preserve"> </v>
      </c>
      <c r="J28" s="239" t="str">
        <f>IF(F28=" "," ",HLOOKUP(F28,SACHAR!$AA$3:$EE$11,9,0))</f>
        <v xml:space="preserve"> </v>
      </c>
      <c r="L28" t="str">
        <f>IF(J28=" "," ",IF(G28=99999," ",VLOOKUP(G28,$A$7:$D$304,3,0)))</f>
        <v xml:space="preserve"> </v>
      </c>
      <c r="M28" s="2">
        <f t="shared" si="4"/>
        <v>0</v>
      </c>
      <c r="O28" t="str">
        <f>IF(J28=" "," ",IF(G28=99998,0,VLOOKUP(G28,$A$7:$D$304,4,0)))</f>
        <v xml:space="preserve"> </v>
      </c>
      <c r="P28" s="2">
        <f t="shared" si="5"/>
        <v>0</v>
      </c>
      <c r="R28" s="527">
        <v>1.2010000000000001</v>
      </c>
      <c r="S28" s="528">
        <v>25</v>
      </c>
      <c r="T28" s="79">
        <f t="shared" si="0"/>
        <v>3850</v>
      </c>
      <c r="U28" s="79"/>
      <c r="V28" s="79"/>
    </row>
    <row r="29" spans="1:32" ht="15.6" thickTop="1" thickBot="1">
      <c r="A29" s="306">
        <v>594</v>
      </c>
      <c r="B29" s="300" t="s">
        <v>801</v>
      </c>
      <c r="C29" s="299" t="s">
        <v>115</v>
      </c>
      <c r="D29" s="299" t="s">
        <v>115</v>
      </c>
      <c r="L29" t="s">
        <v>1363</v>
      </c>
      <c r="O29" t="s">
        <v>1363</v>
      </c>
      <c r="P29" s="2">
        <f>SUM(P8:P28)</f>
        <v>3859.939424018195</v>
      </c>
      <c r="R29" s="527">
        <v>2.2010000000000001</v>
      </c>
      <c r="S29" s="528">
        <v>26</v>
      </c>
      <c r="T29" s="79">
        <f t="shared" si="0"/>
        <v>3850</v>
      </c>
      <c r="U29" s="79"/>
      <c r="V29" s="79"/>
    </row>
    <row r="30" spans="1:32" ht="15.6" thickTop="1" thickBot="1">
      <c r="A30" s="306">
        <v>597</v>
      </c>
      <c r="B30" s="300" t="s">
        <v>1281</v>
      </c>
      <c r="C30" s="299" t="s">
        <v>116</v>
      </c>
      <c r="D30" s="299" t="s">
        <v>115</v>
      </c>
      <c r="R30" s="527">
        <v>3.2010000000000001</v>
      </c>
      <c r="S30" s="528">
        <v>27</v>
      </c>
      <c r="T30" s="79">
        <f t="shared" si="0"/>
        <v>3850</v>
      </c>
      <c r="U30" s="79"/>
      <c r="V30" s="79"/>
    </row>
    <row r="31" spans="1:32" ht="15.6" thickTop="1" thickBot="1">
      <c r="A31" s="306">
        <v>600</v>
      </c>
      <c r="B31" s="300" t="s">
        <v>803</v>
      </c>
      <c r="C31" s="299" t="s">
        <v>115</v>
      </c>
      <c r="D31" s="299" t="s">
        <v>115</v>
      </c>
      <c r="R31" s="527">
        <v>4.2009999999999996</v>
      </c>
      <c r="S31" s="528">
        <v>28</v>
      </c>
      <c r="T31" s="79">
        <f t="shared" si="0"/>
        <v>3850</v>
      </c>
      <c r="U31" s="79"/>
      <c r="V31" s="79"/>
    </row>
    <row r="32" spans="1:32" ht="15.6" thickTop="1" thickBot="1">
      <c r="A32" s="306">
        <v>601</v>
      </c>
      <c r="B32" s="300" t="s">
        <v>1283</v>
      </c>
      <c r="C32" s="299" t="s">
        <v>115</v>
      </c>
      <c r="D32" s="299" t="s">
        <v>115</v>
      </c>
      <c r="R32" s="527">
        <v>5.2009999999999996</v>
      </c>
      <c r="S32" s="528">
        <v>29</v>
      </c>
      <c r="T32" s="79">
        <f t="shared" si="0"/>
        <v>3850</v>
      </c>
      <c r="U32" s="79"/>
      <c r="V32" s="79"/>
    </row>
    <row r="33" spans="1:22" ht="15.6" thickTop="1" thickBot="1">
      <c r="A33" s="306">
        <v>607</v>
      </c>
      <c r="B33" s="300" t="s">
        <v>1284</v>
      </c>
      <c r="C33" s="299" t="s">
        <v>115</v>
      </c>
      <c r="D33" s="299" t="s">
        <v>115</v>
      </c>
      <c r="R33" s="527">
        <v>6.2009999999999996</v>
      </c>
      <c r="S33" s="528">
        <v>30</v>
      </c>
      <c r="T33" s="79">
        <f t="shared" si="0"/>
        <v>3850</v>
      </c>
      <c r="U33" s="79"/>
      <c r="V33" s="79"/>
    </row>
    <row r="34" spans="1:22" ht="15.6" thickTop="1" thickBot="1">
      <c r="A34" s="306">
        <v>608</v>
      </c>
      <c r="B34" s="300" t="s">
        <v>1285</v>
      </c>
      <c r="C34" s="299" t="s">
        <v>115</v>
      </c>
      <c r="D34" s="299" t="s">
        <v>115</v>
      </c>
      <c r="R34" s="527">
        <v>7.2009999999999996</v>
      </c>
      <c r="S34" s="528">
        <v>31</v>
      </c>
      <c r="T34" s="79">
        <f t="shared" si="0"/>
        <v>3850</v>
      </c>
      <c r="U34" s="79"/>
      <c r="V34" s="79"/>
    </row>
    <row r="35" spans="1:22" ht="15.6" thickTop="1" thickBot="1">
      <c r="A35" s="306">
        <v>616</v>
      </c>
      <c r="B35" s="300" t="s">
        <v>805</v>
      </c>
      <c r="C35" s="299" t="s">
        <v>115</v>
      </c>
      <c r="D35" s="299" t="s">
        <v>115</v>
      </c>
      <c r="R35" s="527">
        <v>8.2010000000000005</v>
      </c>
      <c r="S35" s="528">
        <v>32</v>
      </c>
      <c r="T35" s="79">
        <f t="shared" si="0"/>
        <v>3850</v>
      </c>
      <c r="U35" s="79"/>
      <c r="V35" s="79"/>
    </row>
    <row r="36" spans="1:22" ht="15.6" thickTop="1" thickBot="1">
      <c r="A36" s="306">
        <v>623</v>
      </c>
      <c r="B36" s="300" t="s">
        <v>1286</v>
      </c>
      <c r="C36" s="299" t="s">
        <v>115</v>
      </c>
      <c r="D36" s="299" t="s">
        <v>115</v>
      </c>
      <c r="R36" s="527">
        <v>9.2010000000000005</v>
      </c>
      <c r="S36" s="528">
        <v>33</v>
      </c>
      <c r="T36" s="79">
        <f t="shared" si="0"/>
        <v>3850</v>
      </c>
      <c r="U36" s="79"/>
      <c r="V36" s="79"/>
    </row>
    <row r="37" spans="1:22" ht="15.6" thickTop="1" thickBot="1">
      <c r="A37" s="306">
        <v>626</v>
      </c>
      <c r="B37" s="300" t="s">
        <v>1287</v>
      </c>
      <c r="C37" s="299" t="s">
        <v>115</v>
      </c>
      <c r="D37" s="299" t="s">
        <v>115</v>
      </c>
      <c r="R37" s="527">
        <v>10.201000000000001</v>
      </c>
      <c r="S37" s="528">
        <v>34</v>
      </c>
      <c r="T37" s="79">
        <f t="shared" si="0"/>
        <v>3850</v>
      </c>
      <c r="U37" s="79"/>
      <c r="V37" s="79"/>
    </row>
    <row r="38" spans="1:22" ht="15.6" thickTop="1" thickBot="1">
      <c r="A38" s="306">
        <v>628</v>
      </c>
      <c r="B38" s="300" t="s">
        <v>807</v>
      </c>
      <c r="C38" s="299" t="s">
        <v>115</v>
      </c>
      <c r="D38" s="299" t="s">
        <v>115</v>
      </c>
      <c r="R38" s="527">
        <v>11.201000000000001</v>
      </c>
      <c r="S38" s="528">
        <v>35</v>
      </c>
      <c r="T38" s="79">
        <f t="shared" si="0"/>
        <v>3850</v>
      </c>
      <c r="U38" s="79"/>
      <c r="V38" s="79"/>
    </row>
    <row r="39" spans="1:22" ht="15.6" thickTop="1" thickBot="1">
      <c r="A39" s="306">
        <v>630</v>
      </c>
      <c r="B39" s="300" t="s">
        <v>809</v>
      </c>
      <c r="C39" s="299" t="s">
        <v>115</v>
      </c>
      <c r="D39" s="299" t="s">
        <v>115</v>
      </c>
      <c r="R39" s="527">
        <v>12.201000000000001</v>
      </c>
      <c r="S39" s="528">
        <v>36</v>
      </c>
      <c r="T39" s="79">
        <f t="shared" si="0"/>
        <v>3850</v>
      </c>
      <c r="U39" s="79"/>
      <c r="V39" s="79"/>
    </row>
    <row r="40" spans="1:22" ht="15.6" thickTop="1" thickBot="1">
      <c r="A40" s="306">
        <v>636</v>
      </c>
      <c r="B40" s="300" t="s">
        <v>94</v>
      </c>
      <c r="C40" s="299" t="s">
        <v>115</v>
      </c>
      <c r="D40" s="299" t="s">
        <v>115</v>
      </c>
      <c r="R40" s="527">
        <v>1.2011000000000001</v>
      </c>
      <c r="S40" s="528">
        <v>37</v>
      </c>
      <c r="T40" s="79">
        <f t="shared" si="0"/>
        <v>3850</v>
      </c>
      <c r="U40" s="79"/>
      <c r="V40" s="79"/>
    </row>
    <row r="41" spans="1:22" ht="15.6" thickTop="1" thickBot="1">
      <c r="A41" s="306">
        <v>639</v>
      </c>
      <c r="B41" s="300" t="s">
        <v>812</v>
      </c>
      <c r="C41" s="299" t="s">
        <v>115</v>
      </c>
      <c r="D41" s="299" t="s">
        <v>115</v>
      </c>
      <c r="R41" s="527">
        <v>2.2010999999999998</v>
      </c>
      <c r="S41" s="528">
        <v>38</v>
      </c>
      <c r="T41" s="79">
        <f t="shared" si="0"/>
        <v>3850</v>
      </c>
      <c r="U41" s="79"/>
      <c r="V41" s="79"/>
    </row>
    <row r="42" spans="1:22" ht="15.6" thickTop="1" thickBot="1">
      <c r="A42" s="306">
        <v>642</v>
      </c>
      <c r="B42" s="300" t="s">
        <v>1288</v>
      </c>
      <c r="C42" s="299" t="s">
        <v>115</v>
      </c>
      <c r="D42" s="299" t="s">
        <v>115</v>
      </c>
      <c r="R42" s="527">
        <v>3.2010999999999998</v>
      </c>
      <c r="S42" s="528">
        <v>39</v>
      </c>
      <c r="T42" s="79">
        <f t="shared" si="0"/>
        <v>3850</v>
      </c>
      <c r="U42" s="79"/>
      <c r="V42" s="79"/>
    </row>
    <row r="43" spans="1:22" ht="15.6" thickTop="1" thickBot="1">
      <c r="A43" s="306">
        <v>643</v>
      </c>
      <c r="B43" s="300" t="s">
        <v>814</v>
      </c>
      <c r="C43" s="299" t="s">
        <v>115</v>
      </c>
      <c r="D43" s="299" t="s">
        <v>115</v>
      </c>
      <c r="R43" s="527">
        <v>4.2011000000000003</v>
      </c>
      <c r="S43" s="528">
        <v>40</v>
      </c>
      <c r="T43" s="79">
        <f t="shared" si="0"/>
        <v>3850</v>
      </c>
      <c r="U43" s="79"/>
      <c r="V43" s="79"/>
    </row>
    <row r="44" spans="1:22" ht="15.6" thickTop="1" thickBot="1">
      <c r="A44" s="402" t="s">
        <v>5302</v>
      </c>
      <c r="B44" s="300" t="s">
        <v>123</v>
      </c>
      <c r="C44" s="299" t="s">
        <v>115</v>
      </c>
      <c r="D44" s="299" t="s">
        <v>115</v>
      </c>
      <c r="R44" s="527">
        <v>5.2011000000000003</v>
      </c>
      <c r="S44" s="528">
        <v>41</v>
      </c>
      <c r="T44" s="79">
        <f t="shared" si="0"/>
        <v>3850</v>
      </c>
      <c r="U44" s="79"/>
      <c r="V44" s="79"/>
    </row>
    <row r="45" spans="1:22" ht="15.6" thickTop="1" thickBot="1">
      <c r="A45" s="306">
        <v>650</v>
      </c>
      <c r="B45" s="300" t="s">
        <v>1289</v>
      </c>
      <c r="C45" s="299" t="s">
        <v>116</v>
      </c>
      <c r="D45" s="299" t="s">
        <v>116</v>
      </c>
      <c r="R45" s="527">
        <v>6.2011000000000003</v>
      </c>
      <c r="S45" s="528">
        <v>42</v>
      </c>
      <c r="T45" s="79">
        <f t="shared" si="0"/>
        <v>3850</v>
      </c>
      <c r="U45" s="79"/>
      <c r="V45" s="79"/>
    </row>
    <row r="46" spans="1:22" ht="15.6" thickTop="1" thickBot="1">
      <c r="A46" s="306">
        <v>652</v>
      </c>
      <c r="B46" s="300" t="s">
        <v>817</v>
      </c>
      <c r="C46" s="299" t="s">
        <v>115</v>
      </c>
      <c r="D46" s="299" t="s">
        <v>115</v>
      </c>
      <c r="R46" s="527">
        <v>7.2011000000000003</v>
      </c>
      <c r="S46" s="528">
        <v>43</v>
      </c>
      <c r="T46" s="79">
        <f>+$AA$7</f>
        <v>4100</v>
      </c>
      <c r="U46" s="79"/>
      <c r="V46" s="79"/>
    </row>
    <row r="47" spans="1:22" ht="15.6" thickTop="1" thickBot="1">
      <c r="A47" s="306">
        <v>654</v>
      </c>
      <c r="B47" s="300" t="s">
        <v>819</v>
      </c>
      <c r="C47" s="299" t="s">
        <v>115</v>
      </c>
      <c r="D47" s="299" t="s">
        <v>115</v>
      </c>
      <c r="R47" s="527">
        <v>8.2011000000000003</v>
      </c>
      <c r="S47" s="528">
        <v>44</v>
      </c>
      <c r="T47" s="79">
        <f t="shared" ref="T47:T60" si="6">+$AA$7</f>
        <v>4100</v>
      </c>
      <c r="U47" s="79"/>
      <c r="V47" s="79"/>
    </row>
    <row r="48" spans="1:22" ht="15.6" thickTop="1" thickBot="1">
      <c r="A48" s="306">
        <v>657</v>
      </c>
      <c r="B48" s="300" t="s">
        <v>5161</v>
      </c>
      <c r="C48" s="299" t="s">
        <v>116</v>
      </c>
      <c r="D48" s="299" t="s">
        <v>116</v>
      </c>
      <c r="R48" s="527">
        <v>9.2011000000000003</v>
      </c>
      <c r="S48" s="528">
        <v>45</v>
      </c>
      <c r="T48" s="79">
        <f t="shared" si="6"/>
        <v>4100</v>
      </c>
      <c r="U48" s="79"/>
      <c r="V48" s="79"/>
    </row>
    <row r="49" spans="1:22" ht="15.6" thickTop="1" thickBot="1">
      <c r="A49" s="306">
        <v>658</v>
      </c>
      <c r="B49" s="300" t="s">
        <v>68</v>
      </c>
      <c r="C49" s="299" t="s">
        <v>115</v>
      </c>
      <c r="D49" s="299" t="s">
        <v>115</v>
      </c>
      <c r="R49" s="527">
        <v>10.2011</v>
      </c>
      <c r="S49" s="528">
        <v>46</v>
      </c>
      <c r="T49" s="79">
        <f t="shared" si="6"/>
        <v>4100</v>
      </c>
      <c r="U49" s="79"/>
      <c r="V49" s="79"/>
    </row>
    <row r="50" spans="1:22" ht="15.6" thickTop="1" thickBot="1">
      <c r="A50" s="306">
        <v>659</v>
      </c>
      <c r="B50" s="300" t="s">
        <v>822</v>
      </c>
      <c r="C50" s="299" t="s">
        <v>115</v>
      </c>
      <c r="D50" s="299" t="s">
        <v>115</v>
      </c>
      <c r="R50" s="527">
        <v>11.2011</v>
      </c>
      <c r="S50" s="528">
        <v>47</v>
      </c>
      <c r="T50" s="79">
        <f t="shared" si="6"/>
        <v>4100</v>
      </c>
      <c r="U50" s="79"/>
      <c r="V50" s="79"/>
    </row>
    <row r="51" spans="1:22" ht="15.6" thickTop="1" thickBot="1">
      <c r="A51" s="306">
        <v>661</v>
      </c>
      <c r="B51" s="300" t="s">
        <v>1290</v>
      </c>
      <c r="C51" s="299" t="s">
        <v>115</v>
      </c>
      <c r="D51" s="299" t="s">
        <v>115</v>
      </c>
      <c r="R51" s="527">
        <v>12.2011</v>
      </c>
      <c r="S51" s="528">
        <v>48</v>
      </c>
      <c r="T51" s="79">
        <f t="shared" si="6"/>
        <v>4100</v>
      </c>
      <c r="U51" s="79"/>
      <c r="V51" s="79"/>
    </row>
    <row r="52" spans="1:22" ht="15.6" thickTop="1" thickBot="1">
      <c r="A52" s="306">
        <v>662</v>
      </c>
      <c r="B52" s="300" t="s">
        <v>1291</v>
      </c>
      <c r="C52" s="299" t="s">
        <v>115</v>
      </c>
      <c r="D52" s="299" t="s">
        <v>115</v>
      </c>
      <c r="R52" s="527">
        <v>1.2012</v>
      </c>
      <c r="S52" s="528">
        <v>49</v>
      </c>
      <c r="T52" s="79">
        <f t="shared" si="6"/>
        <v>4100</v>
      </c>
      <c r="U52" s="79"/>
      <c r="V52" s="79"/>
    </row>
    <row r="53" spans="1:22" ht="15.6" thickTop="1" thickBot="1">
      <c r="A53" s="306">
        <v>663</v>
      </c>
      <c r="B53" s="300" t="s">
        <v>1292</v>
      </c>
      <c r="C53" s="299" t="s">
        <v>115</v>
      </c>
      <c r="D53" s="299" t="s">
        <v>115</v>
      </c>
      <c r="R53" s="527">
        <v>2.2012</v>
      </c>
      <c r="S53" s="528">
        <v>50</v>
      </c>
      <c r="T53" s="79">
        <f t="shared" si="6"/>
        <v>4100</v>
      </c>
      <c r="U53" s="79"/>
      <c r="V53" s="79"/>
    </row>
    <row r="54" spans="1:22" ht="15.6" thickTop="1" thickBot="1">
      <c r="A54" s="306">
        <v>667</v>
      </c>
      <c r="B54" s="300" t="s">
        <v>123</v>
      </c>
      <c r="C54" s="299" t="s">
        <v>115</v>
      </c>
      <c r="D54" s="299" t="s">
        <v>115</v>
      </c>
      <c r="R54" s="527">
        <v>3.2012</v>
      </c>
      <c r="S54" s="528">
        <v>51</v>
      </c>
      <c r="T54" s="79">
        <f t="shared" si="6"/>
        <v>4100</v>
      </c>
      <c r="U54" s="79"/>
      <c r="V54" s="79"/>
    </row>
    <row r="55" spans="1:22" ht="15.6" thickTop="1" thickBot="1">
      <c r="A55" s="306">
        <v>669</v>
      </c>
      <c r="B55" s="300" t="s">
        <v>825</v>
      </c>
      <c r="C55" s="299" t="s">
        <v>115</v>
      </c>
      <c r="D55" s="299" t="s">
        <v>115</v>
      </c>
      <c r="R55" s="527">
        <v>4.2012</v>
      </c>
      <c r="S55" s="528">
        <v>52</v>
      </c>
      <c r="T55" s="79">
        <f t="shared" si="6"/>
        <v>4100</v>
      </c>
      <c r="U55" s="79"/>
      <c r="V55" s="79"/>
    </row>
    <row r="56" spans="1:22" ht="15.6" thickTop="1" thickBot="1">
      <c r="A56" s="306">
        <v>674</v>
      </c>
      <c r="B56" s="300" t="s">
        <v>827</v>
      </c>
      <c r="C56" s="299" t="s">
        <v>115</v>
      </c>
      <c r="D56" s="299" t="s">
        <v>115</v>
      </c>
      <c r="R56" s="527">
        <v>5.2012</v>
      </c>
      <c r="S56" s="528">
        <v>53</v>
      </c>
      <c r="T56" s="79">
        <f t="shared" si="6"/>
        <v>4100</v>
      </c>
      <c r="U56" s="79"/>
      <c r="V56" s="79"/>
    </row>
    <row r="57" spans="1:22" ht="15.6" thickTop="1" thickBot="1">
      <c r="A57" s="306">
        <v>675</v>
      </c>
      <c r="B57" s="300" t="s">
        <v>1293</v>
      </c>
      <c r="C57" s="299" t="s">
        <v>115</v>
      </c>
      <c r="D57" s="299" t="s">
        <v>115</v>
      </c>
      <c r="R57" s="527">
        <v>6.2012</v>
      </c>
      <c r="S57" s="528">
        <v>54</v>
      </c>
      <c r="T57" s="79">
        <f t="shared" si="6"/>
        <v>4100</v>
      </c>
      <c r="U57" s="79"/>
      <c r="V57" s="79"/>
    </row>
    <row r="58" spans="1:22" ht="15.6" thickTop="1" thickBot="1">
      <c r="A58" s="306">
        <v>678</v>
      </c>
      <c r="B58" s="300" t="s">
        <v>1294</v>
      </c>
      <c r="C58" s="299" t="s">
        <v>115</v>
      </c>
      <c r="D58" s="299" t="s">
        <v>115</v>
      </c>
      <c r="R58" s="527">
        <v>7.2012</v>
      </c>
      <c r="S58" s="528">
        <v>55</v>
      </c>
      <c r="T58" s="79">
        <f t="shared" si="6"/>
        <v>4100</v>
      </c>
      <c r="U58" s="79"/>
      <c r="V58" s="79"/>
    </row>
    <row r="59" spans="1:22" ht="15.6" thickTop="1" thickBot="1">
      <c r="A59" s="306">
        <v>681</v>
      </c>
      <c r="B59" s="300" t="s">
        <v>1295</v>
      </c>
      <c r="C59" s="299" t="s">
        <v>115</v>
      </c>
      <c r="D59" s="299" t="s">
        <v>115</v>
      </c>
      <c r="R59" s="527">
        <v>8.2012</v>
      </c>
      <c r="S59" s="528">
        <v>56</v>
      </c>
      <c r="T59" s="79">
        <f t="shared" si="6"/>
        <v>4100</v>
      </c>
      <c r="U59" s="79"/>
      <c r="V59" s="79"/>
    </row>
    <row r="60" spans="1:22" ht="15.6" thickTop="1" thickBot="1">
      <c r="A60" s="306">
        <v>682</v>
      </c>
      <c r="B60" s="300" t="s">
        <v>1296</v>
      </c>
      <c r="C60" s="299" t="s">
        <v>116</v>
      </c>
      <c r="D60" s="299" t="s">
        <v>115</v>
      </c>
      <c r="R60" s="527">
        <v>9.2012</v>
      </c>
      <c r="S60" s="528">
        <v>57</v>
      </c>
      <c r="T60" s="79">
        <f t="shared" si="6"/>
        <v>4100</v>
      </c>
      <c r="U60" s="79"/>
      <c r="V60" s="79"/>
    </row>
    <row r="61" spans="1:22" ht="15.6" thickTop="1" thickBot="1">
      <c r="A61" s="306">
        <v>684</v>
      </c>
      <c r="B61" s="300" t="s">
        <v>829</v>
      </c>
      <c r="C61" s="299" t="s">
        <v>115</v>
      </c>
      <c r="D61" s="299" t="s">
        <v>115</v>
      </c>
      <c r="R61" s="527">
        <v>10.2012</v>
      </c>
      <c r="S61" s="528">
        <v>58</v>
      </c>
      <c r="T61" s="79">
        <f>+$AA$8</f>
        <v>4300</v>
      </c>
    </row>
    <row r="62" spans="1:22" ht="15.6" thickTop="1" thickBot="1">
      <c r="A62" s="306">
        <v>692</v>
      </c>
      <c r="B62" s="300" t="s">
        <v>829</v>
      </c>
      <c r="C62" s="299" t="s">
        <v>115</v>
      </c>
      <c r="D62" s="299" t="s">
        <v>115</v>
      </c>
      <c r="R62" s="527">
        <v>11.2012</v>
      </c>
      <c r="S62" s="528">
        <v>59</v>
      </c>
      <c r="T62" s="79">
        <f t="shared" ref="T62:T91" si="7">+$AA$8</f>
        <v>4300</v>
      </c>
    </row>
    <row r="63" spans="1:22" ht="15.6" thickTop="1" thickBot="1">
      <c r="A63" s="306">
        <v>694</v>
      </c>
      <c r="B63" s="300" t="s">
        <v>832</v>
      </c>
      <c r="C63" s="299" t="s">
        <v>115</v>
      </c>
      <c r="D63" s="299" t="s">
        <v>115</v>
      </c>
      <c r="R63" s="527">
        <v>12.2012</v>
      </c>
      <c r="S63" s="528">
        <v>60</v>
      </c>
      <c r="T63" s="79">
        <f t="shared" si="7"/>
        <v>4300</v>
      </c>
    </row>
    <row r="64" spans="1:22" ht="15.6" thickTop="1" thickBot="1">
      <c r="A64" s="306">
        <v>695</v>
      </c>
      <c r="B64" s="300" t="s">
        <v>834</v>
      </c>
      <c r="C64" s="299" t="s">
        <v>116</v>
      </c>
      <c r="D64" s="299" t="s">
        <v>116</v>
      </c>
      <c r="R64" s="527">
        <v>1.2013</v>
      </c>
      <c r="S64" s="528">
        <v>61</v>
      </c>
      <c r="T64" s="79">
        <f t="shared" si="7"/>
        <v>4300</v>
      </c>
    </row>
    <row r="65" spans="1:20" ht="15.6" thickTop="1" thickBot="1">
      <c r="A65" s="306">
        <v>697</v>
      </c>
      <c r="B65" s="300" t="s">
        <v>836</v>
      </c>
      <c r="C65" s="299" t="s">
        <v>115</v>
      </c>
      <c r="D65" s="299" t="s">
        <v>115</v>
      </c>
      <c r="R65" s="527">
        <v>2.2012999999999998</v>
      </c>
      <c r="S65" s="528">
        <v>62</v>
      </c>
      <c r="T65" s="79">
        <f t="shared" si="7"/>
        <v>4300</v>
      </c>
    </row>
    <row r="66" spans="1:20" ht="15.6" thickTop="1" thickBot="1">
      <c r="A66" s="306">
        <v>698</v>
      </c>
      <c r="B66" s="300" t="s">
        <v>1297</v>
      </c>
      <c r="C66" s="299" t="s">
        <v>115</v>
      </c>
      <c r="D66" s="299" t="s">
        <v>115</v>
      </c>
      <c r="R66" s="527">
        <v>3.2012999999999998</v>
      </c>
      <c r="S66" s="528">
        <v>63</v>
      </c>
      <c r="T66" s="79">
        <f t="shared" si="7"/>
        <v>4300</v>
      </c>
    </row>
    <row r="67" spans="1:20" ht="15.6" thickTop="1" thickBot="1">
      <c r="A67" s="306">
        <v>699</v>
      </c>
      <c r="B67" s="300" t="s">
        <v>838</v>
      </c>
      <c r="C67" s="299" t="s">
        <v>116</v>
      </c>
      <c r="D67" s="299" t="s">
        <v>115</v>
      </c>
      <c r="R67" s="527">
        <v>4.2012999999999998</v>
      </c>
      <c r="S67" s="528">
        <v>64</v>
      </c>
      <c r="T67" s="79">
        <f t="shared" si="7"/>
        <v>4300</v>
      </c>
    </row>
    <row r="68" spans="1:20" ht="15.6" thickTop="1" thickBot="1">
      <c r="A68" s="306">
        <v>702</v>
      </c>
      <c r="B68" s="300" t="s">
        <v>1298</v>
      </c>
      <c r="C68" s="299" t="s">
        <v>115</v>
      </c>
      <c r="D68" s="299" t="s">
        <v>115</v>
      </c>
      <c r="R68" s="527">
        <v>5.2012999999999998</v>
      </c>
      <c r="S68" s="528">
        <v>65</v>
      </c>
      <c r="T68" s="79">
        <f t="shared" si="7"/>
        <v>4300</v>
      </c>
    </row>
    <row r="69" spans="1:20" ht="15.6" thickTop="1" thickBot="1">
      <c r="A69" s="306">
        <v>705</v>
      </c>
      <c r="B69" s="300" t="s">
        <v>840</v>
      </c>
      <c r="C69" s="299" t="s">
        <v>115</v>
      </c>
      <c r="D69" s="299" t="s">
        <v>115</v>
      </c>
      <c r="R69" s="527">
        <v>6.2012999999999998</v>
      </c>
      <c r="S69" s="528">
        <v>66</v>
      </c>
      <c r="T69" s="79">
        <f t="shared" si="7"/>
        <v>4300</v>
      </c>
    </row>
    <row r="70" spans="1:20" ht="15.6" thickTop="1" thickBot="1">
      <c r="A70" s="306">
        <v>707</v>
      </c>
      <c r="B70" s="300" t="s">
        <v>1299</v>
      </c>
      <c r="C70" s="299" t="s">
        <v>115</v>
      </c>
      <c r="D70" s="299" t="s">
        <v>115</v>
      </c>
      <c r="R70" s="527">
        <v>7.2012999999999998</v>
      </c>
      <c r="S70" s="528">
        <v>67</v>
      </c>
      <c r="T70" s="79">
        <f t="shared" si="7"/>
        <v>4300</v>
      </c>
    </row>
    <row r="71" spans="1:20" ht="15.6" thickTop="1" thickBot="1">
      <c r="A71" s="306">
        <v>707</v>
      </c>
      <c r="B71" s="300" t="s">
        <v>1299</v>
      </c>
      <c r="C71" s="299" t="s">
        <v>115</v>
      </c>
      <c r="D71" s="299" t="s">
        <v>115</v>
      </c>
      <c r="R71" s="527">
        <v>8.2012999999999998</v>
      </c>
      <c r="S71" s="528">
        <v>68</v>
      </c>
      <c r="T71" s="79">
        <f t="shared" si="7"/>
        <v>4300</v>
      </c>
    </row>
    <row r="72" spans="1:20" ht="15.6" thickTop="1" thickBot="1">
      <c r="A72" s="306">
        <v>717</v>
      </c>
      <c r="B72" s="300" t="s">
        <v>1300</v>
      </c>
      <c r="C72" s="299" t="s">
        <v>115</v>
      </c>
      <c r="D72" s="299" t="s">
        <v>115</v>
      </c>
      <c r="R72" s="527">
        <v>9.2012999999999998</v>
      </c>
      <c r="S72" s="528">
        <v>69</v>
      </c>
      <c r="T72" s="79">
        <f t="shared" si="7"/>
        <v>4300</v>
      </c>
    </row>
    <row r="73" spans="1:20" ht="15.6" thickTop="1" thickBot="1">
      <c r="A73" s="306">
        <v>724</v>
      </c>
      <c r="B73" s="300" t="s">
        <v>842</v>
      </c>
      <c r="C73" s="299" t="s">
        <v>115</v>
      </c>
      <c r="D73" s="299" t="s">
        <v>115</v>
      </c>
      <c r="R73" s="527">
        <v>10.2013</v>
      </c>
      <c r="S73" s="528">
        <v>70</v>
      </c>
      <c r="T73" s="79">
        <f t="shared" si="7"/>
        <v>4300</v>
      </c>
    </row>
    <row r="74" spans="1:20" ht="15.6" thickTop="1" thickBot="1">
      <c r="A74" s="306">
        <v>726</v>
      </c>
      <c r="B74" s="300" t="s">
        <v>1301</v>
      </c>
      <c r="C74" s="299" t="s">
        <v>115</v>
      </c>
      <c r="D74" s="299" t="s">
        <v>115</v>
      </c>
      <c r="R74" s="527">
        <v>11.2013</v>
      </c>
      <c r="S74" s="528">
        <v>71</v>
      </c>
      <c r="T74" s="79">
        <f t="shared" si="7"/>
        <v>4300</v>
      </c>
    </row>
    <row r="75" spans="1:20" ht="15.6" thickTop="1" thickBot="1">
      <c r="A75" s="306">
        <v>727</v>
      </c>
      <c r="B75" s="300" t="s">
        <v>844</v>
      </c>
      <c r="C75" s="299" t="s">
        <v>115</v>
      </c>
      <c r="D75" s="299" t="s">
        <v>115</v>
      </c>
      <c r="R75" s="527">
        <v>12.2013</v>
      </c>
      <c r="S75" s="528">
        <v>72</v>
      </c>
      <c r="T75" s="79">
        <f t="shared" si="7"/>
        <v>4300</v>
      </c>
    </row>
    <row r="76" spans="1:20" ht="15.6" thickTop="1" thickBot="1">
      <c r="A76" s="306">
        <v>728</v>
      </c>
      <c r="B76" s="300" t="s">
        <v>1302</v>
      </c>
      <c r="C76" s="299" t="s">
        <v>115</v>
      </c>
      <c r="D76" s="299" t="s">
        <v>115</v>
      </c>
      <c r="R76" s="527">
        <v>1.2014</v>
      </c>
      <c r="S76" s="528">
        <v>73</v>
      </c>
      <c r="T76" s="79">
        <f t="shared" si="7"/>
        <v>4300</v>
      </c>
    </row>
    <row r="77" spans="1:20" ht="15.6" thickTop="1" thickBot="1">
      <c r="A77" s="306">
        <v>729</v>
      </c>
      <c r="B77" s="300" t="s">
        <v>1303</v>
      </c>
      <c r="C77" s="299" t="s">
        <v>115</v>
      </c>
      <c r="D77" s="299" t="s">
        <v>115</v>
      </c>
      <c r="R77" s="527">
        <v>2.2014</v>
      </c>
      <c r="S77" s="528">
        <v>74</v>
      </c>
      <c r="T77" s="79">
        <f t="shared" si="7"/>
        <v>4300</v>
      </c>
    </row>
    <row r="78" spans="1:20" ht="15.6" thickTop="1" thickBot="1">
      <c r="A78" s="306">
        <v>730</v>
      </c>
      <c r="B78" s="300" t="s">
        <v>845</v>
      </c>
      <c r="C78" s="299" t="s">
        <v>115</v>
      </c>
      <c r="D78" s="299" t="s">
        <v>115</v>
      </c>
      <c r="R78" s="527">
        <v>3.2014</v>
      </c>
      <c r="S78" s="528">
        <v>75</v>
      </c>
      <c r="T78" s="79">
        <f t="shared" si="7"/>
        <v>4300</v>
      </c>
    </row>
    <row r="79" spans="1:20" ht="15.6" thickTop="1" thickBot="1">
      <c r="A79" s="306">
        <v>733</v>
      </c>
      <c r="B79" s="1" t="s">
        <v>5797</v>
      </c>
      <c r="C79" s="299" t="s">
        <v>115</v>
      </c>
      <c r="D79" s="299" t="s">
        <v>115</v>
      </c>
      <c r="R79" s="527"/>
      <c r="S79" s="528"/>
      <c r="T79" s="79"/>
    </row>
    <row r="80" spans="1:20" ht="15.6" thickTop="1" thickBot="1">
      <c r="A80" s="306">
        <v>735</v>
      </c>
      <c r="B80" s="300" t="s">
        <v>1304</v>
      </c>
      <c r="C80" s="299" t="s">
        <v>116</v>
      </c>
      <c r="D80" s="299" t="s">
        <v>116</v>
      </c>
      <c r="R80" s="527">
        <v>4.2013999999999996</v>
      </c>
      <c r="S80" s="528">
        <v>76</v>
      </c>
      <c r="T80" s="79">
        <f t="shared" si="7"/>
        <v>4300</v>
      </c>
    </row>
    <row r="81" spans="1:20" ht="15.6" thickTop="1" thickBot="1">
      <c r="A81" s="306">
        <v>736</v>
      </c>
      <c r="B81" s="300" t="s">
        <v>1305</v>
      </c>
      <c r="C81" s="299" t="s">
        <v>115</v>
      </c>
      <c r="D81" s="299" t="s">
        <v>115</v>
      </c>
      <c r="R81" s="527">
        <v>5.2013999999999996</v>
      </c>
      <c r="S81" s="528">
        <v>77</v>
      </c>
      <c r="T81" s="79">
        <f t="shared" si="7"/>
        <v>4300</v>
      </c>
    </row>
    <row r="82" spans="1:20" ht="15.6" thickTop="1" thickBot="1">
      <c r="A82" s="306">
        <v>737</v>
      </c>
      <c r="B82" s="300" t="s">
        <v>1306</v>
      </c>
      <c r="C82" s="299" t="s">
        <v>116</v>
      </c>
      <c r="D82" s="299" t="s">
        <v>115</v>
      </c>
      <c r="R82" s="527">
        <v>6.2013999999999996</v>
      </c>
      <c r="S82" s="528">
        <v>78</v>
      </c>
      <c r="T82" s="79">
        <f t="shared" si="7"/>
        <v>4300</v>
      </c>
    </row>
    <row r="83" spans="1:20" ht="15.6" thickTop="1" thickBot="1">
      <c r="A83" s="306">
        <v>738</v>
      </c>
      <c r="B83" s="300" t="s">
        <v>1306</v>
      </c>
      <c r="C83" s="299" t="s">
        <v>116</v>
      </c>
      <c r="D83" s="299" t="s">
        <v>115</v>
      </c>
      <c r="R83" s="527">
        <v>7.2013999999999996</v>
      </c>
      <c r="S83" s="528">
        <v>79</v>
      </c>
      <c r="T83" s="79">
        <f t="shared" si="7"/>
        <v>4300</v>
      </c>
    </row>
    <row r="84" spans="1:20" ht="15.6" thickTop="1" thickBot="1">
      <c r="A84" s="306">
        <v>739</v>
      </c>
      <c r="B84" s="300" t="s">
        <v>1307</v>
      </c>
      <c r="C84" s="299" t="s">
        <v>115</v>
      </c>
      <c r="D84" s="299" t="s">
        <v>115</v>
      </c>
      <c r="R84" s="527">
        <v>8.2013999999999996</v>
      </c>
      <c r="S84" s="528">
        <v>80</v>
      </c>
      <c r="T84" s="79">
        <f t="shared" si="7"/>
        <v>4300</v>
      </c>
    </row>
    <row r="85" spans="1:20" ht="15.6" thickTop="1" thickBot="1">
      <c r="A85" s="306">
        <v>740</v>
      </c>
      <c r="B85" s="300" t="s">
        <v>1308</v>
      </c>
      <c r="C85" s="299" t="s">
        <v>116</v>
      </c>
      <c r="D85" s="299" t="s">
        <v>115</v>
      </c>
      <c r="R85" s="527">
        <v>9.2013999999999996</v>
      </c>
      <c r="S85" s="528">
        <v>81</v>
      </c>
      <c r="T85" s="79">
        <f t="shared" si="7"/>
        <v>4300</v>
      </c>
    </row>
    <row r="86" spans="1:20" ht="15.6" thickTop="1" thickBot="1">
      <c r="A86" s="306">
        <v>741</v>
      </c>
      <c r="B86" s="300" t="s">
        <v>847</v>
      </c>
      <c r="C86" s="299" t="s">
        <v>115</v>
      </c>
      <c r="D86" s="299" t="s">
        <v>115</v>
      </c>
      <c r="R86" s="527">
        <v>10.2014</v>
      </c>
      <c r="S86" s="528">
        <v>82</v>
      </c>
      <c r="T86" s="79">
        <f t="shared" si="7"/>
        <v>4300</v>
      </c>
    </row>
    <row r="87" spans="1:20" ht="15.6" thickTop="1" thickBot="1">
      <c r="A87" s="306">
        <v>742</v>
      </c>
      <c r="B87" s="300" t="s">
        <v>1309</v>
      </c>
      <c r="C87" s="299" t="s">
        <v>115</v>
      </c>
      <c r="D87" s="299" t="s">
        <v>115</v>
      </c>
      <c r="R87" s="527">
        <v>11.2014</v>
      </c>
      <c r="S87" s="528">
        <v>83</v>
      </c>
      <c r="T87" s="79">
        <f t="shared" si="7"/>
        <v>4300</v>
      </c>
    </row>
    <row r="88" spans="1:20" ht="15.6" thickTop="1" thickBot="1">
      <c r="A88" s="306">
        <v>743</v>
      </c>
      <c r="B88" s="300" t="s">
        <v>849</v>
      </c>
      <c r="C88" s="299" t="s">
        <v>115</v>
      </c>
      <c r="D88" s="299" t="s">
        <v>115</v>
      </c>
      <c r="R88" s="527">
        <v>12.2014</v>
      </c>
      <c r="S88" s="528">
        <v>84</v>
      </c>
      <c r="T88" s="79">
        <f t="shared" si="7"/>
        <v>4300</v>
      </c>
    </row>
    <row r="89" spans="1:20" ht="15.6" thickTop="1" thickBot="1">
      <c r="A89" s="306">
        <v>746</v>
      </c>
      <c r="B89" s="300" t="s">
        <v>1310</v>
      </c>
      <c r="C89" s="299" t="s">
        <v>116</v>
      </c>
      <c r="D89" s="299" t="s">
        <v>116</v>
      </c>
      <c r="R89" s="527">
        <v>1.2015</v>
      </c>
      <c r="S89" s="528">
        <v>85</v>
      </c>
      <c r="T89" s="79">
        <f t="shared" si="7"/>
        <v>4300</v>
      </c>
    </row>
    <row r="90" spans="1:20" ht="15.6" thickTop="1" thickBot="1">
      <c r="A90" s="306">
        <v>747</v>
      </c>
      <c r="B90" s="300" t="s">
        <v>1311</v>
      </c>
      <c r="C90" s="299" t="s">
        <v>115</v>
      </c>
      <c r="D90" s="299" t="s">
        <v>115</v>
      </c>
      <c r="R90" s="527">
        <v>2.2014999999999998</v>
      </c>
      <c r="S90" s="528">
        <v>86</v>
      </c>
      <c r="T90" s="79">
        <f t="shared" si="7"/>
        <v>4300</v>
      </c>
    </row>
    <row r="91" spans="1:20" ht="15.6" thickTop="1" thickBot="1">
      <c r="A91" s="306">
        <v>748</v>
      </c>
      <c r="B91" s="300" t="s">
        <v>1312</v>
      </c>
      <c r="C91" s="299" t="s">
        <v>115</v>
      </c>
      <c r="D91" s="299" t="s">
        <v>115</v>
      </c>
      <c r="R91" s="527">
        <v>3.2014999999999998</v>
      </c>
      <c r="S91" s="528">
        <v>87</v>
      </c>
      <c r="T91" s="79">
        <f t="shared" si="7"/>
        <v>4300</v>
      </c>
    </row>
    <row r="92" spans="1:20" ht="15.6" thickTop="1" thickBot="1">
      <c r="A92" s="306">
        <v>751</v>
      </c>
      <c r="B92" s="300" t="s">
        <v>851</v>
      </c>
      <c r="C92" s="299" t="s">
        <v>115</v>
      </c>
      <c r="D92" s="299" t="s">
        <v>115</v>
      </c>
      <c r="R92" s="527">
        <v>4.2015000000000002</v>
      </c>
      <c r="S92" s="528">
        <v>88</v>
      </c>
      <c r="T92" s="79">
        <f>+$AA$9</f>
        <v>4650</v>
      </c>
    </row>
    <row r="93" spans="1:20" ht="15.6" thickTop="1" thickBot="1">
      <c r="A93" s="306">
        <v>752</v>
      </c>
      <c r="B93" s="300" t="s">
        <v>853</v>
      </c>
      <c r="C93" s="299" t="s">
        <v>115</v>
      </c>
      <c r="D93" s="299" t="s">
        <v>115</v>
      </c>
      <c r="R93" s="527">
        <v>5.2015000000000002</v>
      </c>
      <c r="S93" s="528">
        <v>89</v>
      </c>
      <c r="T93" s="79">
        <f t="shared" ref="T93:T106" si="8">+$AA$9</f>
        <v>4650</v>
      </c>
    </row>
    <row r="94" spans="1:20" ht="15.6" thickTop="1" thickBot="1">
      <c r="A94" s="306">
        <v>753</v>
      </c>
      <c r="B94" s="300" t="s">
        <v>1313</v>
      </c>
      <c r="C94" s="299" t="s">
        <v>115</v>
      </c>
      <c r="D94" s="299" t="s">
        <v>115</v>
      </c>
      <c r="R94" s="527">
        <v>6.2015000000000002</v>
      </c>
      <c r="S94" s="528">
        <v>90</v>
      </c>
      <c r="T94" s="79">
        <f t="shared" si="8"/>
        <v>4650</v>
      </c>
    </row>
    <row r="95" spans="1:20" ht="15.6" thickTop="1" thickBot="1">
      <c r="A95" s="306">
        <v>756</v>
      </c>
      <c r="B95" s="300" t="s">
        <v>855</v>
      </c>
      <c r="C95" s="299" t="s">
        <v>115</v>
      </c>
      <c r="D95" s="299" t="s">
        <v>115</v>
      </c>
      <c r="R95" s="527">
        <v>7.2015000000000002</v>
      </c>
      <c r="S95" s="528">
        <v>91</v>
      </c>
      <c r="T95" s="79">
        <f t="shared" si="8"/>
        <v>4650</v>
      </c>
    </row>
    <row r="96" spans="1:20" ht="15.6" thickTop="1" thickBot="1">
      <c r="A96" s="306">
        <v>756</v>
      </c>
      <c r="B96" s="300" t="s">
        <v>1314</v>
      </c>
      <c r="C96" s="299" t="s">
        <v>115</v>
      </c>
      <c r="D96" s="299" t="s">
        <v>115</v>
      </c>
      <c r="R96" s="527">
        <v>8.2014999999999993</v>
      </c>
      <c r="S96" s="528">
        <v>92</v>
      </c>
      <c r="T96" s="79">
        <f t="shared" si="8"/>
        <v>4650</v>
      </c>
    </row>
    <row r="97" spans="1:20" ht="15.6" thickTop="1" thickBot="1">
      <c r="A97" s="306">
        <v>764</v>
      </c>
      <c r="B97" s="300" t="s">
        <v>94</v>
      </c>
      <c r="C97" s="299" t="s">
        <v>115</v>
      </c>
      <c r="D97" s="299" t="s">
        <v>115</v>
      </c>
      <c r="R97" s="527">
        <v>9.2014999999999993</v>
      </c>
      <c r="S97" s="528">
        <v>93</v>
      </c>
      <c r="T97" s="79">
        <f t="shared" si="8"/>
        <v>4650</v>
      </c>
    </row>
    <row r="98" spans="1:20" ht="15.6" thickTop="1" thickBot="1">
      <c r="A98" s="306">
        <v>766</v>
      </c>
      <c r="B98" s="300" t="s">
        <v>858</v>
      </c>
      <c r="C98" s="299" t="s">
        <v>115</v>
      </c>
      <c r="D98" s="299" t="s">
        <v>115</v>
      </c>
      <c r="R98" s="527">
        <v>10.201499999999999</v>
      </c>
      <c r="S98" s="528">
        <v>94</v>
      </c>
      <c r="T98" s="79">
        <f t="shared" si="8"/>
        <v>4650</v>
      </c>
    </row>
    <row r="99" spans="1:20" ht="15.6" thickTop="1" thickBot="1">
      <c r="A99" s="306">
        <v>768</v>
      </c>
      <c r="B99" s="300" t="s">
        <v>1315</v>
      </c>
      <c r="C99" s="299" t="s">
        <v>115</v>
      </c>
      <c r="D99" s="299" t="s">
        <v>115</v>
      </c>
      <c r="R99" s="527">
        <v>11.201499999999999</v>
      </c>
      <c r="S99" s="528">
        <v>95</v>
      </c>
      <c r="T99" s="79">
        <f t="shared" si="8"/>
        <v>4650</v>
      </c>
    </row>
    <row r="100" spans="1:20" ht="15.6" thickTop="1" thickBot="1">
      <c r="A100" s="306">
        <v>776</v>
      </c>
      <c r="B100" s="300" t="s">
        <v>860</v>
      </c>
      <c r="C100" s="299" t="s">
        <v>115</v>
      </c>
      <c r="D100" s="299" t="s">
        <v>115</v>
      </c>
      <c r="R100" s="527">
        <v>12.201499999999999</v>
      </c>
      <c r="S100" s="528">
        <v>96</v>
      </c>
      <c r="T100" s="79">
        <f t="shared" si="8"/>
        <v>4650</v>
      </c>
    </row>
    <row r="101" spans="1:20" ht="15.6" thickTop="1" thickBot="1">
      <c r="A101" s="306">
        <v>778</v>
      </c>
      <c r="B101" s="300" t="s">
        <v>1316</v>
      </c>
      <c r="C101" s="299" t="s">
        <v>115</v>
      </c>
      <c r="D101" s="299" t="s">
        <v>115</v>
      </c>
      <c r="R101" s="527">
        <v>1.2016</v>
      </c>
      <c r="S101" s="528">
        <v>97</v>
      </c>
      <c r="T101" s="79">
        <f t="shared" si="8"/>
        <v>4650</v>
      </c>
    </row>
    <row r="102" spans="1:20" ht="15.6" thickTop="1" thickBot="1">
      <c r="A102" s="306">
        <v>781</v>
      </c>
      <c r="B102" s="300" t="s">
        <v>1275</v>
      </c>
      <c r="C102" s="299" t="s">
        <v>115</v>
      </c>
      <c r="D102" s="299" t="s">
        <v>115</v>
      </c>
      <c r="R102" s="527">
        <v>2.2016</v>
      </c>
      <c r="S102" s="528">
        <v>98</v>
      </c>
      <c r="T102" s="79">
        <f t="shared" si="8"/>
        <v>4650</v>
      </c>
    </row>
    <row r="103" spans="1:20" ht="15.6" thickTop="1" thickBot="1">
      <c r="A103" s="306">
        <v>784</v>
      </c>
      <c r="B103" s="300" t="s">
        <v>1317</v>
      </c>
      <c r="C103" s="299" t="s">
        <v>115</v>
      </c>
      <c r="D103" s="299" t="s">
        <v>115</v>
      </c>
      <c r="R103" s="527">
        <v>3.2016</v>
      </c>
      <c r="S103" s="528">
        <v>99</v>
      </c>
      <c r="T103" s="79">
        <f t="shared" si="8"/>
        <v>4650</v>
      </c>
    </row>
    <row r="104" spans="1:20" ht="15.6" thickTop="1" thickBot="1">
      <c r="A104" s="306">
        <v>786</v>
      </c>
      <c r="B104" s="300" t="s">
        <v>862</v>
      </c>
      <c r="C104" s="299" t="s">
        <v>115</v>
      </c>
      <c r="D104" s="299" t="s">
        <v>115</v>
      </c>
      <c r="R104" s="527">
        <v>4.2016</v>
      </c>
      <c r="S104" s="528">
        <v>100</v>
      </c>
      <c r="T104" s="79">
        <f t="shared" si="8"/>
        <v>4650</v>
      </c>
    </row>
    <row r="105" spans="1:20" ht="15.6" thickTop="1" thickBot="1">
      <c r="A105" s="306">
        <v>794</v>
      </c>
      <c r="B105" s="300" t="s">
        <v>864</v>
      </c>
      <c r="C105" s="299" t="s">
        <v>115</v>
      </c>
      <c r="D105" s="299" t="s">
        <v>115</v>
      </c>
      <c r="R105" s="527">
        <v>5.2016</v>
      </c>
      <c r="S105" s="528">
        <v>101</v>
      </c>
      <c r="T105" s="79">
        <f t="shared" si="8"/>
        <v>4650</v>
      </c>
    </row>
    <row r="106" spans="1:20" ht="15.6" thickTop="1" thickBot="1">
      <c r="A106" s="306">
        <v>797</v>
      </c>
      <c r="B106" s="300" t="s">
        <v>1318</v>
      </c>
      <c r="C106" s="299" t="s">
        <v>115</v>
      </c>
      <c r="D106" s="299" t="s">
        <v>115</v>
      </c>
      <c r="R106" s="527">
        <v>6.2016</v>
      </c>
      <c r="S106" s="528">
        <v>102</v>
      </c>
      <c r="T106" s="79">
        <f t="shared" si="8"/>
        <v>4650</v>
      </c>
    </row>
    <row r="107" spans="1:20" ht="15.6" thickTop="1" thickBot="1">
      <c r="A107" s="1">
        <v>798</v>
      </c>
      <c r="B107" s="300" t="s">
        <v>866</v>
      </c>
      <c r="C107" s="299" t="s">
        <v>115</v>
      </c>
      <c r="D107" s="299" t="s">
        <v>115</v>
      </c>
      <c r="R107" s="527">
        <v>7.2016</v>
      </c>
      <c r="S107" s="528">
        <v>103</v>
      </c>
      <c r="T107" s="79">
        <f>+$AA$10</f>
        <v>4825</v>
      </c>
    </row>
    <row r="108" spans="1:20" ht="15.6" thickTop="1" thickBot="1">
      <c r="A108" s="306">
        <v>805</v>
      </c>
      <c r="B108" s="300" t="s">
        <v>868</v>
      </c>
      <c r="C108" s="299" t="s">
        <v>115</v>
      </c>
      <c r="D108" s="299" t="s">
        <v>115</v>
      </c>
      <c r="R108" s="527">
        <v>8.2015999999999991</v>
      </c>
      <c r="S108" s="528">
        <v>104</v>
      </c>
      <c r="T108" s="79">
        <f t="shared" ref="T108:T112" si="9">+$AA$10</f>
        <v>4825</v>
      </c>
    </row>
    <row r="109" spans="1:20" ht="15.6" thickTop="1" thickBot="1">
      <c r="A109" s="306">
        <v>807</v>
      </c>
      <c r="B109" s="300" t="s">
        <v>870</v>
      </c>
      <c r="C109" s="299" t="s">
        <v>115</v>
      </c>
      <c r="D109" s="299" t="s">
        <v>115</v>
      </c>
      <c r="R109" s="527">
        <v>9.2015999999999991</v>
      </c>
      <c r="S109" s="528">
        <v>105</v>
      </c>
      <c r="T109" s="79">
        <f t="shared" si="9"/>
        <v>4825</v>
      </c>
    </row>
    <row r="110" spans="1:20" ht="15.6" thickTop="1" thickBot="1">
      <c r="A110" s="306">
        <v>808</v>
      </c>
      <c r="B110" s="300" t="s">
        <v>1319</v>
      </c>
      <c r="C110" s="299" t="s">
        <v>115</v>
      </c>
      <c r="D110" s="299" t="s">
        <v>115</v>
      </c>
      <c r="R110" s="527">
        <v>10.201599999999999</v>
      </c>
      <c r="S110" s="528">
        <v>106</v>
      </c>
      <c r="T110" s="79">
        <f t="shared" si="9"/>
        <v>4825</v>
      </c>
    </row>
    <row r="111" spans="1:20" ht="15.6" thickTop="1" thickBot="1">
      <c r="A111" s="306">
        <v>809</v>
      </c>
      <c r="B111" s="300" t="s">
        <v>1320</v>
      </c>
      <c r="C111" s="299" t="s">
        <v>115</v>
      </c>
      <c r="D111" s="299" t="s">
        <v>115</v>
      </c>
      <c r="R111" s="527">
        <v>11.201599999999999</v>
      </c>
      <c r="S111" s="528">
        <v>107</v>
      </c>
      <c r="T111" s="79">
        <f t="shared" si="9"/>
        <v>4825</v>
      </c>
    </row>
    <row r="112" spans="1:20" ht="15.6" thickTop="1" thickBot="1">
      <c r="A112" s="306">
        <v>839</v>
      </c>
      <c r="B112" s="300" t="s">
        <v>872</v>
      </c>
      <c r="C112" s="299" t="s">
        <v>115</v>
      </c>
      <c r="D112" s="299" t="s">
        <v>115</v>
      </c>
      <c r="R112" s="527">
        <v>12.201599999999999</v>
      </c>
      <c r="S112" s="528">
        <v>108</v>
      </c>
      <c r="T112" s="79">
        <f t="shared" si="9"/>
        <v>4825</v>
      </c>
    </row>
    <row r="113" spans="1:20" ht="15.6" thickTop="1" thickBot="1">
      <c r="A113" s="306">
        <v>850</v>
      </c>
      <c r="B113" s="300" t="s">
        <v>1321</v>
      </c>
      <c r="C113" s="299" t="s">
        <v>115</v>
      </c>
      <c r="D113" s="299" t="s">
        <v>115</v>
      </c>
      <c r="R113" s="527">
        <v>1.2017</v>
      </c>
      <c r="S113" s="528">
        <v>109</v>
      </c>
      <c r="T113" s="79">
        <f>+$AA$11</f>
        <v>5000</v>
      </c>
    </row>
    <row r="114" spans="1:20" ht="15.6" thickTop="1" thickBot="1">
      <c r="A114" s="306">
        <v>851</v>
      </c>
      <c r="B114" s="300" t="s">
        <v>1322</v>
      </c>
      <c r="C114" s="299" t="s">
        <v>115</v>
      </c>
      <c r="D114" s="299" t="s">
        <v>115</v>
      </c>
      <c r="R114" s="527">
        <v>2.2017000000000002</v>
      </c>
      <c r="S114" s="528">
        <v>110</v>
      </c>
      <c r="T114" s="79">
        <f t="shared" ref="T114:T123" si="10">+$AA$11</f>
        <v>5000</v>
      </c>
    </row>
    <row r="115" spans="1:20" ht="15.6" thickTop="1" thickBot="1">
      <c r="A115" s="306">
        <v>852</v>
      </c>
      <c r="B115" s="300" t="s">
        <v>874</v>
      </c>
      <c r="C115" s="299" t="s">
        <v>116</v>
      </c>
      <c r="D115" s="299" t="s">
        <v>115</v>
      </c>
      <c r="R115" s="527">
        <v>3.2017000000000002</v>
      </c>
      <c r="S115" s="528">
        <v>111</v>
      </c>
      <c r="T115" s="79">
        <f t="shared" si="10"/>
        <v>5000</v>
      </c>
    </row>
    <row r="116" spans="1:20" ht="15.6" thickTop="1" thickBot="1">
      <c r="A116" s="306">
        <v>853</v>
      </c>
      <c r="B116" s="300" t="s">
        <v>876</v>
      </c>
      <c r="C116" s="299" t="s">
        <v>115</v>
      </c>
      <c r="D116" s="299" t="s">
        <v>115</v>
      </c>
      <c r="R116" s="527">
        <v>4.2016999999999998</v>
      </c>
      <c r="S116" s="528">
        <v>112</v>
      </c>
      <c r="T116" s="79">
        <f t="shared" si="10"/>
        <v>5000</v>
      </c>
    </row>
    <row r="117" spans="1:20" ht="15.6" thickTop="1" thickBot="1">
      <c r="A117" s="306">
        <v>858</v>
      </c>
      <c r="B117" s="300" t="s">
        <v>855</v>
      </c>
      <c r="C117" s="299" t="s">
        <v>115</v>
      </c>
      <c r="D117" s="299" t="s">
        <v>115</v>
      </c>
      <c r="R117" s="527">
        <v>5.2016999999999998</v>
      </c>
      <c r="S117" s="528">
        <v>113</v>
      </c>
      <c r="T117" s="79">
        <f t="shared" si="10"/>
        <v>5000</v>
      </c>
    </row>
    <row r="118" spans="1:20" ht="15.6" thickTop="1" thickBot="1">
      <c r="A118" s="306">
        <v>859</v>
      </c>
      <c r="B118" s="300" t="s">
        <v>1323</v>
      </c>
      <c r="C118" s="299" t="s">
        <v>115</v>
      </c>
      <c r="D118" s="299" t="s">
        <v>115</v>
      </c>
      <c r="R118" s="527">
        <v>6.2016999999999998</v>
      </c>
      <c r="S118" s="528">
        <v>114</v>
      </c>
      <c r="T118" s="79">
        <f t="shared" si="10"/>
        <v>5000</v>
      </c>
    </row>
    <row r="119" spans="1:20" ht="15.6" thickTop="1" thickBot="1">
      <c r="A119" s="306">
        <v>865</v>
      </c>
      <c r="B119" s="300" t="s">
        <v>1324</v>
      </c>
      <c r="C119" s="299" t="s">
        <v>115</v>
      </c>
      <c r="D119" s="299" t="s">
        <v>115</v>
      </c>
      <c r="R119" s="527">
        <v>7.2016999999999998</v>
      </c>
      <c r="S119" s="528">
        <v>115</v>
      </c>
      <c r="T119" s="79">
        <f t="shared" si="10"/>
        <v>5000</v>
      </c>
    </row>
    <row r="120" spans="1:20" ht="15.6" thickTop="1" thickBot="1">
      <c r="A120" s="306">
        <v>866</v>
      </c>
      <c r="B120" s="300" t="s">
        <v>1325</v>
      </c>
      <c r="C120" s="299" t="s">
        <v>115</v>
      </c>
      <c r="D120" s="299" t="s">
        <v>115</v>
      </c>
      <c r="R120" s="527">
        <v>8.2017000000000007</v>
      </c>
      <c r="S120" s="528">
        <v>116</v>
      </c>
      <c r="T120" s="79">
        <f t="shared" si="10"/>
        <v>5000</v>
      </c>
    </row>
    <row r="121" spans="1:20" ht="15.6" thickTop="1" thickBot="1">
      <c r="A121" s="306">
        <v>875</v>
      </c>
      <c r="B121" s="300" t="s">
        <v>879</v>
      </c>
      <c r="C121" s="299" t="s">
        <v>115</v>
      </c>
      <c r="D121" s="299" t="s">
        <v>115</v>
      </c>
      <c r="R121" s="527">
        <v>9.2017000000000007</v>
      </c>
      <c r="S121" s="528">
        <v>117</v>
      </c>
      <c r="T121" s="79">
        <f t="shared" si="10"/>
        <v>5000</v>
      </c>
    </row>
    <row r="122" spans="1:20" ht="15.6" thickTop="1" thickBot="1">
      <c r="A122" s="306">
        <v>877</v>
      </c>
      <c r="B122" s="300" t="s">
        <v>881</v>
      </c>
      <c r="C122" s="299" t="s">
        <v>115</v>
      </c>
      <c r="D122" s="299" t="s">
        <v>115</v>
      </c>
      <c r="R122" s="527">
        <v>10.201700000000001</v>
      </c>
      <c r="S122" s="528">
        <v>118</v>
      </c>
      <c r="T122" s="79">
        <f t="shared" si="10"/>
        <v>5000</v>
      </c>
    </row>
    <row r="123" spans="1:20" ht="15.6" thickTop="1" thickBot="1">
      <c r="A123" s="306">
        <v>879</v>
      </c>
      <c r="B123" s="300" t="s">
        <v>1326</v>
      </c>
      <c r="C123" s="299" t="s">
        <v>116</v>
      </c>
      <c r="D123" s="299" t="s">
        <v>115</v>
      </c>
      <c r="R123" s="527">
        <v>11.201700000000001</v>
      </c>
      <c r="S123" s="528">
        <v>119</v>
      </c>
      <c r="T123" s="79">
        <f t="shared" si="10"/>
        <v>5000</v>
      </c>
    </row>
    <row r="124" spans="1:20" ht="28.8" thickTop="1" thickBot="1">
      <c r="A124" s="306">
        <v>883</v>
      </c>
      <c r="B124" s="300" t="s">
        <v>1327</v>
      </c>
      <c r="C124" s="299" t="s">
        <v>115</v>
      </c>
      <c r="D124" s="299" t="s">
        <v>115</v>
      </c>
      <c r="R124" s="527">
        <v>12.201700000000001</v>
      </c>
      <c r="S124" s="528">
        <v>120</v>
      </c>
      <c r="T124" s="79">
        <f>+$AA$12</f>
        <v>5300</v>
      </c>
    </row>
    <row r="125" spans="1:20" ht="15.6" thickTop="1" thickBot="1">
      <c r="A125" s="306">
        <v>884</v>
      </c>
      <c r="B125" s="300" t="s">
        <v>883</v>
      </c>
      <c r="C125" s="299" t="s">
        <v>115</v>
      </c>
      <c r="D125" s="299" t="s">
        <v>115</v>
      </c>
      <c r="R125" s="527">
        <v>1.2018</v>
      </c>
      <c r="S125" s="528">
        <v>121</v>
      </c>
      <c r="T125" s="79">
        <f t="shared" ref="T125:T187" si="11">+$AA$12</f>
        <v>5300</v>
      </c>
    </row>
    <row r="126" spans="1:20" ht="15.6" thickTop="1" thickBot="1">
      <c r="A126" s="306">
        <v>893</v>
      </c>
      <c r="B126" s="300" t="s">
        <v>1328</v>
      </c>
      <c r="C126" s="299" t="s">
        <v>115</v>
      </c>
      <c r="D126" s="299" t="s">
        <v>115</v>
      </c>
      <c r="R126" s="527">
        <v>2.2018</v>
      </c>
      <c r="S126" s="528">
        <v>122</v>
      </c>
      <c r="T126" s="79">
        <f t="shared" si="11"/>
        <v>5300</v>
      </c>
    </row>
    <row r="127" spans="1:20" ht="15.6" thickTop="1" thickBot="1">
      <c r="A127" s="306">
        <v>894</v>
      </c>
      <c r="B127" s="300" t="s">
        <v>885</v>
      </c>
      <c r="C127" s="299" t="s">
        <v>115</v>
      </c>
      <c r="D127" s="299" t="s">
        <v>115</v>
      </c>
      <c r="R127" s="527">
        <v>3.2018</v>
      </c>
      <c r="S127" s="528">
        <v>123</v>
      </c>
      <c r="T127" s="79">
        <f t="shared" si="11"/>
        <v>5300</v>
      </c>
    </row>
    <row r="128" spans="1:20" ht="15.6" thickTop="1" thickBot="1">
      <c r="A128" s="306">
        <v>895</v>
      </c>
      <c r="B128" s="300" t="s">
        <v>887</v>
      </c>
      <c r="C128" s="299" t="s">
        <v>115</v>
      </c>
      <c r="D128" s="299" t="s">
        <v>115</v>
      </c>
      <c r="R128" s="527">
        <v>4.2018000000000004</v>
      </c>
      <c r="S128" s="528">
        <v>124</v>
      </c>
      <c r="T128" s="79">
        <f t="shared" si="11"/>
        <v>5300</v>
      </c>
    </row>
    <row r="129" spans="1:20" ht="15.6" thickTop="1" thickBot="1">
      <c r="A129" s="306">
        <v>896</v>
      </c>
      <c r="B129" s="300" t="s">
        <v>1329</v>
      </c>
      <c r="C129" s="299" t="s">
        <v>115</v>
      </c>
      <c r="D129" s="299" t="s">
        <v>115</v>
      </c>
      <c r="R129" s="527">
        <v>5.2018000000000004</v>
      </c>
      <c r="S129" s="528">
        <v>125</v>
      </c>
      <c r="T129" s="79">
        <f t="shared" si="11"/>
        <v>5300</v>
      </c>
    </row>
    <row r="130" spans="1:20" ht="15.6" thickTop="1" thickBot="1">
      <c r="A130" s="306">
        <v>897</v>
      </c>
      <c r="B130" s="300" t="s">
        <v>125</v>
      </c>
      <c r="C130" s="299" t="s">
        <v>115</v>
      </c>
      <c r="D130" s="299" t="s">
        <v>115</v>
      </c>
      <c r="R130" s="527">
        <v>6.2018000000000004</v>
      </c>
      <c r="S130" s="528">
        <v>126</v>
      </c>
      <c r="T130" s="79">
        <f t="shared" si="11"/>
        <v>5300</v>
      </c>
    </row>
    <row r="131" spans="1:20" ht="15.6" thickTop="1" thickBot="1">
      <c r="A131" s="306">
        <v>899</v>
      </c>
      <c r="B131" s="300" t="s">
        <v>890</v>
      </c>
      <c r="C131" s="299" t="s">
        <v>115</v>
      </c>
      <c r="D131" s="299" t="s">
        <v>115</v>
      </c>
      <c r="R131" s="527">
        <v>7.2018000000000004</v>
      </c>
      <c r="S131" s="528">
        <v>127</v>
      </c>
      <c r="T131" s="79">
        <f t="shared" si="11"/>
        <v>5300</v>
      </c>
    </row>
    <row r="132" spans="1:20" ht="15.6" thickTop="1" thickBot="1">
      <c r="A132" s="306">
        <v>907</v>
      </c>
      <c r="B132" s="300" t="s">
        <v>892</v>
      </c>
      <c r="C132" s="299" t="s">
        <v>115</v>
      </c>
      <c r="D132" s="299" t="s">
        <v>115</v>
      </c>
      <c r="R132" s="527">
        <v>8.2018000000000004</v>
      </c>
      <c r="S132" s="528">
        <v>128</v>
      </c>
      <c r="T132" s="79">
        <f t="shared" si="11"/>
        <v>5300</v>
      </c>
    </row>
    <row r="133" spans="1:20" ht="15.6" thickTop="1" thickBot="1">
      <c r="A133" s="306">
        <v>911</v>
      </c>
      <c r="B133" s="300" t="s">
        <v>1330</v>
      </c>
      <c r="C133" s="299" t="s">
        <v>115</v>
      </c>
      <c r="D133" s="299" t="s">
        <v>115</v>
      </c>
      <c r="R133" s="527">
        <v>9.2018000000000004</v>
      </c>
      <c r="S133" s="528">
        <v>129</v>
      </c>
      <c r="T133" s="79">
        <f t="shared" si="11"/>
        <v>5300</v>
      </c>
    </row>
    <row r="134" spans="1:20" ht="15.6" thickTop="1" thickBot="1">
      <c r="A134" s="306">
        <v>912</v>
      </c>
      <c r="B134" s="300" t="s">
        <v>1331</v>
      </c>
      <c r="C134" s="299" t="s">
        <v>115</v>
      </c>
      <c r="D134" s="299" t="s">
        <v>115</v>
      </c>
      <c r="R134" s="527">
        <v>10.2018</v>
      </c>
      <c r="S134" s="528">
        <v>130</v>
      </c>
      <c r="T134" s="79">
        <f t="shared" si="11"/>
        <v>5300</v>
      </c>
    </row>
    <row r="135" spans="1:20" ht="15.6" thickTop="1" thickBot="1">
      <c r="A135" s="306">
        <v>913</v>
      </c>
      <c r="B135" s="300" t="s">
        <v>894</v>
      </c>
      <c r="C135" s="299" t="s">
        <v>115</v>
      </c>
      <c r="D135" s="299" t="s">
        <v>115</v>
      </c>
      <c r="R135" s="527">
        <v>11.2018</v>
      </c>
      <c r="S135" s="528">
        <v>131</v>
      </c>
      <c r="T135" s="79">
        <f t="shared" si="11"/>
        <v>5300</v>
      </c>
    </row>
    <row r="136" spans="1:20" ht="15.6" thickTop="1" thickBot="1">
      <c r="A136" s="306">
        <v>918</v>
      </c>
      <c r="B136" s="300" t="s">
        <v>1332</v>
      </c>
      <c r="C136" s="299" t="s">
        <v>115</v>
      </c>
      <c r="D136" s="299" t="s">
        <v>115</v>
      </c>
      <c r="R136" s="527">
        <v>12.2018</v>
      </c>
      <c r="S136" s="528">
        <v>132</v>
      </c>
      <c r="T136" s="79">
        <f t="shared" si="11"/>
        <v>5300</v>
      </c>
    </row>
    <row r="137" spans="1:20" ht="15.6" thickTop="1" thickBot="1">
      <c r="A137" s="306">
        <v>920</v>
      </c>
      <c r="B137" s="300" t="s">
        <v>896</v>
      </c>
      <c r="C137" s="299" t="s">
        <v>115</v>
      </c>
      <c r="D137" s="299" t="s">
        <v>115</v>
      </c>
      <c r="R137" s="527">
        <v>1.2019</v>
      </c>
      <c r="S137" s="528">
        <v>133</v>
      </c>
      <c r="T137" s="79">
        <f t="shared" si="11"/>
        <v>5300</v>
      </c>
    </row>
    <row r="138" spans="1:20" ht="15.6" thickTop="1" thickBot="1">
      <c r="A138" s="306">
        <v>921</v>
      </c>
      <c r="B138" s="300" t="s">
        <v>1333</v>
      </c>
      <c r="C138" s="299" t="s">
        <v>116</v>
      </c>
      <c r="D138" s="299" t="s">
        <v>115</v>
      </c>
      <c r="R138" s="527">
        <v>2.2019000000000002</v>
      </c>
      <c r="S138" s="528">
        <v>134</v>
      </c>
      <c r="T138" s="79">
        <f t="shared" si="11"/>
        <v>5300</v>
      </c>
    </row>
    <row r="139" spans="1:20" ht="15.6" thickTop="1" thickBot="1">
      <c r="A139" s="306">
        <v>922</v>
      </c>
      <c r="B139" s="300" t="s">
        <v>817</v>
      </c>
      <c r="C139" s="299" t="s">
        <v>115</v>
      </c>
      <c r="D139" s="299" t="s">
        <v>115</v>
      </c>
      <c r="R139" s="527">
        <v>3.2019000000000002</v>
      </c>
      <c r="S139" s="528">
        <v>135</v>
      </c>
      <c r="T139" s="79">
        <f t="shared" si="11"/>
        <v>5300</v>
      </c>
    </row>
    <row r="140" spans="1:20" ht="15.6" thickTop="1" thickBot="1">
      <c r="A140" s="306">
        <v>924</v>
      </c>
      <c r="B140" s="300" t="s">
        <v>125</v>
      </c>
      <c r="C140" s="299" t="s">
        <v>115</v>
      </c>
      <c r="D140" s="299" t="s">
        <v>115</v>
      </c>
      <c r="R140" s="527">
        <v>4.2019000000000002</v>
      </c>
      <c r="S140" s="528">
        <v>136</v>
      </c>
      <c r="T140" s="79">
        <f t="shared" si="11"/>
        <v>5300</v>
      </c>
    </row>
    <row r="141" spans="1:20" ht="15.6" thickTop="1" thickBot="1">
      <c r="A141" s="306">
        <v>955</v>
      </c>
      <c r="B141" s="300" t="s">
        <v>900</v>
      </c>
      <c r="C141" s="299" t="s">
        <v>115</v>
      </c>
      <c r="D141" s="299" t="s">
        <v>115</v>
      </c>
      <c r="R141" s="527">
        <v>5.2019000000000002</v>
      </c>
      <c r="S141" s="528">
        <v>137</v>
      </c>
      <c r="T141" s="79">
        <f t="shared" si="11"/>
        <v>5300</v>
      </c>
    </row>
    <row r="142" spans="1:20" ht="15.6" thickTop="1" thickBot="1">
      <c r="A142" s="306">
        <v>956</v>
      </c>
      <c r="B142" s="300" t="s">
        <v>902</v>
      </c>
      <c r="C142" s="299" t="s">
        <v>115</v>
      </c>
      <c r="D142" s="299" t="s">
        <v>115</v>
      </c>
      <c r="R142" s="527">
        <v>6.2019000000000002</v>
      </c>
      <c r="S142" s="528">
        <v>138</v>
      </c>
      <c r="T142" s="79">
        <f t="shared" si="11"/>
        <v>5300</v>
      </c>
    </row>
    <row r="143" spans="1:20" ht="15.6" thickTop="1" thickBot="1">
      <c r="A143" s="306">
        <v>957</v>
      </c>
      <c r="B143" s="300" t="s">
        <v>904</v>
      </c>
      <c r="C143" s="299" t="s">
        <v>115</v>
      </c>
      <c r="D143" s="299" t="s">
        <v>115</v>
      </c>
      <c r="R143" s="527">
        <v>7.2019000000000002</v>
      </c>
      <c r="S143" s="528">
        <v>139</v>
      </c>
      <c r="T143" s="79">
        <f t="shared" si="11"/>
        <v>5300</v>
      </c>
    </row>
    <row r="144" spans="1:20" ht="15.6" thickTop="1" thickBot="1">
      <c r="A144" s="306">
        <v>959</v>
      </c>
      <c r="B144" s="300" t="s">
        <v>902</v>
      </c>
      <c r="C144" s="299" t="s">
        <v>115</v>
      </c>
      <c r="D144" s="299" t="s">
        <v>115</v>
      </c>
      <c r="R144" s="527">
        <v>8.2019000000000002</v>
      </c>
      <c r="S144" s="528">
        <v>140</v>
      </c>
      <c r="T144" s="79">
        <f t="shared" si="11"/>
        <v>5300</v>
      </c>
    </row>
    <row r="145" spans="1:20" ht="15.6" thickTop="1" thickBot="1">
      <c r="A145" s="306">
        <v>963</v>
      </c>
      <c r="B145" s="300" t="s">
        <v>1334</v>
      </c>
      <c r="C145" s="299" t="s">
        <v>115</v>
      </c>
      <c r="D145" s="299" t="s">
        <v>115</v>
      </c>
      <c r="R145" s="527">
        <v>9.2019000000000002</v>
      </c>
      <c r="S145" s="528">
        <v>141</v>
      </c>
      <c r="T145" s="79">
        <f t="shared" si="11"/>
        <v>5300</v>
      </c>
    </row>
    <row r="146" spans="1:20" ht="15.6" thickTop="1" thickBot="1">
      <c r="A146" s="306">
        <v>965</v>
      </c>
      <c r="B146" s="300" t="s">
        <v>907</v>
      </c>
      <c r="C146" s="299" t="s">
        <v>115</v>
      </c>
      <c r="D146" s="299" t="s">
        <v>115</v>
      </c>
      <c r="R146" s="527">
        <v>10.2019</v>
      </c>
      <c r="S146" s="528">
        <v>142</v>
      </c>
      <c r="T146" s="79">
        <f t="shared" si="11"/>
        <v>5300</v>
      </c>
    </row>
    <row r="147" spans="1:20" ht="15.6" thickTop="1" thickBot="1">
      <c r="A147" s="306">
        <v>966</v>
      </c>
      <c r="B147" s="300" t="s">
        <v>1335</v>
      </c>
      <c r="C147" s="299" t="s">
        <v>115</v>
      </c>
      <c r="D147" s="299" t="s">
        <v>115</v>
      </c>
      <c r="R147" s="527">
        <v>11.2019</v>
      </c>
      <c r="S147" s="528">
        <v>143</v>
      </c>
      <c r="T147" s="79">
        <f t="shared" si="11"/>
        <v>5300</v>
      </c>
    </row>
    <row r="148" spans="1:20" ht="15.6" thickTop="1" thickBot="1">
      <c r="A148" s="306">
        <v>976</v>
      </c>
      <c r="B148" s="300" t="s">
        <v>829</v>
      </c>
      <c r="C148" s="299" t="s">
        <v>115</v>
      </c>
      <c r="D148" s="299" t="s">
        <v>115</v>
      </c>
      <c r="R148" s="527">
        <v>12.2019</v>
      </c>
      <c r="S148" s="528">
        <v>144</v>
      </c>
      <c r="T148" s="79">
        <f t="shared" si="11"/>
        <v>5300</v>
      </c>
    </row>
    <row r="149" spans="1:20" ht="15.6" thickTop="1" thickBot="1">
      <c r="A149" s="306">
        <v>978</v>
      </c>
      <c r="B149" s="300" t="s">
        <v>910</v>
      </c>
      <c r="C149" s="299" t="s">
        <v>115</v>
      </c>
      <c r="D149" s="299" t="s">
        <v>115</v>
      </c>
      <c r="R149" s="527">
        <v>1.202</v>
      </c>
      <c r="S149" s="528">
        <v>145</v>
      </c>
      <c r="T149" s="79">
        <f t="shared" si="11"/>
        <v>5300</v>
      </c>
    </row>
    <row r="150" spans="1:20" ht="15.6" thickTop="1" thickBot="1">
      <c r="A150" s="306">
        <v>981</v>
      </c>
      <c r="B150" s="300" t="s">
        <v>1336</v>
      </c>
      <c r="C150" s="299" t="s">
        <v>115</v>
      </c>
      <c r="D150" s="299" t="s">
        <v>115</v>
      </c>
      <c r="R150" s="527">
        <v>2.202</v>
      </c>
      <c r="S150" s="528">
        <v>146</v>
      </c>
      <c r="T150" s="79">
        <f t="shared" si="11"/>
        <v>5300</v>
      </c>
    </row>
    <row r="151" spans="1:20" ht="15.6" thickTop="1" thickBot="1">
      <c r="A151" s="306">
        <v>983</v>
      </c>
      <c r="B151" s="300" t="s">
        <v>1337</v>
      </c>
      <c r="C151" s="299" t="s">
        <v>115</v>
      </c>
      <c r="D151" s="299" t="s">
        <v>115</v>
      </c>
      <c r="R151" s="527">
        <v>3.202</v>
      </c>
      <c r="S151" s="528">
        <v>147</v>
      </c>
      <c r="T151" s="79">
        <f t="shared" si="11"/>
        <v>5300</v>
      </c>
    </row>
    <row r="152" spans="1:20" ht="15.6" thickTop="1" thickBot="1">
      <c r="A152" s="306">
        <v>992</v>
      </c>
      <c r="B152" s="300" t="s">
        <v>1338</v>
      </c>
      <c r="C152" s="299" t="s">
        <v>116</v>
      </c>
      <c r="D152" s="299" t="s">
        <v>115</v>
      </c>
      <c r="R152" s="527">
        <v>4.202</v>
      </c>
      <c r="S152" s="528">
        <v>148</v>
      </c>
      <c r="T152" s="79">
        <f t="shared" si="11"/>
        <v>5300</v>
      </c>
    </row>
    <row r="153" spans="1:20" ht="15.6" thickTop="1" thickBot="1">
      <c r="A153" s="306">
        <v>1021</v>
      </c>
      <c r="B153" s="300" t="s">
        <v>912</v>
      </c>
      <c r="C153" s="299" t="s">
        <v>116</v>
      </c>
      <c r="D153" s="299" t="s">
        <v>116</v>
      </c>
      <c r="R153" s="527">
        <v>5.202</v>
      </c>
      <c r="S153" s="528">
        <v>149</v>
      </c>
      <c r="T153" s="79">
        <f t="shared" si="11"/>
        <v>5300</v>
      </c>
    </row>
    <row r="154" spans="1:20" ht="15.6" thickTop="1" thickBot="1">
      <c r="A154" s="339">
        <v>4544</v>
      </c>
      <c r="B154" s="300" t="s">
        <v>75</v>
      </c>
      <c r="C154" s="299" t="str">
        <f>VLOOKUP('Netunei Gimlai'!$B$10,DARGA!$C$2:$E$111,3,1)</f>
        <v>לא</v>
      </c>
      <c r="D154" s="299" t="s">
        <v>115</v>
      </c>
      <c r="R154" s="527">
        <v>6.202</v>
      </c>
      <c r="S154" s="528">
        <v>150</v>
      </c>
      <c r="T154" s="79">
        <f t="shared" si="11"/>
        <v>5300</v>
      </c>
    </row>
    <row r="155" spans="1:20" ht="15.6" thickTop="1" thickBot="1">
      <c r="A155" s="339">
        <v>1053</v>
      </c>
      <c r="B155" s="300" t="s">
        <v>38</v>
      </c>
      <c r="C155" s="299" t="s">
        <v>116</v>
      </c>
      <c r="D155" s="299" t="s">
        <v>116</v>
      </c>
      <c r="R155" s="527">
        <v>7.202</v>
      </c>
      <c r="S155" s="528">
        <v>151</v>
      </c>
      <c r="T155" s="79">
        <f t="shared" si="11"/>
        <v>5300</v>
      </c>
    </row>
    <row r="156" spans="1:20" ht="15.6" thickTop="1" thickBot="1">
      <c r="A156" s="372">
        <v>4934</v>
      </c>
      <c r="B156" s="300" t="s">
        <v>76</v>
      </c>
      <c r="C156" s="299" t="s">
        <v>116</v>
      </c>
      <c r="D156" s="299" t="s">
        <v>116</v>
      </c>
      <c r="R156" s="527">
        <v>8.202</v>
      </c>
      <c r="S156" s="528">
        <v>152</v>
      </c>
      <c r="T156" s="79">
        <f t="shared" si="11"/>
        <v>5300</v>
      </c>
    </row>
    <row r="157" spans="1:20" ht="15.6" thickTop="1" thickBot="1">
      <c r="A157" s="339">
        <v>1056</v>
      </c>
      <c r="B157" s="300" t="s">
        <v>74</v>
      </c>
      <c r="C157" s="299" t="s">
        <v>115</v>
      </c>
      <c r="D157" s="299" t="s">
        <v>116</v>
      </c>
      <c r="R157" s="527">
        <v>9.202</v>
      </c>
      <c r="S157" s="528">
        <v>153</v>
      </c>
      <c r="T157" s="79">
        <f t="shared" si="11"/>
        <v>5300</v>
      </c>
    </row>
    <row r="158" spans="1:20" ht="15.6" thickTop="1" thickBot="1">
      <c r="A158" s="339">
        <v>4994</v>
      </c>
      <c r="B158" s="300" t="s">
        <v>77</v>
      </c>
      <c r="C158" s="299" t="s">
        <v>116</v>
      </c>
      <c r="D158" s="299" t="s">
        <v>116</v>
      </c>
      <c r="R158" s="527">
        <v>10.202</v>
      </c>
      <c r="S158" s="528">
        <v>154</v>
      </c>
      <c r="T158" s="79">
        <f t="shared" si="11"/>
        <v>5300</v>
      </c>
    </row>
    <row r="159" spans="1:20" ht="15.6" thickTop="1" thickBot="1">
      <c r="A159" s="339">
        <v>5216</v>
      </c>
      <c r="B159" s="300" t="s">
        <v>40</v>
      </c>
      <c r="C159" s="299" t="s">
        <v>116</v>
      </c>
      <c r="D159" s="299" t="s">
        <v>116</v>
      </c>
      <c r="R159" s="527">
        <v>11.202</v>
      </c>
      <c r="S159" s="528">
        <v>155</v>
      </c>
      <c r="T159" s="79">
        <f t="shared" si="11"/>
        <v>5300</v>
      </c>
    </row>
    <row r="160" spans="1:20" ht="15.6" thickTop="1" thickBot="1">
      <c r="A160" s="339">
        <v>1060</v>
      </c>
      <c r="B160" s="300" t="s">
        <v>1365</v>
      </c>
      <c r="C160" s="299" t="s">
        <v>116</v>
      </c>
      <c r="D160" s="299" t="s">
        <v>116</v>
      </c>
      <c r="R160" s="527">
        <v>12.202</v>
      </c>
      <c r="S160" s="528">
        <v>156</v>
      </c>
      <c r="T160" s="79">
        <f t="shared" si="11"/>
        <v>5300</v>
      </c>
    </row>
    <row r="161" spans="1:20" ht="15.6" thickTop="1" thickBot="1">
      <c r="A161" s="301" t="s">
        <v>1433</v>
      </c>
      <c r="B161" s="300" t="s">
        <v>78</v>
      </c>
      <c r="C161" s="299" t="s">
        <v>115</v>
      </c>
      <c r="D161" s="299" t="s">
        <v>116</v>
      </c>
      <c r="R161" s="527">
        <v>1.2020999999999999</v>
      </c>
      <c r="S161" s="528">
        <v>157</v>
      </c>
      <c r="T161" s="79">
        <f t="shared" si="11"/>
        <v>5300</v>
      </c>
    </row>
    <row r="162" spans="1:20" ht="15.6" thickTop="1" thickBot="1">
      <c r="A162" s="339">
        <v>5402</v>
      </c>
      <c r="B162" s="300" t="s">
        <v>80</v>
      </c>
      <c r="C162" s="299" t="s">
        <v>116</v>
      </c>
      <c r="D162" s="299" t="s">
        <v>116</v>
      </c>
      <c r="R162" s="527">
        <v>2.2021000000000002</v>
      </c>
      <c r="S162" s="528">
        <v>158</v>
      </c>
      <c r="T162" s="79">
        <f t="shared" si="11"/>
        <v>5300</v>
      </c>
    </row>
    <row r="163" spans="1:20" ht="15.6" thickTop="1" thickBot="1">
      <c r="A163" s="306">
        <v>1076</v>
      </c>
      <c r="B163" s="300" t="s">
        <v>883</v>
      </c>
      <c r="C163" s="299" t="s">
        <v>115</v>
      </c>
      <c r="D163" s="299" t="s">
        <v>115</v>
      </c>
      <c r="R163" s="527">
        <v>3.2021000000000002</v>
      </c>
      <c r="S163" s="528">
        <v>159</v>
      </c>
      <c r="T163" s="79">
        <f t="shared" si="11"/>
        <v>5300</v>
      </c>
    </row>
    <row r="164" spans="1:20" ht="15.6" thickTop="1" thickBot="1">
      <c r="A164" s="1">
        <v>5401</v>
      </c>
      <c r="B164" s="300" t="s">
        <v>79</v>
      </c>
      <c r="C164" s="299" t="s">
        <v>116</v>
      </c>
      <c r="D164" s="299" t="s">
        <v>116</v>
      </c>
      <c r="R164" s="527">
        <v>4.2020999999999997</v>
      </c>
      <c r="S164" s="528">
        <v>160</v>
      </c>
      <c r="T164" s="79">
        <f t="shared" si="11"/>
        <v>5300</v>
      </c>
    </row>
    <row r="165" spans="1:20" ht="15.6" thickTop="1" thickBot="1">
      <c r="A165" s="1">
        <v>1082</v>
      </c>
      <c r="B165" s="300" t="s">
        <v>5783</v>
      </c>
      <c r="C165" s="299" t="s">
        <v>116</v>
      </c>
      <c r="D165" s="299" t="s">
        <v>116</v>
      </c>
      <c r="R165" s="527">
        <v>5.2020999999999997</v>
      </c>
      <c r="S165" s="528">
        <v>161</v>
      </c>
      <c r="T165" s="79">
        <f t="shared" si="11"/>
        <v>5300</v>
      </c>
    </row>
    <row r="166" spans="1:20" ht="15.6" thickTop="1" thickBot="1">
      <c r="A166" s="1">
        <v>1063</v>
      </c>
      <c r="B166" s="300" t="s">
        <v>5348</v>
      </c>
      <c r="C166" s="299" t="s">
        <v>116</v>
      </c>
      <c r="D166" s="299" t="s">
        <v>116</v>
      </c>
      <c r="R166" s="527">
        <v>6.2020999999999997</v>
      </c>
      <c r="S166" s="528">
        <v>162</v>
      </c>
      <c r="T166" s="79">
        <f t="shared" si="11"/>
        <v>5300</v>
      </c>
    </row>
    <row r="167" spans="1:20" ht="15.6" thickTop="1" thickBot="1">
      <c r="A167" s="1">
        <v>1096</v>
      </c>
      <c r="B167" s="300" t="s">
        <v>5346</v>
      </c>
      <c r="C167" s="299" t="s">
        <v>116</v>
      </c>
      <c r="D167" s="299" t="s">
        <v>116</v>
      </c>
      <c r="R167" s="527">
        <v>7.2020999999999997</v>
      </c>
      <c r="S167" s="528">
        <v>163</v>
      </c>
      <c r="T167" s="79">
        <f t="shared" si="11"/>
        <v>5300</v>
      </c>
    </row>
    <row r="168" spans="1:20" ht="15.6" thickTop="1" thickBot="1">
      <c r="A168" s="306">
        <v>1118</v>
      </c>
      <c r="B168" s="300" t="s">
        <v>915</v>
      </c>
      <c r="C168" s="299" t="s">
        <v>115</v>
      </c>
      <c r="D168" s="299" t="s">
        <v>115</v>
      </c>
      <c r="R168" s="527">
        <v>8.2020999999999997</v>
      </c>
      <c r="S168" s="528">
        <v>164</v>
      </c>
      <c r="T168" s="79">
        <f t="shared" si="11"/>
        <v>5300</v>
      </c>
    </row>
    <row r="169" spans="1:20" ht="15.6" thickTop="1" thickBot="1">
      <c r="A169" s="306">
        <v>1123</v>
      </c>
      <c r="B169" s="300" t="s">
        <v>1339</v>
      </c>
      <c r="C169" s="299" t="s">
        <v>116</v>
      </c>
      <c r="D169" s="299" t="s">
        <v>115</v>
      </c>
      <c r="R169" s="527">
        <v>9.2020999999999997</v>
      </c>
      <c r="S169" s="528">
        <v>165</v>
      </c>
      <c r="T169" s="79">
        <f t="shared" si="11"/>
        <v>5300</v>
      </c>
    </row>
    <row r="170" spans="1:20" ht="15.6" thickTop="1" thickBot="1">
      <c r="A170" s="306">
        <v>1132</v>
      </c>
      <c r="B170" s="300" t="s">
        <v>917</v>
      </c>
      <c r="C170" s="299" t="s">
        <v>116</v>
      </c>
      <c r="D170" s="299" t="s">
        <v>115</v>
      </c>
      <c r="R170" s="527">
        <v>10.2021</v>
      </c>
      <c r="S170" s="528">
        <v>166</v>
      </c>
      <c r="T170" s="79">
        <f t="shared" si="11"/>
        <v>5300</v>
      </c>
    </row>
    <row r="171" spans="1:20" ht="15.6" thickTop="1" thickBot="1">
      <c r="A171" s="306">
        <v>1233</v>
      </c>
      <c r="B171" s="300" t="s">
        <v>5782</v>
      </c>
      <c r="C171" s="299" t="s">
        <v>116</v>
      </c>
      <c r="D171" s="299" t="s">
        <v>116</v>
      </c>
      <c r="R171" s="527">
        <v>11.2021</v>
      </c>
      <c r="S171" s="528">
        <v>167</v>
      </c>
      <c r="T171" s="79">
        <f t="shared" si="11"/>
        <v>5300</v>
      </c>
    </row>
    <row r="172" spans="1:20" ht="15.6" thickTop="1" thickBot="1">
      <c r="A172" s="306">
        <v>1297</v>
      </c>
      <c r="B172" s="300" t="s">
        <v>4385</v>
      </c>
      <c r="C172" s="299" t="s">
        <v>115</v>
      </c>
      <c r="D172" s="299" t="s">
        <v>115</v>
      </c>
      <c r="R172" s="527">
        <v>12.2021</v>
      </c>
      <c r="S172" s="528">
        <v>168</v>
      </c>
      <c r="T172" s="79">
        <f t="shared" si="11"/>
        <v>5300</v>
      </c>
    </row>
    <row r="173" spans="1:20" ht="15.6" thickTop="1" thickBot="1">
      <c r="A173" s="306">
        <v>1358</v>
      </c>
      <c r="B173" s="300" t="s">
        <v>1340</v>
      </c>
      <c r="C173" s="299" t="s">
        <v>115</v>
      </c>
      <c r="D173" s="299" t="s">
        <v>115</v>
      </c>
      <c r="R173" s="527">
        <v>1.2021999999999999</v>
      </c>
      <c r="S173" s="528">
        <v>169</v>
      </c>
      <c r="T173" s="79">
        <f t="shared" si="11"/>
        <v>5300</v>
      </c>
    </row>
    <row r="174" spans="1:20" ht="15.6" thickTop="1" thickBot="1">
      <c r="A174" s="306">
        <v>1375</v>
      </c>
      <c r="B174" s="300" t="s">
        <v>919</v>
      </c>
      <c r="C174" s="299" t="s">
        <v>116</v>
      </c>
      <c r="D174" s="299" t="s">
        <v>115</v>
      </c>
      <c r="R174" s="527">
        <v>2.2021999999999999</v>
      </c>
      <c r="S174" s="528">
        <v>170</v>
      </c>
      <c r="T174" s="79">
        <f t="shared" si="11"/>
        <v>5300</v>
      </c>
    </row>
    <row r="175" spans="1:20" ht="15.6" thickTop="1" thickBot="1">
      <c r="A175" s="306">
        <v>1389</v>
      </c>
      <c r="B175" s="300" t="s">
        <v>921</v>
      </c>
      <c r="C175" s="299" t="s">
        <v>115</v>
      </c>
      <c r="D175" s="299" t="s">
        <v>115</v>
      </c>
      <c r="R175" s="527">
        <v>3.2021999999999999</v>
      </c>
      <c r="S175" s="528">
        <v>171</v>
      </c>
      <c r="T175" s="79">
        <f t="shared" si="11"/>
        <v>5300</v>
      </c>
    </row>
    <row r="176" spans="1:20" ht="15.6" thickTop="1" thickBot="1">
      <c r="A176" s="306">
        <v>1464</v>
      </c>
      <c r="B176" s="300" t="s">
        <v>923</v>
      </c>
      <c r="C176" s="299" t="s">
        <v>116</v>
      </c>
      <c r="D176" s="299" t="s">
        <v>115</v>
      </c>
      <c r="R176" s="527">
        <v>4.2022000000000004</v>
      </c>
      <c r="S176" s="528">
        <v>172</v>
      </c>
      <c r="T176" s="79">
        <f t="shared" si="11"/>
        <v>5300</v>
      </c>
    </row>
    <row r="177" spans="1:20" ht="15.6" thickTop="1" thickBot="1">
      <c r="A177" s="306">
        <v>1501</v>
      </c>
      <c r="B177" s="300" t="s">
        <v>925</v>
      </c>
      <c r="C177" s="299" t="s">
        <v>115</v>
      </c>
      <c r="D177" s="299" t="s">
        <v>115</v>
      </c>
      <c r="R177" s="527">
        <v>5.2022000000000004</v>
      </c>
      <c r="S177" s="528">
        <v>173</v>
      </c>
      <c r="T177" s="79">
        <f t="shared" si="11"/>
        <v>5300</v>
      </c>
    </row>
    <row r="178" spans="1:20" ht="15.6" thickTop="1" thickBot="1">
      <c r="A178" s="306">
        <v>1565</v>
      </c>
      <c r="B178" s="300" t="s">
        <v>927</v>
      </c>
      <c r="C178" s="299" t="s">
        <v>115</v>
      </c>
      <c r="D178" s="299" t="s">
        <v>115</v>
      </c>
      <c r="R178" s="527">
        <v>6.2022000000000004</v>
      </c>
      <c r="S178" s="528">
        <v>174</v>
      </c>
      <c r="T178" s="79">
        <f t="shared" si="11"/>
        <v>5300</v>
      </c>
    </row>
    <row r="179" spans="1:20" ht="15.6" thickTop="1" thickBot="1">
      <c r="A179" s="306">
        <v>1614</v>
      </c>
      <c r="B179" s="300" t="s">
        <v>929</v>
      </c>
      <c r="C179" s="299" t="s">
        <v>115</v>
      </c>
      <c r="D179" s="299" t="s">
        <v>115</v>
      </c>
      <c r="R179" s="527">
        <v>7.2022000000000004</v>
      </c>
      <c r="S179" s="528">
        <v>175</v>
      </c>
      <c r="T179" s="79">
        <f t="shared" si="11"/>
        <v>5300</v>
      </c>
    </row>
    <row r="180" spans="1:20" ht="15.6" thickTop="1" thickBot="1">
      <c r="A180" s="306">
        <v>1615</v>
      </c>
      <c r="B180" s="300" t="s">
        <v>2380</v>
      </c>
      <c r="C180" s="299" t="s">
        <v>115</v>
      </c>
      <c r="D180" s="299" t="s">
        <v>115</v>
      </c>
      <c r="R180" s="527">
        <v>8.2021999999999995</v>
      </c>
      <c r="S180" s="528">
        <v>176</v>
      </c>
      <c r="T180" s="79">
        <f t="shared" si="11"/>
        <v>5300</v>
      </c>
    </row>
    <row r="181" spans="1:20" ht="15.6" thickTop="1" thickBot="1">
      <c r="A181" s="306">
        <v>1619</v>
      </c>
      <c r="B181" s="300" t="s">
        <v>931</v>
      </c>
      <c r="C181" s="299" t="s">
        <v>115</v>
      </c>
      <c r="D181" s="299" t="s">
        <v>115</v>
      </c>
      <c r="R181" s="527">
        <v>9.2021999999999995</v>
      </c>
      <c r="S181" s="528">
        <v>177</v>
      </c>
      <c r="T181" s="79">
        <f t="shared" si="11"/>
        <v>5300</v>
      </c>
    </row>
    <row r="182" spans="1:20" ht="15.6" thickTop="1" thickBot="1">
      <c r="A182" s="306">
        <v>1648</v>
      </c>
      <c r="B182" s="300" t="s">
        <v>933</v>
      </c>
      <c r="C182" s="299" t="s">
        <v>115</v>
      </c>
      <c r="D182" s="299" t="s">
        <v>115</v>
      </c>
      <c r="R182" s="527">
        <v>10.202199999999999</v>
      </c>
      <c r="S182" s="528">
        <v>178</v>
      </c>
      <c r="T182" s="79">
        <f t="shared" si="11"/>
        <v>5300</v>
      </c>
    </row>
    <row r="183" spans="1:20" ht="15.6" thickTop="1" thickBot="1">
      <c r="A183" s="306">
        <v>1657</v>
      </c>
      <c r="B183" s="300" t="s">
        <v>985</v>
      </c>
      <c r="C183" s="299" t="s">
        <v>115</v>
      </c>
      <c r="D183" s="299" t="s">
        <v>115</v>
      </c>
      <c r="R183" s="527">
        <v>11.202199999999999</v>
      </c>
      <c r="S183" s="528">
        <v>179</v>
      </c>
      <c r="T183" s="79">
        <f t="shared" si="11"/>
        <v>5300</v>
      </c>
    </row>
    <row r="184" spans="1:20" ht="15.6" thickTop="1" thickBot="1">
      <c r="A184" s="306">
        <v>1672</v>
      </c>
      <c r="B184" s="300" t="s">
        <v>935</v>
      </c>
      <c r="C184" s="299" t="s">
        <v>115</v>
      </c>
      <c r="D184" s="299" t="s">
        <v>115</v>
      </c>
      <c r="R184" s="527">
        <v>12.202199999999999</v>
      </c>
      <c r="S184" s="528">
        <v>180</v>
      </c>
      <c r="T184" s="79">
        <f t="shared" si="11"/>
        <v>5300</v>
      </c>
    </row>
    <row r="185" spans="1:20" ht="15.6" thickTop="1" thickBot="1">
      <c r="A185" s="306">
        <v>1699</v>
      </c>
      <c r="B185" t="s">
        <v>1400</v>
      </c>
      <c r="C185" s="299" t="s">
        <v>116</v>
      </c>
      <c r="D185" s="299" t="s">
        <v>115</v>
      </c>
      <c r="R185" s="527">
        <v>1.2022999999999999</v>
      </c>
      <c r="S185" s="528">
        <v>181</v>
      </c>
      <c r="T185" s="79">
        <f t="shared" si="11"/>
        <v>5300</v>
      </c>
    </row>
    <row r="186" spans="1:20" ht="15.6" thickTop="1" thickBot="1">
      <c r="A186" s="306">
        <v>1715</v>
      </c>
      <c r="B186" s="300" t="s">
        <v>937</v>
      </c>
      <c r="C186" s="299" t="s">
        <v>115</v>
      </c>
      <c r="D186" s="299" t="s">
        <v>115</v>
      </c>
      <c r="R186" s="527">
        <v>2.2023000000000001</v>
      </c>
      <c r="S186" s="528">
        <v>182</v>
      </c>
      <c r="T186" s="79">
        <f t="shared" si="11"/>
        <v>5300</v>
      </c>
    </row>
    <row r="187" spans="1:20" ht="15.6" thickTop="1" thickBot="1">
      <c r="A187" s="306">
        <v>1730</v>
      </c>
      <c r="B187" s="300" t="s">
        <v>939</v>
      </c>
      <c r="C187" s="299" t="s">
        <v>116</v>
      </c>
      <c r="D187" s="299" t="s">
        <v>115</v>
      </c>
      <c r="R187" s="527">
        <v>3.2023000000000001</v>
      </c>
      <c r="S187" s="528">
        <v>183</v>
      </c>
      <c r="T187" s="79">
        <f t="shared" si="11"/>
        <v>5300</v>
      </c>
    </row>
    <row r="188" spans="1:20" ht="15.6" thickTop="1" thickBot="1">
      <c r="A188" s="306">
        <v>1731</v>
      </c>
      <c r="B188" s="300" t="s">
        <v>941</v>
      </c>
      <c r="C188" s="299" t="s">
        <v>116</v>
      </c>
      <c r="D188" s="299" t="s">
        <v>115</v>
      </c>
      <c r="R188" s="527">
        <v>4.2023000000000001</v>
      </c>
      <c r="S188" s="528">
        <v>184</v>
      </c>
      <c r="T188" s="79">
        <f>+$AA$13</f>
        <v>5571.75</v>
      </c>
    </row>
    <row r="189" spans="1:20" ht="15.6" thickTop="1" thickBot="1">
      <c r="A189" s="306">
        <v>1792</v>
      </c>
      <c r="B189" s="300" t="s">
        <v>943</v>
      </c>
      <c r="C189" s="299" t="s">
        <v>115</v>
      </c>
      <c r="D189" s="299" t="s">
        <v>115</v>
      </c>
      <c r="R189" s="527">
        <v>5.2023000000000001</v>
      </c>
      <c r="S189" s="528">
        <v>185</v>
      </c>
      <c r="T189" s="79">
        <f t="shared" ref="T189:T199" si="12">+$AA$13</f>
        <v>5571.75</v>
      </c>
    </row>
    <row r="190" spans="1:20" ht="15.6" thickTop="1" thickBot="1">
      <c r="A190" s="306">
        <v>1797</v>
      </c>
      <c r="B190" s="300" t="s">
        <v>945</v>
      </c>
      <c r="C190" s="299" t="s">
        <v>116</v>
      </c>
      <c r="D190" s="299" t="s">
        <v>115</v>
      </c>
      <c r="R190" s="527">
        <v>6.2023000000000001</v>
      </c>
      <c r="S190" s="528">
        <v>186</v>
      </c>
      <c r="T190" s="79">
        <f t="shared" si="12"/>
        <v>5571.75</v>
      </c>
    </row>
    <row r="191" spans="1:20" ht="15.6" thickTop="1" thickBot="1">
      <c r="A191" s="306">
        <v>1942</v>
      </c>
      <c r="B191" s="300" t="s">
        <v>947</v>
      </c>
      <c r="C191" s="299" t="s">
        <v>116</v>
      </c>
      <c r="D191" s="299" t="s">
        <v>115</v>
      </c>
      <c r="R191" s="527">
        <v>7.2023000000000001</v>
      </c>
      <c r="S191" s="528">
        <v>187</v>
      </c>
      <c r="T191" s="79">
        <f t="shared" si="12"/>
        <v>5571.75</v>
      </c>
    </row>
    <row r="192" spans="1:20" ht="15.6" thickTop="1" thickBot="1">
      <c r="A192" s="306">
        <v>1944</v>
      </c>
      <c r="B192" s="300" t="s">
        <v>22</v>
      </c>
      <c r="C192" s="299" t="s">
        <v>115</v>
      </c>
      <c r="D192" s="299" t="s">
        <v>115</v>
      </c>
      <c r="R192" s="527">
        <v>8.2022999999999993</v>
      </c>
      <c r="S192" s="528">
        <v>188</v>
      </c>
      <c r="T192" s="79">
        <f t="shared" si="12"/>
        <v>5571.75</v>
      </c>
    </row>
    <row r="193" spans="1:20" ht="15.6" thickTop="1" thickBot="1">
      <c r="A193" s="306">
        <v>1951</v>
      </c>
      <c r="B193" s="300" t="s">
        <v>5276</v>
      </c>
      <c r="C193" s="299" t="s">
        <v>115</v>
      </c>
      <c r="D193" s="299" t="s">
        <v>115</v>
      </c>
      <c r="R193" s="527">
        <v>9.2022999999999993</v>
      </c>
      <c r="S193" s="528">
        <v>189</v>
      </c>
      <c r="T193" s="79">
        <f t="shared" si="12"/>
        <v>5571.75</v>
      </c>
    </row>
    <row r="194" spans="1:20" ht="15.6" thickTop="1" thickBot="1">
      <c r="A194" s="306">
        <v>1957</v>
      </c>
      <c r="B194" s="300" t="s">
        <v>1341</v>
      </c>
      <c r="C194" s="299" t="s">
        <v>115</v>
      </c>
      <c r="D194" s="299" t="s">
        <v>115</v>
      </c>
      <c r="R194" s="527">
        <v>10.202299999999999</v>
      </c>
      <c r="S194" s="528">
        <v>190</v>
      </c>
      <c r="T194" s="79">
        <f t="shared" si="12"/>
        <v>5571.75</v>
      </c>
    </row>
    <row r="195" spans="1:20" ht="15.6" thickTop="1" thickBot="1">
      <c r="A195" s="306">
        <v>1961</v>
      </c>
      <c r="B195" s="300" t="s">
        <v>950</v>
      </c>
      <c r="C195" s="299" t="s">
        <v>116</v>
      </c>
      <c r="D195" s="299" t="s">
        <v>115</v>
      </c>
      <c r="R195" s="527">
        <v>11.202299999999999</v>
      </c>
      <c r="S195" s="528">
        <v>191</v>
      </c>
      <c r="T195" s="79">
        <f t="shared" si="12"/>
        <v>5571.75</v>
      </c>
    </row>
    <row r="196" spans="1:20" ht="15.6" thickTop="1" thickBot="1">
      <c r="A196" s="306">
        <v>1965</v>
      </c>
      <c r="B196" s="300" t="s">
        <v>1342</v>
      </c>
      <c r="C196" s="299" t="s">
        <v>116</v>
      </c>
      <c r="D196" s="299" t="s">
        <v>115</v>
      </c>
      <c r="R196" s="527">
        <v>12.202299999999999</v>
      </c>
      <c r="S196" s="528">
        <v>192</v>
      </c>
      <c r="T196" s="79">
        <f t="shared" si="12"/>
        <v>5571.75</v>
      </c>
    </row>
    <row r="197" spans="1:20" ht="15.6" thickTop="1" thickBot="1">
      <c r="A197" s="306">
        <v>1967</v>
      </c>
      <c r="B197" s="300" t="s">
        <v>950</v>
      </c>
      <c r="C197" s="299" t="s">
        <v>116</v>
      </c>
      <c r="D197" s="299" t="s">
        <v>116</v>
      </c>
      <c r="R197" s="527">
        <v>1.2023999999999999</v>
      </c>
      <c r="S197" s="528">
        <v>193</v>
      </c>
      <c r="T197" s="79">
        <f t="shared" si="12"/>
        <v>5571.75</v>
      </c>
    </row>
    <row r="198" spans="1:20" ht="15.6" thickTop="1" thickBot="1">
      <c r="A198" s="306">
        <v>1973</v>
      </c>
      <c r="B198" s="300" t="s">
        <v>1343</v>
      </c>
      <c r="C198" s="299" t="s">
        <v>116</v>
      </c>
      <c r="D198" s="299" t="s">
        <v>115</v>
      </c>
      <c r="R198" s="527">
        <v>2.2023999999999999</v>
      </c>
      <c r="S198" s="528">
        <v>194</v>
      </c>
      <c r="T198" s="79">
        <f t="shared" si="12"/>
        <v>5571.75</v>
      </c>
    </row>
    <row r="199" spans="1:20" ht="15.6" thickTop="1" thickBot="1">
      <c r="A199" s="306">
        <v>1978</v>
      </c>
      <c r="B199" s="300" t="s">
        <v>1344</v>
      </c>
      <c r="C199" s="299" t="s">
        <v>116</v>
      </c>
      <c r="D199" s="299" t="s">
        <v>115</v>
      </c>
      <c r="R199" s="527">
        <v>3.2023999999999999</v>
      </c>
      <c r="S199" s="528">
        <v>195</v>
      </c>
      <c r="T199" s="79">
        <f t="shared" si="12"/>
        <v>5571.75</v>
      </c>
    </row>
    <row r="200" spans="1:20" ht="15.6" thickTop="1" thickBot="1">
      <c r="A200" s="306">
        <v>1982</v>
      </c>
      <c r="B200" s="300" t="s">
        <v>1345</v>
      </c>
      <c r="C200" s="299" t="s">
        <v>116</v>
      </c>
      <c r="D200" s="299" t="s">
        <v>115</v>
      </c>
      <c r="R200" s="527">
        <v>4.2023999999999999</v>
      </c>
      <c r="S200" s="528">
        <v>196</v>
      </c>
      <c r="T200" s="79">
        <f>+$AA$14</f>
        <v>5880</v>
      </c>
    </row>
    <row r="201" spans="1:20" ht="15.6" thickTop="1" thickBot="1">
      <c r="A201" s="306">
        <v>1987</v>
      </c>
      <c r="B201" s="300" t="s">
        <v>1346</v>
      </c>
      <c r="C201" s="299" t="s">
        <v>115</v>
      </c>
      <c r="D201" s="299" t="s">
        <v>115</v>
      </c>
      <c r="R201" s="527">
        <v>5.2023999999999999</v>
      </c>
      <c r="S201" s="528">
        <v>197</v>
      </c>
      <c r="T201" s="79">
        <f>+$AA$14</f>
        <v>5880</v>
      </c>
    </row>
    <row r="202" spans="1:20" ht="15.6" thickTop="1" thickBot="1">
      <c r="A202" s="306">
        <v>1989</v>
      </c>
      <c r="B202" s="300" t="s">
        <v>952</v>
      </c>
      <c r="C202" s="299" t="s">
        <v>115</v>
      </c>
      <c r="D202" s="299" t="s">
        <v>115</v>
      </c>
      <c r="R202" s="527">
        <v>6.2023999999999999</v>
      </c>
      <c r="S202" s="528">
        <v>198</v>
      </c>
      <c r="T202" s="79">
        <f t="shared" ref="T202:T211" si="13">+$AA$14</f>
        <v>5880</v>
      </c>
    </row>
    <row r="203" spans="1:20" ht="15.6" thickTop="1" thickBot="1">
      <c r="A203" s="306">
        <v>2028</v>
      </c>
      <c r="B203" s="300" t="s">
        <v>5770</v>
      </c>
      <c r="C203" s="299" t="s">
        <v>116</v>
      </c>
      <c r="D203" s="299" t="s">
        <v>116</v>
      </c>
      <c r="R203" s="527">
        <v>7.2023999999999999</v>
      </c>
      <c r="S203" s="528">
        <v>199</v>
      </c>
      <c r="T203" s="79">
        <f t="shared" si="13"/>
        <v>5880</v>
      </c>
    </row>
    <row r="204" spans="1:20" ht="15.6" thickTop="1" thickBot="1">
      <c r="A204" s="306">
        <v>2029</v>
      </c>
      <c r="B204" s="300" t="s">
        <v>5771</v>
      </c>
      <c r="C204" s="299" t="s">
        <v>116</v>
      </c>
      <c r="D204" s="299" t="s">
        <v>116</v>
      </c>
      <c r="R204" s="527">
        <v>8.2024000000000008</v>
      </c>
      <c r="S204" s="528">
        <v>200</v>
      </c>
      <c r="T204" s="79">
        <f t="shared" si="13"/>
        <v>5880</v>
      </c>
    </row>
    <row r="205" spans="1:20" ht="15.6" thickTop="1" thickBot="1">
      <c r="A205" s="339">
        <v>5524</v>
      </c>
      <c r="B205" s="300" t="s">
        <v>82</v>
      </c>
      <c r="C205" s="299" t="s">
        <v>116</v>
      </c>
      <c r="D205" s="299" t="s">
        <v>116</v>
      </c>
      <c r="R205" s="527">
        <v>9.2024000000000008</v>
      </c>
      <c r="S205" s="528">
        <v>201</v>
      </c>
      <c r="T205" s="79">
        <f t="shared" si="13"/>
        <v>5880</v>
      </c>
    </row>
    <row r="206" spans="1:20" ht="15.6" thickTop="1" thickBot="1">
      <c r="A206" s="306">
        <v>4124</v>
      </c>
      <c r="B206" s="300" t="s">
        <v>954</v>
      </c>
      <c r="C206" s="299" t="s">
        <v>116</v>
      </c>
      <c r="D206" s="299" t="s">
        <v>115</v>
      </c>
      <c r="R206" s="527">
        <v>10.202400000000001</v>
      </c>
      <c r="S206" s="528">
        <v>202</v>
      </c>
      <c r="T206" s="79">
        <f t="shared" si="13"/>
        <v>5880</v>
      </c>
    </row>
    <row r="207" spans="1:20" ht="15.6" thickTop="1" thickBot="1">
      <c r="A207" s="306">
        <v>4144</v>
      </c>
      <c r="B207" s="300" t="s">
        <v>1347</v>
      </c>
      <c r="C207" s="299" t="s">
        <v>115</v>
      </c>
      <c r="D207" s="299" t="s">
        <v>115</v>
      </c>
      <c r="R207" s="527">
        <v>11.202400000000001</v>
      </c>
      <c r="S207" s="528">
        <v>203</v>
      </c>
      <c r="T207" s="79">
        <f t="shared" si="13"/>
        <v>5880</v>
      </c>
    </row>
    <row r="208" spans="1:20" ht="15.6" thickTop="1" thickBot="1">
      <c r="A208" s="306">
        <v>4147</v>
      </c>
      <c r="B208" s="300" t="s">
        <v>35</v>
      </c>
      <c r="C208" s="299" t="s">
        <v>115</v>
      </c>
      <c r="D208" s="299" t="s">
        <v>115</v>
      </c>
      <c r="R208" s="527">
        <v>12.202400000000001</v>
      </c>
      <c r="S208" s="528">
        <v>204</v>
      </c>
      <c r="T208" s="79">
        <f t="shared" si="13"/>
        <v>5880</v>
      </c>
    </row>
    <row r="209" spans="1:20" ht="15.6" thickTop="1" thickBot="1">
      <c r="A209" s="306">
        <v>4156</v>
      </c>
      <c r="B209" s="300" t="s">
        <v>957</v>
      </c>
      <c r="C209" s="299" t="s">
        <v>116</v>
      </c>
      <c r="D209" s="299" t="s">
        <v>115</v>
      </c>
      <c r="R209" s="527">
        <v>1.2024999999999999</v>
      </c>
      <c r="S209" s="528">
        <v>205</v>
      </c>
      <c r="T209" s="79">
        <f t="shared" si="13"/>
        <v>5880</v>
      </c>
    </row>
    <row r="210" spans="1:20" ht="15.6" thickTop="1" thickBot="1">
      <c r="A210" s="306">
        <v>4169</v>
      </c>
      <c r="B210" s="300" t="s">
        <v>959</v>
      </c>
      <c r="C210" s="299" t="s">
        <v>115</v>
      </c>
      <c r="D210" s="299" t="s">
        <v>115</v>
      </c>
      <c r="R210" s="527">
        <v>2.2025000000000001</v>
      </c>
      <c r="S210" s="528">
        <v>206</v>
      </c>
      <c r="T210" s="79">
        <f t="shared" si="13"/>
        <v>5880</v>
      </c>
    </row>
    <row r="211" spans="1:20" ht="15.6" thickTop="1" thickBot="1">
      <c r="A211" s="306">
        <v>4173</v>
      </c>
      <c r="B211" s="300" t="s">
        <v>1294</v>
      </c>
      <c r="C211" s="299" t="s">
        <v>116</v>
      </c>
      <c r="D211" s="299" t="s">
        <v>116</v>
      </c>
      <c r="R211" s="527">
        <v>3.2025000000000001</v>
      </c>
      <c r="S211" s="528">
        <v>207</v>
      </c>
      <c r="T211" s="79">
        <f t="shared" si="13"/>
        <v>5880</v>
      </c>
    </row>
    <row r="212" spans="1:20" ht="15.6" thickTop="1" thickBot="1">
      <c r="A212" s="306">
        <v>4180</v>
      </c>
      <c r="B212" s="300" t="s">
        <v>961</v>
      </c>
      <c r="C212" s="299" t="s">
        <v>116</v>
      </c>
      <c r="D212" s="299" t="s">
        <v>115</v>
      </c>
      <c r="R212" s="527">
        <v>4.2024999999999997</v>
      </c>
      <c r="S212" s="528">
        <v>208</v>
      </c>
      <c r="T212" s="79">
        <f>+$AA$15</f>
        <v>6247</v>
      </c>
    </row>
    <row r="213" spans="1:20" ht="15.6" thickTop="1" thickBot="1">
      <c r="A213" s="579">
        <v>4220</v>
      </c>
      <c r="B213" s="300" t="s">
        <v>5068</v>
      </c>
      <c r="C213" s="299" t="s">
        <v>116</v>
      </c>
      <c r="D213" s="299" t="s">
        <v>115</v>
      </c>
      <c r="R213" s="527">
        <v>5.2024999999999997</v>
      </c>
      <c r="S213" s="528">
        <v>209</v>
      </c>
      <c r="T213" s="79">
        <f>+$AA$15</f>
        <v>6247</v>
      </c>
    </row>
    <row r="214" spans="1:20" ht="15.6" thickTop="1" thickBot="1">
      <c r="A214" s="306">
        <v>4221</v>
      </c>
      <c r="B214" s="300" t="s">
        <v>5069</v>
      </c>
      <c r="C214" s="299" t="s">
        <v>116</v>
      </c>
      <c r="D214" s="299" t="s">
        <v>115</v>
      </c>
      <c r="R214" s="527">
        <v>6.2024999999999997</v>
      </c>
      <c r="S214" s="528">
        <v>210</v>
      </c>
      <c r="T214" s="79">
        <f t="shared" ref="T214:T223" si="14">+$AA$15</f>
        <v>6247</v>
      </c>
    </row>
    <row r="215" spans="1:20" ht="15.6" thickTop="1" thickBot="1">
      <c r="A215" s="306">
        <v>4233</v>
      </c>
      <c r="B215" s="300" t="s">
        <v>963</v>
      </c>
      <c r="C215" s="299" t="s">
        <v>115</v>
      </c>
      <c r="D215" s="299" t="s">
        <v>115</v>
      </c>
      <c r="R215" s="527">
        <v>7.2024999999999997</v>
      </c>
      <c r="S215" s="528">
        <v>211</v>
      </c>
      <c r="T215" s="79">
        <f t="shared" si="14"/>
        <v>6247</v>
      </c>
    </row>
    <row r="216" spans="1:20" ht="15.6" thickTop="1" thickBot="1">
      <c r="A216" s="306">
        <v>4244</v>
      </c>
      <c r="B216" s="300" t="s">
        <v>1348</v>
      </c>
      <c r="C216" s="299" t="s">
        <v>115</v>
      </c>
      <c r="D216" s="299" t="s">
        <v>115</v>
      </c>
      <c r="R216" s="527">
        <v>8.2025000000000006</v>
      </c>
      <c r="S216" s="528">
        <v>212</v>
      </c>
      <c r="T216" s="79">
        <f t="shared" si="14"/>
        <v>6247</v>
      </c>
    </row>
    <row r="217" spans="1:20" ht="15.6" thickTop="1" thickBot="1">
      <c r="A217" s="306">
        <v>4262</v>
      </c>
      <c r="B217" s="300" t="s">
        <v>965</v>
      </c>
      <c r="C217" s="299" t="s">
        <v>115</v>
      </c>
      <c r="D217" s="299" t="s">
        <v>115</v>
      </c>
      <c r="R217" s="527">
        <v>9.2025000000000006</v>
      </c>
      <c r="S217" s="528">
        <v>213</v>
      </c>
      <c r="T217" s="79">
        <f t="shared" si="14"/>
        <v>6247</v>
      </c>
    </row>
    <row r="218" spans="1:20" ht="15.6" thickTop="1" thickBot="1">
      <c r="A218" s="306">
        <v>4271</v>
      </c>
      <c r="B218" s="300" t="s">
        <v>966</v>
      </c>
      <c r="C218" s="299" t="s">
        <v>116</v>
      </c>
      <c r="D218" s="299" t="s">
        <v>115</v>
      </c>
      <c r="R218" s="527">
        <v>10.202500000000001</v>
      </c>
      <c r="S218" s="528">
        <v>214</v>
      </c>
      <c r="T218" s="79">
        <f t="shared" si="14"/>
        <v>6247</v>
      </c>
    </row>
    <row r="219" spans="1:20" ht="15.6" thickTop="1" thickBot="1">
      <c r="A219" s="306">
        <v>4318</v>
      </c>
      <c r="B219" s="300" t="s">
        <v>968</v>
      </c>
      <c r="C219" s="299" t="s">
        <v>115</v>
      </c>
      <c r="D219" s="299" t="s">
        <v>115</v>
      </c>
      <c r="R219" s="527">
        <v>11.202500000000001</v>
      </c>
      <c r="S219" s="528">
        <v>215</v>
      </c>
      <c r="T219" s="79">
        <f t="shared" si="14"/>
        <v>6247</v>
      </c>
    </row>
    <row r="220" spans="1:20" ht="15.6" thickTop="1" thickBot="1">
      <c r="A220" s="306">
        <v>4319</v>
      </c>
      <c r="B220" s="300" t="s">
        <v>970</v>
      </c>
      <c r="C220" s="299" t="s">
        <v>115</v>
      </c>
      <c r="D220" s="299" t="s">
        <v>115</v>
      </c>
      <c r="R220" s="527">
        <v>12.202500000000001</v>
      </c>
      <c r="S220" s="528">
        <v>216</v>
      </c>
      <c r="T220" s="79">
        <f t="shared" si="14"/>
        <v>6247</v>
      </c>
    </row>
    <row r="221" spans="1:20" ht="15.6" thickTop="1" thickBot="1">
      <c r="A221" s="306">
        <v>4366</v>
      </c>
      <c r="B221" s="300" t="s">
        <v>954</v>
      </c>
      <c r="C221" s="299" t="s">
        <v>116</v>
      </c>
      <c r="D221" s="299" t="s">
        <v>115</v>
      </c>
      <c r="R221" s="527">
        <v>1.2025999999999999</v>
      </c>
      <c r="S221" s="528">
        <v>217</v>
      </c>
      <c r="T221" s="79">
        <f t="shared" si="14"/>
        <v>6247</v>
      </c>
    </row>
    <row r="222" spans="1:20" ht="15.6" thickTop="1" thickBot="1">
      <c r="A222" s="306">
        <v>4374</v>
      </c>
      <c r="B222" s="300" t="s">
        <v>973</v>
      </c>
      <c r="C222" s="299" t="s">
        <v>115</v>
      </c>
      <c r="D222" s="299" t="s">
        <v>115</v>
      </c>
      <c r="R222" s="527">
        <v>2.2025999999999999</v>
      </c>
      <c r="S222" s="528">
        <v>218</v>
      </c>
      <c r="T222" s="79">
        <f t="shared" si="14"/>
        <v>6247</v>
      </c>
    </row>
    <row r="223" spans="1:20" ht="15.6" thickTop="1" thickBot="1">
      <c r="A223" s="306">
        <v>4406</v>
      </c>
      <c r="B223" s="300" t="s">
        <v>975</v>
      </c>
      <c r="C223" s="299" t="s">
        <v>115</v>
      </c>
      <c r="D223" s="299" t="s">
        <v>115</v>
      </c>
      <c r="R223" s="527">
        <v>3.2025999999999999</v>
      </c>
      <c r="S223" s="528">
        <v>219</v>
      </c>
      <c r="T223" s="79">
        <f t="shared" si="14"/>
        <v>6247</v>
      </c>
    </row>
    <row r="224" spans="1:20" ht="15.6" thickTop="1" thickBot="1">
      <c r="A224" s="306">
        <v>4415</v>
      </c>
      <c r="B224" s="300" t="s">
        <v>977</v>
      </c>
      <c r="C224" s="299" t="s">
        <v>115</v>
      </c>
      <c r="D224" s="299" t="s">
        <v>115</v>
      </c>
      <c r="R224" s="527">
        <v>4.2026000000000003</v>
      </c>
      <c r="S224" s="528">
        <v>220</v>
      </c>
      <c r="T224" s="79">
        <f>+$AA$16</f>
        <v>6443.85</v>
      </c>
    </row>
    <row r="225" spans="1:20" ht="15.6" thickTop="1" thickBot="1">
      <c r="A225" s="306">
        <v>4418</v>
      </c>
      <c r="B225" s="300" t="s">
        <v>979</v>
      </c>
      <c r="C225" s="299" t="s">
        <v>115</v>
      </c>
      <c r="D225" s="299" t="s">
        <v>115</v>
      </c>
      <c r="R225" s="527">
        <v>5.2026000000000003</v>
      </c>
      <c r="S225" s="528">
        <v>221</v>
      </c>
      <c r="T225" s="79">
        <f t="shared" ref="T225:T232" si="15">+$AA$16</f>
        <v>6443.85</v>
      </c>
    </row>
    <row r="226" spans="1:20" ht="15.6" thickTop="1" thickBot="1">
      <c r="A226" s="306">
        <v>4419</v>
      </c>
      <c r="B226" s="300" t="s">
        <v>981</v>
      </c>
      <c r="C226" s="299" t="s">
        <v>115</v>
      </c>
      <c r="D226" s="299" t="s">
        <v>115</v>
      </c>
      <c r="R226" s="527">
        <v>6.2026000000000003</v>
      </c>
      <c r="S226" s="528">
        <v>222</v>
      </c>
      <c r="T226" s="79">
        <f t="shared" si="15"/>
        <v>6443.85</v>
      </c>
    </row>
    <row r="227" spans="1:20" ht="15.6" thickTop="1" thickBot="1">
      <c r="A227" s="306">
        <v>4420</v>
      </c>
      <c r="B227" s="300" t="s">
        <v>983</v>
      </c>
      <c r="C227" s="299" t="s">
        <v>115</v>
      </c>
      <c r="D227" s="299" t="s">
        <v>115</v>
      </c>
      <c r="R227" s="527">
        <v>7.2026000000000003</v>
      </c>
      <c r="S227" s="528">
        <v>223</v>
      </c>
      <c r="T227" s="79">
        <f t="shared" si="15"/>
        <v>6443.85</v>
      </c>
    </row>
    <row r="228" spans="1:20" ht="15.6" thickTop="1" thickBot="1">
      <c r="A228" s="306">
        <v>4422</v>
      </c>
      <c r="B228" s="300" t="s">
        <v>985</v>
      </c>
      <c r="C228" s="299" t="s">
        <v>115</v>
      </c>
      <c r="D228" s="299" t="s">
        <v>115</v>
      </c>
      <c r="R228" s="527">
        <v>8.2026000000000003</v>
      </c>
      <c r="S228" s="528">
        <v>224</v>
      </c>
      <c r="T228" s="79">
        <f t="shared" si="15"/>
        <v>6443.85</v>
      </c>
    </row>
    <row r="229" spans="1:20" ht="15.6" thickTop="1" thickBot="1">
      <c r="A229" s="306">
        <v>4427</v>
      </c>
      <c r="B229" s="300" t="s">
        <v>987</v>
      </c>
      <c r="C229" s="299" t="s">
        <v>115</v>
      </c>
      <c r="D229" s="299" t="s">
        <v>115</v>
      </c>
      <c r="R229" s="527">
        <v>9.2026000000000003</v>
      </c>
      <c r="S229" s="528">
        <v>225</v>
      </c>
      <c r="T229" s="79">
        <f t="shared" si="15"/>
        <v>6443.85</v>
      </c>
    </row>
    <row r="230" spans="1:20" ht="15.6" thickTop="1" thickBot="1">
      <c r="A230" s="306">
        <v>4428</v>
      </c>
      <c r="B230" s="300" t="s">
        <v>988</v>
      </c>
      <c r="C230" s="299" t="s">
        <v>115</v>
      </c>
      <c r="D230" s="299" t="s">
        <v>115</v>
      </c>
      <c r="R230" s="527">
        <v>10.2026</v>
      </c>
      <c r="S230" s="528">
        <v>226</v>
      </c>
      <c r="T230" s="79">
        <f t="shared" si="15"/>
        <v>6443.85</v>
      </c>
    </row>
    <row r="231" spans="1:20" ht="15.6" thickTop="1" thickBot="1">
      <c r="A231" s="306">
        <v>4446</v>
      </c>
      <c r="B231" s="300" t="s">
        <v>1349</v>
      </c>
      <c r="C231" s="299" t="s">
        <v>115</v>
      </c>
      <c r="D231" s="299" t="s">
        <v>115</v>
      </c>
      <c r="R231" s="527">
        <v>11.2026</v>
      </c>
      <c r="S231" s="528">
        <v>227</v>
      </c>
      <c r="T231" s="79">
        <f t="shared" si="15"/>
        <v>6443.85</v>
      </c>
    </row>
    <row r="232" spans="1:20" ht="15.6" thickTop="1" thickBot="1">
      <c r="A232" s="306">
        <v>4447</v>
      </c>
      <c r="B232" s="300" t="s">
        <v>1350</v>
      </c>
      <c r="C232" s="299" t="s">
        <v>115</v>
      </c>
      <c r="D232" s="299" t="s">
        <v>115</v>
      </c>
      <c r="R232" s="527">
        <v>12.2026</v>
      </c>
      <c r="S232" s="528">
        <v>228</v>
      </c>
      <c r="T232" s="79">
        <f t="shared" si="15"/>
        <v>6443.85</v>
      </c>
    </row>
    <row r="233" spans="1:20" ht="15.6" thickTop="1" thickBot="1">
      <c r="A233" s="306">
        <v>4448</v>
      </c>
      <c r="B233" s="300" t="s">
        <v>1351</v>
      </c>
      <c r="C233" s="299" t="s">
        <v>115</v>
      </c>
      <c r="D233" s="299" t="s">
        <v>115</v>
      </c>
    </row>
    <row r="234" spans="1:20" ht="15.6" thickTop="1" thickBot="1">
      <c r="A234" s="306">
        <v>4449</v>
      </c>
      <c r="B234" s="300" t="s">
        <v>1352</v>
      </c>
      <c r="C234" s="299" t="s">
        <v>115</v>
      </c>
      <c r="D234" s="299" t="s">
        <v>115</v>
      </c>
    </row>
    <row r="235" spans="1:20" ht="15.6" thickTop="1" thickBot="1">
      <c r="A235" s="306">
        <v>4453</v>
      </c>
      <c r="B235" s="300" t="s">
        <v>989</v>
      </c>
      <c r="C235" s="299" t="s">
        <v>116</v>
      </c>
      <c r="D235" s="299" t="s">
        <v>115</v>
      </c>
    </row>
    <row r="236" spans="1:20" ht="15.6" thickTop="1" thickBot="1">
      <c r="A236" s="306">
        <v>4468</v>
      </c>
      <c r="B236" s="300" t="s">
        <v>1353</v>
      </c>
      <c r="C236" s="299" t="s">
        <v>115</v>
      </c>
      <c r="D236" s="299" t="s">
        <v>115</v>
      </c>
    </row>
    <row r="237" spans="1:20" ht="15.6" thickTop="1" thickBot="1">
      <c r="A237" s="306">
        <v>4469</v>
      </c>
      <c r="B237" s="300" t="s">
        <v>1354</v>
      </c>
      <c r="C237" s="299" t="s">
        <v>116</v>
      </c>
      <c r="D237" s="299" t="s">
        <v>115</v>
      </c>
      <c r="R237" s="527"/>
      <c r="S237" s="528"/>
      <c r="T237" s="79"/>
    </row>
    <row r="238" spans="1:20" ht="15.6" thickTop="1" thickBot="1">
      <c r="A238" s="306">
        <v>4495</v>
      </c>
      <c r="B238" s="300" t="s">
        <v>1314</v>
      </c>
      <c r="C238" s="299" t="s">
        <v>116</v>
      </c>
      <c r="D238" s="299" t="s">
        <v>115</v>
      </c>
      <c r="R238" s="527"/>
      <c r="S238" s="528"/>
      <c r="T238" s="79"/>
    </row>
    <row r="239" spans="1:20" ht="15.6" thickTop="1" thickBot="1">
      <c r="A239" s="306">
        <v>4500</v>
      </c>
      <c r="B239" s="300" t="s">
        <v>991</v>
      </c>
      <c r="C239" s="299" t="s">
        <v>116</v>
      </c>
      <c r="D239" s="299" t="s">
        <v>115</v>
      </c>
    </row>
    <row r="240" spans="1:20" ht="15.6" thickTop="1" thickBot="1">
      <c r="A240" s="306">
        <v>4534</v>
      </c>
      <c r="B240" s="300" t="s">
        <v>943</v>
      </c>
      <c r="C240" s="299" t="s">
        <v>115</v>
      </c>
      <c r="D240" s="299" t="s">
        <v>115</v>
      </c>
    </row>
    <row r="241" spans="1:4" ht="15.6" thickTop="1" thickBot="1">
      <c r="A241" s="306">
        <v>4544</v>
      </c>
      <c r="B241" s="300" t="s">
        <v>994</v>
      </c>
      <c r="C241" s="299">
        <f>+E3</f>
        <v>0</v>
      </c>
      <c r="D241" s="299" t="s">
        <v>115</v>
      </c>
    </row>
    <row r="242" spans="1:4" ht="15.6" thickTop="1" thickBot="1">
      <c r="A242" s="306">
        <v>4547</v>
      </c>
      <c r="B242" s="300" t="s">
        <v>996</v>
      </c>
      <c r="C242" s="299" t="s">
        <v>115</v>
      </c>
      <c r="D242" s="299" t="s">
        <v>115</v>
      </c>
    </row>
    <row r="243" spans="1:4" ht="15.6" thickTop="1" thickBot="1">
      <c r="A243" s="306">
        <v>4549</v>
      </c>
      <c r="B243" s="300" t="s">
        <v>789</v>
      </c>
      <c r="C243" s="299" t="s">
        <v>115</v>
      </c>
      <c r="D243" s="299" t="s">
        <v>115</v>
      </c>
    </row>
    <row r="244" spans="1:4" ht="15.6" thickTop="1" thickBot="1">
      <c r="A244" s="1">
        <v>4550</v>
      </c>
      <c r="B244" s="300" t="s">
        <v>998</v>
      </c>
      <c r="C244" s="299" t="s">
        <v>115</v>
      </c>
      <c r="D244" s="299" t="s">
        <v>115</v>
      </c>
    </row>
    <row r="245" spans="1:4" ht="15.6" thickTop="1" thickBot="1">
      <c r="A245" s="306">
        <v>4576</v>
      </c>
      <c r="B245" s="300" t="s">
        <v>1000</v>
      </c>
      <c r="C245" s="299" t="s">
        <v>116</v>
      </c>
      <c r="D245" s="299" t="s">
        <v>115</v>
      </c>
    </row>
    <row r="246" spans="1:4" ht="28.8" thickTop="1" thickBot="1">
      <c r="A246" s="306">
        <v>4577</v>
      </c>
      <c r="B246" s="300" t="s">
        <v>1002</v>
      </c>
      <c r="C246" s="299" t="s">
        <v>116</v>
      </c>
      <c r="D246" s="299" t="s">
        <v>115</v>
      </c>
    </row>
    <row r="247" spans="1:4" ht="15.6" thickTop="1" thickBot="1">
      <c r="A247" s="306">
        <v>4578</v>
      </c>
      <c r="B247" s="300" t="s">
        <v>1355</v>
      </c>
      <c r="C247" s="299" t="s">
        <v>116</v>
      </c>
      <c r="D247" s="299" t="s">
        <v>115</v>
      </c>
    </row>
    <row r="248" spans="1:4" ht="15.6" thickTop="1" thickBot="1">
      <c r="A248" s="306">
        <v>4578</v>
      </c>
      <c r="B248" s="300" t="s">
        <v>797</v>
      </c>
      <c r="C248" s="299" t="s">
        <v>116</v>
      </c>
      <c r="D248" s="299" t="s">
        <v>115</v>
      </c>
    </row>
    <row r="249" spans="1:4" ht="15.6" thickTop="1" thickBot="1">
      <c r="A249" s="306">
        <v>4579</v>
      </c>
      <c r="B249" s="300" t="s">
        <v>1004</v>
      </c>
      <c r="C249" s="299" t="s">
        <v>115</v>
      </c>
      <c r="D249" s="299" t="s">
        <v>115</v>
      </c>
    </row>
    <row r="250" spans="1:4" ht="28.8" thickTop="1" thickBot="1">
      <c r="A250" s="306">
        <v>4592</v>
      </c>
      <c r="B250" s="300" t="s">
        <v>1006</v>
      </c>
      <c r="C250" s="299" t="s">
        <v>116</v>
      </c>
      <c r="D250" s="299" t="s">
        <v>115</v>
      </c>
    </row>
    <row r="251" spans="1:4" ht="15.6" thickTop="1" thickBot="1">
      <c r="A251" s="306">
        <v>4593</v>
      </c>
      <c r="B251" s="300" t="s">
        <v>1356</v>
      </c>
      <c r="C251" s="299" t="s">
        <v>116</v>
      </c>
      <c r="D251" s="299" t="s">
        <v>115</v>
      </c>
    </row>
    <row r="252" spans="1:4" ht="15.6" thickTop="1" thickBot="1">
      <c r="A252" s="306">
        <v>4599</v>
      </c>
      <c r="B252" s="300" t="s">
        <v>1357</v>
      </c>
      <c r="C252" s="299" t="s">
        <v>116</v>
      </c>
      <c r="D252" s="299" t="s">
        <v>115</v>
      </c>
    </row>
    <row r="253" spans="1:4" ht="15.6" thickTop="1" thickBot="1">
      <c r="A253" s="306">
        <v>4624</v>
      </c>
      <c r="B253" s="300" t="s">
        <v>1008</v>
      </c>
      <c r="C253" s="299" t="s">
        <v>116</v>
      </c>
      <c r="D253" s="299" t="s">
        <v>116</v>
      </c>
    </row>
    <row r="254" spans="1:4" ht="15.6" thickTop="1" thickBot="1">
      <c r="A254" s="306">
        <v>4628</v>
      </c>
      <c r="B254" s="300" t="s">
        <v>1010</v>
      </c>
      <c r="C254" s="299" t="s">
        <v>115</v>
      </c>
      <c r="D254" s="299" t="s">
        <v>115</v>
      </c>
    </row>
    <row r="255" spans="1:4" ht="15.6" thickTop="1" thickBot="1">
      <c r="A255" s="306">
        <v>4639</v>
      </c>
      <c r="B255" s="300" t="s">
        <v>1012</v>
      </c>
      <c r="C255" s="299" t="s">
        <v>115</v>
      </c>
      <c r="D255" s="299" t="s">
        <v>115</v>
      </c>
    </row>
    <row r="256" spans="1:4" ht="15.6" thickTop="1" thickBot="1">
      <c r="A256" s="306">
        <v>4640</v>
      </c>
      <c r="B256" s="300" t="s">
        <v>1014</v>
      </c>
      <c r="C256" s="299" t="s">
        <v>115</v>
      </c>
      <c r="D256" s="299" t="s">
        <v>115</v>
      </c>
    </row>
    <row r="257" spans="1:4" ht="15.6" thickTop="1" thickBot="1">
      <c r="A257" s="306">
        <v>4642</v>
      </c>
      <c r="B257" s="300" t="s">
        <v>1008</v>
      </c>
      <c r="C257" s="299" t="s">
        <v>116</v>
      </c>
      <c r="D257" s="299" t="s">
        <v>115</v>
      </c>
    </row>
    <row r="258" spans="1:4" ht="15.6" thickTop="1" thickBot="1">
      <c r="A258" s="306">
        <v>4643</v>
      </c>
      <c r="B258" s="300" t="s">
        <v>1016</v>
      </c>
      <c r="C258" s="299" t="s">
        <v>116</v>
      </c>
      <c r="D258" s="299" t="s">
        <v>116</v>
      </c>
    </row>
    <row r="259" spans="1:4" ht="15.6" thickTop="1" thickBot="1">
      <c r="A259" s="306">
        <v>4644</v>
      </c>
      <c r="B259" s="300" t="s">
        <v>1018</v>
      </c>
      <c r="C259" s="299" t="s">
        <v>116</v>
      </c>
      <c r="D259" s="299" t="s">
        <v>115</v>
      </c>
    </row>
    <row r="260" spans="1:4" ht="15.6" thickTop="1" thickBot="1">
      <c r="A260" s="306">
        <v>4650</v>
      </c>
      <c r="B260" s="300" t="s">
        <v>1020</v>
      </c>
      <c r="C260" s="299" t="s">
        <v>116</v>
      </c>
      <c r="D260" s="299" t="s">
        <v>115</v>
      </c>
    </row>
    <row r="261" spans="1:4" ht="15.6" thickTop="1" thickBot="1">
      <c r="A261" s="306">
        <v>4651</v>
      </c>
      <c r="B261" s="300" t="s">
        <v>954</v>
      </c>
      <c r="C261" s="299" t="s">
        <v>115</v>
      </c>
      <c r="D261" s="299" t="s">
        <v>115</v>
      </c>
    </row>
    <row r="262" spans="1:4" ht="15.6" thickTop="1" thickBot="1">
      <c r="A262" s="306">
        <v>4658</v>
      </c>
      <c r="B262" s="300" t="s">
        <v>1661</v>
      </c>
      <c r="C262" s="299" t="s">
        <v>115</v>
      </c>
      <c r="D262" s="299" t="s">
        <v>115</v>
      </c>
    </row>
    <row r="263" spans="1:4" ht="15.6" thickTop="1" thickBot="1">
      <c r="A263" s="306">
        <v>4687</v>
      </c>
      <c r="B263" s="300" t="s">
        <v>954</v>
      </c>
      <c r="C263" s="299" t="s">
        <v>115</v>
      </c>
      <c r="D263" s="299" t="s">
        <v>115</v>
      </c>
    </row>
    <row r="264" spans="1:4" ht="15.6" thickTop="1" thickBot="1">
      <c r="A264" s="306">
        <v>4926</v>
      </c>
      <c r="B264" s="300" t="s">
        <v>1024</v>
      </c>
      <c r="C264" s="299" t="s">
        <v>116</v>
      </c>
      <c r="D264" s="299" t="s">
        <v>115</v>
      </c>
    </row>
    <row r="265" spans="1:4" ht="15.6" thickTop="1" thickBot="1">
      <c r="A265" s="306">
        <v>4932</v>
      </c>
      <c r="B265" s="300" t="s">
        <v>1026</v>
      </c>
      <c r="C265" s="299" t="s">
        <v>116</v>
      </c>
      <c r="D265" s="299" t="s">
        <v>115</v>
      </c>
    </row>
    <row r="266" spans="1:4" ht="15.6" thickTop="1" thickBot="1">
      <c r="A266" s="1">
        <v>4934</v>
      </c>
      <c r="B266" s="300" t="s">
        <v>1028</v>
      </c>
      <c r="C266" s="299" t="s">
        <v>116</v>
      </c>
      <c r="D266" s="299" t="s">
        <v>115</v>
      </c>
    </row>
    <row r="267" spans="1:4" ht="15.6" thickTop="1" thickBot="1">
      <c r="A267" s="306">
        <v>4935</v>
      </c>
      <c r="B267" s="300" t="s">
        <v>1030</v>
      </c>
      <c r="C267" s="299" t="s">
        <v>116</v>
      </c>
      <c r="D267" s="299" t="s">
        <v>115</v>
      </c>
    </row>
    <row r="268" spans="1:4" ht="28.8" thickTop="1" thickBot="1">
      <c r="A268" s="306">
        <v>4936</v>
      </c>
      <c r="B268" s="300" t="s">
        <v>1032</v>
      </c>
      <c r="C268" s="299" t="s">
        <v>116</v>
      </c>
      <c r="D268" s="299" t="s">
        <v>115</v>
      </c>
    </row>
    <row r="269" spans="1:4" ht="15.6" thickTop="1" thickBot="1">
      <c r="A269" s="306">
        <v>4950</v>
      </c>
      <c r="B269" s="300" t="s">
        <v>1358</v>
      </c>
      <c r="C269" s="299" t="s">
        <v>116</v>
      </c>
      <c r="D269" s="299" t="s">
        <v>115</v>
      </c>
    </row>
    <row r="270" spans="1:4" ht="15.6" thickTop="1" thickBot="1">
      <c r="A270" s="306">
        <v>4959</v>
      </c>
      <c r="B270" s="300" t="s">
        <v>1034</v>
      </c>
      <c r="C270" s="299" t="s">
        <v>116</v>
      </c>
      <c r="D270" s="299" t="s">
        <v>115</v>
      </c>
    </row>
    <row r="271" spans="1:4" ht="15.6" thickTop="1" thickBot="1">
      <c r="A271" s="1">
        <v>4983</v>
      </c>
      <c r="B271" s="300" t="s">
        <v>41</v>
      </c>
      <c r="C271" s="299" t="s">
        <v>115</v>
      </c>
      <c r="D271" s="299" t="s">
        <v>115</v>
      </c>
    </row>
    <row r="272" spans="1:4" ht="15.6" thickTop="1" thickBot="1">
      <c r="A272" s="306">
        <v>4994</v>
      </c>
      <c r="B272" s="300" t="s">
        <v>1037</v>
      </c>
      <c r="C272" s="299" t="s">
        <v>116</v>
      </c>
      <c r="D272" s="299" t="s">
        <v>115</v>
      </c>
    </row>
    <row r="273" spans="1:4" ht="15.6" thickTop="1" thickBot="1">
      <c r="A273" s="306">
        <v>4996</v>
      </c>
      <c r="B273" s="300" t="s">
        <v>1039</v>
      </c>
      <c r="C273" s="299" t="s">
        <v>116</v>
      </c>
      <c r="D273" s="299" t="s">
        <v>115</v>
      </c>
    </row>
    <row r="274" spans="1:4" ht="15.6" thickTop="1" thickBot="1">
      <c r="A274" s="306">
        <v>4997</v>
      </c>
      <c r="B274" s="300" t="s">
        <v>1041</v>
      </c>
      <c r="C274" s="299" t="s">
        <v>115</v>
      </c>
      <c r="D274" s="299" t="s">
        <v>115</v>
      </c>
    </row>
    <row r="275" spans="1:4" ht="15.6" thickTop="1" thickBot="1">
      <c r="A275" s="306">
        <v>4998</v>
      </c>
      <c r="B275" s="300" t="s">
        <v>879</v>
      </c>
      <c r="C275" s="299" t="s">
        <v>116</v>
      </c>
      <c r="D275" s="299" t="s">
        <v>115</v>
      </c>
    </row>
    <row r="276" spans="1:4" ht="15.6" thickTop="1" thickBot="1">
      <c r="A276" s="579">
        <v>5216</v>
      </c>
      <c r="B276" s="300" t="s">
        <v>95</v>
      </c>
      <c r="C276" s="299" t="s">
        <v>116</v>
      </c>
      <c r="D276" s="299" t="s">
        <v>115</v>
      </c>
    </row>
    <row r="277" spans="1:4" ht="15.6" thickTop="1" thickBot="1">
      <c r="A277" s="306">
        <v>5219</v>
      </c>
      <c r="B277" s="300" t="s">
        <v>1045</v>
      </c>
      <c r="C277" s="299" t="s">
        <v>116</v>
      </c>
      <c r="D277" s="299" t="s">
        <v>115</v>
      </c>
    </row>
    <row r="278" spans="1:4" ht="15.6" thickTop="1" thickBot="1">
      <c r="A278" s="306">
        <v>5224</v>
      </c>
      <c r="B278" s="300" t="s">
        <v>1047</v>
      </c>
      <c r="C278" s="299" t="s">
        <v>116</v>
      </c>
      <c r="D278" s="299" t="s">
        <v>115</v>
      </c>
    </row>
    <row r="279" spans="1:4" ht="15.6" thickTop="1" thickBot="1">
      <c r="A279" s="306">
        <v>5244</v>
      </c>
      <c r="B279" s="300" t="s">
        <v>1717</v>
      </c>
      <c r="C279" s="299" t="s">
        <v>115</v>
      </c>
      <c r="D279" s="299" t="s">
        <v>115</v>
      </c>
    </row>
    <row r="280" spans="1:4" ht="15.6" thickTop="1" thickBot="1">
      <c r="A280" s="306">
        <v>5251</v>
      </c>
      <c r="B280" s="300" t="s">
        <v>1049</v>
      </c>
      <c r="C280" s="299" t="s">
        <v>115</v>
      </c>
      <c r="D280" s="299" t="s">
        <v>115</v>
      </c>
    </row>
    <row r="281" spans="1:4" ht="15.6" thickTop="1" thickBot="1">
      <c r="A281" s="306">
        <v>5253</v>
      </c>
      <c r="B281" s="300" t="s">
        <v>78</v>
      </c>
      <c r="C281" s="299" t="s">
        <v>115</v>
      </c>
      <c r="D281" s="299" t="s">
        <v>115</v>
      </c>
    </row>
    <row r="282" spans="1:4" ht="15.6" thickTop="1" thickBot="1">
      <c r="A282" s="306">
        <v>5254</v>
      </c>
      <c r="B282" s="300" t="s">
        <v>78</v>
      </c>
      <c r="C282" s="299" t="s">
        <v>115</v>
      </c>
      <c r="D282" s="299" t="s">
        <v>115</v>
      </c>
    </row>
    <row r="283" spans="1:4" ht="15.6" thickTop="1" thickBot="1">
      <c r="A283" s="306">
        <v>5268</v>
      </c>
      <c r="B283" s="300" t="s">
        <v>1053</v>
      </c>
      <c r="C283" s="299" t="s">
        <v>116</v>
      </c>
      <c r="D283" s="299" t="s">
        <v>115</v>
      </c>
    </row>
    <row r="284" spans="1:4" ht="15.6" thickTop="1" thickBot="1">
      <c r="A284" s="306">
        <v>5270</v>
      </c>
      <c r="B284" s="300" t="s">
        <v>1055</v>
      </c>
      <c r="C284" s="299" t="s">
        <v>116</v>
      </c>
      <c r="D284" s="299" t="s">
        <v>115</v>
      </c>
    </row>
    <row r="285" spans="1:4" ht="15.6" thickTop="1" thickBot="1">
      <c r="A285" s="306">
        <v>5276</v>
      </c>
      <c r="B285" s="300" t="s">
        <v>1056</v>
      </c>
      <c r="C285" s="299" t="s">
        <v>116</v>
      </c>
      <c r="D285" s="299" t="s">
        <v>115</v>
      </c>
    </row>
    <row r="286" spans="1:4" ht="15.6" thickTop="1" thickBot="1">
      <c r="A286" s="306">
        <v>5279</v>
      </c>
      <c r="B286" s="300" t="s">
        <v>1058</v>
      </c>
      <c r="C286" s="299" t="s">
        <v>116</v>
      </c>
      <c r="D286" s="299" t="s">
        <v>115</v>
      </c>
    </row>
    <row r="287" spans="1:4" ht="15.6" thickTop="1" thickBot="1">
      <c r="A287" s="306">
        <v>5280</v>
      </c>
      <c r="B287" s="300" t="s">
        <v>1060</v>
      </c>
      <c r="C287" s="299" t="s">
        <v>116</v>
      </c>
      <c r="D287" s="299" t="s">
        <v>115</v>
      </c>
    </row>
    <row r="288" spans="1:4" ht="15.6" thickTop="1" thickBot="1">
      <c r="A288" s="306">
        <v>5283</v>
      </c>
      <c r="B288" s="300" t="s">
        <v>985</v>
      </c>
      <c r="C288" s="299" t="s">
        <v>116</v>
      </c>
      <c r="D288" s="299" t="s">
        <v>115</v>
      </c>
    </row>
    <row r="289" spans="1:4" ht="15.6" thickTop="1" thickBot="1">
      <c r="A289" s="306">
        <v>5287</v>
      </c>
      <c r="B289" s="300" t="s">
        <v>1724</v>
      </c>
      <c r="C289" s="299" t="s">
        <v>115</v>
      </c>
      <c r="D289" s="299" t="s">
        <v>115</v>
      </c>
    </row>
    <row r="290" spans="1:4" ht="15.6" thickTop="1" thickBot="1">
      <c r="A290" s="306">
        <v>5294</v>
      </c>
      <c r="B290" s="300" t="s">
        <v>1359</v>
      </c>
      <c r="C290" s="299" t="s">
        <v>115</v>
      </c>
      <c r="D290" s="299" t="s">
        <v>115</v>
      </c>
    </row>
    <row r="291" spans="1:4" ht="15.6" thickTop="1" thickBot="1">
      <c r="A291" s="306">
        <v>5296</v>
      </c>
      <c r="B291" s="300" t="s">
        <v>1360</v>
      </c>
      <c r="C291" s="299" t="s">
        <v>116</v>
      </c>
      <c r="D291" s="299" t="s">
        <v>115</v>
      </c>
    </row>
    <row r="292" spans="1:4" ht="15.6" thickTop="1" thickBot="1">
      <c r="A292" s="306">
        <v>5321</v>
      </c>
      <c r="B292" s="300" t="s">
        <v>1063</v>
      </c>
      <c r="C292" s="299" t="s">
        <v>116</v>
      </c>
      <c r="D292" s="299" t="s">
        <v>115</v>
      </c>
    </row>
    <row r="293" spans="1:4" ht="15.6" thickTop="1" thickBot="1">
      <c r="A293" s="306">
        <v>5322</v>
      </c>
      <c r="B293" s="300" t="s">
        <v>1065</v>
      </c>
      <c r="C293" s="299" t="s">
        <v>116</v>
      </c>
      <c r="D293" s="299" t="s">
        <v>115</v>
      </c>
    </row>
    <row r="294" spans="1:4" ht="15.6" thickTop="1" thickBot="1">
      <c r="A294" s="306">
        <v>5338</v>
      </c>
      <c r="B294" s="300" t="s">
        <v>1067</v>
      </c>
      <c r="C294" s="299" t="s">
        <v>116</v>
      </c>
      <c r="D294" s="299" t="s">
        <v>115</v>
      </c>
    </row>
    <row r="295" spans="1:4" ht="15.6" thickTop="1" thickBot="1">
      <c r="A295" s="306">
        <v>5339</v>
      </c>
      <c r="B295" s="300" t="s">
        <v>1069</v>
      </c>
      <c r="C295" s="299" t="s">
        <v>116</v>
      </c>
      <c r="D295" s="299" t="s">
        <v>115</v>
      </c>
    </row>
    <row r="296" spans="1:4" ht="15.6" thickTop="1" thickBot="1">
      <c r="A296" s="579">
        <v>5340</v>
      </c>
      <c r="B296" s="300" t="s">
        <v>1070</v>
      </c>
      <c r="C296" s="299" t="s">
        <v>115</v>
      </c>
      <c r="D296" s="299" t="s">
        <v>115</v>
      </c>
    </row>
    <row r="297" spans="1:4" ht="15.6" thickTop="1" thickBot="1">
      <c r="A297" s="372">
        <v>5401</v>
      </c>
      <c r="B297" s="300" t="s">
        <v>24</v>
      </c>
      <c r="C297" s="299" t="s">
        <v>116</v>
      </c>
      <c r="D297" s="299" t="s">
        <v>116</v>
      </c>
    </row>
    <row r="298" spans="1:4" ht="15.6" thickTop="1" thickBot="1">
      <c r="A298" s="306">
        <v>5402</v>
      </c>
      <c r="B298" s="300" t="s">
        <v>1361</v>
      </c>
      <c r="C298" s="299" t="s">
        <v>116</v>
      </c>
      <c r="D298" s="299" t="s">
        <v>116</v>
      </c>
    </row>
    <row r="299" spans="1:4" ht="15.6" thickTop="1" thickBot="1">
      <c r="A299" s="306">
        <v>5422</v>
      </c>
      <c r="B299" s="300" t="s">
        <v>1072</v>
      </c>
      <c r="C299" s="299" t="s">
        <v>116</v>
      </c>
      <c r="D299" s="299" t="s">
        <v>116</v>
      </c>
    </row>
    <row r="300" spans="1:4" ht="15.6" thickTop="1" thickBot="1">
      <c r="A300" s="306">
        <v>5533</v>
      </c>
      <c r="B300" s="300" t="s">
        <v>1369</v>
      </c>
      <c r="C300" s="299" t="s">
        <v>116</v>
      </c>
      <c r="D300" s="299" t="s">
        <v>116</v>
      </c>
    </row>
    <row r="301" spans="1:4" ht="15.6" thickTop="1" thickBot="1">
      <c r="A301" s="306">
        <v>5536</v>
      </c>
      <c r="B301" s="300" t="s">
        <v>5153</v>
      </c>
      <c r="C301" s="299" t="s">
        <v>116</v>
      </c>
      <c r="D301" s="299" t="s">
        <v>116</v>
      </c>
    </row>
    <row r="302" spans="1:4" ht="15.6" thickTop="1" thickBot="1">
      <c r="A302" s="306">
        <v>5539</v>
      </c>
      <c r="B302" s="300" t="s">
        <v>3232</v>
      </c>
      <c r="C302" s="299" t="s">
        <v>115</v>
      </c>
      <c r="D302" s="299" t="s">
        <v>115</v>
      </c>
    </row>
    <row r="303" spans="1:4" ht="15.6" thickTop="1" thickBot="1">
      <c r="A303" s="306">
        <v>5548</v>
      </c>
      <c r="B303" s="300" t="s">
        <v>5155</v>
      </c>
      <c r="C303" s="299" t="s">
        <v>116</v>
      </c>
      <c r="D303" s="299" t="s">
        <v>116</v>
      </c>
    </row>
    <row r="304" spans="1:4" ht="15.6" thickTop="1" thickBot="1">
      <c r="A304" s="306">
        <v>99998</v>
      </c>
      <c r="B304" s="300" t="s">
        <v>1432</v>
      </c>
      <c r="C304" s="299" t="s">
        <v>115</v>
      </c>
      <c r="D304" s="299" t="s">
        <v>115</v>
      </c>
    </row>
    <row r="305" ht="15" thickTop="1"/>
  </sheetData>
  <phoneticPr fontId="37" type="noConversion"/>
  <conditionalFormatting sqref="J8:J28">
    <cfRule type="notContainsBlanks" dxfId="1" priority="1">
      <formula>LEN(TRIM(J8))&gt;0</formula>
    </cfRule>
  </conditionalFormatting>
  <hyperlinks>
    <hyperlink ref="A17" r:id="rId1" display="../../marce/Dropbox/מטאור/מנהלת הגמלאות/הסבה/החלטת ממשלה הכרה בתוספות קבועות.pdf" xr:uid="{CDE6AE8F-AEFB-4908-80AB-552BC1E471CC}"/>
    <hyperlink ref="A20" r:id="rId2" display="../../marce/Dropbox/מטאור/מנהלת הגמלאות/הסבה/החלטת ממשלה הכרה בתוספות קבועות.pdf" xr:uid="{967343A8-CDA2-4F24-A4A6-1C5BDDF11908}"/>
    <hyperlink ref="A33" r:id="rId3" display="../../marce/Dropbox/מטאור/מנהלת הגמלאות/הסבה/ילקוט פרסומים 96.pdf" xr:uid="{D0358082-5C65-482C-B7E0-BD0819BB7A60}"/>
    <hyperlink ref="A49" r:id="rId4" display="../../marce/Dropbox/מטאור/מנהלת הגמלאות/הסבה/ילקוט פרסומים יולי 2005.pdf" xr:uid="{9E778527-B01C-466B-BEC1-C8C45B37DE45}"/>
    <hyperlink ref="A58" r:id="rId5" display="../../marce/Dropbox/מטאור/מנהלת הגמלאות/הסבה/ילקוט פרסומים יולי 2005.pdf" xr:uid="{8ADE7F42-B7FD-40C9-BCD1-46EB2091DF25}"/>
    <hyperlink ref="A69" r:id="rId6" display="../../marce/Dropbox/מטאור/מנהלת הגמלאות/הסבה/החלטת ממשלה הכרה בתוספות קבועות.pdf" xr:uid="{1063B81B-839D-4D74-9FDC-8F1F08B6C741}"/>
    <hyperlink ref="A95" r:id="rId7" display="../../marce/Dropbox/מטאור/מנהלת הגמלאות/הסבה/94החלטת ממשלה הכרה בתוספות קבועות.pdf" xr:uid="{DF471EC3-F2DE-4EE6-BA9E-378C8B253DE5}"/>
    <hyperlink ref="A118" r:id="rId8" display="../../marce/Dropbox/מטאור/מנהלת הגמלאות/הסבה/החלטת ממשלה הכרה בתוספות קבועות.pdf" xr:uid="{9ABD0E73-93CB-4953-8F08-2BA821CDDFF5}"/>
    <hyperlink ref="B118" r:id="rId9" display="../../marce/Dropbox/מטאור/מנהלת הגמלאות/הסבה/ילקוט פרסומים 96.pdf" xr:uid="{2F511958-D938-4052-A0C5-F45ABE5B98C8}"/>
    <hyperlink ref="A122" r:id="rId10" display="../../marce/Dropbox/מטאור/מנהלת הגמלאות/הסבה/94החלטת ממשלה הכרה בתוספות קבועות.pdf" xr:uid="{AEF02FEA-9E51-464C-98EE-357B8D7A95E2}"/>
    <hyperlink ref="A124" r:id="rId11" display="../../marce/Dropbox/מטאור/מנהלת הגמלאות/הסבה/החלטת ממשלה הכרה בתוספות קבועות.pdf" xr:uid="{8821AEC4-88FC-4FE4-A077-0189440E48B3}"/>
    <hyperlink ref="A125" r:id="rId12" display="../../marce/Dropbox/מטאור/מנהלת הגמלאות/הסבה/החלטת ממשלה הכרה בתוספות קבועות.pdf" xr:uid="{17C7288C-8C7B-4CBD-A599-EE8B4DF1669F}"/>
    <hyperlink ref="A141" r:id="rId13" display="../../marce/Dropbox/מטאור/מנהלת הגמלאות/הסבה/חוזר הכרה בתופת אוקטובר 2000.pdf" xr:uid="{14B88F9B-4459-4EC6-97DA-1015D71C5796}"/>
    <hyperlink ref="A142" r:id="rId14" display="../../marce/Dropbox/מטאור/מנהלת הגמלאות/הסבה/חוזר הכרה בתופת אוקטובר 2000.pdf" xr:uid="{941E11F1-6601-447D-8EA5-C0D9DA0AA38C}"/>
    <hyperlink ref="A150" r:id="rId15" display="../../marce/Dropbox/מטאור/מנהלת הגמלאות/הסבה/החלטת ממשלה הכרה בתוספות קבועות.pdf" xr:uid="{879C051C-2BD6-4D56-87CE-3802248C9910}"/>
    <hyperlink ref="A153" r:id="rId16" display="../../marce/Dropbox/מטאור/מנהלת הגמלאות/הסבה/החלטת ממשלה הכרה בתוספות קבועות.pdf" xr:uid="{D0725B25-FAD2-413E-8C21-AE04F614DA93}"/>
    <hyperlink ref="A163" r:id="rId17" display="../../marce/Dropbox/מטאור/מנהלת הגמלאות/הסבה/החלטת ממשלה הכרה בתוספות קבועות.pdf" xr:uid="{240CD204-3C97-46FB-81F8-1228585EDEC1}"/>
    <hyperlink ref="B163" r:id="rId18" display="../../marce/Dropbox/מטאור/מנהלת הגמלאות/הסבה/ילקוט פרסומים 96.pdf" xr:uid="{6A1C258D-D372-4117-9771-C1D1658D14B0}"/>
    <hyperlink ref="A169" r:id="rId19" display="../../marce/Dropbox/מטאור/מנהלת הגמלאות/הסבה/החלטת ממשלה הכרה בתוספות קבועות.pdf" xr:uid="{040D6F80-16B3-40CB-883C-48A66043B818}"/>
    <hyperlink ref="B169" r:id="rId20" display="../../marce/Dropbox/מטאור/מנהלת הגמלאות/הסבה/ילקוט פרסומים 96.pdf" xr:uid="{C253D6F1-1198-4241-992B-A53369787F01}"/>
    <hyperlink ref="A173" r:id="rId21" display="../../marce/Dropbox/מטאור/מנהלת הגמלאות/הסבה/החלטת ממשלה הכרה בתוספות קבועות.pdf" xr:uid="{0FCE45D0-E7B1-4422-89DB-CFCE8490577D}"/>
    <hyperlink ref="B173" r:id="rId22" display="../../marce/Dropbox/מטאור/מנהלת הגמלאות/הסבה/ילקוט פרסומים 96.pdf" xr:uid="{80ADBBE0-69E4-491D-8A49-1AF3BDF2D45E}"/>
    <hyperlink ref="A178" r:id="rId23" display="../../marce/Dropbox/מטאור/מנהלת הגמלאות/הסבה/החלטת ממשלה הכרה בתוספות קבועות.pdf" xr:uid="{FF55D4AD-3CD2-4ABF-8D4A-6C254FB9E013}"/>
    <hyperlink ref="A217" r:id="rId24" display="../../marce/Dropbox/מטאור/מנהלת הגמלאות/הסבה/החלטת ממשלה הכרה בתוספות קבועות.pdf" xr:uid="{205001DD-6BD1-4CF6-B5FC-43D4A29499D9}"/>
    <hyperlink ref="A223" r:id="rId25" display="../../marce/Dropbox/מטאור/מנהלת הגמלאות/הסבה/חוזר הכרה בתופת אוקטובר 2000.pdf" xr:uid="{A66247DA-B2D1-4F4B-8BF3-AAC82F187F84}"/>
    <hyperlink ref="A239" r:id="rId26" display="../../marce/Dropbox/מטאור/מנהלת הגמלאות/הסבה/החלטת ממשלה הכרה בתוספות קבועות.pdf" xr:uid="{090E7425-F59B-4042-A8F4-7FEAB264EEB9}"/>
    <hyperlink ref="B239" r:id="rId27" display="../../marce/Dropbox/מטאור/מנהלת הגמלאות/הסבה/ילקוט פרסומים 96.pdf" xr:uid="{689EB156-1312-44C5-9A1A-AF97AD46EE24}"/>
    <hyperlink ref="A253" r:id="rId28" display="../../marce/Dropbox/מטאור/מנהלת הגמלאות/הסבה/חוזר הכרה בתופת אוקטובר 2000.pdf" xr:uid="{82390038-BF1C-4550-A748-E63EE84FF357}"/>
    <hyperlink ref="A257" r:id="rId29" display="../../marce/Dropbox/מטאור/מנהלת הגמלאות/הסבה/חוזר הכרה בתופת אוקטובר 2000.pdf" xr:uid="{D53DBAB4-CE71-4F2A-BE44-72FF3AA4D6D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A1235-9064-41A6-966F-ED5B9E61CE9D}">
  <dimension ref="A1:G233"/>
  <sheetViews>
    <sheetView rightToLeft="1" workbookViewId="0">
      <selection activeCell="D185" sqref="D185:G232"/>
    </sheetView>
  </sheetViews>
  <sheetFormatPr defaultRowHeight="14.4"/>
  <cols>
    <col min="4" max="5" width="9.33203125" bestFit="1" customWidth="1"/>
    <col min="6" max="6" width="9.33203125" style="3" bestFit="1" customWidth="1"/>
    <col min="7" max="7" width="9.33203125" bestFit="1" customWidth="1"/>
  </cols>
  <sheetData>
    <row r="1" spans="1:7">
      <c r="A1" t="s">
        <v>12</v>
      </c>
      <c r="B1">
        <f>+'Netunei Gimlai'!B6</f>
        <v>1</v>
      </c>
      <c r="C1" t="s">
        <v>5788</v>
      </c>
      <c r="E1" s="192" cm="1">
        <f t="array" ref="E1">INDEX(D5:G232,B1,B2)</f>
        <v>0</v>
      </c>
    </row>
    <row r="2" spans="1:7">
      <c r="A2" t="s">
        <v>16</v>
      </c>
      <c r="B2">
        <f>+'Netunei Gimlai'!B9</f>
        <v>1</v>
      </c>
    </row>
    <row r="3" spans="1:7" ht="28.8">
      <c r="C3" t="s">
        <v>16</v>
      </c>
      <c r="D3" t="s">
        <v>1403</v>
      </c>
      <c r="E3" t="s">
        <v>104</v>
      </c>
      <c r="F3" s="3" t="s">
        <v>5787</v>
      </c>
      <c r="G3" t="s">
        <v>107</v>
      </c>
    </row>
    <row r="4" spans="1:7" ht="15" thickBot="1">
      <c r="D4">
        <v>1</v>
      </c>
      <c r="E4">
        <v>10</v>
      </c>
    </row>
    <row r="5" spans="1:7" ht="15.6" thickTop="1" thickBot="1">
      <c r="A5" s="110">
        <v>1</v>
      </c>
      <c r="B5" s="110">
        <v>1.2008000000000001</v>
      </c>
      <c r="C5" s="110">
        <v>1</v>
      </c>
      <c r="D5" s="590">
        <v>0</v>
      </c>
      <c r="E5" s="590">
        <v>0</v>
      </c>
      <c r="F5" s="591">
        <v>0</v>
      </c>
      <c r="G5" s="590">
        <v>0</v>
      </c>
    </row>
    <row r="6" spans="1:7" ht="15.6" thickTop="1" thickBot="1">
      <c r="A6" s="110">
        <v>2</v>
      </c>
      <c r="B6" s="110">
        <v>2.2008000000000001</v>
      </c>
      <c r="C6" s="110">
        <v>2</v>
      </c>
      <c r="D6" s="588">
        <v>0</v>
      </c>
      <c r="E6" s="588">
        <v>0</v>
      </c>
      <c r="F6" s="589">
        <v>0</v>
      </c>
      <c r="G6" s="588">
        <v>0</v>
      </c>
    </row>
    <row r="7" spans="1:7" ht="15.6" thickTop="1" thickBot="1">
      <c r="A7" s="110">
        <v>3</v>
      </c>
      <c r="B7" s="110">
        <v>3.2008000000000001</v>
      </c>
      <c r="C7" s="110">
        <v>3</v>
      </c>
      <c r="D7" s="588">
        <v>0</v>
      </c>
      <c r="E7" s="588">
        <v>0</v>
      </c>
      <c r="F7" s="589">
        <v>0</v>
      </c>
      <c r="G7" s="588">
        <v>0</v>
      </c>
    </row>
    <row r="8" spans="1:7" ht="15.6" thickTop="1" thickBot="1">
      <c r="A8" s="110">
        <v>4</v>
      </c>
      <c r="B8" s="110">
        <v>4.2008000000000001</v>
      </c>
      <c r="C8" s="110">
        <v>4</v>
      </c>
      <c r="D8" s="588">
        <v>0</v>
      </c>
      <c r="E8" s="588">
        <v>0</v>
      </c>
      <c r="F8" s="589">
        <v>0</v>
      </c>
      <c r="G8" s="588">
        <v>0</v>
      </c>
    </row>
    <row r="9" spans="1:7" ht="15.6" thickTop="1" thickBot="1">
      <c r="A9" s="110">
        <v>5</v>
      </c>
      <c r="B9" s="110">
        <v>5.2008000000000001</v>
      </c>
      <c r="C9" s="110">
        <v>5</v>
      </c>
      <c r="D9" s="588">
        <v>0</v>
      </c>
      <c r="E9" s="588">
        <v>0</v>
      </c>
      <c r="F9" s="589">
        <v>0</v>
      </c>
      <c r="G9" s="588">
        <v>0</v>
      </c>
    </row>
    <row r="10" spans="1:7" ht="15.6" thickTop="1" thickBot="1">
      <c r="A10" s="110">
        <v>6</v>
      </c>
      <c r="B10" s="110">
        <v>6.2008000000000001</v>
      </c>
      <c r="C10" s="110">
        <v>6</v>
      </c>
      <c r="D10" s="588">
        <v>0</v>
      </c>
      <c r="E10" s="588">
        <v>0</v>
      </c>
      <c r="F10" s="589">
        <v>0</v>
      </c>
      <c r="G10" s="588">
        <v>0</v>
      </c>
    </row>
    <row r="11" spans="1:7" ht="15.6" thickTop="1" thickBot="1">
      <c r="A11" s="110">
        <v>7</v>
      </c>
      <c r="B11" s="110">
        <v>7.2008000000000001</v>
      </c>
      <c r="C11" s="110">
        <v>7</v>
      </c>
      <c r="D11" s="588">
        <v>0</v>
      </c>
      <c r="E11" s="588">
        <v>0</v>
      </c>
      <c r="F11" s="589">
        <v>0</v>
      </c>
      <c r="G11" s="588">
        <v>0</v>
      </c>
    </row>
    <row r="12" spans="1:7" ht="15.6" thickTop="1" thickBot="1">
      <c r="A12" s="110">
        <v>8</v>
      </c>
      <c r="B12" s="110">
        <v>8.2007999999999992</v>
      </c>
      <c r="C12" s="110">
        <v>8</v>
      </c>
      <c r="D12" s="588">
        <v>0</v>
      </c>
      <c r="E12" s="588">
        <v>0</v>
      </c>
      <c r="F12" s="589">
        <v>0</v>
      </c>
      <c r="G12" s="588">
        <v>0</v>
      </c>
    </row>
    <row r="13" spans="1:7" ht="15.6" thickTop="1" thickBot="1">
      <c r="A13" s="110">
        <v>9</v>
      </c>
      <c r="B13" s="110">
        <v>9.2007999999999992</v>
      </c>
      <c r="C13" s="110">
        <v>9</v>
      </c>
      <c r="D13" s="588">
        <v>0</v>
      </c>
      <c r="E13" s="588">
        <v>0</v>
      </c>
      <c r="F13" s="589">
        <v>0</v>
      </c>
      <c r="G13" s="588">
        <v>0</v>
      </c>
    </row>
    <row r="14" spans="1:7" ht="15.6" thickTop="1" thickBot="1">
      <c r="A14" s="110">
        <v>10</v>
      </c>
      <c r="B14" s="110">
        <v>10.200799999999999</v>
      </c>
      <c r="C14" s="110">
        <v>10</v>
      </c>
      <c r="D14" s="588">
        <v>0</v>
      </c>
      <c r="E14" s="588">
        <v>0</v>
      </c>
      <c r="F14" s="589">
        <v>0</v>
      </c>
      <c r="G14" s="588">
        <v>0</v>
      </c>
    </row>
    <row r="15" spans="1:7" ht="15.6" thickTop="1" thickBot="1">
      <c r="A15" s="110">
        <v>11</v>
      </c>
      <c r="B15" s="110">
        <v>11.200799999999999</v>
      </c>
      <c r="C15" s="110">
        <v>11</v>
      </c>
      <c r="D15" s="588">
        <v>0</v>
      </c>
      <c r="E15" s="588">
        <v>0</v>
      </c>
      <c r="F15" s="589">
        <v>0</v>
      </c>
      <c r="G15" s="588">
        <v>0</v>
      </c>
    </row>
    <row r="16" spans="1:7" ht="15.6" thickTop="1" thickBot="1">
      <c r="A16" s="110">
        <v>12</v>
      </c>
      <c r="B16" s="110">
        <v>12.200799999999999</v>
      </c>
      <c r="C16" s="110">
        <v>12</v>
      </c>
      <c r="D16" s="588">
        <v>0</v>
      </c>
      <c r="E16" s="588">
        <v>0</v>
      </c>
      <c r="F16" s="589">
        <v>0</v>
      </c>
      <c r="G16" s="588">
        <v>0</v>
      </c>
    </row>
    <row r="17" spans="1:7" ht="15.6" thickTop="1" thickBot="1">
      <c r="A17" s="110">
        <v>13</v>
      </c>
      <c r="B17" s="110">
        <v>1.2009000000000001</v>
      </c>
      <c r="C17" s="110">
        <v>13</v>
      </c>
      <c r="D17" s="588">
        <v>0</v>
      </c>
      <c r="E17" s="588">
        <v>0</v>
      </c>
      <c r="F17" s="589">
        <v>0</v>
      </c>
      <c r="G17" s="588">
        <v>0</v>
      </c>
    </row>
    <row r="18" spans="1:7" ht="15.6" thickTop="1" thickBot="1">
      <c r="A18" s="110">
        <v>14</v>
      </c>
      <c r="B18" s="110">
        <v>2.2008999999999999</v>
      </c>
      <c r="C18" s="110">
        <v>14</v>
      </c>
      <c r="D18" s="588">
        <v>0</v>
      </c>
      <c r="E18" s="588">
        <v>0</v>
      </c>
      <c r="F18" s="589">
        <v>0</v>
      </c>
      <c r="G18" s="588">
        <v>0</v>
      </c>
    </row>
    <row r="19" spans="1:7" ht="15.6" thickTop="1" thickBot="1">
      <c r="A19" s="110">
        <v>15</v>
      </c>
      <c r="B19" s="110">
        <v>3.2008999999999999</v>
      </c>
      <c r="C19" s="110">
        <v>15</v>
      </c>
      <c r="D19" s="588">
        <v>0</v>
      </c>
      <c r="E19" s="588">
        <v>0</v>
      </c>
      <c r="F19" s="589">
        <v>0</v>
      </c>
      <c r="G19" s="588">
        <v>0</v>
      </c>
    </row>
    <row r="20" spans="1:7" ht="15.6" thickTop="1" thickBot="1">
      <c r="A20" s="110">
        <v>16</v>
      </c>
      <c r="B20" s="110">
        <v>4.2008999999999999</v>
      </c>
      <c r="C20" s="110">
        <v>16</v>
      </c>
      <c r="D20" s="588">
        <v>0</v>
      </c>
      <c r="E20" s="588">
        <v>0</v>
      </c>
      <c r="F20" s="589">
        <v>0</v>
      </c>
      <c r="G20" s="588">
        <v>0</v>
      </c>
    </row>
    <row r="21" spans="1:7" ht="15.6" thickTop="1" thickBot="1">
      <c r="A21" s="110">
        <v>17</v>
      </c>
      <c r="B21" s="110">
        <v>5.2008999999999999</v>
      </c>
      <c r="C21" s="110">
        <v>17</v>
      </c>
      <c r="D21" s="588">
        <v>0</v>
      </c>
      <c r="E21" s="588">
        <v>0</v>
      </c>
      <c r="F21" s="589">
        <v>0</v>
      </c>
      <c r="G21" s="588">
        <v>0</v>
      </c>
    </row>
    <row r="22" spans="1:7" ht="15.6" thickTop="1" thickBot="1">
      <c r="A22" s="110">
        <v>18</v>
      </c>
      <c r="B22" s="110">
        <v>6.2008999999999999</v>
      </c>
      <c r="C22" s="110">
        <v>18</v>
      </c>
      <c r="D22" s="588">
        <v>0</v>
      </c>
      <c r="E22" s="588">
        <v>0</v>
      </c>
      <c r="F22" s="589">
        <v>0</v>
      </c>
      <c r="G22" s="588">
        <v>0</v>
      </c>
    </row>
    <row r="23" spans="1:7" ht="15.6" thickTop="1" thickBot="1">
      <c r="A23" s="110">
        <v>19</v>
      </c>
      <c r="B23" s="110">
        <v>7.2008999999999999</v>
      </c>
      <c r="C23" s="110">
        <v>19</v>
      </c>
      <c r="D23" s="588">
        <v>0</v>
      </c>
      <c r="E23" s="588">
        <v>0</v>
      </c>
      <c r="F23" s="589">
        <v>0</v>
      </c>
      <c r="G23" s="588">
        <v>0</v>
      </c>
    </row>
    <row r="24" spans="1:7" ht="15.6" thickTop="1" thickBot="1">
      <c r="A24" s="110">
        <v>20</v>
      </c>
      <c r="B24" s="110">
        <v>8.2009000000000007</v>
      </c>
      <c r="C24" s="110">
        <v>20</v>
      </c>
      <c r="D24" s="588">
        <v>0</v>
      </c>
      <c r="E24" s="588">
        <v>0</v>
      </c>
      <c r="F24" s="589">
        <v>0</v>
      </c>
      <c r="G24" s="588">
        <v>0</v>
      </c>
    </row>
    <row r="25" spans="1:7" ht="15.6" thickTop="1" thickBot="1">
      <c r="A25" s="110">
        <v>21</v>
      </c>
      <c r="B25" s="110">
        <v>9.2009000000000007</v>
      </c>
      <c r="C25" s="110">
        <v>21</v>
      </c>
      <c r="D25" s="588">
        <v>0</v>
      </c>
      <c r="E25" s="588">
        <v>0</v>
      </c>
      <c r="F25" s="589">
        <v>0</v>
      </c>
      <c r="G25" s="588">
        <v>0</v>
      </c>
    </row>
    <row r="26" spans="1:7" ht="15.6" thickTop="1" thickBot="1">
      <c r="A26" s="110">
        <v>22</v>
      </c>
      <c r="B26" s="110">
        <v>10.200900000000001</v>
      </c>
      <c r="C26" s="110">
        <v>22</v>
      </c>
      <c r="D26" s="588">
        <v>0</v>
      </c>
      <c r="E26" s="588">
        <v>0</v>
      </c>
      <c r="F26" s="589">
        <v>0</v>
      </c>
      <c r="G26" s="588">
        <v>0</v>
      </c>
    </row>
    <row r="27" spans="1:7" ht="15.6" thickTop="1" thickBot="1">
      <c r="A27" s="110">
        <v>23</v>
      </c>
      <c r="B27" s="110">
        <v>11.200900000000001</v>
      </c>
      <c r="C27" s="110">
        <v>23</v>
      </c>
      <c r="D27" s="588">
        <v>0</v>
      </c>
      <c r="E27" s="588">
        <v>0</v>
      </c>
      <c r="F27" s="589">
        <v>0</v>
      </c>
      <c r="G27" s="588">
        <v>0</v>
      </c>
    </row>
    <row r="28" spans="1:7" ht="15.6" thickTop="1" thickBot="1">
      <c r="A28" s="110">
        <v>24</v>
      </c>
      <c r="B28" s="110">
        <v>12.200900000000001</v>
      </c>
      <c r="C28" s="110">
        <v>24</v>
      </c>
      <c r="D28" s="588">
        <v>0</v>
      </c>
      <c r="E28" s="588">
        <v>0</v>
      </c>
      <c r="F28" s="589">
        <v>0</v>
      </c>
      <c r="G28" s="588">
        <v>0</v>
      </c>
    </row>
    <row r="29" spans="1:7" ht="15.6" thickTop="1" thickBot="1">
      <c r="A29" s="110">
        <v>25</v>
      </c>
      <c r="B29" s="352">
        <v>1.2010000000000001</v>
      </c>
      <c r="C29" s="110">
        <v>25</v>
      </c>
      <c r="D29" s="588">
        <v>0</v>
      </c>
      <c r="E29" s="588">
        <v>0</v>
      </c>
      <c r="F29" s="589">
        <v>0</v>
      </c>
      <c r="G29" s="588">
        <v>0</v>
      </c>
    </row>
    <row r="30" spans="1:7" ht="15.6" thickTop="1" thickBot="1">
      <c r="A30" s="110">
        <v>26</v>
      </c>
      <c r="B30" s="352">
        <v>2.2010000000000001</v>
      </c>
      <c r="C30" s="110">
        <v>26</v>
      </c>
      <c r="D30" s="588">
        <v>0</v>
      </c>
      <c r="E30" s="588">
        <v>0</v>
      </c>
      <c r="F30" s="589">
        <v>0</v>
      </c>
      <c r="G30" s="588">
        <v>0</v>
      </c>
    </row>
    <row r="31" spans="1:7" ht="15.6" thickTop="1" thickBot="1">
      <c r="A31" s="110">
        <v>27</v>
      </c>
      <c r="B31" s="352">
        <v>3.2010000000000001</v>
      </c>
      <c r="C31" s="110">
        <v>27</v>
      </c>
      <c r="D31" s="588">
        <v>0</v>
      </c>
      <c r="E31" s="588">
        <v>0</v>
      </c>
      <c r="F31" s="589">
        <v>0</v>
      </c>
      <c r="G31" s="588">
        <v>0</v>
      </c>
    </row>
    <row r="32" spans="1:7" ht="15.6" thickTop="1" thickBot="1">
      <c r="A32" s="110">
        <v>28</v>
      </c>
      <c r="B32" s="352">
        <v>4.2009999999999996</v>
      </c>
      <c r="C32" s="110">
        <v>28</v>
      </c>
      <c r="D32" s="588">
        <v>0</v>
      </c>
      <c r="E32" s="588">
        <v>0</v>
      </c>
      <c r="F32" s="589">
        <v>0</v>
      </c>
      <c r="G32" s="588">
        <v>0</v>
      </c>
    </row>
    <row r="33" spans="1:7" ht="15.6" thickTop="1" thickBot="1">
      <c r="A33" s="110">
        <v>29</v>
      </c>
      <c r="B33" s="352">
        <v>5.2009999999999996</v>
      </c>
      <c r="C33" s="110">
        <v>29</v>
      </c>
      <c r="D33" s="588">
        <v>0</v>
      </c>
      <c r="E33" s="588">
        <v>0</v>
      </c>
      <c r="F33" s="589">
        <v>0</v>
      </c>
      <c r="G33" s="588">
        <v>0</v>
      </c>
    </row>
    <row r="34" spans="1:7" ht="15.6" thickTop="1" thickBot="1">
      <c r="A34" s="110">
        <v>30</v>
      </c>
      <c r="B34" s="352">
        <v>6.2009999999999996</v>
      </c>
      <c r="C34" s="110">
        <v>30</v>
      </c>
      <c r="D34" s="588">
        <v>0</v>
      </c>
      <c r="E34" s="588">
        <v>0</v>
      </c>
      <c r="F34" s="589">
        <v>0</v>
      </c>
      <c r="G34" s="588">
        <v>0</v>
      </c>
    </row>
    <row r="35" spans="1:7" ht="15.6" thickTop="1" thickBot="1">
      <c r="A35" s="110">
        <v>31</v>
      </c>
      <c r="B35" s="352">
        <v>7.2009999999999996</v>
      </c>
      <c r="C35" s="110">
        <v>31</v>
      </c>
      <c r="D35" s="588">
        <v>0</v>
      </c>
      <c r="E35" s="588">
        <v>0</v>
      </c>
      <c r="F35" s="589">
        <v>0</v>
      </c>
      <c r="G35" s="588">
        <v>0</v>
      </c>
    </row>
    <row r="36" spans="1:7" ht="15.6" thickTop="1" thickBot="1">
      <c r="A36" s="110">
        <v>32</v>
      </c>
      <c r="B36" s="352">
        <v>8.2010000000000005</v>
      </c>
      <c r="C36" s="110">
        <v>32</v>
      </c>
      <c r="D36" s="588">
        <v>0</v>
      </c>
      <c r="E36" s="588">
        <v>0</v>
      </c>
      <c r="F36" s="589">
        <v>0</v>
      </c>
      <c r="G36" s="588">
        <v>0</v>
      </c>
    </row>
    <row r="37" spans="1:7" ht="15.6" thickTop="1" thickBot="1">
      <c r="A37" s="110">
        <v>33</v>
      </c>
      <c r="B37" s="352">
        <v>9.2010000000000005</v>
      </c>
      <c r="C37" s="110">
        <v>33</v>
      </c>
      <c r="D37" s="588">
        <v>0</v>
      </c>
      <c r="E37" s="588">
        <v>0</v>
      </c>
      <c r="F37" s="589">
        <v>0</v>
      </c>
      <c r="G37" s="588">
        <v>0</v>
      </c>
    </row>
    <row r="38" spans="1:7" ht="15.6" thickTop="1" thickBot="1">
      <c r="A38" s="110">
        <v>34</v>
      </c>
      <c r="B38" s="352">
        <v>10.201000000000001</v>
      </c>
      <c r="C38" s="110">
        <v>34</v>
      </c>
      <c r="D38" s="588">
        <v>0</v>
      </c>
      <c r="E38" s="588">
        <v>0</v>
      </c>
      <c r="F38" s="589">
        <v>0</v>
      </c>
      <c r="G38" s="588">
        <v>0</v>
      </c>
    </row>
    <row r="39" spans="1:7" ht="15.6" thickTop="1" thickBot="1">
      <c r="A39" s="110">
        <v>35</v>
      </c>
      <c r="B39" s="352">
        <v>11.201000000000001</v>
      </c>
      <c r="C39" s="110">
        <v>35</v>
      </c>
      <c r="D39" s="588">
        <v>0</v>
      </c>
      <c r="E39" s="588">
        <v>0</v>
      </c>
      <c r="F39" s="589">
        <v>0</v>
      </c>
      <c r="G39" s="588">
        <v>0</v>
      </c>
    </row>
    <row r="40" spans="1:7" ht="15.6" thickTop="1" thickBot="1">
      <c r="A40" s="110">
        <v>36</v>
      </c>
      <c r="B40" s="352">
        <v>12.201000000000001</v>
      </c>
      <c r="C40" s="110">
        <v>36</v>
      </c>
      <c r="D40" s="588">
        <v>0</v>
      </c>
      <c r="E40" s="588">
        <v>0</v>
      </c>
      <c r="F40" s="589">
        <v>0</v>
      </c>
      <c r="G40" s="588">
        <v>0</v>
      </c>
    </row>
    <row r="41" spans="1:7" ht="15.6" thickTop="1" thickBot="1">
      <c r="A41" s="110">
        <v>37</v>
      </c>
      <c r="B41" s="352">
        <v>1.2011000000000001</v>
      </c>
      <c r="C41" s="110">
        <v>37</v>
      </c>
      <c r="D41" s="588">
        <v>0</v>
      </c>
      <c r="E41" s="588">
        <v>0</v>
      </c>
      <c r="F41" s="589">
        <v>0</v>
      </c>
      <c r="G41" s="588">
        <v>0</v>
      </c>
    </row>
    <row r="42" spans="1:7" ht="15.6" thickTop="1" thickBot="1">
      <c r="A42" s="110">
        <v>38</v>
      </c>
      <c r="B42" s="352">
        <v>2.2010999999999998</v>
      </c>
      <c r="C42" s="110">
        <v>38</v>
      </c>
      <c r="D42" s="588">
        <v>0</v>
      </c>
      <c r="E42" s="588">
        <v>0</v>
      </c>
      <c r="F42" s="589">
        <v>0</v>
      </c>
      <c r="G42" s="588">
        <v>0</v>
      </c>
    </row>
    <row r="43" spans="1:7" ht="15.6" thickTop="1" thickBot="1">
      <c r="A43" s="110">
        <v>39</v>
      </c>
      <c r="B43" s="352">
        <v>3.2010999999999998</v>
      </c>
      <c r="C43" s="110">
        <v>39</v>
      </c>
      <c r="D43" s="588">
        <v>0</v>
      </c>
      <c r="E43" s="588">
        <v>0</v>
      </c>
      <c r="F43" s="589">
        <v>0</v>
      </c>
      <c r="G43" s="588">
        <v>0</v>
      </c>
    </row>
    <row r="44" spans="1:7" ht="15.6" thickTop="1" thickBot="1">
      <c r="A44" s="110">
        <v>40</v>
      </c>
      <c r="B44" s="352">
        <v>4.2011000000000003</v>
      </c>
      <c r="C44" s="110">
        <v>40</v>
      </c>
      <c r="D44" s="588">
        <v>0</v>
      </c>
      <c r="E44" s="588">
        <v>0</v>
      </c>
      <c r="F44" s="589">
        <v>0</v>
      </c>
      <c r="G44" s="588">
        <v>0</v>
      </c>
    </row>
    <row r="45" spans="1:7" ht="15.6" thickTop="1" thickBot="1">
      <c r="A45" s="110">
        <v>41</v>
      </c>
      <c r="B45" s="352">
        <v>5.2011000000000003</v>
      </c>
      <c r="C45" s="110">
        <v>41</v>
      </c>
      <c r="D45" s="588">
        <v>0</v>
      </c>
      <c r="E45" s="588">
        <v>0</v>
      </c>
      <c r="F45" s="589">
        <v>0</v>
      </c>
      <c r="G45" s="588">
        <v>0</v>
      </c>
    </row>
    <row r="46" spans="1:7" ht="15.6" thickTop="1" thickBot="1">
      <c r="A46" s="110">
        <v>42</v>
      </c>
      <c r="B46" s="352">
        <v>6.2011000000000003</v>
      </c>
      <c r="C46" s="110">
        <v>42</v>
      </c>
      <c r="D46" s="588">
        <v>0</v>
      </c>
      <c r="E46" s="588">
        <v>0</v>
      </c>
      <c r="F46" s="589">
        <v>0</v>
      </c>
      <c r="G46" s="588">
        <v>0</v>
      </c>
    </row>
    <row r="47" spans="1:7" ht="15.6" thickTop="1" thickBot="1">
      <c r="A47" s="110">
        <v>43</v>
      </c>
      <c r="B47" s="352">
        <v>7.2011000000000003</v>
      </c>
      <c r="C47" s="110">
        <v>43</v>
      </c>
      <c r="D47" s="588">
        <v>0</v>
      </c>
      <c r="E47" s="588">
        <v>0</v>
      </c>
      <c r="F47" s="589">
        <v>0</v>
      </c>
      <c r="G47" s="588">
        <v>0</v>
      </c>
    </row>
    <row r="48" spans="1:7" ht="15.6" thickTop="1" thickBot="1">
      <c r="A48" s="110">
        <v>44</v>
      </c>
      <c r="B48" s="352">
        <v>8.2011000000000003</v>
      </c>
      <c r="C48" s="110">
        <v>44</v>
      </c>
      <c r="D48" s="588">
        <v>0</v>
      </c>
      <c r="E48" s="588">
        <v>0</v>
      </c>
      <c r="F48" s="589">
        <v>0</v>
      </c>
      <c r="G48" s="588">
        <v>0</v>
      </c>
    </row>
    <row r="49" spans="1:7" ht="15.6" thickTop="1" thickBot="1">
      <c r="A49" s="110">
        <v>45</v>
      </c>
      <c r="B49" s="352">
        <v>9.2011000000000003</v>
      </c>
      <c r="C49" s="110">
        <v>45</v>
      </c>
      <c r="D49" s="588">
        <v>0</v>
      </c>
      <c r="E49" s="588">
        <v>0</v>
      </c>
      <c r="F49" s="589">
        <v>0</v>
      </c>
      <c r="G49" s="588">
        <v>0</v>
      </c>
    </row>
    <row r="50" spans="1:7" ht="15.6" thickTop="1" thickBot="1">
      <c r="A50" s="110">
        <v>46</v>
      </c>
      <c r="B50" s="352">
        <v>10.2011</v>
      </c>
      <c r="C50" s="110">
        <v>46</v>
      </c>
      <c r="D50" s="588">
        <v>0</v>
      </c>
      <c r="E50" s="588">
        <v>0</v>
      </c>
      <c r="F50" s="589">
        <v>0</v>
      </c>
      <c r="G50" s="588">
        <v>0</v>
      </c>
    </row>
    <row r="51" spans="1:7" ht="15.6" thickTop="1" thickBot="1">
      <c r="A51" s="110">
        <v>47</v>
      </c>
      <c r="B51" s="352">
        <v>11.2011</v>
      </c>
      <c r="C51" s="110">
        <v>47</v>
      </c>
      <c r="D51" s="588">
        <v>0</v>
      </c>
      <c r="E51" s="588">
        <v>0</v>
      </c>
      <c r="F51" s="589">
        <v>0</v>
      </c>
      <c r="G51" s="588">
        <v>0</v>
      </c>
    </row>
    <row r="52" spans="1:7" ht="15.6" thickTop="1" thickBot="1">
      <c r="A52" s="110">
        <v>48</v>
      </c>
      <c r="B52" s="352">
        <v>12.2011</v>
      </c>
      <c r="C52" s="110">
        <v>48</v>
      </c>
      <c r="D52" s="588">
        <v>0</v>
      </c>
      <c r="E52" s="588">
        <v>0</v>
      </c>
      <c r="F52" s="589">
        <v>0</v>
      </c>
      <c r="G52" s="588">
        <v>0</v>
      </c>
    </row>
    <row r="53" spans="1:7" ht="15.6" thickTop="1" thickBot="1">
      <c r="A53" s="110">
        <v>49</v>
      </c>
      <c r="B53" s="352">
        <v>1.2012</v>
      </c>
      <c r="C53" s="110">
        <v>49</v>
      </c>
      <c r="D53" s="588">
        <v>0</v>
      </c>
      <c r="E53" s="588">
        <v>0</v>
      </c>
      <c r="F53" s="589">
        <v>0</v>
      </c>
      <c r="G53" s="588">
        <v>0</v>
      </c>
    </row>
    <row r="54" spans="1:7" ht="15.6" thickTop="1" thickBot="1">
      <c r="A54" s="110">
        <v>50</v>
      </c>
      <c r="B54" s="352">
        <v>2.2012</v>
      </c>
      <c r="C54" s="110">
        <v>50</v>
      </c>
      <c r="D54" s="588">
        <v>0</v>
      </c>
      <c r="E54" s="588">
        <v>0</v>
      </c>
      <c r="F54" s="589">
        <v>0</v>
      </c>
      <c r="G54" s="588">
        <v>0</v>
      </c>
    </row>
    <row r="55" spans="1:7" ht="15.6" thickTop="1" thickBot="1">
      <c r="A55" s="110">
        <v>51</v>
      </c>
      <c r="B55" s="352">
        <v>3.2012</v>
      </c>
      <c r="C55" s="110">
        <v>51</v>
      </c>
      <c r="D55" s="588">
        <v>0</v>
      </c>
      <c r="E55" s="588">
        <v>0</v>
      </c>
      <c r="F55" s="589">
        <v>0</v>
      </c>
      <c r="G55" s="588">
        <v>0</v>
      </c>
    </row>
    <row r="56" spans="1:7" ht="15.6" thickTop="1" thickBot="1">
      <c r="A56" s="110">
        <v>52</v>
      </c>
      <c r="B56" s="352">
        <v>4.2012</v>
      </c>
      <c r="C56" s="110">
        <v>52</v>
      </c>
      <c r="D56" s="588">
        <v>0</v>
      </c>
      <c r="E56" s="588">
        <v>0</v>
      </c>
      <c r="F56" s="589">
        <v>0</v>
      </c>
      <c r="G56" s="588">
        <v>0</v>
      </c>
    </row>
    <row r="57" spans="1:7" ht="15.6" thickTop="1" thickBot="1">
      <c r="A57" s="110">
        <v>53</v>
      </c>
      <c r="B57" s="352">
        <v>5.2012</v>
      </c>
      <c r="C57" s="110">
        <v>53</v>
      </c>
      <c r="D57" s="588">
        <v>0</v>
      </c>
      <c r="E57" s="588">
        <v>0</v>
      </c>
      <c r="F57" s="589">
        <v>0</v>
      </c>
      <c r="G57" s="588">
        <v>0</v>
      </c>
    </row>
    <row r="58" spans="1:7" ht="15.6" thickTop="1" thickBot="1">
      <c r="A58" s="110">
        <v>54</v>
      </c>
      <c r="B58" s="352">
        <v>6.2012</v>
      </c>
      <c r="C58" s="110">
        <v>54</v>
      </c>
      <c r="D58" s="588">
        <v>0</v>
      </c>
      <c r="E58" s="588">
        <v>0</v>
      </c>
      <c r="F58" s="589">
        <v>0</v>
      </c>
      <c r="G58" s="588">
        <v>0</v>
      </c>
    </row>
    <row r="59" spans="1:7" ht="15.6" thickTop="1" thickBot="1">
      <c r="A59" s="110">
        <v>55</v>
      </c>
      <c r="B59" s="352">
        <v>7.2012</v>
      </c>
      <c r="C59" s="110">
        <v>55</v>
      </c>
      <c r="D59" s="588">
        <v>0</v>
      </c>
      <c r="E59" s="588">
        <v>0</v>
      </c>
      <c r="F59" s="589">
        <v>0</v>
      </c>
      <c r="G59" s="588">
        <v>0</v>
      </c>
    </row>
    <row r="60" spans="1:7" ht="15.6" thickTop="1" thickBot="1">
      <c r="A60" s="110">
        <v>56</v>
      </c>
      <c r="B60" s="352">
        <v>8.2012</v>
      </c>
      <c r="C60" s="110">
        <v>56</v>
      </c>
      <c r="D60" s="588">
        <v>0</v>
      </c>
      <c r="E60" s="588">
        <v>0</v>
      </c>
      <c r="F60" s="589">
        <v>0</v>
      </c>
      <c r="G60" s="588">
        <v>0</v>
      </c>
    </row>
    <row r="61" spans="1:7" ht="15.6" thickTop="1" thickBot="1">
      <c r="A61" s="110">
        <v>57</v>
      </c>
      <c r="B61" s="352">
        <v>9.2012</v>
      </c>
      <c r="C61" s="110">
        <v>57</v>
      </c>
      <c r="D61" s="588">
        <v>0</v>
      </c>
      <c r="E61" s="588">
        <v>0</v>
      </c>
      <c r="F61" s="589">
        <v>0</v>
      </c>
      <c r="G61" s="588">
        <v>0</v>
      </c>
    </row>
    <row r="62" spans="1:7" ht="15.6" thickTop="1" thickBot="1">
      <c r="A62" s="110">
        <v>58</v>
      </c>
      <c r="B62" s="352">
        <v>10.2012</v>
      </c>
      <c r="C62" s="110">
        <v>58</v>
      </c>
      <c r="D62" s="588">
        <v>0</v>
      </c>
      <c r="E62" s="588">
        <v>0</v>
      </c>
      <c r="F62" s="589">
        <v>0</v>
      </c>
      <c r="G62" s="588">
        <v>0</v>
      </c>
    </row>
    <row r="63" spans="1:7" ht="15.6" thickTop="1" thickBot="1">
      <c r="A63" s="110">
        <v>59</v>
      </c>
      <c r="B63" s="352">
        <v>11.2012</v>
      </c>
      <c r="C63" s="110">
        <v>59</v>
      </c>
      <c r="D63" s="588">
        <v>0</v>
      </c>
      <c r="E63" s="588">
        <v>0</v>
      </c>
      <c r="F63" s="589">
        <v>0</v>
      </c>
      <c r="G63" s="588">
        <v>0</v>
      </c>
    </row>
    <row r="64" spans="1:7" ht="15.6" thickTop="1" thickBot="1">
      <c r="A64" s="110">
        <v>60</v>
      </c>
      <c r="B64" s="352">
        <v>12.2012</v>
      </c>
      <c r="C64" s="110">
        <v>60</v>
      </c>
      <c r="D64" s="588">
        <v>0</v>
      </c>
      <c r="E64" s="588">
        <v>0</v>
      </c>
      <c r="F64" s="589">
        <v>0</v>
      </c>
      <c r="G64" s="588">
        <v>0</v>
      </c>
    </row>
    <row r="65" spans="1:7" ht="15.6" thickTop="1" thickBot="1">
      <c r="A65" s="110">
        <v>61</v>
      </c>
      <c r="B65" s="352">
        <v>1.2013</v>
      </c>
      <c r="C65" s="110">
        <v>61</v>
      </c>
      <c r="D65" s="588">
        <v>0</v>
      </c>
      <c r="E65" s="588">
        <v>0</v>
      </c>
      <c r="F65" s="589">
        <v>0</v>
      </c>
      <c r="G65" s="588">
        <v>0</v>
      </c>
    </row>
    <row r="66" spans="1:7" ht="15.6" thickTop="1" thickBot="1">
      <c r="A66" s="110">
        <v>62</v>
      </c>
      <c r="B66" s="352">
        <v>2.2012999999999998</v>
      </c>
      <c r="C66" s="110">
        <v>62</v>
      </c>
      <c r="D66" s="588">
        <v>0</v>
      </c>
      <c r="E66" s="588">
        <v>0</v>
      </c>
      <c r="F66" s="589">
        <v>0</v>
      </c>
      <c r="G66" s="588">
        <v>0</v>
      </c>
    </row>
    <row r="67" spans="1:7" ht="15.6" thickTop="1" thickBot="1">
      <c r="A67" s="110">
        <v>63</v>
      </c>
      <c r="B67" s="352">
        <v>3.2012999999999998</v>
      </c>
      <c r="C67" s="110">
        <v>63</v>
      </c>
      <c r="D67" s="588">
        <v>0</v>
      </c>
      <c r="E67" s="588">
        <v>0</v>
      </c>
      <c r="F67" s="589">
        <v>0</v>
      </c>
      <c r="G67" s="588">
        <v>0</v>
      </c>
    </row>
    <row r="68" spans="1:7" ht="15.6" thickTop="1" thickBot="1">
      <c r="A68" s="110">
        <v>64</v>
      </c>
      <c r="B68" s="352">
        <v>4.2012999999999998</v>
      </c>
      <c r="C68" s="110">
        <v>64</v>
      </c>
      <c r="D68" s="588">
        <v>0</v>
      </c>
      <c r="E68" s="588">
        <v>0</v>
      </c>
      <c r="F68" s="589">
        <v>0</v>
      </c>
      <c r="G68" s="588">
        <v>0</v>
      </c>
    </row>
    <row r="69" spans="1:7" ht="15.6" thickTop="1" thickBot="1">
      <c r="A69" s="110">
        <v>65</v>
      </c>
      <c r="B69" s="352">
        <v>5.2012999999999998</v>
      </c>
      <c r="C69" s="110">
        <v>65</v>
      </c>
      <c r="D69" s="588">
        <v>0</v>
      </c>
      <c r="E69" s="588">
        <v>0</v>
      </c>
      <c r="F69" s="589">
        <v>0</v>
      </c>
      <c r="G69" s="588">
        <v>0</v>
      </c>
    </row>
    <row r="70" spans="1:7" ht="15.6" thickTop="1" thickBot="1">
      <c r="A70" s="110">
        <v>66</v>
      </c>
      <c r="B70" s="352">
        <v>6.2012999999999998</v>
      </c>
      <c r="C70" s="110">
        <v>66</v>
      </c>
      <c r="D70" s="588">
        <v>0</v>
      </c>
      <c r="E70" s="588">
        <v>0</v>
      </c>
      <c r="F70" s="589">
        <v>0</v>
      </c>
      <c r="G70" s="588">
        <v>0</v>
      </c>
    </row>
    <row r="71" spans="1:7" ht="15.6" thickTop="1" thickBot="1">
      <c r="A71" s="110">
        <v>67</v>
      </c>
      <c r="B71" s="352">
        <v>7.2012999999999998</v>
      </c>
      <c r="C71" s="110">
        <v>67</v>
      </c>
      <c r="D71" s="588">
        <v>0</v>
      </c>
      <c r="E71" s="588">
        <v>0</v>
      </c>
      <c r="F71" s="589">
        <v>0</v>
      </c>
      <c r="G71" s="588">
        <v>0</v>
      </c>
    </row>
    <row r="72" spans="1:7" ht="15.6" thickTop="1" thickBot="1">
      <c r="A72" s="110">
        <v>68</v>
      </c>
      <c r="B72" s="352">
        <v>8.2012999999999998</v>
      </c>
      <c r="C72" s="110">
        <v>68</v>
      </c>
      <c r="D72" s="588">
        <v>0</v>
      </c>
      <c r="E72" s="588">
        <v>0</v>
      </c>
      <c r="F72" s="589">
        <v>0</v>
      </c>
      <c r="G72" s="588">
        <v>0</v>
      </c>
    </row>
    <row r="73" spans="1:7" ht="15.6" thickTop="1" thickBot="1">
      <c r="A73" s="110">
        <v>69</v>
      </c>
      <c r="B73" s="352">
        <v>9.2012999999999998</v>
      </c>
      <c r="C73" s="110">
        <v>69</v>
      </c>
      <c r="D73" s="588">
        <v>0</v>
      </c>
      <c r="E73" s="588">
        <v>0</v>
      </c>
      <c r="F73" s="589">
        <v>0</v>
      </c>
      <c r="G73" s="588">
        <v>0</v>
      </c>
    </row>
    <row r="74" spans="1:7" ht="15.6" thickTop="1" thickBot="1">
      <c r="A74" s="110">
        <v>70</v>
      </c>
      <c r="B74" s="352">
        <v>10.2013</v>
      </c>
      <c r="C74" s="110">
        <v>70</v>
      </c>
      <c r="D74" s="588">
        <v>0</v>
      </c>
      <c r="E74" s="588">
        <v>0</v>
      </c>
      <c r="F74" s="589">
        <v>0</v>
      </c>
      <c r="G74" s="588">
        <v>0</v>
      </c>
    </row>
    <row r="75" spans="1:7" ht="15.6" thickTop="1" thickBot="1">
      <c r="A75" s="110">
        <v>71</v>
      </c>
      <c r="B75" s="352">
        <v>11.2013</v>
      </c>
      <c r="C75" s="110">
        <v>71</v>
      </c>
      <c r="D75" s="588">
        <v>0</v>
      </c>
      <c r="E75" s="588">
        <v>0</v>
      </c>
      <c r="F75" s="589">
        <v>0</v>
      </c>
      <c r="G75" s="588">
        <v>0</v>
      </c>
    </row>
    <row r="76" spans="1:7" ht="15.6" thickTop="1" thickBot="1">
      <c r="A76" s="110">
        <v>72</v>
      </c>
      <c r="B76" s="352">
        <v>12.2013</v>
      </c>
      <c r="C76" s="110">
        <v>72</v>
      </c>
      <c r="D76" s="588">
        <v>0</v>
      </c>
      <c r="E76" s="588">
        <v>0</v>
      </c>
      <c r="F76" s="589">
        <v>0</v>
      </c>
      <c r="G76" s="588">
        <v>0</v>
      </c>
    </row>
    <row r="77" spans="1:7" ht="15.6" thickTop="1" thickBot="1">
      <c r="A77" s="110">
        <v>73</v>
      </c>
      <c r="B77" s="352">
        <v>1.2014</v>
      </c>
      <c r="C77" s="110">
        <v>73</v>
      </c>
      <c r="D77" s="588">
        <v>0</v>
      </c>
      <c r="E77" s="588">
        <v>0</v>
      </c>
      <c r="F77" s="589">
        <v>0</v>
      </c>
      <c r="G77" s="588">
        <v>0</v>
      </c>
    </row>
    <row r="78" spans="1:7" ht="15.6" thickTop="1" thickBot="1">
      <c r="A78" s="110">
        <v>74</v>
      </c>
      <c r="B78" s="352">
        <v>2.2014</v>
      </c>
      <c r="C78" s="110">
        <v>74</v>
      </c>
      <c r="D78" s="588">
        <v>0</v>
      </c>
      <c r="E78" s="588">
        <v>0</v>
      </c>
      <c r="F78" s="589">
        <v>0</v>
      </c>
      <c r="G78" s="588">
        <v>0</v>
      </c>
    </row>
    <row r="79" spans="1:7" ht="15.6" thickTop="1" thickBot="1">
      <c r="A79" s="110">
        <v>75</v>
      </c>
      <c r="B79" s="352">
        <v>3.2014</v>
      </c>
      <c r="C79" s="110">
        <v>75</v>
      </c>
      <c r="D79" s="588">
        <v>0</v>
      </c>
      <c r="E79" s="588">
        <v>0</v>
      </c>
      <c r="F79" s="589">
        <v>0</v>
      </c>
      <c r="G79" s="588">
        <v>0</v>
      </c>
    </row>
    <row r="80" spans="1:7" ht="15.6" thickTop="1" thickBot="1">
      <c r="A80" s="110">
        <v>76</v>
      </c>
      <c r="B80" s="352">
        <v>4.2013999999999996</v>
      </c>
      <c r="C80" s="110">
        <v>76</v>
      </c>
      <c r="D80" s="588">
        <v>0</v>
      </c>
      <c r="E80" s="588">
        <v>0</v>
      </c>
      <c r="F80" s="589">
        <v>0</v>
      </c>
      <c r="G80" s="588">
        <v>0</v>
      </c>
    </row>
    <row r="81" spans="1:7" ht="15.6" thickTop="1" thickBot="1">
      <c r="A81" s="110">
        <v>77</v>
      </c>
      <c r="B81" s="352">
        <v>5.2013999999999996</v>
      </c>
      <c r="C81" s="110">
        <v>77</v>
      </c>
      <c r="D81" s="588">
        <v>0</v>
      </c>
      <c r="E81" s="588">
        <v>0</v>
      </c>
      <c r="F81" s="589">
        <v>0</v>
      </c>
      <c r="G81" s="588">
        <v>0</v>
      </c>
    </row>
    <row r="82" spans="1:7" ht="15.6" thickTop="1" thickBot="1">
      <c r="A82" s="110">
        <v>78</v>
      </c>
      <c r="B82" s="352">
        <v>6.2013999999999996</v>
      </c>
      <c r="C82" s="110">
        <v>78</v>
      </c>
      <c r="D82" s="588">
        <v>0</v>
      </c>
      <c r="E82" s="588">
        <v>0</v>
      </c>
      <c r="F82" s="589">
        <v>0</v>
      </c>
      <c r="G82" s="588">
        <v>0</v>
      </c>
    </row>
    <row r="83" spans="1:7" ht="15.6" thickTop="1" thickBot="1">
      <c r="A83" s="110">
        <v>79</v>
      </c>
      <c r="B83" s="352">
        <v>7.2013999999999996</v>
      </c>
      <c r="C83" s="110">
        <v>79</v>
      </c>
      <c r="D83" s="588">
        <v>0</v>
      </c>
      <c r="E83" s="588">
        <v>0</v>
      </c>
      <c r="F83" s="589">
        <v>0</v>
      </c>
      <c r="G83" s="588">
        <v>0</v>
      </c>
    </row>
    <row r="84" spans="1:7" ht="15.6" thickTop="1" thickBot="1">
      <c r="A84" s="110">
        <v>80</v>
      </c>
      <c r="B84" s="352">
        <v>8.2013999999999996</v>
      </c>
      <c r="C84" s="110">
        <v>80</v>
      </c>
      <c r="D84" s="588">
        <v>0</v>
      </c>
      <c r="E84" s="588">
        <v>0</v>
      </c>
      <c r="F84" s="589">
        <v>0</v>
      </c>
      <c r="G84" s="588">
        <v>0</v>
      </c>
    </row>
    <row r="85" spans="1:7" ht="15.6" thickTop="1" thickBot="1">
      <c r="A85" s="110">
        <v>81</v>
      </c>
      <c r="B85" s="352">
        <v>9.2013999999999996</v>
      </c>
      <c r="C85" s="110">
        <v>81</v>
      </c>
      <c r="D85" s="588">
        <v>0</v>
      </c>
      <c r="E85" s="588">
        <v>0</v>
      </c>
      <c r="F85" s="589">
        <v>0</v>
      </c>
      <c r="G85" s="588">
        <v>0</v>
      </c>
    </row>
    <row r="86" spans="1:7" ht="15.6" thickTop="1" thickBot="1">
      <c r="A86" s="110">
        <v>82</v>
      </c>
      <c r="B86" s="352">
        <v>10.2014</v>
      </c>
      <c r="C86" s="110">
        <v>82</v>
      </c>
      <c r="D86" s="588">
        <v>0</v>
      </c>
      <c r="E86" s="588">
        <v>0</v>
      </c>
      <c r="F86" s="589">
        <v>0</v>
      </c>
      <c r="G86" s="588">
        <v>0</v>
      </c>
    </row>
    <row r="87" spans="1:7" ht="15.6" thickTop="1" thickBot="1">
      <c r="A87" s="110">
        <v>83</v>
      </c>
      <c r="B87" s="352">
        <v>11.2014</v>
      </c>
      <c r="C87" s="110">
        <v>83</v>
      </c>
      <c r="D87" s="588">
        <v>0</v>
      </c>
      <c r="E87" s="588">
        <v>0</v>
      </c>
      <c r="F87" s="589">
        <v>0</v>
      </c>
      <c r="G87" s="588">
        <v>0</v>
      </c>
    </row>
    <row r="88" spans="1:7" ht="15.6" thickTop="1" thickBot="1">
      <c r="A88" s="110">
        <v>84</v>
      </c>
      <c r="B88" s="352">
        <v>12.2014</v>
      </c>
      <c r="C88" s="110">
        <v>84</v>
      </c>
      <c r="D88" s="588">
        <v>0</v>
      </c>
      <c r="E88" s="588">
        <v>0</v>
      </c>
      <c r="F88" s="589">
        <v>0</v>
      </c>
      <c r="G88" s="588">
        <v>0</v>
      </c>
    </row>
    <row r="89" spans="1:7" ht="15.6" thickTop="1" thickBot="1">
      <c r="A89" s="110">
        <v>85</v>
      </c>
      <c r="B89" s="352">
        <v>1.2015</v>
      </c>
      <c r="C89" s="110">
        <v>85</v>
      </c>
      <c r="D89" s="588">
        <v>0</v>
      </c>
      <c r="E89" s="588">
        <v>0</v>
      </c>
      <c r="F89" s="589">
        <v>0</v>
      </c>
      <c r="G89" s="588">
        <v>0</v>
      </c>
    </row>
    <row r="90" spans="1:7" ht="15.6" thickTop="1" thickBot="1">
      <c r="A90" s="110">
        <v>86</v>
      </c>
      <c r="B90" s="352">
        <v>2.2014999999999998</v>
      </c>
      <c r="C90" s="110">
        <v>86</v>
      </c>
      <c r="D90" s="588">
        <v>0</v>
      </c>
      <c r="E90" s="588">
        <v>0</v>
      </c>
      <c r="F90" s="589">
        <v>0</v>
      </c>
      <c r="G90" s="588">
        <v>0</v>
      </c>
    </row>
    <row r="91" spans="1:7" ht="15.6" thickTop="1" thickBot="1">
      <c r="A91" s="110">
        <v>87</v>
      </c>
      <c r="B91" s="352">
        <v>3.2014999999999998</v>
      </c>
      <c r="C91" s="110">
        <v>87</v>
      </c>
      <c r="D91" s="588">
        <v>0</v>
      </c>
      <c r="E91" s="588">
        <v>0</v>
      </c>
      <c r="F91" s="589">
        <v>0</v>
      </c>
      <c r="G91" s="588">
        <v>0</v>
      </c>
    </row>
    <row r="92" spans="1:7" ht="15.6" thickTop="1" thickBot="1">
      <c r="A92" s="110">
        <v>88</v>
      </c>
      <c r="B92" s="352">
        <v>4.2015000000000002</v>
      </c>
      <c r="C92" s="110">
        <v>88</v>
      </c>
      <c r="D92" s="588">
        <v>0</v>
      </c>
      <c r="E92" s="588">
        <v>0</v>
      </c>
      <c r="F92" s="589">
        <v>0</v>
      </c>
      <c r="G92" s="588">
        <v>0</v>
      </c>
    </row>
    <row r="93" spans="1:7" ht="15.6" thickTop="1" thickBot="1">
      <c r="A93" s="110">
        <v>89</v>
      </c>
      <c r="B93" s="352">
        <v>5.2015000000000002</v>
      </c>
      <c r="C93" s="110">
        <v>89</v>
      </c>
      <c r="D93" s="588">
        <v>0</v>
      </c>
      <c r="E93" s="588">
        <v>0</v>
      </c>
      <c r="F93" s="589">
        <v>0</v>
      </c>
      <c r="G93" s="588">
        <v>0</v>
      </c>
    </row>
    <row r="94" spans="1:7" ht="15.6" thickTop="1" thickBot="1">
      <c r="A94" s="110">
        <v>90</v>
      </c>
      <c r="B94" s="352">
        <v>6.2015000000000002</v>
      </c>
      <c r="C94" s="110">
        <v>90</v>
      </c>
      <c r="D94" s="588">
        <v>0</v>
      </c>
      <c r="E94" s="588">
        <v>0</v>
      </c>
      <c r="F94" s="589">
        <v>0</v>
      </c>
      <c r="G94" s="588">
        <v>0</v>
      </c>
    </row>
    <row r="95" spans="1:7" ht="15.6" thickTop="1" thickBot="1">
      <c r="A95" s="110">
        <v>91</v>
      </c>
      <c r="B95" s="352">
        <v>7.2015000000000002</v>
      </c>
      <c r="C95" s="110">
        <v>91</v>
      </c>
      <c r="D95" s="588">
        <v>0</v>
      </c>
      <c r="E95" s="588">
        <v>0</v>
      </c>
      <c r="F95" s="589">
        <v>0</v>
      </c>
      <c r="G95" s="588">
        <v>0</v>
      </c>
    </row>
    <row r="96" spans="1:7" ht="15.6" thickTop="1" thickBot="1">
      <c r="A96" s="110">
        <v>92</v>
      </c>
      <c r="B96" s="352">
        <v>8.2014999999999993</v>
      </c>
      <c r="C96" s="110">
        <v>92</v>
      </c>
      <c r="D96" s="588">
        <v>0</v>
      </c>
      <c r="E96" s="588">
        <v>0</v>
      </c>
      <c r="F96" s="589">
        <v>0</v>
      </c>
      <c r="G96" s="588">
        <v>0</v>
      </c>
    </row>
    <row r="97" spans="1:7" ht="15.6" thickTop="1" thickBot="1">
      <c r="A97" s="110">
        <v>93</v>
      </c>
      <c r="B97" s="352">
        <v>9.2014999999999993</v>
      </c>
      <c r="C97" s="110">
        <v>93</v>
      </c>
      <c r="D97" s="588">
        <v>0</v>
      </c>
      <c r="E97" s="588">
        <v>0</v>
      </c>
      <c r="F97" s="589">
        <v>0</v>
      </c>
      <c r="G97" s="588">
        <v>0</v>
      </c>
    </row>
    <row r="98" spans="1:7" ht="15.6" thickTop="1" thickBot="1">
      <c r="A98" s="110">
        <v>94</v>
      </c>
      <c r="B98" s="352">
        <v>10.201499999999999</v>
      </c>
      <c r="C98" s="110">
        <v>94</v>
      </c>
      <c r="D98" s="588">
        <v>0</v>
      </c>
      <c r="E98" s="588">
        <v>0</v>
      </c>
      <c r="F98" s="589">
        <v>0</v>
      </c>
      <c r="G98" s="588">
        <v>0</v>
      </c>
    </row>
    <row r="99" spans="1:7" ht="15.6" thickTop="1" thickBot="1">
      <c r="A99" s="110">
        <v>95</v>
      </c>
      <c r="B99" s="352">
        <v>11.201499999999999</v>
      </c>
      <c r="C99" s="110">
        <v>95</v>
      </c>
      <c r="D99" s="588">
        <v>0</v>
      </c>
      <c r="E99" s="588">
        <v>0</v>
      </c>
      <c r="F99" s="589">
        <v>0</v>
      </c>
      <c r="G99" s="588">
        <v>0</v>
      </c>
    </row>
    <row r="100" spans="1:7" ht="15.6" thickTop="1" thickBot="1">
      <c r="A100" s="110">
        <v>96</v>
      </c>
      <c r="B100" s="352">
        <v>12.201499999999999</v>
      </c>
      <c r="C100" s="110">
        <v>96</v>
      </c>
      <c r="D100" s="588">
        <v>0</v>
      </c>
      <c r="E100" s="588">
        <v>0</v>
      </c>
      <c r="F100" s="589">
        <v>0</v>
      </c>
      <c r="G100" s="588">
        <v>0</v>
      </c>
    </row>
    <row r="101" spans="1:7" ht="15.6" thickTop="1" thickBot="1">
      <c r="A101" s="110">
        <v>97</v>
      </c>
      <c r="B101" s="352">
        <v>1.2016</v>
      </c>
      <c r="C101" s="110">
        <v>97</v>
      </c>
      <c r="D101" s="588">
        <v>0</v>
      </c>
      <c r="E101" s="588">
        <v>0</v>
      </c>
      <c r="F101" s="589">
        <v>0</v>
      </c>
      <c r="G101" s="588">
        <v>0</v>
      </c>
    </row>
    <row r="102" spans="1:7" ht="15.6" thickTop="1" thickBot="1">
      <c r="A102" s="110">
        <v>98</v>
      </c>
      <c r="B102" s="352">
        <v>2.2016</v>
      </c>
      <c r="C102" s="110">
        <v>98</v>
      </c>
      <c r="D102" s="588">
        <v>0</v>
      </c>
      <c r="E102" s="588">
        <v>0</v>
      </c>
      <c r="F102" s="589">
        <v>0</v>
      </c>
      <c r="G102" s="588">
        <v>0</v>
      </c>
    </row>
    <row r="103" spans="1:7" ht="15.6" thickTop="1" thickBot="1">
      <c r="A103" s="110">
        <v>99</v>
      </c>
      <c r="B103" s="352">
        <v>3.2016</v>
      </c>
      <c r="C103" s="110">
        <v>99</v>
      </c>
      <c r="D103" s="588">
        <v>0</v>
      </c>
      <c r="E103" s="588">
        <v>0</v>
      </c>
      <c r="F103" s="589">
        <v>0</v>
      </c>
      <c r="G103" s="588">
        <v>0</v>
      </c>
    </row>
    <row r="104" spans="1:7" ht="15.6" thickTop="1" thickBot="1">
      <c r="A104" s="110">
        <v>100</v>
      </c>
      <c r="B104" s="352">
        <v>4.2016</v>
      </c>
      <c r="C104" s="110">
        <v>100</v>
      </c>
      <c r="D104" s="588">
        <v>0</v>
      </c>
      <c r="E104" s="588">
        <v>0</v>
      </c>
      <c r="F104" s="589">
        <v>0</v>
      </c>
      <c r="G104" s="588">
        <v>0</v>
      </c>
    </row>
    <row r="105" spans="1:7" ht="15.6" thickTop="1" thickBot="1">
      <c r="A105" s="110">
        <v>101</v>
      </c>
      <c r="B105" s="352">
        <v>5.2016</v>
      </c>
      <c r="C105" s="110">
        <v>101</v>
      </c>
      <c r="D105" s="588">
        <v>0</v>
      </c>
      <c r="E105" s="588">
        <v>0</v>
      </c>
      <c r="F105" s="589">
        <v>0</v>
      </c>
      <c r="G105" s="588">
        <v>0</v>
      </c>
    </row>
    <row r="106" spans="1:7" ht="15.6" thickTop="1" thickBot="1">
      <c r="A106" s="110">
        <v>102</v>
      </c>
      <c r="B106" s="352">
        <v>6.2016</v>
      </c>
      <c r="C106" s="110">
        <v>102</v>
      </c>
      <c r="D106" s="588">
        <v>0</v>
      </c>
      <c r="E106" s="588">
        <v>0</v>
      </c>
      <c r="F106" s="589">
        <v>0</v>
      </c>
      <c r="G106" s="588">
        <v>0</v>
      </c>
    </row>
    <row r="107" spans="1:7" ht="15.6" thickTop="1" thickBot="1">
      <c r="A107" s="110">
        <v>103</v>
      </c>
      <c r="B107" s="352">
        <v>7.2016</v>
      </c>
      <c r="C107" s="110">
        <v>103</v>
      </c>
      <c r="D107" s="588">
        <v>0</v>
      </c>
      <c r="E107" s="588">
        <v>0</v>
      </c>
      <c r="F107" s="589">
        <v>0</v>
      </c>
      <c r="G107" s="588">
        <v>0</v>
      </c>
    </row>
    <row r="108" spans="1:7" ht="15.6" thickTop="1" thickBot="1">
      <c r="A108" s="110">
        <v>104</v>
      </c>
      <c r="B108" s="352">
        <v>8.2015999999999991</v>
      </c>
      <c r="C108" s="110">
        <v>104</v>
      </c>
      <c r="D108" s="588">
        <v>0</v>
      </c>
      <c r="E108" s="588">
        <v>0</v>
      </c>
      <c r="F108" s="589">
        <v>0</v>
      </c>
      <c r="G108" s="588">
        <v>0</v>
      </c>
    </row>
    <row r="109" spans="1:7" ht="15.6" thickTop="1" thickBot="1">
      <c r="A109" s="110">
        <v>105</v>
      </c>
      <c r="B109" s="352">
        <v>9.2015999999999991</v>
      </c>
      <c r="C109" s="110">
        <v>105</v>
      </c>
      <c r="D109" s="588">
        <v>0</v>
      </c>
      <c r="E109" s="588">
        <v>0</v>
      </c>
      <c r="F109" s="589">
        <v>0</v>
      </c>
      <c r="G109" s="588">
        <v>0</v>
      </c>
    </row>
    <row r="110" spans="1:7" ht="15.6" thickTop="1" thickBot="1">
      <c r="A110" s="110">
        <v>106</v>
      </c>
      <c r="B110" s="352">
        <v>10.201599999999999</v>
      </c>
      <c r="C110" s="110">
        <v>106</v>
      </c>
      <c r="D110" s="588">
        <v>0</v>
      </c>
      <c r="E110" s="588">
        <v>0</v>
      </c>
      <c r="F110" s="589">
        <v>0</v>
      </c>
      <c r="G110" s="588">
        <v>0</v>
      </c>
    </row>
    <row r="111" spans="1:7" ht="15.6" thickTop="1" thickBot="1">
      <c r="A111" s="110">
        <v>107</v>
      </c>
      <c r="B111" s="352">
        <v>11.201599999999999</v>
      </c>
      <c r="C111" s="110">
        <v>107</v>
      </c>
      <c r="D111" s="588">
        <v>0</v>
      </c>
      <c r="E111" s="588">
        <v>0</v>
      </c>
      <c r="F111" s="589">
        <v>0</v>
      </c>
      <c r="G111" s="588">
        <v>0</v>
      </c>
    </row>
    <row r="112" spans="1:7" ht="15.6" thickTop="1" thickBot="1">
      <c r="A112" s="110">
        <v>108</v>
      </c>
      <c r="B112" s="352">
        <v>12.201599999999999</v>
      </c>
      <c r="C112" s="110">
        <v>108</v>
      </c>
      <c r="D112" s="588">
        <v>0</v>
      </c>
      <c r="E112" s="588">
        <v>0</v>
      </c>
      <c r="F112" s="589">
        <v>0</v>
      </c>
      <c r="G112" s="588">
        <v>0</v>
      </c>
    </row>
    <row r="113" spans="1:7" ht="15.6" thickTop="1" thickBot="1">
      <c r="A113" s="110">
        <v>109</v>
      </c>
      <c r="B113" s="352">
        <v>1.2017</v>
      </c>
      <c r="C113" s="110">
        <v>109</v>
      </c>
      <c r="D113" s="588">
        <v>0</v>
      </c>
      <c r="E113" s="588">
        <v>0</v>
      </c>
      <c r="F113" s="589">
        <v>0</v>
      </c>
      <c r="G113" s="588">
        <v>0</v>
      </c>
    </row>
    <row r="114" spans="1:7" ht="15.6" thickTop="1" thickBot="1">
      <c r="A114" s="110">
        <v>110</v>
      </c>
      <c r="B114" s="352">
        <v>2.2017000000000002</v>
      </c>
      <c r="C114" s="110">
        <v>110</v>
      </c>
      <c r="D114" s="588">
        <v>0</v>
      </c>
      <c r="E114" s="588">
        <v>0</v>
      </c>
      <c r="F114" s="589">
        <v>0</v>
      </c>
      <c r="G114" s="588">
        <v>0</v>
      </c>
    </row>
    <row r="115" spans="1:7" ht="15.6" thickTop="1" thickBot="1">
      <c r="A115" s="110">
        <v>111</v>
      </c>
      <c r="B115" s="352">
        <v>3.2017000000000002</v>
      </c>
      <c r="C115" s="110">
        <v>111</v>
      </c>
      <c r="D115" s="588">
        <v>0</v>
      </c>
      <c r="E115" s="588">
        <v>0</v>
      </c>
      <c r="F115" s="589">
        <v>0</v>
      </c>
      <c r="G115" s="588">
        <v>0</v>
      </c>
    </row>
    <row r="116" spans="1:7" ht="15.6" thickTop="1" thickBot="1">
      <c r="A116" s="110">
        <v>112</v>
      </c>
      <c r="B116" s="352">
        <v>4.2016999999999998</v>
      </c>
      <c r="C116" s="110">
        <v>112</v>
      </c>
      <c r="D116" s="588">
        <v>0</v>
      </c>
      <c r="E116" s="588">
        <v>0</v>
      </c>
      <c r="F116" s="589">
        <v>0</v>
      </c>
      <c r="G116" s="588">
        <v>0</v>
      </c>
    </row>
    <row r="117" spans="1:7" ht="15.6" thickTop="1" thickBot="1">
      <c r="A117" s="110">
        <v>113</v>
      </c>
      <c r="B117" s="352">
        <v>5.2016999999999998</v>
      </c>
      <c r="C117" s="110">
        <v>113</v>
      </c>
      <c r="D117" s="588">
        <v>0</v>
      </c>
      <c r="E117" s="588">
        <v>0</v>
      </c>
      <c r="F117" s="589">
        <v>0</v>
      </c>
      <c r="G117" s="588">
        <v>0</v>
      </c>
    </row>
    <row r="118" spans="1:7" ht="15.6" thickTop="1" thickBot="1">
      <c r="A118" s="110">
        <v>114</v>
      </c>
      <c r="B118" s="352">
        <v>6.2016999999999998</v>
      </c>
      <c r="C118" s="110">
        <v>114</v>
      </c>
      <c r="D118" s="588">
        <v>0</v>
      </c>
      <c r="E118" s="588">
        <v>0</v>
      </c>
      <c r="F118" s="589">
        <v>0</v>
      </c>
      <c r="G118" s="588">
        <v>0</v>
      </c>
    </row>
    <row r="119" spans="1:7" ht="15.6" thickTop="1" thickBot="1">
      <c r="A119" s="110">
        <v>115</v>
      </c>
      <c r="B119" s="352">
        <v>7.2016999999999998</v>
      </c>
      <c r="C119" s="110">
        <v>115</v>
      </c>
      <c r="D119" s="588">
        <v>0</v>
      </c>
      <c r="E119" s="588">
        <v>0</v>
      </c>
      <c r="F119" s="589">
        <v>0</v>
      </c>
      <c r="G119" s="588">
        <v>0</v>
      </c>
    </row>
    <row r="120" spans="1:7" ht="15.6" thickTop="1" thickBot="1">
      <c r="A120" s="110">
        <v>116</v>
      </c>
      <c r="B120" s="352">
        <v>8.2017000000000007</v>
      </c>
      <c r="C120" s="110">
        <v>116</v>
      </c>
      <c r="D120" s="588">
        <v>0</v>
      </c>
      <c r="E120" s="588">
        <v>0</v>
      </c>
      <c r="F120" s="589">
        <v>0</v>
      </c>
      <c r="G120" s="588">
        <v>0</v>
      </c>
    </row>
    <row r="121" spans="1:7" ht="15.6" thickTop="1" thickBot="1">
      <c r="A121" s="110">
        <v>117</v>
      </c>
      <c r="B121" s="352">
        <v>9.2017000000000007</v>
      </c>
      <c r="C121" s="110">
        <v>117</v>
      </c>
      <c r="D121" s="588">
        <v>0</v>
      </c>
      <c r="E121" s="588">
        <v>0</v>
      </c>
      <c r="F121" s="589">
        <v>0</v>
      </c>
      <c r="G121" s="588">
        <v>0</v>
      </c>
    </row>
    <row r="122" spans="1:7" ht="15.6" thickTop="1" thickBot="1">
      <c r="A122" s="110">
        <v>118</v>
      </c>
      <c r="B122" s="352">
        <v>10.201700000000001</v>
      </c>
      <c r="C122" s="110">
        <v>118</v>
      </c>
      <c r="D122" s="588">
        <v>0</v>
      </c>
      <c r="E122" s="588">
        <v>0</v>
      </c>
      <c r="F122" s="589">
        <v>0</v>
      </c>
      <c r="G122" s="588">
        <v>0</v>
      </c>
    </row>
    <row r="123" spans="1:7" ht="15.6" thickTop="1" thickBot="1">
      <c r="A123" s="110">
        <v>119</v>
      </c>
      <c r="B123" s="352">
        <v>11.201700000000001</v>
      </c>
      <c r="C123" s="110">
        <v>119</v>
      </c>
      <c r="D123" s="588">
        <v>0</v>
      </c>
      <c r="E123" s="588">
        <v>0</v>
      </c>
      <c r="F123" s="589">
        <v>0</v>
      </c>
      <c r="G123" s="588">
        <v>0</v>
      </c>
    </row>
    <row r="124" spans="1:7" ht="15.6" thickTop="1" thickBot="1">
      <c r="A124" s="110">
        <v>120</v>
      </c>
      <c r="B124" s="352">
        <v>12.201700000000001</v>
      </c>
      <c r="C124" s="110">
        <v>120</v>
      </c>
      <c r="D124" s="588">
        <v>0</v>
      </c>
      <c r="E124" s="588">
        <v>0</v>
      </c>
      <c r="F124" s="589">
        <v>0</v>
      </c>
      <c r="G124" s="588">
        <v>0</v>
      </c>
    </row>
    <row r="125" spans="1:7" ht="15.6" thickTop="1" thickBot="1">
      <c r="A125" s="110">
        <v>121</v>
      </c>
      <c r="B125" s="352">
        <v>1.2018</v>
      </c>
      <c r="C125" s="110">
        <v>121</v>
      </c>
      <c r="D125" s="588">
        <v>0</v>
      </c>
      <c r="E125" s="588">
        <v>0</v>
      </c>
      <c r="F125" s="589">
        <v>0</v>
      </c>
      <c r="G125" s="588">
        <v>0</v>
      </c>
    </row>
    <row r="126" spans="1:7" ht="15.6" thickTop="1" thickBot="1">
      <c r="A126" s="110">
        <v>122</v>
      </c>
      <c r="B126" s="352">
        <v>2.2018</v>
      </c>
      <c r="C126" s="110">
        <v>122</v>
      </c>
      <c r="D126" s="588">
        <v>0</v>
      </c>
      <c r="E126" s="588">
        <v>0</v>
      </c>
      <c r="F126" s="589">
        <v>0</v>
      </c>
      <c r="G126" s="588">
        <v>0</v>
      </c>
    </row>
    <row r="127" spans="1:7" ht="15.6" thickTop="1" thickBot="1">
      <c r="A127" s="110">
        <v>123</v>
      </c>
      <c r="B127" s="352">
        <v>3.2018</v>
      </c>
      <c r="C127" s="110">
        <v>123</v>
      </c>
      <c r="D127" s="588">
        <v>0</v>
      </c>
      <c r="E127" s="588">
        <v>0</v>
      </c>
      <c r="F127" s="589">
        <v>0</v>
      </c>
      <c r="G127" s="588">
        <v>0</v>
      </c>
    </row>
    <row r="128" spans="1:7" ht="15.6" thickTop="1" thickBot="1">
      <c r="A128" s="110">
        <v>124</v>
      </c>
      <c r="B128" s="352">
        <v>4.2018000000000004</v>
      </c>
      <c r="C128" s="110">
        <v>124</v>
      </c>
      <c r="D128" s="588">
        <v>0</v>
      </c>
      <c r="E128" s="588">
        <v>0</v>
      </c>
      <c r="F128" s="589">
        <v>0</v>
      </c>
      <c r="G128" s="588">
        <v>0</v>
      </c>
    </row>
    <row r="129" spans="1:7" ht="15.6" thickTop="1" thickBot="1">
      <c r="A129" s="110">
        <v>125</v>
      </c>
      <c r="B129" s="352">
        <v>5.2018000000000004</v>
      </c>
      <c r="C129" s="110">
        <v>125</v>
      </c>
      <c r="D129" s="588">
        <v>0</v>
      </c>
      <c r="E129" s="588">
        <v>0</v>
      </c>
      <c r="F129" s="589">
        <v>0</v>
      </c>
      <c r="G129" s="588">
        <v>0</v>
      </c>
    </row>
    <row r="130" spans="1:7" ht="15.6" thickTop="1" thickBot="1">
      <c r="A130" s="110">
        <v>126</v>
      </c>
      <c r="B130" s="352">
        <v>6.2018000000000004</v>
      </c>
      <c r="C130" s="110">
        <v>126</v>
      </c>
      <c r="D130" s="588">
        <v>0</v>
      </c>
      <c r="E130" s="588">
        <v>0</v>
      </c>
      <c r="F130" s="589">
        <v>0</v>
      </c>
      <c r="G130" s="588">
        <v>0</v>
      </c>
    </row>
    <row r="131" spans="1:7" ht="15.6" thickTop="1" thickBot="1">
      <c r="A131" s="110">
        <v>127</v>
      </c>
      <c r="B131" s="352">
        <v>7.2018000000000004</v>
      </c>
      <c r="C131" s="110">
        <v>127</v>
      </c>
      <c r="D131" s="588">
        <v>0</v>
      </c>
      <c r="E131" s="588">
        <v>0</v>
      </c>
      <c r="F131" s="589">
        <v>0</v>
      </c>
      <c r="G131" s="588">
        <v>0</v>
      </c>
    </row>
    <row r="132" spans="1:7" ht="15.6" thickTop="1" thickBot="1">
      <c r="A132" s="110">
        <v>128</v>
      </c>
      <c r="B132" s="352">
        <v>8.2018000000000004</v>
      </c>
      <c r="C132" s="110">
        <v>128</v>
      </c>
      <c r="D132" s="588">
        <v>0</v>
      </c>
      <c r="E132" s="588">
        <v>0</v>
      </c>
      <c r="F132" s="589">
        <v>0</v>
      </c>
      <c r="G132" s="588">
        <v>0</v>
      </c>
    </row>
    <row r="133" spans="1:7" ht="15.6" thickTop="1" thickBot="1">
      <c r="A133" s="110">
        <v>129</v>
      </c>
      <c r="B133" s="352">
        <v>9.2018000000000004</v>
      </c>
      <c r="C133" s="110">
        <v>129</v>
      </c>
      <c r="D133" s="588">
        <v>0</v>
      </c>
      <c r="E133" s="588">
        <v>0</v>
      </c>
      <c r="F133" s="589">
        <v>0</v>
      </c>
      <c r="G133" s="588">
        <v>0</v>
      </c>
    </row>
    <row r="134" spans="1:7" ht="15.6" thickTop="1" thickBot="1">
      <c r="A134" s="110">
        <v>130</v>
      </c>
      <c r="B134" s="352">
        <v>10.2018</v>
      </c>
      <c r="C134" s="110">
        <v>130</v>
      </c>
      <c r="D134" s="588">
        <v>0</v>
      </c>
      <c r="E134" s="588">
        <v>0</v>
      </c>
      <c r="F134" s="589">
        <v>0</v>
      </c>
      <c r="G134" s="588">
        <v>0</v>
      </c>
    </row>
    <row r="135" spans="1:7" ht="15.6" thickTop="1" thickBot="1">
      <c r="A135" s="110">
        <v>131</v>
      </c>
      <c r="B135" s="352">
        <v>11.2018</v>
      </c>
      <c r="C135" s="110">
        <v>131</v>
      </c>
      <c r="D135" s="588">
        <v>0</v>
      </c>
      <c r="E135" s="588">
        <v>0</v>
      </c>
      <c r="F135" s="589">
        <v>0</v>
      </c>
      <c r="G135" s="588">
        <v>0</v>
      </c>
    </row>
    <row r="136" spans="1:7" ht="15.6" thickTop="1" thickBot="1">
      <c r="A136" s="110">
        <v>132</v>
      </c>
      <c r="B136" s="352">
        <v>12.2018</v>
      </c>
      <c r="C136" s="110">
        <v>132</v>
      </c>
      <c r="D136" s="588">
        <v>0</v>
      </c>
      <c r="E136" s="588">
        <v>0</v>
      </c>
      <c r="F136" s="589">
        <v>0</v>
      </c>
      <c r="G136" s="588">
        <v>0</v>
      </c>
    </row>
    <row r="137" spans="1:7" ht="15.6" thickTop="1" thickBot="1">
      <c r="A137" s="110">
        <v>133</v>
      </c>
      <c r="B137" s="352">
        <v>1.2019</v>
      </c>
      <c r="C137" s="110">
        <v>133</v>
      </c>
      <c r="D137" s="588">
        <v>0</v>
      </c>
      <c r="E137" s="588">
        <v>0</v>
      </c>
      <c r="F137" s="589">
        <v>0</v>
      </c>
      <c r="G137" s="588">
        <v>0</v>
      </c>
    </row>
    <row r="138" spans="1:7" ht="15.6" thickTop="1" thickBot="1">
      <c r="A138" s="110">
        <v>134</v>
      </c>
      <c r="B138" s="352">
        <v>2.2019000000000002</v>
      </c>
      <c r="C138" s="110">
        <v>134</v>
      </c>
      <c r="D138" s="588">
        <v>0</v>
      </c>
      <c r="E138" s="588">
        <v>0</v>
      </c>
      <c r="F138" s="589">
        <v>0</v>
      </c>
      <c r="G138" s="588">
        <v>0</v>
      </c>
    </row>
    <row r="139" spans="1:7" ht="15.6" thickTop="1" thickBot="1">
      <c r="A139" s="110">
        <v>135</v>
      </c>
      <c r="B139" s="352">
        <v>3.2019000000000002</v>
      </c>
      <c r="C139" s="110">
        <v>135</v>
      </c>
      <c r="D139" s="588">
        <v>0</v>
      </c>
      <c r="E139" s="588">
        <v>0</v>
      </c>
      <c r="F139" s="589">
        <v>0</v>
      </c>
      <c r="G139" s="588">
        <v>0</v>
      </c>
    </row>
    <row r="140" spans="1:7" ht="15.6" thickTop="1" thickBot="1">
      <c r="A140" s="110">
        <v>136</v>
      </c>
      <c r="B140" s="352">
        <v>4.2019000000000002</v>
      </c>
      <c r="C140" s="110">
        <v>136</v>
      </c>
      <c r="D140" s="588">
        <v>0</v>
      </c>
      <c r="E140" s="588">
        <v>0</v>
      </c>
      <c r="F140" s="589">
        <v>0</v>
      </c>
      <c r="G140" s="588">
        <v>0</v>
      </c>
    </row>
    <row r="141" spans="1:7" ht="15.6" thickTop="1" thickBot="1">
      <c r="A141" s="110">
        <v>137</v>
      </c>
      <c r="B141" s="352">
        <v>5.2019000000000002</v>
      </c>
      <c r="C141" s="110">
        <v>137</v>
      </c>
      <c r="D141" s="588">
        <v>0</v>
      </c>
      <c r="E141" s="588">
        <v>0</v>
      </c>
      <c r="F141" s="589">
        <v>0</v>
      </c>
      <c r="G141" s="588">
        <v>0</v>
      </c>
    </row>
    <row r="142" spans="1:7" ht="15.6" thickTop="1" thickBot="1">
      <c r="A142" s="110">
        <v>138</v>
      </c>
      <c r="B142" s="352">
        <v>6.2019000000000002</v>
      </c>
      <c r="C142" s="110">
        <v>138</v>
      </c>
      <c r="D142" s="588">
        <v>0</v>
      </c>
      <c r="E142" s="588">
        <v>0</v>
      </c>
      <c r="F142" s="589">
        <v>0</v>
      </c>
      <c r="G142" s="588">
        <v>0</v>
      </c>
    </row>
    <row r="143" spans="1:7" ht="15.6" thickTop="1" thickBot="1">
      <c r="A143" s="110">
        <v>139</v>
      </c>
      <c r="B143" s="352">
        <v>7.2019000000000002</v>
      </c>
      <c r="C143" s="110">
        <v>139</v>
      </c>
      <c r="D143" s="588">
        <v>0</v>
      </c>
      <c r="E143" s="588">
        <v>0</v>
      </c>
      <c r="F143" s="589">
        <v>0</v>
      </c>
      <c r="G143" s="588">
        <v>0</v>
      </c>
    </row>
    <row r="144" spans="1:7" ht="15.6" thickTop="1" thickBot="1">
      <c r="A144" s="110">
        <v>140</v>
      </c>
      <c r="B144" s="352">
        <v>8.2019000000000002</v>
      </c>
      <c r="C144" s="110">
        <v>140</v>
      </c>
      <c r="D144" s="588">
        <v>0</v>
      </c>
      <c r="E144" s="588">
        <v>0</v>
      </c>
      <c r="F144" s="589">
        <v>0</v>
      </c>
      <c r="G144" s="588">
        <v>0</v>
      </c>
    </row>
    <row r="145" spans="1:7" ht="15.6" thickTop="1" thickBot="1">
      <c r="A145" s="110">
        <v>141</v>
      </c>
      <c r="B145" s="352">
        <v>9.2019000000000002</v>
      </c>
      <c r="C145" s="110">
        <v>141</v>
      </c>
      <c r="D145" s="588">
        <v>0</v>
      </c>
      <c r="E145" s="588">
        <v>0</v>
      </c>
      <c r="F145" s="589">
        <v>0</v>
      </c>
      <c r="G145" s="588">
        <v>0</v>
      </c>
    </row>
    <row r="146" spans="1:7" ht="15.6" thickTop="1" thickBot="1">
      <c r="A146" s="110">
        <v>142</v>
      </c>
      <c r="B146" s="352">
        <v>10.2019</v>
      </c>
      <c r="C146" s="110">
        <v>142</v>
      </c>
      <c r="D146" s="588">
        <v>0</v>
      </c>
      <c r="E146" s="588">
        <v>0</v>
      </c>
      <c r="F146" s="589">
        <v>0</v>
      </c>
      <c r="G146" s="588">
        <v>0</v>
      </c>
    </row>
    <row r="147" spans="1:7" ht="15.6" thickTop="1" thickBot="1">
      <c r="A147" s="110">
        <v>143</v>
      </c>
      <c r="B147" s="352">
        <v>11.2019</v>
      </c>
      <c r="C147" s="110">
        <v>143</v>
      </c>
      <c r="D147" s="588">
        <v>0</v>
      </c>
      <c r="E147" s="588">
        <v>0</v>
      </c>
      <c r="F147" s="589">
        <v>0</v>
      </c>
      <c r="G147" s="588">
        <v>0</v>
      </c>
    </row>
    <row r="148" spans="1:7" ht="15.6" thickTop="1" thickBot="1">
      <c r="A148" s="110">
        <v>144</v>
      </c>
      <c r="B148" s="352">
        <v>12.2019</v>
      </c>
      <c r="C148" s="110">
        <v>144</v>
      </c>
      <c r="D148" s="588">
        <v>0</v>
      </c>
      <c r="E148" s="588">
        <v>0</v>
      </c>
      <c r="F148" s="589">
        <v>0</v>
      </c>
      <c r="G148" s="588">
        <v>0</v>
      </c>
    </row>
    <row r="149" spans="1:7" ht="15.6" thickTop="1" thickBot="1">
      <c r="A149" s="110">
        <v>145</v>
      </c>
      <c r="B149" s="352">
        <v>1.202</v>
      </c>
      <c r="C149" s="110">
        <v>145</v>
      </c>
      <c r="D149" s="588">
        <v>0</v>
      </c>
      <c r="E149" s="588">
        <v>0</v>
      </c>
      <c r="F149" s="589">
        <v>0</v>
      </c>
      <c r="G149" s="588">
        <v>0</v>
      </c>
    </row>
    <row r="150" spans="1:7" ht="15.6" thickTop="1" thickBot="1">
      <c r="A150" s="110">
        <v>146</v>
      </c>
      <c r="B150" s="352">
        <v>2.202</v>
      </c>
      <c r="C150" s="110">
        <v>146</v>
      </c>
      <c r="D150" s="588">
        <v>0</v>
      </c>
      <c r="E150" s="588">
        <v>0</v>
      </c>
      <c r="F150" s="589">
        <v>0</v>
      </c>
      <c r="G150" s="588">
        <v>0</v>
      </c>
    </row>
    <row r="151" spans="1:7" ht="15.6" thickTop="1" thickBot="1">
      <c r="A151" s="110">
        <v>147</v>
      </c>
      <c r="B151" s="352">
        <v>3.202</v>
      </c>
      <c r="C151" s="110">
        <v>147</v>
      </c>
      <c r="D151" s="588">
        <v>0</v>
      </c>
      <c r="E151" s="588">
        <v>0</v>
      </c>
      <c r="F151" s="589">
        <v>0</v>
      </c>
      <c r="G151" s="588">
        <v>0</v>
      </c>
    </row>
    <row r="152" spans="1:7" ht="15.6" thickTop="1" thickBot="1">
      <c r="A152" s="110">
        <v>148</v>
      </c>
      <c r="B152" s="352">
        <v>4.202</v>
      </c>
      <c r="C152" s="110">
        <v>148</v>
      </c>
      <c r="D152" s="588">
        <v>0</v>
      </c>
      <c r="E152" s="588">
        <v>0</v>
      </c>
      <c r="F152" s="589">
        <v>0</v>
      </c>
      <c r="G152" s="588">
        <v>0</v>
      </c>
    </row>
    <row r="153" spans="1:7" ht="15.6" thickTop="1" thickBot="1">
      <c r="A153" s="110">
        <v>149</v>
      </c>
      <c r="B153" s="352">
        <v>5.202</v>
      </c>
      <c r="C153" s="110">
        <v>149</v>
      </c>
      <c r="D153" s="588">
        <v>0</v>
      </c>
      <c r="E153" s="588">
        <v>0</v>
      </c>
      <c r="F153" s="589">
        <v>0</v>
      </c>
      <c r="G153" s="588">
        <v>0</v>
      </c>
    </row>
    <row r="154" spans="1:7" ht="15.6" thickTop="1" thickBot="1">
      <c r="A154" s="110">
        <v>150</v>
      </c>
      <c r="B154" s="352">
        <v>6.202</v>
      </c>
      <c r="C154" s="110">
        <v>150</v>
      </c>
      <c r="D154" s="588">
        <v>0</v>
      </c>
      <c r="E154" s="588">
        <v>0</v>
      </c>
      <c r="F154" s="589">
        <v>0</v>
      </c>
      <c r="G154" s="588">
        <v>0</v>
      </c>
    </row>
    <row r="155" spans="1:7" ht="15.6" thickTop="1" thickBot="1">
      <c r="A155" s="110">
        <v>151</v>
      </c>
      <c r="B155" s="352">
        <v>7.202</v>
      </c>
      <c r="C155" s="110">
        <v>151</v>
      </c>
      <c r="D155" s="588">
        <v>0</v>
      </c>
      <c r="E155" s="588">
        <v>0</v>
      </c>
      <c r="F155" s="589">
        <v>0</v>
      </c>
      <c r="G155" s="588">
        <v>0</v>
      </c>
    </row>
    <row r="156" spans="1:7" ht="15.6" thickTop="1" thickBot="1">
      <c r="A156" s="110">
        <v>152</v>
      </c>
      <c r="B156" s="352">
        <v>8.202</v>
      </c>
      <c r="C156" s="110">
        <v>152</v>
      </c>
      <c r="D156" s="588">
        <v>0</v>
      </c>
      <c r="E156" s="588">
        <v>0</v>
      </c>
      <c r="F156" s="589">
        <v>0</v>
      </c>
      <c r="G156" s="588">
        <v>0</v>
      </c>
    </row>
    <row r="157" spans="1:7" ht="15.6" thickTop="1" thickBot="1">
      <c r="A157" s="110">
        <v>153</v>
      </c>
      <c r="B157" s="352">
        <v>9.202</v>
      </c>
      <c r="C157" s="110">
        <v>153</v>
      </c>
      <c r="D157" s="588">
        <v>0</v>
      </c>
      <c r="E157" s="588">
        <v>0</v>
      </c>
      <c r="F157" s="589">
        <v>0</v>
      </c>
      <c r="G157" s="588">
        <v>0</v>
      </c>
    </row>
    <row r="158" spans="1:7" ht="15.6" thickTop="1" thickBot="1">
      <c r="A158" s="110">
        <v>154</v>
      </c>
      <c r="B158" s="352">
        <v>10.202</v>
      </c>
      <c r="C158" s="110">
        <v>154</v>
      </c>
      <c r="D158" s="588">
        <v>0</v>
      </c>
      <c r="E158" s="588">
        <v>0</v>
      </c>
      <c r="F158" s="589">
        <v>0</v>
      </c>
      <c r="G158" s="588">
        <v>0</v>
      </c>
    </row>
    <row r="159" spans="1:7" ht="15.6" thickTop="1" thickBot="1">
      <c r="A159" s="110">
        <v>155</v>
      </c>
      <c r="B159" s="352">
        <v>11.202</v>
      </c>
      <c r="C159" s="110">
        <v>155</v>
      </c>
      <c r="D159" s="588">
        <v>0</v>
      </c>
      <c r="E159" s="588">
        <v>0</v>
      </c>
      <c r="F159" s="589">
        <v>0</v>
      </c>
      <c r="G159" s="588">
        <v>0</v>
      </c>
    </row>
    <row r="160" spans="1:7" ht="15.6" thickTop="1" thickBot="1">
      <c r="A160" s="110">
        <v>156</v>
      </c>
      <c r="B160" s="352">
        <v>12.202</v>
      </c>
      <c r="C160" s="110">
        <v>156</v>
      </c>
      <c r="D160" s="588">
        <v>0</v>
      </c>
      <c r="E160" s="588">
        <v>0</v>
      </c>
      <c r="F160" s="589">
        <v>0</v>
      </c>
      <c r="G160" s="588">
        <v>0</v>
      </c>
    </row>
    <row r="161" spans="1:7" ht="15.6" thickTop="1" thickBot="1">
      <c r="A161" s="110">
        <v>157</v>
      </c>
      <c r="B161" s="352">
        <v>1.2020999999999999</v>
      </c>
      <c r="C161" s="110">
        <v>157</v>
      </c>
      <c r="D161" s="588">
        <v>0</v>
      </c>
      <c r="E161" s="588">
        <v>0</v>
      </c>
      <c r="F161" s="589">
        <v>0</v>
      </c>
      <c r="G161" s="588">
        <v>0</v>
      </c>
    </row>
    <row r="162" spans="1:7" ht="15.6" thickTop="1" thickBot="1">
      <c r="A162" s="110">
        <v>158</v>
      </c>
      <c r="B162" s="352">
        <v>2.2021000000000002</v>
      </c>
      <c r="C162" s="110">
        <v>158</v>
      </c>
      <c r="D162" s="588">
        <v>0</v>
      </c>
      <c r="E162" s="588">
        <v>0</v>
      </c>
      <c r="F162" s="589">
        <v>0</v>
      </c>
      <c r="G162" s="588">
        <v>0</v>
      </c>
    </row>
    <row r="163" spans="1:7" ht="15.6" thickTop="1" thickBot="1">
      <c r="A163" s="110">
        <v>159</v>
      </c>
      <c r="B163" s="352">
        <v>3.2021000000000002</v>
      </c>
      <c r="C163" s="110">
        <v>159</v>
      </c>
      <c r="D163" s="588">
        <v>0</v>
      </c>
      <c r="E163" s="588">
        <v>0</v>
      </c>
      <c r="F163" s="589">
        <v>0</v>
      </c>
      <c r="G163" s="588">
        <v>0</v>
      </c>
    </row>
    <row r="164" spans="1:7" ht="15.6" thickTop="1" thickBot="1">
      <c r="A164" s="110">
        <v>160</v>
      </c>
      <c r="B164" s="352">
        <v>4.2020999999999997</v>
      </c>
      <c r="C164" s="110">
        <v>160</v>
      </c>
      <c r="D164" s="588">
        <v>0</v>
      </c>
      <c r="E164" s="588">
        <v>0</v>
      </c>
      <c r="F164" s="589">
        <v>0</v>
      </c>
      <c r="G164" s="588">
        <v>0</v>
      </c>
    </row>
    <row r="165" spans="1:7" ht="15.6" thickTop="1" thickBot="1">
      <c r="A165" s="110">
        <v>161</v>
      </c>
      <c r="B165" s="352">
        <v>5.2020999999999997</v>
      </c>
      <c r="C165" s="110">
        <v>161</v>
      </c>
      <c r="D165" s="588">
        <v>0</v>
      </c>
      <c r="E165" s="588">
        <v>0</v>
      </c>
      <c r="F165" s="589">
        <v>0</v>
      </c>
      <c r="G165" s="588">
        <v>0</v>
      </c>
    </row>
    <row r="166" spans="1:7" ht="15.6" thickTop="1" thickBot="1">
      <c r="A166" s="110">
        <v>162</v>
      </c>
      <c r="B166" s="352">
        <v>6.2020999999999997</v>
      </c>
      <c r="C166" s="110">
        <v>162</v>
      </c>
      <c r="D166" s="588">
        <v>0</v>
      </c>
      <c r="E166" s="588">
        <v>0</v>
      </c>
      <c r="F166" s="589">
        <v>0</v>
      </c>
      <c r="G166" s="588">
        <v>0</v>
      </c>
    </row>
    <row r="167" spans="1:7" ht="15.6" thickTop="1" thickBot="1">
      <c r="A167" s="110">
        <v>163</v>
      </c>
      <c r="B167" s="352">
        <v>7.2020999999999997</v>
      </c>
      <c r="C167" s="110">
        <v>163</v>
      </c>
      <c r="D167" s="588">
        <v>0</v>
      </c>
      <c r="E167" s="588">
        <v>0</v>
      </c>
      <c r="F167" s="589">
        <v>0</v>
      </c>
      <c r="G167" s="588">
        <v>0</v>
      </c>
    </row>
    <row r="168" spans="1:7" ht="15.6" thickTop="1" thickBot="1">
      <c r="A168" s="110">
        <v>164</v>
      </c>
      <c r="B168" s="352">
        <v>8.2020999999999997</v>
      </c>
      <c r="C168" s="110">
        <v>164</v>
      </c>
      <c r="D168" s="588">
        <v>0</v>
      </c>
      <c r="E168" s="588">
        <v>0</v>
      </c>
      <c r="F168" s="589">
        <v>0</v>
      </c>
      <c r="G168" s="588">
        <v>0</v>
      </c>
    </row>
    <row r="169" spans="1:7" ht="15.6" thickTop="1" thickBot="1">
      <c r="A169" s="110">
        <v>165</v>
      </c>
      <c r="B169" s="352">
        <v>9.2020999999999997</v>
      </c>
      <c r="C169" s="110">
        <v>165</v>
      </c>
      <c r="D169" s="588">
        <v>0</v>
      </c>
      <c r="E169" s="588">
        <v>0</v>
      </c>
      <c r="F169" s="589">
        <v>0</v>
      </c>
      <c r="G169" s="588">
        <v>0</v>
      </c>
    </row>
    <row r="170" spans="1:7" ht="15.6" thickTop="1" thickBot="1">
      <c r="A170" s="110">
        <v>166</v>
      </c>
      <c r="B170" s="352">
        <v>10.2021</v>
      </c>
      <c r="C170" s="110">
        <v>166</v>
      </c>
      <c r="D170" s="588">
        <v>0</v>
      </c>
      <c r="E170" s="588">
        <v>0</v>
      </c>
      <c r="F170" s="589">
        <v>0</v>
      </c>
      <c r="G170" s="588">
        <v>0</v>
      </c>
    </row>
    <row r="171" spans="1:7" ht="15.6" thickTop="1" thickBot="1">
      <c r="A171" s="110">
        <v>167</v>
      </c>
      <c r="B171" s="352">
        <v>11.2021</v>
      </c>
      <c r="C171" s="110">
        <v>167</v>
      </c>
      <c r="D171" s="588">
        <v>0</v>
      </c>
      <c r="E171" s="588">
        <v>0</v>
      </c>
      <c r="F171" s="589">
        <v>0</v>
      </c>
      <c r="G171" s="588">
        <v>0</v>
      </c>
    </row>
    <row r="172" spans="1:7" ht="15.6" thickTop="1" thickBot="1">
      <c r="A172" s="110">
        <v>168</v>
      </c>
      <c r="B172" s="352">
        <v>12.2021</v>
      </c>
      <c r="C172" s="110">
        <v>168</v>
      </c>
      <c r="D172" s="588">
        <v>0</v>
      </c>
      <c r="E172" s="588">
        <v>0</v>
      </c>
      <c r="F172" s="589">
        <v>0</v>
      </c>
      <c r="G172" s="588">
        <v>0</v>
      </c>
    </row>
    <row r="173" spans="1:7" ht="15.6" thickTop="1" thickBot="1">
      <c r="A173" s="110">
        <v>169</v>
      </c>
      <c r="B173" s="352">
        <v>1.2021999999999999</v>
      </c>
      <c r="C173" s="110">
        <v>169</v>
      </c>
      <c r="D173" s="588">
        <v>450</v>
      </c>
      <c r="E173" s="588">
        <v>450</v>
      </c>
      <c r="F173" s="589">
        <v>200</v>
      </c>
      <c r="G173" s="588">
        <v>200</v>
      </c>
    </row>
    <row r="174" spans="1:7" ht="15.6" thickTop="1" thickBot="1">
      <c r="A174" s="110">
        <v>170</v>
      </c>
      <c r="B174" s="352">
        <v>2.2021999999999999</v>
      </c>
      <c r="C174" s="110">
        <v>170</v>
      </c>
      <c r="D174" s="588">
        <v>450</v>
      </c>
      <c r="E174" s="588">
        <v>450</v>
      </c>
      <c r="F174" s="589">
        <v>200</v>
      </c>
      <c r="G174" s="588">
        <v>200</v>
      </c>
    </row>
    <row r="175" spans="1:7" ht="15.6" thickTop="1" thickBot="1">
      <c r="A175" s="110">
        <v>171</v>
      </c>
      <c r="B175" s="352">
        <v>3.2021999999999999</v>
      </c>
      <c r="C175" s="110">
        <v>171</v>
      </c>
      <c r="D175" s="588">
        <v>450</v>
      </c>
      <c r="E175" s="588">
        <v>450</v>
      </c>
      <c r="F175" s="589">
        <v>200</v>
      </c>
      <c r="G175" s="588">
        <v>200</v>
      </c>
    </row>
    <row r="176" spans="1:7" ht="15.6" thickTop="1" thickBot="1">
      <c r="A176" s="110">
        <v>172</v>
      </c>
      <c r="B176" s="352">
        <v>4.2022000000000004</v>
      </c>
      <c r="C176" s="110">
        <v>172</v>
      </c>
      <c r="D176" s="588">
        <v>450</v>
      </c>
      <c r="E176" s="588">
        <v>450</v>
      </c>
      <c r="F176" s="589">
        <v>200</v>
      </c>
      <c r="G176" s="588">
        <v>200</v>
      </c>
    </row>
    <row r="177" spans="1:7" ht="15.6" thickTop="1" thickBot="1">
      <c r="A177" s="110">
        <v>173</v>
      </c>
      <c r="B177" s="352">
        <v>5.2022000000000004</v>
      </c>
      <c r="C177" s="110">
        <v>173</v>
      </c>
      <c r="D177" s="588">
        <v>450</v>
      </c>
      <c r="E177" s="588">
        <v>450</v>
      </c>
      <c r="F177" s="589">
        <v>200</v>
      </c>
      <c r="G177" s="588">
        <v>200</v>
      </c>
    </row>
    <row r="178" spans="1:7" ht="15.6" thickTop="1" thickBot="1">
      <c r="A178" s="110">
        <v>174</v>
      </c>
      <c r="B178" s="352">
        <v>6.2022000000000004</v>
      </c>
      <c r="C178" s="110">
        <v>174</v>
      </c>
      <c r="D178" s="588">
        <v>450</v>
      </c>
      <c r="E178" s="588">
        <v>450</v>
      </c>
      <c r="F178" s="589">
        <v>200</v>
      </c>
      <c r="G178" s="588">
        <v>200</v>
      </c>
    </row>
    <row r="179" spans="1:7" ht="15.6" thickTop="1" thickBot="1">
      <c r="A179" s="110">
        <v>175</v>
      </c>
      <c r="B179" s="352">
        <v>7.2022000000000004</v>
      </c>
      <c r="C179" s="110">
        <v>175</v>
      </c>
      <c r="D179" s="588">
        <v>450</v>
      </c>
      <c r="E179" s="588">
        <v>450</v>
      </c>
      <c r="F179" s="589">
        <v>200</v>
      </c>
      <c r="G179" s="588">
        <v>200</v>
      </c>
    </row>
    <row r="180" spans="1:7" ht="15.6" thickTop="1" thickBot="1">
      <c r="A180" s="110">
        <v>176</v>
      </c>
      <c r="B180" s="352">
        <v>8.2021999999999995</v>
      </c>
      <c r="C180" s="110">
        <v>176</v>
      </c>
      <c r="D180" s="588">
        <v>450</v>
      </c>
      <c r="E180" s="588">
        <v>450</v>
      </c>
      <c r="F180" s="589">
        <v>200</v>
      </c>
      <c r="G180" s="588">
        <v>200</v>
      </c>
    </row>
    <row r="181" spans="1:7" ht="15.6" thickTop="1" thickBot="1">
      <c r="A181" s="110">
        <v>177</v>
      </c>
      <c r="B181" s="352">
        <v>9.2021999999999995</v>
      </c>
      <c r="C181" s="110">
        <v>177</v>
      </c>
      <c r="D181" s="588">
        <v>450</v>
      </c>
      <c r="E181" s="588">
        <v>450</v>
      </c>
      <c r="F181" s="589">
        <v>200</v>
      </c>
      <c r="G181" s="588">
        <v>200</v>
      </c>
    </row>
    <row r="182" spans="1:7" ht="15.6" thickTop="1" thickBot="1">
      <c r="A182" s="110">
        <v>178</v>
      </c>
      <c r="B182" s="352">
        <v>10.202199999999999</v>
      </c>
      <c r="C182" s="110">
        <v>178</v>
      </c>
      <c r="D182" s="588">
        <v>450</v>
      </c>
      <c r="E182" s="588">
        <v>450</v>
      </c>
      <c r="F182" s="589">
        <v>200</v>
      </c>
      <c r="G182" s="588">
        <v>200</v>
      </c>
    </row>
    <row r="183" spans="1:7" ht="15.6" thickTop="1" thickBot="1">
      <c r="A183" s="110">
        <v>179</v>
      </c>
      <c r="B183" s="352">
        <v>11.202199999999999</v>
      </c>
      <c r="C183" s="110">
        <v>179</v>
      </c>
      <c r="D183" s="588">
        <v>450</v>
      </c>
      <c r="E183" s="588">
        <v>450</v>
      </c>
      <c r="F183" s="589">
        <v>200</v>
      </c>
      <c r="G183" s="588">
        <v>200</v>
      </c>
    </row>
    <row r="184" spans="1:7" ht="15.6" thickTop="1" thickBot="1">
      <c r="A184" s="110">
        <v>180</v>
      </c>
      <c r="B184" s="352">
        <v>12.202199999999999</v>
      </c>
      <c r="C184" s="110">
        <v>180</v>
      </c>
      <c r="D184" s="588">
        <v>450</v>
      </c>
      <c r="E184" s="588">
        <v>450</v>
      </c>
      <c r="F184" s="589">
        <v>200</v>
      </c>
      <c r="G184" s="588">
        <v>200</v>
      </c>
    </row>
    <row r="185" spans="1:7" ht="15.6" thickTop="1" thickBot="1">
      <c r="A185" s="110">
        <v>181</v>
      </c>
      <c r="B185" s="352">
        <v>1.2022999999999999</v>
      </c>
      <c r="C185" s="110">
        <v>181</v>
      </c>
      <c r="D185" s="588">
        <v>720</v>
      </c>
      <c r="E185" s="588">
        <v>420</v>
      </c>
      <c r="F185" s="589">
        <v>320</v>
      </c>
      <c r="G185" s="588">
        <v>320</v>
      </c>
    </row>
    <row r="186" spans="1:7" ht="15.6" thickTop="1" thickBot="1">
      <c r="A186" s="110">
        <v>182</v>
      </c>
      <c r="B186" s="352">
        <v>2.2023000000000001</v>
      </c>
      <c r="C186" s="110">
        <v>182</v>
      </c>
      <c r="D186" s="588">
        <v>720</v>
      </c>
      <c r="E186" s="588">
        <v>420</v>
      </c>
      <c r="F186" s="589">
        <v>320</v>
      </c>
      <c r="G186" s="588">
        <v>320</v>
      </c>
    </row>
    <row r="187" spans="1:7" ht="15.6" thickTop="1" thickBot="1">
      <c r="A187" s="110">
        <v>183</v>
      </c>
      <c r="B187" s="352">
        <v>3.2023000000000001</v>
      </c>
      <c r="C187" s="110">
        <v>183</v>
      </c>
      <c r="D187" s="588">
        <v>720</v>
      </c>
      <c r="E187" s="588">
        <v>420</v>
      </c>
      <c r="F187" s="589">
        <v>320</v>
      </c>
      <c r="G187" s="588">
        <v>320</v>
      </c>
    </row>
    <row r="188" spans="1:7" ht="15.6" thickTop="1" thickBot="1">
      <c r="A188" s="110">
        <v>184</v>
      </c>
      <c r="B188" s="352">
        <v>4.2023000000000001</v>
      </c>
      <c r="C188" s="110">
        <v>184</v>
      </c>
      <c r="D188" s="588">
        <v>720</v>
      </c>
      <c r="E188" s="588">
        <v>420</v>
      </c>
      <c r="F188" s="589">
        <v>320</v>
      </c>
      <c r="G188" s="588">
        <v>320</v>
      </c>
    </row>
    <row r="189" spans="1:7" ht="15.6" thickTop="1" thickBot="1">
      <c r="A189" s="110">
        <v>185</v>
      </c>
      <c r="B189" s="352">
        <v>5.2023000000000001</v>
      </c>
      <c r="C189" s="110">
        <v>185</v>
      </c>
      <c r="D189" s="588">
        <v>720</v>
      </c>
      <c r="E189" s="588">
        <v>420</v>
      </c>
      <c r="F189" s="589">
        <v>320</v>
      </c>
      <c r="G189" s="588">
        <v>320</v>
      </c>
    </row>
    <row r="190" spans="1:7" ht="15.6" thickTop="1" thickBot="1">
      <c r="A190" s="110">
        <v>186</v>
      </c>
      <c r="B190" s="352">
        <v>6.2023000000000001</v>
      </c>
      <c r="C190" s="110">
        <v>186</v>
      </c>
      <c r="D190" s="588">
        <v>720</v>
      </c>
      <c r="E190" s="588">
        <v>420</v>
      </c>
      <c r="F190" s="589">
        <v>320</v>
      </c>
      <c r="G190" s="588">
        <v>320</v>
      </c>
    </row>
    <row r="191" spans="1:7" ht="15.6" thickTop="1" thickBot="1">
      <c r="A191" s="110">
        <v>187</v>
      </c>
      <c r="B191" s="352">
        <v>7.2023000000000001</v>
      </c>
      <c r="C191" s="110">
        <v>187</v>
      </c>
      <c r="D191" s="588">
        <v>720</v>
      </c>
      <c r="E191" s="588">
        <v>420</v>
      </c>
      <c r="F191" s="589">
        <v>320</v>
      </c>
      <c r="G191" s="588">
        <v>320</v>
      </c>
    </row>
    <row r="192" spans="1:7" ht="15.6" thickTop="1" thickBot="1">
      <c r="A192" s="110">
        <v>188</v>
      </c>
      <c r="B192" s="352">
        <v>8.2022999999999993</v>
      </c>
      <c r="C192" s="110">
        <v>188</v>
      </c>
      <c r="D192" s="588">
        <v>720</v>
      </c>
      <c r="E192" s="588">
        <v>420</v>
      </c>
      <c r="F192" s="589">
        <v>320</v>
      </c>
      <c r="G192" s="588">
        <v>320</v>
      </c>
    </row>
    <row r="193" spans="1:7" ht="15.6" thickTop="1" thickBot="1">
      <c r="A193" s="110">
        <v>189</v>
      </c>
      <c r="B193" s="352">
        <v>9.2022999999999993</v>
      </c>
      <c r="C193" s="110">
        <v>189</v>
      </c>
      <c r="D193" s="588">
        <v>720</v>
      </c>
      <c r="E193" s="588">
        <v>420</v>
      </c>
      <c r="F193" s="589">
        <v>320</v>
      </c>
      <c r="G193" s="588">
        <v>320</v>
      </c>
    </row>
    <row r="194" spans="1:7" ht="15.6" thickTop="1" thickBot="1">
      <c r="A194" s="110">
        <v>190</v>
      </c>
      <c r="B194" s="352">
        <v>10.202299999999999</v>
      </c>
      <c r="C194" s="110">
        <v>190</v>
      </c>
      <c r="D194" s="588">
        <v>720</v>
      </c>
      <c r="E194" s="588">
        <v>420</v>
      </c>
      <c r="F194" s="589">
        <v>320</v>
      </c>
      <c r="G194" s="588">
        <v>320</v>
      </c>
    </row>
    <row r="195" spans="1:7" ht="15.6" thickTop="1" thickBot="1">
      <c r="A195" s="110">
        <v>191</v>
      </c>
      <c r="B195" s="352">
        <v>11.202299999999999</v>
      </c>
      <c r="C195" s="110">
        <v>191</v>
      </c>
      <c r="D195" s="588">
        <v>720</v>
      </c>
      <c r="E195" s="588">
        <v>420</v>
      </c>
      <c r="F195" s="589">
        <v>320</v>
      </c>
      <c r="G195" s="588">
        <v>320</v>
      </c>
    </row>
    <row r="196" spans="1:7" ht="15.6" thickTop="1" thickBot="1">
      <c r="A196" s="110">
        <v>192</v>
      </c>
      <c r="B196" s="352">
        <v>12.202299999999999</v>
      </c>
      <c r="C196" s="110">
        <v>192</v>
      </c>
      <c r="D196" s="588">
        <v>720</v>
      </c>
      <c r="E196" s="588">
        <v>420</v>
      </c>
      <c r="F196" s="589">
        <v>320</v>
      </c>
      <c r="G196" s="588">
        <v>320</v>
      </c>
    </row>
    <row r="197" spans="1:7" ht="15.6" thickTop="1" thickBot="1">
      <c r="A197" s="110">
        <v>193</v>
      </c>
      <c r="B197" s="352">
        <v>1.2023999999999999</v>
      </c>
      <c r="C197" s="110">
        <v>193</v>
      </c>
      <c r="D197" s="588">
        <v>720</v>
      </c>
      <c r="E197" s="588">
        <v>420</v>
      </c>
      <c r="F197" s="589">
        <v>320</v>
      </c>
      <c r="G197" s="588">
        <v>320</v>
      </c>
    </row>
    <row r="198" spans="1:7" ht="15.6" thickTop="1" thickBot="1">
      <c r="A198" s="110">
        <v>194</v>
      </c>
      <c r="B198" s="352">
        <v>2.2023999999999999</v>
      </c>
      <c r="C198" s="110">
        <v>194</v>
      </c>
      <c r="D198" s="588">
        <v>720</v>
      </c>
      <c r="E198" s="588">
        <v>420</v>
      </c>
      <c r="F198" s="589">
        <v>320</v>
      </c>
      <c r="G198" s="588">
        <v>320</v>
      </c>
    </row>
    <row r="199" spans="1:7" ht="15.6" thickTop="1" thickBot="1">
      <c r="A199" s="110">
        <v>195</v>
      </c>
      <c r="B199" s="352">
        <v>3.2023999999999999</v>
      </c>
      <c r="C199" s="110">
        <v>195</v>
      </c>
      <c r="D199" s="588">
        <v>720</v>
      </c>
      <c r="E199" s="588">
        <v>420</v>
      </c>
      <c r="F199" s="589">
        <v>320</v>
      </c>
      <c r="G199" s="588">
        <v>320</v>
      </c>
    </row>
    <row r="200" spans="1:7" ht="15.6" thickTop="1" thickBot="1">
      <c r="A200" s="110">
        <v>196</v>
      </c>
      <c r="B200" s="352">
        <v>4.2023999999999999</v>
      </c>
      <c r="C200" s="110">
        <v>196</v>
      </c>
      <c r="D200" s="588">
        <v>720</v>
      </c>
      <c r="E200" s="588">
        <v>420</v>
      </c>
      <c r="F200" s="589">
        <v>320</v>
      </c>
      <c r="G200" s="588">
        <v>320</v>
      </c>
    </row>
    <row r="201" spans="1:7" ht="15.6" thickTop="1" thickBot="1">
      <c r="A201" s="110">
        <v>197</v>
      </c>
      <c r="B201" s="352">
        <v>5.2023999999999999</v>
      </c>
      <c r="C201" s="110">
        <v>197</v>
      </c>
      <c r="D201" s="588">
        <v>720</v>
      </c>
      <c r="E201" s="588">
        <v>420</v>
      </c>
      <c r="F201" s="589">
        <v>320</v>
      </c>
      <c r="G201" s="588">
        <v>320</v>
      </c>
    </row>
    <row r="202" spans="1:7" ht="15.6" thickTop="1" thickBot="1">
      <c r="A202" s="110">
        <v>198</v>
      </c>
      <c r="B202" s="352">
        <v>6.2023999999999999</v>
      </c>
      <c r="C202" s="110">
        <v>198</v>
      </c>
      <c r="D202" s="588">
        <v>720</v>
      </c>
      <c r="E202" s="588">
        <v>420</v>
      </c>
      <c r="F202" s="589">
        <v>320</v>
      </c>
      <c r="G202" s="588">
        <v>320</v>
      </c>
    </row>
    <row r="203" spans="1:7" ht="15.6" thickTop="1" thickBot="1">
      <c r="A203" s="110">
        <v>199</v>
      </c>
      <c r="B203" s="352">
        <v>7.2023999999999999</v>
      </c>
      <c r="C203" s="110">
        <v>199</v>
      </c>
      <c r="D203" s="588">
        <v>720</v>
      </c>
      <c r="E203" s="588">
        <v>420</v>
      </c>
      <c r="F203" s="589">
        <v>320</v>
      </c>
      <c r="G203" s="588">
        <v>320</v>
      </c>
    </row>
    <row r="204" spans="1:7" ht="15.6" thickTop="1" thickBot="1">
      <c r="A204" s="110">
        <v>200</v>
      </c>
      <c r="B204" s="352">
        <v>8.2024000000000008</v>
      </c>
      <c r="C204" s="110">
        <v>200</v>
      </c>
      <c r="D204" s="588">
        <v>720</v>
      </c>
      <c r="E204" s="588">
        <v>420</v>
      </c>
      <c r="F204" s="589">
        <v>320</v>
      </c>
      <c r="G204" s="588">
        <v>320</v>
      </c>
    </row>
    <row r="205" spans="1:7" ht="15.6" thickTop="1" thickBot="1">
      <c r="A205" s="110">
        <v>201</v>
      </c>
      <c r="B205" s="352">
        <v>9.2024000000000008</v>
      </c>
      <c r="C205" s="110">
        <v>201</v>
      </c>
      <c r="D205" s="588">
        <v>720</v>
      </c>
      <c r="E205" s="588">
        <v>420</v>
      </c>
      <c r="F205" s="589">
        <v>320</v>
      </c>
      <c r="G205" s="588">
        <v>320</v>
      </c>
    </row>
    <row r="206" spans="1:7" ht="15.6" thickTop="1" thickBot="1">
      <c r="A206" s="110">
        <v>202</v>
      </c>
      <c r="B206" s="352">
        <v>10.202400000000001</v>
      </c>
      <c r="C206" s="110">
        <v>202</v>
      </c>
      <c r="D206" s="588">
        <v>720</v>
      </c>
      <c r="E206" s="588">
        <v>420</v>
      </c>
      <c r="F206" s="589">
        <v>320</v>
      </c>
      <c r="G206" s="588">
        <v>320</v>
      </c>
    </row>
    <row r="207" spans="1:7" ht="15.6" thickTop="1" thickBot="1">
      <c r="A207" s="110">
        <v>203</v>
      </c>
      <c r="B207" s="352">
        <v>11.202400000000001</v>
      </c>
      <c r="C207" s="110">
        <v>203</v>
      </c>
      <c r="D207" s="588">
        <v>720</v>
      </c>
      <c r="E207" s="588">
        <v>420</v>
      </c>
      <c r="F207" s="589">
        <v>320</v>
      </c>
      <c r="G207" s="588">
        <v>320</v>
      </c>
    </row>
    <row r="208" spans="1:7" ht="15.6" thickTop="1" thickBot="1">
      <c r="A208" s="110">
        <v>204</v>
      </c>
      <c r="B208" s="352">
        <v>12.202400000000001</v>
      </c>
      <c r="C208" s="110">
        <v>204</v>
      </c>
      <c r="D208" s="588">
        <v>720</v>
      </c>
      <c r="E208" s="588">
        <v>420</v>
      </c>
      <c r="F208" s="589">
        <v>320</v>
      </c>
      <c r="G208" s="588">
        <v>320</v>
      </c>
    </row>
    <row r="209" spans="1:7" ht="15.6" thickTop="1" thickBot="1">
      <c r="A209" s="110">
        <v>205</v>
      </c>
      <c r="B209" s="352">
        <v>1.2024999999999999</v>
      </c>
      <c r="C209" s="110">
        <v>205</v>
      </c>
      <c r="D209" s="588">
        <v>720</v>
      </c>
      <c r="E209" s="588">
        <v>420</v>
      </c>
      <c r="F209" s="589">
        <v>320</v>
      </c>
      <c r="G209" s="588">
        <v>320</v>
      </c>
    </row>
    <row r="210" spans="1:7" ht="15.6" thickTop="1" thickBot="1">
      <c r="A210" s="110">
        <v>206</v>
      </c>
      <c r="B210" s="352">
        <v>2.2025000000000001</v>
      </c>
      <c r="C210" s="110">
        <v>206</v>
      </c>
      <c r="D210" s="588">
        <v>720</v>
      </c>
      <c r="E210" s="588">
        <v>420</v>
      </c>
      <c r="F210" s="589">
        <v>320</v>
      </c>
      <c r="G210" s="588">
        <v>320</v>
      </c>
    </row>
    <row r="211" spans="1:7" ht="15.6" thickTop="1" thickBot="1">
      <c r="A211" s="110">
        <v>207</v>
      </c>
      <c r="B211" s="352">
        <v>3.2025000000000001</v>
      </c>
      <c r="C211" s="110">
        <v>207</v>
      </c>
      <c r="D211" s="588">
        <v>720</v>
      </c>
      <c r="E211" s="588">
        <v>420</v>
      </c>
      <c r="F211" s="589">
        <v>320</v>
      </c>
      <c r="G211" s="588">
        <v>320</v>
      </c>
    </row>
    <row r="212" spans="1:7" ht="15.6" thickTop="1" thickBot="1">
      <c r="A212" s="110">
        <v>208</v>
      </c>
      <c r="B212" s="352">
        <v>4.2024999999999997</v>
      </c>
      <c r="C212" s="110">
        <v>208</v>
      </c>
      <c r="D212" s="588">
        <v>720</v>
      </c>
      <c r="E212" s="588">
        <v>420</v>
      </c>
      <c r="F212" s="589">
        <v>320</v>
      </c>
      <c r="G212" s="588">
        <v>320</v>
      </c>
    </row>
    <row r="213" spans="1:7" ht="15.6" thickTop="1" thickBot="1">
      <c r="A213" s="110">
        <v>209</v>
      </c>
      <c r="B213" s="352">
        <v>5.2024999999999997</v>
      </c>
      <c r="C213" s="110">
        <v>209</v>
      </c>
      <c r="D213" s="588">
        <v>720</v>
      </c>
      <c r="E213" s="588">
        <v>420</v>
      </c>
      <c r="F213" s="589">
        <v>320</v>
      </c>
      <c r="G213" s="588">
        <v>320</v>
      </c>
    </row>
    <row r="214" spans="1:7" ht="15.6" thickTop="1" thickBot="1">
      <c r="A214" s="110">
        <v>210</v>
      </c>
      <c r="B214" s="352">
        <v>6.2024999999999997</v>
      </c>
      <c r="C214" s="110">
        <v>210</v>
      </c>
      <c r="D214" s="588">
        <v>720</v>
      </c>
      <c r="E214" s="588">
        <v>420</v>
      </c>
      <c r="F214" s="589">
        <v>320</v>
      </c>
      <c r="G214" s="588">
        <v>320</v>
      </c>
    </row>
    <row r="215" spans="1:7" ht="15.6" thickTop="1" thickBot="1">
      <c r="A215" s="110">
        <v>211</v>
      </c>
      <c r="B215" s="352">
        <v>7.2024999999999997</v>
      </c>
      <c r="C215" s="110">
        <v>211</v>
      </c>
      <c r="D215" s="588">
        <v>720</v>
      </c>
      <c r="E215" s="588">
        <v>420</v>
      </c>
      <c r="F215" s="589">
        <v>320</v>
      </c>
      <c r="G215" s="588">
        <v>320</v>
      </c>
    </row>
    <row r="216" spans="1:7" ht="15.6" thickTop="1" thickBot="1">
      <c r="A216" s="110">
        <v>212</v>
      </c>
      <c r="B216" s="352">
        <v>8.2025000000000006</v>
      </c>
      <c r="C216" s="110">
        <v>212</v>
      </c>
      <c r="D216" s="588">
        <v>720</v>
      </c>
      <c r="E216" s="588">
        <v>420</v>
      </c>
      <c r="F216" s="589">
        <v>320</v>
      </c>
      <c r="G216" s="588">
        <v>320</v>
      </c>
    </row>
    <row r="217" spans="1:7" ht="15.6" thickTop="1" thickBot="1">
      <c r="A217" s="110">
        <v>213</v>
      </c>
      <c r="B217" s="352">
        <v>9.2025000000000006</v>
      </c>
      <c r="C217" s="110">
        <v>213</v>
      </c>
      <c r="D217" s="588">
        <v>720</v>
      </c>
      <c r="E217" s="588">
        <v>420</v>
      </c>
      <c r="F217" s="589">
        <v>320</v>
      </c>
      <c r="G217" s="588">
        <v>320</v>
      </c>
    </row>
    <row r="218" spans="1:7" ht="15.6" thickTop="1" thickBot="1">
      <c r="A218" s="110">
        <v>214</v>
      </c>
      <c r="B218" s="352">
        <v>10.202500000000001</v>
      </c>
      <c r="C218" s="110">
        <v>214</v>
      </c>
      <c r="D218" s="588">
        <v>720</v>
      </c>
      <c r="E218" s="588">
        <v>420</v>
      </c>
      <c r="F218" s="589">
        <v>320</v>
      </c>
      <c r="G218" s="588">
        <v>320</v>
      </c>
    </row>
    <row r="219" spans="1:7" ht="15.6" thickTop="1" thickBot="1">
      <c r="A219" s="110">
        <v>215</v>
      </c>
      <c r="B219" s="352">
        <v>11.202500000000001</v>
      </c>
      <c r="C219" s="110">
        <v>215</v>
      </c>
      <c r="D219" s="588">
        <v>720</v>
      </c>
      <c r="E219" s="588">
        <v>420</v>
      </c>
      <c r="F219" s="589">
        <v>320</v>
      </c>
      <c r="G219" s="588">
        <v>320</v>
      </c>
    </row>
    <row r="220" spans="1:7" ht="15.6" thickTop="1" thickBot="1">
      <c r="A220" s="110">
        <v>216</v>
      </c>
      <c r="B220" s="352">
        <v>12.202500000000001</v>
      </c>
      <c r="C220" s="110">
        <v>216</v>
      </c>
      <c r="D220" s="588">
        <v>720</v>
      </c>
      <c r="E220" s="588">
        <v>420</v>
      </c>
      <c r="F220" s="589">
        <v>320</v>
      </c>
      <c r="G220" s="588">
        <v>320</v>
      </c>
    </row>
    <row r="221" spans="1:7" ht="15.6" thickTop="1" thickBot="1">
      <c r="A221" s="110">
        <v>217</v>
      </c>
      <c r="B221" s="352">
        <v>1.2025999999999999</v>
      </c>
      <c r="C221" s="110">
        <v>217</v>
      </c>
      <c r="D221" s="588">
        <v>720</v>
      </c>
      <c r="E221" s="588">
        <v>420</v>
      </c>
      <c r="F221" s="589">
        <v>320</v>
      </c>
      <c r="G221" s="588">
        <v>320</v>
      </c>
    </row>
    <row r="222" spans="1:7" ht="15.6" thickTop="1" thickBot="1">
      <c r="A222" s="110">
        <v>218</v>
      </c>
      <c r="B222" s="352">
        <v>2.2025999999999999</v>
      </c>
      <c r="C222" s="110">
        <v>218</v>
      </c>
      <c r="D222" s="588">
        <v>720</v>
      </c>
      <c r="E222" s="588">
        <v>420</v>
      </c>
      <c r="F222" s="589">
        <v>320</v>
      </c>
      <c r="G222" s="588">
        <v>320</v>
      </c>
    </row>
    <row r="223" spans="1:7" ht="15.6" thickTop="1" thickBot="1">
      <c r="A223" s="110">
        <v>219</v>
      </c>
      <c r="B223" s="352">
        <v>3.2025999999999999</v>
      </c>
      <c r="C223" s="110">
        <v>219</v>
      </c>
      <c r="D223" s="588">
        <v>720</v>
      </c>
      <c r="E223" s="588">
        <v>420</v>
      </c>
      <c r="F223" s="589">
        <v>320</v>
      </c>
      <c r="G223" s="588">
        <v>320</v>
      </c>
    </row>
    <row r="224" spans="1:7" ht="15.6" thickTop="1" thickBot="1">
      <c r="A224" s="110">
        <v>220</v>
      </c>
      <c r="B224" s="352">
        <v>4.2026000000000003</v>
      </c>
      <c r="C224" s="110">
        <v>220</v>
      </c>
      <c r="D224" s="588">
        <v>720</v>
      </c>
      <c r="E224" s="588">
        <v>420</v>
      </c>
      <c r="F224" s="589">
        <v>320</v>
      </c>
      <c r="G224" s="588">
        <v>320</v>
      </c>
    </row>
    <row r="225" spans="1:7" ht="15.6" thickTop="1" thickBot="1">
      <c r="A225" s="110">
        <v>221</v>
      </c>
      <c r="B225" s="352">
        <v>5.2026000000000003</v>
      </c>
      <c r="C225" s="110">
        <v>221</v>
      </c>
      <c r="D225" s="588">
        <v>720</v>
      </c>
      <c r="E225" s="588">
        <v>420</v>
      </c>
      <c r="F225" s="589">
        <v>320</v>
      </c>
      <c r="G225" s="588">
        <v>320</v>
      </c>
    </row>
    <row r="226" spans="1:7" ht="15.6" thickTop="1" thickBot="1">
      <c r="A226" s="110">
        <v>222</v>
      </c>
      <c r="B226" s="352">
        <v>6.2026000000000003</v>
      </c>
      <c r="C226" s="110">
        <v>222</v>
      </c>
      <c r="D226" s="588">
        <v>720</v>
      </c>
      <c r="E226" s="588">
        <v>420</v>
      </c>
      <c r="F226" s="589">
        <v>320</v>
      </c>
      <c r="G226" s="588">
        <v>320</v>
      </c>
    </row>
    <row r="227" spans="1:7" ht="15.6" thickTop="1" thickBot="1">
      <c r="A227" s="110">
        <v>223</v>
      </c>
      <c r="B227" s="352">
        <v>7.2026000000000003</v>
      </c>
      <c r="C227" s="110">
        <v>223</v>
      </c>
      <c r="D227" s="588">
        <v>720</v>
      </c>
      <c r="E227" s="588">
        <v>420</v>
      </c>
      <c r="F227" s="589">
        <v>320</v>
      </c>
      <c r="G227" s="588">
        <v>320</v>
      </c>
    </row>
    <row r="228" spans="1:7" ht="15.6" thickTop="1" thickBot="1">
      <c r="A228" s="110">
        <v>224</v>
      </c>
      <c r="B228" s="352">
        <v>8.2026000000000003</v>
      </c>
      <c r="C228" s="110">
        <v>224</v>
      </c>
      <c r="D228" s="588">
        <v>720</v>
      </c>
      <c r="E228" s="588">
        <v>420</v>
      </c>
      <c r="F228" s="589">
        <v>320</v>
      </c>
      <c r="G228" s="588">
        <v>320</v>
      </c>
    </row>
    <row r="229" spans="1:7" ht="15.6" thickTop="1" thickBot="1">
      <c r="A229" s="110">
        <v>225</v>
      </c>
      <c r="B229" s="352">
        <v>9.2026000000000003</v>
      </c>
      <c r="C229" s="110">
        <v>225</v>
      </c>
      <c r="D229" s="588">
        <v>720</v>
      </c>
      <c r="E229" s="588">
        <v>420</v>
      </c>
      <c r="F229" s="589">
        <v>320</v>
      </c>
      <c r="G229" s="588">
        <v>320</v>
      </c>
    </row>
    <row r="230" spans="1:7" ht="15.6" thickTop="1" thickBot="1">
      <c r="A230" s="110">
        <v>226</v>
      </c>
      <c r="B230" s="352">
        <v>10.2026</v>
      </c>
      <c r="C230" s="110">
        <v>226</v>
      </c>
      <c r="D230" s="588">
        <v>720</v>
      </c>
      <c r="E230" s="588">
        <v>420</v>
      </c>
      <c r="F230" s="589">
        <v>320</v>
      </c>
      <c r="G230" s="588">
        <v>320</v>
      </c>
    </row>
    <row r="231" spans="1:7" ht="15.6" thickTop="1" thickBot="1">
      <c r="A231" s="110">
        <v>227</v>
      </c>
      <c r="B231" s="352">
        <v>11.2026</v>
      </c>
      <c r="C231" s="110">
        <v>227</v>
      </c>
      <c r="D231" s="588">
        <v>720</v>
      </c>
      <c r="E231" s="588">
        <v>420</v>
      </c>
      <c r="F231" s="589">
        <v>320</v>
      </c>
      <c r="G231" s="588">
        <v>320</v>
      </c>
    </row>
    <row r="232" spans="1:7" ht="15.6" thickTop="1" thickBot="1">
      <c r="A232" s="110">
        <v>228</v>
      </c>
      <c r="B232" s="352">
        <v>12.2026</v>
      </c>
      <c r="C232" s="110">
        <v>228</v>
      </c>
      <c r="D232" s="588">
        <v>720</v>
      </c>
      <c r="E232" s="588">
        <v>420</v>
      </c>
      <c r="F232" s="589">
        <v>320</v>
      </c>
      <c r="G232" s="588">
        <v>320</v>
      </c>
    </row>
    <row r="233" spans="1:7" ht="15" thickTop="1"/>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גיליון21"/>
  <dimension ref="A2:Y39"/>
  <sheetViews>
    <sheetView rightToLeft="1" workbookViewId="0">
      <selection activeCell="M23" sqref="M23"/>
    </sheetView>
  </sheetViews>
  <sheetFormatPr defaultRowHeight="14.4"/>
  <cols>
    <col min="1" max="1" width="10.33203125" style="1" bestFit="1" customWidth="1"/>
    <col min="2" max="2" width="11.88671875" bestFit="1" customWidth="1"/>
    <col min="3" max="3" width="11.33203125" bestFit="1" customWidth="1"/>
    <col min="4" max="4" width="6.5546875" bestFit="1" customWidth="1"/>
    <col min="5" max="5" width="13.33203125" bestFit="1" customWidth="1"/>
    <col min="6" max="6" width="13.33203125" customWidth="1"/>
    <col min="7" max="7" width="9.33203125" bestFit="1" customWidth="1"/>
    <col min="8" max="8" width="10.88671875" bestFit="1" customWidth="1"/>
    <col min="9" max="12" width="10.88671875" customWidth="1"/>
    <col min="13" max="13" width="13.6640625" bestFit="1" customWidth="1"/>
    <col min="14" max="14" width="17.33203125" bestFit="1" customWidth="1"/>
    <col min="15" max="15" width="17.33203125" style="1" bestFit="1" customWidth="1"/>
    <col min="16" max="16" width="11.6640625" style="1" bestFit="1" customWidth="1"/>
    <col min="17" max="17" width="12.5546875" style="1" bestFit="1" customWidth="1"/>
    <col min="19" max="19" width="2.88671875" bestFit="1" customWidth="1"/>
    <col min="21" max="21" width="1.88671875" bestFit="1" customWidth="1"/>
    <col min="22" max="22" width="9.33203125" bestFit="1" customWidth="1"/>
    <col min="23" max="23" width="9.33203125" customWidth="1"/>
    <col min="24" max="24" width="3.88671875" bestFit="1" customWidth="1"/>
    <col min="25" max="25" width="7.109375" style="1" customWidth="1"/>
    <col min="26" max="26" width="3.88671875" bestFit="1" customWidth="1"/>
    <col min="27" max="27" width="11.88671875" bestFit="1" customWidth="1"/>
  </cols>
  <sheetData>
    <row r="2" spans="1:17">
      <c r="E2" s="1"/>
      <c r="F2" s="1"/>
      <c r="G2" s="85" t="s">
        <v>70</v>
      </c>
      <c r="H2" s="85" t="s">
        <v>76</v>
      </c>
      <c r="I2" s="85" t="s">
        <v>76</v>
      </c>
      <c r="J2" s="85" t="s">
        <v>98</v>
      </c>
      <c r="K2" s="85" t="s">
        <v>76</v>
      </c>
      <c r="L2" s="85"/>
      <c r="M2" s="85" t="s">
        <v>63</v>
      </c>
      <c r="N2" s="85" t="s">
        <v>99</v>
      </c>
      <c r="O2" s="85" t="s">
        <v>100</v>
      </c>
      <c r="Q2" s="108" t="s">
        <v>101</v>
      </c>
    </row>
    <row r="3" spans="1:17">
      <c r="A3" s="3">
        <v>1</v>
      </c>
      <c r="B3" s="4" t="s">
        <v>102</v>
      </c>
      <c r="C3" s="3">
        <v>1</v>
      </c>
      <c r="E3" s="3">
        <v>1</v>
      </c>
      <c r="F3" s="4" t="s">
        <v>102</v>
      </c>
      <c r="G3" s="5"/>
      <c r="H3" s="6"/>
      <c r="I3" s="240">
        <v>1.2016</v>
      </c>
      <c r="J3" s="241">
        <f>VLOOKUP(I3,'tosafot '!$B$7:$C$234,2,0)</f>
        <v>97</v>
      </c>
      <c r="K3" s="6"/>
      <c r="L3" s="6"/>
      <c r="M3" s="1">
        <v>258.36</v>
      </c>
      <c r="N3" s="1"/>
      <c r="O3" s="6"/>
      <c r="Q3" s="192">
        <v>400</v>
      </c>
    </row>
    <row r="4" spans="1:17">
      <c r="A4" s="3">
        <v>2</v>
      </c>
      <c r="B4" s="4" t="s">
        <v>103</v>
      </c>
      <c r="C4" s="3">
        <v>2</v>
      </c>
      <c r="E4" s="3">
        <v>2</v>
      </c>
      <c r="F4" s="4" t="s">
        <v>103</v>
      </c>
      <c r="G4" s="6"/>
      <c r="H4" s="6"/>
      <c r="I4" s="240">
        <v>1.2016</v>
      </c>
      <c r="J4" s="241">
        <f>VLOOKUP(I4,'tosafot '!$B$7:$C$234,2,0)</f>
        <v>97</v>
      </c>
      <c r="K4" s="6"/>
      <c r="L4" s="6"/>
      <c r="M4" s="1"/>
      <c r="N4" s="1"/>
    </row>
    <row r="5" spans="1:17">
      <c r="A5" s="3">
        <v>3</v>
      </c>
      <c r="B5" s="1" t="s">
        <v>104</v>
      </c>
      <c r="C5" s="3">
        <v>3</v>
      </c>
      <c r="E5" s="3">
        <v>3</v>
      </c>
      <c r="F5" s="1" t="s">
        <v>104</v>
      </c>
      <c r="G5" s="6"/>
      <c r="H5" s="6"/>
      <c r="I5" s="240">
        <v>1.2016</v>
      </c>
      <c r="J5" s="241">
        <f>VLOOKUP(I5,'tosafot '!$B$7:$C$234,2,0)</f>
        <v>97</v>
      </c>
      <c r="K5" s="6"/>
      <c r="L5" s="6"/>
      <c r="M5" s="1">
        <v>424.64</v>
      </c>
      <c r="N5" s="1">
        <v>556.08000000000004</v>
      </c>
      <c r="O5" s="2">
        <v>589.25</v>
      </c>
    </row>
    <row r="6" spans="1:17">
      <c r="A6" s="3">
        <v>4</v>
      </c>
      <c r="B6" s="1" t="s">
        <v>105</v>
      </c>
      <c r="C6" s="3">
        <v>4</v>
      </c>
      <c r="E6" s="3">
        <v>4</v>
      </c>
      <c r="F6" s="1" t="s">
        <v>105</v>
      </c>
      <c r="G6" s="6"/>
      <c r="H6" s="6"/>
      <c r="I6" s="240">
        <v>1.2016</v>
      </c>
      <c r="J6" s="241">
        <f>VLOOKUP(I6,'tosafot '!$B$7:$C$234,2,0)</f>
        <v>97</v>
      </c>
      <c r="K6" s="6"/>
      <c r="L6" s="6"/>
      <c r="M6" s="1">
        <v>424.64</v>
      </c>
      <c r="N6" s="1">
        <v>556.08000000000004</v>
      </c>
      <c r="O6" s="2">
        <v>589.25</v>
      </c>
    </row>
    <row r="7" spans="1:17">
      <c r="A7" s="3">
        <v>5</v>
      </c>
      <c r="B7" s="1" t="s">
        <v>106</v>
      </c>
      <c r="C7" s="3">
        <v>5</v>
      </c>
      <c r="E7" s="3">
        <v>5</v>
      </c>
      <c r="F7" s="1" t="s">
        <v>106</v>
      </c>
      <c r="G7" s="6"/>
      <c r="H7" s="6"/>
      <c r="I7" s="240">
        <v>1.2016</v>
      </c>
      <c r="J7" s="241">
        <f>VLOOKUP(I7,'tosafot '!$B$7:$C$234,2,0)</f>
        <v>97</v>
      </c>
      <c r="K7" s="6"/>
      <c r="L7" s="6"/>
      <c r="M7" s="1">
        <v>539.82000000000005</v>
      </c>
      <c r="N7" s="1"/>
      <c r="O7" s="6"/>
    </row>
    <row r="8" spans="1:17">
      <c r="A8" s="3">
        <v>6</v>
      </c>
      <c r="B8" s="1" t="s">
        <v>107</v>
      </c>
      <c r="C8" s="3">
        <v>6</v>
      </c>
      <c r="E8" s="3">
        <v>6</v>
      </c>
      <c r="F8" s="1" t="s">
        <v>107</v>
      </c>
      <c r="G8" s="6"/>
      <c r="H8" s="6"/>
      <c r="I8" s="240">
        <v>1.2016</v>
      </c>
      <c r="J8" s="241">
        <f>VLOOKUP(I8,'tosafot '!$B$7:$C$234,2,0)</f>
        <v>97</v>
      </c>
      <c r="K8" s="6"/>
      <c r="L8" s="6"/>
      <c r="M8" s="1">
        <v>501.16</v>
      </c>
      <c r="N8" s="1"/>
      <c r="O8" s="13"/>
    </row>
    <row r="9" spans="1:17">
      <c r="A9" s="3">
        <v>7</v>
      </c>
      <c r="B9" s="1" t="s">
        <v>108</v>
      </c>
      <c r="C9" s="3">
        <v>7</v>
      </c>
      <c r="E9" s="3">
        <v>7</v>
      </c>
      <c r="F9" s="1" t="s">
        <v>108</v>
      </c>
      <c r="G9" s="6"/>
      <c r="H9" s="6"/>
      <c r="I9" s="240">
        <v>1.2016</v>
      </c>
      <c r="J9" s="241">
        <f>VLOOKUP(I9,'tosafot '!$B$7:$C$234,2,0)</f>
        <v>97</v>
      </c>
      <c r="K9" s="6"/>
      <c r="L9" s="6"/>
      <c r="M9" s="1">
        <v>307.89999999999998</v>
      </c>
      <c r="N9" s="1"/>
      <c r="O9" s="13"/>
    </row>
    <row r="10" spans="1:17">
      <c r="A10" s="3">
        <v>8</v>
      </c>
      <c r="B10" s="1" t="s">
        <v>109</v>
      </c>
      <c r="C10" s="3">
        <v>8</v>
      </c>
      <c r="E10" s="3">
        <v>8</v>
      </c>
      <c r="F10" s="1" t="s">
        <v>109</v>
      </c>
      <c r="M10" s="1">
        <v>616.41999999999996</v>
      </c>
      <c r="N10" s="1"/>
      <c r="O10" s="13"/>
    </row>
    <row r="11" spans="1:17">
      <c r="A11" s="3">
        <v>9</v>
      </c>
      <c r="B11" s="1" t="s">
        <v>110</v>
      </c>
      <c r="C11" s="3">
        <v>9</v>
      </c>
      <c r="E11" s="3">
        <v>9</v>
      </c>
      <c r="F11" s="1" t="s">
        <v>110</v>
      </c>
      <c r="M11" s="1"/>
      <c r="N11" s="1"/>
      <c r="O11" s="13"/>
    </row>
    <row r="12" spans="1:17">
      <c r="A12" s="3">
        <v>10</v>
      </c>
      <c r="B12" s="1" t="s">
        <v>111</v>
      </c>
      <c r="C12" s="3">
        <v>10</v>
      </c>
      <c r="E12" s="3">
        <v>10</v>
      </c>
      <c r="F12" s="1" t="s">
        <v>112</v>
      </c>
      <c r="M12" s="1">
        <v>663.14</v>
      </c>
      <c r="N12" s="1"/>
      <c r="O12" s="13"/>
    </row>
    <row r="13" spans="1:17">
      <c r="B13" s="79"/>
      <c r="E13" s="1"/>
      <c r="F13" s="1"/>
      <c r="G13" s="1"/>
      <c r="H13" s="1"/>
      <c r="I13" s="1"/>
      <c r="J13" s="1"/>
      <c r="K13" s="1"/>
      <c r="L13" s="1"/>
      <c r="M13" s="1"/>
      <c r="N13" s="1"/>
      <c r="O13" s="13"/>
    </row>
    <row r="14" spans="1:17">
      <c r="E14" s="1"/>
      <c r="F14" s="1"/>
      <c r="G14" s="1" t="s">
        <v>62</v>
      </c>
      <c r="M14" s="117">
        <v>1.375E-2</v>
      </c>
      <c r="N14" s="1"/>
      <c r="O14" s="13"/>
    </row>
    <row r="15" spans="1:17">
      <c r="E15" s="1"/>
      <c r="F15" s="1"/>
      <c r="G15" s="1" t="s">
        <v>113</v>
      </c>
      <c r="H15" s="1"/>
      <c r="I15" s="1"/>
      <c r="J15" s="1"/>
      <c r="K15" s="1"/>
      <c r="L15" s="1"/>
      <c r="M15" s="117">
        <v>8.7500000000000008E-3</v>
      </c>
      <c r="N15" s="1"/>
      <c r="O15" s="13"/>
    </row>
    <row r="16" spans="1:17">
      <c r="C16" s="2"/>
      <c r="F16" s="1"/>
      <c r="G16" s="1" t="s">
        <v>114</v>
      </c>
      <c r="H16" s="1"/>
      <c r="I16" s="1"/>
      <c r="J16" s="1"/>
      <c r="K16" s="1"/>
      <c r="L16" s="1"/>
      <c r="M16" s="117">
        <v>2.5749999999999999E-2</v>
      </c>
      <c r="N16" s="1"/>
      <c r="O16" s="13"/>
    </row>
    <row r="18" spans="1:15">
      <c r="A18" s="1">
        <v>1</v>
      </c>
      <c r="B18" t="s">
        <v>115</v>
      </c>
      <c r="C18">
        <v>1</v>
      </c>
    </row>
    <row r="19" spans="1:15">
      <c r="A19" s="1">
        <v>2</v>
      </c>
      <c r="B19" t="s">
        <v>116</v>
      </c>
      <c r="C19">
        <v>2</v>
      </c>
      <c r="F19" s="108" t="s">
        <v>96</v>
      </c>
      <c r="G19" t="s">
        <v>97</v>
      </c>
      <c r="H19">
        <v>5270</v>
      </c>
    </row>
    <row r="20" spans="1:15">
      <c r="F20">
        <v>1</v>
      </c>
      <c r="G20" s="192" t="s">
        <v>1193</v>
      </c>
      <c r="H20">
        <v>1</v>
      </c>
      <c r="K20">
        <v>1</v>
      </c>
      <c r="L20" s="6">
        <v>0.1275</v>
      </c>
      <c r="M20">
        <v>1</v>
      </c>
      <c r="O20" s="192"/>
    </row>
    <row r="21" spans="1:15">
      <c r="A21" s="1">
        <v>1</v>
      </c>
      <c r="B21" t="s">
        <v>117</v>
      </c>
      <c r="C21">
        <v>1</v>
      </c>
      <c r="F21">
        <v>2</v>
      </c>
      <c r="G21" s="192" t="s">
        <v>1194</v>
      </c>
      <c r="H21">
        <v>2</v>
      </c>
      <c r="K21">
        <v>2</v>
      </c>
      <c r="L21" s="6">
        <v>0.16500000000000001</v>
      </c>
      <c r="M21">
        <v>2</v>
      </c>
    </row>
    <row r="22" spans="1:15">
      <c r="A22" s="1">
        <v>2</v>
      </c>
      <c r="B22" t="s">
        <v>118</v>
      </c>
      <c r="C22">
        <v>2</v>
      </c>
      <c r="F22">
        <v>3</v>
      </c>
      <c r="G22" s="192" t="s">
        <v>1195</v>
      </c>
      <c r="H22">
        <v>3</v>
      </c>
      <c r="K22">
        <v>3</v>
      </c>
      <c r="L22" s="6">
        <v>0.27</v>
      </c>
      <c r="M22">
        <v>3</v>
      </c>
    </row>
    <row r="23" spans="1:15">
      <c r="F23">
        <v>4</v>
      </c>
      <c r="G23" s="192" t="s">
        <v>120</v>
      </c>
      <c r="H23">
        <v>4</v>
      </c>
    </row>
    <row r="24" spans="1:15">
      <c r="A24" s="1">
        <v>1</v>
      </c>
      <c r="B24" t="s">
        <v>119</v>
      </c>
      <c r="C24">
        <v>1</v>
      </c>
    </row>
    <row r="25" spans="1:15">
      <c r="A25" s="1">
        <v>2</v>
      </c>
      <c r="B25" t="s">
        <v>120</v>
      </c>
      <c r="C25">
        <v>2</v>
      </c>
    </row>
    <row r="27" spans="1:15">
      <c r="A27" s="121">
        <v>3.8199999999999998E-2</v>
      </c>
    </row>
    <row r="28" spans="1:15">
      <c r="A28" s="1" t="s">
        <v>121</v>
      </c>
      <c r="B28" s="2">
        <v>7865</v>
      </c>
      <c r="E28" s="3"/>
      <c r="F28" s="4"/>
      <c r="G28" s="1"/>
      <c r="H28" s="1"/>
      <c r="I28" s="1"/>
      <c r="J28" s="1"/>
      <c r="K28" s="1"/>
      <c r="L28" s="1"/>
      <c r="M28" s="1"/>
    </row>
    <row r="29" spans="1:15">
      <c r="A29" s="1" t="s">
        <v>122</v>
      </c>
      <c r="C29" s="2">
        <v>7865</v>
      </c>
      <c r="E29" s="3"/>
      <c r="F29" s="4"/>
      <c r="G29" s="12" t="s">
        <v>26</v>
      </c>
      <c r="M29" s="16">
        <v>400</v>
      </c>
    </row>
    <row r="30" spans="1:15">
      <c r="E30" s="3"/>
      <c r="F30" s="1"/>
    </row>
    <row r="31" spans="1:15">
      <c r="E31" s="3"/>
      <c r="F31" s="1"/>
    </row>
    <row r="32" spans="1:15">
      <c r="E32" s="3"/>
    </row>
    <row r="33" spans="1:12">
      <c r="E33" s="3"/>
      <c r="F33" s="1" t="s">
        <v>123</v>
      </c>
      <c r="G33" s="1"/>
      <c r="H33" s="16">
        <v>328.76</v>
      </c>
      <c r="I33" s="16"/>
      <c r="J33" s="16"/>
      <c r="K33" s="16"/>
      <c r="L33" s="16"/>
    </row>
    <row r="34" spans="1:12">
      <c r="A34" s="1" t="s">
        <v>124</v>
      </c>
      <c r="C34" s="11">
        <v>426</v>
      </c>
      <c r="E34" s="3"/>
      <c r="F34" s="1" t="s">
        <v>125</v>
      </c>
      <c r="G34" s="1"/>
      <c r="H34" s="16">
        <v>328.76</v>
      </c>
      <c r="I34" s="16"/>
      <c r="J34" s="16"/>
      <c r="K34" s="16"/>
      <c r="L34" s="16"/>
    </row>
    <row r="35" spans="1:12">
      <c r="A35" s="1" t="s">
        <v>126</v>
      </c>
      <c r="B35">
        <v>1</v>
      </c>
      <c r="C35" s="11">
        <v>1517</v>
      </c>
      <c r="E35" s="3"/>
      <c r="F35" s="1" t="s">
        <v>125</v>
      </c>
      <c r="G35" s="1" t="s">
        <v>127</v>
      </c>
      <c r="H35" s="16">
        <v>430.86</v>
      </c>
      <c r="I35" s="16"/>
      <c r="J35" s="16"/>
      <c r="K35" s="16"/>
      <c r="L35" s="16"/>
    </row>
    <row r="36" spans="1:12">
      <c r="B36">
        <v>2</v>
      </c>
      <c r="C36" s="11">
        <v>2118</v>
      </c>
      <c r="E36" s="3"/>
      <c r="F36" s="1" t="s">
        <v>125</v>
      </c>
      <c r="G36" s="1" t="s">
        <v>128</v>
      </c>
      <c r="H36" s="17">
        <v>0.09</v>
      </c>
      <c r="I36" s="17"/>
      <c r="J36" s="17"/>
      <c r="K36" s="17"/>
      <c r="L36" s="17"/>
    </row>
    <row r="37" spans="1:12">
      <c r="E37" s="3"/>
      <c r="F37" s="1"/>
      <c r="G37" s="1"/>
      <c r="H37" s="1"/>
      <c r="I37" s="1"/>
      <c r="J37" s="1"/>
      <c r="K37" s="1"/>
      <c r="L37" s="1"/>
    </row>
    <row r="38" spans="1:12">
      <c r="A38" s="1" t="s">
        <v>129</v>
      </c>
      <c r="B38" s="16">
        <v>9906</v>
      </c>
      <c r="E38" s="1"/>
      <c r="F38" s="1"/>
      <c r="G38" s="1"/>
      <c r="H38" s="1"/>
      <c r="I38" s="1"/>
      <c r="J38" s="1"/>
      <c r="K38" s="1"/>
      <c r="L38" s="1"/>
    </row>
    <row r="39" spans="1:12">
      <c r="A39" s="1" t="s">
        <v>130</v>
      </c>
      <c r="B39" s="16">
        <f>+B38*16%</f>
        <v>1584.96</v>
      </c>
    </row>
  </sheetData>
  <phoneticPr fontId="37"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7DE5E-AD61-4E03-90A9-EA710C316C1B}">
  <sheetPr codeName="גיליון50"/>
  <dimension ref="A1:P230"/>
  <sheetViews>
    <sheetView rightToLeft="1" workbookViewId="0">
      <selection activeCell="D207" sqref="D206:F207"/>
    </sheetView>
  </sheetViews>
  <sheetFormatPr defaultRowHeight="14.4"/>
  <cols>
    <col min="4" max="6" width="9.33203125" bestFit="1" customWidth="1"/>
    <col min="10" max="10" width="2" bestFit="1" customWidth="1"/>
    <col min="11" max="11" width="16" customWidth="1"/>
    <col min="15" max="15" width="10" bestFit="1" customWidth="1"/>
    <col min="16" max="16" width="9.33203125" bestFit="1" customWidth="1"/>
  </cols>
  <sheetData>
    <row r="1" spans="1:16" ht="29.4" thickBot="1">
      <c r="A1" s="3" t="s">
        <v>651</v>
      </c>
      <c r="B1" s="256" t="s">
        <v>9</v>
      </c>
      <c r="C1" s="3" t="s">
        <v>49</v>
      </c>
      <c r="D1" s="3" t="s">
        <v>5354</v>
      </c>
      <c r="E1" s="3" t="s">
        <v>5355</v>
      </c>
      <c r="F1" s="3" t="s">
        <v>5356</v>
      </c>
    </row>
    <row r="2" spans="1:16" ht="15" thickTop="1">
      <c r="A2" s="3"/>
      <c r="B2" s="256">
        <v>12.200699999999999</v>
      </c>
      <c r="C2" s="3"/>
      <c r="D2">
        <v>1</v>
      </c>
      <c r="E2">
        <v>2</v>
      </c>
      <c r="F2" s="3">
        <v>3</v>
      </c>
      <c r="O2" s="538" t="s">
        <v>1402</v>
      </c>
      <c r="P2" s="539">
        <f>+'Netunei Gimlai'!B6</f>
        <v>1</v>
      </c>
    </row>
    <row r="3" spans="1:16">
      <c r="A3">
        <v>1</v>
      </c>
      <c r="B3" s="9">
        <v>1.2008000000000001</v>
      </c>
      <c r="C3">
        <v>1</v>
      </c>
      <c r="D3" s="192">
        <v>0</v>
      </c>
      <c r="E3" s="192">
        <v>0</v>
      </c>
      <c r="F3" s="192">
        <v>0</v>
      </c>
      <c r="J3">
        <v>1</v>
      </c>
      <c r="K3" s="537" t="s">
        <v>5354</v>
      </c>
      <c r="L3">
        <v>1</v>
      </c>
      <c r="O3" s="467" t="s">
        <v>5357</v>
      </c>
      <c r="P3" s="466">
        <f>+'Netunei Gimlai'!H90</f>
        <v>3</v>
      </c>
    </row>
    <row r="4" spans="1:16" ht="15" thickBot="1">
      <c r="A4">
        <v>2</v>
      </c>
      <c r="B4" s="9">
        <v>2.2008000000000001</v>
      </c>
      <c r="C4">
        <v>2</v>
      </c>
      <c r="D4" s="192">
        <v>0</v>
      </c>
      <c r="E4" s="192">
        <v>0</v>
      </c>
      <c r="F4" s="192">
        <v>0</v>
      </c>
      <c r="J4">
        <v>2</v>
      </c>
      <c r="K4" s="537" t="s">
        <v>5355</v>
      </c>
      <c r="L4">
        <v>2</v>
      </c>
      <c r="O4" s="540" t="s">
        <v>1378</v>
      </c>
      <c r="P4" s="541" cm="1">
        <f t="array" ref="P4">INDEX(D3:F230,P2,P3)</f>
        <v>0</v>
      </c>
    </row>
    <row r="5" spans="1:16" ht="15" thickTop="1">
      <c r="A5">
        <v>3</v>
      </c>
      <c r="B5" s="9">
        <v>3.2008000000000001</v>
      </c>
      <c r="C5">
        <v>3</v>
      </c>
      <c r="D5" s="192">
        <v>0</v>
      </c>
      <c r="E5" s="192">
        <v>0</v>
      </c>
      <c r="F5" s="192">
        <v>0</v>
      </c>
      <c r="J5">
        <v>3</v>
      </c>
      <c r="K5" s="537" t="s">
        <v>5356</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26.67</v>
      </c>
      <c r="E47" s="192">
        <v>53.33</v>
      </c>
      <c r="F47" s="192">
        <v>80</v>
      </c>
    </row>
    <row r="48" spans="1:6">
      <c r="A48">
        <v>46</v>
      </c>
      <c r="B48" s="259">
        <v>10.2011</v>
      </c>
      <c r="C48">
        <v>46</v>
      </c>
      <c r="D48" s="192">
        <v>200</v>
      </c>
      <c r="E48" s="192">
        <v>400</v>
      </c>
      <c r="F48" s="192">
        <v>600</v>
      </c>
    </row>
    <row r="49" spans="1:6">
      <c r="A49">
        <v>47</v>
      </c>
      <c r="B49" s="259">
        <v>11.2011</v>
      </c>
      <c r="C49">
        <v>47</v>
      </c>
      <c r="D49" s="192">
        <v>200</v>
      </c>
      <c r="E49" s="192">
        <v>400</v>
      </c>
      <c r="F49" s="192">
        <v>600</v>
      </c>
    </row>
    <row r="50" spans="1:6">
      <c r="A50">
        <v>48</v>
      </c>
      <c r="B50" s="259">
        <v>12.2011</v>
      </c>
      <c r="C50">
        <v>48</v>
      </c>
      <c r="D50" s="192">
        <v>200</v>
      </c>
      <c r="E50" s="192">
        <v>400</v>
      </c>
      <c r="F50" s="192">
        <v>600</v>
      </c>
    </row>
    <row r="51" spans="1:6">
      <c r="A51">
        <v>49</v>
      </c>
      <c r="B51" s="259">
        <v>1.2012</v>
      </c>
      <c r="C51">
        <v>49</v>
      </c>
      <c r="D51" s="192">
        <v>200</v>
      </c>
      <c r="E51" s="192">
        <v>400</v>
      </c>
      <c r="F51" s="192">
        <v>600</v>
      </c>
    </row>
    <row r="52" spans="1:6">
      <c r="A52">
        <v>50</v>
      </c>
      <c r="B52" s="259">
        <v>2.2012</v>
      </c>
      <c r="C52">
        <v>50</v>
      </c>
      <c r="D52" s="192">
        <v>200</v>
      </c>
      <c r="E52" s="192">
        <v>400</v>
      </c>
      <c r="F52" s="192">
        <v>600</v>
      </c>
    </row>
    <row r="53" spans="1:6">
      <c r="A53">
        <v>51</v>
      </c>
      <c r="B53" s="259">
        <v>3.2012</v>
      </c>
      <c r="C53">
        <v>51</v>
      </c>
      <c r="D53" s="192">
        <v>200</v>
      </c>
      <c r="E53" s="192">
        <v>400</v>
      </c>
      <c r="F53" s="192">
        <v>600</v>
      </c>
    </row>
    <row r="54" spans="1:6">
      <c r="A54">
        <v>52</v>
      </c>
      <c r="B54" s="259">
        <v>4.2012</v>
      </c>
      <c r="C54">
        <v>52</v>
      </c>
      <c r="D54" s="192">
        <v>200</v>
      </c>
      <c r="E54" s="192">
        <v>400</v>
      </c>
      <c r="F54" s="192">
        <v>600</v>
      </c>
    </row>
    <row r="55" spans="1:6">
      <c r="A55">
        <v>53</v>
      </c>
      <c r="B55" s="259">
        <v>5.2012</v>
      </c>
      <c r="C55">
        <v>53</v>
      </c>
      <c r="D55" s="192">
        <v>200</v>
      </c>
      <c r="E55" s="192">
        <v>400</v>
      </c>
      <c r="F55" s="192">
        <v>600</v>
      </c>
    </row>
    <row r="56" spans="1:6">
      <c r="A56">
        <v>54</v>
      </c>
      <c r="B56" s="259">
        <v>6.2012</v>
      </c>
      <c r="C56">
        <v>54</v>
      </c>
      <c r="D56" s="192">
        <v>200</v>
      </c>
      <c r="E56" s="192">
        <v>400</v>
      </c>
      <c r="F56" s="192">
        <v>600</v>
      </c>
    </row>
    <row r="57" spans="1:6">
      <c r="A57">
        <v>55</v>
      </c>
      <c r="B57" s="259">
        <v>7.2012</v>
      </c>
      <c r="C57">
        <v>55</v>
      </c>
      <c r="D57" s="192">
        <v>200</v>
      </c>
      <c r="E57" s="192">
        <v>400</v>
      </c>
      <c r="F57" s="192">
        <v>600</v>
      </c>
    </row>
    <row r="58" spans="1:6">
      <c r="A58">
        <v>56</v>
      </c>
      <c r="B58" s="259">
        <v>8.2012</v>
      </c>
      <c r="C58">
        <v>56</v>
      </c>
      <c r="D58" s="192">
        <v>200</v>
      </c>
      <c r="E58" s="192">
        <v>400</v>
      </c>
      <c r="F58" s="192">
        <v>600</v>
      </c>
    </row>
    <row r="59" spans="1:6">
      <c r="A59">
        <v>57</v>
      </c>
      <c r="B59" s="259">
        <v>9.2012</v>
      </c>
      <c r="C59">
        <v>57</v>
      </c>
      <c r="D59" s="192">
        <v>200</v>
      </c>
      <c r="E59" s="192">
        <v>400</v>
      </c>
      <c r="F59" s="192">
        <v>600</v>
      </c>
    </row>
    <row r="60" spans="1:6">
      <c r="A60">
        <v>58</v>
      </c>
      <c r="B60" s="259">
        <v>10.2012</v>
      </c>
      <c r="C60">
        <v>58</v>
      </c>
      <c r="D60" s="192">
        <v>200</v>
      </c>
      <c r="E60" s="192">
        <v>400</v>
      </c>
      <c r="F60" s="192">
        <v>600</v>
      </c>
    </row>
    <row r="61" spans="1:6">
      <c r="A61">
        <v>59</v>
      </c>
      <c r="B61" s="259">
        <v>11.2012</v>
      </c>
      <c r="C61">
        <v>59</v>
      </c>
      <c r="D61" s="192">
        <v>200</v>
      </c>
      <c r="E61" s="192">
        <v>400</v>
      </c>
      <c r="F61" s="192">
        <v>600</v>
      </c>
    </row>
    <row r="62" spans="1:6">
      <c r="A62">
        <v>60</v>
      </c>
      <c r="B62" s="259">
        <v>12.2012</v>
      </c>
      <c r="C62">
        <v>60</v>
      </c>
      <c r="D62" s="192">
        <v>200</v>
      </c>
      <c r="E62" s="192">
        <v>400</v>
      </c>
      <c r="F62" s="192">
        <v>600</v>
      </c>
    </row>
    <row r="63" spans="1:6">
      <c r="A63">
        <v>61</v>
      </c>
      <c r="B63" s="259">
        <v>1.2013</v>
      </c>
      <c r="C63">
        <v>61</v>
      </c>
      <c r="D63" s="192">
        <v>200</v>
      </c>
      <c r="E63" s="192">
        <v>400</v>
      </c>
      <c r="F63" s="192">
        <v>600</v>
      </c>
    </row>
    <row r="64" spans="1:6">
      <c r="A64">
        <v>62</v>
      </c>
      <c r="B64" s="259">
        <v>2.2012999999999998</v>
      </c>
      <c r="C64">
        <v>62</v>
      </c>
      <c r="D64" s="192">
        <v>200</v>
      </c>
      <c r="E64" s="192">
        <v>400</v>
      </c>
      <c r="F64" s="192">
        <v>600</v>
      </c>
    </row>
    <row r="65" spans="1:6">
      <c r="A65">
        <v>63</v>
      </c>
      <c r="B65" s="259">
        <v>3.2012999999999998</v>
      </c>
      <c r="C65">
        <v>63</v>
      </c>
      <c r="D65" s="192">
        <v>200</v>
      </c>
      <c r="E65" s="192">
        <v>400</v>
      </c>
      <c r="F65" s="192">
        <v>600</v>
      </c>
    </row>
    <row r="66" spans="1:6">
      <c r="A66">
        <v>64</v>
      </c>
      <c r="B66" s="259">
        <v>4.2012999999999998</v>
      </c>
      <c r="C66">
        <v>64</v>
      </c>
      <c r="D66" s="192">
        <v>200</v>
      </c>
      <c r="E66" s="192">
        <v>400</v>
      </c>
      <c r="F66" s="192">
        <v>600</v>
      </c>
    </row>
    <row r="67" spans="1:6">
      <c r="A67">
        <v>65</v>
      </c>
      <c r="B67" s="259">
        <v>5.2012999999999998</v>
      </c>
      <c r="C67">
        <v>65</v>
      </c>
      <c r="D67" s="192">
        <v>200</v>
      </c>
      <c r="E67" s="192">
        <v>400</v>
      </c>
      <c r="F67" s="192">
        <v>600</v>
      </c>
    </row>
    <row r="68" spans="1:6">
      <c r="A68">
        <v>66</v>
      </c>
      <c r="B68" s="259">
        <v>6.2012999999999998</v>
      </c>
      <c r="C68">
        <v>66</v>
      </c>
      <c r="D68" s="192">
        <v>200</v>
      </c>
      <c r="E68" s="192">
        <v>400</v>
      </c>
      <c r="F68" s="192">
        <v>600</v>
      </c>
    </row>
    <row r="69" spans="1:6">
      <c r="A69">
        <v>67</v>
      </c>
      <c r="B69" s="259">
        <v>7.2012999999999998</v>
      </c>
      <c r="C69">
        <v>67</v>
      </c>
      <c r="D69" s="192">
        <v>200</v>
      </c>
      <c r="E69" s="192">
        <v>400</v>
      </c>
      <c r="F69" s="192">
        <v>600</v>
      </c>
    </row>
    <row r="70" spans="1:6">
      <c r="A70">
        <v>68</v>
      </c>
      <c r="B70" s="259">
        <v>8.2012999999999998</v>
      </c>
      <c r="C70">
        <v>68</v>
      </c>
      <c r="D70" s="192">
        <v>200</v>
      </c>
      <c r="E70" s="192">
        <v>400</v>
      </c>
      <c r="F70" s="192">
        <v>600</v>
      </c>
    </row>
    <row r="71" spans="1:6">
      <c r="A71">
        <v>69</v>
      </c>
      <c r="B71" s="259">
        <v>9.2012999999999998</v>
      </c>
      <c r="C71">
        <v>69</v>
      </c>
      <c r="D71" s="192">
        <v>200</v>
      </c>
      <c r="E71" s="192">
        <v>400</v>
      </c>
      <c r="F71" s="192">
        <v>600</v>
      </c>
    </row>
    <row r="72" spans="1:6">
      <c r="A72">
        <v>70</v>
      </c>
      <c r="B72" s="259">
        <v>10.2013</v>
      </c>
      <c r="C72">
        <v>70</v>
      </c>
      <c r="D72" s="192">
        <v>200</v>
      </c>
      <c r="E72" s="192">
        <v>400</v>
      </c>
      <c r="F72" s="192">
        <v>600</v>
      </c>
    </row>
    <row r="73" spans="1:6">
      <c r="A73">
        <v>71</v>
      </c>
      <c r="B73" s="259">
        <v>11.2013</v>
      </c>
      <c r="C73">
        <v>71</v>
      </c>
      <c r="D73" s="192">
        <v>200</v>
      </c>
      <c r="E73" s="192">
        <v>400</v>
      </c>
      <c r="F73" s="192">
        <v>600</v>
      </c>
    </row>
    <row r="74" spans="1:6">
      <c r="A74">
        <v>72</v>
      </c>
      <c r="B74" s="259">
        <v>12.2013</v>
      </c>
      <c r="C74">
        <v>72</v>
      </c>
      <c r="D74" s="192">
        <v>200</v>
      </c>
      <c r="E74" s="192">
        <v>400</v>
      </c>
      <c r="F74" s="192">
        <v>600</v>
      </c>
    </row>
    <row r="75" spans="1:6">
      <c r="A75">
        <v>73</v>
      </c>
      <c r="B75" s="259">
        <v>1.2014</v>
      </c>
      <c r="C75">
        <v>73</v>
      </c>
      <c r="D75" s="192">
        <v>200</v>
      </c>
      <c r="E75" s="192">
        <v>400</v>
      </c>
      <c r="F75" s="192">
        <v>600</v>
      </c>
    </row>
    <row r="76" spans="1:6">
      <c r="A76">
        <v>74</v>
      </c>
      <c r="B76" s="259">
        <v>2.2014</v>
      </c>
      <c r="C76">
        <v>74</v>
      </c>
      <c r="D76" s="192">
        <v>200</v>
      </c>
      <c r="E76" s="192">
        <v>400</v>
      </c>
      <c r="F76" s="192">
        <v>600</v>
      </c>
    </row>
    <row r="77" spans="1:6">
      <c r="A77">
        <v>75</v>
      </c>
      <c r="B77" s="259">
        <v>3.2014</v>
      </c>
      <c r="C77">
        <v>75</v>
      </c>
      <c r="D77" s="192">
        <v>200</v>
      </c>
      <c r="E77" s="192">
        <v>400</v>
      </c>
      <c r="F77" s="192">
        <v>600</v>
      </c>
    </row>
    <row r="78" spans="1:6">
      <c r="A78">
        <v>76</v>
      </c>
      <c r="B78" s="259">
        <v>4.2013999999999996</v>
      </c>
      <c r="C78">
        <v>76</v>
      </c>
      <c r="D78" s="192">
        <v>200</v>
      </c>
      <c r="E78" s="192">
        <v>400</v>
      </c>
      <c r="F78" s="192">
        <v>600</v>
      </c>
    </row>
    <row r="79" spans="1:6">
      <c r="A79">
        <v>77</v>
      </c>
      <c r="B79" s="259">
        <v>5.2013999999999996</v>
      </c>
      <c r="C79">
        <v>77</v>
      </c>
      <c r="D79" s="192">
        <v>200</v>
      </c>
      <c r="E79" s="192">
        <v>400</v>
      </c>
      <c r="F79" s="192">
        <v>600</v>
      </c>
    </row>
    <row r="80" spans="1:6">
      <c r="A80">
        <v>78</v>
      </c>
      <c r="B80" s="259">
        <v>6.2013999999999996</v>
      </c>
      <c r="C80">
        <v>78</v>
      </c>
      <c r="D80" s="192">
        <v>200</v>
      </c>
      <c r="E80" s="192">
        <v>400</v>
      </c>
      <c r="F80" s="192">
        <v>600</v>
      </c>
    </row>
    <row r="81" spans="1:6">
      <c r="A81">
        <v>79</v>
      </c>
      <c r="B81" s="259">
        <v>7.2013999999999996</v>
      </c>
      <c r="C81">
        <v>79</v>
      </c>
      <c r="D81" s="192">
        <v>200</v>
      </c>
      <c r="E81" s="192">
        <v>400</v>
      </c>
      <c r="F81" s="192">
        <v>600</v>
      </c>
    </row>
    <row r="82" spans="1:6">
      <c r="A82">
        <v>80</v>
      </c>
      <c r="B82" s="259">
        <v>8.2013999999999996</v>
      </c>
      <c r="C82">
        <v>80</v>
      </c>
      <c r="D82" s="192">
        <v>200</v>
      </c>
      <c r="E82" s="192">
        <v>400</v>
      </c>
      <c r="F82" s="192">
        <v>600</v>
      </c>
    </row>
    <row r="83" spans="1:6">
      <c r="A83">
        <v>81</v>
      </c>
      <c r="B83" s="259">
        <v>9.2013999999999996</v>
      </c>
      <c r="C83">
        <v>81</v>
      </c>
      <c r="D83" s="192">
        <v>200</v>
      </c>
      <c r="E83" s="192">
        <v>400</v>
      </c>
      <c r="F83" s="192">
        <v>600</v>
      </c>
    </row>
    <row r="84" spans="1:6">
      <c r="A84">
        <v>82</v>
      </c>
      <c r="B84" s="259">
        <v>10.2014</v>
      </c>
      <c r="C84">
        <v>82</v>
      </c>
      <c r="D84" s="192">
        <v>200</v>
      </c>
      <c r="E84" s="192">
        <v>400</v>
      </c>
      <c r="F84" s="192">
        <v>600</v>
      </c>
    </row>
    <row r="85" spans="1:6">
      <c r="A85">
        <v>83</v>
      </c>
      <c r="B85" s="259">
        <v>11.2014</v>
      </c>
      <c r="C85">
        <v>83</v>
      </c>
      <c r="D85" s="192">
        <v>200</v>
      </c>
      <c r="E85" s="192">
        <v>400</v>
      </c>
      <c r="F85" s="192">
        <v>600</v>
      </c>
    </row>
    <row r="86" spans="1:6">
      <c r="A86">
        <v>84</v>
      </c>
      <c r="B86" s="259">
        <v>12.2014</v>
      </c>
      <c r="C86">
        <v>84</v>
      </c>
      <c r="D86" s="192">
        <v>200</v>
      </c>
      <c r="E86" s="192">
        <v>400</v>
      </c>
      <c r="F86" s="192">
        <v>600</v>
      </c>
    </row>
    <row r="87" spans="1:6">
      <c r="A87">
        <v>85</v>
      </c>
      <c r="B87" s="259">
        <v>1.2015</v>
      </c>
      <c r="C87">
        <v>85</v>
      </c>
      <c r="D87" s="192">
        <v>211</v>
      </c>
      <c r="E87" s="192">
        <v>422</v>
      </c>
      <c r="F87" s="192">
        <v>633</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13">
      <c r="A193">
        <v>191</v>
      </c>
      <c r="B193" s="259">
        <v>11.202299999999999</v>
      </c>
      <c r="C193">
        <v>191</v>
      </c>
      <c r="D193" s="192">
        <v>0</v>
      </c>
      <c r="E193" s="192">
        <v>0</v>
      </c>
      <c r="F193" s="192">
        <v>0</v>
      </c>
    </row>
    <row r="194" spans="1:13">
      <c r="A194">
        <v>192</v>
      </c>
      <c r="B194" s="259">
        <v>12.202299999999999</v>
      </c>
      <c r="C194">
        <v>192</v>
      </c>
      <c r="D194" s="192">
        <v>0</v>
      </c>
      <c r="E194" s="192">
        <v>0</v>
      </c>
      <c r="F194" s="192">
        <v>0</v>
      </c>
    </row>
    <row r="195" spans="1:13">
      <c r="A195">
        <v>193</v>
      </c>
      <c r="B195" s="259">
        <v>1.2023999999999999</v>
      </c>
      <c r="C195">
        <v>193</v>
      </c>
      <c r="D195" s="192">
        <v>0</v>
      </c>
      <c r="E195" s="192">
        <v>0</v>
      </c>
      <c r="F195" s="192">
        <v>0</v>
      </c>
    </row>
    <row r="196" spans="1:13">
      <c r="A196">
        <v>194</v>
      </c>
      <c r="B196" s="259">
        <v>2.2023999999999999</v>
      </c>
      <c r="C196">
        <v>194</v>
      </c>
      <c r="D196" s="192">
        <v>0</v>
      </c>
      <c r="E196" s="192">
        <v>0</v>
      </c>
      <c r="F196" s="192">
        <v>0</v>
      </c>
    </row>
    <row r="197" spans="1:13">
      <c r="A197">
        <v>195</v>
      </c>
      <c r="B197" s="259">
        <v>3.2023999999999999</v>
      </c>
      <c r="C197">
        <v>195</v>
      </c>
      <c r="D197" s="192">
        <v>0</v>
      </c>
      <c r="E197" s="192">
        <v>0</v>
      </c>
      <c r="F197" s="192">
        <v>0</v>
      </c>
    </row>
    <row r="198" spans="1:13">
      <c r="A198">
        <v>196</v>
      </c>
      <c r="B198" s="259">
        <v>4.2023999999999999</v>
      </c>
      <c r="C198">
        <v>196</v>
      </c>
      <c r="D198" s="192">
        <v>0</v>
      </c>
      <c r="E198" s="192">
        <v>0</v>
      </c>
      <c r="F198" s="192">
        <v>0</v>
      </c>
    </row>
    <row r="199" spans="1:13">
      <c r="A199">
        <v>197</v>
      </c>
      <c r="B199" s="259">
        <v>5.2023999999999999</v>
      </c>
      <c r="C199">
        <v>197</v>
      </c>
      <c r="D199" s="192">
        <v>0</v>
      </c>
      <c r="E199" s="192">
        <v>0</v>
      </c>
      <c r="F199" s="192">
        <v>0</v>
      </c>
    </row>
    <row r="200" spans="1:13">
      <c r="A200">
        <v>198</v>
      </c>
      <c r="B200" s="259">
        <v>6.2023999999999999</v>
      </c>
      <c r="C200">
        <v>198</v>
      </c>
      <c r="D200" s="192">
        <v>0</v>
      </c>
      <c r="E200" s="192">
        <v>0</v>
      </c>
      <c r="F200" s="192">
        <v>0</v>
      </c>
    </row>
    <row r="201" spans="1:13">
      <c r="A201">
        <v>199</v>
      </c>
      <c r="B201" s="259">
        <v>7.2023999999999999</v>
      </c>
      <c r="C201">
        <v>199</v>
      </c>
      <c r="D201" s="192">
        <v>0</v>
      </c>
      <c r="E201" s="192">
        <v>0</v>
      </c>
      <c r="F201" s="192">
        <v>0</v>
      </c>
    </row>
    <row r="202" spans="1:13">
      <c r="A202">
        <v>200</v>
      </c>
      <c r="B202" s="259">
        <v>8.2024000000000008</v>
      </c>
      <c r="C202">
        <v>200</v>
      </c>
      <c r="D202" s="192">
        <v>0</v>
      </c>
      <c r="E202" s="192">
        <v>0</v>
      </c>
      <c r="F202" s="192">
        <v>0</v>
      </c>
    </row>
    <row r="203" spans="1:13">
      <c r="A203">
        <v>201</v>
      </c>
      <c r="B203" s="259">
        <v>9.2024000000000008</v>
      </c>
      <c r="C203">
        <v>201</v>
      </c>
      <c r="D203" s="192">
        <v>0</v>
      </c>
      <c r="E203" s="192">
        <v>0</v>
      </c>
      <c r="F203" s="192">
        <v>0</v>
      </c>
    </row>
    <row r="204" spans="1:13">
      <c r="A204">
        <v>202</v>
      </c>
      <c r="B204" s="259">
        <v>10.202400000000001</v>
      </c>
      <c r="C204">
        <v>202</v>
      </c>
      <c r="D204" s="192">
        <v>0</v>
      </c>
      <c r="E204" s="192">
        <v>0</v>
      </c>
      <c r="F204" s="192">
        <v>0</v>
      </c>
    </row>
    <row r="205" spans="1:13">
      <c r="A205">
        <v>203</v>
      </c>
      <c r="B205" s="259">
        <v>11.202400000000001</v>
      </c>
      <c r="C205">
        <v>203</v>
      </c>
      <c r="D205" s="192">
        <v>0</v>
      </c>
      <c r="E205" s="192">
        <v>0</v>
      </c>
      <c r="F205" s="192">
        <v>0</v>
      </c>
    </row>
    <row r="206" spans="1:13">
      <c r="A206">
        <v>204</v>
      </c>
      <c r="B206" s="259">
        <v>12.202400000000001</v>
      </c>
      <c r="C206">
        <v>204</v>
      </c>
      <c r="D206" s="192">
        <v>234.88</v>
      </c>
      <c r="E206" s="192">
        <v>469.75</v>
      </c>
      <c r="F206" s="192">
        <v>704.63</v>
      </c>
    </row>
    <row r="207" spans="1:13">
      <c r="A207">
        <v>205</v>
      </c>
      <c r="B207" s="259">
        <v>1.2024999999999999</v>
      </c>
      <c r="C207">
        <v>205</v>
      </c>
      <c r="D207" s="192">
        <v>234.88</v>
      </c>
      <c r="E207" s="192">
        <v>469.75</v>
      </c>
      <c r="F207" s="192">
        <v>704.63</v>
      </c>
      <c r="K207">
        <f>+L207*2</f>
        <v>469.75333333333333</v>
      </c>
      <c r="L207">
        <f>200*M207</f>
        <v>234.87666666666667</v>
      </c>
      <c r="M207">
        <f>+F207/600</f>
        <v>1.1743833333333333</v>
      </c>
    </row>
    <row r="208" spans="1:13">
      <c r="A208">
        <v>206</v>
      </c>
      <c r="B208" s="259">
        <v>2.2025000000000001</v>
      </c>
      <c r="C208">
        <v>206</v>
      </c>
      <c r="D208" s="192">
        <v>234.88</v>
      </c>
      <c r="E208" s="192">
        <v>469.75</v>
      </c>
      <c r="F208" s="192">
        <v>704.63</v>
      </c>
    </row>
    <row r="209" spans="1:13">
      <c r="A209">
        <v>207</v>
      </c>
      <c r="B209" s="259">
        <v>3.2025000000000001</v>
      </c>
      <c r="C209">
        <v>207</v>
      </c>
      <c r="D209" s="192">
        <v>234.88</v>
      </c>
      <c r="E209" s="192">
        <v>469.75</v>
      </c>
      <c r="F209" s="192">
        <v>704.63</v>
      </c>
    </row>
    <row r="210" spans="1:13">
      <c r="A210">
        <v>208</v>
      </c>
      <c r="B210" s="259">
        <v>4.2024999999999997</v>
      </c>
      <c r="C210">
        <v>208</v>
      </c>
      <c r="D210" s="192">
        <v>234.88</v>
      </c>
      <c r="E210" s="192">
        <v>469.75</v>
      </c>
      <c r="F210" s="192">
        <v>704.63</v>
      </c>
    </row>
    <row r="211" spans="1:13">
      <c r="A211">
        <v>209</v>
      </c>
      <c r="B211" s="259">
        <v>5.2024999999999997</v>
      </c>
      <c r="C211">
        <v>209</v>
      </c>
      <c r="D211" s="192">
        <v>234.88</v>
      </c>
      <c r="E211" s="192">
        <v>469.75</v>
      </c>
      <c r="F211" s="192">
        <v>704.63</v>
      </c>
    </row>
    <row r="212" spans="1:13">
      <c r="A212">
        <v>210</v>
      </c>
      <c r="B212" s="259">
        <v>6.2024999999999997</v>
      </c>
      <c r="C212">
        <v>210</v>
      </c>
      <c r="D212" s="192">
        <v>234.88</v>
      </c>
      <c r="E212" s="192">
        <v>469.75</v>
      </c>
      <c r="F212" s="192">
        <v>704.63</v>
      </c>
    </row>
    <row r="213" spans="1:13">
      <c r="A213">
        <v>211</v>
      </c>
      <c r="B213" s="259">
        <v>7.2024999999999997</v>
      </c>
      <c r="C213">
        <v>211</v>
      </c>
      <c r="D213" s="192">
        <v>234.88</v>
      </c>
      <c r="E213" s="192">
        <v>469.75</v>
      </c>
      <c r="F213" s="192">
        <v>704.63</v>
      </c>
    </row>
    <row r="214" spans="1:13">
      <c r="A214">
        <v>212</v>
      </c>
      <c r="B214" s="259">
        <v>8.2025000000000006</v>
      </c>
      <c r="C214">
        <v>212</v>
      </c>
      <c r="D214" s="192">
        <v>234.88</v>
      </c>
      <c r="E214" s="192">
        <v>469.75</v>
      </c>
      <c r="F214" s="192">
        <v>704.63</v>
      </c>
    </row>
    <row r="215" spans="1:13">
      <c r="A215">
        <v>213</v>
      </c>
      <c r="B215" s="259">
        <v>9.2025000000000006</v>
      </c>
      <c r="C215">
        <v>213</v>
      </c>
      <c r="D215" s="192">
        <v>234.88</v>
      </c>
      <c r="E215" s="192">
        <v>469.75</v>
      </c>
      <c r="F215" s="192">
        <v>704.63</v>
      </c>
    </row>
    <row r="216" spans="1:13">
      <c r="A216">
        <v>214</v>
      </c>
      <c r="B216" s="259">
        <v>10.202500000000001</v>
      </c>
      <c r="C216">
        <v>214</v>
      </c>
      <c r="D216" s="192">
        <v>234.88</v>
      </c>
      <c r="E216" s="192">
        <v>469.75</v>
      </c>
      <c r="F216" s="192">
        <v>704.63</v>
      </c>
      <c r="K216">
        <f>+L216*2</f>
        <v>484.97333333333341</v>
      </c>
      <c r="L216">
        <f>200*M216</f>
        <v>242.48666666666671</v>
      </c>
      <c r="M216">
        <f>727.46/600</f>
        <v>1.2124333333333335</v>
      </c>
    </row>
    <row r="217" spans="1:13">
      <c r="A217">
        <v>215</v>
      </c>
      <c r="B217" s="259">
        <v>11.202500000000001</v>
      </c>
      <c r="C217">
        <v>215</v>
      </c>
      <c r="D217" s="192">
        <v>234.88</v>
      </c>
      <c r="E217" s="192">
        <v>469.75</v>
      </c>
      <c r="F217" s="192">
        <v>704.63</v>
      </c>
    </row>
    <row r="218" spans="1:13">
      <c r="A218">
        <v>216</v>
      </c>
      <c r="B218" s="259">
        <v>12.202500000000001</v>
      </c>
      <c r="C218">
        <v>216</v>
      </c>
      <c r="D218" s="192">
        <v>242.49</v>
      </c>
      <c r="E218" s="192">
        <v>484.97</v>
      </c>
      <c r="F218" s="192">
        <v>727.46</v>
      </c>
    </row>
    <row r="219" spans="1:13">
      <c r="A219">
        <v>217</v>
      </c>
      <c r="B219" s="259">
        <v>1.2025999999999999</v>
      </c>
      <c r="C219">
        <v>217</v>
      </c>
      <c r="D219" s="192">
        <v>242.49</v>
      </c>
      <c r="E219" s="192">
        <v>484.97</v>
      </c>
      <c r="F219" s="192">
        <v>727.46</v>
      </c>
      <c r="H219" s="192"/>
    </row>
    <row r="220" spans="1:13">
      <c r="A220">
        <v>218</v>
      </c>
      <c r="B220" s="259">
        <v>2.2025999999999999</v>
      </c>
      <c r="C220">
        <v>218</v>
      </c>
      <c r="D220" s="192">
        <v>242.49</v>
      </c>
      <c r="E220" s="192">
        <v>484.97</v>
      </c>
      <c r="F220" s="192">
        <v>727.46</v>
      </c>
    </row>
    <row r="221" spans="1:13">
      <c r="A221">
        <v>219</v>
      </c>
      <c r="B221" s="259">
        <v>3.2025999999999999</v>
      </c>
      <c r="C221">
        <v>219</v>
      </c>
      <c r="D221" s="192">
        <v>242.49</v>
      </c>
      <c r="E221" s="192">
        <v>484.97</v>
      </c>
      <c r="F221" s="192">
        <v>727.46</v>
      </c>
    </row>
    <row r="222" spans="1:13">
      <c r="A222">
        <v>220</v>
      </c>
      <c r="B222" s="259">
        <v>4.2026000000000003</v>
      </c>
      <c r="C222">
        <v>220</v>
      </c>
      <c r="D222" s="192">
        <v>242.49</v>
      </c>
      <c r="E222" s="192">
        <v>484.97</v>
      </c>
      <c r="F222" s="192">
        <v>727.46</v>
      </c>
    </row>
    <row r="223" spans="1:13">
      <c r="A223">
        <v>221</v>
      </c>
      <c r="B223" s="259">
        <v>5.2026000000000003</v>
      </c>
      <c r="C223">
        <v>221</v>
      </c>
      <c r="D223" s="192">
        <v>242.49</v>
      </c>
      <c r="E223" s="192">
        <v>484.97</v>
      </c>
      <c r="F223" s="192">
        <v>727.46</v>
      </c>
    </row>
    <row r="224" spans="1:13">
      <c r="A224">
        <v>222</v>
      </c>
      <c r="B224" s="259">
        <v>6.2026000000000003</v>
      </c>
      <c r="C224">
        <v>222</v>
      </c>
      <c r="D224" s="192">
        <v>242.49</v>
      </c>
      <c r="E224" s="192">
        <v>484.97</v>
      </c>
      <c r="F224" s="192">
        <v>727.46</v>
      </c>
    </row>
    <row r="225" spans="1:6">
      <c r="A225">
        <v>223</v>
      </c>
      <c r="B225" s="259">
        <v>7.2026000000000003</v>
      </c>
      <c r="C225">
        <v>223</v>
      </c>
      <c r="D225" s="192">
        <v>242.49</v>
      </c>
      <c r="E225" s="192">
        <v>484.97</v>
      </c>
      <c r="F225" s="192">
        <v>727.46</v>
      </c>
    </row>
    <row r="226" spans="1:6">
      <c r="A226">
        <v>224</v>
      </c>
      <c r="B226" s="259">
        <v>8.2026000000000003</v>
      </c>
      <c r="C226">
        <v>224</v>
      </c>
      <c r="D226" s="192">
        <v>242.49</v>
      </c>
      <c r="E226" s="192">
        <v>484.97</v>
      </c>
      <c r="F226" s="192">
        <v>727.46</v>
      </c>
    </row>
    <row r="227" spans="1:6">
      <c r="A227">
        <v>225</v>
      </c>
      <c r="B227" s="259">
        <v>9.2026000000000003</v>
      </c>
      <c r="C227">
        <v>225</v>
      </c>
      <c r="D227" s="192">
        <v>242.49</v>
      </c>
      <c r="E227" s="192">
        <v>484.97</v>
      </c>
      <c r="F227" s="192">
        <v>727.46</v>
      </c>
    </row>
    <row r="228" spans="1:6">
      <c r="A228">
        <v>226</v>
      </c>
      <c r="B228" s="259">
        <v>10.2026</v>
      </c>
      <c r="C228">
        <v>226</v>
      </c>
      <c r="D228" s="192">
        <v>242.49</v>
      </c>
      <c r="E228" s="192">
        <v>484.97</v>
      </c>
      <c r="F228" s="192">
        <v>727.46</v>
      </c>
    </row>
    <row r="229" spans="1:6">
      <c r="A229">
        <v>227</v>
      </c>
      <c r="B229" s="259">
        <v>11.2026</v>
      </c>
      <c r="C229">
        <v>227</v>
      </c>
      <c r="D229" s="192">
        <v>242.49</v>
      </c>
      <c r="E229" s="192">
        <v>484.97</v>
      </c>
      <c r="F229" s="192">
        <v>727.46</v>
      </c>
    </row>
    <row r="230" spans="1:6">
      <c r="A230">
        <v>228</v>
      </c>
      <c r="B230" s="259">
        <v>12.2026</v>
      </c>
      <c r="C230">
        <v>228</v>
      </c>
      <c r="D230" s="192">
        <v>242.49</v>
      </c>
      <c r="E230" s="192">
        <v>484.97</v>
      </c>
      <c r="F230" s="192">
        <v>727.46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9FCB1-9B66-41BF-B845-FFD2290FB8F9}">
  <sheetPr codeName="גיליון51"/>
  <dimension ref="A1:P230"/>
  <sheetViews>
    <sheetView rightToLeft="1" topLeftCell="A206" workbookViewId="0">
      <selection activeCell="D218" sqref="D211:F218"/>
    </sheetView>
  </sheetViews>
  <sheetFormatPr defaultRowHeight="14.4"/>
  <cols>
    <col min="4" max="4" width="9.33203125" bestFit="1" customWidth="1"/>
    <col min="5" max="6" width="10.77734375" bestFit="1" customWidth="1"/>
    <col min="10" max="10" width="2" bestFit="1" customWidth="1"/>
    <col min="11" max="11" width="16" customWidth="1"/>
    <col min="15" max="15" width="10" bestFit="1" customWidth="1"/>
    <col min="16" max="16" width="10.77734375" bestFit="1" customWidth="1"/>
  </cols>
  <sheetData>
    <row r="1" spans="1:16" ht="29.4" thickBot="1">
      <c r="A1" s="3" t="s">
        <v>651</v>
      </c>
      <c r="B1" s="256" t="s">
        <v>9</v>
      </c>
      <c r="C1" s="3" t="s">
        <v>49</v>
      </c>
      <c r="D1" s="3" t="s">
        <v>5773</v>
      </c>
      <c r="E1" s="3" t="s">
        <v>5774</v>
      </c>
      <c r="F1" s="3" t="s">
        <v>5775</v>
      </c>
    </row>
    <row r="2" spans="1:16" ht="15" thickTop="1">
      <c r="A2" s="3"/>
      <c r="B2" s="256">
        <v>12.200699999999999</v>
      </c>
      <c r="C2" s="3"/>
      <c r="D2">
        <v>1</v>
      </c>
      <c r="E2">
        <v>2</v>
      </c>
      <c r="F2" s="3">
        <v>3</v>
      </c>
      <c r="O2" s="538" t="s">
        <v>1402</v>
      </c>
      <c r="P2" s="539">
        <f>+'Netunei Gimlai'!B6</f>
        <v>1</v>
      </c>
    </row>
    <row r="3" spans="1:16">
      <c r="A3">
        <v>1</v>
      </c>
      <c r="B3" s="9">
        <v>1.2008000000000001</v>
      </c>
      <c r="C3">
        <v>1</v>
      </c>
      <c r="D3" s="192">
        <v>0</v>
      </c>
      <c r="E3" s="192">
        <v>0</v>
      </c>
      <c r="F3" s="192">
        <v>0</v>
      </c>
      <c r="J3">
        <v>1</v>
      </c>
      <c r="K3" s="537" t="s">
        <v>5773</v>
      </c>
      <c r="L3">
        <v>1</v>
      </c>
      <c r="O3" s="467" t="s">
        <v>5357</v>
      </c>
      <c r="P3" s="466">
        <f>+'Netunei Gimlai'!H52</f>
        <v>2</v>
      </c>
    </row>
    <row r="4" spans="1:16" ht="15" thickBot="1">
      <c r="A4">
        <v>2</v>
      </c>
      <c r="B4" s="9">
        <v>2.2008000000000001</v>
      </c>
      <c r="C4">
        <v>2</v>
      </c>
      <c r="D4" s="192">
        <v>0</v>
      </c>
      <c r="E4" s="192">
        <v>0</v>
      </c>
      <c r="F4" s="192">
        <v>0</v>
      </c>
      <c r="J4">
        <v>2</v>
      </c>
      <c r="K4" s="537" t="s">
        <v>5774</v>
      </c>
      <c r="L4">
        <v>2</v>
      </c>
      <c r="O4" s="540" t="s">
        <v>1378</v>
      </c>
      <c r="P4" s="541" cm="1">
        <f t="array" ref="P4">INDEX(D3:F230,P2,P3)</f>
        <v>0</v>
      </c>
    </row>
    <row r="5" spans="1:16" ht="15" thickTop="1">
      <c r="A5">
        <v>3</v>
      </c>
      <c r="B5" s="9">
        <v>3.2008000000000001</v>
      </c>
      <c r="C5">
        <v>3</v>
      </c>
      <c r="D5" s="192">
        <v>0</v>
      </c>
      <c r="E5" s="192">
        <v>0</v>
      </c>
      <c r="F5" s="192">
        <v>0</v>
      </c>
      <c r="J5">
        <v>3</v>
      </c>
      <c r="K5" s="537" t="s">
        <v>5775</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0</v>
      </c>
      <c r="E47" s="192">
        <v>0</v>
      </c>
      <c r="F47" s="192">
        <v>0</v>
      </c>
    </row>
    <row r="48" spans="1:6">
      <c r="A48">
        <v>46</v>
      </c>
      <c r="B48" s="259">
        <v>10.2011</v>
      </c>
      <c r="C48">
        <v>46</v>
      </c>
      <c r="D48" s="192">
        <v>0</v>
      </c>
      <c r="E48" s="192">
        <v>0</v>
      </c>
      <c r="F48" s="192">
        <v>0</v>
      </c>
    </row>
    <row r="49" spans="1:6">
      <c r="A49">
        <v>47</v>
      </c>
      <c r="B49" s="259">
        <v>11.2011</v>
      </c>
      <c r="C49">
        <v>47</v>
      </c>
      <c r="D49" s="192">
        <v>0</v>
      </c>
      <c r="E49" s="192">
        <v>0</v>
      </c>
      <c r="F49" s="192">
        <v>0</v>
      </c>
    </row>
    <row r="50" spans="1:6">
      <c r="A50">
        <v>48</v>
      </c>
      <c r="B50" s="259">
        <v>12.2011</v>
      </c>
      <c r="C50">
        <v>48</v>
      </c>
      <c r="D50" s="192">
        <v>0</v>
      </c>
      <c r="E50" s="192">
        <v>0</v>
      </c>
      <c r="F50" s="192">
        <v>0</v>
      </c>
    </row>
    <row r="51" spans="1:6">
      <c r="A51">
        <v>49</v>
      </c>
      <c r="B51" s="259">
        <v>1.2012</v>
      </c>
      <c r="C51">
        <v>49</v>
      </c>
      <c r="D51" s="192">
        <v>0</v>
      </c>
      <c r="E51" s="192">
        <v>0</v>
      </c>
      <c r="F51" s="192">
        <v>0</v>
      </c>
    </row>
    <row r="52" spans="1:6">
      <c r="A52">
        <v>50</v>
      </c>
      <c r="B52" s="259">
        <v>2.2012</v>
      </c>
      <c r="C52">
        <v>50</v>
      </c>
      <c r="D52" s="192">
        <v>0</v>
      </c>
      <c r="E52" s="192">
        <v>0</v>
      </c>
      <c r="F52" s="192">
        <v>0</v>
      </c>
    </row>
    <row r="53" spans="1:6">
      <c r="A53">
        <v>51</v>
      </c>
      <c r="B53" s="259">
        <v>3.2012</v>
      </c>
      <c r="C53">
        <v>51</v>
      </c>
      <c r="D53" s="192">
        <v>0</v>
      </c>
      <c r="E53" s="192">
        <v>0</v>
      </c>
      <c r="F53" s="192">
        <v>0</v>
      </c>
    </row>
    <row r="54" spans="1:6">
      <c r="A54">
        <v>52</v>
      </c>
      <c r="B54" s="259">
        <v>4.2012</v>
      </c>
      <c r="C54">
        <v>52</v>
      </c>
      <c r="D54" s="192">
        <v>0</v>
      </c>
      <c r="E54" s="192">
        <v>0</v>
      </c>
      <c r="F54" s="192">
        <v>0</v>
      </c>
    </row>
    <row r="55" spans="1:6">
      <c r="A55">
        <v>53</v>
      </c>
      <c r="B55" s="259">
        <v>5.2012</v>
      </c>
      <c r="C55">
        <v>53</v>
      </c>
      <c r="D55" s="192">
        <v>0</v>
      </c>
      <c r="E55" s="192">
        <v>0</v>
      </c>
      <c r="F55" s="192">
        <v>0</v>
      </c>
    </row>
    <row r="56" spans="1:6">
      <c r="A56">
        <v>54</v>
      </c>
      <c r="B56" s="259">
        <v>6.2012</v>
      </c>
      <c r="C56">
        <v>54</v>
      </c>
      <c r="D56" s="192">
        <v>0</v>
      </c>
      <c r="E56" s="192">
        <v>0</v>
      </c>
      <c r="F56" s="192">
        <v>0</v>
      </c>
    </row>
    <row r="57" spans="1:6">
      <c r="A57">
        <v>55</v>
      </c>
      <c r="B57" s="259">
        <v>7.2012</v>
      </c>
      <c r="C57">
        <v>55</v>
      </c>
      <c r="D57" s="192">
        <v>0</v>
      </c>
      <c r="E57" s="192">
        <v>0</v>
      </c>
      <c r="F57" s="192">
        <v>0</v>
      </c>
    </row>
    <row r="58" spans="1:6">
      <c r="A58">
        <v>56</v>
      </c>
      <c r="B58" s="259">
        <v>8.2012</v>
      </c>
      <c r="C58">
        <v>56</v>
      </c>
      <c r="D58" s="192">
        <v>0</v>
      </c>
      <c r="E58" s="192">
        <v>0</v>
      </c>
      <c r="F58" s="192">
        <v>0</v>
      </c>
    </row>
    <row r="59" spans="1:6">
      <c r="A59">
        <v>57</v>
      </c>
      <c r="B59" s="259">
        <v>9.2012</v>
      </c>
      <c r="C59">
        <v>57</v>
      </c>
      <c r="D59" s="192">
        <v>0</v>
      </c>
      <c r="E59" s="192">
        <v>0</v>
      </c>
      <c r="F59" s="192">
        <v>0</v>
      </c>
    </row>
    <row r="60" spans="1:6">
      <c r="A60">
        <v>58</v>
      </c>
      <c r="B60" s="259">
        <v>10.2012</v>
      </c>
      <c r="C60">
        <v>58</v>
      </c>
      <c r="D60" s="192">
        <v>0</v>
      </c>
      <c r="E60" s="192">
        <v>0</v>
      </c>
      <c r="F60" s="192">
        <v>0</v>
      </c>
    </row>
    <row r="61" spans="1:6">
      <c r="A61">
        <v>59</v>
      </c>
      <c r="B61" s="259">
        <v>11.2012</v>
      </c>
      <c r="C61">
        <v>59</v>
      </c>
      <c r="D61" s="192">
        <v>0</v>
      </c>
      <c r="E61" s="192">
        <v>0</v>
      </c>
      <c r="F61" s="192">
        <v>0</v>
      </c>
    </row>
    <row r="62" spans="1:6">
      <c r="A62">
        <v>60</v>
      </c>
      <c r="B62" s="259">
        <v>12.2012</v>
      </c>
      <c r="C62">
        <v>60</v>
      </c>
      <c r="D62" s="192">
        <v>0</v>
      </c>
      <c r="E62" s="192">
        <v>0</v>
      </c>
      <c r="F62" s="192">
        <v>0</v>
      </c>
    </row>
    <row r="63" spans="1:6">
      <c r="A63">
        <v>61</v>
      </c>
      <c r="B63" s="259">
        <v>1.2013</v>
      </c>
      <c r="C63">
        <v>61</v>
      </c>
      <c r="D63" s="192">
        <v>0</v>
      </c>
      <c r="E63" s="192">
        <v>0</v>
      </c>
      <c r="F63" s="192">
        <v>0</v>
      </c>
    </row>
    <row r="64" spans="1:6">
      <c r="A64">
        <v>62</v>
      </c>
      <c r="B64" s="259">
        <v>2.2012999999999998</v>
      </c>
      <c r="C64">
        <v>62</v>
      </c>
      <c r="D64" s="192">
        <v>0</v>
      </c>
      <c r="E64" s="192">
        <v>0</v>
      </c>
      <c r="F64" s="192">
        <v>0</v>
      </c>
    </row>
    <row r="65" spans="1:6">
      <c r="A65">
        <v>63</v>
      </c>
      <c r="B65" s="259">
        <v>3.2012999999999998</v>
      </c>
      <c r="C65">
        <v>63</v>
      </c>
      <c r="D65" s="192">
        <v>0</v>
      </c>
      <c r="E65" s="192">
        <v>0</v>
      </c>
      <c r="F65" s="192">
        <v>0</v>
      </c>
    </row>
    <row r="66" spans="1:6">
      <c r="A66">
        <v>64</v>
      </c>
      <c r="B66" s="259">
        <v>4.2012999999999998</v>
      </c>
      <c r="C66">
        <v>64</v>
      </c>
      <c r="D66" s="192">
        <v>0</v>
      </c>
      <c r="E66" s="192">
        <v>0</v>
      </c>
      <c r="F66" s="192">
        <v>0</v>
      </c>
    </row>
    <row r="67" spans="1:6">
      <c r="A67">
        <v>65</v>
      </c>
      <c r="B67" s="259">
        <v>5.2012999999999998</v>
      </c>
      <c r="C67">
        <v>65</v>
      </c>
      <c r="D67" s="192">
        <v>0</v>
      </c>
      <c r="E67" s="192">
        <v>0</v>
      </c>
      <c r="F67" s="192">
        <v>0</v>
      </c>
    </row>
    <row r="68" spans="1:6">
      <c r="A68">
        <v>66</v>
      </c>
      <c r="B68" s="259">
        <v>6.2012999999999998</v>
      </c>
      <c r="C68">
        <v>66</v>
      </c>
      <c r="D68" s="192">
        <v>0</v>
      </c>
      <c r="E68" s="192">
        <v>0</v>
      </c>
      <c r="F68" s="192">
        <v>0</v>
      </c>
    </row>
    <row r="69" spans="1:6">
      <c r="A69">
        <v>67</v>
      </c>
      <c r="B69" s="259">
        <v>7.2012999999999998</v>
      </c>
      <c r="C69">
        <v>67</v>
      </c>
      <c r="D69" s="192">
        <v>0</v>
      </c>
      <c r="E69" s="192">
        <v>0</v>
      </c>
      <c r="F69" s="192">
        <v>0</v>
      </c>
    </row>
    <row r="70" spans="1:6">
      <c r="A70">
        <v>68</v>
      </c>
      <c r="B70" s="259">
        <v>8.2012999999999998</v>
      </c>
      <c r="C70">
        <v>68</v>
      </c>
      <c r="D70" s="192">
        <v>0</v>
      </c>
      <c r="E70" s="192">
        <v>0</v>
      </c>
      <c r="F70" s="192">
        <v>0</v>
      </c>
    </row>
    <row r="71" spans="1:6">
      <c r="A71">
        <v>69</v>
      </c>
      <c r="B71" s="259">
        <v>9.2012999999999998</v>
      </c>
      <c r="C71">
        <v>69</v>
      </c>
      <c r="D71" s="192">
        <v>0</v>
      </c>
      <c r="E71" s="192">
        <v>0</v>
      </c>
      <c r="F71" s="192">
        <v>0</v>
      </c>
    </row>
    <row r="72" spans="1:6">
      <c r="A72">
        <v>70</v>
      </c>
      <c r="B72" s="259">
        <v>10.2013</v>
      </c>
      <c r="C72">
        <v>70</v>
      </c>
      <c r="D72" s="192">
        <v>0</v>
      </c>
      <c r="E72" s="192">
        <v>0</v>
      </c>
      <c r="F72" s="192">
        <v>0</v>
      </c>
    </row>
    <row r="73" spans="1:6">
      <c r="A73">
        <v>71</v>
      </c>
      <c r="B73" s="259">
        <v>11.2013</v>
      </c>
      <c r="C73">
        <v>71</v>
      </c>
      <c r="D73" s="192">
        <v>0</v>
      </c>
      <c r="E73" s="192">
        <v>0</v>
      </c>
      <c r="F73" s="192">
        <v>0</v>
      </c>
    </row>
    <row r="74" spans="1:6">
      <c r="A74">
        <v>72</v>
      </c>
      <c r="B74" s="259">
        <v>12.2013</v>
      </c>
      <c r="C74">
        <v>72</v>
      </c>
      <c r="D74" s="192">
        <v>0</v>
      </c>
      <c r="E74" s="192">
        <v>0</v>
      </c>
      <c r="F74" s="192">
        <v>0</v>
      </c>
    </row>
    <row r="75" spans="1:6">
      <c r="A75">
        <v>73</v>
      </c>
      <c r="B75" s="259">
        <v>1.2014</v>
      </c>
      <c r="C75">
        <v>73</v>
      </c>
      <c r="D75" s="192">
        <v>0</v>
      </c>
      <c r="E75" s="192">
        <v>0</v>
      </c>
      <c r="F75" s="192">
        <v>0</v>
      </c>
    </row>
    <row r="76" spans="1:6">
      <c r="A76">
        <v>74</v>
      </c>
      <c r="B76" s="259">
        <v>2.2014</v>
      </c>
      <c r="C76">
        <v>74</v>
      </c>
      <c r="D76" s="192">
        <v>0</v>
      </c>
      <c r="E76" s="192">
        <v>0</v>
      </c>
      <c r="F76" s="192">
        <v>0</v>
      </c>
    </row>
    <row r="77" spans="1:6">
      <c r="A77">
        <v>75</v>
      </c>
      <c r="B77" s="259">
        <v>3.2014</v>
      </c>
      <c r="C77">
        <v>75</v>
      </c>
      <c r="D77" s="192">
        <v>0</v>
      </c>
      <c r="E77" s="192">
        <v>0</v>
      </c>
      <c r="F77" s="192">
        <v>0</v>
      </c>
    </row>
    <row r="78" spans="1:6">
      <c r="A78">
        <v>76</v>
      </c>
      <c r="B78" s="259">
        <v>4.2013999999999996</v>
      </c>
      <c r="C78">
        <v>76</v>
      </c>
      <c r="D78" s="192">
        <v>0</v>
      </c>
      <c r="E78" s="192">
        <v>0</v>
      </c>
      <c r="F78" s="192">
        <v>0</v>
      </c>
    </row>
    <row r="79" spans="1:6">
      <c r="A79">
        <v>77</v>
      </c>
      <c r="B79" s="259">
        <v>5.2013999999999996</v>
      </c>
      <c r="C79">
        <v>77</v>
      </c>
      <c r="D79" s="192">
        <v>0</v>
      </c>
      <c r="E79" s="192">
        <v>0</v>
      </c>
      <c r="F79" s="192">
        <v>0</v>
      </c>
    </row>
    <row r="80" spans="1:6">
      <c r="A80">
        <v>78</v>
      </c>
      <c r="B80" s="259">
        <v>6.2013999999999996</v>
      </c>
      <c r="C80">
        <v>78</v>
      </c>
      <c r="D80" s="192">
        <v>0</v>
      </c>
      <c r="E80" s="192">
        <v>0</v>
      </c>
      <c r="F80" s="192">
        <v>0</v>
      </c>
    </row>
    <row r="81" spans="1:6">
      <c r="A81">
        <v>79</v>
      </c>
      <c r="B81" s="259">
        <v>7.2013999999999996</v>
      </c>
      <c r="C81">
        <v>79</v>
      </c>
      <c r="D81" s="192">
        <v>0</v>
      </c>
      <c r="E81" s="192">
        <v>0</v>
      </c>
      <c r="F81" s="192">
        <v>0</v>
      </c>
    </row>
    <row r="82" spans="1:6">
      <c r="A82">
        <v>80</v>
      </c>
      <c r="B82" s="259">
        <v>8.2013999999999996</v>
      </c>
      <c r="C82">
        <v>80</v>
      </c>
      <c r="D82" s="192">
        <v>0</v>
      </c>
      <c r="E82" s="192">
        <v>0</v>
      </c>
      <c r="F82" s="192">
        <v>0</v>
      </c>
    </row>
    <row r="83" spans="1:6">
      <c r="A83">
        <v>81</v>
      </c>
      <c r="B83" s="259">
        <v>9.2013999999999996</v>
      </c>
      <c r="C83">
        <v>81</v>
      </c>
      <c r="D83" s="192">
        <v>0</v>
      </c>
      <c r="E83" s="192">
        <v>0</v>
      </c>
      <c r="F83" s="192">
        <v>0</v>
      </c>
    </row>
    <row r="84" spans="1:6">
      <c r="A84">
        <v>82</v>
      </c>
      <c r="B84" s="259">
        <v>10.2014</v>
      </c>
      <c r="C84">
        <v>82</v>
      </c>
      <c r="D84" s="192">
        <v>0</v>
      </c>
      <c r="E84" s="192">
        <v>0</v>
      </c>
      <c r="F84" s="192">
        <v>0</v>
      </c>
    </row>
    <row r="85" spans="1:6">
      <c r="A85">
        <v>83</v>
      </c>
      <c r="B85" s="259">
        <v>11.2014</v>
      </c>
      <c r="C85">
        <v>83</v>
      </c>
      <c r="D85" s="192">
        <v>0</v>
      </c>
      <c r="E85" s="192">
        <v>0</v>
      </c>
      <c r="F85" s="192">
        <v>0</v>
      </c>
    </row>
    <row r="86" spans="1:6">
      <c r="A86">
        <v>84</v>
      </c>
      <c r="B86" s="259">
        <v>12.2014</v>
      </c>
      <c r="C86">
        <v>84</v>
      </c>
      <c r="D86" s="192">
        <v>0</v>
      </c>
      <c r="E86" s="192">
        <v>0</v>
      </c>
      <c r="F86" s="192">
        <v>0</v>
      </c>
    </row>
    <row r="87" spans="1:6">
      <c r="A87">
        <v>85</v>
      </c>
      <c r="B87" s="259">
        <v>1.2015</v>
      </c>
      <c r="C87">
        <v>85</v>
      </c>
      <c r="D87" s="192">
        <v>0</v>
      </c>
      <c r="E87" s="192">
        <v>0</v>
      </c>
      <c r="F87" s="192">
        <v>0</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6">
      <c r="A193">
        <v>191</v>
      </c>
      <c r="B193" s="259">
        <v>11.202299999999999</v>
      </c>
      <c r="C193">
        <v>191</v>
      </c>
      <c r="D193" s="192">
        <v>0</v>
      </c>
      <c r="E193" s="192">
        <v>0</v>
      </c>
      <c r="F193" s="192">
        <v>0</v>
      </c>
    </row>
    <row r="194" spans="1:6">
      <c r="A194">
        <v>192</v>
      </c>
      <c r="B194" s="259">
        <v>12.202299999999999</v>
      </c>
      <c r="C194">
        <v>192</v>
      </c>
      <c r="D194" s="192">
        <v>0</v>
      </c>
      <c r="E194" s="192">
        <v>0</v>
      </c>
      <c r="F194" s="192">
        <v>0</v>
      </c>
    </row>
    <row r="195" spans="1:6">
      <c r="A195">
        <v>193</v>
      </c>
      <c r="B195" s="259">
        <v>1.2023999999999999</v>
      </c>
      <c r="C195">
        <v>193</v>
      </c>
      <c r="D195" s="192">
        <v>0</v>
      </c>
      <c r="E195" s="192">
        <v>0</v>
      </c>
      <c r="F195" s="192">
        <v>0</v>
      </c>
    </row>
    <row r="196" spans="1:6">
      <c r="A196">
        <v>194</v>
      </c>
      <c r="B196" s="259">
        <v>2.2023999999999999</v>
      </c>
      <c r="C196">
        <v>194</v>
      </c>
      <c r="D196" s="192">
        <v>0</v>
      </c>
      <c r="E196" s="192">
        <v>0</v>
      </c>
      <c r="F196" s="192">
        <v>0</v>
      </c>
    </row>
    <row r="197" spans="1:6">
      <c r="A197">
        <v>195</v>
      </c>
      <c r="B197" s="259">
        <v>3.2023999999999999</v>
      </c>
      <c r="C197">
        <v>195</v>
      </c>
      <c r="D197" s="192">
        <v>0</v>
      </c>
      <c r="E197" s="192">
        <v>0</v>
      </c>
      <c r="F197" s="192">
        <v>0</v>
      </c>
    </row>
    <row r="198" spans="1:6">
      <c r="A198">
        <v>196</v>
      </c>
      <c r="B198" s="259">
        <v>4.2023999999999999</v>
      </c>
      <c r="C198">
        <v>196</v>
      </c>
      <c r="D198" s="192">
        <v>0</v>
      </c>
      <c r="E198" s="192">
        <v>0</v>
      </c>
      <c r="F198" s="192">
        <v>0</v>
      </c>
    </row>
    <row r="199" spans="1:6">
      <c r="A199">
        <v>197</v>
      </c>
      <c r="B199" s="259">
        <v>5.2023999999999999</v>
      </c>
      <c r="C199">
        <v>197</v>
      </c>
      <c r="D199" s="192">
        <v>0</v>
      </c>
      <c r="E199" s="192">
        <v>0</v>
      </c>
      <c r="F199" s="192">
        <v>0</v>
      </c>
    </row>
    <row r="200" spans="1:6">
      <c r="A200">
        <v>198</v>
      </c>
      <c r="B200" s="259">
        <v>6.2023999999999999</v>
      </c>
      <c r="C200">
        <v>198</v>
      </c>
      <c r="D200" s="192">
        <v>0</v>
      </c>
      <c r="E200" s="192">
        <v>0</v>
      </c>
      <c r="F200" s="192">
        <v>0</v>
      </c>
    </row>
    <row r="201" spans="1:6">
      <c r="A201">
        <v>199</v>
      </c>
      <c r="B201" s="259">
        <v>7.2023999999999999</v>
      </c>
      <c r="C201">
        <v>199</v>
      </c>
      <c r="D201" s="192">
        <v>0</v>
      </c>
      <c r="E201" s="192">
        <v>0</v>
      </c>
      <c r="F201" s="192">
        <v>0</v>
      </c>
    </row>
    <row r="202" spans="1:6">
      <c r="A202">
        <v>200</v>
      </c>
      <c r="B202" s="259">
        <v>8.2024000000000008</v>
      </c>
      <c r="C202">
        <v>200</v>
      </c>
      <c r="D202" s="192">
        <v>0</v>
      </c>
      <c r="E202" s="192">
        <v>0</v>
      </c>
      <c r="F202" s="192">
        <v>0</v>
      </c>
    </row>
    <row r="203" spans="1:6">
      <c r="A203">
        <v>201</v>
      </c>
      <c r="B203" s="259">
        <v>9.2024000000000008</v>
      </c>
      <c r="C203">
        <v>201</v>
      </c>
      <c r="D203" s="192">
        <v>0</v>
      </c>
      <c r="E203" s="192">
        <v>0</v>
      </c>
      <c r="F203" s="192">
        <v>0</v>
      </c>
    </row>
    <row r="204" spans="1:6">
      <c r="A204">
        <v>202</v>
      </c>
      <c r="B204" s="259">
        <v>10.202400000000001</v>
      </c>
      <c r="C204">
        <v>202</v>
      </c>
      <c r="D204" s="192">
        <v>0</v>
      </c>
      <c r="E204" s="192">
        <v>0</v>
      </c>
      <c r="F204" s="192">
        <v>0</v>
      </c>
    </row>
    <row r="205" spans="1:6">
      <c r="A205">
        <v>203</v>
      </c>
      <c r="B205" s="259">
        <v>11.202400000000001</v>
      </c>
      <c r="C205">
        <v>203</v>
      </c>
      <c r="D205" s="192">
        <v>0</v>
      </c>
      <c r="E205" s="192">
        <v>0</v>
      </c>
      <c r="F205" s="192">
        <v>0</v>
      </c>
    </row>
    <row r="206" spans="1:6">
      <c r="A206">
        <v>204</v>
      </c>
      <c r="B206" s="259">
        <v>12.202400000000001</v>
      </c>
      <c r="C206">
        <v>204</v>
      </c>
      <c r="D206" s="192">
        <v>0</v>
      </c>
      <c r="E206" s="192">
        <v>0</v>
      </c>
      <c r="F206" s="192">
        <v>0</v>
      </c>
    </row>
    <row r="207" spans="1:6">
      <c r="A207">
        <v>205</v>
      </c>
      <c r="B207" s="259">
        <v>1.2024999999999999</v>
      </c>
      <c r="C207">
        <v>205</v>
      </c>
      <c r="D207" s="192">
        <v>0</v>
      </c>
      <c r="E207" s="192">
        <v>0</v>
      </c>
      <c r="F207" s="192">
        <v>0</v>
      </c>
    </row>
    <row r="208" spans="1:6">
      <c r="A208">
        <v>206</v>
      </c>
      <c r="B208" s="259">
        <v>2.2025000000000001</v>
      </c>
      <c r="C208">
        <v>206</v>
      </c>
      <c r="D208" s="192">
        <v>0</v>
      </c>
      <c r="E208" s="192">
        <v>0</v>
      </c>
      <c r="F208" s="192">
        <v>0</v>
      </c>
    </row>
    <row r="209" spans="1:8">
      <c r="A209">
        <v>207</v>
      </c>
      <c r="B209" s="259">
        <v>3.2025000000000001</v>
      </c>
      <c r="C209">
        <v>207</v>
      </c>
      <c r="D209" s="192">
        <v>0</v>
      </c>
      <c r="E209" s="192">
        <v>0</v>
      </c>
      <c r="F209" s="192">
        <v>0</v>
      </c>
    </row>
    <row r="210" spans="1:8">
      <c r="A210">
        <v>208</v>
      </c>
      <c r="B210" s="259">
        <v>4.2024999999999997</v>
      </c>
      <c r="C210">
        <v>208</v>
      </c>
      <c r="D210" s="192">
        <v>0</v>
      </c>
      <c r="E210" s="192">
        <v>0</v>
      </c>
      <c r="F210" s="192">
        <v>0</v>
      </c>
    </row>
    <row r="211" spans="1:8">
      <c r="A211">
        <v>209</v>
      </c>
      <c r="B211" s="259">
        <v>5.2024999999999997</v>
      </c>
      <c r="C211">
        <v>209</v>
      </c>
      <c r="D211" s="192">
        <v>700</v>
      </c>
      <c r="E211" s="192">
        <v>1100</v>
      </c>
      <c r="F211" s="192">
        <v>1500</v>
      </c>
    </row>
    <row r="212" spans="1:8">
      <c r="A212">
        <v>210</v>
      </c>
      <c r="B212" s="259">
        <v>6.2024999999999997</v>
      </c>
      <c r="C212">
        <v>210</v>
      </c>
      <c r="D212" s="192">
        <v>700</v>
      </c>
      <c r="E212" s="192">
        <v>1100</v>
      </c>
      <c r="F212" s="192">
        <v>1500</v>
      </c>
    </row>
    <row r="213" spans="1:8">
      <c r="A213">
        <v>211</v>
      </c>
      <c r="B213" s="259">
        <v>7.2024999999999997</v>
      </c>
      <c r="C213">
        <v>211</v>
      </c>
      <c r="D213" s="192">
        <v>700</v>
      </c>
      <c r="E213" s="192">
        <v>1100</v>
      </c>
      <c r="F213" s="192">
        <v>1500</v>
      </c>
    </row>
    <row r="214" spans="1:8">
      <c r="A214">
        <v>212</v>
      </c>
      <c r="B214" s="259">
        <v>8.2025000000000006</v>
      </c>
      <c r="C214">
        <v>212</v>
      </c>
      <c r="D214" s="192">
        <v>700</v>
      </c>
      <c r="E214" s="192">
        <v>1100</v>
      </c>
      <c r="F214" s="192">
        <v>1500</v>
      </c>
    </row>
    <row r="215" spans="1:8">
      <c r="A215">
        <v>213</v>
      </c>
      <c r="B215" s="259">
        <v>9.2025000000000006</v>
      </c>
      <c r="C215">
        <v>213</v>
      </c>
      <c r="D215" s="192">
        <v>700</v>
      </c>
      <c r="E215" s="192">
        <v>1100</v>
      </c>
      <c r="F215" s="192">
        <v>1500</v>
      </c>
    </row>
    <row r="216" spans="1:8">
      <c r="A216">
        <v>214</v>
      </c>
      <c r="B216" s="259">
        <v>10.202500000000001</v>
      </c>
      <c r="C216">
        <v>214</v>
      </c>
      <c r="D216" s="192">
        <v>700</v>
      </c>
      <c r="E216" s="192">
        <v>1100</v>
      </c>
      <c r="F216" s="192">
        <v>1500</v>
      </c>
    </row>
    <row r="217" spans="1:8">
      <c r="A217">
        <v>215</v>
      </c>
      <c r="B217" s="259">
        <v>11.202500000000001</v>
      </c>
      <c r="C217">
        <v>215</v>
      </c>
      <c r="D217" s="192">
        <v>700</v>
      </c>
      <c r="E217" s="192">
        <v>1100</v>
      </c>
      <c r="F217" s="192">
        <v>1500</v>
      </c>
    </row>
    <row r="218" spans="1:8">
      <c r="A218">
        <v>216</v>
      </c>
      <c r="B218" s="259">
        <v>12.202500000000001</v>
      </c>
      <c r="C218">
        <v>216</v>
      </c>
      <c r="D218" s="192">
        <v>700</v>
      </c>
      <c r="E218" s="192">
        <v>1100</v>
      </c>
      <c r="F218" s="192">
        <v>1500</v>
      </c>
    </row>
    <row r="219" spans="1:8">
      <c r="A219">
        <v>217</v>
      </c>
      <c r="B219" s="259">
        <v>1.2025999999999999</v>
      </c>
      <c r="C219">
        <v>217</v>
      </c>
      <c r="D219" s="192">
        <v>700</v>
      </c>
      <c r="E219" s="192">
        <v>1100</v>
      </c>
      <c r="F219" s="192">
        <v>1500</v>
      </c>
      <c r="H219" s="192"/>
    </row>
    <row r="220" spans="1:8">
      <c r="A220">
        <v>218</v>
      </c>
      <c r="B220" s="259">
        <v>2.2025999999999999</v>
      </c>
      <c r="C220">
        <v>218</v>
      </c>
      <c r="D220" s="192">
        <v>700</v>
      </c>
      <c r="E220" s="192">
        <v>1100</v>
      </c>
      <c r="F220" s="192">
        <v>1500</v>
      </c>
    </row>
    <row r="221" spans="1:8">
      <c r="A221">
        <v>219</v>
      </c>
      <c r="B221" s="259">
        <v>3.2025999999999999</v>
      </c>
      <c r="C221">
        <v>219</v>
      </c>
      <c r="D221" s="192">
        <v>700</v>
      </c>
      <c r="E221" s="192">
        <v>1100</v>
      </c>
      <c r="F221" s="192">
        <v>1500</v>
      </c>
    </row>
    <row r="222" spans="1:8">
      <c r="A222">
        <v>220</v>
      </c>
      <c r="B222" s="259">
        <v>4.2026000000000003</v>
      </c>
      <c r="C222">
        <v>220</v>
      </c>
      <c r="D222" s="192">
        <v>700</v>
      </c>
      <c r="E222" s="192">
        <v>1100</v>
      </c>
      <c r="F222" s="192">
        <v>1500</v>
      </c>
    </row>
    <row r="223" spans="1:8">
      <c r="A223">
        <v>221</v>
      </c>
      <c r="B223" s="259">
        <v>5.2026000000000003</v>
      </c>
      <c r="C223">
        <v>221</v>
      </c>
      <c r="D223" s="192">
        <v>700</v>
      </c>
      <c r="E223" s="192">
        <v>1100</v>
      </c>
      <c r="F223" s="192">
        <v>1500</v>
      </c>
    </row>
    <row r="224" spans="1:8">
      <c r="A224">
        <v>222</v>
      </c>
      <c r="B224" s="259">
        <v>6.2026000000000003</v>
      </c>
      <c r="C224">
        <v>222</v>
      </c>
      <c r="D224" s="192">
        <v>700</v>
      </c>
      <c r="E224" s="192">
        <v>1100</v>
      </c>
      <c r="F224" s="192">
        <v>1500</v>
      </c>
    </row>
    <row r="225" spans="1:6">
      <c r="A225">
        <v>223</v>
      </c>
      <c r="B225" s="259">
        <v>7.2026000000000003</v>
      </c>
      <c r="C225">
        <v>223</v>
      </c>
      <c r="D225" s="192">
        <v>700</v>
      </c>
      <c r="E225" s="192">
        <v>1100</v>
      </c>
      <c r="F225" s="192">
        <v>1500</v>
      </c>
    </row>
    <row r="226" spans="1:6">
      <c r="A226">
        <v>224</v>
      </c>
      <c r="B226" s="259">
        <v>8.2026000000000003</v>
      </c>
      <c r="C226">
        <v>224</v>
      </c>
      <c r="D226" s="192">
        <v>700</v>
      </c>
      <c r="E226" s="192">
        <v>1100</v>
      </c>
      <c r="F226" s="192">
        <v>1500</v>
      </c>
    </row>
    <row r="227" spans="1:6">
      <c r="A227">
        <v>225</v>
      </c>
      <c r="B227" s="259">
        <v>9.2026000000000003</v>
      </c>
      <c r="C227">
        <v>225</v>
      </c>
      <c r="D227" s="192">
        <v>700</v>
      </c>
      <c r="E227" s="192">
        <v>1100</v>
      </c>
      <c r="F227" s="192">
        <v>1500</v>
      </c>
    </row>
    <row r="228" spans="1:6">
      <c r="A228">
        <v>226</v>
      </c>
      <c r="B228" s="259">
        <v>10.2026</v>
      </c>
      <c r="C228">
        <v>226</v>
      </c>
      <c r="D228" s="192">
        <v>700</v>
      </c>
      <c r="E228" s="192">
        <v>1100</v>
      </c>
      <c r="F228" s="192">
        <v>1500</v>
      </c>
    </row>
    <row r="229" spans="1:6">
      <c r="A229">
        <v>227</v>
      </c>
      <c r="B229" s="259">
        <v>11.2026</v>
      </c>
      <c r="C229">
        <v>227</v>
      </c>
      <c r="D229" s="192">
        <v>700</v>
      </c>
      <c r="E229" s="192">
        <v>1100</v>
      </c>
      <c r="F229" s="192">
        <v>1500</v>
      </c>
    </row>
    <row r="230" spans="1:6">
      <c r="A230">
        <v>228</v>
      </c>
      <c r="B230" s="259">
        <v>12.2026</v>
      </c>
      <c r="C230">
        <v>228</v>
      </c>
      <c r="D230" s="192">
        <v>700</v>
      </c>
      <c r="E230" s="192">
        <v>1100</v>
      </c>
      <c r="F230" s="192">
        <v>1500</v>
      </c>
    </row>
  </sheetData>
  <phoneticPr fontId="37"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D0B0-4F39-4AFC-BC9B-ABB4D096E0C0}">
  <sheetPr codeName="גיליון52"/>
  <dimension ref="A1:AL115"/>
  <sheetViews>
    <sheetView rightToLeft="1" topLeftCell="A11" workbookViewId="0">
      <selection activeCell="D19" sqref="D18:D19"/>
    </sheetView>
  </sheetViews>
  <sheetFormatPr defaultRowHeight="14.4"/>
  <cols>
    <col min="10" max="10" width="21.33203125" bestFit="1" customWidth="1"/>
    <col min="11" max="12" width="21.33203125" customWidth="1"/>
  </cols>
  <sheetData>
    <row r="1" spans="1:29">
      <c r="A1" t="s">
        <v>17</v>
      </c>
      <c r="C1">
        <f>+'Netunei Gimlai'!B10</f>
        <v>11</v>
      </c>
    </row>
    <row r="2" spans="1:29">
      <c r="A2" t="s">
        <v>5794</v>
      </c>
      <c r="C2" s="84">
        <f>VLOOKUP(C1,C6:E115,2,0)</f>
        <v>0</v>
      </c>
    </row>
    <row r="5" spans="1:29">
      <c r="B5" s="1" t="s">
        <v>17</v>
      </c>
      <c r="O5" s="18" t="s">
        <v>54</v>
      </c>
      <c r="P5" s="18" t="s">
        <v>17</v>
      </c>
      <c r="Q5" s="18" t="s">
        <v>1095</v>
      </c>
      <c r="R5" s="18" t="s">
        <v>1116</v>
      </c>
      <c r="Y5" s="19" t="s">
        <v>1117</v>
      </c>
    </row>
    <row r="6" spans="1:29" ht="15" thickBot="1">
      <c r="A6">
        <v>1</v>
      </c>
      <c r="B6" s="1">
        <v>10</v>
      </c>
      <c r="C6">
        <v>1</v>
      </c>
      <c r="J6" s="1" t="s">
        <v>1118</v>
      </c>
      <c r="K6" s="1"/>
      <c r="L6" s="1"/>
      <c r="M6" s="1"/>
      <c r="O6" s="18"/>
      <c r="P6" s="18"/>
      <c r="Q6" s="18"/>
    </row>
    <row r="7" spans="1:29" ht="16.2" thickBot="1">
      <c r="A7">
        <v>2</v>
      </c>
      <c r="B7" s="1">
        <v>11</v>
      </c>
      <c r="C7">
        <v>2</v>
      </c>
      <c r="J7" s="20"/>
      <c r="K7" s="20" t="s">
        <v>5792</v>
      </c>
      <c r="L7" s="20" t="s">
        <v>5793</v>
      </c>
      <c r="M7" s="20"/>
      <c r="N7" s="20" t="s">
        <v>102</v>
      </c>
      <c r="O7" s="20" t="s">
        <v>103</v>
      </c>
      <c r="P7" s="20" t="s">
        <v>104</v>
      </c>
      <c r="Q7" s="20" t="s">
        <v>105</v>
      </c>
      <c r="R7" s="20" t="s">
        <v>1119</v>
      </c>
      <c r="S7" s="20" t="s">
        <v>107</v>
      </c>
      <c r="T7" s="20" t="s">
        <v>200</v>
      </c>
      <c r="U7" s="20" t="s">
        <v>109</v>
      </c>
      <c r="V7" s="20" t="s">
        <v>110</v>
      </c>
      <c r="W7" s="20" t="s">
        <v>112</v>
      </c>
      <c r="X7" s="20" t="s">
        <v>221</v>
      </c>
      <c r="Y7" s="20" t="s">
        <v>1120</v>
      </c>
      <c r="Z7" s="20" t="s">
        <v>1121</v>
      </c>
      <c r="AA7" s="20" t="s">
        <v>1122</v>
      </c>
      <c r="AB7" s="20" t="s">
        <v>393</v>
      </c>
    </row>
    <row r="8" spans="1:29" ht="16.2" thickBot="1">
      <c r="A8">
        <v>3</v>
      </c>
      <c r="B8" s="1">
        <v>12</v>
      </c>
      <c r="C8">
        <v>3</v>
      </c>
      <c r="J8" s="20"/>
      <c r="K8" s="68"/>
      <c r="L8" s="68"/>
      <c r="M8" s="68"/>
      <c r="N8" s="68">
        <v>1</v>
      </c>
      <c r="O8" s="76">
        <v>2</v>
      </c>
      <c r="P8" s="68">
        <v>3</v>
      </c>
      <c r="Q8" s="76">
        <v>4</v>
      </c>
      <c r="R8" s="68">
        <v>5</v>
      </c>
      <c r="S8" s="76">
        <v>6</v>
      </c>
      <c r="T8" s="68">
        <v>7</v>
      </c>
      <c r="U8" s="76">
        <v>8</v>
      </c>
      <c r="V8" s="68">
        <v>9</v>
      </c>
      <c r="W8" s="75">
        <v>10</v>
      </c>
      <c r="X8" s="75"/>
      <c r="Y8" s="75"/>
      <c r="Z8" s="75"/>
      <c r="AA8" s="75"/>
      <c r="AB8" s="75"/>
    </row>
    <row r="9" spans="1:29" ht="16.2" thickBot="1">
      <c r="A9">
        <v>4</v>
      </c>
      <c r="B9" s="1" t="s">
        <v>141</v>
      </c>
      <c r="C9">
        <v>4</v>
      </c>
      <c r="J9" s="20" t="s">
        <v>1123</v>
      </c>
      <c r="K9" s="68"/>
      <c r="L9" s="68"/>
      <c r="M9" s="68">
        <v>1</v>
      </c>
      <c r="N9" s="21">
        <v>0.17300000000000001</v>
      </c>
      <c r="O9" s="23">
        <v>0.17300000000000001</v>
      </c>
      <c r="P9" s="22">
        <v>0.30099999999999999</v>
      </c>
      <c r="Q9" s="22">
        <v>0.30099999999999999</v>
      </c>
      <c r="R9" s="22">
        <v>0.30099999999999999</v>
      </c>
      <c r="S9" s="22">
        <v>0.30099999999999999</v>
      </c>
      <c r="T9" s="22">
        <v>0.29699999999999999</v>
      </c>
      <c r="U9" s="22"/>
      <c r="V9" s="22"/>
      <c r="W9" s="22">
        <v>0.30099999999999999</v>
      </c>
      <c r="X9" s="22"/>
      <c r="Y9" s="22">
        <v>0.08</v>
      </c>
      <c r="Z9" s="22">
        <v>0.06</v>
      </c>
      <c r="AA9" s="22">
        <v>0.06</v>
      </c>
      <c r="AB9" s="22"/>
      <c r="AC9" t="s">
        <v>1124</v>
      </c>
    </row>
    <row r="10" spans="1:29" ht="16.2" thickBot="1">
      <c r="A10">
        <v>5</v>
      </c>
      <c r="B10" s="1">
        <v>13</v>
      </c>
      <c r="C10">
        <v>5</v>
      </c>
      <c r="J10" s="20" t="s">
        <v>139</v>
      </c>
      <c r="K10" s="69"/>
      <c r="L10" s="69"/>
      <c r="M10" s="69">
        <v>2</v>
      </c>
      <c r="N10" s="24">
        <v>0.2</v>
      </c>
      <c r="O10" s="26">
        <v>0.2</v>
      </c>
      <c r="P10" s="25">
        <v>0.318</v>
      </c>
      <c r="Q10" s="25">
        <v>0.318</v>
      </c>
      <c r="R10" s="25">
        <v>0.318</v>
      </c>
      <c r="S10" s="25">
        <v>0.318</v>
      </c>
      <c r="T10" s="25">
        <v>0.315</v>
      </c>
      <c r="U10" s="25">
        <v>0.27</v>
      </c>
      <c r="V10" s="25">
        <v>7.8E-2</v>
      </c>
      <c r="W10" s="25">
        <v>0.318</v>
      </c>
      <c r="X10" s="25"/>
      <c r="Y10" s="25">
        <v>0.11</v>
      </c>
      <c r="Z10" s="25">
        <v>0.08</v>
      </c>
      <c r="AA10" s="25">
        <v>0.08</v>
      </c>
      <c r="AB10" s="25">
        <v>7.8E-2</v>
      </c>
      <c r="AC10" t="s">
        <v>1125</v>
      </c>
    </row>
    <row r="11" spans="1:29" ht="16.2" thickBot="1">
      <c r="A11">
        <v>6</v>
      </c>
      <c r="B11" s="1" t="s">
        <v>144</v>
      </c>
      <c r="C11">
        <v>6</v>
      </c>
      <c r="J11" s="20" t="s">
        <v>142</v>
      </c>
      <c r="K11" s="68"/>
      <c r="L11" s="68"/>
      <c r="M11" s="68">
        <v>3</v>
      </c>
      <c r="N11" s="24">
        <v>0.24199999999999999</v>
      </c>
      <c r="O11" s="26">
        <v>0.27900000000000003</v>
      </c>
      <c r="P11" s="25">
        <v>0.377</v>
      </c>
      <c r="Q11" s="25">
        <v>0.377</v>
      </c>
      <c r="R11" s="25">
        <v>0.377</v>
      </c>
      <c r="S11" s="25">
        <v>0.377</v>
      </c>
      <c r="T11" s="25">
        <v>0.376</v>
      </c>
      <c r="U11" s="25">
        <v>0.32</v>
      </c>
      <c r="V11" s="25">
        <v>0.114</v>
      </c>
      <c r="W11" s="25">
        <v>0.377</v>
      </c>
      <c r="X11" s="25">
        <v>0.113</v>
      </c>
      <c r="Y11" s="25">
        <v>0.13</v>
      </c>
      <c r="Z11" s="25">
        <v>0.1</v>
      </c>
      <c r="AA11" s="25">
        <v>0.13</v>
      </c>
      <c r="AB11" s="25">
        <v>0.114</v>
      </c>
    </row>
    <row r="12" spans="1:29" ht="16.2" thickBot="1">
      <c r="A12">
        <v>7</v>
      </c>
      <c r="B12" s="1">
        <v>14</v>
      </c>
      <c r="C12">
        <v>7</v>
      </c>
      <c r="J12" s="20" t="s">
        <v>1126</v>
      </c>
      <c r="K12" s="69">
        <v>17</v>
      </c>
      <c r="L12" s="69"/>
      <c r="M12" s="69">
        <v>4</v>
      </c>
      <c r="N12" s="24">
        <v>0.185</v>
      </c>
      <c r="O12" s="26">
        <v>0.28899999999999998</v>
      </c>
      <c r="P12" s="25">
        <v>0.32799999999999996</v>
      </c>
      <c r="Q12" s="25">
        <v>0.32799999999999996</v>
      </c>
      <c r="R12" s="25">
        <v>0.32799999999999996</v>
      </c>
      <c r="S12" s="25">
        <v>0.32799999999999996</v>
      </c>
      <c r="T12" s="25">
        <v>0.32400000000000001</v>
      </c>
      <c r="U12" s="25">
        <v>0.32</v>
      </c>
      <c r="V12" s="25">
        <v>9.6999999999999989E-2</v>
      </c>
      <c r="W12" s="25">
        <v>0.32799999999999996</v>
      </c>
      <c r="X12" s="25">
        <v>0.113</v>
      </c>
      <c r="Y12" s="25">
        <v>0.13</v>
      </c>
      <c r="Z12" s="25">
        <v>0.09</v>
      </c>
      <c r="AA12" s="25">
        <v>0.11</v>
      </c>
      <c r="AB12" s="25">
        <v>9.6999999999999989E-2</v>
      </c>
    </row>
    <row r="13" spans="1:29" ht="16.2" thickBot="1">
      <c r="A13">
        <v>8</v>
      </c>
      <c r="B13" s="1" t="s">
        <v>147</v>
      </c>
      <c r="C13">
        <v>8</v>
      </c>
      <c r="J13" s="20"/>
      <c r="K13" s="69" t="s">
        <v>156</v>
      </c>
      <c r="L13" s="69"/>
      <c r="M13" s="69"/>
      <c r="N13" s="24">
        <v>0.185</v>
      </c>
      <c r="O13" s="26"/>
      <c r="P13" s="25"/>
      <c r="Q13" s="25"/>
      <c r="R13" s="25"/>
      <c r="S13" s="25"/>
      <c r="T13" s="25"/>
      <c r="U13" s="25"/>
      <c r="V13" s="25"/>
      <c r="W13" s="25"/>
      <c r="X13" s="25"/>
      <c r="Y13" s="25"/>
      <c r="Z13" s="25"/>
      <c r="AA13" s="25"/>
      <c r="AB13" s="25"/>
    </row>
    <row r="14" spans="1:29" ht="16.2" thickBot="1">
      <c r="A14">
        <v>9</v>
      </c>
      <c r="B14" s="1">
        <v>15</v>
      </c>
      <c r="C14">
        <v>9</v>
      </c>
      <c r="J14" s="20" t="s">
        <v>733</v>
      </c>
      <c r="K14" s="68">
        <v>18</v>
      </c>
      <c r="L14" s="68"/>
      <c r="M14" s="68">
        <v>5</v>
      </c>
      <c r="N14" s="24">
        <v>0.215</v>
      </c>
      <c r="O14" s="26">
        <v>0.30599999999999999</v>
      </c>
      <c r="P14" s="25">
        <v>0.36</v>
      </c>
      <c r="Q14" s="25">
        <v>0.36</v>
      </c>
      <c r="R14" s="25">
        <v>0.36</v>
      </c>
      <c r="S14" s="25">
        <v>0.36</v>
      </c>
      <c r="T14" s="25">
        <v>0.33</v>
      </c>
      <c r="U14" s="25">
        <v>0.32</v>
      </c>
      <c r="V14" s="25">
        <v>0.125</v>
      </c>
      <c r="W14" s="25">
        <v>0.36</v>
      </c>
      <c r="X14" s="25">
        <v>0.153</v>
      </c>
      <c r="Y14" s="25">
        <v>0.5</v>
      </c>
      <c r="Z14" s="25">
        <v>0.09</v>
      </c>
      <c r="AA14" s="25">
        <v>0.11</v>
      </c>
      <c r="AB14" s="25">
        <v>0.125</v>
      </c>
    </row>
    <row r="15" spans="1:29" ht="16.2" thickBot="1">
      <c r="A15">
        <v>10</v>
      </c>
      <c r="B15" s="1" t="s">
        <v>150</v>
      </c>
      <c r="C15">
        <v>10</v>
      </c>
      <c r="J15" s="20"/>
      <c r="K15" s="69" t="s">
        <v>159</v>
      </c>
      <c r="L15" s="69"/>
      <c r="M15" s="69"/>
      <c r="N15" s="24">
        <v>0.215</v>
      </c>
      <c r="O15" s="26"/>
      <c r="P15" s="25"/>
      <c r="Q15" s="25"/>
      <c r="R15" s="25"/>
      <c r="S15" s="25"/>
      <c r="T15" s="25"/>
      <c r="U15" s="25"/>
      <c r="V15" s="25"/>
      <c r="W15" s="25"/>
      <c r="X15" s="25"/>
      <c r="Y15" s="25"/>
      <c r="Z15" s="25"/>
      <c r="AA15" s="25"/>
      <c r="AB15" s="25"/>
    </row>
    <row r="16" spans="1:29" ht="16.2" thickBot="1">
      <c r="A16">
        <v>11</v>
      </c>
      <c r="B16" s="1">
        <v>16</v>
      </c>
      <c r="C16">
        <v>11</v>
      </c>
      <c r="J16" s="20"/>
      <c r="K16" s="69">
        <v>19</v>
      </c>
      <c r="L16" s="69"/>
      <c r="M16" s="69"/>
      <c r="N16" s="24">
        <v>0.215</v>
      </c>
      <c r="O16" s="26"/>
      <c r="P16" s="25"/>
      <c r="Q16" s="25"/>
      <c r="R16" s="25"/>
      <c r="S16" s="25"/>
      <c r="T16" s="25"/>
      <c r="U16" s="25"/>
      <c r="V16" s="25"/>
      <c r="W16" s="25"/>
      <c r="X16" s="25"/>
      <c r="Y16" s="25"/>
      <c r="Z16" s="25"/>
      <c r="AA16" s="25"/>
      <c r="AB16" s="25"/>
    </row>
    <row r="17" spans="1:37" ht="16.2" thickBot="1">
      <c r="A17">
        <v>12</v>
      </c>
      <c r="B17" s="1" t="s">
        <v>153</v>
      </c>
      <c r="C17">
        <v>12</v>
      </c>
      <c r="J17" s="20"/>
      <c r="K17" s="69" t="s">
        <v>162</v>
      </c>
      <c r="L17" s="69"/>
      <c r="M17" s="69"/>
      <c r="N17" s="24">
        <v>0.215</v>
      </c>
      <c r="O17" s="26"/>
      <c r="P17" s="25"/>
      <c r="Q17" s="25"/>
      <c r="R17" s="25"/>
      <c r="S17" s="25"/>
      <c r="T17" s="25"/>
      <c r="U17" s="25"/>
      <c r="V17" s="25"/>
      <c r="W17" s="25"/>
      <c r="X17" s="25"/>
      <c r="Y17" s="25"/>
      <c r="Z17" s="25"/>
      <c r="AA17" s="25"/>
      <c r="AB17" s="25"/>
    </row>
    <row r="18" spans="1:37" ht="16.2" thickBot="1">
      <c r="A18">
        <v>13</v>
      </c>
      <c r="B18" s="1">
        <v>17</v>
      </c>
      <c r="C18">
        <v>13</v>
      </c>
      <c r="D18" s="24">
        <v>0.185</v>
      </c>
      <c r="J18" s="20" t="s">
        <v>1127</v>
      </c>
      <c r="K18" s="69">
        <v>20</v>
      </c>
      <c r="L18" s="69"/>
      <c r="M18" s="69">
        <v>6</v>
      </c>
      <c r="N18" s="24">
        <v>0.35700000000000004</v>
      </c>
      <c r="O18" s="26">
        <v>0.35700000000000004</v>
      </c>
      <c r="P18" s="25">
        <v>0.39100000000000001</v>
      </c>
      <c r="Q18" s="25">
        <v>0.39100000000000001</v>
      </c>
      <c r="R18" s="25">
        <v>0.39100000000000001</v>
      </c>
      <c r="S18" s="25">
        <v>0.39100000000000001</v>
      </c>
      <c r="T18" s="25">
        <v>0.35100000000000003</v>
      </c>
      <c r="U18" s="25">
        <v>0.38</v>
      </c>
      <c r="V18" s="25">
        <v>0.158</v>
      </c>
      <c r="W18" s="25">
        <v>0.39100000000000001</v>
      </c>
      <c r="X18" s="25">
        <v>0.25700000000000001</v>
      </c>
      <c r="Y18" s="25">
        <v>0.5</v>
      </c>
      <c r="Z18" s="25">
        <v>0</v>
      </c>
      <c r="AA18" s="25">
        <v>0</v>
      </c>
      <c r="AB18" s="25">
        <v>0.158</v>
      </c>
    </row>
    <row r="19" spans="1:37" ht="16.2" thickBot="1">
      <c r="A19">
        <v>14</v>
      </c>
      <c r="B19" s="1" t="s">
        <v>156</v>
      </c>
      <c r="C19">
        <v>14</v>
      </c>
      <c r="D19" s="24">
        <v>0.185</v>
      </c>
      <c r="J19" s="20"/>
      <c r="K19" s="69" t="s">
        <v>165</v>
      </c>
      <c r="L19" s="69"/>
      <c r="M19" s="69"/>
      <c r="N19" s="24"/>
      <c r="O19" s="26"/>
      <c r="P19" s="25"/>
      <c r="Q19" s="25"/>
      <c r="R19" s="25"/>
      <c r="S19" s="25"/>
      <c r="T19" s="25"/>
      <c r="U19" s="25"/>
      <c r="V19" s="25"/>
      <c r="W19" s="25"/>
      <c r="X19" s="25"/>
      <c r="Y19" s="25"/>
      <c r="Z19" s="25"/>
      <c r="AA19" s="25"/>
      <c r="AB19" s="25"/>
    </row>
    <row r="20" spans="1:37" ht="16.2" thickBot="1">
      <c r="A20">
        <v>15</v>
      </c>
      <c r="B20" s="1">
        <v>18</v>
      </c>
      <c r="C20">
        <v>15</v>
      </c>
      <c r="D20" s="24">
        <v>0.215</v>
      </c>
      <c r="J20" s="20" t="s">
        <v>735</v>
      </c>
      <c r="K20" s="68"/>
      <c r="L20" s="68"/>
      <c r="M20" s="68">
        <v>7</v>
      </c>
      <c r="N20" s="24">
        <v>0.35200000000000004</v>
      </c>
      <c r="O20" s="26">
        <v>0.35200000000000004</v>
      </c>
      <c r="P20" s="25">
        <v>0.39</v>
      </c>
      <c r="Q20" s="25">
        <v>0.39</v>
      </c>
      <c r="R20" s="25">
        <v>0.39</v>
      </c>
      <c r="S20" s="25">
        <v>0.39</v>
      </c>
      <c r="T20" s="25">
        <v>0.34299999999999997</v>
      </c>
      <c r="U20" s="25">
        <v>0.3</v>
      </c>
      <c r="V20" s="25">
        <v>0.16500000000000001</v>
      </c>
      <c r="W20" s="25">
        <v>0.39</v>
      </c>
      <c r="X20" s="25">
        <v>0.32100000000000001</v>
      </c>
      <c r="Y20" s="25">
        <v>0</v>
      </c>
      <c r="Z20" s="25">
        <v>0</v>
      </c>
      <c r="AA20" s="25">
        <v>0</v>
      </c>
      <c r="AB20" s="25">
        <v>0.16500000000000001</v>
      </c>
    </row>
    <row r="21" spans="1:37" ht="16.2" thickBot="1">
      <c r="A21">
        <v>16</v>
      </c>
      <c r="B21" s="1" t="s">
        <v>159</v>
      </c>
      <c r="C21">
        <v>16</v>
      </c>
      <c r="D21" s="24">
        <v>0.215</v>
      </c>
      <c r="J21" s="20" t="s">
        <v>1128</v>
      </c>
      <c r="K21" s="69"/>
      <c r="L21" s="69"/>
      <c r="M21" s="69">
        <v>8</v>
      </c>
      <c r="N21" s="27">
        <v>0.42</v>
      </c>
      <c r="O21" s="29">
        <v>0.42</v>
      </c>
      <c r="P21" s="28">
        <v>0.42</v>
      </c>
      <c r="Q21" s="28">
        <v>0.42</v>
      </c>
      <c r="R21" s="28">
        <v>0.42</v>
      </c>
      <c r="S21" s="28">
        <v>0.42</v>
      </c>
      <c r="T21" s="28">
        <v>0.42</v>
      </c>
      <c r="U21" s="28">
        <v>0.42</v>
      </c>
      <c r="V21" s="28">
        <v>0</v>
      </c>
      <c r="W21" s="28">
        <v>0.42</v>
      </c>
      <c r="X21" s="28">
        <v>0.42</v>
      </c>
      <c r="Y21" s="28">
        <v>0</v>
      </c>
      <c r="Z21" s="28">
        <v>0</v>
      </c>
      <c r="AA21" s="28">
        <v>0</v>
      </c>
      <c r="AB21" s="28">
        <v>0</v>
      </c>
    </row>
    <row r="22" spans="1:37" ht="15.6">
      <c r="A22">
        <v>17</v>
      </c>
      <c r="B22" s="1">
        <v>19</v>
      </c>
      <c r="C22">
        <v>17</v>
      </c>
      <c r="D22" s="24">
        <v>0.215</v>
      </c>
    </row>
    <row r="23" spans="1:37" ht="15.6">
      <c r="A23">
        <v>18</v>
      </c>
      <c r="B23" s="1" t="s">
        <v>162</v>
      </c>
      <c r="C23">
        <v>18</v>
      </c>
      <c r="D23" s="24">
        <v>0.215</v>
      </c>
    </row>
    <row r="24" spans="1:37" ht="16.2" thickBot="1">
      <c r="A24">
        <v>19</v>
      </c>
      <c r="B24" s="1">
        <v>20</v>
      </c>
      <c r="C24">
        <v>19</v>
      </c>
      <c r="D24" s="24">
        <v>0.35700000000000004</v>
      </c>
      <c r="J24" s="66" t="s">
        <v>1129</v>
      </c>
      <c r="K24" s="66"/>
      <c r="L24" s="66"/>
      <c r="M24" s="66"/>
      <c r="N24" t="s">
        <v>1130</v>
      </c>
    </row>
    <row r="25" spans="1:37" ht="16.2" thickBot="1">
      <c r="A25">
        <v>20</v>
      </c>
      <c r="B25" s="1" t="s">
        <v>165</v>
      </c>
      <c r="C25">
        <v>20</v>
      </c>
      <c r="D25" s="24">
        <v>0.35700000000000004</v>
      </c>
      <c r="J25" s="30"/>
      <c r="K25" s="30"/>
      <c r="L25" s="30"/>
      <c r="M25" s="30"/>
      <c r="N25" t="s">
        <v>102</v>
      </c>
      <c r="O25" s="30" t="s">
        <v>103</v>
      </c>
      <c r="P25" s="30" t="s">
        <v>104</v>
      </c>
      <c r="Q25" s="31" t="s">
        <v>105</v>
      </c>
      <c r="R25" s="31" t="s">
        <v>106</v>
      </c>
      <c r="S25" s="31" t="s">
        <v>107</v>
      </c>
      <c r="T25" s="30" t="s">
        <v>200</v>
      </c>
      <c r="U25" s="20" t="s">
        <v>109</v>
      </c>
      <c r="V25" s="20" t="s">
        <v>110</v>
      </c>
      <c r="W25" s="31" t="s">
        <v>112</v>
      </c>
    </row>
    <row r="26" spans="1:37" ht="15.6">
      <c r="A26">
        <v>21</v>
      </c>
      <c r="B26" s="1">
        <v>21</v>
      </c>
      <c r="C26">
        <v>21</v>
      </c>
      <c r="D26" s="24">
        <v>0</v>
      </c>
      <c r="J26" s="30"/>
      <c r="K26" s="30"/>
      <c r="L26" s="30"/>
      <c r="M26" s="30"/>
      <c r="N26" s="30">
        <v>1</v>
      </c>
      <c r="O26" s="30">
        <v>2</v>
      </c>
      <c r="P26" s="30">
        <v>3</v>
      </c>
      <c r="Q26" s="30">
        <v>4</v>
      </c>
      <c r="R26" s="30">
        <v>5</v>
      </c>
      <c r="S26" s="30">
        <v>6</v>
      </c>
      <c r="T26" s="30">
        <v>7</v>
      </c>
      <c r="U26" s="30">
        <v>8</v>
      </c>
      <c r="V26" s="30">
        <v>9</v>
      </c>
      <c r="W26" s="30">
        <v>10</v>
      </c>
    </row>
    <row r="27" spans="1:37" ht="15.6">
      <c r="A27">
        <v>22</v>
      </c>
      <c r="B27" s="1" t="s">
        <v>168</v>
      </c>
      <c r="C27">
        <v>22</v>
      </c>
      <c r="J27" s="30" t="s">
        <v>1131</v>
      </c>
      <c r="K27" s="30"/>
      <c r="L27" s="30"/>
      <c r="M27" s="30">
        <v>1</v>
      </c>
      <c r="N27" s="35">
        <v>0</v>
      </c>
      <c r="O27" s="35">
        <v>0</v>
      </c>
      <c r="P27" s="35">
        <v>0</v>
      </c>
      <c r="Q27" s="35">
        <v>0</v>
      </c>
      <c r="R27" s="35">
        <v>0</v>
      </c>
      <c r="S27" s="35">
        <v>0</v>
      </c>
      <c r="T27" s="35">
        <v>0</v>
      </c>
      <c r="U27" s="35">
        <v>0</v>
      </c>
      <c r="V27" s="35">
        <v>0</v>
      </c>
      <c r="W27" s="35">
        <v>0</v>
      </c>
    </row>
    <row r="28" spans="1:37" ht="18">
      <c r="A28">
        <v>23</v>
      </c>
      <c r="B28" s="1">
        <v>22</v>
      </c>
      <c r="C28">
        <v>23</v>
      </c>
      <c r="J28" s="30" t="s">
        <v>1132</v>
      </c>
      <c r="K28" s="30"/>
      <c r="L28" s="30"/>
      <c r="M28" s="30">
        <v>2</v>
      </c>
      <c r="N28" s="35">
        <v>0</v>
      </c>
      <c r="O28" s="35">
        <v>0.04</v>
      </c>
      <c r="P28" s="35">
        <v>0.04</v>
      </c>
      <c r="Q28" s="35">
        <v>0.04</v>
      </c>
      <c r="R28" s="35">
        <v>0.04</v>
      </c>
      <c r="S28" s="35">
        <v>0.04</v>
      </c>
      <c r="T28" s="35">
        <v>0.04</v>
      </c>
      <c r="U28" s="5">
        <v>0</v>
      </c>
      <c r="V28" s="5">
        <v>0</v>
      </c>
      <c r="W28" s="35">
        <v>0.04</v>
      </c>
      <c r="AD28" t="s">
        <v>736</v>
      </c>
      <c r="AE28" s="32" t="s">
        <v>1133</v>
      </c>
      <c r="AF28" s="33"/>
      <c r="AG28" s="34"/>
      <c r="AH28" s="34"/>
      <c r="AI28" s="34"/>
      <c r="AJ28" s="34"/>
      <c r="AK28" s="34"/>
    </row>
    <row r="29" spans="1:37" ht="18">
      <c r="A29">
        <v>24</v>
      </c>
      <c r="B29" s="1" t="s">
        <v>171</v>
      </c>
      <c r="C29">
        <v>24</v>
      </c>
      <c r="J29" s="30" t="s">
        <v>1134</v>
      </c>
      <c r="K29" s="30"/>
      <c r="L29" s="30"/>
      <c r="M29" s="30">
        <v>3</v>
      </c>
      <c r="N29" s="35">
        <v>0</v>
      </c>
      <c r="O29" s="35">
        <v>0.05</v>
      </c>
      <c r="P29" s="35">
        <v>0.05</v>
      </c>
      <c r="Q29" s="35">
        <v>0.05</v>
      </c>
      <c r="R29" s="35">
        <v>0.05</v>
      </c>
      <c r="S29" s="35">
        <v>0.05</v>
      </c>
      <c r="T29" s="35">
        <v>0.05</v>
      </c>
      <c r="U29" s="5">
        <v>0</v>
      </c>
      <c r="V29" s="5">
        <v>0</v>
      </c>
      <c r="W29" s="35">
        <v>0.05</v>
      </c>
      <c r="AD29" t="s">
        <v>1135</v>
      </c>
      <c r="AE29" s="32" t="s">
        <v>1136</v>
      </c>
      <c r="AF29" s="34"/>
      <c r="AG29" s="34"/>
      <c r="AH29" s="34"/>
      <c r="AI29" s="34"/>
      <c r="AJ29" s="34"/>
      <c r="AK29" s="34"/>
    </row>
    <row r="30" spans="1:37" ht="18">
      <c r="A30">
        <v>25</v>
      </c>
      <c r="B30" s="1">
        <v>23</v>
      </c>
      <c r="C30">
        <v>25</v>
      </c>
      <c r="J30" s="30" t="s">
        <v>1137</v>
      </c>
      <c r="K30" s="30"/>
      <c r="L30" s="30"/>
      <c r="M30" s="30">
        <v>4</v>
      </c>
      <c r="N30" s="35">
        <v>0</v>
      </c>
      <c r="O30" s="35">
        <v>0.2</v>
      </c>
      <c r="P30" s="37">
        <v>0.19</v>
      </c>
      <c r="Q30" s="37">
        <v>0.2</v>
      </c>
      <c r="R30" s="37">
        <v>0.2</v>
      </c>
      <c r="S30" s="37">
        <v>0.2</v>
      </c>
      <c r="T30" s="35">
        <v>0.2</v>
      </c>
      <c r="U30" s="5">
        <v>0</v>
      </c>
      <c r="V30" s="5">
        <v>0</v>
      </c>
      <c r="W30" s="37">
        <v>0.2</v>
      </c>
      <c r="AE30" s="32"/>
      <c r="AF30" s="34"/>
      <c r="AG30" s="34"/>
      <c r="AH30" s="34"/>
      <c r="AI30" s="34"/>
      <c r="AJ30" s="34"/>
      <c r="AK30" s="34"/>
    </row>
    <row r="31" spans="1:37" ht="15.6">
      <c r="A31">
        <v>26</v>
      </c>
      <c r="B31" s="1" t="s">
        <v>174</v>
      </c>
      <c r="C31">
        <v>26</v>
      </c>
      <c r="J31" s="30" t="s">
        <v>1138</v>
      </c>
      <c r="K31" s="30"/>
      <c r="L31" s="30"/>
      <c r="M31" s="30">
        <v>5</v>
      </c>
      <c r="N31" s="35">
        <v>0</v>
      </c>
      <c r="O31" s="35">
        <v>0.2</v>
      </c>
      <c r="P31" s="37">
        <v>0.19</v>
      </c>
      <c r="Q31" s="37">
        <v>0.2</v>
      </c>
      <c r="R31" s="37">
        <v>0.2</v>
      </c>
      <c r="S31" s="37">
        <v>0.2</v>
      </c>
      <c r="T31" s="35">
        <v>0.2</v>
      </c>
      <c r="U31" s="5">
        <v>0</v>
      </c>
      <c r="V31" s="5">
        <v>0</v>
      </c>
      <c r="W31" s="37">
        <v>0.2</v>
      </c>
      <c r="AK31" s="34"/>
    </row>
    <row r="32" spans="1:37" ht="15.6">
      <c r="A32">
        <v>27</v>
      </c>
      <c r="B32" s="1">
        <v>24</v>
      </c>
      <c r="C32">
        <v>27</v>
      </c>
      <c r="J32" s="30" t="s">
        <v>1139</v>
      </c>
      <c r="K32" s="30"/>
      <c r="L32" s="30"/>
      <c r="M32" s="30">
        <v>6</v>
      </c>
      <c r="N32" s="35">
        <v>0</v>
      </c>
      <c r="O32" s="35">
        <v>0.2</v>
      </c>
      <c r="P32" s="35">
        <v>0.2</v>
      </c>
      <c r="Q32" s="35">
        <v>0.2</v>
      </c>
      <c r="R32" s="35">
        <v>0.2</v>
      </c>
      <c r="S32" s="35">
        <v>0.2</v>
      </c>
      <c r="T32" s="35">
        <v>0.2</v>
      </c>
      <c r="U32" s="5">
        <v>0</v>
      </c>
      <c r="V32" s="5">
        <v>0</v>
      </c>
      <c r="W32" s="35">
        <v>0.2</v>
      </c>
    </row>
    <row r="33" spans="1:38" ht="15.6">
      <c r="A33">
        <v>28</v>
      </c>
      <c r="B33" s="1" t="s">
        <v>177</v>
      </c>
      <c r="C33">
        <v>28</v>
      </c>
      <c r="J33" s="30" t="s">
        <v>1140</v>
      </c>
      <c r="K33" s="30"/>
      <c r="L33" s="30"/>
      <c r="M33" s="30">
        <v>7</v>
      </c>
      <c r="N33" s="35">
        <v>0</v>
      </c>
      <c r="O33" s="35">
        <v>0.2</v>
      </c>
      <c r="P33" s="35">
        <v>0.2</v>
      </c>
      <c r="Q33" s="35">
        <v>0.2</v>
      </c>
      <c r="R33" s="35">
        <v>0.2</v>
      </c>
      <c r="S33" s="35">
        <v>0.2</v>
      </c>
      <c r="T33" s="35">
        <v>0.2</v>
      </c>
      <c r="U33" s="5">
        <v>0</v>
      </c>
      <c r="V33" s="5">
        <v>0</v>
      </c>
      <c r="W33" s="35">
        <v>0.2</v>
      </c>
    </row>
    <row r="34" spans="1:38" ht="15.6">
      <c r="A34">
        <v>29</v>
      </c>
      <c r="B34" s="1">
        <v>25</v>
      </c>
      <c r="C34">
        <v>29</v>
      </c>
      <c r="J34" s="30" t="s">
        <v>1102</v>
      </c>
      <c r="K34" s="30"/>
      <c r="L34" s="30"/>
      <c r="M34" s="30">
        <v>8</v>
      </c>
      <c r="N34" s="35">
        <v>0</v>
      </c>
      <c r="O34" s="35">
        <v>0.2</v>
      </c>
      <c r="P34" s="37">
        <v>0.27</v>
      </c>
      <c r="Q34" s="37">
        <v>0.27</v>
      </c>
      <c r="R34" s="37">
        <v>0.27</v>
      </c>
      <c r="S34" s="37">
        <v>0.27</v>
      </c>
      <c r="T34" s="35">
        <v>0.25</v>
      </c>
      <c r="U34" s="5">
        <v>0</v>
      </c>
      <c r="V34" s="5">
        <v>0</v>
      </c>
      <c r="W34" s="37">
        <v>0.27</v>
      </c>
    </row>
    <row r="35" spans="1:38" ht="15.6">
      <c r="A35">
        <v>30</v>
      </c>
      <c r="B35" s="1" t="s">
        <v>180</v>
      </c>
      <c r="C35">
        <v>30</v>
      </c>
      <c r="J35" s="30" t="s">
        <v>1141</v>
      </c>
      <c r="K35" s="599"/>
      <c r="L35" s="599"/>
      <c r="M35" s="54"/>
      <c r="N35" s="35">
        <v>0</v>
      </c>
      <c r="O35" s="35">
        <v>0.2</v>
      </c>
      <c r="P35" s="37">
        <v>0.19</v>
      </c>
      <c r="Q35" s="37">
        <v>0.2</v>
      </c>
      <c r="R35" s="37">
        <v>0.2</v>
      </c>
      <c r="S35" s="37">
        <v>0.2</v>
      </c>
      <c r="T35" s="35">
        <v>0.2</v>
      </c>
      <c r="U35" s="5">
        <v>0</v>
      </c>
      <c r="V35" s="5">
        <v>0</v>
      </c>
      <c r="W35" s="37">
        <v>0.2</v>
      </c>
    </row>
    <row r="36" spans="1:38" ht="15.6">
      <c r="A36">
        <v>31</v>
      </c>
      <c r="B36" s="1" t="s">
        <v>702</v>
      </c>
      <c r="C36">
        <v>31</v>
      </c>
      <c r="J36" s="30" t="s">
        <v>1142</v>
      </c>
      <c r="K36" s="30"/>
      <c r="L36" s="30"/>
      <c r="M36" s="30"/>
      <c r="N36" s="35">
        <v>0</v>
      </c>
      <c r="O36" s="35">
        <v>0.2</v>
      </c>
      <c r="P36" s="37">
        <v>0.24</v>
      </c>
      <c r="Q36" s="37">
        <v>0.24</v>
      </c>
      <c r="R36" s="37">
        <v>0.24</v>
      </c>
      <c r="S36" s="37">
        <v>0.24</v>
      </c>
      <c r="T36" s="35">
        <v>0.2</v>
      </c>
      <c r="U36" s="5">
        <v>0</v>
      </c>
      <c r="V36" s="5">
        <v>0</v>
      </c>
      <c r="W36" s="37">
        <v>0.24</v>
      </c>
    </row>
    <row r="37" spans="1:38" ht="15.6">
      <c r="A37">
        <v>32</v>
      </c>
      <c r="B37" s="1" t="s">
        <v>702</v>
      </c>
      <c r="C37">
        <v>32</v>
      </c>
      <c r="J37" s="30" t="s">
        <v>1143</v>
      </c>
      <c r="K37" s="30"/>
      <c r="L37" s="30"/>
      <c r="M37" s="30"/>
      <c r="N37" s="35">
        <v>0</v>
      </c>
      <c r="O37" s="35">
        <v>0.2</v>
      </c>
      <c r="P37" s="37">
        <v>0.28999999999999998</v>
      </c>
      <c r="Q37" s="37">
        <v>0.28999999999999998</v>
      </c>
      <c r="R37" s="37">
        <v>0.28999999999999998</v>
      </c>
      <c r="S37" s="37">
        <v>0.28999999999999998</v>
      </c>
      <c r="T37" s="37">
        <v>0.25</v>
      </c>
      <c r="U37" s="5">
        <v>0</v>
      </c>
      <c r="V37" s="5">
        <v>0</v>
      </c>
      <c r="W37" s="37">
        <v>0.28999999999999998</v>
      </c>
      <c r="AE37" t="s">
        <v>1123</v>
      </c>
      <c r="AF37" s="592" t="s">
        <v>1144</v>
      </c>
      <c r="AG37" s="592"/>
      <c r="AH37" s="592"/>
      <c r="AI37" s="592"/>
      <c r="AJ37" s="592"/>
      <c r="AK37" s="592"/>
      <c r="AL37" s="592"/>
    </row>
    <row r="38" spans="1:38" ht="15.6">
      <c r="A38">
        <v>33</v>
      </c>
      <c r="B38" s="1">
        <v>34</v>
      </c>
      <c r="C38">
        <v>33</v>
      </c>
      <c r="J38" s="54"/>
      <c r="K38" s="54"/>
      <c r="L38" s="54"/>
      <c r="M38" s="54"/>
      <c r="N38" s="36"/>
      <c r="O38" s="36"/>
      <c r="P38" s="38"/>
      <c r="Q38" s="38"/>
      <c r="R38" s="38"/>
      <c r="S38" s="38"/>
      <c r="T38" s="38"/>
      <c r="AE38" t="s">
        <v>139</v>
      </c>
      <c r="AF38" s="592"/>
      <c r="AG38" s="592"/>
      <c r="AH38" s="592"/>
      <c r="AI38" s="592"/>
      <c r="AJ38" s="592"/>
      <c r="AK38" s="592"/>
      <c r="AL38" s="592"/>
    </row>
    <row r="39" spans="1:38" ht="15.6">
      <c r="A39">
        <v>34</v>
      </c>
      <c r="B39" s="1" t="s">
        <v>187</v>
      </c>
      <c r="C39">
        <v>34</v>
      </c>
      <c r="J39" s="54"/>
      <c r="K39" s="54"/>
      <c r="L39" s="54"/>
      <c r="M39" s="54"/>
      <c r="N39" s="36"/>
      <c r="O39" s="36"/>
      <c r="P39" s="38"/>
      <c r="Q39" s="38"/>
      <c r="R39" s="38"/>
      <c r="S39" s="38"/>
      <c r="T39" s="38"/>
      <c r="AE39" t="s">
        <v>734</v>
      </c>
    </row>
    <row r="40" spans="1:38">
      <c r="A40">
        <v>35</v>
      </c>
      <c r="B40" s="1">
        <v>35</v>
      </c>
      <c r="C40">
        <v>35</v>
      </c>
      <c r="AE40" t="s">
        <v>735</v>
      </c>
    </row>
    <row r="41" spans="1:38" ht="16.2" thickBot="1">
      <c r="A41">
        <v>36</v>
      </c>
      <c r="B41" s="1" t="s">
        <v>188</v>
      </c>
      <c r="C41">
        <v>36</v>
      </c>
      <c r="J41" s="65" t="s">
        <v>1145</v>
      </c>
      <c r="K41" s="65"/>
      <c r="L41" s="65"/>
      <c r="M41" s="65"/>
    </row>
    <row r="42" spans="1:38" ht="16.2" thickBot="1">
      <c r="A42">
        <v>37</v>
      </c>
      <c r="B42" s="1">
        <v>36</v>
      </c>
      <c r="C42">
        <v>37</v>
      </c>
      <c r="J42" s="39" t="s">
        <v>1146</v>
      </c>
      <c r="K42" s="70"/>
      <c r="L42" s="70"/>
      <c r="M42" s="70"/>
      <c r="N42" s="40" t="s">
        <v>1147</v>
      </c>
      <c r="O42" s="41" t="s">
        <v>1148</v>
      </c>
      <c r="P42" s="41" t="s">
        <v>1149</v>
      </c>
      <c r="Q42" s="41" t="s">
        <v>1150</v>
      </c>
    </row>
    <row r="43" spans="1:38" ht="15.6">
      <c r="A43">
        <v>38</v>
      </c>
      <c r="B43" s="1" t="s">
        <v>189</v>
      </c>
      <c r="C43">
        <v>38</v>
      </c>
      <c r="J43" s="42">
        <v>7</v>
      </c>
      <c r="K43" s="71"/>
      <c r="L43" s="71"/>
      <c r="M43" s="71"/>
      <c r="N43" s="43">
        <v>0.35</v>
      </c>
      <c r="O43" s="44">
        <v>0.35</v>
      </c>
      <c r="P43" s="44">
        <v>0.17</v>
      </c>
      <c r="Q43" s="45">
        <v>0.19</v>
      </c>
    </row>
    <row r="44" spans="1:38" ht="15.6">
      <c r="A44">
        <v>39</v>
      </c>
      <c r="B44" s="1">
        <v>37</v>
      </c>
      <c r="C44">
        <v>39</v>
      </c>
      <c r="J44" s="46">
        <v>8</v>
      </c>
      <c r="K44" s="72"/>
      <c r="L44" s="72"/>
      <c r="M44" s="72"/>
      <c r="N44" s="47">
        <v>0.35</v>
      </c>
      <c r="O44" s="35">
        <v>0.35</v>
      </c>
      <c r="P44" s="35">
        <v>0.4</v>
      </c>
      <c r="Q44" s="48">
        <v>0.44</v>
      </c>
    </row>
    <row r="45" spans="1:38" ht="15.6">
      <c r="A45">
        <v>40</v>
      </c>
      <c r="B45" s="1" t="s">
        <v>190</v>
      </c>
      <c r="C45">
        <v>40</v>
      </c>
      <c r="J45" s="46">
        <v>9</v>
      </c>
      <c r="K45" s="72"/>
      <c r="L45" s="72"/>
      <c r="M45" s="72"/>
      <c r="N45" s="47">
        <v>0.35</v>
      </c>
      <c r="O45" s="35">
        <v>0.39</v>
      </c>
      <c r="P45" s="35">
        <v>0.49</v>
      </c>
      <c r="Q45" s="48">
        <v>0.53</v>
      </c>
    </row>
    <row r="46" spans="1:38" ht="15.6">
      <c r="A46">
        <v>41</v>
      </c>
      <c r="B46" s="1">
        <v>38</v>
      </c>
      <c r="C46">
        <v>41</v>
      </c>
      <c r="J46" s="46">
        <v>10</v>
      </c>
      <c r="K46" s="72"/>
      <c r="L46" s="72"/>
      <c r="M46" s="72"/>
      <c r="N46" s="47">
        <v>0.39</v>
      </c>
      <c r="O46" s="35">
        <v>0.45</v>
      </c>
      <c r="P46" s="35">
        <v>0.53</v>
      </c>
      <c r="Q46" s="48">
        <v>0.56000000000000005</v>
      </c>
    </row>
    <row r="47" spans="1:38" ht="15.6">
      <c r="A47">
        <v>42</v>
      </c>
      <c r="B47" s="1" t="s">
        <v>191</v>
      </c>
      <c r="C47">
        <v>42</v>
      </c>
      <c r="J47" s="46">
        <v>11</v>
      </c>
      <c r="K47" s="72"/>
      <c r="L47" s="72"/>
      <c r="M47" s="72"/>
      <c r="N47" s="47">
        <v>0.41</v>
      </c>
      <c r="O47" s="35">
        <v>0.48</v>
      </c>
      <c r="P47" s="35">
        <v>0.56999999999999995</v>
      </c>
      <c r="Q47" s="48">
        <v>0.61</v>
      </c>
    </row>
    <row r="48" spans="1:38" ht="15.6">
      <c r="A48">
        <v>43</v>
      </c>
      <c r="B48" s="1">
        <v>39</v>
      </c>
      <c r="C48">
        <v>43</v>
      </c>
      <c r="J48" s="46" t="s">
        <v>1151</v>
      </c>
      <c r="K48" s="72"/>
      <c r="L48" s="72"/>
      <c r="M48" s="72"/>
      <c r="N48" s="47">
        <v>0.44</v>
      </c>
      <c r="O48" s="35">
        <v>0.51</v>
      </c>
      <c r="P48" s="35">
        <v>0.61</v>
      </c>
      <c r="Q48" s="48">
        <v>0.64</v>
      </c>
      <c r="R48" s="49" t="s">
        <v>1152</v>
      </c>
    </row>
    <row r="49" spans="1:21" ht="15.6">
      <c r="A49">
        <v>44</v>
      </c>
      <c r="B49" s="1" t="s">
        <v>192</v>
      </c>
      <c r="C49">
        <v>44</v>
      </c>
      <c r="J49" s="46" t="s">
        <v>1153</v>
      </c>
      <c r="K49" s="72"/>
      <c r="L49" s="72"/>
      <c r="M49" s="72"/>
      <c r="N49" s="47">
        <v>0.5</v>
      </c>
      <c r="O49" s="35">
        <v>0.55000000000000004</v>
      </c>
      <c r="P49" s="35">
        <v>0.66</v>
      </c>
      <c r="Q49" s="48">
        <v>0.7</v>
      </c>
    </row>
    <row r="50" spans="1:21" ht="15.6">
      <c r="A50">
        <v>45</v>
      </c>
      <c r="B50" s="1">
        <v>40</v>
      </c>
      <c r="C50">
        <v>45</v>
      </c>
      <c r="J50" s="46" t="s">
        <v>1154</v>
      </c>
      <c r="K50" s="72"/>
      <c r="L50" s="72"/>
      <c r="M50" s="72"/>
      <c r="N50" s="47">
        <v>0.53</v>
      </c>
      <c r="O50" s="35">
        <v>0.59</v>
      </c>
      <c r="P50" s="35">
        <v>0.68</v>
      </c>
      <c r="Q50" s="48">
        <v>0.74</v>
      </c>
    </row>
    <row r="51" spans="1:21" ht="15.6">
      <c r="A51">
        <v>46</v>
      </c>
      <c r="B51" s="1" t="s">
        <v>193</v>
      </c>
      <c r="C51">
        <v>46</v>
      </c>
      <c r="J51" s="46">
        <v>23</v>
      </c>
      <c r="K51" s="72"/>
      <c r="L51" s="72"/>
      <c r="M51" s="72"/>
      <c r="N51" s="47">
        <v>0.5</v>
      </c>
      <c r="O51" s="35">
        <v>0.55000000000000004</v>
      </c>
      <c r="P51" s="35">
        <v>0.66</v>
      </c>
      <c r="Q51" s="48">
        <v>0.7</v>
      </c>
    </row>
    <row r="52" spans="1:21" ht="15.6">
      <c r="A52">
        <v>47</v>
      </c>
      <c r="B52" s="1">
        <v>41</v>
      </c>
      <c r="C52">
        <v>47</v>
      </c>
      <c r="J52" s="46">
        <v>25</v>
      </c>
      <c r="K52" s="72"/>
      <c r="L52" s="72"/>
      <c r="M52" s="72"/>
      <c r="N52" s="47">
        <v>0.53</v>
      </c>
      <c r="O52" s="35">
        <v>0.59</v>
      </c>
      <c r="P52" s="35">
        <v>0.68</v>
      </c>
      <c r="Q52" s="48">
        <v>0.74</v>
      </c>
    </row>
    <row r="53" spans="1:21" ht="15.6">
      <c r="A53">
        <v>48</v>
      </c>
      <c r="B53" s="1" t="s">
        <v>194</v>
      </c>
      <c r="C53">
        <v>48</v>
      </c>
      <c r="J53" s="46">
        <v>28</v>
      </c>
      <c r="K53" s="72"/>
      <c r="L53" s="72"/>
      <c r="M53" s="72"/>
      <c r="N53" s="47">
        <v>0.59</v>
      </c>
      <c r="O53" s="35">
        <v>0.62</v>
      </c>
      <c r="P53" s="35">
        <v>0.71</v>
      </c>
      <c r="Q53" s="48">
        <v>0.78</v>
      </c>
    </row>
    <row r="54" spans="1:21" ht="15.6">
      <c r="A54">
        <v>49</v>
      </c>
      <c r="B54" s="1">
        <v>42</v>
      </c>
      <c r="C54">
        <v>49</v>
      </c>
      <c r="J54" s="46">
        <v>30</v>
      </c>
      <c r="K54" s="72"/>
      <c r="L54" s="72"/>
      <c r="M54" s="72"/>
      <c r="N54" s="47">
        <v>0.64</v>
      </c>
      <c r="O54" s="35">
        <v>0.7</v>
      </c>
      <c r="P54" s="35">
        <v>0.8</v>
      </c>
      <c r="Q54" s="48">
        <v>0.88</v>
      </c>
    </row>
    <row r="55" spans="1:21" ht="15.6">
      <c r="A55">
        <v>50</v>
      </c>
      <c r="B55" s="1" t="s">
        <v>195</v>
      </c>
      <c r="C55">
        <v>50</v>
      </c>
      <c r="J55" s="46">
        <v>32</v>
      </c>
      <c r="K55" s="72"/>
      <c r="L55" s="72"/>
      <c r="M55" s="72"/>
      <c r="N55" s="47">
        <v>0.64</v>
      </c>
      <c r="O55" s="35">
        <v>0.75</v>
      </c>
      <c r="P55" s="35">
        <v>0.84</v>
      </c>
      <c r="Q55" s="48">
        <v>0.92</v>
      </c>
    </row>
    <row r="56" spans="1:21" ht="16.2" thickBot="1">
      <c r="A56">
        <v>51</v>
      </c>
      <c r="B56" s="1">
        <v>43</v>
      </c>
      <c r="C56">
        <v>51</v>
      </c>
      <c r="J56" s="50">
        <v>34</v>
      </c>
      <c r="K56" s="73"/>
      <c r="L56" s="73"/>
      <c r="M56" s="73"/>
      <c r="N56" s="51">
        <v>0.64</v>
      </c>
      <c r="O56" s="52">
        <v>0.8</v>
      </c>
      <c r="P56" s="52">
        <v>0.89</v>
      </c>
      <c r="Q56" s="53">
        <v>0.98</v>
      </c>
    </row>
    <row r="57" spans="1:21">
      <c r="A57">
        <v>52</v>
      </c>
      <c r="B57" s="1" t="s">
        <v>196</v>
      </c>
      <c r="C57">
        <v>52</v>
      </c>
    </row>
    <row r="58" spans="1:21">
      <c r="A58">
        <v>53</v>
      </c>
      <c r="B58" s="1">
        <v>44</v>
      </c>
      <c r="C58">
        <v>53</v>
      </c>
    </row>
    <row r="59" spans="1:21" ht="15.6">
      <c r="A59">
        <v>54</v>
      </c>
      <c r="B59" s="1" t="s">
        <v>197</v>
      </c>
      <c r="C59">
        <v>54</v>
      </c>
      <c r="J59" s="54" t="s">
        <v>1155</v>
      </c>
      <c r="K59" s="54"/>
      <c r="L59" s="54"/>
      <c r="M59" s="54"/>
      <c r="N59" s="54" t="s">
        <v>1130</v>
      </c>
      <c r="O59" s="54"/>
      <c r="P59" s="54"/>
    </row>
    <row r="60" spans="1:21" ht="16.2" thickBot="1">
      <c r="A60">
        <v>55</v>
      </c>
      <c r="B60" s="1">
        <v>45</v>
      </c>
      <c r="C60">
        <v>55</v>
      </c>
      <c r="J60" s="54"/>
      <c r="K60" s="54"/>
      <c r="L60" s="54"/>
      <c r="M60" s="54"/>
      <c r="N60" s="54"/>
      <c r="O60" s="54"/>
      <c r="P60" s="54"/>
      <c r="Q60" s="54"/>
    </row>
    <row r="61" spans="1:21" ht="16.2" thickBot="1">
      <c r="A61">
        <v>56</v>
      </c>
      <c r="B61" s="1" t="s">
        <v>198</v>
      </c>
      <c r="C61">
        <v>56</v>
      </c>
      <c r="J61" s="20"/>
      <c r="K61" s="55"/>
      <c r="L61" s="55"/>
      <c r="M61" s="55"/>
      <c r="N61" s="55" t="s">
        <v>1132</v>
      </c>
      <c r="O61" s="56" t="s">
        <v>1134</v>
      </c>
      <c r="P61" s="20" t="s">
        <v>1138</v>
      </c>
      <c r="Q61" s="55" t="s">
        <v>1141</v>
      </c>
      <c r="R61" s="55" t="s">
        <v>1156</v>
      </c>
      <c r="S61" s="55" t="s">
        <v>1157</v>
      </c>
      <c r="T61" s="55" t="s">
        <v>1142</v>
      </c>
      <c r="U61" s="20" t="s">
        <v>1143</v>
      </c>
    </row>
    <row r="62" spans="1:21" ht="16.2" thickBot="1">
      <c r="A62">
        <v>57</v>
      </c>
      <c r="B62" s="1">
        <v>46</v>
      </c>
      <c r="C62">
        <v>57</v>
      </c>
      <c r="J62" s="20" t="s">
        <v>1148</v>
      </c>
      <c r="K62" s="68"/>
      <c r="L62" s="68"/>
      <c r="M62" s="68"/>
      <c r="N62" s="57">
        <v>0.04</v>
      </c>
      <c r="O62" s="58">
        <v>0.04</v>
      </c>
      <c r="P62" s="58">
        <v>0.04</v>
      </c>
      <c r="Q62" s="58">
        <v>0.04</v>
      </c>
      <c r="R62" s="58">
        <v>0.04</v>
      </c>
      <c r="S62" s="58">
        <v>0.04</v>
      </c>
      <c r="T62" s="58">
        <v>0.12</v>
      </c>
      <c r="U62" s="59">
        <v>0.12</v>
      </c>
    </row>
    <row r="63" spans="1:21" ht="16.2" thickBot="1">
      <c r="A63">
        <v>58</v>
      </c>
      <c r="B63" s="1" t="s">
        <v>199</v>
      </c>
      <c r="C63">
        <v>58</v>
      </c>
      <c r="J63" s="20" t="s">
        <v>1149</v>
      </c>
      <c r="K63" s="69"/>
      <c r="L63" s="69"/>
      <c r="M63" s="69"/>
      <c r="N63" s="60">
        <v>0.01</v>
      </c>
      <c r="O63" s="35">
        <v>0.03</v>
      </c>
      <c r="P63" s="35">
        <v>0.08</v>
      </c>
      <c r="Q63" s="35">
        <v>0.08</v>
      </c>
      <c r="R63" s="35">
        <v>0.08</v>
      </c>
      <c r="S63" s="35">
        <v>0.08</v>
      </c>
      <c r="T63" s="35">
        <v>0.09</v>
      </c>
      <c r="U63" s="48">
        <v>0.09</v>
      </c>
    </row>
    <row r="64" spans="1:21" ht="16.2" thickBot="1">
      <c r="A64">
        <v>59</v>
      </c>
      <c r="B64" s="1" t="s">
        <v>702</v>
      </c>
      <c r="C64">
        <v>59</v>
      </c>
      <c r="J64" s="61" t="s">
        <v>1150</v>
      </c>
      <c r="K64" s="74"/>
      <c r="L64" s="74"/>
      <c r="M64" s="74"/>
      <c r="N64" s="62">
        <v>0.03</v>
      </c>
      <c r="O64" s="63">
        <v>0.03</v>
      </c>
      <c r="P64" s="63">
        <v>0.08</v>
      </c>
      <c r="Q64" s="63">
        <v>0.08</v>
      </c>
      <c r="R64" s="63">
        <v>0.08</v>
      </c>
      <c r="S64" s="63">
        <v>0.08</v>
      </c>
      <c r="T64" s="63">
        <v>0.09</v>
      </c>
      <c r="U64" s="64">
        <v>0.09</v>
      </c>
    </row>
    <row r="65" spans="1:3">
      <c r="A65">
        <v>60</v>
      </c>
      <c r="B65" s="1" t="s">
        <v>702</v>
      </c>
      <c r="C65">
        <v>60</v>
      </c>
    </row>
    <row r="66" spans="1:3">
      <c r="A66">
        <v>61</v>
      </c>
      <c r="B66" s="1">
        <v>60</v>
      </c>
      <c r="C66">
        <v>61</v>
      </c>
    </row>
    <row r="67" spans="1:3">
      <c r="A67">
        <v>62</v>
      </c>
      <c r="B67" s="1">
        <v>61</v>
      </c>
      <c r="C67">
        <v>62</v>
      </c>
    </row>
    <row r="68" spans="1:3">
      <c r="A68">
        <v>63</v>
      </c>
      <c r="B68" s="1">
        <v>61</v>
      </c>
      <c r="C68">
        <v>63</v>
      </c>
    </row>
    <row r="69" spans="1:3">
      <c r="A69">
        <v>64</v>
      </c>
      <c r="B69" s="1" t="s">
        <v>703</v>
      </c>
      <c r="C69">
        <v>64</v>
      </c>
    </row>
    <row r="70" spans="1:3">
      <c r="A70">
        <v>65</v>
      </c>
      <c r="B70" s="1">
        <v>63</v>
      </c>
      <c r="C70">
        <v>65</v>
      </c>
    </row>
    <row r="71" spans="1:3">
      <c r="A71">
        <v>66</v>
      </c>
      <c r="B71" s="1" t="s">
        <v>704</v>
      </c>
      <c r="C71">
        <v>66</v>
      </c>
    </row>
    <row r="72" spans="1:3">
      <c r="A72">
        <v>67</v>
      </c>
      <c r="B72" s="1">
        <v>64</v>
      </c>
      <c r="C72">
        <v>67</v>
      </c>
    </row>
    <row r="73" spans="1:3">
      <c r="A73">
        <v>68</v>
      </c>
      <c r="B73" s="1" t="s">
        <v>705</v>
      </c>
      <c r="C73">
        <v>68</v>
      </c>
    </row>
    <row r="74" spans="1:3">
      <c r="A74">
        <v>69</v>
      </c>
      <c r="B74" s="1">
        <v>65</v>
      </c>
      <c r="C74">
        <v>69</v>
      </c>
    </row>
    <row r="75" spans="1:3">
      <c r="A75">
        <v>70</v>
      </c>
      <c r="B75" s="1" t="s">
        <v>706</v>
      </c>
      <c r="C75">
        <v>70</v>
      </c>
    </row>
    <row r="76" spans="1:3">
      <c r="A76">
        <v>71</v>
      </c>
      <c r="B76" s="1">
        <v>66</v>
      </c>
      <c r="C76">
        <v>71</v>
      </c>
    </row>
    <row r="77" spans="1:3">
      <c r="A77">
        <v>72</v>
      </c>
      <c r="B77" s="1" t="s">
        <v>707</v>
      </c>
      <c r="C77">
        <v>72</v>
      </c>
    </row>
    <row r="78" spans="1:3">
      <c r="A78">
        <v>73</v>
      </c>
      <c r="B78" s="1">
        <v>67</v>
      </c>
      <c r="C78">
        <v>73</v>
      </c>
    </row>
    <row r="79" spans="1:3">
      <c r="A79">
        <v>74</v>
      </c>
      <c r="B79" s="1" t="s">
        <v>708</v>
      </c>
      <c r="C79">
        <v>74</v>
      </c>
    </row>
    <row r="80" spans="1:3">
      <c r="A80">
        <v>75</v>
      </c>
      <c r="B80" s="1">
        <v>68</v>
      </c>
      <c r="C80">
        <v>75</v>
      </c>
    </row>
    <row r="81" spans="1:3">
      <c r="A81">
        <v>76</v>
      </c>
      <c r="B81" s="1" t="s">
        <v>709</v>
      </c>
      <c r="C81">
        <v>76</v>
      </c>
    </row>
    <row r="82" spans="1:3">
      <c r="A82">
        <v>77</v>
      </c>
      <c r="B82" s="1">
        <v>69</v>
      </c>
      <c r="C82">
        <v>77</v>
      </c>
    </row>
    <row r="83" spans="1:3">
      <c r="A83">
        <v>78</v>
      </c>
      <c r="B83" s="1" t="s">
        <v>710</v>
      </c>
      <c r="C83">
        <v>78</v>
      </c>
    </row>
    <row r="84" spans="1:3">
      <c r="A84">
        <v>79</v>
      </c>
      <c r="B84" s="1">
        <v>70</v>
      </c>
      <c r="C84">
        <v>79</v>
      </c>
    </row>
    <row r="85" spans="1:3">
      <c r="A85">
        <v>80</v>
      </c>
      <c r="B85" s="1" t="s">
        <v>711</v>
      </c>
      <c r="C85">
        <v>80</v>
      </c>
    </row>
    <row r="86" spans="1:3">
      <c r="A86">
        <v>81</v>
      </c>
      <c r="B86" s="1">
        <v>71</v>
      </c>
      <c r="C86">
        <v>81</v>
      </c>
    </row>
    <row r="87" spans="1:3">
      <c r="A87">
        <v>82</v>
      </c>
      <c r="B87" s="1" t="s">
        <v>712</v>
      </c>
      <c r="C87">
        <v>82</v>
      </c>
    </row>
    <row r="88" spans="1:3">
      <c r="A88">
        <v>83</v>
      </c>
      <c r="B88" s="1">
        <v>72</v>
      </c>
      <c r="C88">
        <v>83</v>
      </c>
    </row>
    <row r="89" spans="1:3">
      <c r="A89">
        <v>84</v>
      </c>
      <c r="B89" s="1" t="s">
        <v>713</v>
      </c>
      <c r="C89">
        <v>84</v>
      </c>
    </row>
    <row r="90" spans="1:3">
      <c r="A90">
        <v>85</v>
      </c>
      <c r="B90" s="1">
        <v>73</v>
      </c>
      <c r="C90">
        <v>85</v>
      </c>
    </row>
    <row r="91" spans="1:3">
      <c r="A91">
        <v>86</v>
      </c>
      <c r="B91" s="1" t="s">
        <v>714</v>
      </c>
      <c r="C91">
        <v>86</v>
      </c>
    </row>
    <row r="92" spans="1:3">
      <c r="A92">
        <v>87</v>
      </c>
      <c r="B92" s="1">
        <v>74</v>
      </c>
      <c r="C92">
        <v>87</v>
      </c>
    </row>
    <row r="93" spans="1:3">
      <c r="A93">
        <v>88</v>
      </c>
      <c r="B93" s="1" t="s">
        <v>715</v>
      </c>
      <c r="C93">
        <v>88</v>
      </c>
    </row>
    <row r="94" spans="1:3">
      <c r="A94">
        <v>89</v>
      </c>
      <c r="B94" s="1">
        <v>75</v>
      </c>
      <c r="C94">
        <v>89</v>
      </c>
    </row>
    <row r="95" spans="1:3">
      <c r="A95">
        <v>90</v>
      </c>
      <c r="B95" s="1" t="s">
        <v>716</v>
      </c>
      <c r="C95">
        <v>90</v>
      </c>
    </row>
    <row r="96" spans="1:3">
      <c r="A96">
        <v>91</v>
      </c>
      <c r="B96" s="1">
        <v>1</v>
      </c>
      <c r="C96">
        <v>91</v>
      </c>
    </row>
    <row r="97" spans="1:3">
      <c r="A97">
        <v>92</v>
      </c>
      <c r="B97" s="1">
        <v>2</v>
      </c>
      <c r="C97">
        <v>92</v>
      </c>
    </row>
    <row r="98" spans="1:3">
      <c r="A98">
        <v>93</v>
      </c>
      <c r="B98" s="1">
        <v>3</v>
      </c>
      <c r="C98">
        <v>93</v>
      </c>
    </row>
    <row r="99" spans="1:3">
      <c r="A99">
        <v>94</v>
      </c>
      <c r="B99" s="1" t="s">
        <v>717</v>
      </c>
      <c r="C99">
        <v>94</v>
      </c>
    </row>
    <row r="100" spans="1:3">
      <c r="A100">
        <v>95</v>
      </c>
      <c r="B100" s="1">
        <v>4</v>
      </c>
      <c r="C100">
        <v>95</v>
      </c>
    </row>
    <row r="101" spans="1:3">
      <c r="A101">
        <v>96</v>
      </c>
      <c r="B101" s="1">
        <v>5</v>
      </c>
      <c r="C101">
        <v>96</v>
      </c>
    </row>
    <row r="102" spans="1:3">
      <c r="A102">
        <v>97</v>
      </c>
      <c r="B102" s="1">
        <v>6</v>
      </c>
      <c r="C102">
        <v>97</v>
      </c>
    </row>
    <row r="103" spans="1:3">
      <c r="A103">
        <v>98</v>
      </c>
      <c r="B103" s="1" t="s">
        <v>718</v>
      </c>
      <c r="C103">
        <v>98</v>
      </c>
    </row>
    <row r="104" spans="1:3">
      <c r="A104">
        <v>99</v>
      </c>
      <c r="B104" s="1">
        <v>7</v>
      </c>
      <c r="C104">
        <v>99</v>
      </c>
    </row>
    <row r="105" spans="1:3">
      <c r="A105">
        <v>100</v>
      </c>
      <c r="B105" s="1" t="s">
        <v>719</v>
      </c>
      <c r="C105">
        <v>100</v>
      </c>
    </row>
    <row r="106" spans="1:3">
      <c r="A106">
        <v>101</v>
      </c>
      <c r="B106" s="1">
        <v>8</v>
      </c>
      <c r="C106">
        <v>101</v>
      </c>
    </row>
    <row r="107" spans="1:3">
      <c r="A107">
        <v>102</v>
      </c>
      <c r="B107" s="1" t="s">
        <v>333</v>
      </c>
      <c r="C107">
        <v>102</v>
      </c>
    </row>
    <row r="108" spans="1:3">
      <c r="A108">
        <v>103</v>
      </c>
      <c r="B108" s="1">
        <v>9</v>
      </c>
      <c r="C108">
        <v>103</v>
      </c>
    </row>
    <row r="109" spans="1:3">
      <c r="A109">
        <v>104</v>
      </c>
      <c r="B109" s="1" t="s">
        <v>334</v>
      </c>
      <c r="C109">
        <v>104</v>
      </c>
    </row>
    <row r="110" spans="1:3">
      <c r="A110">
        <v>105</v>
      </c>
      <c r="B110" s="1">
        <v>10</v>
      </c>
      <c r="C110">
        <v>105</v>
      </c>
    </row>
    <row r="111" spans="1:3">
      <c r="A111">
        <v>106</v>
      </c>
      <c r="B111" s="1" t="s">
        <v>335</v>
      </c>
      <c r="C111">
        <v>106</v>
      </c>
    </row>
    <row r="112" spans="1:3">
      <c r="A112">
        <v>107</v>
      </c>
      <c r="B112" s="1">
        <v>11</v>
      </c>
      <c r="C112">
        <v>107</v>
      </c>
    </row>
    <row r="113" spans="1:3">
      <c r="A113">
        <v>108</v>
      </c>
      <c r="B113" s="1" t="s">
        <v>389</v>
      </c>
      <c r="C113">
        <v>108</v>
      </c>
    </row>
    <row r="114" spans="1:3">
      <c r="A114">
        <v>109</v>
      </c>
      <c r="B114" s="1">
        <v>12</v>
      </c>
      <c r="C114">
        <v>109</v>
      </c>
    </row>
    <row r="115" spans="1:3">
      <c r="A115">
        <v>110</v>
      </c>
      <c r="B115" s="1" t="s">
        <v>141</v>
      </c>
      <c r="C115">
        <v>110</v>
      </c>
    </row>
  </sheetData>
  <mergeCells count="1">
    <mergeCell ref="AF37:AL38"/>
  </mergeCells>
  <hyperlinks>
    <hyperlink ref="P31" r:id="rId1" display="../../מסמכי ממח + סרוקים/שכר/סיכום פ''ע מת''ש -29.12.92.pdf" xr:uid="{7AA5675C-DBD9-4D14-B363-FFB89B6F65A7}"/>
    <hyperlink ref="P35" r:id="rId2" display="../../מסמכי ממח + סרוקים/שכר/סיכום פ''ע מת''ש -29.12.92.pdf" xr:uid="{0D6F1D42-098A-495A-94BE-E3D8C0F3BF08}"/>
    <hyperlink ref="P30" r:id="rId3" display="../../מסמכי ממח + סרוקים/שכר/סיכום פ''ע מת''ש -29.12.92.pdf" xr:uid="{CCE015B6-6269-4C09-9E80-B02A94FDA837}"/>
  </hyperlinks>
  <pageMargins left="0.7" right="0.7" top="0.75" bottom="0.75" header="0.3" footer="0.3"/>
  <drawing r:id="rId4"/>
  <legacyDrawing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E0C45-3B03-4D8D-9372-96643A4FDFA8}">
  <sheetPr codeName="גיליון53"/>
  <dimension ref="A1:AQ446"/>
  <sheetViews>
    <sheetView rightToLeft="1" workbookViewId="0">
      <pane xSplit="14388" ySplit="900" topLeftCell="AB1" activePane="bottomLeft"/>
      <selection activeCell="A3" sqref="A3"/>
      <selection pane="topRight" activeCell="N1" sqref="N1"/>
      <selection pane="bottomLeft" activeCell="K8" sqref="K8"/>
      <selection pane="bottomRight" activeCell="AH119" sqref="AH119"/>
    </sheetView>
  </sheetViews>
  <sheetFormatPr defaultRowHeight="14.4"/>
  <cols>
    <col min="10" max="10" width="10.109375" bestFit="1" customWidth="1"/>
    <col min="11" max="14" width="10" bestFit="1" customWidth="1"/>
    <col min="15" max="15" width="10.109375" bestFit="1" customWidth="1"/>
    <col min="16" max="17" width="10" bestFit="1" customWidth="1"/>
  </cols>
  <sheetData>
    <row r="1" spans="1:43">
      <c r="A1" t="s">
        <v>17</v>
      </c>
      <c r="C1">
        <f>+'Netunei Gimlai'!B10</f>
        <v>11</v>
      </c>
      <c r="J1" t="s">
        <v>1161</v>
      </c>
    </row>
    <row r="2" spans="1:43" ht="15.6">
      <c r="A2" t="s">
        <v>5796</v>
      </c>
      <c r="C2" s="84">
        <f>VLOOKUP(C1,C6:E115,2,0)</f>
        <v>0</v>
      </c>
      <c r="G2" t="s">
        <v>136</v>
      </c>
      <c r="H2" t="s">
        <v>54</v>
      </c>
      <c r="J2" t="s">
        <v>1098</v>
      </c>
      <c r="K2" t="s">
        <v>730</v>
      </c>
      <c r="L2" t="s">
        <v>374</v>
      </c>
      <c r="M2" t="s">
        <v>1159</v>
      </c>
      <c r="N2" t="s">
        <v>373</v>
      </c>
      <c r="O2" t="s">
        <v>1100</v>
      </c>
      <c r="P2" t="s">
        <v>1162</v>
      </c>
      <c r="Q2" t="s">
        <v>1102</v>
      </c>
      <c r="T2" s="88"/>
      <c r="U2" s="88"/>
      <c r="V2" s="89" t="s">
        <v>1131</v>
      </c>
      <c r="W2" s="89" t="s">
        <v>1132</v>
      </c>
      <c r="X2" s="89" t="s">
        <v>1134</v>
      </c>
      <c r="Y2" s="89" t="s">
        <v>1138</v>
      </c>
      <c r="Z2" s="89" t="s">
        <v>1141</v>
      </c>
      <c r="AA2" s="89" t="s">
        <v>1163</v>
      </c>
      <c r="AB2" s="89" t="s">
        <v>1140</v>
      </c>
      <c r="AC2" s="89" t="s">
        <v>1142</v>
      </c>
      <c r="AD2" s="89" t="s">
        <v>1143</v>
      </c>
      <c r="AE2" s="89" t="s">
        <v>1102</v>
      </c>
      <c r="AH2" t="s">
        <v>1131</v>
      </c>
      <c r="AI2" t="s">
        <v>1132</v>
      </c>
      <c r="AJ2" t="s">
        <v>1134</v>
      </c>
      <c r="AK2" t="s">
        <v>1138</v>
      </c>
      <c r="AL2" t="s">
        <v>1141</v>
      </c>
      <c r="AM2" t="s">
        <v>1163</v>
      </c>
      <c r="AN2" t="s">
        <v>1140</v>
      </c>
      <c r="AO2" t="s">
        <v>1142</v>
      </c>
      <c r="AP2" t="s">
        <v>1143</v>
      </c>
      <c r="AQ2" t="s">
        <v>1102</v>
      </c>
    </row>
    <row r="3" spans="1:43">
      <c r="F3">
        <v>1</v>
      </c>
      <c r="G3" t="s">
        <v>138</v>
      </c>
      <c r="H3" s="1" t="s">
        <v>102</v>
      </c>
      <c r="I3">
        <v>100</v>
      </c>
      <c r="J3" s="84">
        <v>0.51</v>
      </c>
      <c r="K3" s="84">
        <v>0.48</v>
      </c>
      <c r="L3" s="84">
        <v>0.52</v>
      </c>
      <c r="M3" s="84">
        <v>0.52</v>
      </c>
      <c r="N3" s="84">
        <v>0.52</v>
      </c>
      <c r="O3" s="84">
        <v>0.54</v>
      </c>
      <c r="P3" s="84">
        <v>0.54</v>
      </c>
      <c r="Q3" s="84">
        <v>0.55000000000000004</v>
      </c>
      <c r="T3" s="90" t="s">
        <v>138</v>
      </c>
      <c r="U3" s="90" t="s">
        <v>102</v>
      </c>
      <c r="Z3" s="91">
        <v>52</v>
      </c>
      <c r="AC3" s="91">
        <v>55</v>
      </c>
      <c r="AD3" s="91">
        <v>52</v>
      </c>
      <c r="AG3" s="90" t="s">
        <v>138</v>
      </c>
      <c r="AH3" s="84">
        <v>0.51</v>
      </c>
      <c r="AI3" s="84">
        <v>0.48</v>
      </c>
      <c r="AJ3" s="84">
        <v>0.52</v>
      </c>
      <c r="AK3" s="84">
        <v>0.52</v>
      </c>
      <c r="AL3" s="84">
        <v>0.52</v>
      </c>
      <c r="AM3" s="84">
        <v>0.54</v>
      </c>
      <c r="AN3" s="84">
        <v>0.54</v>
      </c>
      <c r="AO3" s="84">
        <v>0.55000000000000004</v>
      </c>
      <c r="AP3" s="84">
        <v>0.52</v>
      </c>
      <c r="AQ3" s="84">
        <v>0.55000000000000004</v>
      </c>
    </row>
    <row r="4" spans="1:43">
      <c r="F4">
        <v>2</v>
      </c>
      <c r="G4" t="s">
        <v>139</v>
      </c>
      <c r="H4" s="1" t="s">
        <v>102</v>
      </c>
      <c r="I4">
        <f>+I3+1</f>
        <v>101</v>
      </c>
      <c r="J4" s="84">
        <v>0.51</v>
      </c>
      <c r="K4" s="84">
        <v>0.48</v>
      </c>
      <c r="L4" s="84">
        <v>0.52</v>
      </c>
      <c r="M4" s="84">
        <v>0.52</v>
      </c>
      <c r="N4" s="84">
        <v>0.52</v>
      </c>
      <c r="O4" s="84">
        <v>0.54</v>
      </c>
      <c r="P4" s="84">
        <v>0.54</v>
      </c>
      <c r="Q4" s="84">
        <v>0.66</v>
      </c>
      <c r="T4" s="90" t="s">
        <v>139</v>
      </c>
      <c r="U4" s="90" t="s">
        <v>102</v>
      </c>
      <c r="Z4" s="91">
        <v>52</v>
      </c>
      <c r="AC4" s="91">
        <v>55</v>
      </c>
      <c r="AD4" s="91">
        <v>52</v>
      </c>
      <c r="AG4" s="90" t="s">
        <v>139</v>
      </c>
      <c r="AH4" s="84">
        <v>0.51</v>
      </c>
      <c r="AI4" s="84">
        <v>0.48</v>
      </c>
      <c r="AJ4" s="84">
        <v>0.52</v>
      </c>
      <c r="AK4" s="84">
        <v>0.52</v>
      </c>
      <c r="AL4" s="84">
        <v>0.52</v>
      </c>
      <c r="AM4" s="84">
        <v>0.54</v>
      </c>
      <c r="AN4" s="84">
        <v>0.54</v>
      </c>
      <c r="AO4" s="84">
        <v>0.55000000000000004</v>
      </c>
      <c r="AP4" s="84">
        <v>0.52</v>
      </c>
      <c r="AQ4" s="84">
        <v>0.66</v>
      </c>
    </row>
    <row r="5" spans="1:43">
      <c r="B5" s="1" t="s">
        <v>17</v>
      </c>
      <c r="F5">
        <v>3</v>
      </c>
      <c r="G5" t="s">
        <v>140</v>
      </c>
      <c r="H5" s="1" t="s">
        <v>102</v>
      </c>
      <c r="I5">
        <f t="shared" ref="I5:I31" si="0">+I4+1</f>
        <v>102</v>
      </c>
      <c r="J5" s="84">
        <v>0.51</v>
      </c>
      <c r="K5" s="84">
        <v>0.48</v>
      </c>
      <c r="L5" s="84">
        <v>0.52</v>
      </c>
      <c r="M5" s="84">
        <v>0.52</v>
      </c>
      <c r="N5" s="84">
        <v>0.52</v>
      </c>
      <c r="O5" s="84">
        <v>0.54</v>
      </c>
      <c r="P5" s="84">
        <v>0.54</v>
      </c>
      <c r="Q5" s="84">
        <v>0.75959999999999994</v>
      </c>
      <c r="T5" s="90" t="s">
        <v>1164</v>
      </c>
      <c r="U5" s="90" t="s">
        <v>102</v>
      </c>
      <c r="Z5" s="91">
        <v>52</v>
      </c>
      <c r="AC5" s="91">
        <v>55</v>
      </c>
      <c r="AD5" s="91">
        <v>52</v>
      </c>
      <c r="AG5" s="90" t="s">
        <v>1164</v>
      </c>
      <c r="AH5" s="84">
        <v>0.51</v>
      </c>
      <c r="AI5" s="84">
        <v>0.48</v>
      </c>
      <c r="AJ5" s="84">
        <v>0.52</v>
      </c>
      <c r="AK5" s="84">
        <v>0.52</v>
      </c>
      <c r="AL5" s="84">
        <v>0.52</v>
      </c>
      <c r="AM5" s="84">
        <v>0.54</v>
      </c>
      <c r="AN5" s="84">
        <v>0.54</v>
      </c>
      <c r="AO5" s="84">
        <v>0.55000000000000004</v>
      </c>
      <c r="AP5" s="84">
        <v>0.52</v>
      </c>
      <c r="AQ5" s="84">
        <v>0.75959999999999994</v>
      </c>
    </row>
    <row r="6" spans="1:43">
      <c r="A6">
        <v>1</v>
      </c>
      <c r="B6" s="1">
        <v>10</v>
      </c>
      <c r="C6">
        <v>1</v>
      </c>
      <c r="F6">
        <v>4</v>
      </c>
      <c r="G6" t="s">
        <v>142</v>
      </c>
      <c r="H6" s="1" t="s">
        <v>102</v>
      </c>
      <c r="I6">
        <f t="shared" si="0"/>
        <v>103</v>
      </c>
      <c r="J6" s="84">
        <v>0.70340000000000003</v>
      </c>
      <c r="K6" s="84">
        <v>0.68299999999999994</v>
      </c>
      <c r="L6" s="84">
        <v>0.83599999999999997</v>
      </c>
      <c r="M6" s="84">
        <v>0.96689999999999998</v>
      </c>
      <c r="N6" s="84">
        <v>0.96689999999999998</v>
      </c>
      <c r="O6" s="84">
        <v>0.99860000000000004</v>
      </c>
      <c r="P6" s="84">
        <v>0.99849999999999994</v>
      </c>
      <c r="Q6" s="84">
        <v>0.99019999999999997</v>
      </c>
      <c r="T6" s="90" t="s">
        <v>142</v>
      </c>
      <c r="U6" s="90" t="s">
        <v>102</v>
      </c>
      <c r="Z6" s="91">
        <v>96.69</v>
      </c>
      <c r="AC6" s="91">
        <v>97.9</v>
      </c>
      <c r="AD6" s="91">
        <v>99.11</v>
      </c>
      <c r="AG6" s="90" t="s">
        <v>142</v>
      </c>
      <c r="AH6" s="84">
        <v>0.70340000000000003</v>
      </c>
      <c r="AI6" s="84">
        <v>0.68299999999999994</v>
      </c>
      <c r="AJ6" s="84">
        <v>0.83599999999999997</v>
      </c>
      <c r="AK6" s="84">
        <v>0.96689999999999998</v>
      </c>
      <c r="AL6" s="84">
        <v>0.96689999999999998</v>
      </c>
      <c r="AM6" s="84">
        <v>0.99860000000000004</v>
      </c>
      <c r="AN6" s="84">
        <v>0.99849999999999994</v>
      </c>
      <c r="AO6" s="84">
        <v>0.97900000000000009</v>
      </c>
      <c r="AP6" s="84">
        <v>0.99109999999999998</v>
      </c>
      <c r="AQ6" s="84">
        <v>0.99019999999999997</v>
      </c>
    </row>
    <row r="7" spans="1:43">
      <c r="A7">
        <v>2</v>
      </c>
      <c r="B7" s="1">
        <v>11</v>
      </c>
      <c r="C7">
        <v>2</v>
      </c>
      <c r="F7">
        <v>5</v>
      </c>
      <c r="G7" t="s">
        <v>143</v>
      </c>
      <c r="H7" s="1" t="s">
        <v>102</v>
      </c>
      <c r="I7">
        <f t="shared" si="0"/>
        <v>104</v>
      </c>
      <c r="J7" s="84">
        <v>0.59119999999999995</v>
      </c>
      <c r="K7" s="84">
        <v>0.57079999999999997</v>
      </c>
      <c r="L7" s="84">
        <v>0.7238</v>
      </c>
      <c r="M7" s="84">
        <v>0.85250000000000004</v>
      </c>
      <c r="N7" s="84">
        <v>0.85250000000000004</v>
      </c>
      <c r="O7" s="84">
        <v>0.87370000000000003</v>
      </c>
      <c r="P7" s="84">
        <v>0.88400000000000001</v>
      </c>
      <c r="Q7" s="84">
        <v>0.87560000000000004</v>
      </c>
      <c r="T7" s="90" t="s">
        <v>1165</v>
      </c>
      <c r="U7" s="90" t="s">
        <v>102</v>
      </c>
      <c r="Z7" s="91">
        <v>85.24</v>
      </c>
      <c r="AC7" s="91">
        <v>87.49</v>
      </c>
      <c r="AD7" s="91">
        <v>87.64</v>
      </c>
      <c r="AG7" s="90" t="s">
        <v>1165</v>
      </c>
      <c r="AH7" s="84">
        <v>0.59119999999999995</v>
      </c>
      <c r="AI7" s="84">
        <v>0.57079999999999997</v>
      </c>
      <c r="AJ7" s="84">
        <v>0.7238</v>
      </c>
      <c r="AK7" s="84">
        <v>0.85250000000000004</v>
      </c>
      <c r="AL7" s="84">
        <v>0.85239999999999994</v>
      </c>
      <c r="AM7" s="84">
        <v>0.87370000000000003</v>
      </c>
      <c r="AN7" s="84">
        <v>0.88400000000000001</v>
      </c>
      <c r="AO7" s="84">
        <v>0.8748999999999999</v>
      </c>
      <c r="AP7" s="84">
        <v>0.87639999999999996</v>
      </c>
      <c r="AQ7" s="84">
        <v>0.87560000000000004</v>
      </c>
    </row>
    <row r="8" spans="1:43">
      <c r="A8">
        <v>3</v>
      </c>
      <c r="B8" s="1">
        <v>12</v>
      </c>
      <c r="C8">
        <v>3</v>
      </c>
      <c r="F8">
        <v>6</v>
      </c>
      <c r="G8" t="s">
        <v>145</v>
      </c>
      <c r="H8" s="1" t="s">
        <v>102</v>
      </c>
      <c r="I8">
        <f t="shared" si="0"/>
        <v>105</v>
      </c>
      <c r="J8" s="84"/>
      <c r="K8" s="84"/>
      <c r="L8" s="84"/>
      <c r="M8" s="84"/>
      <c r="N8" s="84"/>
      <c r="O8" s="84"/>
      <c r="P8" s="84"/>
      <c r="Q8" s="84"/>
      <c r="T8" s="90"/>
      <c r="U8" s="90"/>
      <c r="Z8" s="91"/>
      <c r="AC8" s="91"/>
      <c r="AD8" s="91"/>
      <c r="AG8" s="90"/>
      <c r="AH8" s="84"/>
      <c r="AI8" s="84"/>
      <c r="AJ8" s="84"/>
      <c r="AK8" s="84"/>
      <c r="AL8" s="84"/>
      <c r="AM8" s="84"/>
      <c r="AN8" s="84"/>
      <c r="AO8" s="84"/>
      <c r="AP8" s="84"/>
      <c r="AQ8" s="84"/>
    </row>
    <row r="9" spans="1:43">
      <c r="A9">
        <v>4</v>
      </c>
      <c r="B9" s="1" t="s">
        <v>141</v>
      </c>
      <c r="C9">
        <v>4</v>
      </c>
      <c r="F9">
        <v>7</v>
      </c>
      <c r="G9" t="s">
        <v>146</v>
      </c>
      <c r="H9" s="1" t="s">
        <v>102</v>
      </c>
      <c r="I9">
        <f t="shared" si="0"/>
        <v>106</v>
      </c>
      <c r="J9" s="84">
        <v>0.61</v>
      </c>
      <c r="K9" s="84">
        <v>0.6</v>
      </c>
      <c r="L9" s="84">
        <v>0.77</v>
      </c>
      <c r="M9" s="84">
        <v>0.90780000000000005</v>
      </c>
      <c r="N9" s="84">
        <v>0.90780000000000005</v>
      </c>
      <c r="O9" s="84">
        <v>0.93870000000000009</v>
      </c>
      <c r="P9" s="84">
        <v>0.93819999999999992</v>
      </c>
      <c r="Q9" s="84">
        <v>0.92040000000000011</v>
      </c>
      <c r="T9" s="90" t="s">
        <v>1126</v>
      </c>
      <c r="U9" s="90" t="s">
        <v>102</v>
      </c>
      <c r="Z9" s="91">
        <v>90.78</v>
      </c>
      <c r="AC9" s="91">
        <v>92.99</v>
      </c>
      <c r="AD9" s="91">
        <v>92.13</v>
      </c>
      <c r="AE9" s="92"/>
      <c r="AG9" s="90" t="s">
        <v>1126</v>
      </c>
      <c r="AH9" s="84">
        <v>0.61</v>
      </c>
      <c r="AI9" s="84">
        <v>0.6</v>
      </c>
      <c r="AJ9" s="84">
        <v>0.77</v>
      </c>
      <c r="AK9" s="84">
        <v>0.90780000000000005</v>
      </c>
      <c r="AL9" s="84">
        <v>0.90780000000000005</v>
      </c>
      <c r="AM9" s="84">
        <v>0.93870000000000009</v>
      </c>
      <c r="AN9" s="84">
        <v>0.93819999999999992</v>
      </c>
      <c r="AO9" s="84">
        <v>0.92989999999999995</v>
      </c>
      <c r="AP9" s="84">
        <v>0.92130000000000001</v>
      </c>
      <c r="AQ9" s="84">
        <v>0.92040000000000011</v>
      </c>
    </row>
    <row r="10" spans="1:43">
      <c r="A10">
        <v>5</v>
      </c>
      <c r="B10" s="1">
        <v>13</v>
      </c>
      <c r="C10">
        <v>5</v>
      </c>
      <c r="F10">
        <v>8</v>
      </c>
      <c r="G10" t="s">
        <v>148</v>
      </c>
      <c r="H10" s="1" t="s">
        <v>102</v>
      </c>
      <c r="I10">
        <f t="shared" si="0"/>
        <v>107</v>
      </c>
      <c r="J10" s="84">
        <v>0.61</v>
      </c>
      <c r="K10" s="84">
        <v>0.6</v>
      </c>
      <c r="L10" s="84">
        <v>0.77</v>
      </c>
      <c r="M10" s="84">
        <v>0.90780000000000005</v>
      </c>
      <c r="N10" s="84">
        <v>0.90780000000000005</v>
      </c>
      <c r="O10" s="84">
        <v>0.93870000000000009</v>
      </c>
      <c r="P10" s="84">
        <v>0.93879999999999997</v>
      </c>
      <c r="Q10" s="84">
        <v>0.93059999999999998</v>
      </c>
      <c r="T10" s="90" t="s">
        <v>1166</v>
      </c>
      <c r="U10" s="90" t="s">
        <v>102</v>
      </c>
      <c r="Z10" s="91">
        <v>90.78</v>
      </c>
      <c r="AC10" s="91">
        <v>92.99</v>
      </c>
      <c r="AD10" s="91">
        <v>92.13</v>
      </c>
      <c r="AG10" s="90" t="s">
        <v>1166</v>
      </c>
      <c r="AH10" s="84">
        <v>0.61</v>
      </c>
      <c r="AI10" s="84">
        <v>0.6</v>
      </c>
      <c r="AJ10" s="84">
        <v>0.77</v>
      </c>
      <c r="AK10" s="84">
        <v>0.90780000000000005</v>
      </c>
      <c r="AL10" s="84">
        <v>0.90780000000000005</v>
      </c>
      <c r="AM10" s="84">
        <v>0.93870000000000009</v>
      </c>
      <c r="AN10" s="84">
        <v>0.93879999999999997</v>
      </c>
      <c r="AO10" s="84">
        <v>0.92989999999999995</v>
      </c>
      <c r="AP10" s="84">
        <v>0.92130000000000001</v>
      </c>
      <c r="AQ10" s="84">
        <v>0.93059999999999998</v>
      </c>
    </row>
    <row r="11" spans="1:43">
      <c r="A11">
        <v>6</v>
      </c>
      <c r="B11" s="1" t="s">
        <v>144</v>
      </c>
      <c r="C11">
        <v>6</v>
      </c>
      <c r="F11">
        <v>9</v>
      </c>
      <c r="G11" t="s">
        <v>149</v>
      </c>
      <c r="H11" s="1" t="s">
        <v>102</v>
      </c>
      <c r="I11">
        <f t="shared" si="0"/>
        <v>108</v>
      </c>
      <c r="J11" s="84">
        <v>0.64</v>
      </c>
      <c r="K11" s="84">
        <v>0.62</v>
      </c>
      <c r="L11" s="84">
        <v>0.79</v>
      </c>
      <c r="M11" s="84">
        <v>0.89760000000000006</v>
      </c>
      <c r="N11" s="84">
        <v>0.89760000000000006</v>
      </c>
      <c r="O11" s="84">
        <v>0.92849999999999999</v>
      </c>
      <c r="P11" s="84">
        <v>0.92859999999999998</v>
      </c>
      <c r="Q11" s="84">
        <v>0.92040000000000011</v>
      </c>
      <c r="T11" s="90" t="s">
        <v>1167</v>
      </c>
      <c r="U11" s="90" t="s">
        <v>102</v>
      </c>
      <c r="Z11" s="91">
        <v>89.76</v>
      </c>
      <c r="AC11" s="91">
        <v>91.96</v>
      </c>
      <c r="AD11" s="91">
        <v>91.11</v>
      </c>
      <c r="AG11" s="90" t="s">
        <v>1167</v>
      </c>
      <c r="AH11" s="84">
        <v>0.64</v>
      </c>
      <c r="AI11" s="84">
        <v>0.62</v>
      </c>
      <c r="AJ11" s="84">
        <v>0.79</v>
      </c>
      <c r="AK11" s="84">
        <v>0.89760000000000006</v>
      </c>
      <c r="AL11" s="84">
        <v>0.89760000000000006</v>
      </c>
      <c r="AM11" s="84">
        <v>0.92849999999999999</v>
      </c>
      <c r="AN11" s="84">
        <v>0.92859999999999998</v>
      </c>
      <c r="AO11" s="84">
        <v>0.91959999999999997</v>
      </c>
      <c r="AP11" s="84">
        <v>0.91110000000000002</v>
      </c>
      <c r="AQ11" s="84">
        <v>0.92040000000000011</v>
      </c>
    </row>
    <row r="12" spans="1:43">
      <c r="A12">
        <v>7</v>
      </c>
      <c r="B12" s="1">
        <v>14</v>
      </c>
      <c r="C12">
        <v>7</v>
      </c>
      <c r="F12">
        <v>10</v>
      </c>
      <c r="G12" t="s">
        <v>151</v>
      </c>
      <c r="H12" s="1" t="s">
        <v>102</v>
      </c>
      <c r="I12">
        <f t="shared" si="0"/>
        <v>109</v>
      </c>
      <c r="J12" s="84">
        <v>0.64</v>
      </c>
      <c r="K12" s="84">
        <v>0.62</v>
      </c>
      <c r="L12" s="84">
        <v>0.79</v>
      </c>
      <c r="M12" s="84">
        <v>0.89760000000000006</v>
      </c>
      <c r="N12" s="84">
        <v>0.89760000000000006</v>
      </c>
      <c r="O12" s="84">
        <v>0.92849999999999999</v>
      </c>
      <c r="P12" s="84">
        <v>0.92859999999999998</v>
      </c>
      <c r="Q12" s="84">
        <v>0.92040000000000011</v>
      </c>
      <c r="T12" s="90" t="s">
        <v>1168</v>
      </c>
      <c r="U12" s="90" t="s">
        <v>102</v>
      </c>
      <c r="Z12" s="91">
        <v>89.76</v>
      </c>
      <c r="AC12" s="91">
        <v>91.96</v>
      </c>
      <c r="AD12" s="91">
        <v>91.11</v>
      </c>
      <c r="AG12" s="90" t="s">
        <v>1168</v>
      </c>
      <c r="AH12" s="84">
        <v>0.64</v>
      </c>
      <c r="AI12" s="84">
        <v>0.62</v>
      </c>
      <c r="AJ12" s="84">
        <v>0.79</v>
      </c>
      <c r="AK12" s="84">
        <v>0.89760000000000006</v>
      </c>
      <c r="AL12" s="84">
        <v>0.89760000000000006</v>
      </c>
      <c r="AM12" s="84">
        <v>0.92849999999999999</v>
      </c>
      <c r="AN12" s="84">
        <v>0.92859999999999998</v>
      </c>
      <c r="AO12" s="84">
        <v>0.91959999999999997</v>
      </c>
      <c r="AP12" s="84">
        <v>0.91110000000000002</v>
      </c>
      <c r="AQ12" s="84">
        <v>0.92040000000000011</v>
      </c>
    </row>
    <row r="13" spans="1:43">
      <c r="A13">
        <v>8</v>
      </c>
      <c r="B13" s="1" t="s">
        <v>147</v>
      </c>
      <c r="C13">
        <v>8</v>
      </c>
      <c r="F13">
        <v>11</v>
      </c>
      <c r="G13" t="s">
        <v>152</v>
      </c>
      <c r="H13" s="1" t="s">
        <v>102</v>
      </c>
      <c r="I13">
        <f t="shared" si="0"/>
        <v>110</v>
      </c>
      <c r="J13" s="84">
        <v>0</v>
      </c>
      <c r="K13" s="84">
        <v>0</v>
      </c>
      <c r="L13" s="84">
        <v>0</v>
      </c>
      <c r="M13" s="84">
        <v>0</v>
      </c>
      <c r="N13" s="84">
        <v>0</v>
      </c>
      <c r="O13" s="84">
        <v>0</v>
      </c>
      <c r="P13" s="84">
        <v>0</v>
      </c>
      <c r="Q13" s="84">
        <v>0</v>
      </c>
      <c r="T13" s="90" t="s">
        <v>1169</v>
      </c>
      <c r="U13" s="90" t="s">
        <v>102</v>
      </c>
      <c r="Z13" s="92"/>
      <c r="AA13" s="92"/>
      <c r="AB13" s="92"/>
      <c r="AC13" s="92"/>
      <c r="AD13" s="92"/>
      <c r="AG13" s="90" t="s">
        <v>1169</v>
      </c>
      <c r="AH13" s="84">
        <v>0</v>
      </c>
      <c r="AI13" s="84">
        <v>0</v>
      </c>
      <c r="AJ13" s="84">
        <v>0</v>
      </c>
      <c r="AK13" s="84">
        <v>0</v>
      </c>
      <c r="AL13" s="84">
        <v>0</v>
      </c>
      <c r="AM13" s="84">
        <v>0</v>
      </c>
      <c r="AN13" s="84">
        <v>0</v>
      </c>
      <c r="AO13" s="84">
        <v>0</v>
      </c>
      <c r="AP13" s="84">
        <v>0</v>
      </c>
      <c r="AQ13" s="84">
        <v>0</v>
      </c>
    </row>
    <row r="14" spans="1:43">
      <c r="A14">
        <v>9</v>
      </c>
      <c r="B14" s="1">
        <v>15</v>
      </c>
      <c r="C14">
        <v>9</v>
      </c>
      <c r="F14">
        <v>12</v>
      </c>
      <c r="G14" t="s">
        <v>154</v>
      </c>
      <c r="H14" s="1" t="s">
        <v>102</v>
      </c>
      <c r="I14">
        <f t="shared" si="0"/>
        <v>111</v>
      </c>
      <c r="J14" s="84">
        <v>0.45</v>
      </c>
      <c r="K14" s="84">
        <v>0.44</v>
      </c>
      <c r="L14" s="84">
        <v>0.57999999999999996</v>
      </c>
      <c r="M14" s="84">
        <v>0.68340000000000001</v>
      </c>
      <c r="N14" s="84">
        <v>0.68340000000000001</v>
      </c>
      <c r="O14" s="84">
        <v>0.71420000000000006</v>
      </c>
      <c r="P14" s="84">
        <v>0.72439999999999993</v>
      </c>
      <c r="Q14" s="84">
        <v>0.72629999999999995</v>
      </c>
      <c r="T14" s="90" t="s">
        <v>733</v>
      </c>
      <c r="U14" s="90" t="s">
        <v>102</v>
      </c>
      <c r="Z14" s="91">
        <v>68.34</v>
      </c>
      <c r="AC14" s="91">
        <v>74.61</v>
      </c>
      <c r="AD14" s="91">
        <v>72.7</v>
      </c>
      <c r="AE14" s="92"/>
      <c r="AG14" s="90" t="s">
        <v>733</v>
      </c>
      <c r="AH14" s="84">
        <v>0.45</v>
      </c>
      <c r="AI14" s="84">
        <v>0.44</v>
      </c>
      <c r="AJ14" s="84">
        <v>0.57999999999999996</v>
      </c>
      <c r="AK14" s="84">
        <v>0.68340000000000001</v>
      </c>
      <c r="AL14" s="84">
        <v>0.68340000000000001</v>
      </c>
      <c r="AM14" s="84">
        <v>0.71420000000000006</v>
      </c>
      <c r="AN14" s="84">
        <v>0.72439999999999993</v>
      </c>
      <c r="AO14" s="84">
        <v>0.74609999999999999</v>
      </c>
      <c r="AP14" s="84">
        <v>0.72699999999999998</v>
      </c>
      <c r="AQ14" s="84">
        <v>0.72629999999999995</v>
      </c>
    </row>
    <row r="15" spans="1:43">
      <c r="A15">
        <v>10</v>
      </c>
      <c r="B15" s="1" t="s">
        <v>150</v>
      </c>
      <c r="C15">
        <v>10</v>
      </c>
      <c r="F15">
        <v>13</v>
      </c>
      <c r="G15" t="s">
        <v>155</v>
      </c>
      <c r="H15" s="1" t="s">
        <v>102</v>
      </c>
      <c r="I15">
        <f t="shared" si="0"/>
        <v>112</v>
      </c>
      <c r="J15" s="84">
        <v>0.5</v>
      </c>
      <c r="K15" s="84">
        <v>0.48</v>
      </c>
      <c r="L15" s="84">
        <v>0.63</v>
      </c>
      <c r="M15" s="84">
        <v>0.73439999999999994</v>
      </c>
      <c r="N15" s="84">
        <v>0.73439999999999994</v>
      </c>
      <c r="O15" s="84">
        <v>0.77540000000000009</v>
      </c>
      <c r="P15" s="84">
        <v>0.77540000000000009</v>
      </c>
      <c r="Q15" s="84">
        <v>0.78760000000000008</v>
      </c>
      <c r="T15" s="90" t="s">
        <v>1170</v>
      </c>
      <c r="U15" s="90" t="s">
        <v>102</v>
      </c>
      <c r="Z15" s="91">
        <v>73.44</v>
      </c>
      <c r="AC15" s="91">
        <v>80.73</v>
      </c>
      <c r="AD15" s="91">
        <v>78.83</v>
      </c>
      <c r="AG15" s="90" t="s">
        <v>1170</v>
      </c>
      <c r="AH15" s="84">
        <v>0.5</v>
      </c>
      <c r="AI15" s="84">
        <v>0.48</v>
      </c>
      <c r="AJ15" s="84">
        <v>0.63</v>
      </c>
      <c r="AK15" s="84">
        <v>0.73439999999999994</v>
      </c>
      <c r="AL15" s="84">
        <v>0.73439999999999994</v>
      </c>
      <c r="AM15" s="84">
        <v>0.77540000000000009</v>
      </c>
      <c r="AN15" s="84">
        <v>0.77540000000000009</v>
      </c>
      <c r="AO15" s="84">
        <v>0.80730000000000002</v>
      </c>
      <c r="AP15" s="84">
        <v>0.7883</v>
      </c>
      <c r="AQ15" s="84">
        <v>0.78760000000000008</v>
      </c>
    </row>
    <row r="16" spans="1:43">
      <c r="A16">
        <v>11</v>
      </c>
      <c r="B16" s="1">
        <v>16</v>
      </c>
      <c r="C16">
        <v>11</v>
      </c>
      <c r="F16">
        <v>14</v>
      </c>
      <c r="G16" t="s">
        <v>157</v>
      </c>
      <c r="H16" s="1" t="s">
        <v>102</v>
      </c>
      <c r="I16">
        <f t="shared" si="0"/>
        <v>113</v>
      </c>
      <c r="J16" s="84">
        <v>0.51</v>
      </c>
      <c r="K16" s="84">
        <v>0.5</v>
      </c>
      <c r="L16" s="84">
        <v>0.65</v>
      </c>
      <c r="M16" s="84">
        <v>0.75480000000000003</v>
      </c>
      <c r="N16" s="84">
        <v>0.75480000000000003</v>
      </c>
      <c r="O16" s="84">
        <v>0.80599999999999994</v>
      </c>
      <c r="P16" s="84">
        <v>0.80599999999999994</v>
      </c>
      <c r="Q16" s="84">
        <v>0.80799999999999994</v>
      </c>
      <c r="T16" s="90" t="s">
        <v>1171</v>
      </c>
      <c r="U16" s="90" t="s">
        <v>102</v>
      </c>
      <c r="Z16" s="91">
        <v>75.48</v>
      </c>
      <c r="AC16" s="91">
        <v>82.77</v>
      </c>
      <c r="AD16" s="91">
        <v>80.88</v>
      </c>
      <c r="AG16" s="90" t="s">
        <v>1171</v>
      </c>
      <c r="AH16" s="84">
        <v>0.51</v>
      </c>
      <c r="AI16" s="84">
        <v>0.5</v>
      </c>
      <c r="AJ16" s="84">
        <v>0.65</v>
      </c>
      <c r="AK16" s="84">
        <v>0.75480000000000003</v>
      </c>
      <c r="AL16" s="84">
        <v>0.75480000000000003</v>
      </c>
      <c r="AM16" s="84">
        <v>0.80599999999999994</v>
      </c>
      <c r="AN16" s="84">
        <v>0.80599999999999994</v>
      </c>
      <c r="AO16" s="84">
        <v>0.82769999999999999</v>
      </c>
      <c r="AP16" s="84">
        <v>0.80879999999999996</v>
      </c>
      <c r="AQ16" s="84">
        <v>0.80799999999999994</v>
      </c>
    </row>
    <row r="17" spans="1:43">
      <c r="A17">
        <v>12</v>
      </c>
      <c r="B17" s="1" t="s">
        <v>153</v>
      </c>
      <c r="C17">
        <v>12</v>
      </c>
      <c r="F17">
        <v>15</v>
      </c>
      <c r="G17" t="s">
        <v>158</v>
      </c>
      <c r="H17" s="1" t="s">
        <v>102</v>
      </c>
      <c r="I17">
        <f t="shared" si="0"/>
        <v>114</v>
      </c>
      <c r="J17" s="84">
        <v>0.51</v>
      </c>
      <c r="K17" s="84">
        <v>0.5</v>
      </c>
      <c r="L17" s="84">
        <v>0.65</v>
      </c>
      <c r="M17" s="84">
        <v>0.75480000000000003</v>
      </c>
      <c r="N17" s="84">
        <v>0.75480000000000003</v>
      </c>
      <c r="O17" s="84">
        <v>0.80599999999999994</v>
      </c>
      <c r="P17" s="84">
        <v>0.80599999999999994</v>
      </c>
      <c r="Q17" s="84">
        <v>0.80799999999999994</v>
      </c>
      <c r="T17" s="90" t="s">
        <v>1172</v>
      </c>
      <c r="U17" s="90" t="s">
        <v>102</v>
      </c>
      <c r="Z17" s="91">
        <v>75.48</v>
      </c>
      <c r="AC17" s="91">
        <v>82.77</v>
      </c>
      <c r="AD17" s="91">
        <v>80.88</v>
      </c>
      <c r="AG17" s="90" t="s">
        <v>1172</v>
      </c>
      <c r="AH17" s="84">
        <v>0.51</v>
      </c>
      <c r="AI17" s="84">
        <v>0.5</v>
      </c>
      <c r="AJ17" s="84">
        <v>0.65</v>
      </c>
      <c r="AK17" s="84">
        <v>0.75480000000000003</v>
      </c>
      <c r="AL17" s="84">
        <v>0.75480000000000003</v>
      </c>
      <c r="AM17" s="84">
        <v>0.80599999999999994</v>
      </c>
      <c r="AN17" s="84">
        <v>0.80599999999999994</v>
      </c>
      <c r="AO17" s="84">
        <v>0.82769999999999999</v>
      </c>
      <c r="AP17" s="84">
        <v>0.80879999999999996</v>
      </c>
      <c r="AQ17" s="84">
        <v>0.80799999999999994</v>
      </c>
    </row>
    <row r="18" spans="1:43" ht="15.6">
      <c r="A18">
        <v>13</v>
      </c>
      <c r="B18" s="1">
        <v>17</v>
      </c>
      <c r="C18">
        <v>13</v>
      </c>
      <c r="D18" s="24">
        <v>0.61</v>
      </c>
      <c r="F18">
        <v>16</v>
      </c>
      <c r="G18" t="s">
        <v>160</v>
      </c>
      <c r="H18" s="1" t="s">
        <v>102</v>
      </c>
      <c r="I18">
        <f t="shared" si="0"/>
        <v>115</v>
      </c>
      <c r="J18" s="84">
        <v>0</v>
      </c>
      <c r="K18" s="84">
        <v>0</v>
      </c>
      <c r="L18" s="84">
        <v>0</v>
      </c>
      <c r="M18" s="84">
        <v>0</v>
      </c>
      <c r="N18" s="84">
        <v>0</v>
      </c>
      <c r="O18" s="84">
        <v>0</v>
      </c>
      <c r="P18" s="84">
        <v>0</v>
      </c>
      <c r="Q18" s="84">
        <v>0</v>
      </c>
      <c r="T18" s="90" t="s">
        <v>1173</v>
      </c>
      <c r="U18" s="90" t="s">
        <v>102</v>
      </c>
      <c r="Z18" s="92"/>
      <c r="AA18" s="92"/>
      <c r="AB18" s="92"/>
      <c r="AC18" s="92"/>
      <c r="AD18" s="92"/>
      <c r="AG18" s="90" t="s">
        <v>1173</v>
      </c>
      <c r="AH18" s="84">
        <v>0</v>
      </c>
      <c r="AI18" s="84">
        <v>0</v>
      </c>
      <c r="AJ18" s="84">
        <v>0</v>
      </c>
      <c r="AK18" s="84">
        <v>0</v>
      </c>
      <c r="AL18" s="84">
        <v>0</v>
      </c>
      <c r="AM18" s="84">
        <v>0</v>
      </c>
      <c r="AN18" s="84">
        <v>0</v>
      </c>
      <c r="AO18" s="84">
        <v>0</v>
      </c>
      <c r="AP18" s="84">
        <v>0</v>
      </c>
      <c r="AQ18" s="84">
        <v>0</v>
      </c>
    </row>
    <row r="19" spans="1:43" ht="15.6">
      <c r="A19">
        <v>14</v>
      </c>
      <c r="B19" s="1" t="s">
        <v>156</v>
      </c>
      <c r="C19">
        <v>14</v>
      </c>
      <c r="D19" s="24">
        <v>0.61</v>
      </c>
      <c r="F19">
        <v>17</v>
      </c>
      <c r="G19" t="s">
        <v>161</v>
      </c>
      <c r="H19" s="1" t="s">
        <v>102</v>
      </c>
      <c r="I19">
        <f t="shared" si="0"/>
        <v>116</v>
      </c>
      <c r="J19" s="84">
        <v>0.56000000000000005</v>
      </c>
      <c r="K19" s="84">
        <v>0.55000000000000004</v>
      </c>
      <c r="L19" s="84">
        <v>0.68</v>
      </c>
      <c r="M19" s="84">
        <v>0.7770999999999999</v>
      </c>
      <c r="N19" s="84">
        <v>0.7770999999999999</v>
      </c>
      <c r="O19" s="84">
        <v>0.82</v>
      </c>
      <c r="P19" s="84">
        <v>0.82</v>
      </c>
      <c r="Q19" s="84">
        <v>0.86260000000000003</v>
      </c>
      <c r="T19" s="90" t="s">
        <v>734</v>
      </c>
      <c r="U19" s="90" t="s">
        <v>102</v>
      </c>
      <c r="Z19" s="91">
        <v>77.72</v>
      </c>
      <c r="AC19" s="91">
        <v>86.21</v>
      </c>
      <c r="AD19" s="91">
        <v>85.33</v>
      </c>
      <c r="AE19" s="92"/>
      <c r="AG19" s="90" t="s">
        <v>734</v>
      </c>
      <c r="AH19" s="84">
        <v>0.56000000000000005</v>
      </c>
      <c r="AI19" s="84">
        <v>0.55000000000000004</v>
      </c>
      <c r="AJ19" s="84">
        <v>0.68</v>
      </c>
      <c r="AK19" s="84">
        <v>0.7770999999999999</v>
      </c>
      <c r="AL19" s="84">
        <v>0.7772</v>
      </c>
      <c r="AM19" s="84">
        <v>0.82</v>
      </c>
      <c r="AN19" s="84">
        <v>0.82</v>
      </c>
      <c r="AO19" s="84">
        <v>0.86209999999999998</v>
      </c>
      <c r="AP19" s="84">
        <v>0.85329999999999995</v>
      </c>
      <c r="AQ19" s="84">
        <v>0.86260000000000003</v>
      </c>
    </row>
    <row r="20" spans="1:43" ht="15.6">
      <c r="A20">
        <v>15</v>
      </c>
      <c r="B20" s="1">
        <v>18</v>
      </c>
      <c r="C20">
        <v>15</v>
      </c>
      <c r="D20" s="24">
        <v>0.441</v>
      </c>
      <c r="F20">
        <v>18</v>
      </c>
      <c r="G20" t="s">
        <v>163</v>
      </c>
      <c r="H20" s="1" t="s">
        <v>102</v>
      </c>
      <c r="I20">
        <f t="shared" si="0"/>
        <v>117</v>
      </c>
      <c r="J20" s="84">
        <v>0.57999999999999996</v>
      </c>
      <c r="K20" s="84">
        <v>0.56999999999999995</v>
      </c>
      <c r="L20" s="84">
        <v>0.71</v>
      </c>
      <c r="M20" s="84">
        <v>0.80769999999999997</v>
      </c>
      <c r="N20" s="84">
        <v>0.80769999999999997</v>
      </c>
      <c r="O20" s="84">
        <v>0.78939999999999999</v>
      </c>
      <c r="P20" s="84">
        <v>0.78939999999999999</v>
      </c>
      <c r="Q20" s="84">
        <v>0.77049999999999996</v>
      </c>
      <c r="T20" s="90" t="s">
        <v>1174</v>
      </c>
      <c r="U20" s="90" t="s">
        <v>102</v>
      </c>
      <c r="Z20" s="91">
        <v>80.78</v>
      </c>
      <c r="AC20" s="91">
        <v>79.05</v>
      </c>
      <c r="AD20" s="91">
        <v>78.16</v>
      </c>
      <c r="AG20" s="90" t="s">
        <v>1174</v>
      </c>
      <c r="AH20" s="84">
        <v>0.57999999999999996</v>
      </c>
      <c r="AI20" s="84">
        <v>0.56999999999999995</v>
      </c>
      <c r="AJ20" s="84">
        <v>0.71</v>
      </c>
      <c r="AK20" s="84">
        <v>0.80769999999999997</v>
      </c>
      <c r="AL20" s="84">
        <v>0.80779999999999996</v>
      </c>
      <c r="AM20" s="84">
        <v>0.78939999999999999</v>
      </c>
      <c r="AN20" s="84">
        <v>0.78939999999999999</v>
      </c>
      <c r="AO20" s="84">
        <v>0.79049999999999998</v>
      </c>
      <c r="AP20" s="84">
        <v>0.78159999999999996</v>
      </c>
      <c r="AQ20" s="84">
        <v>0.77049999999999996</v>
      </c>
    </row>
    <row r="21" spans="1:43" ht="15.6">
      <c r="A21">
        <v>16</v>
      </c>
      <c r="B21" s="1" t="s">
        <v>159</v>
      </c>
      <c r="C21">
        <v>16</v>
      </c>
      <c r="D21" s="24">
        <v>0.441</v>
      </c>
      <c r="F21">
        <v>19</v>
      </c>
      <c r="G21" t="s">
        <v>164</v>
      </c>
      <c r="H21" s="1" t="s">
        <v>102</v>
      </c>
      <c r="I21">
        <f t="shared" si="0"/>
        <v>118</v>
      </c>
      <c r="J21" s="84">
        <v>0.59</v>
      </c>
      <c r="K21" s="84">
        <v>0.57999999999999996</v>
      </c>
      <c r="L21" s="84">
        <v>0.71</v>
      </c>
      <c r="M21" s="84">
        <v>0.80769999999999997</v>
      </c>
      <c r="N21" s="84">
        <v>0.80769999999999997</v>
      </c>
      <c r="O21" s="84">
        <v>0.78939999999999999</v>
      </c>
      <c r="P21" s="84">
        <v>0.78939999999999999</v>
      </c>
      <c r="Q21" s="84">
        <v>0.77049999999999996</v>
      </c>
      <c r="T21" s="90" t="s">
        <v>1175</v>
      </c>
      <c r="U21" s="90" t="s">
        <v>102</v>
      </c>
      <c r="Z21" s="91">
        <v>80.78</v>
      </c>
      <c r="AC21" s="91">
        <v>79.05</v>
      </c>
      <c r="AD21" s="91">
        <v>79.180000000000007</v>
      </c>
      <c r="AG21" s="90" t="s">
        <v>1175</v>
      </c>
      <c r="AH21" s="84">
        <v>0.59</v>
      </c>
      <c r="AI21" s="84">
        <v>0.57999999999999996</v>
      </c>
      <c r="AJ21" s="84">
        <v>0.71</v>
      </c>
      <c r="AK21" s="84">
        <v>0.80769999999999997</v>
      </c>
      <c r="AL21" s="84">
        <v>0.80779999999999996</v>
      </c>
      <c r="AM21" s="84">
        <v>0.78939999999999999</v>
      </c>
      <c r="AN21" s="84">
        <v>0.78939999999999999</v>
      </c>
      <c r="AO21" s="84">
        <v>0.79049999999999998</v>
      </c>
      <c r="AP21" s="84">
        <v>0.79180000000000006</v>
      </c>
      <c r="AQ21" s="84">
        <v>0.77049999999999996</v>
      </c>
    </row>
    <row r="22" spans="1:43" ht="15.6">
      <c r="A22">
        <v>17</v>
      </c>
      <c r="B22" s="1">
        <v>19</v>
      </c>
      <c r="C22">
        <v>17</v>
      </c>
      <c r="D22" s="24">
        <v>0.441</v>
      </c>
      <c r="F22">
        <v>20</v>
      </c>
      <c r="G22" t="s">
        <v>166</v>
      </c>
      <c r="H22" s="1" t="s">
        <v>102</v>
      </c>
      <c r="I22">
        <f t="shared" si="0"/>
        <v>119</v>
      </c>
      <c r="J22" s="84">
        <v>0.61</v>
      </c>
      <c r="K22" s="84">
        <v>0.6</v>
      </c>
      <c r="L22" s="84">
        <v>0.74</v>
      </c>
      <c r="M22" s="84">
        <v>0.83840000000000003</v>
      </c>
      <c r="N22" s="84">
        <v>0.83840000000000003</v>
      </c>
      <c r="O22" s="84">
        <v>0.82</v>
      </c>
      <c r="P22" s="84">
        <v>0.82</v>
      </c>
      <c r="Q22" s="84">
        <v>0.80120000000000002</v>
      </c>
      <c r="T22" s="90" t="s">
        <v>1176</v>
      </c>
      <c r="U22" s="90" t="s">
        <v>102</v>
      </c>
      <c r="Z22" s="91">
        <v>83.85</v>
      </c>
      <c r="AC22" s="91">
        <v>82.12</v>
      </c>
      <c r="AD22" s="91">
        <v>82.25</v>
      </c>
      <c r="AG22" s="90" t="s">
        <v>1176</v>
      </c>
      <c r="AH22" s="84">
        <v>0.61</v>
      </c>
      <c r="AI22" s="84">
        <v>0.6</v>
      </c>
      <c r="AJ22" s="84">
        <v>0.74</v>
      </c>
      <c r="AK22" s="84">
        <v>0.83840000000000003</v>
      </c>
      <c r="AL22" s="84">
        <v>0.83849999999999991</v>
      </c>
      <c r="AM22" s="84">
        <v>0.82</v>
      </c>
      <c r="AN22" s="84">
        <v>0.82</v>
      </c>
      <c r="AO22" s="84">
        <v>0.82120000000000004</v>
      </c>
      <c r="AP22" s="84">
        <v>0.82250000000000001</v>
      </c>
      <c r="AQ22" s="84">
        <v>0.80120000000000002</v>
      </c>
    </row>
    <row r="23" spans="1:43" ht="15.6">
      <c r="A23">
        <v>18</v>
      </c>
      <c r="B23" s="1" t="s">
        <v>162</v>
      </c>
      <c r="C23">
        <v>18</v>
      </c>
      <c r="D23" s="24">
        <v>0.441</v>
      </c>
      <c r="F23">
        <v>21</v>
      </c>
      <c r="G23" t="s">
        <v>167</v>
      </c>
      <c r="H23" s="1" t="s">
        <v>102</v>
      </c>
      <c r="I23">
        <f t="shared" si="0"/>
        <v>120</v>
      </c>
      <c r="J23" s="84">
        <v>0.61</v>
      </c>
      <c r="K23" s="84">
        <v>0.6</v>
      </c>
      <c r="L23" s="84">
        <v>0.74</v>
      </c>
      <c r="M23" s="84">
        <v>0.83840000000000003</v>
      </c>
      <c r="N23" s="84">
        <v>0.83840000000000003</v>
      </c>
      <c r="O23" s="84">
        <v>0.82</v>
      </c>
      <c r="P23" s="84">
        <v>0.82</v>
      </c>
      <c r="Q23" s="84">
        <v>0.80120000000000002</v>
      </c>
      <c r="T23" s="90" t="s">
        <v>1177</v>
      </c>
      <c r="U23" s="90" t="s">
        <v>102</v>
      </c>
      <c r="Z23" s="91">
        <v>83.85</v>
      </c>
      <c r="AC23" s="91">
        <v>82.12</v>
      </c>
      <c r="AD23" s="91">
        <v>82.25</v>
      </c>
      <c r="AG23" s="90" t="s">
        <v>1177</v>
      </c>
      <c r="AH23" s="84">
        <v>0.61</v>
      </c>
      <c r="AI23" s="84">
        <v>0.6</v>
      </c>
      <c r="AJ23" s="84">
        <v>0.74</v>
      </c>
      <c r="AK23" s="84">
        <v>0.83840000000000003</v>
      </c>
      <c r="AL23" s="84">
        <v>0.83849999999999991</v>
      </c>
      <c r="AM23" s="84">
        <v>0.82</v>
      </c>
      <c r="AN23" s="84">
        <v>0.82</v>
      </c>
      <c r="AO23" s="84">
        <v>0.82120000000000004</v>
      </c>
      <c r="AP23" s="84">
        <v>0.82250000000000001</v>
      </c>
      <c r="AQ23" s="84">
        <v>0.80120000000000002</v>
      </c>
    </row>
    <row r="24" spans="1:43" ht="15.6">
      <c r="A24">
        <v>19</v>
      </c>
      <c r="B24" s="1">
        <v>20</v>
      </c>
      <c r="C24">
        <v>19</v>
      </c>
      <c r="D24" s="24">
        <v>0.69699999999999995</v>
      </c>
      <c r="F24">
        <v>22</v>
      </c>
      <c r="G24" t="s">
        <v>169</v>
      </c>
      <c r="H24" s="1" t="s">
        <v>102</v>
      </c>
      <c r="I24">
        <f t="shared" si="0"/>
        <v>121</v>
      </c>
      <c r="J24" s="84">
        <v>0.61</v>
      </c>
      <c r="K24" s="84">
        <v>0.6</v>
      </c>
      <c r="L24" s="84">
        <v>0.74</v>
      </c>
      <c r="M24" s="84">
        <v>0.83840000000000003</v>
      </c>
      <c r="N24" s="84">
        <v>0.83840000000000003</v>
      </c>
      <c r="O24" s="84">
        <v>0.82</v>
      </c>
      <c r="P24" s="84">
        <v>0.82</v>
      </c>
      <c r="Q24" s="84">
        <v>0.80120000000000002</v>
      </c>
      <c r="T24" s="90" t="s">
        <v>1178</v>
      </c>
      <c r="U24" s="90" t="s">
        <v>102</v>
      </c>
      <c r="Z24" s="91">
        <v>83.85</v>
      </c>
      <c r="AC24" s="91">
        <v>82.12</v>
      </c>
      <c r="AD24" s="91">
        <v>82.25</v>
      </c>
      <c r="AG24" s="90" t="s">
        <v>1178</v>
      </c>
      <c r="AH24" s="84">
        <v>0.61</v>
      </c>
      <c r="AI24" s="84">
        <v>0.6</v>
      </c>
      <c r="AJ24" s="84">
        <v>0.74</v>
      </c>
      <c r="AK24" s="84">
        <v>0.83840000000000003</v>
      </c>
      <c r="AL24" s="84">
        <v>0.83849999999999991</v>
      </c>
      <c r="AM24" s="84">
        <v>0.82</v>
      </c>
      <c r="AN24" s="84">
        <v>0.82</v>
      </c>
      <c r="AO24" s="84">
        <v>0.82120000000000004</v>
      </c>
      <c r="AP24" s="84">
        <v>0.82250000000000001</v>
      </c>
      <c r="AQ24" s="84">
        <v>0.80120000000000002</v>
      </c>
    </row>
    <row r="25" spans="1:43" ht="15.6">
      <c r="A25">
        <v>20</v>
      </c>
      <c r="B25" s="1" t="s">
        <v>165</v>
      </c>
      <c r="C25">
        <v>20</v>
      </c>
      <c r="D25" s="24">
        <v>0.69699999999999995</v>
      </c>
      <c r="F25">
        <v>23</v>
      </c>
      <c r="G25" t="s">
        <v>170</v>
      </c>
      <c r="H25" s="1" t="s">
        <v>102</v>
      </c>
      <c r="I25">
        <f t="shared" si="0"/>
        <v>122</v>
      </c>
      <c r="J25" s="84">
        <v>0.70239999999999991</v>
      </c>
      <c r="K25" s="84">
        <v>0.67709999999999992</v>
      </c>
      <c r="L25" s="84">
        <v>0.83640000000000003</v>
      </c>
      <c r="M25" s="84">
        <v>0.9516</v>
      </c>
      <c r="N25" s="84">
        <v>0.9516</v>
      </c>
      <c r="O25" s="84">
        <v>0.94299999999999995</v>
      </c>
      <c r="P25" s="84">
        <v>0.94290000000000007</v>
      </c>
      <c r="Q25" s="84">
        <v>0.98849999999999993</v>
      </c>
      <c r="T25" s="90" t="s">
        <v>735</v>
      </c>
      <c r="U25" s="90" t="s">
        <v>102</v>
      </c>
      <c r="Z25" s="91">
        <v>95.15</v>
      </c>
      <c r="AC25" s="91">
        <v>96.6</v>
      </c>
      <c r="AD25" s="91">
        <v>100.04</v>
      </c>
      <c r="AG25" s="90" t="s">
        <v>735</v>
      </c>
      <c r="AH25" s="84">
        <v>0.70239999999999991</v>
      </c>
      <c r="AI25" s="84">
        <v>0.67709999999999992</v>
      </c>
      <c r="AJ25" s="84">
        <v>0.83640000000000003</v>
      </c>
      <c r="AK25" s="84">
        <v>0.9516</v>
      </c>
      <c r="AL25" s="84">
        <v>0.95150000000000001</v>
      </c>
      <c r="AM25" s="84">
        <v>0.94299999999999995</v>
      </c>
      <c r="AN25" s="84">
        <v>0.94290000000000007</v>
      </c>
      <c r="AO25" s="84">
        <v>0.96599999999999997</v>
      </c>
      <c r="AP25" s="84">
        <v>1.0004</v>
      </c>
      <c r="AQ25" s="84">
        <v>0.98849999999999993</v>
      </c>
    </row>
    <row r="26" spans="1:43" ht="15.6">
      <c r="A26">
        <v>21</v>
      </c>
      <c r="B26" s="1">
        <v>21</v>
      </c>
      <c r="C26">
        <v>21</v>
      </c>
      <c r="D26" s="24"/>
      <c r="F26">
        <v>24</v>
      </c>
      <c r="G26" t="s">
        <v>172</v>
      </c>
      <c r="H26" s="1" t="s">
        <v>102</v>
      </c>
      <c r="I26">
        <f t="shared" si="0"/>
        <v>123</v>
      </c>
      <c r="J26" s="84">
        <v>0.60899999999999999</v>
      </c>
      <c r="K26" s="84">
        <v>0.58509999999999995</v>
      </c>
      <c r="L26" s="84">
        <v>0.73560000000000003</v>
      </c>
      <c r="M26" s="84">
        <v>0.84450000000000003</v>
      </c>
      <c r="N26" s="84">
        <v>0.84450000000000003</v>
      </c>
      <c r="O26" s="84">
        <v>0.83629999999999993</v>
      </c>
      <c r="P26" s="84">
        <v>0.83629999999999993</v>
      </c>
      <c r="Q26" s="84">
        <v>0.87939999999999996</v>
      </c>
      <c r="T26" s="90" t="s">
        <v>1179</v>
      </c>
      <c r="U26" s="90" t="s">
        <v>102</v>
      </c>
      <c r="Z26" s="91">
        <v>84.44</v>
      </c>
      <c r="AC26" s="91">
        <v>85.81</v>
      </c>
      <c r="AD26" s="91">
        <v>89.06</v>
      </c>
      <c r="AG26" s="90" t="s">
        <v>1179</v>
      </c>
      <c r="AH26" s="84">
        <v>0.60899999999999999</v>
      </c>
      <c r="AI26" s="84">
        <v>0.58509999999999995</v>
      </c>
      <c r="AJ26" s="84">
        <v>0.73560000000000003</v>
      </c>
      <c r="AK26" s="84">
        <v>0.84450000000000003</v>
      </c>
      <c r="AL26" s="84">
        <v>0.84439999999999993</v>
      </c>
      <c r="AM26" s="84">
        <v>0.83629999999999993</v>
      </c>
      <c r="AN26" s="84">
        <v>0.83629999999999993</v>
      </c>
      <c r="AO26" s="84">
        <v>0.85809999999999997</v>
      </c>
      <c r="AP26" s="84">
        <v>0.89060000000000006</v>
      </c>
      <c r="AQ26" s="84">
        <v>0.87939999999999996</v>
      </c>
    </row>
    <row r="27" spans="1:43">
      <c r="A27">
        <v>22</v>
      </c>
      <c r="B27" s="1" t="s">
        <v>168</v>
      </c>
      <c r="C27">
        <v>22</v>
      </c>
      <c r="F27">
        <v>25</v>
      </c>
      <c r="G27" t="s">
        <v>173</v>
      </c>
      <c r="H27" s="1" t="s">
        <v>102</v>
      </c>
      <c r="I27">
        <f t="shared" si="0"/>
        <v>124</v>
      </c>
      <c r="J27" s="84">
        <v>0.67336000000000018</v>
      </c>
      <c r="K27" s="84">
        <v>0.64850400000000008</v>
      </c>
      <c r="L27" s="84">
        <v>0.80502399999999996</v>
      </c>
      <c r="M27" s="84">
        <v>0.91827999999999999</v>
      </c>
      <c r="N27" s="84">
        <v>0.91827999999999999</v>
      </c>
      <c r="O27" s="84">
        <v>0.90975200000000001</v>
      </c>
      <c r="P27" s="84">
        <v>0.90975200000000001</v>
      </c>
      <c r="Q27" s="84">
        <v>0.95457600000000009</v>
      </c>
      <c r="T27" s="90" t="s">
        <v>1180</v>
      </c>
      <c r="U27" s="90" t="s">
        <v>102</v>
      </c>
      <c r="Z27" s="91">
        <v>91.817599999999999</v>
      </c>
      <c r="AC27" s="91">
        <v>93.242400000000004</v>
      </c>
      <c r="AD27" s="91">
        <v>96.622399999999999</v>
      </c>
      <c r="AG27" s="90" t="s">
        <v>1180</v>
      </c>
      <c r="AH27" s="84">
        <v>0.67336000000000018</v>
      </c>
      <c r="AI27" s="84">
        <v>0.64850400000000008</v>
      </c>
      <c r="AJ27" s="84">
        <v>0.80502399999999996</v>
      </c>
      <c r="AK27" s="84">
        <v>0.91827999999999999</v>
      </c>
      <c r="AL27" s="84">
        <v>0.91817599999999999</v>
      </c>
      <c r="AM27" s="84">
        <v>0.90975200000000001</v>
      </c>
      <c r="AN27" s="84">
        <v>0.90975200000000001</v>
      </c>
      <c r="AO27" s="84">
        <v>0.93242400000000003</v>
      </c>
      <c r="AP27" s="84">
        <v>0.96622399999999997</v>
      </c>
      <c r="AQ27" s="84">
        <v>0.95457600000000009</v>
      </c>
    </row>
    <row r="28" spans="1:43">
      <c r="A28">
        <v>23</v>
      </c>
      <c r="B28" s="1">
        <v>22</v>
      </c>
      <c r="C28">
        <v>23</v>
      </c>
      <c r="F28">
        <v>26</v>
      </c>
      <c r="G28" t="s">
        <v>175</v>
      </c>
      <c r="H28" s="1" t="s">
        <v>102</v>
      </c>
      <c r="I28">
        <f t="shared" si="0"/>
        <v>125</v>
      </c>
      <c r="J28" s="84">
        <v>0.73772000000000015</v>
      </c>
      <c r="K28" s="84">
        <v>0.71190799999999999</v>
      </c>
      <c r="L28" s="84">
        <v>0.87444800000000011</v>
      </c>
      <c r="M28" s="84">
        <v>0.99205999999999994</v>
      </c>
      <c r="N28" s="84">
        <v>0.99205999999999994</v>
      </c>
      <c r="O28" s="84">
        <v>0.98320400000000008</v>
      </c>
      <c r="P28" s="84">
        <v>0.98320400000000008</v>
      </c>
      <c r="Q28" s="84">
        <v>1.029752</v>
      </c>
      <c r="T28" s="90" t="s">
        <v>1180</v>
      </c>
      <c r="U28" s="90" t="s">
        <v>102</v>
      </c>
      <c r="Z28" s="91">
        <v>99.1952</v>
      </c>
      <c r="AC28" s="91">
        <v>100.6748</v>
      </c>
      <c r="AD28" s="91">
        <v>104.18480000000002</v>
      </c>
      <c r="AG28" s="90" t="s">
        <v>1180</v>
      </c>
      <c r="AH28" s="84">
        <v>0.73772000000000015</v>
      </c>
      <c r="AI28" s="84">
        <v>0.71190799999999999</v>
      </c>
      <c r="AJ28" s="84">
        <v>0.87444800000000011</v>
      </c>
      <c r="AK28" s="84">
        <v>0.99205999999999994</v>
      </c>
      <c r="AL28" s="84">
        <v>0.99195199999999994</v>
      </c>
      <c r="AM28" s="84">
        <v>0.98320400000000008</v>
      </c>
      <c r="AN28" s="84">
        <v>0.98320400000000008</v>
      </c>
      <c r="AO28" s="84">
        <v>1.006748</v>
      </c>
      <c r="AP28" s="84">
        <v>1.0418480000000003</v>
      </c>
      <c r="AQ28" s="84">
        <v>1.029752</v>
      </c>
    </row>
    <row r="29" spans="1:43">
      <c r="A29">
        <v>24</v>
      </c>
      <c r="B29" s="1" t="s">
        <v>171</v>
      </c>
      <c r="C29">
        <v>24</v>
      </c>
      <c r="F29">
        <v>27</v>
      </c>
      <c r="G29" t="s">
        <v>176</v>
      </c>
      <c r="H29" s="1" t="s">
        <v>102</v>
      </c>
      <c r="I29">
        <f t="shared" si="0"/>
        <v>126</v>
      </c>
      <c r="J29" s="84">
        <v>0.69950000000000001</v>
      </c>
      <c r="K29" s="84">
        <v>0.68900000000000006</v>
      </c>
      <c r="L29" s="84">
        <v>0.85790000000000011</v>
      </c>
      <c r="M29" s="84">
        <v>1.0112999999999999</v>
      </c>
      <c r="N29" s="84">
        <v>1.0112999999999999</v>
      </c>
      <c r="O29" s="84">
        <v>1.0456999999999999</v>
      </c>
      <c r="P29" s="84">
        <v>1.0339</v>
      </c>
      <c r="Q29" s="84">
        <v>1.1040999999999999</v>
      </c>
      <c r="T29" s="90" t="s">
        <v>1128</v>
      </c>
      <c r="U29" s="90" t="s">
        <v>102</v>
      </c>
      <c r="Z29" s="91">
        <v>101.13</v>
      </c>
      <c r="AC29" s="91">
        <v>109.24</v>
      </c>
      <c r="AD29" s="91">
        <v>112.75</v>
      </c>
      <c r="AG29" s="90" t="s">
        <v>1128</v>
      </c>
      <c r="AH29" s="84">
        <v>0.69950000000000001</v>
      </c>
      <c r="AI29" s="84">
        <v>0.68900000000000006</v>
      </c>
      <c r="AJ29" s="84">
        <v>0.85790000000000011</v>
      </c>
      <c r="AK29" s="84">
        <v>1.0112999999999999</v>
      </c>
      <c r="AL29" s="84">
        <v>1.0112999999999999</v>
      </c>
      <c r="AM29" s="84">
        <v>1.0456999999999999</v>
      </c>
      <c r="AN29" s="84">
        <v>1.0339</v>
      </c>
      <c r="AO29" s="84">
        <v>1.0924</v>
      </c>
      <c r="AP29" s="84">
        <v>1.1274999999999999</v>
      </c>
      <c r="AQ29" s="84">
        <v>1.1040999999999999</v>
      </c>
    </row>
    <row r="30" spans="1:43">
      <c r="A30">
        <v>25</v>
      </c>
      <c r="B30" s="1">
        <v>23</v>
      </c>
      <c r="C30">
        <v>25</v>
      </c>
      <c r="F30">
        <v>28</v>
      </c>
      <c r="G30" t="s">
        <v>178</v>
      </c>
      <c r="H30" s="1" t="s">
        <v>102</v>
      </c>
      <c r="I30">
        <f t="shared" si="0"/>
        <v>127</v>
      </c>
      <c r="J30" s="84">
        <v>0.63</v>
      </c>
      <c r="K30" s="84">
        <v>0.62</v>
      </c>
      <c r="L30" s="84">
        <v>0.78200000000000003</v>
      </c>
      <c r="M30" s="84">
        <v>0.92909999999999993</v>
      </c>
      <c r="N30" s="84">
        <v>0.92909999999999993</v>
      </c>
      <c r="O30" s="84">
        <v>0.96209999999999996</v>
      </c>
      <c r="P30" s="84">
        <v>0.95079999999999998</v>
      </c>
      <c r="Q30" s="84">
        <v>1.0181</v>
      </c>
      <c r="T30" s="90" t="s">
        <v>1181</v>
      </c>
      <c r="U30" s="90" t="s">
        <v>102</v>
      </c>
      <c r="Z30" s="91">
        <v>92.91</v>
      </c>
      <c r="AC30" s="91">
        <v>100.69</v>
      </c>
      <c r="AD30" s="91">
        <v>104.05</v>
      </c>
      <c r="AG30" s="90" t="s">
        <v>1181</v>
      </c>
      <c r="AH30" s="84">
        <v>0.63</v>
      </c>
      <c r="AI30" s="84">
        <v>0.62</v>
      </c>
      <c r="AJ30" s="84">
        <v>0.78200000000000003</v>
      </c>
      <c r="AK30" s="84">
        <v>0.92909999999999993</v>
      </c>
      <c r="AL30" s="84">
        <v>0.92909999999999993</v>
      </c>
      <c r="AM30" s="84">
        <v>0.96209999999999996</v>
      </c>
      <c r="AN30" s="84">
        <v>0.95079999999999998</v>
      </c>
      <c r="AO30" s="84">
        <v>1.0068999999999999</v>
      </c>
      <c r="AP30" s="84">
        <v>1.0405</v>
      </c>
      <c r="AQ30" s="84">
        <v>1.0181</v>
      </c>
    </row>
    <row r="31" spans="1:43">
      <c r="A31">
        <v>26</v>
      </c>
      <c r="B31" s="1" t="s">
        <v>174</v>
      </c>
      <c r="C31">
        <v>26</v>
      </c>
      <c r="F31">
        <v>29</v>
      </c>
      <c r="G31" t="s">
        <v>179</v>
      </c>
      <c r="H31" s="1" t="s">
        <v>102</v>
      </c>
      <c r="I31">
        <f t="shared" si="0"/>
        <v>128</v>
      </c>
      <c r="J31" s="84">
        <v>0.63</v>
      </c>
      <c r="K31" s="84">
        <v>0.62</v>
      </c>
      <c r="L31" s="84">
        <v>0.78200000000000003</v>
      </c>
      <c r="M31" s="84">
        <v>0.92909999999999993</v>
      </c>
      <c r="N31" s="84">
        <v>0.92909999999999993</v>
      </c>
      <c r="O31" s="84">
        <v>0.96209999999999996</v>
      </c>
      <c r="P31" s="84">
        <v>0.95079999999999998</v>
      </c>
      <c r="Q31" s="84">
        <v>1.0181</v>
      </c>
      <c r="T31" s="90" t="s">
        <v>1182</v>
      </c>
      <c r="U31" s="90" t="s">
        <v>102</v>
      </c>
      <c r="Z31" s="91">
        <v>92.91</v>
      </c>
      <c r="AC31" s="91">
        <v>100.69</v>
      </c>
      <c r="AD31" s="91">
        <v>104.05</v>
      </c>
      <c r="AG31" s="90" t="s">
        <v>1182</v>
      </c>
      <c r="AH31" s="84">
        <v>0.63</v>
      </c>
      <c r="AI31" s="84">
        <v>0.62</v>
      </c>
      <c r="AJ31" s="84">
        <v>0.78200000000000003</v>
      </c>
      <c r="AK31" s="84">
        <v>0.92909999999999993</v>
      </c>
      <c r="AL31" s="84">
        <v>0.92909999999999993</v>
      </c>
      <c r="AM31" s="84">
        <v>0.96209999999999996</v>
      </c>
      <c r="AN31" s="84">
        <v>0.95079999999999998</v>
      </c>
      <c r="AO31" s="84">
        <v>1.0068999999999999</v>
      </c>
      <c r="AP31" s="84">
        <v>1.0405</v>
      </c>
      <c r="AQ31" s="84">
        <v>1.0181</v>
      </c>
    </row>
    <row r="32" spans="1:43">
      <c r="A32">
        <v>27</v>
      </c>
      <c r="B32" s="1">
        <v>24</v>
      </c>
      <c r="C32">
        <v>27</v>
      </c>
      <c r="F32">
        <v>29</v>
      </c>
      <c r="G32" t="s">
        <v>138</v>
      </c>
      <c r="H32" s="1" t="s">
        <v>103</v>
      </c>
      <c r="I32">
        <v>200</v>
      </c>
      <c r="J32" s="84">
        <v>0.27410000000000001</v>
      </c>
      <c r="K32" s="84">
        <v>0.26179999999999998</v>
      </c>
      <c r="L32" s="84">
        <v>0.25230000000000002</v>
      </c>
      <c r="M32" s="84">
        <v>0.26929999999999998</v>
      </c>
      <c r="N32" s="84">
        <v>0.26929999999999998</v>
      </c>
      <c r="O32" s="84">
        <v>0.28670000000000001</v>
      </c>
      <c r="P32" s="84">
        <v>0.28389999999999999</v>
      </c>
      <c r="Q32" s="84">
        <v>0.38429999999999997</v>
      </c>
      <c r="T32" s="94" t="s">
        <v>138</v>
      </c>
      <c r="U32" s="94" t="s">
        <v>103</v>
      </c>
      <c r="Z32" s="91">
        <v>26.93</v>
      </c>
      <c r="AC32" s="91">
        <v>29.68</v>
      </c>
      <c r="AD32" s="91">
        <v>27.12</v>
      </c>
      <c r="AG32" t="s">
        <v>138</v>
      </c>
      <c r="AH32" s="84">
        <v>0.27410000000000001</v>
      </c>
      <c r="AI32" s="84">
        <v>0.26179999999999998</v>
      </c>
      <c r="AJ32" s="84">
        <v>0.25230000000000002</v>
      </c>
      <c r="AK32" s="84">
        <v>0.26929999999999998</v>
      </c>
      <c r="AL32" s="84">
        <v>0.26929999999999998</v>
      </c>
      <c r="AM32" s="84">
        <v>0.28670000000000001</v>
      </c>
      <c r="AN32" s="84">
        <v>0.28389999999999999</v>
      </c>
      <c r="AO32" s="84">
        <v>0.29680000000000001</v>
      </c>
      <c r="AP32" s="84">
        <v>0.2712</v>
      </c>
      <c r="AQ32" s="84">
        <v>0.38429999999999997</v>
      </c>
    </row>
    <row r="33" spans="1:43">
      <c r="A33">
        <v>28</v>
      </c>
      <c r="B33" s="1" t="s">
        <v>177</v>
      </c>
      <c r="C33">
        <v>28</v>
      </c>
      <c r="F33">
        <v>30</v>
      </c>
      <c r="G33" t="s">
        <v>139</v>
      </c>
      <c r="H33" s="1" t="s">
        <v>103</v>
      </c>
      <c r="I33">
        <f>+I32+1</f>
        <v>201</v>
      </c>
      <c r="J33" s="84">
        <v>0.28000000000000003</v>
      </c>
      <c r="K33" s="84">
        <v>0.28000000000000003</v>
      </c>
      <c r="L33" s="84">
        <v>0.28000000000000003</v>
      </c>
      <c r="M33" s="84">
        <v>0.3</v>
      </c>
      <c r="N33" s="84">
        <v>0.3</v>
      </c>
      <c r="O33" s="84">
        <v>0.32</v>
      </c>
      <c r="P33" s="84">
        <v>0.31</v>
      </c>
      <c r="Q33" s="84">
        <v>0.42</v>
      </c>
      <c r="T33" s="94" t="s">
        <v>139</v>
      </c>
      <c r="U33" s="94" t="s">
        <v>103</v>
      </c>
      <c r="Z33" s="91">
        <v>30</v>
      </c>
      <c r="AC33" s="91">
        <v>33</v>
      </c>
      <c r="AD33" s="91">
        <v>31</v>
      </c>
      <c r="AG33" t="s">
        <v>139</v>
      </c>
      <c r="AH33" s="84">
        <v>0.28000000000000003</v>
      </c>
      <c r="AI33" s="84">
        <v>0.28000000000000003</v>
      </c>
      <c r="AJ33" s="84">
        <v>0.28000000000000003</v>
      </c>
      <c r="AK33" s="84">
        <v>0.3</v>
      </c>
      <c r="AL33" s="84">
        <v>0.3</v>
      </c>
      <c r="AM33" s="84">
        <v>0.32</v>
      </c>
      <c r="AN33" s="84">
        <v>0.31</v>
      </c>
      <c r="AO33" s="84">
        <v>0.33</v>
      </c>
      <c r="AP33" s="84">
        <v>0.31</v>
      </c>
      <c r="AQ33" s="84">
        <v>0.42</v>
      </c>
    </row>
    <row r="34" spans="1:43">
      <c r="A34">
        <v>29</v>
      </c>
      <c r="B34" s="1">
        <v>25</v>
      </c>
      <c r="C34">
        <v>29</v>
      </c>
      <c r="F34">
        <v>31</v>
      </c>
      <c r="G34" t="s">
        <v>140</v>
      </c>
      <c r="H34" s="1" t="s">
        <v>103</v>
      </c>
      <c r="I34">
        <f t="shared" ref="I34:I60" si="1">+I33+1</f>
        <v>202</v>
      </c>
      <c r="J34" s="84">
        <v>0.28000000000000003</v>
      </c>
      <c r="K34" s="84">
        <v>0.28000000000000003</v>
      </c>
      <c r="L34" s="84">
        <v>0.28000000000000003</v>
      </c>
      <c r="M34" s="84">
        <v>0.35200000000000004</v>
      </c>
      <c r="N34" s="84">
        <v>0.35200000000000004</v>
      </c>
      <c r="O34" s="84">
        <v>0.3992</v>
      </c>
      <c r="P34" s="84">
        <v>0.3886</v>
      </c>
      <c r="Q34" s="84">
        <v>0.50519999999999998</v>
      </c>
      <c r="T34" s="94" t="s">
        <v>1164</v>
      </c>
      <c r="U34" s="94" t="s">
        <v>103</v>
      </c>
      <c r="Z34" s="91">
        <v>35.200000000000003</v>
      </c>
      <c r="AC34" s="91">
        <v>40.98</v>
      </c>
      <c r="AD34" s="91">
        <v>38.86</v>
      </c>
      <c r="AG34" t="s">
        <v>1164</v>
      </c>
      <c r="AH34" s="84">
        <v>0.28000000000000003</v>
      </c>
      <c r="AI34" s="84">
        <v>0.28000000000000003</v>
      </c>
      <c r="AJ34" s="84">
        <v>0.28000000000000003</v>
      </c>
      <c r="AK34" s="84">
        <v>0.35200000000000004</v>
      </c>
      <c r="AL34" s="84">
        <v>0.35200000000000004</v>
      </c>
      <c r="AM34" s="84">
        <v>0.3992</v>
      </c>
      <c r="AN34" s="84">
        <v>0.3886</v>
      </c>
      <c r="AO34" s="84">
        <v>0.40979999999999994</v>
      </c>
      <c r="AP34" s="84">
        <v>0.3886</v>
      </c>
      <c r="AQ34" s="84">
        <v>0.50519999999999998</v>
      </c>
    </row>
    <row r="35" spans="1:43">
      <c r="A35">
        <v>30</v>
      </c>
      <c r="B35" s="1" t="s">
        <v>180</v>
      </c>
      <c r="C35">
        <v>30</v>
      </c>
      <c r="F35">
        <v>32</v>
      </c>
      <c r="G35" t="s">
        <v>142</v>
      </c>
      <c r="H35" s="1" t="s">
        <v>103</v>
      </c>
      <c r="I35">
        <f t="shared" si="1"/>
        <v>203</v>
      </c>
      <c r="J35" s="84">
        <v>0.56059999999999999</v>
      </c>
      <c r="K35" s="84">
        <v>0.56059999999999999</v>
      </c>
      <c r="L35" s="84">
        <v>0.56059999999999999</v>
      </c>
      <c r="M35" s="84">
        <v>0.72450000000000003</v>
      </c>
      <c r="N35" s="84">
        <v>0.72450000000000003</v>
      </c>
      <c r="O35" s="84">
        <v>0.73260000000000003</v>
      </c>
      <c r="P35" s="84">
        <v>0.73260000000000003</v>
      </c>
      <c r="Q35" s="84">
        <v>0.71450000000000002</v>
      </c>
      <c r="T35" s="94" t="s">
        <v>142</v>
      </c>
      <c r="U35" s="94" t="s">
        <v>103</v>
      </c>
      <c r="Z35" s="91">
        <v>72.45</v>
      </c>
      <c r="AC35" s="91">
        <v>72.38</v>
      </c>
      <c r="AD35" s="91">
        <v>72.55</v>
      </c>
      <c r="AG35" t="s">
        <v>142</v>
      </c>
      <c r="AH35" s="84">
        <v>0.56059999999999999</v>
      </c>
      <c r="AI35" s="84">
        <v>0.56059999999999999</v>
      </c>
      <c r="AJ35" s="84">
        <v>0.56059999999999999</v>
      </c>
      <c r="AK35" s="84">
        <v>0.72450000000000003</v>
      </c>
      <c r="AL35" s="84">
        <v>0.72450000000000003</v>
      </c>
      <c r="AM35" s="84">
        <v>0.73260000000000003</v>
      </c>
      <c r="AN35" s="84">
        <v>0.73260000000000003</v>
      </c>
      <c r="AO35" s="84">
        <v>0.7238</v>
      </c>
      <c r="AP35" s="84">
        <v>0.72549999999999992</v>
      </c>
      <c r="AQ35" s="84">
        <v>0.71450000000000002</v>
      </c>
    </row>
    <row r="36" spans="1:43">
      <c r="A36">
        <v>31</v>
      </c>
      <c r="B36" s="1" t="s">
        <v>702</v>
      </c>
      <c r="C36">
        <v>31</v>
      </c>
      <c r="F36">
        <v>33</v>
      </c>
      <c r="G36" t="s">
        <v>143</v>
      </c>
      <c r="H36" s="1" t="s">
        <v>103</v>
      </c>
      <c r="I36">
        <f t="shared" si="1"/>
        <v>204</v>
      </c>
      <c r="J36" s="84">
        <v>0.72</v>
      </c>
      <c r="K36" s="84">
        <v>0.72</v>
      </c>
      <c r="L36" s="84">
        <v>0.72</v>
      </c>
      <c r="M36" s="84">
        <v>0.89439999999999997</v>
      </c>
      <c r="N36" s="84">
        <v>0.89439999999999997</v>
      </c>
      <c r="O36" s="84">
        <v>0.91220000000000001</v>
      </c>
      <c r="P36" s="84">
        <v>0.91220000000000001</v>
      </c>
      <c r="Q36" s="84">
        <v>0.89480000000000004</v>
      </c>
      <c r="T36" s="94" t="s">
        <v>1165</v>
      </c>
      <c r="U36" s="94" t="s">
        <v>103</v>
      </c>
      <c r="Z36" s="91">
        <v>89.43</v>
      </c>
      <c r="AC36" s="91">
        <v>89.36</v>
      </c>
      <c r="AD36" s="91">
        <v>89.55</v>
      </c>
      <c r="AG36" t="s">
        <v>1165</v>
      </c>
      <c r="AH36" s="84">
        <v>0.72</v>
      </c>
      <c r="AI36" s="84">
        <v>0.72</v>
      </c>
      <c r="AJ36" s="84">
        <v>0.72</v>
      </c>
      <c r="AK36" s="84">
        <v>0.89439999999999997</v>
      </c>
      <c r="AL36" s="84">
        <v>0.89430000000000009</v>
      </c>
      <c r="AM36" s="84">
        <v>0.91220000000000001</v>
      </c>
      <c r="AN36" s="84">
        <v>0.91220000000000001</v>
      </c>
      <c r="AO36" s="84">
        <v>0.89359999999999995</v>
      </c>
      <c r="AP36" s="84">
        <v>0.89549999999999996</v>
      </c>
      <c r="AQ36" s="84">
        <v>0.89480000000000004</v>
      </c>
    </row>
    <row r="37" spans="1:43">
      <c r="A37">
        <v>32</v>
      </c>
      <c r="B37" s="1" t="s">
        <v>702</v>
      </c>
      <c r="C37">
        <v>32</v>
      </c>
      <c r="F37">
        <v>34</v>
      </c>
      <c r="G37" t="s">
        <v>145</v>
      </c>
      <c r="H37" s="1" t="s">
        <v>103</v>
      </c>
      <c r="I37">
        <f t="shared" si="1"/>
        <v>205</v>
      </c>
      <c r="J37" s="84"/>
      <c r="K37" s="84"/>
      <c r="L37" s="84"/>
      <c r="M37" s="84"/>
      <c r="N37" s="84"/>
      <c r="O37" s="84"/>
      <c r="P37" s="84"/>
      <c r="Q37" s="84"/>
      <c r="T37" s="94"/>
      <c r="U37" s="94"/>
      <c r="Z37" s="91"/>
      <c r="AC37" s="91"/>
      <c r="AD37" s="91"/>
      <c r="AH37" s="84"/>
      <c r="AI37" s="84"/>
      <c r="AJ37" s="84"/>
      <c r="AK37" s="84"/>
      <c r="AL37" s="84"/>
      <c r="AM37" s="84"/>
      <c r="AN37" s="84"/>
      <c r="AO37" s="84"/>
      <c r="AP37" s="84"/>
      <c r="AQ37" s="84"/>
    </row>
    <row r="38" spans="1:43">
      <c r="A38">
        <v>33</v>
      </c>
      <c r="B38" s="1">
        <v>34</v>
      </c>
      <c r="C38">
        <v>33</v>
      </c>
      <c r="F38">
        <v>35</v>
      </c>
      <c r="G38" t="s">
        <v>146</v>
      </c>
      <c r="H38" s="1" t="s">
        <v>103</v>
      </c>
      <c r="I38">
        <f t="shared" si="1"/>
        <v>206</v>
      </c>
      <c r="J38" s="84">
        <v>0.89</v>
      </c>
      <c r="K38" s="84">
        <v>0.89</v>
      </c>
      <c r="L38" s="84">
        <v>0.89</v>
      </c>
      <c r="M38" s="84">
        <v>0.99750000000000005</v>
      </c>
      <c r="N38" s="84">
        <v>0.99750000000000005</v>
      </c>
      <c r="O38" s="84">
        <v>1.0164</v>
      </c>
      <c r="P38" s="84">
        <v>1.0165</v>
      </c>
      <c r="Q38" s="84">
        <v>0.99879999999999991</v>
      </c>
      <c r="T38" s="94" t="s">
        <v>1126</v>
      </c>
      <c r="U38" s="94" t="s">
        <v>103</v>
      </c>
      <c r="Z38" s="91">
        <v>99.75</v>
      </c>
      <c r="AC38" s="91">
        <v>100.79</v>
      </c>
      <c r="AD38" s="91">
        <v>99.97</v>
      </c>
      <c r="AG38" t="s">
        <v>1126</v>
      </c>
      <c r="AH38" s="84">
        <v>0.89</v>
      </c>
      <c r="AI38" s="84">
        <v>0.89</v>
      </c>
      <c r="AJ38" s="84">
        <v>0.89</v>
      </c>
      <c r="AK38" s="84">
        <v>0.99750000000000005</v>
      </c>
      <c r="AL38" s="84">
        <v>0.99750000000000005</v>
      </c>
      <c r="AM38" s="84">
        <v>1.0164</v>
      </c>
      <c r="AN38" s="84">
        <v>1.0165</v>
      </c>
      <c r="AO38" s="84">
        <v>1.0079</v>
      </c>
      <c r="AP38" s="84">
        <v>0.99970000000000003</v>
      </c>
      <c r="AQ38" s="84">
        <v>0.99879999999999991</v>
      </c>
    </row>
    <row r="39" spans="1:43">
      <c r="A39">
        <v>34</v>
      </c>
      <c r="B39" s="1" t="s">
        <v>187</v>
      </c>
      <c r="C39">
        <v>34</v>
      </c>
      <c r="F39">
        <v>36</v>
      </c>
      <c r="G39" t="s">
        <v>148</v>
      </c>
      <c r="H39" s="1" t="s">
        <v>103</v>
      </c>
      <c r="I39">
        <f t="shared" si="1"/>
        <v>207</v>
      </c>
      <c r="J39" s="84">
        <v>0.89</v>
      </c>
      <c r="K39" s="84">
        <v>0.89</v>
      </c>
      <c r="L39" s="84">
        <v>0.89</v>
      </c>
      <c r="M39" s="84">
        <v>0.99750000000000005</v>
      </c>
      <c r="N39" s="84">
        <v>0.99750000000000005</v>
      </c>
      <c r="O39" s="84">
        <v>1.0164</v>
      </c>
      <c r="P39" s="84">
        <v>1.0165</v>
      </c>
      <c r="Q39" s="84">
        <v>0.99879999999999991</v>
      </c>
      <c r="T39" s="94" t="s">
        <v>1166</v>
      </c>
      <c r="U39" s="94" t="s">
        <v>103</v>
      </c>
      <c r="Z39" s="91">
        <v>99.75</v>
      </c>
      <c r="AC39" s="91">
        <v>100.79</v>
      </c>
      <c r="AD39" s="91">
        <v>99.97</v>
      </c>
      <c r="AG39" t="s">
        <v>1166</v>
      </c>
      <c r="AH39" s="84">
        <v>0.89</v>
      </c>
      <c r="AI39" s="84">
        <v>0.89</v>
      </c>
      <c r="AJ39" s="84">
        <v>0.89</v>
      </c>
      <c r="AK39" s="84">
        <v>0.99750000000000005</v>
      </c>
      <c r="AL39" s="84">
        <v>0.99750000000000005</v>
      </c>
      <c r="AM39" s="84">
        <v>1.0164</v>
      </c>
      <c r="AN39" s="84">
        <v>1.0165</v>
      </c>
      <c r="AO39" s="84">
        <v>1.0079</v>
      </c>
      <c r="AP39" s="84">
        <v>0.99970000000000003</v>
      </c>
      <c r="AQ39" s="84">
        <v>0.99879999999999991</v>
      </c>
    </row>
    <row r="40" spans="1:43">
      <c r="A40">
        <v>35</v>
      </c>
      <c r="B40" s="1">
        <v>35</v>
      </c>
      <c r="C40">
        <v>35</v>
      </c>
      <c r="F40">
        <v>37</v>
      </c>
      <c r="G40" t="s">
        <v>149</v>
      </c>
      <c r="H40" s="1" t="s">
        <v>103</v>
      </c>
      <c r="I40">
        <f t="shared" si="1"/>
        <v>208</v>
      </c>
      <c r="J40" s="84">
        <v>0.87</v>
      </c>
      <c r="K40" s="84">
        <v>0.86</v>
      </c>
      <c r="L40" s="84">
        <v>0.86</v>
      </c>
      <c r="M40" s="84">
        <v>0.98549999999999993</v>
      </c>
      <c r="N40" s="84">
        <v>0.98549999999999993</v>
      </c>
      <c r="O40" s="84">
        <v>1.0048000000000001</v>
      </c>
      <c r="P40" s="84">
        <v>1.0048999999999999</v>
      </c>
      <c r="Q40" s="84">
        <v>0.97640000000000005</v>
      </c>
      <c r="T40" s="94" t="s">
        <v>1167</v>
      </c>
      <c r="U40" s="94" t="s">
        <v>103</v>
      </c>
      <c r="Z40" s="91">
        <v>98.55</v>
      </c>
      <c r="AC40" s="91">
        <v>101.69</v>
      </c>
      <c r="AD40" s="91">
        <v>98.76</v>
      </c>
      <c r="AG40" t="s">
        <v>1167</v>
      </c>
      <c r="AH40" s="84">
        <v>0.87</v>
      </c>
      <c r="AI40" s="84">
        <v>0.86</v>
      </c>
      <c r="AJ40" s="84">
        <v>0.86</v>
      </c>
      <c r="AK40" s="84">
        <v>0.98549999999999993</v>
      </c>
      <c r="AL40" s="84">
        <v>0.98549999999999993</v>
      </c>
      <c r="AM40" s="84">
        <v>1.0048000000000001</v>
      </c>
      <c r="AN40" s="84">
        <v>1.0048999999999999</v>
      </c>
      <c r="AO40" s="84">
        <v>1.0168999999999999</v>
      </c>
      <c r="AP40" s="84">
        <v>0.98760000000000003</v>
      </c>
      <c r="AQ40" s="84">
        <v>0.97640000000000005</v>
      </c>
    </row>
    <row r="41" spans="1:43">
      <c r="A41">
        <v>36</v>
      </c>
      <c r="B41" s="1" t="s">
        <v>188</v>
      </c>
      <c r="C41">
        <v>36</v>
      </c>
      <c r="F41">
        <v>38</v>
      </c>
      <c r="G41" t="s">
        <v>151</v>
      </c>
      <c r="H41" s="1" t="s">
        <v>103</v>
      </c>
      <c r="I41">
        <f t="shared" si="1"/>
        <v>209</v>
      </c>
      <c r="J41" s="84">
        <v>0.87</v>
      </c>
      <c r="K41" s="84">
        <v>0.86</v>
      </c>
      <c r="L41" s="84">
        <v>0.86</v>
      </c>
      <c r="M41" s="84">
        <v>0.98549999999999993</v>
      </c>
      <c r="N41" s="84">
        <v>0.98549999999999993</v>
      </c>
      <c r="O41" s="84">
        <v>1.0048000000000001</v>
      </c>
      <c r="P41" s="84">
        <v>1.0048999999999999</v>
      </c>
      <c r="Q41" s="84">
        <v>0.97640000000000005</v>
      </c>
      <c r="T41" s="94" t="s">
        <v>1168</v>
      </c>
      <c r="U41" s="94" t="s">
        <v>103</v>
      </c>
      <c r="Z41" s="91">
        <v>98.55</v>
      </c>
      <c r="AC41" s="91">
        <v>101.69</v>
      </c>
      <c r="AD41" s="91">
        <v>98.76</v>
      </c>
      <c r="AG41" t="s">
        <v>1168</v>
      </c>
      <c r="AH41" s="84">
        <v>0.87</v>
      </c>
      <c r="AI41" s="84">
        <v>0.86</v>
      </c>
      <c r="AJ41" s="84">
        <v>0.86</v>
      </c>
      <c r="AK41" s="84">
        <v>0.98549999999999993</v>
      </c>
      <c r="AL41" s="84">
        <v>0.98549999999999993</v>
      </c>
      <c r="AM41" s="84">
        <v>1.0048000000000001</v>
      </c>
      <c r="AN41" s="84">
        <v>1.0048999999999999</v>
      </c>
      <c r="AO41" s="84">
        <v>1.0168999999999999</v>
      </c>
      <c r="AP41" s="84">
        <v>0.98760000000000003</v>
      </c>
      <c r="AQ41" s="84">
        <v>0.97640000000000005</v>
      </c>
    </row>
    <row r="42" spans="1:43">
      <c r="A42">
        <v>37</v>
      </c>
      <c r="B42" s="1">
        <v>36</v>
      </c>
      <c r="C42">
        <v>37</v>
      </c>
      <c r="F42">
        <v>39</v>
      </c>
      <c r="G42" t="s">
        <v>152</v>
      </c>
      <c r="H42" s="1" t="s">
        <v>103</v>
      </c>
      <c r="I42">
        <f t="shared" si="1"/>
        <v>210</v>
      </c>
      <c r="J42" s="84">
        <v>0</v>
      </c>
      <c r="K42" s="84">
        <v>0</v>
      </c>
      <c r="L42" s="84">
        <v>0</v>
      </c>
      <c r="M42" s="84">
        <v>0</v>
      </c>
      <c r="N42" s="84">
        <v>0</v>
      </c>
      <c r="O42" s="84">
        <v>0</v>
      </c>
      <c r="P42" s="84">
        <v>0</v>
      </c>
      <c r="Q42" s="84">
        <v>0</v>
      </c>
      <c r="T42" s="94" t="s">
        <v>1169</v>
      </c>
      <c r="U42" s="94" t="s">
        <v>103</v>
      </c>
      <c r="V42" s="92"/>
      <c r="W42" s="92"/>
      <c r="X42" s="92"/>
      <c r="Y42" s="92"/>
      <c r="Z42" s="92"/>
      <c r="AA42" s="92"/>
      <c r="AB42" s="92"/>
      <c r="AC42" s="92"/>
      <c r="AD42" s="92"/>
      <c r="AG42" t="s">
        <v>1169</v>
      </c>
      <c r="AH42" s="84">
        <v>0</v>
      </c>
      <c r="AI42" s="84">
        <v>0</v>
      </c>
      <c r="AJ42" s="84">
        <v>0</v>
      </c>
      <c r="AK42" s="84">
        <v>0</v>
      </c>
      <c r="AL42" s="84">
        <v>0</v>
      </c>
      <c r="AM42" s="84">
        <v>0</v>
      </c>
      <c r="AN42" s="84">
        <v>0</v>
      </c>
      <c r="AO42" s="84">
        <v>0</v>
      </c>
      <c r="AP42" s="84">
        <v>0</v>
      </c>
      <c r="AQ42" s="84">
        <v>0</v>
      </c>
    </row>
    <row r="43" spans="1:43">
      <c r="A43">
        <v>38</v>
      </c>
      <c r="B43" s="1" t="s">
        <v>189</v>
      </c>
      <c r="C43">
        <v>38</v>
      </c>
      <c r="F43">
        <v>40</v>
      </c>
      <c r="G43" t="s">
        <v>154</v>
      </c>
      <c r="H43" s="1" t="s">
        <v>103</v>
      </c>
      <c r="I43">
        <f t="shared" si="1"/>
        <v>211</v>
      </c>
      <c r="J43" s="84">
        <v>0.93640000000000001</v>
      </c>
      <c r="K43" s="84">
        <v>0.93640000000000001</v>
      </c>
      <c r="L43" s="84">
        <v>0.93640000000000001</v>
      </c>
      <c r="M43" s="84">
        <v>1.0482</v>
      </c>
      <c r="N43" s="84">
        <v>1.0482</v>
      </c>
      <c r="O43" s="84">
        <v>1.1277999999999999</v>
      </c>
      <c r="P43" s="84">
        <v>1.1277999999999999</v>
      </c>
      <c r="Q43" s="84">
        <v>1.0798999999999999</v>
      </c>
      <c r="T43" s="94" t="s">
        <v>733</v>
      </c>
      <c r="U43" s="94" t="s">
        <v>103</v>
      </c>
      <c r="Z43" s="91">
        <v>104.82</v>
      </c>
      <c r="AC43" s="91">
        <v>113.98</v>
      </c>
      <c r="AD43" s="91">
        <v>109.08</v>
      </c>
      <c r="AG43" t="s">
        <v>733</v>
      </c>
      <c r="AH43" s="84">
        <v>0.93640000000000001</v>
      </c>
      <c r="AI43" s="84">
        <v>0.93640000000000001</v>
      </c>
      <c r="AJ43" s="84">
        <v>0.93640000000000001</v>
      </c>
      <c r="AK43" s="84">
        <v>1.0482</v>
      </c>
      <c r="AL43" s="84">
        <v>1.0482</v>
      </c>
      <c r="AM43" s="84">
        <v>1.1277999999999999</v>
      </c>
      <c r="AN43" s="84">
        <v>1.1277999999999999</v>
      </c>
      <c r="AO43" s="84">
        <v>1.1398000000000001</v>
      </c>
      <c r="AP43" s="84">
        <v>1.0908</v>
      </c>
      <c r="AQ43" s="84">
        <v>1.0798999999999999</v>
      </c>
    </row>
    <row r="44" spans="1:43">
      <c r="A44">
        <v>39</v>
      </c>
      <c r="B44" s="1">
        <v>37</v>
      </c>
      <c r="C44">
        <v>39</v>
      </c>
      <c r="F44">
        <v>41</v>
      </c>
      <c r="G44" t="s">
        <v>155</v>
      </c>
      <c r="H44" s="1" t="s">
        <v>103</v>
      </c>
      <c r="I44">
        <f t="shared" si="1"/>
        <v>212</v>
      </c>
      <c r="J44" s="84">
        <v>0.8</v>
      </c>
      <c r="K44" s="84">
        <v>0.8</v>
      </c>
      <c r="L44" s="84">
        <v>0.8</v>
      </c>
      <c r="M44" s="84">
        <v>0.9667</v>
      </c>
      <c r="N44" s="84">
        <v>0.9667</v>
      </c>
      <c r="O44" s="84">
        <v>1.0362</v>
      </c>
      <c r="P44" s="84">
        <v>1.0362</v>
      </c>
      <c r="Q44" s="84">
        <v>0.98809999999999998</v>
      </c>
      <c r="T44" s="94" t="s">
        <v>1170</v>
      </c>
      <c r="U44" s="94" t="s">
        <v>103</v>
      </c>
      <c r="Z44" s="91">
        <v>96.67</v>
      </c>
      <c r="AC44" s="91">
        <v>104.81</v>
      </c>
      <c r="AD44" s="91">
        <v>99.9</v>
      </c>
      <c r="AG44" t="s">
        <v>1170</v>
      </c>
      <c r="AH44" s="84">
        <v>0.8</v>
      </c>
      <c r="AI44" s="84">
        <v>0.8</v>
      </c>
      <c r="AJ44" s="84">
        <v>0.8</v>
      </c>
      <c r="AK44" s="84">
        <v>0.9667</v>
      </c>
      <c r="AL44" s="84">
        <v>0.9667</v>
      </c>
      <c r="AM44" s="84">
        <v>1.0362</v>
      </c>
      <c r="AN44" s="84">
        <v>1.0362</v>
      </c>
      <c r="AO44" s="84">
        <v>1.0481</v>
      </c>
      <c r="AP44" s="84">
        <v>0.99900000000000011</v>
      </c>
      <c r="AQ44" s="84">
        <v>0.98809999999999998</v>
      </c>
    </row>
    <row r="45" spans="1:43">
      <c r="A45">
        <v>40</v>
      </c>
      <c r="B45" s="1" t="s">
        <v>190</v>
      </c>
      <c r="C45">
        <v>40</v>
      </c>
      <c r="F45">
        <v>42</v>
      </c>
      <c r="G45" t="s">
        <v>157</v>
      </c>
      <c r="H45" s="1" t="s">
        <v>103</v>
      </c>
      <c r="I45">
        <f t="shared" si="1"/>
        <v>213</v>
      </c>
      <c r="J45" s="84">
        <v>0.8</v>
      </c>
      <c r="K45" s="84">
        <v>0.8</v>
      </c>
      <c r="L45" s="84">
        <v>0.8</v>
      </c>
      <c r="M45" s="84">
        <v>0.9667</v>
      </c>
      <c r="N45" s="84">
        <v>0.9667</v>
      </c>
      <c r="O45" s="84">
        <v>1.0362</v>
      </c>
      <c r="P45" s="84">
        <v>1.0362</v>
      </c>
      <c r="Q45" s="84">
        <v>0.98809999999999998</v>
      </c>
      <c r="T45" s="94" t="s">
        <v>1171</v>
      </c>
      <c r="U45" s="94" t="s">
        <v>103</v>
      </c>
      <c r="Z45" s="91">
        <v>96.67</v>
      </c>
      <c r="AC45" s="91">
        <v>104.81</v>
      </c>
      <c r="AD45" s="91">
        <v>99.9</v>
      </c>
      <c r="AG45" t="s">
        <v>1171</v>
      </c>
      <c r="AH45" s="84">
        <v>0.8</v>
      </c>
      <c r="AI45" s="84">
        <v>0.8</v>
      </c>
      <c r="AJ45" s="84">
        <v>0.8</v>
      </c>
      <c r="AK45" s="84">
        <v>0.9667</v>
      </c>
      <c r="AL45" s="84">
        <v>0.9667</v>
      </c>
      <c r="AM45" s="84">
        <v>1.0362</v>
      </c>
      <c r="AN45" s="84">
        <v>1.0362</v>
      </c>
      <c r="AO45" s="84">
        <v>1.0481</v>
      </c>
      <c r="AP45" s="84">
        <v>0.99900000000000011</v>
      </c>
      <c r="AQ45" s="84">
        <v>0.98809999999999998</v>
      </c>
    </row>
    <row r="46" spans="1:43">
      <c r="A46">
        <v>41</v>
      </c>
      <c r="B46" s="1">
        <v>38</v>
      </c>
      <c r="C46">
        <v>41</v>
      </c>
      <c r="F46">
        <v>43</v>
      </c>
      <c r="G46" t="s">
        <v>158</v>
      </c>
      <c r="H46" s="1" t="s">
        <v>103</v>
      </c>
      <c r="I46">
        <f t="shared" si="1"/>
        <v>214</v>
      </c>
      <c r="J46" s="84">
        <v>0.76469999999999994</v>
      </c>
      <c r="K46" s="84">
        <v>0.76469999999999994</v>
      </c>
      <c r="L46" s="84">
        <v>0.76469999999999994</v>
      </c>
      <c r="M46" s="84">
        <v>0.92810000000000004</v>
      </c>
      <c r="N46" s="84">
        <v>0.92810000000000004</v>
      </c>
      <c r="O46" s="84">
        <v>0.99629999999999996</v>
      </c>
      <c r="P46" s="84">
        <v>0.99629999999999996</v>
      </c>
      <c r="Q46" s="84">
        <v>0.94909999999999994</v>
      </c>
      <c r="T46" s="94" t="s">
        <v>1172</v>
      </c>
      <c r="U46" s="94" t="s">
        <v>103</v>
      </c>
      <c r="Z46" s="91">
        <v>92.81</v>
      </c>
      <c r="AC46" s="91">
        <v>100.8</v>
      </c>
      <c r="AD46" s="91">
        <v>95.98</v>
      </c>
      <c r="AG46" t="s">
        <v>1172</v>
      </c>
      <c r="AH46" s="84">
        <v>0.76469999999999994</v>
      </c>
      <c r="AI46" s="84">
        <v>0.76469999999999994</v>
      </c>
      <c r="AJ46" s="84">
        <v>0.76469999999999994</v>
      </c>
      <c r="AK46" s="84">
        <v>0.92810000000000004</v>
      </c>
      <c r="AL46" s="84">
        <v>0.92810000000000004</v>
      </c>
      <c r="AM46" s="84">
        <v>0.99629999999999996</v>
      </c>
      <c r="AN46" s="84">
        <v>0.99629999999999996</v>
      </c>
      <c r="AO46" s="84">
        <v>1.008</v>
      </c>
      <c r="AP46" s="84">
        <v>0.95979999999999999</v>
      </c>
      <c r="AQ46" s="84">
        <v>0.94909999999999994</v>
      </c>
    </row>
    <row r="47" spans="1:43">
      <c r="A47">
        <v>42</v>
      </c>
      <c r="B47" s="1" t="s">
        <v>191</v>
      </c>
      <c r="C47">
        <v>42</v>
      </c>
      <c r="F47">
        <v>44</v>
      </c>
      <c r="G47" t="s">
        <v>160</v>
      </c>
      <c r="H47" s="1" t="s">
        <v>103</v>
      </c>
      <c r="I47">
        <f t="shared" si="1"/>
        <v>215</v>
      </c>
      <c r="J47" s="84">
        <v>0</v>
      </c>
      <c r="K47" s="84">
        <v>0</v>
      </c>
      <c r="L47" s="84">
        <v>0</v>
      </c>
      <c r="M47" s="84">
        <v>0</v>
      </c>
      <c r="N47" s="84">
        <v>0</v>
      </c>
      <c r="O47" s="84">
        <v>0</v>
      </c>
      <c r="P47" s="84">
        <v>0</v>
      </c>
      <c r="Q47" s="84">
        <v>0</v>
      </c>
      <c r="T47" s="94" t="s">
        <v>1173</v>
      </c>
      <c r="U47" s="94" t="s">
        <v>103</v>
      </c>
      <c r="V47" s="92"/>
      <c r="W47" s="92"/>
      <c r="X47" s="92"/>
      <c r="Y47" s="92"/>
      <c r="Z47" s="92"/>
      <c r="AA47" s="92"/>
      <c r="AB47" s="92"/>
      <c r="AC47" s="92"/>
      <c r="AD47" s="92"/>
      <c r="AG47" t="s">
        <v>1173</v>
      </c>
      <c r="AH47" s="84">
        <v>0</v>
      </c>
      <c r="AI47" s="84">
        <v>0</v>
      </c>
      <c r="AJ47" s="84">
        <v>0</v>
      </c>
      <c r="AK47" s="84">
        <v>0</v>
      </c>
      <c r="AL47" s="84">
        <v>0</v>
      </c>
      <c r="AM47" s="84">
        <v>0</v>
      </c>
      <c r="AN47" s="84">
        <v>0</v>
      </c>
      <c r="AO47" s="84">
        <v>0</v>
      </c>
      <c r="AP47" s="84">
        <v>0</v>
      </c>
      <c r="AQ47" s="84">
        <v>0</v>
      </c>
    </row>
    <row r="48" spans="1:43">
      <c r="A48">
        <v>43</v>
      </c>
      <c r="B48" s="1">
        <v>39</v>
      </c>
      <c r="C48">
        <v>43</v>
      </c>
      <c r="F48">
        <v>45</v>
      </c>
      <c r="G48" t="s">
        <v>161</v>
      </c>
      <c r="H48" s="1" t="s">
        <v>103</v>
      </c>
      <c r="I48">
        <f t="shared" si="1"/>
        <v>216</v>
      </c>
      <c r="J48" s="84">
        <v>0.87</v>
      </c>
      <c r="K48" s="84">
        <v>0.82</v>
      </c>
      <c r="L48" s="84">
        <v>0.86</v>
      </c>
      <c r="M48" s="84">
        <v>0.92010000000000003</v>
      </c>
      <c r="N48" s="84">
        <v>0.92010000000000003</v>
      </c>
      <c r="O48" s="84">
        <v>0.9325</v>
      </c>
      <c r="P48" s="84">
        <v>0.9325</v>
      </c>
      <c r="Q48" s="84">
        <v>0.92400000000000004</v>
      </c>
      <c r="T48" s="94" t="s">
        <v>734</v>
      </c>
      <c r="U48" s="94" t="s">
        <v>103</v>
      </c>
      <c r="Z48" s="91">
        <v>92.02</v>
      </c>
      <c r="AC48" s="91">
        <v>96.44</v>
      </c>
      <c r="AD48" s="91">
        <v>92.49</v>
      </c>
      <c r="AG48" t="s">
        <v>734</v>
      </c>
      <c r="AH48" s="84">
        <v>0.87</v>
      </c>
      <c r="AI48" s="84">
        <v>0.82</v>
      </c>
      <c r="AJ48" s="84">
        <v>0.86</v>
      </c>
      <c r="AK48" s="84">
        <v>0.92010000000000003</v>
      </c>
      <c r="AL48" s="84">
        <v>0.92019999999999991</v>
      </c>
      <c r="AM48" s="84">
        <v>0.9325</v>
      </c>
      <c r="AN48" s="84">
        <v>0.9325</v>
      </c>
      <c r="AO48" s="84">
        <v>0.96439999999999992</v>
      </c>
      <c r="AP48" s="84">
        <v>0.92489999999999994</v>
      </c>
      <c r="AQ48" s="84">
        <v>0.92400000000000004</v>
      </c>
    </row>
    <row r="49" spans="1:43">
      <c r="A49">
        <v>44</v>
      </c>
      <c r="B49" s="1" t="s">
        <v>192</v>
      </c>
      <c r="C49">
        <v>44</v>
      </c>
      <c r="F49">
        <v>46</v>
      </c>
      <c r="G49" t="s">
        <v>163</v>
      </c>
      <c r="H49" s="1" t="s">
        <v>103</v>
      </c>
      <c r="I49">
        <f t="shared" si="1"/>
        <v>217</v>
      </c>
      <c r="J49" s="84">
        <v>0.88</v>
      </c>
      <c r="K49" s="84">
        <v>0.83</v>
      </c>
      <c r="L49" s="84">
        <v>0.87</v>
      </c>
      <c r="M49" s="84">
        <v>0.93010000000000004</v>
      </c>
      <c r="N49" s="84">
        <v>0.93010000000000004</v>
      </c>
      <c r="O49" s="84">
        <v>0.9425</v>
      </c>
      <c r="P49" s="84">
        <v>0.9425</v>
      </c>
      <c r="Q49" s="84">
        <v>0.93400000000000005</v>
      </c>
      <c r="T49" s="94" t="s">
        <v>1174</v>
      </c>
      <c r="U49" s="94" t="s">
        <v>103</v>
      </c>
      <c r="Z49" s="91">
        <v>93.02</v>
      </c>
      <c r="AC49" s="91">
        <v>97.44</v>
      </c>
      <c r="AD49" s="91">
        <v>93.49</v>
      </c>
      <c r="AG49" t="s">
        <v>1174</v>
      </c>
      <c r="AH49" s="84">
        <v>0.88</v>
      </c>
      <c r="AI49" s="84">
        <v>0.83</v>
      </c>
      <c r="AJ49" s="84">
        <v>0.87</v>
      </c>
      <c r="AK49" s="84">
        <v>0.93010000000000004</v>
      </c>
      <c r="AL49" s="84">
        <v>0.93019999999999992</v>
      </c>
      <c r="AM49" s="84">
        <v>0.9425</v>
      </c>
      <c r="AN49" s="84">
        <v>0.9425</v>
      </c>
      <c r="AO49" s="84">
        <v>0.97439999999999993</v>
      </c>
      <c r="AP49" s="84">
        <v>0.93489999999999995</v>
      </c>
      <c r="AQ49" s="84">
        <v>0.93400000000000005</v>
      </c>
    </row>
    <row r="50" spans="1:43">
      <c r="A50">
        <v>45</v>
      </c>
      <c r="B50" s="1">
        <v>40</v>
      </c>
      <c r="C50">
        <v>45</v>
      </c>
      <c r="F50">
        <v>47</v>
      </c>
      <c r="G50" t="s">
        <v>164</v>
      </c>
      <c r="H50" s="1" t="s">
        <v>103</v>
      </c>
      <c r="I50">
        <f t="shared" si="1"/>
        <v>218</v>
      </c>
      <c r="J50" s="84">
        <v>0.78</v>
      </c>
      <c r="K50" s="84">
        <v>0.74</v>
      </c>
      <c r="L50" s="84">
        <v>0.77</v>
      </c>
      <c r="M50" s="84">
        <v>0.82819999999999994</v>
      </c>
      <c r="N50" s="84">
        <v>0.82819999999999994</v>
      </c>
      <c r="O50" s="84">
        <v>0.84050000000000002</v>
      </c>
      <c r="P50" s="84">
        <v>0.8506999999999999</v>
      </c>
      <c r="Q50" s="84">
        <v>0.84209999999999996</v>
      </c>
      <c r="T50" s="94" t="s">
        <v>1175</v>
      </c>
      <c r="U50" s="94" t="s">
        <v>103</v>
      </c>
      <c r="Z50" s="91">
        <v>82.82</v>
      </c>
      <c r="AC50" s="91">
        <v>87.23</v>
      </c>
      <c r="AD50" s="91">
        <v>83.28</v>
      </c>
      <c r="AG50" t="s">
        <v>1175</v>
      </c>
      <c r="AH50" s="84">
        <v>0.78</v>
      </c>
      <c r="AI50" s="84">
        <v>0.74</v>
      </c>
      <c r="AJ50" s="84">
        <v>0.77</v>
      </c>
      <c r="AK50" s="84">
        <v>0.82819999999999994</v>
      </c>
      <c r="AL50" s="84">
        <v>0.82819999999999994</v>
      </c>
      <c r="AM50" s="84">
        <v>0.84050000000000002</v>
      </c>
      <c r="AN50" s="84">
        <v>0.8506999999999999</v>
      </c>
      <c r="AO50" s="84">
        <v>0.87230000000000008</v>
      </c>
      <c r="AP50" s="84">
        <v>0.83279999999999998</v>
      </c>
      <c r="AQ50" s="84">
        <v>0.84209999999999996</v>
      </c>
    </row>
    <row r="51" spans="1:43">
      <c r="A51">
        <v>46</v>
      </c>
      <c r="B51" s="1" t="s">
        <v>193</v>
      </c>
      <c r="C51">
        <v>46</v>
      </c>
      <c r="F51">
        <v>48</v>
      </c>
      <c r="G51" t="s">
        <v>166</v>
      </c>
      <c r="H51" s="1" t="s">
        <v>103</v>
      </c>
      <c r="I51">
        <f t="shared" si="1"/>
        <v>219</v>
      </c>
      <c r="J51" s="84">
        <v>0.76</v>
      </c>
      <c r="K51" s="84">
        <v>0.72</v>
      </c>
      <c r="L51" s="84">
        <v>0.75</v>
      </c>
      <c r="M51" s="84">
        <v>0.80769999999999997</v>
      </c>
      <c r="N51" s="84">
        <v>0.80769999999999997</v>
      </c>
      <c r="O51" s="84">
        <v>0.83030000000000004</v>
      </c>
      <c r="P51" s="84">
        <v>0.83030000000000004</v>
      </c>
      <c r="Q51" s="84">
        <v>0.82169999999999999</v>
      </c>
      <c r="T51" s="94" t="s">
        <v>1176</v>
      </c>
      <c r="U51" s="94" t="s">
        <v>103</v>
      </c>
      <c r="Z51" s="91">
        <v>80.78</v>
      </c>
      <c r="AC51" s="91">
        <v>85.19</v>
      </c>
      <c r="AD51" s="91">
        <v>82.25</v>
      </c>
      <c r="AG51" t="s">
        <v>1176</v>
      </c>
      <c r="AH51" s="84">
        <v>0.76</v>
      </c>
      <c r="AI51" s="84">
        <v>0.72</v>
      </c>
      <c r="AJ51" s="84">
        <v>0.75</v>
      </c>
      <c r="AK51" s="84">
        <v>0.80769999999999997</v>
      </c>
      <c r="AL51" s="84">
        <v>0.80779999999999996</v>
      </c>
      <c r="AM51" s="84">
        <v>0.83030000000000004</v>
      </c>
      <c r="AN51" s="84">
        <v>0.83030000000000004</v>
      </c>
      <c r="AO51" s="84">
        <v>0.85189999999999999</v>
      </c>
      <c r="AP51" s="84">
        <v>0.82250000000000001</v>
      </c>
      <c r="AQ51" s="84">
        <v>0.82169999999999999</v>
      </c>
    </row>
    <row r="52" spans="1:43">
      <c r="A52">
        <v>47</v>
      </c>
      <c r="B52" s="1">
        <v>41</v>
      </c>
      <c r="C52">
        <v>47</v>
      </c>
      <c r="F52">
        <v>49</v>
      </c>
      <c r="G52" t="s">
        <v>167</v>
      </c>
      <c r="H52" s="1" t="s">
        <v>103</v>
      </c>
      <c r="I52">
        <f t="shared" si="1"/>
        <v>220</v>
      </c>
      <c r="J52" s="84">
        <v>0.76</v>
      </c>
      <c r="K52" s="84">
        <v>0.72</v>
      </c>
      <c r="L52" s="84">
        <v>0.75</v>
      </c>
      <c r="M52" s="84">
        <v>0.80769999999999997</v>
      </c>
      <c r="N52" s="84">
        <v>0.80769999999999997</v>
      </c>
      <c r="O52" s="84">
        <v>0.83030000000000004</v>
      </c>
      <c r="P52" s="84">
        <v>0.83030000000000004</v>
      </c>
      <c r="Q52" s="84">
        <v>0.82169999999999999</v>
      </c>
      <c r="T52" s="94" t="s">
        <v>1177</v>
      </c>
      <c r="U52" s="94" t="s">
        <v>103</v>
      </c>
      <c r="Z52" s="91">
        <v>80.78</v>
      </c>
      <c r="AC52" s="91">
        <v>85.19</v>
      </c>
      <c r="AD52" s="91">
        <v>82.25</v>
      </c>
      <c r="AG52" t="s">
        <v>1177</v>
      </c>
      <c r="AH52" s="84">
        <v>0.76</v>
      </c>
      <c r="AI52" s="84">
        <v>0.72</v>
      </c>
      <c r="AJ52" s="84">
        <v>0.75</v>
      </c>
      <c r="AK52" s="84">
        <v>0.80769999999999997</v>
      </c>
      <c r="AL52" s="84">
        <v>0.80779999999999996</v>
      </c>
      <c r="AM52" s="84">
        <v>0.83030000000000004</v>
      </c>
      <c r="AN52" s="84">
        <v>0.83030000000000004</v>
      </c>
      <c r="AO52" s="84">
        <v>0.85189999999999999</v>
      </c>
      <c r="AP52" s="84">
        <v>0.82250000000000001</v>
      </c>
      <c r="AQ52" s="84">
        <v>0.82169999999999999</v>
      </c>
    </row>
    <row r="53" spans="1:43">
      <c r="A53">
        <v>48</v>
      </c>
      <c r="B53" s="1" t="s">
        <v>194</v>
      </c>
      <c r="C53">
        <v>48</v>
      </c>
      <c r="F53">
        <v>50</v>
      </c>
      <c r="G53" t="s">
        <v>169</v>
      </c>
      <c r="H53" s="1" t="s">
        <v>103</v>
      </c>
      <c r="I53">
        <f t="shared" si="1"/>
        <v>221</v>
      </c>
      <c r="J53" s="84">
        <v>0.75609999999999999</v>
      </c>
      <c r="K53" s="84">
        <v>0.71620000000000006</v>
      </c>
      <c r="L53" s="84">
        <v>0.74620000000000009</v>
      </c>
      <c r="M53" s="84">
        <v>0.82180000000000009</v>
      </c>
      <c r="N53" s="84">
        <v>0.82180000000000009</v>
      </c>
      <c r="O53" s="84">
        <v>0.82629999999999992</v>
      </c>
      <c r="P53" s="84">
        <v>0.82620000000000005</v>
      </c>
      <c r="Q53" s="84">
        <v>0.81769999999999998</v>
      </c>
      <c r="T53" s="94" t="s">
        <v>1178</v>
      </c>
      <c r="U53" s="94" t="s">
        <v>103</v>
      </c>
      <c r="Z53" s="91">
        <v>82.19</v>
      </c>
      <c r="AC53" s="91">
        <v>84.78</v>
      </c>
      <c r="AD53" s="91">
        <v>81.86</v>
      </c>
      <c r="AG53" t="s">
        <v>1178</v>
      </c>
      <c r="AH53" s="84">
        <v>0.75609999999999999</v>
      </c>
      <c r="AI53" s="84">
        <v>0.71620000000000006</v>
      </c>
      <c r="AJ53" s="84">
        <v>0.74620000000000009</v>
      </c>
      <c r="AK53" s="84">
        <v>0.82180000000000009</v>
      </c>
      <c r="AL53" s="84">
        <v>0.82189999999999996</v>
      </c>
      <c r="AM53" s="84">
        <v>0.82629999999999992</v>
      </c>
      <c r="AN53" s="84">
        <v>0.82620000000000005</v>
      </c>
      <c r="AO53" s="84">
        <v>0.8478</v>
      </c>
      <c r="AP53" s="84">
        <v>0.81859999999999999</v>
      </c>
      <c r="AQ53" s="84">
        <v>0.81769999999999998</v>
      </c>
    </row>
    <row r="54" spans="1:43">
      <c r="A54">
        <v>49</v>
      </c>
      <c r="B54" s="1">
        <v>42</v>
      </c>
      <c r="C54">
        <v>49</v>
      </c>
      <c r="F54">
        <v>51</v>
      </c>
      <c r="G54" t="s">
        <v>170</v>
      </c>
      <c r="H54" s="1" t="s">
        <v>103</v>
      </c>
      <c r="I54">
        <f t="shared" si="1"/>
        <v>222</v>
      </c>
      <c r="J54" s="84">
        <v>0.86170000000000002</v>
      </c>
      <c r="K54" s="84">
        <v>0.82980000000000009</v>
      </c>
      <c r="L54" s="84">
        <v>0.88300000000000001</v>
      </c>
      <c r="M54" s="84">
        <v>0.9425</v>
      </c>
      <c r="N54" s="84">
        <v>0.9425</v>
      </c>
      <c r="O54" s="84">
        <v>0.93640000000000001</v>
      </c>
      <c r="P54" s="84">
        <v>0.93629999999999991</v>
      </c>
      <c r="Q54" s="84">
        <v>1.0038</v>
      </c>
      <c r="T54" s="94" t="s">
        <v>735</v>
      </c>
      <c r="U54" s="94" t="s">
        <v>103</v>
      </c>
      <c r="Z54" s="91">
        <v>94.25</v>
      </c>
      <c r="AC54" s="91">
        <v>99.22</v>
      </c>
      <c r="AD54" s="91">
        <v>99.39</v>
      </c>
      <c r="AG54" t="s">
        <v>735</v>
      </c>
      <c r="AH54" s="84">
        <v>0.86170000000000002</v>
      </c>
      <c r="AI54" s="84">
        <v>0.82980000000000009</v>
      </c>
      <c r="AJ54" s="84">
        <v>0.88300000000000001</v>
      </c>
      <c r="AK54" s="84">
        <v>0.9425</v>
      </c>
      <c r="AL54" s="84">
        <v>0.9425</v>
      </c>
      <c r="AM54" s="84">
        <v>0.93640000000000001</v>
      </c>
      <c r="AN54" s="84">
        <v>0.93629999999999991</v>
      </c>
      <c r="AO54" s="84">
        <v>0.99219999999999997</v>
      </c>
      <c r="AP54" s="84">
        <v>0.99390000000000001</v>
      </c>
      <c r="AQ54" s="84">
        <v>1.0038</v>
      </c>
    </row>
    <row r="55" spans="1:43">
      <c r="A55">
        <v>50</v>
      </c>
      <c r="B55" s="1" t="s">
        <v>195</v>
      </c>
      <c r="C55">
        <v>50</v>
      </c>
      <c r="F55">
        <v>52</v>
      </c>
      <c r="G55" t="s">
        <v>172</v>
      </c>
      <c r="H55" s="1" t="s">
        <v>103</v>
      </c>
      <c r="I55">
        <f t="shared" si="1"/>
        <v>223</v>
      </c>
      <c r="J55" s="84">
        <v>0.80290000000000006</v>
      </c>
      <c r="K55" s="84">
        <v>0.77190000000000003</v>
      </c>
      <c r="L55" s="84">
        <v>0.8234999999999999</v>
      </c>
      <c r="M55" s="84">
        <v>0.88109999999999999</v>
      </c>
      <c r="N55" s="84">
        <v>0.88109999999999999</v>
      </c>
      <c r="O55" s="84">
        <v>0.87519999999999998</v>
      </c>
      <c r="P55" s="84">
        <v>0.8751000000000001</v>
      </c>
      <c r="Q55" s="84">
        <v>0.94040000000000001</v>
      </c>
      <c r="T55" s="94" t="s">
        <v>1179</v>
      </c>
      <c r="U55" s="94" t="s">
        <v>103</v>
      </c>
      <c r="Z55" s="91">
        <v>88.11</v>
      </c>
      <c r="AC55" s="91">
        <v>92.92</v>
      </c>
      <c r="AD55" s="91">
        <v>93.09</v>
      </c>
      <c r="AG55" t="s">
        <v>1179</v>
      </c>
      <c r="AH55" s="84">
        <v>0.80290000000000006</v>
      </c>
      <c r="AI55" s="84">
        <v>0.77190000000000003</v>
      </c>
      <c r="AJ55" s="84">
        <v>0.8234999999999999</v>
      </c>
      <c r="AK55" s="84">
        <v>0.88109999999999999</v>
      </c>
      <c r="AL55" s="84">
        <v>0.88109999999999999</v>
      </c>
      <c r="AM55" s="84">
        <v>0.87519999999999998</v>
      </c>
      <c r="AN55" s="84">
        <v>0.8751000000000001</v>
      </c>
      <c r="AO55" s="84">
        <v>0.92920000000000003</v>
      </c>
      <c r="AP55" s="84">
        <v>0.93090000000000006</v>
      </c>
      <c r="AQ55" s="84">
        <v>0.94040000000000001</v>
      </c>
    </row>
    <row r="56" spans="1:43">
      <c r="A56">
        <v>51</v>
      </c>
      <c r="B56" s="1">
        <v>43</v>
      </c>
      <c r="C56">
        <v>51</v>
      </c>
      <c r="F56">
        <v>53</v>
      </c>
      <c r="G56" t="s">
        <v>173</v>
      </c>
      <c r="H56" s="1" t="s">
        <v>103</v>
      </c>
      <c r="I56">
        <f t="shared" si="1"/>
        <v>224</v>
      </c>
      <c r="J56" s="84">
        <v>0.87501600000000024</v>
      </c>
      <c r="K56" s="84">
        <v>0.84277600000000008</v>
      </c>
      <c r="L56" s="84">
        <v>0.89644000000000001</v>
      </c>
      <c r="M56" s="84">
        <v>0.9563440000000003</v>
      </c>
      <c r="N56" s="84">
        <v>0.9563440000000003</v>
      </c>
      <c r="O56" s="84">
        <v>0.95020799999999983</v>
      </c>
      <c r="P56" s="84">
        <v>0.95010400000000006</v>
      </c>
      <c r="Q56" s="84">
        <v>1.0180160000000003</v>
      </c>
      <c r="T56" s="94" t="s">
        <v>1180</v>
      </c>
      <c r="U56" s="94" t="s">
        <v>103</v>
      </c>
      <c r="Z56" s="91">
        <v>95.634400000000028</v>
      </c>
      <c r="AC56" s="91">
        <v>100.63680000000002</v>
      </c>
      <c r="AD56" s="91">
        <v>100.81360000000001</v>
      </c>
      <c r="AG56" t="s">
        <v>1180</v>
      </c>
      <c r="AH56" s="84">
        <v>0.87501600000000024</v>
      </c>
      <c r="AI56" s="84">
        <v>0.84277600000000008</v>
      </c>
      <c r="AJ56" s="84">
        <v>0.89644000000000001</v>
      </c>
      <c r="AK56" s="84">
        <v>0.9563440000000003</v>
      </c>
      <c r="AL56" s="84">
        <v>0.9563440000000003</v>
      </c>
      <c r="AM56" s="84">
        <v>0.95020799999999983</v>
      </c>
      <c r="AN56" s="84">
        <v>0.95010400000000006</v>
      </c>
      <c r="AO56" s="84">
        <v>1.0063680000000002</v>
      </c>
      <c r="AP56" s="84">
        <v>1.0081360000000001</v>
      </c>
      <c r="AQ56" s="84">
        <v>1.0180160000000003</v>
      </c>
    </row>
    <row r="57" spans="1:43">
      <c r="A57">
        <v>52</v>
      </c>
      <c r="B57" s="1" t="s">
        <v>196</v>
      </c>
      <c r="C57">
        <v>52</v>
      </c>
      <c r="F57">
        <v>54</v>
      </c>
      <c r="G57" t="s">
        <v>175</v>
      </c>
      <c r="H57" s="1" t="s">
        <v>103</v>
      </c>
      <c r="I57">
        <f t="shared" si="1"/>
        <v>225</v>
      </c>
      <c r="J57" s="84">
        <v>0.94713200000000031</v>
      </c>
      <c r="K57" s="84">
        <v>0.91365200000000013</v>
      </c>
      <c r="L57" s="84">
        <v>0.96938000000000013</v>
      </c>
      <c r="M57" s="84">
        <v>1.0315880000000004</v>
      </c>
      <c r="N57" s="84">
        <v>1.0315880000000004</v>
      </c>
      <c r="O57" s="84">
        <v>1.0252160000000001</v>
      </c>
      <c r="P57" s="84">
        <v>1.0251080000000001</v>
      </c>
      <c r="Q57" s="84">
        <v>1.0956320000000002</v>
      </c>
      <c r="T57" s="94" t="s">
        <v>1180</v>
      </c>
      <c r="U57" s="94" t="s">
        <v>103</v>
      </c>
      <c r="Z57" s="91">
        <v>103.15880000000004</v>
      </c>
      <c r="AC57" s="91">
        <v>108.35360000000003</v>
      </c>
      <c r="AD57" s="91">
        <v>108.53720000000001</v>
      </c>
      <c r="AG57" t="s">
        <v>1180</v>
      </c>
      <c r="AH57" s="84">
        <v>0.94713200000000031</v>
      </c>
      <c r="AI57" s="84">
        <v>0.91365200000000013</v>
      </c>
      <c r="AJ57" s="84">
        <v>0.96938000000000013</v>
      </c>
      <c r="AK57" s="84">
        <v>1.0315880000000004</v>
      </c>
      <c r="AL57" s="84">
        <v>1.0315880000000004</v>
      </c>
      <c r="AM57" s="84">
        <v>1.0252160000000001</v>
      </c>
      <c r="AN57" s="84">
        <v>1.0251080000000001</v>
      </c>
      <c r="AO57" s="84">
        <v>1.0835360000000003</v>
      </c>
      <c r="AP57" s="84">
        <v>1.0853720000000002</v>
      </c>
      <c r="AQ57" s="84">
        <v>1.0956320000000002</v>
      </c>
    </row>
    <row r="58" spans="1:43">
      <c r="A58">
        <v>53</v>
      </c>
      <c r="B58" s="1">
        <v>44</v>
      </c>
      <c r="C58">
        <v>53</v>
      </c>
      <c r="F58">
        <v>55</v>
      </c>
      <c r="G58" t="s">
        <v>176</v>
      </c>
      <c r="H58" s="1" t="s">
        <v>103</v>
      </c>
      <c r="I58">
        <f t="shared" si="1"/>
        <v>226</v>
      </c>
      <c r="J58" s="84">
        <v>0.89445600000000003</v>
      </c>
      <c r="K58" s="84">
        <v>0.93744000000000005</v>
      </c>
      <c r="L58" s="84">
        <v>1.003428</v>
      </c>
      <c r="M58" s="84">
        <v>1.195668</v>
      </c>
      <c r="N58" s="84">
        <v>1.195668</v>
      </c>
      <c r="O58" s="84">
        <v>1.249668</v>
      </c>
      <c r="P58" s="84">
        <v>1.2393000000000001</v>
      </c>
      <c r="Q58" s="84">
        <v>1.32192</v>
      </c>
      <c r="T58" s="94" t="s">
        <v>1128</v>
      </c>
      <c r="U58" s="94" t="s">
        <v>103</v>
      </c>
      <c r="Z58" s="91">
        <v>118.47600000000001</v>
      </c>
      <c r="AC58" s="91">
        <v>132.61320000000001</v>
      </c>
      <c r="AD58" s="91">
        <v>132.18120000000002</v>
      </c>
      <c r="AG58" t="s">
        <v>1128</v>
      </c>
      <c r="AH58" s="84">
        <v>0.89445600000000003</v>
      </c>
      <c r="AI58" s="84">
        <v>0.93744000000000005</v>
      </c>
      <c r="AJ58" s="84">
        <v>1.003428</v>
      </c>
      <c r="AK58" s="84">
        <v>1.195668</v>
      </c>
      <c r="AL58" s="84">
        <v>1.18476</v>
      </c>
      <c r="AM58" s="84">
        <v>1.249668</v>
      </c>
      <c r="AN58" s="84">
        <v>1.2393000000000001</v>
      </c>
      <c r="AO58" s="84">
        <v>1.3261320000000001</v>
      </c>
      <c r="AP58" s="84">
        <v>1.3218120000000002</v>
      </c>
      <c r="AQ58" s="84">
        <v>1.32192</v>
      </c>
    </row>
    <row r="59" spans="1:43">
      <c r="A59">
        <v>54</v>
      </c>
      <c r="B59" s="1" t="s">
        <v>197</v>
      </c>
      <c r="C59">
        <v>54</v>
      </c>
      <c r="F59">
        <v>56</v>
      </c>
      <c r="G59" t="s">
        <v>178</v>
      </c>
      <c r="H59" s="1" t="s">
        <v>103</v>
      </c>
      <c r="I59">
        <f t="shared" si="1"/>
        <v>227</v>
      </c>
      <c r="J59" s="84">
        <v>0.72589000000000004</v>
      </c>
      <c r="K59" s="84">
        <v>0.76560000000000006</v>
      </c>
      <c r="L59" s="84">
        <v>0.82665000000000011</v>
      </c>
      <c r="M59" s="84">
        <v>1.0044100000000002</v>
      </c>
      <c r="N59" s="84">
        <v>1.0044100000000002</v>
      </c>
      <c r="O59" s="84">
        <v>1.0543500000000001</v>
      </c>
      <c r="P59" s="84">
        <v>1.04478</v>
      </c>
      <c r="Q59" s="84">
        <v>1.1211200000000001</v>
      </c>
      <c r="T59" s="94" t="s">
        <v>1181</v>
      </c>
      <c r="U59" s="94" t="s">
        <v>103</v>
      </c>
      <c r="Z59" s="91">
        <v>99.44</v>
      </c>
      <c r="AC59" s="91">
        <v>112.50800000000001</v>
      </c>
      <c r="AD59" s="91">
        <v>112.11200000000001</v>
      </c>
      <c r="AG59" t="s">
        <v>1181</v>
      </c>
      <c r="AH59" s="84">
        <v>0.72589000000000004</v>
      </c>
      <c r="AI59" s="84">
        <v>0.76560000000000006</v>
      </c>
      <c r="AJ59" s="84">
        <v>0.82665000000000011</v>
      </c>
      <c r="AK59" s="84">
        <v>1.0044100000000002</v>
      </c>
      <c r="AL59" s="84">
        <v>0.99439999999999995</v>
      </c>
      <c r="AM59" s="84">
        <v>1.0543500000000001</v>
      </c>
      <c r="AN59" s="84">
        <v>1.04478</v>
      </c>
      <c r="AO59" s="84">
        <v>1.1250800000000001</v>
      </c>
      <c r="AP59" s="84">
        <v>1.1211200000000001</v>
      </c>
      <c r="AQ59" s="84">
        <v>1.1211200000000001</v>
      </c>
    </row>
    <row r="60" spans="1:43">
      <c r="A60">
        <v>55</v>
      </c>
      <c r="B60" s="1">
        <v>45</v>
      </c>
      <c r="C60">
        <v>55</v>
      </c>
      <c r="F60">
        <v>57</v>
      </c>
      <c r="G60" t="s">
        <v>179</v>
      </c>
      <c r="H60" s="1" t="s">
        <v>103</v>
      </c>
      <c r="I60">
        <f t="shared" si="1"/>
        <v>228</v>
      </c>
      <c r="J60" s="84">
        <v>0.65989999999999993</v>
      </c>
      <c r="K60" s="84">
        <v>0.69599999999999995</v>
      </c>
      <c r="L60" s="84">
        <v>0.75150000000000006</v>
      </c>
      <c r="M60" s="84">
        <v>0.91310000000000002</v>
      </c>
      <c r="N60" s="84">
        <v>0.91310000000000002</v>
      </c>
      <c r="O60" s="84">
        <v>0.95849999999999991</v>
      </c>
      <c r="P60" s="84">
        <v>0.94980000000000009</v>
      </c>
      <c r="Q60" s="84">
        <v>1.0192000000000001</v>
      </c>
      <c r="T60" s="94" t="s">
        <v>1182</v>
      </c>
      <c r="U60" s="94" t="s">
        <v>103</v>
      </c>
      <c r="Z60" s="91">
        <v>90.4</v>
      </c>
      <c r="AC60" s="91">
        <v>102.28</v>
      </c>
      <c r="AD60" s="91">
        <v>101.92</v>
      </c>
      <c r="AG60" t="s">
        <v>1182</v>
      </c>
      <c r="AH60" s="84">
        <v>0.65989999999999993</v>
      </c>
      <c r="AI60" s="84">
        <v>0.69599999999999995</v>
      </c>
      <c r="AJ60" s="84">
        <v>0.75150000000000006</v>
      </c>
      <c r="AK60" s="84">
        <v>0.91310000000000002</v>
      </c>
      <c r="AL60" s="84">
        <v>0.90400000000000003</v>
      </c>
      <c r="AM60" s="84">
        <v>0.95849999999999991</v>
      </c>
      <c r="AN60" s="84">
        <v>0.94980000000000009</v>
      </c>
      <c r="AO60" s="84">
        <v>1.0227999999999999</v>
      </c>
      <c r="AP60" s="84">
        <v>1.0192000000000001</v>
      </c>
      <c r="AQ60" s="84">
        <v>1.0192000000000001</v>
      </c>
    </row>
    <row r="61" spans="1:43">
      <c r="A61">
        <v>56</v>
      </c>
      <c r="B61" s="1" t="s">
        <v>198</v>
      </c>
      <c r="C61">
        <v>56</v>
      </c>
      <c r="F61">
        <v>58</v>
      </c>
      <c r="G61" t="s">
        <v>138</v>
      </c>
      <c r="H61" t="s">
        <v>104</v>
      </c>
      <c r="I61">
        <v>300</v>
      </c>
      <c r="J61" s="84">
        <v>0.21</v>
      </c>
      <c r="K61" s="84">
        <v>0.21</v>
      </c>
      <c r="L61" s="84">
        <v>0.21</v>
      </c>
      <c r="M61" s="84">
        <v>0.2</v>
      </c>
      <c r="N61" s="84">
        <v>0.2</v>
      </c>
      <c r="O61" s="84">
        <v>0.22</v>
      </c>
      <c r="P61" s="84">
        <v>0.22</v>
      </c>
      <c r="Q61" s="84">
        <v>0.32</v>
      </c>
      <c r="T61" s="94" t="s">
        <v>138</v>
      </c>
      <c r="U61" s="94" t="s">
        <v>104</v>
      </c>
      <c r="Z61" s="91">
        <v>20</v>
      </c>
      <c r="AC61" s="91">
        <v>25</v>
      </c>
      <c r="AD61" s="91">
        <v>23</v>
      </c>
      <c r="AG61" t="s">
        <v>138</v>
      </c>
      <c r="AH61" s="84">
        <v>0.21</v>
      </c>
      <c r="AI61" s="84">
        <v>0.21</v>
      </c>
      <c r="AJ61" s="84">
        <v>0.21</v>
      </c>
      <c r="AK61" s="84">
        <v>0.2</v>
      </c>
      <c r="AL61" s="84">
        <v>0.2</v>
      </c>
      <c r="AM61" s="84">
        <v>0.22</v>
      </c>
      <c r="AN61" s="84">
        <v>0.22</v>
      </c>
      <c r="AO61" s="84">
        <v>0.25</v>
      </c>
      <c r="AP61" s="84">
        <v>0.23</v>
      </c>
      <c r="AQ61" s="84">
        <v>0.32</v>
      </c>
    </row>
    <row r="62" spans="1:43">
      <c r="A62">
        <v>57</v>
      </c>
      <c r="B62" s="1">
        <v>46</v>
      </c>
      <c r="C62">
        <v>57</v>
      </c>
      <c r="F62">
        <v>59</v>
      </c>
      <c r="G62" t="s">
        <v>139</v>
      </c>
      <c r="H62" t="s">
        <v>104</v>
      </c>
      <c r="I62">
        <f>+I61+1</f>
        <v>301</v>
      </c>
      <c r="J62" s="84">
        <v>0.21460000000000001</v>
      </c>
      <c r="K62" s="84">
        <v>0.22409999999999999</v>
      </c>
      <c r="L62" s="84">
        <v>0.2321</v>
      </c>
      <c r="M62" s="84">
        <v>0.22329999999999997</v>
      </c>
      <c r="N62" s="84">
        <v>0.22329999999999997</v>
      </c>
      <c r="O62" s="84">
        <v>0.2455</v>
      </c>
      <c r="P62" s="84">
        <v>0.23850000000000002</v>
      </c>
      <c r="Q62" s="84">
        <v>0.34710000000000002</v>
      </c>
      <c r="T62" s="94" t="s">
        <v>139</v>
      </c>
      <c r="U62" s="94" t="s">
        <v>104</v>
      </c>
      <c r="Z62" s="91">
        <v>22.33</v>
      </c>
      <c r="AC62" s="91">
        <v>27.54</v>
      </c>
      <c r="AD62" s="91">
        <v>26.03</v>
      </c>
      <c r="AG62" t="s">
        <v>139</v>
      </c>
      <c r="AH62" s="84">
        <v>0.21460000000000001</v>
      </c>
      <c r="AI62" s="84">
        <v>0.22409999999999999</v>
      </c>
      <c r="AJ62" s="84">
        <v>0.2321</v>
      </c>
      <c r="AK62" s="84">
        <v>0.22329999999999997</v>
      </c>
      <c r="AL62" s="84">
        <v>0.22329999999999997</v>
      </c>
      <c r="AM62" s="84">
        <v>0.2455</v>
      </c>
      <c r="AN62" s="84">
        <v>0.23850000000000002</v>
      </c>
      <c r="AO62" s="84">
        <v>0.27539999999999998</v>
      </c>
      <c r="AP62" s="84">
        <v>0.26030000000000003</v>
      </c>
      <c r="AQ62" s="84">
        <v>0.34710000000000002</v>
      </c>
    </row>
    <row r="63" spans="1:43">
      <c r="A63">
        <v>58</v>
      </c>
      <c r="B63" s="1" t="s">
        <v>199</v>
      </c>
      <c r="C63">
        <v>58</v>
      </c>
      <c r="F63">
        <v>60</v>
      </c>
      <c r="G63" t="s">
        <v>140</v>
      </c>
      <c r="H63" t="s">
        <v>104</v>
      </c>
      <c r="I63">
        <f t="shared" ref="I63:I89" si="2">+I62+1</f>
        <v>302</v>
      </c>
      <c r="J63" s="84">
        <v>0</v>
      </c>
      <c r="K63" s="84">
        <v>0</v>
      </c>
      <c r="L63" s="84">
        <v>0</v>
      </c>
      <c r="M63" s="84">
        <v>0</v>
      </c>
      <c r="N63" s="84">
        <v>0</v>
      </c>
      <c r="O63" s="84">
        <v>0</v>
      </c>
      <c r="P63" s="84">
        <v>0</v>
      </c>
      <c r="Q63" s="84">
        <v>0</v>
      </c>
      <c r="T63" s="94" t="s">
        <v>1164</v>
      </c>
      <c r="U63" s="94" t="s">
        <v>104</v>
      </c>
      <c r="V63" s="92"/>
      <c r="W63" s="92"/>
      <c r="X63" s="92"/>
      <c r="Y63" s="92"/>
      <c r="Z63" s="92"/>
      <c r="AA63" s="92"/>
      <c r="AB63" s="92"/>
      <c r="AC63" s="92"/>
      <c r="AD63" s="92"/>
      <c r="AG63" t="s">
        <v>1164</v>
      </c>
      <c r="AH63" s="84">
        <v>0</v>
      </c>
      <c r="AI63" s="84">
        <v>0</v>
      </c>
      <c r="AJ63" s="84">
        <v>0</v>
      </c>
      <c r="AK63" s="84">
        <v>0</v>
      </c>
      <c r="AL63" s="84">
        <v>0</v>
      </c>
      <c r="AM63" s="84">
        <v>0</v>
      </c>
      <c r="AN63" s="84">
        <v>0</v>
      </c>
      <c r="AO63" s="84">
        <v>0</v>
      </c>
      <c r="AP63" s="84">
        <v>0</v>
      </c>
      <c r="AQ63" s="84">
        <v>0</v>
      </c>
    </row>
    <row r="64" spans="1:43">
      <c r="A64">
        <v>59</v>
      </c>
      <c r="B64" s="1" t="s">
        <v>702</v>
      </c>
      <c r="C64">
        <v>59</v>
      </c>
      <c r="F64">
        <v>61</v>
      </c>
      <c r="G64" t="s">
        <v>142</v>
      </c>
      <c r="H64" t="s">
        <v>104</v>
      </c>
      <c r="I64">
        <f t="shared" si="2"/>
        <v>303</v>
      </c>
      <c r="J64" s="84">
        <v>0.43</v>
      </c>
      <c r="K64" s="84">
        <v>0.43</v>
      </c>
      <c r="L64" s="84">
        <v>0.43</v>
      </c>
      <c r="M64" s="84">
        <v>0.499</v>
      </c>
      <c r="N64" s="84">
        <v>0.499</v>
      </c>
      <c r="O64" s="84">
        <v>0.50850000000000006</v>
      </c>
      <c r="P64" s="84">
        <v>0.50840000000000007</v>
      </c>
      <c r="Q64" s="84">
        <v>0.51869999999999994</v>
      </c>
      <c r="T64" s="94" t="s">
        <v>142</v>
      </c>
      <c r="U64" s="94" t="s">
        <v>104</v>
      </c>
      <c r="Z64" s="91">
        <v>49.9</v>
      </c>
      <c r="AC64" s="91">
        <v>52.88</v>
      </c>
      <c r="AD64" s="91">
        <v>53.9</v>
      </c>
      <c r="AG64" t="s">
        <v>142</v>
      </c>
      <c r="AH64" s="84">
        <v>0.43</v>
      </c>
      <c r="AI64" s="84">
        <v>0.43</v>
      </c>
      <c r="AJ64" s="84">
        <v>0.43</v>
      </c>
      <c r="AK64" s="84">
        <v>0.499</v>
      </c>
      <c r="AL64" s="84">
        <v>0.499</v>
      </c>
      <c r="AM64" s="84">
        <v>0.50850000000000006</v>
      </c>
      <c r="AN64" s="84">
        <v>0.50840000000000007</v>
      </c>
      <c r="AO64" s="84">
        <v>0.52880000000000005</v>
      </c>
      <c r="AP64" s="84">
        <v>0.53900000000000003</v>
      </c>
      <c r="AQ64" s="84">
        <v>0.51869999999999994</v>
      </c>
    </row>
    <row r="65" spans="1:43">
      <c r="A65">
        <v>60</v>
      </c>
      <c r="B65" s="1" t="s">
        <v>702</v>
      </c>
      <c r="C65">
        <v>60</v>
      </c>
      <c r="F65">
        <v>62</v>
      </c>
      <c r="G65" t="s">
        <v>143</v>
      </c>
      <c r="H65" t="s">
        <v>104</v>
      </c>
      <c r="I65">
        <f t="shared" si="2"/>
        <v>304</v>
      </c>
      <c r="J65" s="84">
        <v>0.57079999999999997</v>
      </c>
      <c r="K65" s="84">
        <v>0.57079999999999997</v>
      </c>
      <c r="L65" s="84">
        <v>0.57079999999999997</v>
      </c>
      <c r="M65" s="84">
        <v>0.64340000000000008</v>
      </c>
      <c r="N65" s="84">
        <v>0.64340000000000008</v>
      </c>
      <c r="O65" s="84">
        <v>0.66339999999999999</v>
      </c>
      <c r="P65" s="84">
        <v>0.67370000000000008</v>
      </c>
      <c r="Q65" s="84">
        <v>0.67379999999999995</v>
      </c>
      <c r="T65" s="94" t="s">
        <v>1165</v>
      </c>
      <c r="U65" s="94" t="s">
        <v>104</v>
      </c>
      <c r="Z65" s="91">
        <v>64.34</v>
      </c>
      <c r="AC65" s="91">
        <v>68.42</v>
      </c>
      <c r="AD65" s="91">
        <v>70.489999999999995</v>
      </c>
      <c r="AG65" t="s">
        <v>1165</v>
      </c>
      <c r="AH65" s="84">
        <v>0.57079999999999997</v>
      </c>
      <c r="AI65" s="84">
        <v>0.57079999999999997</v>
      </c>
      <c r="AJ65" s="84">
        <v>0.57079999999999997</v>
      </c>
      <c r="AK65" s="84">
        <v>0.64340000000000008</v>
      </c>
      <c r="AL65" s="84">
        <v>0.64340000000000008</v>
      </c>
      <c r="AM65" s="84">
        <v>0.66339999999999999</v>
      </c>
      <c r="AN65" s="84">
        <v>0.67370000000000008</v>
      </c>
      <c r="AO65" s="84">
        <v>0.68420000000000003</v>
      </c>
      <c r="AP65" s="84">
        <v>0.70489999999999997</v>
      </c>
      <c r="AQ65" s="84">
        <v>0.67379999999999995</v>
      </c>
    </row>
    <row r="66" spans="1:43">
      <c r="A66">
        <v>61</v>
      </c>
      <c r="B66" s="1">
        <v>60</v>
      </c>
      <c r="C66">
        <v>61</v>
      </c>
      <c r="F66">
        <v>63</v>
      </c>
      <c r="G66" t="s">
        <v>145</v>
      </c>
      <c r="H66" t="s">
        <v>104</v>
      </c>
      <c r="I66">
        <f t="shared" si="2"/>
        <v>305</v>
      </c>
      <c r="J66" s="84"/>
      <c r="K66" s="84"/>
      <c r="L66" s="84"/>
      <c r="M66" s="84"/>
      <c r="N66" s="84"/>
      <c r="O66" s="84"/>
      <c r="P66" s="84"/>
      <c r="Q66" s="84"/>
      <c r="T66" s="94"/>
      <c r="U66" s="94"/>
      <c r="Z66" s="91"/>
      <c r="AC66" s="91"/>
      <c r="AD66" s="91"/>
      <c r="AH66" s="84"/>
      <c r="AI66" s="84"/>
      <c r="AJ66" s="84"/>
      <c r="AK66" s="84"/>
      <c r="AL66" s="84"/>
      <c r="AM66" s="84"/>
      <c r="AN66" s="84"/>
      <c r="AO66" s="84"/>
      <c r="AP66" s="84"/>
      <c r="AQ66" s="84"/>
    </row>
    <row r="67" spans="1:43">
      <c r="A67">
        <v>62</v>
      </c>
      <c r="B67" s="1">
        <v>61</v>
      </c>
      <c r="C67">
        <v>62</v>
      </c>
      <c r="F67">
        <v>64</v>
      </c>
      <c r="G67" t="s">
        <v>146</v>
      </c>
      <c r="H67" t="s">
        <v>104</v>
      </c>
      <c r="I67">
        <f t="shared" si="2"/>
        <v>306</v>
      </c>
      <c r="J67" s="84">
        <v>0.66260000000000008</v>
      </c>
      <c r="K67" s="84">
        <v>0.66260000000000008</v>
      </c>
      <c r="L67" s="84">
        <v>0.66260000000000008</v>
      </c>
      <c r="M67" s="84">
        <v>0.70579999999999998</v>
      </c>
      <c r="N67" s="84">
        <v>0.70579999999999998</v>
      </c>
      <c r="O67" s="84">
        <v>0.7256999999999999</v>
      </c>
      <c r="P67" s="84">
        <v>0.7258</v>
      </c>
      <c r="Q67" s="84">
        <v>0.7256999999999999</v>
      </c>
      <c r="T67" s="94" t="s">
        <v>1126</v>
      </c>
      <c r="U67" s="94" t="s">
        <v>104</v>
      </c>
      <c r="Z67" s="91">
        <v>70.58</v>
      </c>
      <c r="AC67" s="91">
        <v>74.650000000000006</v>
      </c>
      <c r="AD67" s="91">
        <v>75.7</v>
      </c>
      <c r="AG67" t="s">
        <v>1126</v>
      </c>
      <c r="AH67" s="84">
        <v>0.66260000000000008</v>
      </c>
      <c r="AI67" s="84">
        <v>0.66260000000000008</v>
      </c>
      <c r="AJ67" s="84">
        <v>0.66260000000000008</v>
      </c>
      <c r="AK67" s="84">
        <v>0.70579999999999998</v>
      </c>
      <c r="AL67" s="84">
        <v>0.70579999999999998</v>
      </c>
      <c r="AM67" s="84">
        <v>0.7256999999999999</v>
      </c>
      <c r="AN67" s="84">
        <v>0.7258</v>
      </c>
      <c r="AO67" s="84">
        <v>0.74650000000000005</v>
      </c>
      <c r="AP67" s="84">
        <v>0.75700000000000001</v>
      </c>
      <c r="AQ67" s="84">
        <v>0.7256999999999999</v>
      </c>
    </row>
    <row r="68" spans="1:43">
      <c r="A68">
        <v>63</v>
      </c>
      <c r="B68" s="1">
        <v>61</v>
      </c>
      <c r="C68">
        <v>63</v>
      </c>
      <c r="F68">
        <v>65</v>
      </c>
      <c r="G68" t="s">
        <v>148</v>
      </c>
      <c r="H68" t="s">
        <v>104</v>
      </c>
      <c r="I68">
        <f t="shared" si="2"/>
        <v>307</v>
      </c>
      <c r="J68" s="84">
        <v>0.78500000000000003</v>
      </c>
      <c r="K68" s="84">
        <v>0.78500000000000003</v>
      </c>
      <c r="L68" s="84">
        <v>0.78500000000000003</v>
      </c>
      <c r="M68" s="84">
        <v>0.85140000000000005</v>
      </c>
      <c r="N68" s="84">
        <v>0.85140000000000005</v>
      </c>
      <c r="O68" s="84">
        <v>0.87129999999999996</v>
      </c>
      <c r="P68" s="84">
        <v>0.87139999999999995</v>
      </c>
      <c r="Q68" s="84">
        <v>0.87129999999999996</v>
      </c>
      <c r="T68" s="94" t="s">
        <v>1166</v>
      </c>
      <c r="U68" s="94" t="s">
        <v>104</v>
      </c>
      <c r="Z68" s="91">
        <v>85.14</v>
      </c>
      <c r="AC68" s="91">
        <v>89.21</v>
      </c>
      <c r="AD68" s="91">
        <v>90.25</v>
      </c>
      <c r="AG68" t="s">
        <v>1166</v>
      </c>
      <c r="AH68" s="84">
        <v>0.78500000000000003</v>
      </c>
      <c r="AI68" s="84">
        <v>0.78500000000000003</v>
      </c>
      <c r="AJ68" s="84">
        <v>0.78500000000000003</v>
      </c>
      <c r="AK68" s="84">
        <v>0.85140000000000005</v>
      </c>
      <c r="AL68" s="84">
        <v>0.85140000000000005</v>
      </c>
      <c r="AM68" s="84">
        <v>0.87129999999999996</v>
      </c>
      <c r="AN68" s="84">
        <v>0.87139999999999995</v>
      </c>
      <c r="AO68" s="84">
        <v>0.89209999999999989</v>
      </c>
      <c r="AP68" s="84">
        <v>0.90249999999999997</v>
      </c>
      <c r="AQ68" s="84">
        <v>0.87129999999999996</v>
      </c>
    </row>
    <row r="69" spans="1:43">
      <c r="A69">
        <v>64</v>
      </c>
      <c r="B69" s="1" t="s">
        <v>703</v>
      </c>
      <c r="C69">
        <v>64</v>
      </c>
      <c r="F69">
        <v>66</v>
      </c>
      <c r="G69" t="s">
        <v>149</v>
      </c>
      <c r="H69" t="s">
        <v>104</v>
      </c>
      <c r="I69">
        <f t="shared" si="2"/>
        <v>308</v>
      </c>
      <c r="J69" s="84">
        <v>0.78500000000000003</v>
      </c>
      <c r="K69" s="84">
        <v>0.78500000000000003</v>
      </c>
      <c r="L69" s="84">
        <v>0.78500000000000003</v>
      </c>
      <c r="M69" s="84">
        <v>0.85140000000000005</v>
      </c>
      <c r="N69" s="84">
        <v>0.85140000000000005</v>
      </c>
      <c r="O69" s="84">
        <v>0.87129999999999996</v>
      </c>
      <c r="P69" s="84">
        <v>0.87139999999999995</v>
      </c>
      <c r="Q69" s="84">
        <v>0.87129999999999996</v>
      </c>
      <c r="T69" s="94" t="s">
        <v>1167</v>
      </c>
      <c r="U69" s="94" t="s">
        <v>104</v>
      </c>
      <c r="Z69" s="91">
        <v>85.14</v>
      </c>
      <c r="AC69" s="91">
        <v>89.21</v>
      </c>
      <c r="AD69" s="91">
        <v>90.25</v>
      </c>
      <c r="AG69" t="s">
        <v>1167</v>
      </c>
      <c r="AH69" s="84">
        <v>0.78500000000000003</v>
      </c>
      <c r="AI69" s="84">
        <v>0.78500000000000003</v>
      </c>
      <c r="AJ69" s="84">
        <v>0.78500000000000003</v>
      </c>
      <c r="AK69" s="84">
        <v>0.85140000000000005</v>
      </c>
      <c r="AL69" s="84">
        <v>0.85140000000000005</v>
      </c>
      <c r="AM69" s="84">
        <v>0.87129999999999996</v>
      </c>
      <c r="AN69" s="84">
        <v>0.87139999999999995</v>
      </c>
      <c r="AO69" s="84">
        <v>0.89209999999999989</v>
      </c>
      <c r="AP69" s="84">
        <v>0.90249999999999997</v>
      </c>
      <c r="AQ69" s="84">
        <v>0.87129999999999996</v>
      </c>
    </row>
    <row r="70" spans="1:43">
      <c r="A70">
        <v>65</v>
      </c>
      <c r="B70" s="1">
        <v>63</v>
      </c>
      <c r="C70">
        <v>65</v>
      </c>
      <c r="F70">
        <v>67</v>
      </c>
      <c r="G70" t="s">
        <v>151</v>
      </c>
      <c r="H70" t="s">
        <v>104</v>
      </c>
      <c r="I70">
        <f t="shared" si="2"/>
        <v>309</v>
      </c>
      <c r="J70" s="84">
        <v>0.86659999999999993</v>
      </c>
      <c r="K70" s="84">
        <v>0.86659999999999993</v>
      </c>
      <c r="L70" s="84">
        <v>0.86659999999999993</v>
      </c>
      <c r="M70" s="84">
        <v>0.92420000000000002</v>
      </c>
      <c r="N70" s="84">
        <v>0.92420000000000002</v>
      </c>
      <c r="O70" s="84">
        <v>0.94409999999999994</v>
      </c>
      <c r="P70" s="84">
        <v>0.94409999999999994</v>
      </c>
      <c r="Q70" s="84">
        <v>0.94409999999999994</v>
      </c>
      <c r="T70" s="94" t="s">
        <v>1168</v>
      </c>
      <c r="U70" s="94" t="s">
        <v>104</v>
      </c>
      <c r="Z70" s="91">
        <v>92.42</v>
      </c>
      <c r="AC70" s="91">
        <v>96.48</v>
      </c>
      <c r="AD70" s="91">
        <v>97.53</v>
      </c>
      <c r="AG70" t="s">
        <v>1168</v>
      </c>
      <c r="AH70" s="84">
        <v>0.86659999999999993</v>
      </c>
      <c r="AI70" s="84">
        <v>0.86659999999999993</v>
      </c>
      <c r="AJ70" s="84">
        <v>0.86659999999999993</v>
      </c>
      <c r="AK70" s="84">
        <v>0.92420000000000002</v>
      </c>
      <c r="AL70" s="84">
        <v>0.92420000000000002</v>
      </c>
      <c r="AM70" s="84">
        <v>0.94409999999999994</v>
      </c>
      <c r="AN70" s="84">
        <v>0.94409999999999994</v>
      </c>
      <c r="AO70" s="84">
        <v>0.96479999999999999</v>
      </c>
      <c r="AP70" s="84">
        <v>0.97530000000000006</v>
      </c>
      <c r="AQ70" s="84">
        <v>0.94409999999999994</v>
      </c>
    </row>
    <row r="71" spans="1:43">
      <c r="A71">
        <v>66</v>
      </c>
      <c r="B71" s="1" t="s">
        <v>704</v>
      </c>
      <c r="C71">
        <v>66</v>
      </c>
      <c r="F71">
        <v>68</v>
      </c>
      <c r="G71" t="s">
        <v>152</v>
      </c>
      <c r="H71" t="s">
        <v>104</v>
      </c>
      <c r="I71">
        <f t="shared" si="2"/>
        <v>310</v>
      </c>
      <c r="J71" s="84">
        <v>0.94129999999999991</v>
      </c>
      <c r="K71" s="84">
        <v>0.94129999999999991</v>
      </c>
      <c r="L71" s="84">
        <v>0.94129999999999991</v>
      </c>
      <c r="M71" s="84">
        <v>1.0012000000000001</v>
      </c>
      <c r="N71" s="84">
        <v>1.0012000000000001</v>
      </c>
      <c r="O71" s="84">
        <v>1.0218</v>
      </c>
      <c r="P71" s="84">
        <v>1.0219</v>
      </c>
      <c r="Q71" s="84">
        <v>1.0218</v>
      </c>
      <c r="T71" s="94" t="s">
        <v>1169</v>
      </c>
      <c r="U71" s="94" t="s">
        <v>104</v>
      </c>
      <c r="Z71" s="91">
        <v>100.12</v>
      </c>
      <c r="AC71" s="91">
        <v>104.34</v>
      </c>
      <c r="AD71" s="91">
        <v>105.43</v>
      </c>
      <c r="AG71" t="s">
        <v>1169</v>
      </c>
      <c r="AH71" s="84">
        <v>0.94129999999999991</v>
      </c>
      <c r="AI71" s="84">
        <v>0.94129999999999991</v>
      </c>
      <c r="AJ71" s="84">
        <v>0.94129999999999991</v>
      </c>
      <c r="AK71" s="84">
        <v>1.0012000000000001</v>
      </c>
      <c r="AL71" s="84">
        <v>1.0012000000000001</v>
      </c>
      <c r="AM71" s="84">
        <v>1.0218</v>
      </c>
      <c r="AN71" s="84">
        <v>1.0219</v>
      </c>
      <c r="AO71" s="84">
        <v>1.0434000000000001</v>
      </c>
      <c r="AP71" s="84">
        <v>1.0543</v>
      </c>
      <c r="AQ71" s="84">
        <v>1.0218</v>
      </c>
    </row>
    <row r="72" spans="1:43">
      <c r="A72">
        <v>67</v>
      </c>
      <c r="B72" s="1">
        <v>64</v>
      </c>
      <c r="C72">
        <v>67</v>
      </c>
      <c r="F72">
        <v>69</v>
      </c>
      <c r="G72" t="s">
        <v>154</v>
      </c>
      <c r="H72" t="s">
        <v>104</v>
      </c>
      <c r="I72">
        <f t="shared" si="2"/>
        <v>311</v>
      </c>
      <c r="J72" s="84">
        <v>0.87269999999999992</v>
      </c>
      <c r="K72" s="84">
        <v>0.86230000000000007</v>
      </c>
      <c r="L72" s="84">
        <v>0.86230000000000007</v>
      </c>
      <c r="M72" s="84">
        <v>0.92030000000000001</v>
      </c>
      <c r="N72" s="84">
        <v>0.92030000000000001</v>
      </c>
      <c r="O72" s="84">
        <v>0.93</v>
      </c>
      <c r="P72" s="84">
        <v>0.93</v>
      </c>
      <c r="Q72" s="84">
        <v>0.94059999999999999</v>
      </c>
      <c r="T72" s="94" t="s">
        <v>733</v>
      </c>
      <c r="U72" s="94" t="s">
        <v>104</v>
      </c>
      <c r="Z72" s="91">
        <v>92.03</v>
      </c>
      <c r="AC72" s="91">
        <v>98.3</v>
      </c>
      <c r="AD72" s="91">
        <v>97.23</v>
      </c>
      <c r="AG72" t="s">
        <v>733</v>
      </c>
      <c r="AH72" s="84">
        <v>0.87269999999999992</v>
      </c>
      <c r="AI72" s="84">
        <v>0.86230000000000007</v>
      </c>
      <c r="AJ72" s="84">
        <v>0.86230000000000007</v>
      </c>
      <c r="AK72" s="84">
        <v>0.92030000000000001</v>
      </c>
      <c r="AL72" s="84">
        <v>0.92030000000000001</v>
      </c>
      <c r="AM72" s="84">
        <v>0.93</v>
      </c>
      <c r="AN72" s="84">
        <v>0.93</v>
      </c>
      <c r="AO72" s="84">
        <v>0.98299999999999998</v>
      </c>
      <c r="AP72" s="84">
        <v>0.97230000000000005</v>
      </c>
      <c r="AQ72" s="84">
        <v>0.94059999999999999</v>
      </c>
    </row>
    <row r="73" spans="1:43">
      <c r="A73">
        <v>68</v>
      </c>
      <c r="B73" s="1" t="s">
        <v>705</v>
      </c>
      <c r="C73">
        <v>68</v>
      </c>
      <c r="F73">
        <v>70</v>
      </c>
      <c r="G73" t="s">
        <v>155</v>
      </c>
      <c r="H73" t="s">
        <v>104</v>
      </c>
      <c r="I73">
        <f t="shared" si="2"/>
        <v>312</v>
      </c>
      <c r="J73" s="84">
        <v>0.86230000000000007</v>
      </c>
      <c r="K73" s="84">
        <v>0.86230000000000007</v>
      </c>
      <c r="L73" s="84">
        <v>0.86230000000000007</v>
      </c>
      <c r="M73" s="84">
        <v>0.89910000000000001</v>
      </c>
      <c r="N73" s="84">
        <v>0.89910000000000001</v>
      </c>
      <c r="O73" s="84">
        <v>0.89810000000000001</v>
      </c>
      <c r="P73" s="84">
        <v>0.89819999999999989</v>
      </c>
      <c r="Q73" s="84">
        <v>0.9194</v>
      </c>
      <c r="T73" s="94" t="s">
        <v>1170</v>
      </c>
      <c r="U73" s="94" t="s">
        <v>104</v>
      </c>
      <c r="Z73" s="91">
        <v>89.91</v>
      </c>
      <c r="AC73" s="91">
        <v>95.12</v>
      </c>
      <c r="AD73" s="91">
        <v>95.11</v>
      </c>
      <c r="AG73" t="s">
        <v>1170</v>
      </c>
      <c r="AH73" s="84">
        <v>0.86230000000000007</v>
      </c>
      <c r="AI73" s="84">
        <v>0.86230000000000007</v>
      </c>
      <c r="AJ73" s="84">
        <v>0.86230000000000007</v>
      </c>
      <c r="AK73" s="84">
        <v>0.89910000000000001</v>
      </c>
      <c r="AL73" s="84">
        <v>0.89910000000000001</v>
      </c>
      <c r="AM73" s="84">
        <v>0.89810000000000001</v>
      </c>
      <c r="AN73" s="84">
        <v>0.89819999999999989</v>
      </c>
      <c r="AO73" s="84">
        <v>0.95120000000000005</v>
      </c>
      <c r="AP73" s="84">
        <v>0.95109999999999995</v>
      </c>
      <c r="AQ73" s="84">
        <v>0.9194</v>
      </c>
    </row>
    <row r="74" spans="1:43">
      <c r="A74">
        <v>69</v>
      </c>
      <c r="B74" s="1">
        <v>65</v>
      </c>
      <c r="C74">
        <v>69</v>
      </c>
      <c r="F74">
        <v>71</v>
      </c>
      <c r="G74" t="s">
        <v>157</v>
      </c>
      <c r="H74" t="s">
        <v>104</v>
      </c>
      <c r="I74">
        <f t="shared" si="2"/>
        <v>313</v>
      </c>
      <c r="J74" s="84">
        <v>0.85189999999999999</v>
      </c>
      <c r="K74" s="84">
        <v>0.85189999999999999</v>
      </c>
      <c r="L74" s="84">
        <v>0.85189999999999999</v>
      </c>
      <c r="M74" s="84">
        <v>0.88849999999999996</v>
      </c>
      <c r="N74" s="84">
        <v>0.88849999999999996</v>
      </c>
      <c r="O74" s="84">
        <v>0.89810000000000001</v>
      </c>
      <c r="P74" s="84">
        <v>0.89819999999999989</v>
      </c>
      <c r="Q74" s="84">
        <v>0.90879999999999994</v>
      </c>
      <c r="T74" s="94" t="s">
        <v>1171</v>
      </c>
      <c r="U74" s="94" t="s">
        <v>104</v>
      </c>
      <c r="Z74" s="91">
        <v>88.85</v>
      </c>
      <c r="AC74" s="91">
        <v>94.06</v>
      </c>
      <c r="AD74" s="91">
        <v>94.05</v>
      </c>
      <c r="AG74" t="s">
        <v>1171</v>
      </c>
      <c r="AH74" s="84">
        <v>0.85189999999999999</v>
      </c>
      <c r="AI74" s="84">
        <v>0.85189999999999999</v>
      </c>
      <c r="AJ74" s="84">
        <v>0.85189999999999999</v>
      </c>
      <c r="AK74" s="84">
        <v>0.88849999999999996</v>
      </c>
      <c r="AL74" s="84">
        <v>0.88849999999999996</v>
      </c>
      <c r="AM74" s="84">
        <v>0.89810000000000001</v>
      </c>
      <c r="AN74" s="84">
        <v>0.89819999999999989</v>
      </c>
      <c r="AO74" s="84">
        <v>0.94059999999999999</v>
      </c>
      <c r="AP74" s="84">
        <v>0.9405</v>
      </c>
      <c r="AQ74" s="84">
        <v>0.90879999999999994</v>
      </c>
    </row>
    <row r="75" spans="1:43">
      <c r="A75">
        <v>70</v>
      </c>
      <c r="B75" s="1" t="s">
        <v>706</v>
      </c>
      <c r="C75">
        <v>70</v>
      </c>
      <c r="F75">
        <v>72</v>
      </c>
      <c r="G75" t="s">
        <v>158</v>
      </c>
      <c r="H75" t="s">
        <v>104</v>
      </c>
      <c r="I75">
        <f t="shared" si="2"/>
        <v>314</v>
      </c>
      <c r="J75" s="84">
        <v>0.90390000000000004</v>
      </c>
      <c r="K75" s="84">
        <v>0.90390000000000004</v>
      </c>
      <c r="L75" s="84">
        <v>0.90390000000000004</v>
      </c>
      <c r="M75" s="84">
        <v>0.9415</v>
      </c>
      <c r="N75" s="84">
        <v>0.9415</v>
      </c>
      <c r="O75" s="84">
        <v>0.95120000000000005</v>
      </c>
      <c r="P75" s="84">
        <v>0.95120000000000005</v>
      </c>
      <c r="Q75" s="84">
        <v>0.97239999999999993</v>
      </c>
      <c r="T75" s="94" t="s">
        <v>1172</v>
      </c>
      <c r="U75" s="94" t="s">
        <v>104</v>
      </c>
      <c r="Z75" s="91">
        <v>94.15</v>
      </c>
      <c r="AC75" s="91">
        <v>100.42</v>
      </c>
      <c r="AD75" s="91">
        <v>99.35</v>
      </c>
      <c r="AG75" t="s">
        <v>1172</v>
      </c>
      <c r="AH75" s="84">
        <v>0.90390000000000004</v>
      </c>
      <c r="AI75" s="84">
        <v>0.90390000000000004</v>
      </c>
      <c r="AJ75" s="84">
        <v>0.90390000000000004</v>
      </c>
      <c r="AK75" s="84">
        <v>0.9415</v>
      </c>
      <c r="AL75" s="84">
        <v>0.9415</v>
      </c>
      <c r="AM75" s="84">
        <v>0.95120000000000005</v>
      </c>
      <c r="AN75" s="84">
        <v>0.95120000000000005</v>
      </c>
      <c r="AO75" s="84">
        <v>1.0042</v>
      </c>
      <c r="AP75" s="84">
        <v>0.99349999999999994</v>
      </c>
      <c r="AQ75" s="84">
        <v>0.97239999999999993</v>
      </c>
    </row>
    <row r="76" spans="1:43">
      <c r="A76">
        <v>71</v>
      </c>
      <c r="B76" s="1">
        <v>66</v>
      </c>
      <c r="C76">
        <v>71</v>
      </c>
      <c r="F76">
        <v>73</v>
      </c>
      <c r="G76" t="s">
        <v>160</v>
      </c>
      <c r="H76" t="s">
        <v>104</v>
      </c>
      <c r="I76">
        <f t="shared" si="2"/>
        <v>315</v>
      </c>
      <c r="J76" s="84">
        <v>0.85540000000000005</v>
      </c>
      <c r="K76" s="84">
        <v>0.85540000000000005</v>
      </c>
      <c r="L76" s="84">
        <v>0.85540000000000005</v>
      </c>
      <c r="M76" s="84">
        <v>0.89209999999999989</v>
      </c>
      <c r="N76" s="84">
        <v>0.89209999999999989</v>
      </c>
      <c r="O76" s="84">
        <v>0.8911</v>
      </c>
      <c r="P76" s="84">
        <v>0.8911</v>
      </c>
      <c r="Q76" s="84">
        <v>0.91099999999999992</v>
      </c>
      <c r="T76" s="94" t="s">
        <v>1173</v>
      </c>
      <c r="U76" s="94" t="s">
        <v>104</v>
      </c>
      <c r="Z76" s="91">
        <v>89.21</v>
      </c>
      <c r="AC76" s="91">
        <v>95.06</v>
      </c>
      <c r="AD76" s="91">
        <v>94.06</v>
      </c>
      <c r="AG76" t="s">
        <v>1173</v>
      </c>
      <c r="AH76" s="84">
        <v>0.85540000000000005</v>
      </c>
      <c r="AI76" s="84">
        <v>0.85540000000000005</v>
      </c>
      <c r="AJ76" s="84">
        <v>0.85540000000000005</v>
      </c>
      <c r="AK76" s="84">
        <v>0.89209999999999989</v>
      </c>
      <c r="AL76" s="84">
        <v>0.89209999999999989</v>
      </c>
      <c r="AM76" s="84">
        <v>0.8911</v>
      </c>
      <c r="AN76" s="84">
        <v>0.8911</v>
      </c>
      <c r="AO76" s="84">
        <v>0.9506</v>
      </c>
      <c r="AP76" s="84">
        <v>0.94059999999999999</v>
      </c>
      <c r="AQ76" s="84">
        <v>0.91099999999999992</v>
      </c>
    </row>
    <row r="77" spans="1:43">
      <c r="A77">
        <v>72</v>
      </c>
      <c r="B77" s="1" t="s">
        <v>707</v>
      </c>
      <c r="C77">
        <v>72</v>
      </c>
      <c r="F77">
        <v>74</v>
      </c>
      <c r="G77" t="s">
        <v>161</v>
      </c>
      <c r="H77" t="s">
        <v>104</v>
      </c>
      <c r="I77">
        <f t="shared" si="2"/>
        <v>316</v>
      </c>
      <c r="J77" s="84">
        <v>0.80689999999999995</v>
      </c>
      <c r="K77" s="84">
        <v>0.83599999999999997</v>
      </c>
      <c r="L77" s="84">
        <v>0.85540000000000005</v>
      </c>
      <c r="M77" s="84">
        <v>0.91180000000000005</v>
      </c>
      <c r="N77" s="84">
        <v>0.91180000000000005</v>
      </c>
      <c r="O77" s="84">
        <v>0.91090000000000004</v>
      </c>
      <c r="P77" s="84">
        <v>0.91090000000000004</v>
      </c>
      <c r="Q77" s="84">
        <v>0.95050000000000001</v>
      </c>
      <c r="T77" s="94" t="s">
        <v>734</v>
      </c>
      <c r="U77" s="94" t="s">
        <v>104</v>
      </c>
      <c r="Z77" s="91">
        <v>91.19</v>
      </c>
      <c r="AC77" s="91">
        <v>98.02</v>
      </c>
      <c r="AD77" s="91">
        <v>98.02</v>
      </c>
      <c r="AG77" t="s">
        <v>734</v>
      </c>
      <c r="AH77" s="84">
        <v>0.80689999999999995</v>
      </c>
      <c r="AI77" s="84">
        <v>0.83599999999999997</v>
      </c>
      <c r="AJ77" s="84">
        <v>0.85540000000000005</v>
      </c>
      <c r="AK77" s="84">
        <v>0.91180000000000005</v>
      </c>
      <c r="AL77" s="84">
        <v>0.91189999999999993</v>
      </c>
      <c r="AM77" s="84">
        <v>0.91090000000000004</v>
      </c>
      <c r="AN77" s="84">
        <v>0.91090000000000004</v>
      </c>
      <c r="AO77" s="84">
        <v>0.98019999999999996</v>
      </c>
      <c r="AP77" s="84">
        <v>0.98019999999999996</v>
      </c>
      <c r="AQ77" s="84">
        <v>0.95050000000000001</v>
      </c>
    </row>
    <row r="78" spans="1:43">
      <c r="A78">
        <v>73</v>
      </c>
      <c r="B78" s="1">
        <v>67</v>
      </c>
      <c r="C78">
        <v>73</v>
      </c>
      <c r="F78">
        <v>75</v>
      </c>
      <c r="G78" t="s">
        <v>163</v>
      </c>
      <c r="H78" t="s">
        <v>104</v>
      </c>
      <c r="I78">
        <f t="shared" si="2"/>
        <v>317</v>
      </c>
      <c r="J78" s="84">
        <v>0.86659999999999993</v>
      </c>
      <c r="K78" s="84">
        <v>0.88700000000000001</v>
      </c>
      <c r="L78" s="84">
        <v>0.91760000000000008</v>
      </c>
      <c r="M78" s="84">
        <v>0.96579999999999999</v>
      </c>
      <c r="N78" s="84">
        <v>0.96579999999999999</v>
      </c>
      <c r="O78" s="84">
        <v>0.97530000000000006</v>
      </c>
      <c r="P78" s="84">
        <v>0.97530000000000006</v>
      </c>
      <c r="Q78" s="84">
        <v>1.0168999999999999</v>
      </c>
      <c r="T78" s="94" t="s">
        <v>1174</v>
      </c>
      <c r="U78" s="94" t="s">
        <v>104</v>
      </c>
      <c r="Z78" s="91">
        <v>96.59</v>
      </c>
      <c r="AC78" s="91">
        <v>104.8</v>
      </c>
      <c r="AD78" s="91">
        <v>104.81</v>
      </c>
      <c r="AG78" t="s">
        <v>1174</v>
      </c>
      <c r="AH78" s="84">
        <v>0.86659999999999993</v>
      </c>
      <c r="AI78" s="84">
        <v>0.88700000000000001</v>
      </c>
      <c r="AJ78" s="84">
        <v>0.91760000000000008</v>
      </c>
      <c r="AK78" s="84">
        <v>0.96579999999999999</v>
      </c>
      <c r="AL78" s="84">
        <v>0.96589999999999998</v>
      </c>
      <c r="AM78" s="84">
        <v>0.97530000000000006</v>
      </c>
      <c r="AN78" s="84">
        <v>0.97530000000000006</v>
      </c>
      <c r="AO78" s="84">
        <v>1.048</v>
      </c>
      <c r="AP78" s="84">
        <v>1.0481</v>
      </c>
      <c r="AQ78" s="84">
        <v>1.0168999999999999</v>
      </c>
    </row>
    <row r="79" spans="1:43">
      <c r="A79">
        <v>74</v>
      </c>
      <c r="B79" s="1" t="s">
        <v>708</v>
      </c>
      <c r="C79">
        <v>74</v>
      </c>
      <c r="F79">
        <v>76</v>
      </c>
      <c r="G79" t="s">
        <v>164</v>
      </c>
      <c r="H79" t="s">
        <v>104</v>
      </c>
      <c r="I79">
        <f t="shared" si="2"/>
        <v>318</v>
      </c>
      <c r="J79" s="84">
        <v>0.78500000000000003</v>
      </c>
      <c r="K79" s="84">
        <v>0.81559999999999999</v>
      </c>
      <c r="L79" s="84">
        <v>0.84620000000000006</v>
      </c>
      <c r="M79" s="84">
        <v>0.89300000000000002</v>
      </c>
      <c r="N79" s="84">
        <v>0.89300000000000002</v>
      </c>
      <c r="O79" s="84">
        <v>0.89209999999999989</v>
      </c>
      <c r="P79" s="84">
        <v>0.89209999999999989</v>
      </c>
      <c r="Q79" s="84">
        <v>0.93370000000000009</v>
      </c>
      <c r="T79" s="94" t="s">
        <v>1175</v>
      </c>
      <c r="U79" s="94" t="s">
        <v>104</v>
      </c>
      <c r="Z79" s="91">
        <v>89.31</v>
      </c>
      <c r="AC79" s="91">
        <v>96.48</v>
      </c>
      <c r="AD79" s="91">
        <v>96.49</v>
      </c>
      <c r="AG79" t="s">
        <v>1175</v>
      </c>
      <c r="AH79" s="84">
        <v>0.78500000000000003</v>
      </c>
      <c r="AI79" s="84">
        <v>0.81559999999999999</v>
      </c>
      <c r="AJ79" s="84">
        <v>0.84620000000000006</v>
      </c>
      <c r="AK79" s="84">
        <v>0.89300000000000002</v>
      </c>
      <c r="AL79" s="84">
        <v>0.8931</v>
      </c>
      <c r="AM79" s="84">
        <v>0.89209999999999989</v>
      </c>
      <c r="AN79" s="84">
        <v>0.89209999999999989</v>
      </c>
      <c r="AO79" s="84">
        <v>0.96479999999999999</v>
      </c>
      <c r="AP79" s="84">
        <v>0.96489999999999998</v>
      </c>
      <c r="AQ79" s="84">
        <v>0.93370000000000009</v>
      </c>
    </row>
    <row r="80" spans="1:43">
      <c r="A80">
        <v>75</v>
      </c>
      <c r="B80" s="1">
        <v>68</v>
      </c>
      <c r="C80">
        <v>75</v>
      </c>
      <c r="F80">
        <v>77</v>
      </c>
      <c r="G80" t="s">
        <v>166</v>
      </c>
      <c r="H80" t="s">
        <v>104</v>
      </c>
      <c r="I80">
        <f t="shared" si="2"/>
        <v>319</v>
      </c>
      <c r="J80" s="84">
        <v>0.75129999999999997</v>
      </c>
      <c r="K80" s="84">
        <v>0.75129999999999997</v>
      </c>
      <c r="L80" s="84">
        <v>0.80290000000000006</v>
      </c>
      <c r="M80" s="84">
        <v>0.83840000000000003</v>
      </c>
      <c r="N80" s="84">
        <v>0.83840000000000003</v>
      </c>
      <c r="O80" s="84">
        <v>0.84799999999999998</v>
      </c>
      <c r="P80" s="84">
        <v>0.84799999999999998</v>
      </c>
      <c r="Q80" s="84">
        <v>0.89</v>
      </c>
      <c r="T80" s="94" t="s">
        <v>1176</v>
      </c>
      <c r="U80" s="94" t="s">
        <v>104</v>
      </c>
      <c r="Z80" s="91">
        <v>83.84</v>
      </c>
      <c r="AC80" s="91">
        <v>91.1</v>
      </c>
      <c r="AD80" s="91">
        <v>91.1</v>
      </c>
      <c r="AG80" t="s">
        <v>1176</v>
      </c>
      <c r="AH80" s="84">
        <v>0.75129999999999997</v>
      </c>
      <c r="AI80" s="84">
        <v>0.75129999999999997</v>
      </c>
      <c r="AJ80" s="84">
        <v>0.80290000000000006</v>
      </c>
      <c r="AK80" s="84">
        <v>0.83840000000000003</v>
      </c>
      <c r="AL80" s="84">
        <v>0.83840000000000003</v>
      </c>
      <c r="AM80" s="84">
        <v>0.84799999999999998</v>
      </c>
      <c r="AN80" s="84">
        <v>0.84799999999999998</v>
      </c>
      <c r="AO80" s="84">
        <v>0.91099999999999992</v>
      </c>
      <c r="AP80" s="84">
        <v>0.91099999999999992</v>
      </c>
      <c r="AQ80" s="84">
        <v>0.89</v>
      </c>
    </row>
    <row r="81" spans="1:43">
      <c r="A81">
        <v>76</v>
      </c>
      <c r="B81" s="1" t="s">
        <v>709</v>
      </c>
      <c r="C81">
        <v>76</v>
      </c>
      <c r="F81">
        <v>78</v>
      </c>
      <c r="G81" t="s">
        <v>167</v>
      </c>
      <c r="H81" t="s">
        <v>104</v>
      </c>
      <c r="I81">
        <f t="shared" si="2"/>
        <v>320</v>
      </c>
      <c r="J81" s="84">
        <v>0.73750000000000004</v>
      </c>
      <c r="K81" s="84">
        <v>0.73750000000000004</v>
      </c>
      <c r="L81" s="84">
        <v>0.78949999999999998</v>
      </c>
      <c r="M81" s="84">
        <v>0.82469999999999999</v>
      </c>
      <c r="N81" s="84">
        <v>0.82469999999999999</v>
      </c>
      <c r="O81" s="84">
        <v>0.82389999999999997</v>
      </c>
      <c r="P81" s="84">
        <v>0.82389999999999997</v>
      </c>
      <c r="Q81" s="84">
        <v>0.83450000000000002</v>
      </c>
      <c r="T81" s="94" t="s">
        <v>1177</v>
      </c>
      <c r="U81" s="94" t="s">
        <v>104</v>
      </c>
      <c r="Z81" s="91">
        <v>82.48</v>
      </c>
      <c r="AC81" s="91">
        <v>85.57</v>
      </c>
      <c r="AD81" s="91">
        <v>85.57</v>
      </c>
      <c r="AG81" t="s">
        <v>1177</v>
      </c>
      <c r="AH81" s="84">
        <v>0.73750000000000004</v>
      </c>
      <c r="AI81" s="84">
        <v>0.73750000000000004</v>
      </c>
      <c r="AJ81" s="84">
        <v>0.78949999999999998</v>
      </c>
      <c r="AK81" s="84">
        <v>0.82469999999999999</v>
      </c>
      <c r="AL81" s="84">
        <v>0.82480000000000009</v>
      </c>
      <c r="AM81" s="84">
        <v>0.82389999999999997</v>
      </c>
      <c r="AN81" s="84">
        <v>0.82389999999999997</v>
      </c>
      <c r="AO81" s="84">
        <v>0.85569999999999991</v>
      </c>
      <c r="AP81" s="84">
        <v>0.85569999999999991</v>
      </c>
      <c r="AQ81" s="84">
        <v>0.83450000000000002</v>
      </c>
    </row>
    <row r="82" spans="1:43">
      <c r="A82">
        <v>77</v>
      </c>
      <c r="B82" s="1">
        <v>69</v>
      </c>
      <c r="C82">
        <v>77</v>
      </c>
      <c r="F82">
        <v>79</v>
      </c>
      <c r="G82" t="s">
        <v>169</v>
      </c>
      <c r="H82" t="s">
        <v>104</v>
      </c>
      <c r="I82">
        <f t="shared" si="2"/>
        <v>321</v>
      </c>
      <c r="J82" s="84">
        <v>0.78599999999999992</v>
      </c>
      <c r="K82" s="84">
        <v>0.78599999999999992</v>
      </c>
      <c r="L82" s="84">
        <v>0.83860000000000001</v>
      </c>
      <c r="M82" s="84">
        <v>0.87480000000000002</v>
      </c>
      <c r="N82" s="84">
        <v>0.87480000000000002</v>
      </c>
      <c r="O82" s="84">
        <v>0.88459999999999994</v>
      </c>
      <c r="P82" s="84">
        <v>0.88459999999999994</v>
      </c>
      <c r="Q82" s="84">
        <v>0.88459999999999994</v>
      </c>
      <c r="T82" s="94" t="s">
        <v>1178</v>
      </c>
      <c r="U82" s="94" t="s">
        <v>104</v>
      </c>
      <c r="Z82" s="91">
        <v>87.49</v>
      </c>
      <c r="AC82" s="91">
        <v>90.6</v>
      </c>
      <c r="AD82" s="91">
        <v>90.6</v>
      </c>
      <c r="AG82" t="s">
        <v>1178</v>
      </c>
      <c r="AH82" s="84">
        <v>0.78599999999999992</v>
      </c>
      <c r="AI82" s="84">
        <v>0.78599999999999992</v>
      </c>
      <c r="AJ82" s="84">
        <v>0.83860000000000001</v>
      </c>
      <c r="AK82" s="84">
        <v>0.87480000000000002</v>
      </c>
      <c r="AL82" s="84">
        <v>0.8748999999999999</v>
      </c>
      <c r="AM82" s="84">
        <v>0.88459999999999994</v>
      </c>
      <c r="AN82" s="84">
        <v>0.88459999999999994</v>
      </c>
      <c r="AO82" s="84">
        <v>0.90599999999999992</v>
      </c>
      <c r="AP82" s="84">
        <v>0.90599999999999992</v>
      </c>
      <c r="AQ82" s="84">
        <v>0.88459999999999994</v>
      </c>
    </row>
    <row r="83" spans="1:43">
      <c r="A83">
        <v>78</v>
      </c>
      <c r="B83" s="1" t="s">
        <v>710</v>
      </c>
      <c r="C83">
        <v>78</v>
      </c>
      <c r="F83">
        <v>80</v>
      </c>
      <c r="G83" t="s">
        <v>170</v>
      </c>
      <c r="H83" t="s">
        <v>104</v>
      </c>
      <c r="I83">
        <f t="shared" si="2"/>
        <v>322</v>
      </c>
      <c r="J83" s="84">
        <v>0.87269999999999992</v>
      </c>
      <c r="K83" s="84">
        <v>0.89349999999999996</v>
      </c>
      <c r="L83" s="84">
        <v>0.96640000000000004</v>
      </c>
      <c r="M83" s="84">
        <v>1.0158</v>
      </c>
      <c r="N83" s="84">
        <v>1.0158</v>
      </c>
      <c r="O83" s="84">
        <v>1.0254000000000001</v>
      </c>
      <c r="P83" s="84">
        <v>1.0254000000000001</v>
      </c>
      <c r="Q83" s="84">
        <v>1.1101999999999999</v>
      </c>
      <c r="T83" s="94" t="s">
        <v>735</v>
      </c>
      <c r="U83" s="94" t="s">
        <v>104</v>
      </c>
      <c r="Z83" s="91">
        <v>101.58</v>
      </c>
      <c r="AC83" s="91">
        <v>108.9</v>
      </c>
      <c r="AD83" s="91">
        <v>113.14</v>
      </c>
      <c r="AG83" t="s">
        <v>735</v>
      </c>
      <c r="AH83" s="84">
        <v>0.87269999999999992</v>
      </c>
      <c r="AI83" s="84">
        <v>0.89349999999999996</v>
      </c>
      <c r="AJ83" s="84">
        <v>0.96640000000000004</v>
      </c>
      <c r="AK83" s="84">
        <v>1.0158</v>
      </c>
      <c r="AL83" s="84">
        <v>1.0158</v>
      </c>
      <c r="AM83" s="84">
        <v>1.0254000000000001</v>
      </c>
      <c r="AN83" s="84">
        <v>1.0254000000000001</v>
      </c>
      <c r="AO83" s="84">
        <v>1.089</v>
      </c>
      <c r="AP83" s="84">
        <v>1.1314</v>
      </c>
      <c r="AQ83" s="84">
        <v>1.1101999999999999</v>
      </c>
    </row>
    <row r="84" spans="1:43">
      <c r="A84">
        <v>79</v>
      </c>
      <c r="B84" s="1">
        <v>70</v>
      </c>
      <c r="C84">
        <v>79</v>
      </c>
      <c r="F84">
        <v>81</v>
      </c>
      <c r="G84" t="s">
        <v>172</v>
      </c>
      <c r="H84" t="s">
        <v>104</v>
      </c>
      <c r="I84">
        <f t="shared" si="2"/>
        <v>323</v>
      </c>
      <c r="J84" s="84">
        <v>0.77749999999999997</v>
      </c>
      <c r="K84" s="84">
        <v>0.7984</v>
      </c>
      <c r="L84" s="84">
        <v>0.86120000000000008</v>
      </c>
      <c r="M84" s="84">
        <v>0.90859999999999996</v>
      </c>
      <c r="N84" s="84">
        <v>0.90859999999999996</v>
      </c>
      <c r="O84" s="84">
        <v>0.91830000000000001</v>
      </c>
      <c r="P84" s="84">
        <v>0.91830000000000001</v>
      </c>
      <c r="Q84" s="84">
        <v>1.0034999999999998</v>
      </c>
      <c r="T84" s="94" t="s">
        <v>1179</v>
      </c>
      <c r="U84" s="94" t="s">
        <v>104</v>
      </c>
      <c r="Z84" s="91">
        <v>90.86</v>
      </c>
      <c r="AC84" s="91">
        <v>98.22</v>
      </c>
      <c r="AD84" s="91">
        <v>102.49</v>
      </c>
      <c r="AG84" t="s">
        <v>1179</v>
      </c>
      <c r="AH84" s="84">
        <v>0.77749999999999997</v>
      </c>
      <c r="AI84" s="84">
        <v>0.7984</v>
      </c>
      <c r="AJ84" s="84">
        <v>0.86120000000000008</v>
      </c>
      <c r="AK84" s="84">
        <v>0.90859999999999996</v>
      </c>
      <c r="AL84" s="84">
        <v>0.90859999999999996</v>
      </c>
      <c r="AM84" s="84">
        <v>0.91830000000000001</v>
      </c>
      <c r="AN84" s="84">
        <v>0.91830000000000001</v>
      </c>
      <c r="AO84" s="84">
        <v>0.98219999999999996</v>
      </c>
      <c r="AP84" s="84">
        <v>1.0248999999999999</v>
      </c>
      <c r="AQ84" s="84">
        <v>1.0034999999999998</v>
      </c>
    </row>
    <row r="85" spans="1:43">
      <c r="A85">
        <v>80</v>
      </c>
      <c r="B85" s="1" t="s">
        <v>711</v>
      </c>
      <c r="C85">
        <v>80</v>
      </c>
      <c r="F85">
        <v>82</v>
      </c>
      <c r="G85" t="s">
        <v>173</v>
      </c>
      <c r="H85" t="s">
        <v>104</v>
      </c>
      <c r="I85">
        <f t="shared" si="2"/>
        <v>324</v>
      </c>
      <c r="J85" s="84">
        <v>0.84860000000000002</v>
      </c>
      <c r="K85" s="84">
        <v>0.87033600000000011</v>
      </c>
      <c r="L85" s="84">
        <v>0.93564800000000015</v>
      </c>
      <c r="M85" s="84">
        <v>0.98494400000000015</v>
      </c>
      <c r="N85" s="84">
        <v>0.98494400000000015</v>
      </c>
      <c r="O85" s="84">
        <v>0.99503199999999992</v>
      </c>
      <c r="P85" s="84">
        <v>0.99503199999999992</v>
      </c>
      <c r="Q85" s="84">
        <v>1.0836399999999999</v>
      </c>
      <c r="T85" s="94" t="s">
        <v>1180</v>
      </c>
      <c r="U85" s="94" t="s">
        <v>104</v>
      </c>
      <c r="Z85" s="91">
        <v>98.494400000000013</v>
      </c>
      <c r="AC85" s="91">
        <v>106.14879999999999</v>
      </c>
      <c r="AD85" s="91">
        <v>110.58960000000002</v>
      </c>
      <c r="AG85" t="s">
        <v>1180</v>
      </c>
      <c r="AH85" s="84">
        <v>0.84860000000000002</v>
      </c>
      <c r="AI85" s="84">
        <v>0.87033600000000011</v>
      </c>
      <c r="AJ85" s="84">
        <v>0.93564800000000015</v>
      </c>
      <c r="AK85" s="84">
        <v>0.98494400000000015</v>
      </c>
      <c r="AL85" s="84">
        <v>0.98494400000000015</v>
      </c>
      <c r="AM85" s="84">
        <v>0.99503199999999992</v>
      </c>
      <c r="AN85" s="84">
        <v>0.99503199999999992</v>
      </c>
      <c r="AO85" s="84">
        <v>1.061488</v>
      </c>
      <c r="AP85" s="84">
        <v>1.1058960000000002</v>
      </c>
      <c r="AQ85" s="84">
        <v>1.0836399999999999</v>
      </c>
    </row>
    <row r="86" spans="1:43">
      <c r="A86">
        <v>81</v>
      </c>
      <c r="B86" s="1">
        <v>71</v>
      </c>
      <c r="C86">
        <v>81</v>
      </c>
      <c r="F86">
        <v>83</v>
      </c>
      <c r="G86" t="s">
        <v>175</v>
      </c>
      <c r="H86" t="s">
        <v>104</v>
      </c>
      <c r="I86">
        <f t="shared" si="2"/>
        <v>325</v>
      </c>
      <c r="J86" s="84">
        <v>0.91969999999999996</v>
      </c>
      <c r="K86" s="84">
        <v>0.94227200000000011</v>
      </c>
      <c r="L86" s="84">
        <v>1.0100960000000001</v>
      </c>
      <c r="M86" s="84">
        <v>1.0612880000000005</v>
      </c>
      <c r="N86" s="84">
        <v>1.0612880000000005</v>
      </c>
      <c r="O86" s="84">
        <v>1.0717639999999999</v>
      </c>
      <c r="P86" s="84">
        <v>1.0717639999999999</v>
      </c>
      <c r="Q86" s="84">
        <v>1.16378</v>
      </c>
      <c r="T86" s="94" t="s">
        <v>1180</v>
      </c>
      <c r="U86" s="94" t="s">
        <v>104</v>
      </c>
      <c r="Z86" s="91">
        <v>106.12880000000004</v>
      </c>
      <c r="AC86" s="91">
        <v>114.07760000000002</v>
      </c>
      <c r="AD86" s="91">
        <v>118.68920000000003</v>
      </c>
      <c r="AG86" t="s">
        <v>1180</v>
      </c>
      <c r="AH86" s="84">
        <v>0.91969999999999996</v>
      </c>
      <c r="AI86" s="84">
        <v>0.94227200000000011</v>
      </c>
      <c r="AJ86" s="84">
        <v>1.0100960000000001</v>
      </c>
      <c r="AK86" s="84">
        <v>1.0612880000000005</v>
      </c>
      <c r="AL86" s="84">
        <v>1.0612880000000005</v>
      </c>
      <c r="AM86" s="84">
        <v>1.0717639999999999</v>
      </c>
      <c r="AN86" s="84">
        <v>1.0717639999999999</v>
      </c>
      <c r="AO86" s="84">
        <v>1.1407760000000002</v>
      </c>
      <c r="AP86" s="84">
        <v>1.1868920000000003</v>
      </c>
      <c r="AQ86" s="84">
        <v>1.16378</v>
      </c>
    </row>
    <row r="87" spans="1:43">
      <c r="A87">
        <v>82</v>
      </c>
      <c r="B87" s="1" t="s">
        <v>712</v>
      </c>
      <c r="C87">
        <v>82</v>
      </c>
      <c r="F87">
        <v>84</v>
      </c>
      <c r="G87" t="s">
        <v>176</v>
      </c>
      <c r="H87" t="s">
        <v>104</v>
      </c>
      <c r="I87">
        <f t="shared" si="2"/>
        <v>326</v>
      </c>
      <c r="J87" s="84">
        <v>1.000216</v>
      </c>
      <c r="K87" s="84">
        <v>1.033606</v>
      </c>
      <c r="L87" s="84">
        <v>1.1116220000000001</v>
      </c>
      <c r="M87" s="84">
        <v>1.176812</v>
      </c>
      <c r="N87" s="84">
        <v>1.176812</v>
      </c>
      <c r="O87" s="84">
        <v>1.2328859999999999</v>
      </c>
      <c r="P87" s="84">
        <v>1.221438</v>
      </c>
      <c r="Q87" s="84">
        <v>1.2555700000000001</v>
      </c>
      <c r="T87" s="94" t="s">
        <v>1128</v>
      </c>
      <c r="U87" s="94" t="s">
        <v>104</v>
      </c>
      <c r="Z87" s="91">
        <v>116.54700000000001</v>
      </c>
      <c r="AC87" s="91">
        <v>126.68060000000001</v>
      </c>
      <c r="AD87" s="91">
        <v>125.55700000000002</v>
      </c>
      <c r="AG87" t="s">
        <v>1128</v>
      </c>
      <c r="AH87" s="84">
        <v>1.000216</v>
      </c>
      <c r="AI87" s="84">
        <v>1.033606</v>
      </c>
      <c r="AJ87" s="84">
        <v>1.1116220000000001</v>
      </c>
      <c r="AK87" s="84">
        <v>1.176812</v>
      </c>
      <c r="AL87" s="84">
        <v>1.16547</v>
      </c>
      <c r="AM87" s="84">
        <v>1.2328859999999999</v>
      </c>
      <c r="AN87" s="84">
        <v>1.221438</v>
      </c>
      <c r="AO87" s="84">
        <v>1.2668060000000001</v>
      </c>
      <c r="AP87" s="84">
        <v>1.2555700000000001</v>
      </c>
      <c r="AQ87" s="84">
        <v>1.2555700000000001</v>
      </c>
    </row>
    <row r="88" spans="1:43">
      <c r="A88">
        <v>83</v>
      </c>
      <c r="B88" s="1">
        <v>72</v>
      </c>
      <c r="C88">
        <v>83</v>
      </c>
      <c r="F88">
        <v>85</v>
      </c>
      <c r="G88" t="s">
        <v>178</v>
      </c>
      <c r="H88" t="s">
        <v>104</v>
      </c>
      <c r="I88">
        <f t="shared" si="2"/>
        <v>327</v>
      </c>
      <c r="J88" s="84">
        <v>0.92092000000000018</v>
      </c>
      <c r="K88" s="84">
        <v>0.95579000000000003</v>
      </c>
      <c r="L88" s="84">
        <v>1.0370800000000002</v>
      </c>
      <c r="M88" s="84">
        <v>1.0907600000000002</v>
      </c>
      <c r="N88" s="84">
        <v>1.0907600000000002</v>
      </c>
      <c r="O88" s="84">
        <v>1.14917</v>
      </c>
      <c r="P88" s="84">
        <v>1.1372900000000001</v>
      </c>
      <c r="Q88" s="84">
        <v>1.17293</v>
      </c>
      <c r="T88" s="94" t="s">
        <v>1181</v>
      </c>
      <c r="U88" s="94" t="s">
        <v>104</v>
      </c>
      <c r="Z88" s="91">
        <v>109.07600000000001</v>
      </c>
      <c r="AC88" s="91">
        <v>118.47</v>
      </c>
      <c r="AD88" s="91">
        <v>117.29300000000001</v>
      </c>
      <c r="AG88" t="s">
        <v>1181</v>
      </c>
      <c r="AH88" s="84">
        <v>0.92092000000000018</v>
      </c>
      <c r="AI88" s="84">
        <v>0.95579000000000003</v>
      </c>
      <c r="AJ88" s="84">
        <v>1.0370800000000002</v>
      </c>
      <c r="AK88" s="84">
        <v>1.0907600000000002</v>
      </c>
      <c r="AL88" s="84">
        <v>1.0907600000000002</v>
      </c>
      <c r="AM88" s="84">
        <v>1.14917</v>
      </c>
      <c r="AN88" s="84">
        <v>1.1372900000000001</v>
      </c>
      <c r="AO88" s="84">
        <v>1.1847000000000001</v>
      </c>
      <c r="AP88" s="84">
        <v>1.17293</v>
      </c>
      <c r="AQ88" s="84">
        <v>1.17293</v>
      </c>
    </row>
    <row r="89" spans="1:43">
      <c r="A89">
        <v>84</v>
      </c>
      <c r="B89" s="1" t="s">
        <v>713</v>
      </c>
      <c r="C89">
        <v>84</v>
      </c>
      <c r="F89">
        <v>86</v>
      </c>
      <c r="G89" t="s">
        <v>179</v>
      </c>
      <c r="H89" t="s">
        <v>104</v>
      </c>
      <c r="I89">
        <f t="shared" si="2"/>
        <v>328</v>
      </c>
      <c r="J89" s="84">
        <v>1.03484052421652</v>
      </c>
      <c r="K89" s="84">
        <v>1.0591553675213701</v>
      </c>
      <c r="L89" s="84">
        <v>1.13224791452992</v>
      </c>
      <c r="M89" s="84">
        <v>1.18812520797721</v>
      </c>
      <c r="N89" s="84">
        <v>1.18812520797721</v>
      </c>
      <c r="O89" s="84">
        <v>1.20652813105413</v>
      </c>
      <c r="P89" s="84">
        <v>1.2032209743589699</v>
      </c>
      <c r="Q89" s="84">
        <v>1.25434698005698</v>
      </c>
      <c r="T89" s="94" t="s">
        <v>1182</v>
      </c>
      <c r="U89" s="94" t="s">
        <v>104</v>
      </c>
      <c r="Z89" s="91">
        <v>99.16</v>
      </c>
      <c r="AC89" s="91">
        <v>107.7</v>
      </c>
      <c r="AD89" s="91">
        <v>106.63</v>
      </c>
      <c r="AG89" t="s">
        <v>1182</v>
      </c>
      <c r="AH89" s="84">
        <v>1.03484052421652</v>
      </c>
      <c r="AI89" s="84">
        <v>1.0591553675213701</v>
      </c>
      <c r="AJ89" s="84">
        <v>1.13224791452992</v>
      </c>
      <c r="AK89" s="84">
        <v>1.18812520797721</v>
      </c>
      <c r="AL89" s="84">
        <v>1.18657917378917</v>
      </c>
      <c r="AM89" s="84">
        <v>1.20652813105413</v>
      </c>
      <c r="AN89" s="84">
        <v>1.2032209743589699</v>
      </c>
      <c r="AO89" s="84">
        <v>1.2711683019943001</v>
      </c>
      <c r="AP89" s="84">
        <v>1.2881183760683801</v>
      </c>
      <c r="AQ89" s="84">
        <v>1.25434698005698</v>
      </c>
    </row>
    <row r="90" spans="1:43">
      <c r="A90">
        <v>85</v>
      </c>
      <c r="B90" s="1">
        <v>73</v>
      </c>
      <c r="C90">
        <v>85</v>
      </c>
      <c r="F90">
        <v>87</v>
      </c>
      <c r="G90" t="s">
        <v>138</v>
      </c>
      <c r="H90" t="s">
        <v>105</v>
      </c>
      <c r="I90">
        <v>400</v>
      </c>
      <c r="J90" s="84">
        <v>0.21</v>
      </c>
      <c r="K90" s="84">
        <v>0.21</v>
      </c>
      <c r="L90" s="84">
        <v>0.21</v>
      </c>
      <c r="M90" s="84">
        <v>0.21</v>
      </c>
      <c r="N90" s="84">
        <v>0.21</v>
      </c>
      <c r="O90" s="84">
        <v>0.22</v>
      </c>
      <c r="P90" s="84">
        <v>0.22</v>
      </c>
      <c r="Q90" s="84">
        <v>0.32</v>
      </c>
      <c r="T90" s="94" t="s">
        <v>138</v>
      </c>
      <c r="U90" s="94" t="s">
        <v>105</v>
      </c>
      <c r="Z90" s="102">
        <v>21</v>
      </c>
      <c r="AC90" s="102">
        <v>25</v>
      </c>
      <c r="AD90" s="102">
        <v>23</v>
      </c>
      <c r="AG90" s="94" t="s">
        <v>138</v>
      </c>
      <c r="AH90" s="102">
        <v>21</v>
      </c>
      <c r="AI90" s="102">
        <v>21</v>
      </c>
      <c r="AJ90" s="102">
        <v>21</v>
      </c>
      <c r="AK90" s="102">
        <v>21</v>
      </c>
      <c r="AL90" s="102">
        <v>21</v>
      </c>
      <c r="AM90" s="102">
        <v>22</v>
      </c>
      <c r="AN90" s="102">
        <v>22</v>
      </c>
      <c r="AO90" s="102">
        <v>25</v>
      </c>
      <c r="AP90" s="102">
        <v>23</v>
      </c>
      <c r="AQ90" s="102">
        <v>32</v>
      </c>
    </row>
    <row r="91" spans="1:43">
      <c r="A91">
        <v>86</v>
      </c>
      <c r="B91" s="1" t="s">
        <v>714</v>
      </c>
      <c r="C91">
        <v>86</v>
      </c>
      <c r="F91">
        <v>88</v>
      </c>
      <c r="G91" t="s">
        <v>139</v>
      </c>
      <c r="H91" t="s">
        <v>105</v>
      </c>
      <c r="I91">
        <f>+I90+1</f>
        <v>401</v>
      </c>
      <c r="J91" s="84">
        <v>0.27</v>
      </c>
      <c r="K91" s="84">
        <v>0.27</v>
      </c>
      <c r="L91" s="84">
        <v>0.27</v>
      </c>
      <c r="M91" s="84">
        <v>0.27</v>
      </c>
      <c r="N91" s="84">
        <v>0.27</v>
      </c>
      <c r="O91" s="84">
        <v>0.28999999999999998</v>
      </c>
      <c r="P91" s="84">
        <v>0.28000000000000003</v>
      </c>
      <c r="Q91" s="84">
        <v>0.4</v>
      </c>
      <c r="T91" s="94" t="s">
        <v>139</v>
      </c>
      <c r="U91" s="94" t="s">
        <v>105</v>
      </c>
      <c r="Z91" s="102">
        <v>27</v>
      </c>
      <c r="AC91" s="102">
        <v>32</v>
      </c>
      <c r="AD91" s="102">
        <v>30</v>
      </c>
      <c r="AG91" s="94" t="s">
        <v>139</v>
      </c>
      <c r="AH91" s="102">
        <v>27</v>
      </c>
      <c r="AI91" s="102">
        <v>27</v>
      </c>
      <c r="AJ91" s="102">
        <v>27</v>
      </c>
      <c r="AK91" s="102">
        <v>27</v>
      </c>
      <c r="AL91" s="102">
        <v>27</v>
      </c>
      <c r="AM91" s="102">
        <v>29</v>
      </c>
      <c r="AN91" s="102">
        <v>28</v>
      </c>
      <c r="AO91" s="102">
        <v>32</v>
      </c>
      <c r="AP91" s="102">
        <v>30</v>
      </c>
      <c r="AQ91" s="102">
        <v>40</v>
      </c>
    </row>
    <row r="92" spans="1:43">
      <c r="A92">
        <v>87</v>
      </c>
      <c r="B92" s="1">
        <v>74</v>
      </c>
      <c r="C92">
        <v>87</v>
      </c>
      <c r="F92">
        <v>89</v>
      </c>
      <c r="G92" t="s">
        <v>140</v>
      </c>
      <c r="H92" t="s">
        <v>105</v>
      </c>
      <c r="I92">
        <f t="shared" ref="I92:I118" si="3">+I91+1</f>
        <v>402</v>
      </c>
      <c r="T92" s="94" t="s">
        <v>1164</v>
      </c>
      <c r="U92" s="94" t="s">
        <v>105</v>
      </c>
      <c r="V92" s="103"/>
      <c r="W92" s="103"/>
      <c r="X92" s="103"/>
      <c r="Y92" s="103"/>
      <c r="Z92" s="103"/>
      <c r="AA92" s="103"/>
      <c r="AB92" s="103"/>
      <c r="AC92" s="103"/>
      <c r="AD92" s="103"/>
      <c r="AG92" s="94" t="s">
        <v>1164</v>
      </c>
    </row>
    <row r="93" spans="1:43">
      <c r="A93">
        <v>88</v>
      </c>
      <c r="B93" s="1" t="s">
        <v>715</v>
      </c>
      <c r="C93">
        <v>88</v>
      </c>
      <c r="F93">
        <v>90</v>
      </c>
      <c r="G93" t="s">
        <v>142</v>
      </c>
      <c r="H93" t="s">
        <v>105</v>
      </c>
      <c r="I93">
        <f t="shared" si="3"/>
        <v>403</v>
      </c>
      <c r="J93" s="84">
        <v>0.51</v>
      </c>
      <c r="K93" s="84">
        <v>0.51</v>
      </c>
      <c r="L93" s="84">
        <v>0.51</v>
      </c>
      <c r="M93" s="84">
        <v>0.53959999999999997</v>
      </c>
      <c r="N93" s="84">
        <v>0.53959999999999997</v>
      </c>
      <c r="O93" s="84">
        <v>0.55940000000000001</v>
      </c>
      <c r="P93" s="105">
        <v>0.55940000000000001</v>
      </c>
      <c r="Q93" s="105">
        <v>0.55940000000000001</v>
      </c>
      <c r="T93" s="94" t="s">
        <v>142</v>
      </c>
      <c r="U93" s="94" t="s">
        <v>105</v>
      </c>
      <c r="V93" s="102">
        <v>51</v>
      </c>
      <c r="W93" s="102">
        <v>51</v>
      </c>
      <c r="X93" s="102">
        <v>51</v>
      </c>
      <c r="Y93" s="102">
        <v>53.96</v>
      </c>
      <c r="Z93" s="102">
        <v>53.96</v>
      </c>
      <c r="AA93" s="102">
        <v>55.94</v>
      </c>
      <c r="AC93" s="102">
        <v>56.96</v>
      </c>
      <c r="AD93" s="102">
        <v>59</v>
      </c>
      <c r="AG93" s="94" t="s">
        <v>142</v>
      </c>
      <c r="AH93" s="102">
        <v>51</v>
      </c>
      <c r="AI93" s="102">
        <v>51</v>
      </c>
      <c r="AJ93" s="102">
        <v>51</v>
      </c>
      <c r="AK93" s="102">
        <v>53.96</v>
      </c>
      <c r="AL93" s="102">
        <v>53.96</v>
      </c>
      <c r="AM93" s="102">
        <v>55.94</v>
      </c>
      <c r="AN93" s="102">
        <v>55.94</v>
      </c>
      <c r="AO93" s="102">
        <v>56.96</v>
      </c>
      <c r="AP93" s="102">
        <v>59</v>
      </c>
      <c r="AQ93" s="102">
        <v>55.94</v>
      </c>
    </row>
    <row r="94" spans="1:43">
      <c r="A94">
        <v>89</v>
      </c>
      <c r="B94" s="1">
        <v>75</v>
      </c>
      <c r="C94">
        <v>89</v>
      </c>
      <c r="F94">
        <v>91</v>
      </c>
      <c r="G94" t="s">
        <v>143</v>
      </c>
      <c r="H94" t="s">
        <v>105</v>
      </c>
      <c r="I94">
        <f t="shared" si="3"/>
        <v>404</v>
      </c>
      <c r="J94" s="84">
        <v>0.70240000000000002</v>
      </c>
      <c r="K94" s="84">
        <v>0.70240000000000002</v>
      </c>
      <c r="L94" s="84">
        <v>0.70240000000000002</v>
      </c>
      <c r="M94" s="84">
        <v>0.73580000000000001</v>
      </c>
      <c r="N94" s="84">
        <v>0.73580000000000001</v>
      </c>
      <c r="O94" s="84">
        <v>0.75600000000000001</v>
      </c>
      <c r="P94" s="105">
        <v>0.75590000000000002</v>
      </c>
      <c r="Q94" s="105">
        <v>0.76629999999999998</v>
      </c>
      <c r="T94" s="94" t="s">
        <v>1165</v>
      </c>
      <c r="U94" s="94" t="s">
        <v>105</v>
      </c>
      <c r="V94" s="102">
        <v>70.239999999999995</v>
      </c>
      <c r="W94" s="102">
        <v>70.239999999999995</v>
      </c>
      <c r="X94" s="102">
        <v>70.239999999999995</v>
      </c>
      <c r="Y94" s="102">
        <v>73.58</v>
      </c>
      <c r="Z94" s="102">
        <v>73.58</v>
      </c>
      <c r="AA94" s="102">
        <v>75.599999999999994</v>
      </c>
      <c r="AC94" s="102">
        <v>77.67</v>
      </c>
      <c r="AD94" s="102">
        <v>79.75</v>
      </c>
      <c r="AG94" s="94" t="s">
        <v>1165</v>
      </c>
      <c r="AH94" s="102">
        <v>70.239999999999995</v>
      </c>
      <c r="AI94" s="102">
        <v>70.239999999999995</v>
      </c>
      <c r="AJ94" s="102">
        <v>70.239999999999995</v>
      </c>
      <c r="AK94" s="102">
        <v>73.58</v>
      </c>
      <c r="AL94" s="102">
        <v>73.58</v>
      </c>
      <c r="AM94" s="102">
        <v>75.599999999999994</v>
      </c>
      <c r="AN94" s="102">
        <v>75.59</v>
      </c>
      <c r="AO94" s="102">
        <v>77.67</v>
      </c>
      <c r="AP94" s="102">
        <v>79.75</v>
      </c>
      <c r="AQ94" s="102">
        <v>76.63</v>
      </c>
    </row>
    <row r="95" spans="1:43">
      <c r="A95">
        <v>90</v>
      </c>
      <c r="B95" s="1" t="s">
        <v>716</v>
      </c>
      <c r="C95">
        <v>90</v>
      </c>
      <c r="F95">
        <v>92</v>
      </c>
      <c r="G95" t="s">
        <v>145</v>
      </c>
      <c r="H95" t="s">
        <v>105</v>
      </c>
      <c r="I95">
        <f t="shared" si="3"/>
        <v>405</v>
      </c>
      <c r="J95" s="84"/>
      <c r="K95" s="84"/>
      <c r="L95" s="84"/>
      <c r="M95" s="84"/>
      <c r="N95" s="84"/>
      <c r="O95" s="84"/>
      <c r="P95" s="105"/>
      <c r="Q95" s="105"/>
      <c r="T95" s="94"/>
      <c r="U95" s="94"/>
      <c r="V95" s="102"/>
      <c r="W95" s="102"/>
      <c r="X95" s="102"/>
      <c r="Y95" s="102"/>
      <c r="Z95" s="102"/>
      <c r="AA95" s="102"/>
      <c r="AC95" s="102"/>
      <c r="AD95" s="102"/>
      <c r="AG95" s="94"/>
      <c r="AH95" s="102"/>
      <c r="AI95" s="102"/>
      <c r="AJ95" s="102"/>
      <c r="AK95" s="102"/>
      <c r="AL95" s="102"/>
      <c r="AM95" s="102"/>
      <c r="AN95" s="102"/>
      <c r="AO95" s="102"/>
      <c r="AP95" s="102"/>
      <c r="AQ95" s="102"/>
    </row>
    <row r="96" spans="1:43">
      <c r="A96">
        <v>91</v>
      </c>
      <c r="B96" s="1">
        <v>1</v>
      </c>
      <c r="C96">
        <v>91</v>
      </c>
      <c r="F96">
        <v>93</v>
      </c>
      <c r="G96" t="s">
        <v>146</v>
      </c>
      <c r="H96" t="s">
        <v>105</v>
      </c>
      <c r="I96">
        <f t="shared" si="3"/>
        <v>406</v>
      </c>
      <c r="J96" s="84">
        <v>0.77600000000000002</v>
      </c>
      <c r="K96" s="84">
        <v>0.77600000000000002</v>
      </c>
      <c r="L96" s="84">
        <v>0.77600000000000002</v>
      </c>
      <c r="M96" s="84">
        <v>0.81079999999999997</v>
      </c>
      <c r="N96" s="84">
        <v>0.81079999999999997</v>
      </c>
      <c r="O96" s="84">
        <v>0.83009999999999995</v>
      </c>
      <c r="P96" s="105">
        <v>0.83009999999999995</v>
      </c>
      <c r="Q96" s="105">
        <v>0.83</v>
      </c>
      <c r="T96" s="94" t="s">
        <v>1126</v>
      </c>
      <c r="U96" s="94" t="s">
        <v>105</v>
      </c>
      <c r="V96" s="102">
        <v>77.599999999999994</v>
      </c>
      <c r="W96" s="102">
        <v>77.599999999999994</v>
      </c>
      <c r="X96" s="102">
        <v>77.599999999999994</v>
      </c>
      <c r="Y96" s="102">
        <v>81.08</v>
      </c>
      <c r="Z96" s="102">
        <v>81.08</v>
      </c>
      <c r="AA96" s="102">
        <v>83.01</v>
      </c>
      <c r="AC96" s="102">
        <v>84.99</v>
      </c>
      <c r="AD96" s="102">
        <v>85.99</v>
      </c>
      <c r="AG96" s="94" t="s">
        <v>1126</v>
      </c>
      <c r="AH96" s="102">
        <v>77.599999999999994</v>
      </c>
      <c r="AI96" s="102">
        <v>77.599999999999994</v>
      </c>
      <c r="AJ96" s="102">
        <v>77.599999999999994</v>
      </c>
      <c r="AK96" s="102">
        <v>81.08</v>
      </c>
      <c r="AL96" s="102">
        <v>81.08</v>
      </c>
      <c r="AM96" s="102">
        <v>83.01</v>
      </c>
      <c r="AN96" s="102">
        <v>83.01</v>
      </c>
      <c r="AO96" s="102">
        <v>84.99</v>
      </c>
      <c r="AP96" s="102">
        <v>85.99</v>
      </c>
      <c r="AQ96" s="102">
        <v>83</v>
      </c>
    </row>
    <row r="97" spans="1:43">
      <c r="A97">
        <v>92</v>
      </c>
      <c r="B97" s="1">
        <v>2</v>
      </c>
      <c r="C97">
        <v>92</v>
      </c>
      <c r="F97">
        <v>94</v>
      </c>
      <c r="G97" t="s">
        <v>148</v>
      </c>
      <c r="H97" t="s">
        <v>105</v>
      </c>
      <c r="I97">
        <f t="shared" si="3"/>
        <v>407</v>
      </c>
      <c r="J97" s="84">
        <v>0.88339999999999996</v>
      </c>
      <c r="K97" s="84">
        <v>0.88339999999999996</v>
      </c>
      <c r="L97" s="84">
        <v>0.88339999999999996</v>
      </c>
      <c r="M97" s="84">
        <v>0.92030000000000001</v>
      </c>
      <c r="N97" s="84">
        <v>0.92030000000000001</v>
      </c>
      <c r="O97" s="84">
        <v>0.94940000000000002</v>
      </c>
      <c r="P97" s="105">
        <v>0.94950000000000001</v>
      </c>
      <c r="Q97" s="105">
        <v>0.94940000000000002</v>
      </c>
      <c r="T97" s="94" t="s">
        <v>1166</v>
      </c>
      <c r="U97" s="94" t="s">
        <v>105</v>
      </c>
      <c r="V97" s="102">
        <v>88.34</v>
      </c>
      <c r="W97" s="102">
        <v>88.34</v>
      </c>
      <c r="X97" s="102">
        <v>88.34</v>
      </c>
      <c r="Y97" s="102">
        <v>92.03</v>
      </c>
      <c r="Z97" s="102">
        <v>92.03</v>
      </c>
      <c r="AA97" s="102">
        <v>94.94</v>
      </c>
      <c r="AC97" s="102">
        <v>95.93</v>
      </c>
      <c r="AD97" s="102">
        <v>97.93</v>
      </c>
      <c r="AG97" s="94" t="s">
        <v>1166</v>
      </c>
      <c r="AH97" s="102">
        <v>88.34</v>
      </c>
      <c r="AI97" s="102">
        <v>88.34</v>
      </c>
      <c r="AJ97" s="102">
        <v>88.34</v>
      </c>
      <c r="AK97" s="102">
        <v>92.03</v>
      </c>
      <c r="AL97" s="102">
        <v>92.03</v>
      </c>
      <c r="AM97" s="102">
        <v>94.94</v>
      </c>
      <c r="AN97" s="102">
        <v>94.95</v>
      </c>
      <c r="AO97" s="102">
        <v>95.93</v>
      </c>
      <c r="AP97" s="102">
        <v>97.93</v>
      </c>
      <c r="AQ97" s="102">
        <v>94.94</v>
      </c>
    </row>
    <row r="98" spans="1:43">
      <c r="A98">
        <v>93</v>
      </c>
      <c r="B98" s="1">
        <v>3</v>
      </c>
      <c r="C98">
        <v>93</v>
      </c>
      <c r="F98">
        <v>95</v>
      </c>
      <c r="G98" t="s">
        <v>149</v>
      </c>
      <c r="H98" t="s">
        <v>105</v>
      </c>
      <c r="I98">
        <f t="shared" si="3"/>
        <v>408</v>
      </c>
      <c r="J98" s="84">
        <v>0.91159999999999997</v>
      </c>
      <c r="K98" s="84">
        <v>0.91159999999999997</v>
      </c>
      <c r="L98" s="84">
        <v>0.91159999999999997</v>
      </c>
      <c r="M98" s="84">
        <v>0.94910000000000005</v>
      </c>
      <c r="N98" s="84">
        <v>0.94910000000000005</v>
      </c>
      <c r="O98" s="84">
        <v>0.97860000000000003</v>
      </c>
      <c r="P98" s="105">
        <v>0.97870000000000001</v>
      </c>
      <c r="Q98" s="105">
        <v>0.97860000000000003</v>
      </c>
      <c r="T98" s="94" t="s">
        <v>1167</v>
      </c>
      <c r="U98" s="94" t="s">
        <v>105</v>
      </c>
      <c r="V98" s="102">
        <v>91.16</v>
      </c>
      <c r="W98" s="102">
        <v>91.16</v>
      </c>
      <c r="X98" s="102">
        <v>91.16</v>
      </c>
      <c r="Y98" s="102">
        <v>94.91</v>
      </c>
      <c r="Z98" s="102">
        <v>94.91</v>
      </c>
      <c r="AA98" s="102">
        <v>97.86</v>
      </c>
      <c r="AC98" s="102">
        <v>98.87</v>
      </c>
      <c r="AD98" s="102">
        <v>100.9</v>
      </c>
      <c r="AG98" s="94" t="s">
        <v>1167</v>
      </c>
      <c r="AH98" s="102">
        <v>91.16</v>
      </c>
      <c r="AI98" s="102">
        <v>91.16</v>
      </c>
      <c r="AJ98" s="102">
        <v>91.16</v>
      </c>
      <c r="AK98" s="102">
        <v>94.91</v>
      </c>
      <c r="AL98" s="102">
        <v>94.91</v>
      </c>
      <c r="AM98" s="102">
        <v>97.86</v>
      </c>
      <c r="AN98" s="102">
        <v>97.87</v>
      </c>
      <c r="AO98" s="102">
        <v>98.87</v>
      </c>
      <c r="AP98" s="102">
        <v>100.9</v>
      </c>
      <c r="AQ98" s="102">
        <v>97.86</v>
      </c>
    </row>
    <row r="99" spans="1:43">
      <c r="A99">
        <v>94</v>
      </c>
      <c r="B99" s="1" t="s">
        <v>717</v>
      </c>
      <c r="C99">
        <v>94</v>
      </c>
      <c r="F99">
        <v>96</v>
      </c>
      <c r="G99" t="s">
        <v>151</v>
      </c>
      <c r="H99" t="s">
        <v>105</v>
      </c>
      <c r="I99">
        <f t="shared" si="3"/>
        <v>409</v>
      </c>
      <c r="J99" s="84">
        <v>0.96140000000000003</v>
      </c>
      <c r="K99" s="84">
        <v>0.96140000000000003</v>
      </c>
      <c r="L99" s="84">
        <v>0.96140000000000003</v>
      </c>
      <c r="M99" s="84">
        <v>0.99990000000000001</v>
      </c>
      <c r="N99" s="84">
        <v>0.99990000000000001</v>
      </c>
      <c r="O99" s="84">
        <v>1.0189999999999999</v>
      </c>
      <c r="P99" s="105">
        <v>1.0190999999999999</v>
      </c>
      <c r="Q99" s="105">
        <v>1.0189999999999999</v>
      </c>
      <c r="T99" s="94" t="s">
        <v>1168</v>
      </c>
      <c r="U99" s="94" t="s">
        <v>105</v>
      </c>
      <c r="V99" s="102">
        <v>96.14</v>
      </c>
      <c r="W99" s="102">
        <v>96.14</v>
      </c>
      <c r="X99" s="102">
        <v>96.14</v>
      </c>
      <c r="Y99" s="102">
        <v>99.99</v>
      </c>
      <c r="Z99" s="102">
        <v>99.99</v>
      </c>
      <c r="AA99" s="102">
        <v>101.9</v>
      </c>
      <c r="AC99" s="102">
        <v>103.89</v>
      </c>
      <c r="AD99" s="102">
        <v>105.89</v>
      </c>
      <c r="AG99" s="94" t="s">
        <v>1168</v>
      </c>
      <c r="AH99" s="102">
        <v>96.14</v>
      </c>
      <c r="AI99" s="102">
        <v>96.14</v>
      </c>
      <c r="AJ99" s="102">
        <v>96.14</v>
      </c>
      <c r="AK99" s="102">
        <v>99.99</v>
      </c>
      <c r="AL99" s="102">
        <v>99.99</v>
      </c>
      <c r="AM99" s="102">
        <v>101.9</v>
      </c>
      <c r="AN99" s="102">
        <v>101.91</v>
      </c>
      <c r="AO99" s="102">
        <v>103.89</v>
      </c>
      <c r="AP99" s="102">
        <v>105.89</v>
      </c>
      <c r="AQ99" s="102">
        <v>101.9</v>
      </c>
    </row>
    <row r="100" spans="1:43">
      <c r="A100">
        <v>95</v>
      </c>
      <c r="B100" s="1">
        <v>4</v>
      </c>
      <c r="C100">
        <v>95</v>
      </c>
      <c r="F100">
        <v>97</v>
      </c>
      <c r="G100" t="s">
        <v>152</v>
      </c>
      <c r="H100" t="s">
        <v>105</v>
      </c>
      <c r="I100">
        <f t="shared" si="3"/>
        <v>410</v>
      </c>
      <c r="J100" s="84">
        <v>1.0399</v>
      </c>
      <c r="K100" s="84">
        <v>1.0399</v>
      </c>
      <c r="L100" s="84">
        <v>1.0399</v>
      </c>
      <c r="M100" s="84">
        <v>1.0799000000000001</v>
      </c>
      <c r="N100" s="84">
        <v>1.0799000000000001</v>
      </c>
      <c r="O100" s="84">
        <v>1.0998000000000001</v>
      </c>
      <c r="P100" s="105">
        <v>1.0999000000000001</v>
      </c>
      <c r="Q100" s="105">
        <v>1.0998000000000001</v>
      </c>
      <c r="T100" s="94" t="s">
        <v>1169</v>
      </c>
      <c r="U100" s="94" t="s">
        <v>105</v>
      </c>
      <c r="V100" s="102">
        <v>103.99</v>
      </c>
      <c r="W100" s="102">
        <v>103.99</v>
      </c>
      <c r="X100" s="102">
        <v>103.99</v>
      </c>
      <c r="Y100" s="102">
        <v>107.99</v>
      </c>
      <c r="Z100" s="102">
        <v>107.99</v>
      </c>
      <c r="AA100" s="102">
        <v>109.98</v>
      </c>
      <c r="AC100" s="102">
        <v>112.05</v>
      </c>
      <c r="AD100" s="102">
        <v>114.12</v>
      </c>
      <c r="AG100" s="94" t="s">
        <v>1169</v>
      </c>
      <c r="AH100" s="102">
        <v>103.99</v>
      </c>
      <c r="AI100" s="102">
        <v>103.99</v>
      </c>
      <c r="AJ100" s="102">
        <v>103.99</v>
      </c>
      <c r="AK100" s="102">
        <v>107.99</v>
      </c>
      <c r="AL100" s="102">
        <v>107.99</v>
      </c>
      <c r="AM100" s="102">
        <v>109.98</v>
      </c>
      <c r="AN100" s="102">
        <v>109.99</v>
      </c>
      <c r="AO100" s="102">
        <v>112.05</v>
      </c>
      <c r="AP100" s="102">
        <v>114.12</v>
      </c>
      <c r="AQ100" s="102">
        <v>109.98</v>
      </c>
    </row>
    <row r="101" spans="1:43">
      <c r="A101">
        <v>96</v>
      </c>
      <c r="B101" s="1">
        <v>5</v>
      </c>
      <c r="C101">
        <v>96</v>
      </c>
      <c r="F101">
        <v>98</v>
      </c>
      <c r="G101" t="s">
        <v>154</v>
      </c>
      <c r="H101" t="s">
        <v>105</v>
      </c>
      <c r="I101">
        <f t="shared" si="3"/>
        <v>411</v>
      </c>
      <c r="J101" s="84">
        <v>0.91110000000000002</v>
      </c>
      <c r="K101" s="84">
        <v>0.90110000000000001</v>
      </c>
      <c r="L101" s="84">
        <v>0.89119999999999999</v>
      </c>
      <c r="M101" s="84">
        <v>0.91810000000000003</v>
      </c>
      <c r="N101" s="84">
        <v>0.91810000000000003</v>
      </c>
      <c r="O101" s="84">
        <v>0.96809999999999996</v>
      </c>
      <c r="P101" s="105">
        <v>0.96819999999999995</v>
      </c>
      <c r="Q101" s="105">
        <v>0.98850000000000005</v>
      </c>
      <c r="T101" s="94" t="s">
        <v>733</v>
      </c>
      <c r="U101" s="94" t="s">
        <v>105</v>
      </c>
      <c r="V101" s="102">
        <v>91.11</v>
      </c>
      <c r="W101" s="102">
        <v>90.11</v>
      </c>
      <c r="X101" s="102">
        <v>89.12</v>
      </c>
      <c r="Y101" s="102">
        <v>91.81</v>
      </c>
      <c r="Z101" s="102">
        <v>91.81</v>
      </c>
      <c r="AA101" s="102">
        <v>96.81</v>
      </c>
      <c r="AC101" s="102">
        <v>101.89</v>
      </c>
      <c r="AD101" s="102">
        <v>100.87</v>
      </c>
      <c r="AG101" s="94" t="s">
        <v>733</v>
      </c>
      <c r="AH101" s="102">
        <v>91.11</v>
      </c>
      <c r="AI101" s="102">
        <v>90.11</v>
      </c>
      <c r="AJ101" s="102">
        <v>89.12</v>
      </c>
      <c r="AK101" s="102">
        <v>91.81</v>
      </c>
      <c r="AL101" s="102">
        <v>91.81</v>
      </c>
      <c r="AM101" s="102">
        <v>96.81</v>
      </c>
      <c r="AN101" s="102">
        <v>96.82</v>
      </c>
      <c r="AO101" s="102">
        <v>101.89</v>
      </c>
      <c r="AP101" s="102">
        <v>100.87</v>
      </c>
      <c r="AQ101" s="102">
        <v>98.85</v>
      </c>
    </row>
    <row r="102" spans="1:43">
      <c r="A102">
        <v>97</v>
      </c>
      <c r="B102" s="1">
        <v>6</v>
      </c>
      <c r="C102">
        <v>97</v>
      </c>
      <c r="F102">
        <v>99</v>
      </c>
      <c r="G102" t="s">
        <v>155</v>
      </c>
      <c r="H102" t="s">
        <v>105</v>
      </c>
      <c r="I102">
        <f t="shared" si="3"/>
        <v>412</v>
      </c>
      <c r="J102" s="84">
        <v>0.92099999999999993</v>
      </c>
      <c r="K102" s="84">
        <v>0.92100000000000004</v>
      </c>
      <c r="L102" s="84">
        <v>0.92100000000000004</v>
      </c>
      <c r="M102" s="84">
        <v>0.9587</v>
      </c>
      <c r="N102" s="84">
        <v>0.9587</v>
      </c>
      <c r="O102" s="84">
        <v>0.96809999999999996</v>
      </c>
      <c r="P102" s="105">
        <v>0.96819999999999995</v>
      </c>
      <c r="Q102" s="105">
        <v>0.98850000000000005</v>
      </c>
      <c r="T102" s="94" t="s">
        <v>1170</v>
      </c>
      <c r="U102" s="94" t="s">
        <v>105</v>
      </c>
      <c r="V102" s="102">
        <v>92.1</v>
      </c>
      <c r="W102" s="102">
        <v>92.1</v>
      </c>
      <c r="X102" s="102">
        <v>92.1</v>
      </c>
      <c r="Y102" s="102">
        <v>95.87</v>
      </c>
      <c r="Z102" s="102">
        <v>95.87</v>
      </c>
      <c r="AA102" s="102">
        <v>96.81</v>
      </c>
      <c r="AC102" s="102">
        <v>101.89</v>
      </c>
      <c r="AD102" s="102">
        <v>101.88</v>
      </c>
      <c r="AG102" s="94" t="s">
        <v>1170</v>
      </c>
      <c r="AH102" s="102">
        <v>92.1</v>
      </c>
      <c r="AI102" s="102">
        <v>92.1</v>
      </c>
      <c r="AJ102" s="102">
        <v>92.1</v>
      </c>
      <c r="AK102" s="102">
        <v>95.87</v>
      </c>
      <c r="AL102" s="102">
        <v>95.87</v>
      </c>
      <c r="AM102" s="102">
        <v>96.81</v>
      </c>
      <c r="AN102" s="102">
        <v>96.82</v>
      </c>
      <c r="AO102" s="102">
        <v>101.89</v>
      </c>
      <c r="AP102" s="102">
        <v>101.88</v>
      </c>
      <c r="AQ102" s="102">
        <v>98.85</v>
      </c>
    </row>
    <row r="103" spans="1:43">
      <c r="A103">
        <v>98</v>
      </c>
      <c r="B103" s="1" t="s">
        <v>718</v>
      </c>
      <c r="C103">
        <v>98</v>
      </c>
      <c r="F103">
        <v>100</v>
      </c>
      <c r="G103" t="s">
        <v>157</v>
      </c>
      <c r="H103" t="s">
        <v>105</v>
      </c>
      <c r="I103">
        <f t="shared" si="3"/>
        <v>413</v>
      </c>
      <c r="J103" s="84">
        <v>0.91110000000000002</v>
      </c>
      <c r="K103" s="84">
        <v>0.91110000000000002</v>
      </c>
      <c r="L103" s="84">
        <v>0.91110000000000002</v>
      </c>
      <c r="M103" s="84">
        <v>0.9486</v>
      </c>
      <c r="N103" s="84">
        <v>0.9486</v>
      </c>
      <c r="O103" s="84">
        <v>0.94779999999999998</v>
      </c>
      <c r="P103" s="105">
        <v>0.94789999999999996</v>
      </c>
      <c r="Q103" s="105">
        <v>0.96819999999999995</v>
      </c>
      <c r="T103" s="94" t="s">
        <v>1171</v>
      </c>
      <c r="U103" s="94" t="s">
        <v>105</v>
      </c>
      <c r="V103" s="102">
        <v>91.11</v>
      </c>
      <c r="W103" s="102">
        <v>91.11</v>
      </c>
      <c r="X103" s="102">
        <v>91.11</v>
      </c>
      <c r="Y103" s="102">
        <v>94.86</v>
      </c>
      <c r="Z103" s="102">
        <v>94.86</v>
      </c>
      <c r="AA103" s="102">
        <v>94.78</v>
      </c>
      <c r="AC103" s="102">
        <v>100.87</v>
      </c>
      <c r="AD103" s="102">
        <v>99.85</v>
      </c>
      <c r="AG103" s="94" t="s">
        <v>1171</v>
      </c>
      <c r="AH103" s="102">
        <v>91.11</v>
      </c>
      <c r="AI103" s="102">
        <v>91.11</v>
      </c>
      <c r="AJ103" s="102">
        <v>91.11</v>
      </c>
      <c r="AK103" s="102">
        <v>94.86</v>
      </c>
      <c r="AL103" s="102">
        <v>94.86</v>
      </c>
      <c r="AM103" s="102">
        <v>94.78</v>
      </c>
      <c r="AN103" s="102">
        <v>94.79</v>
      </c>
      <c r="AO103" s="102">
        <v>100.87</v>
      </c>
      <c r="AP103" s="102">
        <v>99.85</v>
      </c>
      <c r="AQ103" s="102">
        <v>96.82</v>
      </c>
    </row>
    <row r="104" spans="1:43">
      <c r="A104">
        <v>99</v>
      </c>
      <c r="B104" s="1">
        <v>7</v>
      </c>
      <c r="C104">
        <v>99</v>
      </c>
      <c r="F104">
        <v>101</v>
      </c>
      <c r="G104" t="s">
        <v>158</v>
      </c>
      <c r="H104" t="s">
        <v>105</v>
      </c>
      <c r="I104">
        <f t="shared" si="3"/>
        <v>414</v>
      </c>
      <c r="J104" s="84">
        <v>0.91110000000000002</v>
      </c>
      <c r="K104" s="84">
        <v>0.91110000000000002</v>
      </c>
      <c r="L104" s="84">
        <v>0.91110000000000002</v>
      </c>
      <c r="M104" s="84">
        <v>0.9486</v>
      </c>
      <c r="N104" s="84">
        <v>0.9486</v>
      </c>
      <c r="O104" s="84">
        <v>0.95799999999999996</v>
      </c>
      <c r="P104" s="105">
        <v>0.95799999999999996</v>
      </c>
      <c r="Q104" s="105">
        <v>0.97829999999999995</v>
      </c>
      <c r="T104" s="94" t="s">
        <v>1172</v>
      </c>
      <c r="U104" s="94" t="s">
        <v>105</v>
      </c>
      <c r="V104" s="102">
        <v>91.11</v>
      </c>
      <c r="W104" s="102">
        <v>91.11</v>
      </c>
      <c r="X104" s="102">
        <v>91.11</v>
      </c>
      <c r="Y104" s="102">
        <v>94.86</v>
      </c>
      <c r="Z104" s="102">
        <v>94.86</v>
      </c>
      <c r="AA104" s="102">
        <v>95.8</v>
      </c>
      <c r="AC104" s="102">
        <v>100.87</v>
      </c>
      <c r="AD104" s="102">
        <v>100.87</v>
      </c>
      <c r="AG104" s="94" t="s">
        <v>1172</v>
      </c>
      <c r="AH104" s="102">
        <v>91.11</v>
      </c>
      <c r="AI104" s="102">
        <v>91.11</v>
      </c>
      <c r="AJ104" s="102">
        <v>91.11</v>
      </c>
      <c r="AK104" s="102">
        <v>94.86</v>
      </c>
      <c r="AL104" s="102">
        <v>94.86</v>
      </c>
      <c r="AM104" s="102">
        <v>95.8</v>
      </c>
      <c r="AN104" s="102">
        <v>95.8</v>
      </c>
      <c r="AO104" s="102">
        <v>100.87</v>
      </c>
      <c r="AP104" s="102">
        <v>100.87</v>
      </c>
      <c r="AQ104" s="102">
        <v>97.83</v>
      </c>
    </row>
    <row r="105" spans="1:43">
      <c r="A105">
        <v>100</v>
      </c>
      <c r="B105" s="1" t="s">
        <v>719</v>
      </c>
      <c r="C105">
        <v>100</v>
      </c>
      <c r="F105">
        <v>102</v>
      </c>
      <c r="G105" t="s">
        <v>160</v>
      </c>
      <c r="H105" t="s">
        <v>105</v>
      </c>
      <c r="I105">
        <f t="shared" si="3"/>
        <v>415</v>
      </c>
      <c r="J105" s="84">
        <v>0.85870000000000002</v>
      </c>
      <c r="K105" s="84">
        <v>0.85870000000000002</v>
      </c>
      <c r="L105" s="84">
        <v>0.85870000000000002</v>
      </c>
      <c r="M105" s="84">
        <v>0.8952</v>
      </c>
      <c r="N105" s="84">
        <v>0.8952</v>
      </c>
      <c r="O105" s="84">
        <v>0.90400000000000003</v>
      </c>
      <c r="P105" s="105">
        <v>0.90400000000000003</v>
      </c>
      <c r="Q105" s="105">
        <v>0.92290000000000005</v>
      </c>
      <c r="T105" s="94" t="s">
        <v>1173</v>
      </c>
      <c r="U105" s="94" t="s">
        <v>105</v>
      </c>
      <c r="V105" s="102">
        <v>85.87</v>
      </c>
      <c r="W105" s="102">
        <v>85.87</v>
      </c>
      <c r="X105" s="102">
        <v>85.87</v>
      </c>
      <c r="Y105" s="102">
        <v>89.52</v>
      </c>
      <c r="Z105" s="102">
        <v>89.52</v>
      </c>
      <c r="AA105" s="102">
        <v>90.4</v>
      </c>
      <c r="AC105" s="102">
        <v>95.14</v>
      </c>
      <c r="AD105" s="102">
        <v>95.13</v>
      </c>
      <c r="AG105" s="94" t="s">
        <v>1173</v>
      </c>
      <c r="AH105" s="102">
        <v>85.87</v>
      </c>
      <c r="AI105" s="102">
        <v>85.87</v>
      </c>
      <c r="AJ105" s="102">
        <v>85.87</v>
      </c>
      <c r="AK105" s="102">
        <v>89.52</v>
      </c>
      <c r="AL105" s="102">
        <v>89.52</v>
      </c>
      <c r="AM105" s="102">
        <v>90.4</v>
      </c>
      <c r="AN105" s="102">
        <v>90.4</v>
      </c>
      <c r="AO105" s="102">
        <v>95.14</v>
      </c>
      <c r="AP105" s="102">
        <v>95.13</v>
      </c>
      <c r="AQ105" s="102">
        <v>92.29</v>
      </c>
    </row>
    <row r="106" spans="1:43">
      <c r="A106">
        <v>101</v>
      </c>
      <c r="B106" s="1">
        <v>8</v>
      </c>
      <c r="C106">
        <v>101</v>
      </c>
      <c r="F106">
        <v>103</v>
      </c>
      <c r="G106" t="s">
        <v>161</v>
      </c>
      <c r="H106" t="s">
        <v>105</v>
      </c>
      <c r="I106">
        <f t="shared" si="3"/>
        <v>416</v>
      </c>
      <c r="J106" s="84">
        <v>0.79370000000000007</v>
      </c>
      <c r="K106" s="84">
        <v>0.8216</v>
      </c>
      <c r="L106" s="84">
        <v>0.84940000000000004</v>
      </c>
      <c r="M106" s="84">
        <v>0.89510000000000001</v>
      </c>
      <c r="N106" s="84">
        <v>0.89510000000000001</v>
      </c>
      <c r="O106" s="84">
        <v>0.90400000000000003</v>
      </c>
      <c r="P106" s="105">
        <v>0.90400000000000003</v>
      </c>
      <c r="Q106" s="105">
        <v>0.94189999999999996</v>
      </c>
      <c r="T106" s="94" t="s">
        <v>734</v>
      </c>
      <c r="U106" s="94" t="s">
        <v>105</v>
      </c>
      <c r="V106" s="102">
        <v>79.37</v>
      </c>
      <c r="W106" s="102">
        <v>82.16</v>
      </c>
      <c r="X106" s="102">
        <v>84.94</v>
      </c>
      <c r="Y106" s="102">
        <v>89.51</v>
      </c>
      <c r="Z106" s="102">
        <v>89.52</v>
      </c>
      <c r="AA106" s="102">
        <v>90.4</v>
      </c>
      <c r="AC106" s="102">
        <v>97.02</v>
      </c>
      <c r="AD106" s="102">
        <v>97.03</v>
      </c>
      <c r="AG106" s="94" t="s">
        <v>734</v>
      </c>
      <c r="AH106" s="102">
        <v>79.37</v>
      </c>
      <c r="AI106" s="102">
        <v>82.16</v>
      </c>
      <c r="AJ106" s="102">
        <v>84.94</v>
      </c>
      <c r="AK106" s="102">
        <v>89.51</v>
      </c>
      <c r="AL106" s="102">
        <v>89.52</v>
      </c>
      <c r="AM106" s="102">
        <v>90.4</v>
      </c>
      <c r="AN106" s="102">
        <v>90.4</v>
      </c>
      <c r="AO106" s="102">
        <v>97.02</v>
      </c>
      <c r="AP106" s="102">
        <v>97.03</v>
      </c>
      <c r="AQ106" s="102">
        <v>94.19</v>
      </c>
    </row>
    <row r="107" spans="1:43">
      <c r="A107">
        <v>102</v>
      </c>
      <c r="B107" s="1" t="s">
        <v>333</v>
      </c>
      <c r="C107">
        <v>102</v>
      </c>
      <c r="F107">
        <v>104</v>
      </c>
      <c r="G107" t="s">
        <v>163</v>
      </c>
      <c r="H107" t="s">
        <v>105</v>
      </c>
      <c r="I107">
        <f t="shared" si="3"/>
        <v>417</v>
      </c>
      <c r="J107" s="84">
        <v>0.8637999999999999</v>
      </c>
      <c r="K107" s="84">
        <v>0.8931</v>
      </c>
      <c r="L107" s="84">
        <v>0.91259999999999997</v>
      </c>
      <c r="M107" s="84">
        <v>0.97</v>
      </c>
      <c r="N107" s="84">
        <v>0.97</v>
      </c>
      <c r="O107" s="84">
        <v>0.97929999999999995</v>
      </c>
      <c r="P107" s="105">
        <v>0.97929999999999995</v>
      </c>
      <c r="Q107" s="105">
        <v>1.0190999999999999</v>
      </c>
      <c r="T107" s="94" t="s">
        <v>1174</v>
      </c>
      <c r="U107" s="94" t="s">
        <v>105</v>
      </c>
      <c r="V107" s="102">
        <v>86.38</v>
      </c>
      <c r="W107" s="102">
        <v>89.31</v>
      </c>
      <c r="X107" s="102">
        <v>91.26</v>
      </c>
      <c r="Y107" s="102">
        <v>97</v>
      </c>
      <c r="Z107" s="102">
        <v>97.01</v>
      </c>
      <c r="AA107" s="102">
        <v>97.93</v>
      </c>
      <c r="AC107" s="102">
        <v>103.89</v>
      </c>
      <c r="AD107" s="102">
        <v>103.9</v>
      </c>
      <c r="AG107" s="94" t="s">
        <v>1174</v>
      </c>
      <c r="AH107" s="102">
        <v>86.38</v>
      </c>
      <c r="AI107" s="102">
        <v>89.31</v>
      </c>
      <c r="AJ107" s="102">
        <v>91.26</v>
      </c>
      <c r="AK107" s="102">
        <v>97</v>
      </c>
      <c r="AL107" s="102">
        <v>97.01</v>
      </c>
      <c r="AM107" s="102">
        <v>97.93</v>
      </c>
      <c r="AN107" s="102">
        <v>97.93</v>
      </c>
      <c r="AO107" s="102">
        <v>103.89</v>
      </c>
      <c r="AP107" s="102">
        <v>103.9</v>
      </c>
      <c r="AQ107" s="102">
        <v>101.91</v>
      </c>
    </row>
    <row r="108" spans="1:43">
      <c r="A108">
        <v>103</v>
      </c>
      <c r="B108" s="1">
        <v>9</v>
      </c>
      <c r="C108">
        <v>103</v>
      </c>
      <c r="F108">
        <v>105</v>
      </c>
      <c r="G108" t="s">
        <v>164</v>
      </c>
      <c r="H108" t="s">
        <v>105</v>
      </c>
      <c r="I108">
        <f t="shared" si="3"/>
        <v>418</v>
      </c>
      <c r="J108" s="84">
        <v>0.78579999999999994</v>
      </c>
      <c r="K108" s="84">
        <v>0.81510000000000005</v>
      </c>
      <c r="L108" s="84">
        <v>0.84430000000000005</v>
      </c>
      <c r="M108" s="84">
        <v>0.89039999999999997</v>
      </c>
      <c r="N108" s="84">
        <v>0.89039999999999997</v>
      </c>
      <c r="O108" s="84">
        <v>0.89970000000000006</v>
      </c>
      <c r="P108" s="105">
        <v>0.89970000000000006</v>
      </c>
      <c r="Q108" s="105">
        <v>0.9395</v>
      </c>
      <c r="T108" s="94" t="s">
        <v>1175</v>
      </c>
      <c r="U108" s="94" t="s">
        <v>105</v>
      </c>
      <c r="V108" s="102">
        <v>78.58</v>
      </c>
      <c r="W108" s="102">
        <v>81.510000000000005</v>
      </c>
      <c r="X108" s="102">
        <v>84.43</v>
      </c>
      <c r="Y108" s="102">
        <v>89.04</v>
      </c>
      <c r="Z108" s="102">
        <v>89.05</v>
      </c>
      <c r="AA108" s="102">
        <v>89.97</v>
      </c>
      <c r="AC108" s="102">
        <v>95.93</v>
      </c>
      <c r="AD108" s="102">
        <v>95.94</v>
      </c>
      <c r="AG108" s="94" t="s">
        <v>1175</v>
      </c>
      <c r="AH108" s="102">
        <v>78.58</v>
      </c>
      <c r="AI108" s="102">
        <v>81.510000000000005</v>
      </c>
      <c r="AJ108" s="102">
        <v>84.43</v>
      </c>
      <c r="AK108" s="102">
        <v>89.04</v>
      </c>
      <c r="AL108" s="102">
        <v>89.05</v>
      </c>
      <c r="AM108" s="102">
        <v>89.97</v>
      </c>
      <c r="AN108" s="102">
        <v>89.97</v>
      </c>
      <c r="AO108" s="102">
        <v>95.93</v>
      </c>
      <c r="AP108" s="102">
        <v>95.94</v>
      </c>
      <c r="AQ108" s="102">
        <v>93.95</v>
      </c>
    </row>
    <row r="109" spans="1:43">
      <c r="A109">
        <v>104</v>
      </c>
      <c r="B109" s="1" t="s">
        <v>334</v>
      </c>
      <c r="C109">
        <v>104</v>
      </c>
      <c r="F109">
        <v>106</v>
      </c>
      <c r="G109" t="s">
        <v>166</v>
      </c>
      <c r="H109" t="s">
        <v>105</v>
      </c>
      <c r="I109">
        <f t="shared" si="3"/>
        <v>419</v>
      </c>
      <c r="J109" s="84">
        <v>0.76419999999999999</v>
      </c>
      <c r="K109" s="84">
        <v>0.76419999999999999</v>
      </c>
      <c r="L109" s="84">
        <v>0.8135</v>
      </c>
      <c r="M109" s="84">
        <v>0.84899999999999998</v>
      </c>
      <c r="N109" s="84">
        <v>0.84899999999999998</v>
      </c>
      <c r="O109" s="84">
        <v>0.83830000000000005</v>
      </c>
      <c r="P109" s="105">
        <v>0.83830000000000005</v>
      </c>
      <c r="Q109" s="105">
        <v>0.87849999999999995</v>
      </c>
      <c r="T109" s="94" t="s">
        <v>1176</v>
      </c>
      <c r="U109" s="94" t="s">
        <v>105</v>
      </c>
      <c r="V109" s="102">
        <v>76.42</v>
      </c>
      <c r="W109" s="102">
        <v>76.42</v>
      </c>
      <c r="X109" s="102">
        <v>81.349999999999994</v>
      </c>
      <c r="Y109" s="102">
        <v>84.9</v>
      </c>
      <c r="Z109" s="102">
        <v>84.91</v>
      </c>
      <c r="AA109" s="102">
        <v>83.83</v>
      </c>
      <c r="AC109" s="102">
        <v>89.86</v>
      </c>
      <c r="AD109" s="102">
        <v>89.86</v>
      </c>
      <c r="AG109" s="94" t="s">
        <v>1176</v>
      </c>
      <c r="AH109" s="102">
        <v>76.42</v>
      </c>
      <c r="AI109" s="102">
        <v>76.42</v>
      </c>
      <c r="AJ109" s="102">
        <v>81.349999999999994</v>
      </c>
      <c r="AK109" s="102">
        <v>84.9</v>
      </c>
      <c r="AL109" s="102">
        <v>84.91</v>
      </c>
      <c r="AM109" s="102">
        <v>83.83</v>
      </c>
      <c r="AN109" s="102">
        <v>83.83</v>
      </c>
      <c r="AO109" s="102">
        <v>89.86</v>
      </c>
      <c r="AP109" s="102">
        <v>89.86</v>
      </c>
      <c r="AQ109" s="102">
        <v>87.85</v>
      </c>
    </row>
    <row r="110" spans="1:43">
      <c r="A110">
        <v>105</v>
      </c>
      <c r="B110" s="1">
        <v>10</v>
      </c>
      <c r="C110">
        <v>105</v>
      </c>
      <c r="F110">
        <v>107</v>
      </c>
      <c r="G110" t="s">
        <v>167</v>
      </c>
      <c r="H110" t="s">
        <v>105</v>
      </c>
      <c r="I110">
        <f t="shared" si="3"/>
        <v>420</v>
      </c>
      <c r="J110" s="84">
        <v>0.76930000000000009</v>
      </c>
      <c r="K110" s="84">
        <v>0.76929999999999998</v>
      </c>
      <c r="L110" s="84">
        <v>0.8196</v>
      </c>
      <c r="M110" s="84">
        <v>0.85519999999999996</v>
      </c>
      <c r="N110" s="84">
        <v>0.85519999999999996</v>
      </c>
      <c r="O110" s="84">
        <v>0.84440000000000004</v>
      </c>
      <c r="P110" s="105">
        <v>0.84440000000000004</v>
      </c>
      <c r="Q110" s="105">
        <v>0.84440000000000004</v>
      </c>
      <c r="T110" s="94" t="s">
        <v>1177</v>
      </c>
      <c r="U110" s="94" t="s">
        <v>105</v>
      </c>
      <c r="V110" s="102">
        <v>76.930000000000007</v>
      </c>
      <c r="W110" s="102">
        <v>76.930000000000007</v>
      </c>
      <c r="X110" s="102">
        <v>81.96</v>
      </c>
      <c r="Y110" s="102">
        <v>85.52</v>
      </c>
      <c r="Z110" s="102">
        <v>85.53</v>
      </c>
      <c r="AA110" s="102">
        <v>84.44</v>
      </c>
      <c r="AC110" s="102">
        <v>87.51</v>
      </c>
      <c r="AD110" s="102">
        <v>87.51</v>
      </c>
      <c r="AG110" s="94" t="s">
        <v>1177</v>
      </c>
      <c r="AH110" s="102">
        <v>76.930000000000007</v>
      </c>
      <c r="AI110" s="102">
        <v>76.930000000000007</v>
      </c>
      <c r="AJ110" s="102">
        <v>81.96</v>
      </c>
      <c r="AK110" s="102">
        <v>85.52</v>
      </c>
      <c r="AL110" s="102">
        <v>85.53</v>
      </c>
      <c r="AM110" s="102">
        <v>84.44</v>
      </c>
      <c r="AN110" s="102">
        <v>84.44</v>
      </c>
      <c r="AO110" s="102">
        <v>87.51</v>
      </c>
      <c r="AP110" s="102">
        <v>87.51</v>
      </c>
      <c r="AQ110" s="102">
        <v>84.44</v>
      </c>
    </row>
    <row r="111" spans="1:43">
      <c r="A111">
        <v>106</v>
      </c>
      <c r="B111" s="1" t="s">
        <v>335</v>
      </c>
      <c r="C111">
        <v>106</v>
      </c>
      <c r="F111">
        <v>108</v>
      </c>
      <c r="G111" t="s">
        <v>169</v>
      </c>
      <c r="H111" t="s">
        <v>105</v>
      </c>
      <c r="I111">
        <f t="shared" si="3"/>
        <v>421</v>
      </c>
      <c r="J111" s="84">
        <v>0.80920000000000003</v>
      </c>
      <c r="K111" s="84">
        <v>0.80920000000000003</v>
      </c>
      <c r="L111" s="84">
        <v>0.85950000000000004</v>
      </c>
      <c r="M111" s="84">
        <v>0.89590000000000003</v>
      </c>
      <c r="N111" s="84">
        <v>0.89590000000000003</v>
      </c>
      <c r="O111" s="84">
        <v>0.88500000000000001</v>
      </c>
      <c r="P111" s="105">
        <v>0.88500000000000001</v>
      </c>
      <c r="Q111" s="105">
        <v>0.88500000000000001</v>
      </c>
      <c r="T111" s="94" t="s">
        <v>1178</v>
      </c>
      <c r="U111" s="94" t="s">
        <v>105</v>
      </c>
      <c r="V111" s="102">
        <v>80.92</v>
      </c>
      <c r="W111" s="102">
        <v>80.92</v>
      </c>
      <c r="X111" s="102">
        <v>85.95</v>
      </c>
      <c r="Y111" s="102">
        <v>89.59</v>
      </c>
      <c r="Z111" s="102">
        <v>89.6</v>
      </c>
      <c r="AA111" s="102">
        <v>88.5</v>
      </c>
      <c r="AC111" s="102">
        <v>90.54</v>
      </c>
      <c r="AD111" s="102">
        <v>90.55</v>
      </c>
      <c r="AG111" s="94" t="s">
        <v>1178</v>
      </c>
      <c r="AH111" s="102">
        <v>80.92</v>
      </c>
      <c r="AI111" s="102">
        <v>80.92</v>
      </c>
      <c r="AJ111" s="102">
        <v>85.95</v>
      </c>
      <c r="AK111" s="102">
        <v>89.59</v>
      </c>
      <c r="AL111" s="102">
        <v>89.6</v>
      </c>
      <c r="AM111" s="102">
        <v>88.5</v>
      </c>
      <c r="AN111" s="102">
        <v>88.5</v>
      </c>
      <c r="AO111" s="102">
        <v>90.54</v>
      </c>
      <c r="AP111" s="102">
        <v>90.55</v>
      </c>
      <c r="AQ111" s="102">
        <v>88.5</v>
      </c>
    </row>
    <row r="112" spans="1:43">
      <c r="A112">
        <v>107</v>
      </c>
      <c r="B112" s="1">
        <v>11</v>
      </c>
      <c r="C112">
        <v>107</v>
      </c>
      <c r="F112">
        <v>109</v>
      </c>
      <c r="G112" t="s">
        <v>170</v>
      </c>
      <c r="H112" t="s">
        <v>105</v>
      </c>
      <c r="I112">
        <f t="shared" si="3"/>
        <v>422</v>
      </c>
      <c r="J112" s="84">
        <v>0.89119999999999999</v>
      </c>
      <c r="K112" s="84">
        <v>0.91110000000000002</v>
      </c>
      <c r="L112" s="84">
        <v>0.98080000000000001</v>
      </c>
      <c r="M112" s="84">
        <v>1.0399</v>
      </c>
      <c r="N112" s="84">
        <v>1.0399</v>
      </c>
      <c r="O112" s="84">
        <v>1.0289999999999999</v>
      </c>
      <c r="P112" s="105">
        <v>1.0289999999999999</v>
      </c>
      <c r="Q112" s="105">
        <v>1.1101000000000001</v>
      </c>
      <c r="T112" s="94" t="s">
        <v>735</v>
      </c>
      <c r="U112" s="94" t="s">
        <v>105</v>
      </c>
      <c r="V112" s="102">
        <v>89.12</v>
      </c>
      <c r="W112" s="102">
        <v>91.11</v>
      </c>
      <c r="X112" s="102">
        <v>98.08</v>
      </c>
      <c r="Y112" s="102">
        <v>103.99</v>
      </c>
      <c r="Z112" s="102">
        <v>103.99</v>
      </c>
      <c r="AA112" s="102">
        <v>102.9</v>
      </c>
      <c r="AC112" s="102">
        <v>108.98</v>
      </c>
      <c r="AD112" s="102">
        <v>114.06</v>
      </c>
      <c r="AG112" s="94" t="s">
        <v>735</v>
      </c>
      <c r="AH112" s="102">
        <v>89.12</v>
      </c>
      <c r="AI112" s="102">
        <v>91.11</v>
      </c>
      <c r="AJ112" s="102">
        <v>98.08</v>
      </c>
      <c r="AK112" s="102">
        <v>103.99</v>
      </c>
      <c r="AL112" s="102">
        <v>103.99</v>
      </c>
      <c r="AM112" s="102">
        <v>102.9</v>
      </c>
      <c r="AN112" s="102">
        <v>102.9</v>
      </c>
      <c r="AO112" s="102">
        <v>108.98</v>
      </c>
      <c r="AP112" s="102">
        <v>114.06</v>
      </c>
      <c r="AQ112" s="102">
        <v>111.01</v>
      </c>
    </row>
    <row r="113" spans="1:43">
      <c r="A113">
        <v>108</v>
      </c>
      <c r="B113" s="1" t="s">
        <v>389</v>
      </c>
      <c r="C113">
        <v>108</v>
      </c>
      <c r="F113">
        <v>110</v>
      </c>
      <c r="G113" t="s">
        <v>172</v>
      </c>
      <c r="H113" t="s">
        <v>105</v>
      </c>
      <c r="I113">
        <f t="shared" si="3"/>
        <v>423</v>
      </c>
      <c r="J113" s="84">
        <v>0.79059999999999997</v>
      </c>
      <c r="K113" s="84">
        <v>0.81059999999999999</v>
      </c>
      <c r="L113" s="84">
        <v>0.88060000000000005</v>
      </c>
      <c r="M113" s="84">
        <v>0.92769999999999997</v>
      </c>
      <c r="N113" s="84">
        <v>0.92769999999999997</v>
      </c>
      <c r="O113" s="84">
        <v>0.91679999999999995</v>
      </c>
      <c r="P113" s="105">
        <v>0.91679999999999995</v>
      </c>
      <c r="Q113" s="105">
        <v>0.99829999999999997</v>
      </c>
      <c r="T113" s="94" t="s">
        <v>1179</v>
      </c>
      <c r="U113" s="94" t="s">
        <v>105</v>
      </c>
      <c r="V113" s="102">
        <v>79.06</v>
      </c>
      <c r="W113" s="102">
        <v>81.06</v>
      </c>
      <c r="X113" s="102">
        <v>88.06</v>
      </c>
      <c r="Y113" s="102">
        <v>92.77</v>
      </c>
      <c r="Z113" s="102">
        <v>92.77</v>
      </c>
      <c r="AA113" s="102">
        <v>91.68</v>
      </c>
      <c r="AC113" s="102">
        <v>97.79</v>
      </c>
      <c r="AD113" s="102">
        <v>101.88</v>
      </c>
      <c r="AG113" s="94" t="s">
        <v>1179</v>
      </c>
      <c r="AH113" s="102">
        <v>79.06</v>
      </c>
      <c r="AI113" s="102">
        <v>81.06</v>
      </c>
      <c r="AJ113" s="102">
        <v>88.06</v>
      </c>
      <c r="AK113" s="102">
        <v>92.77</v>
      </c>
      <c r="AL113" s="102">
        <v>92.77</v>
      </c>
      <c r="AM113" s="102">
        <v>91.68</v>
      </c>
      <c r="AN113" s="102">
        <v>91.68</v>
      </c>
      <c r="AO113" s="102">
        <v>97.79</v>
      </c>
      <c r="AP113" s="102">
        <v>101.88</v>
      </c>
      <c r="AQ113" s="102">
        <v>99.83</v>
      </c>
    </row>
    <row r="114" spans="1:43">
      <c r="A114">
        <v>109</v>
      </c>
      <c r="B114" s="1">
        <v>12</v>
      </c>
      <c r="C114">
        <v>109</v>
      </c>
      <c r="F114">
        <v>111</v>
      </c>
      <c r="G114" t="s">
        <v>173</v>
      </c>
      <c r="H114" t="s">
        <v>105</v>
      </c>
      <c r="I114">
        <f t="shared" si="3"/>
        <v>424</v>
      </c>
      <c r="J114" s="84">
        <v>0.86219999999999997</v>
      </c>
      <c r="K114" s="84">
        <v>0.88300000000000001</v>
      </c>
      <c r="L114" s="84">
        <v>0.95579999999999998</v>
      </c>
      <c r="M114" s="84">
        <v>1.0047999999999999</v>
      </c>
      <c r="N114" s="84">
        <v>1.0047999999999999</v>
      </c>
      <c r="O114" s="84">
        <v>0.99350000000000005</v>
      </c>
      <c r="P114" s="105">
        <v>0.99350000000000005</v>
      </c>
      <c r="Q114" s="105">
        <v>1.0782</v>
      </c>
      <c r="T114" s="94" t="s">
        <v>1180</v>
      </c>
      <c r="U114" s="94" t="s">
        <v>105</v>
      </c>
      <c r="V114" s="102">
        <v>86.222400000000022</v>
      </c>
      <c r="W114" s="102">
        <v>88.302400000000006</v>
      </c>
      <c r="X114" s="102">
        <v>95.582400000000007</v>
      </c>
      <c r="Y114" s="102">
        <v>100.48079999999999</v>
      </c>
      <c r="Z114" s="102">
        <v>100.48079999999999</v>
      </c>
      <c r="AA114" s="102">
        <v>99.347200000000015</v>
      </c>
      <c r="AC114" s="102">
        <v>105.70160000000004</v>
      </c>
      <c r="AD114" s="102">
        <v>109.95519999999999</v>
      </c>
      <c r="AG114" s="94" t="s">
        <v>1180</v>
      </c>
      <c r="AH114" s="102">
        <v>86.222400000000022</v>
      </c>
      <c r="AI114" s="102">
        <v>88.302400000000006</v>
      </c>
      <c r="AJ114" s="102">
        <v>95.582400000000007</v>
      </c>
      <c r="AK114" s="102">
        <v>100.48079999999999</v>
      </c>
      <c r="AL114" s="102">
        <v>100.48079999999999</v>
      </c>
      <c r="AM114" s="102">
        <v>99.347200000000015</v>
      </c>
      <c r="AN114" s="102">
        <v>99.347200000000015</v>
      </c>
      <c r="AO114" s="102">
        <v>105.70160000000004</v>
      </c>
      <c r="AP114" s="102">
        <v>109.95519999999999</v>
      </c>
      <c r="AQ114" s="102">
        <v>107.82319999999999</v>
      </c>
    </row>
    <row r="115" spans="1:43">
      <c r="A115">
        <v>110</v>
      </c>
      <c r="B115" s="1" t="s">
        <v>141</v>
      </c>
      <c r="C115">
        <v>110</v>
      </c>
      <c r="F115">
        <v>112</v>
      </c>
      <c r="G115" t="s">
        <v>175</v>
      </c>
      <c r="H115" t="s">
        <v>105</v>
      </c>
      <c r="I115">
        <f t="shared" si="3"/>
        <v>425</v>
      </c>
      <c r="J115" s="84">
        <v>0.93379999999999996</v>
      </c>
      <c r="K115" s="84">
        <v>0.95540000000000003</v>
      </c>
      <c r="L115" s="84">
        <v>1.0309999999999999</v>
      </c>
      <c r="M115" s="84">
        <v>1.0819000000000001</v>
      </c>
      <c r="N115" s="84">
        <v>1.0819000000000001</v>
      </c>
      <c r="O115" s="84">
        <v>1.0701000000000001</v>
      </c>
      <c r="P115" s="105">
        <v>1.0701000000000001</v>
      </c>
      <c r="Q115" s="105">
        <v>1.1581999999999999</v>
      </c>
      <c r="T115" s="94" t="s">
        <v>1180</v>
      </c>
      <c r="U115" s="94" t="s">
        <v>105</v>
      </c>
      <c r="V115" s="102">
        <v>93.384800000000013</v>
      </c>
      <c r="W115" s="102">
        <v>95.544800000000009</v>
      </c>
      <c r="X115" s="102">
        <v>103.10480000000001</v>
      </c>
      <c r="Y115" s="102">
        <v>108.19159999999999</v>
      </c>
      <c r="Z115" s="102">
        <v>108.19159999999999</v>
      </c>
      <c r="AA115" s="102">
        <v>107.01440000000002</v>
      </c>
      <c r="AC115" s="102">
        <v>113.61320000000003</v>
      </c>
      <c r="AD115" s="102">
        <v>118.03040000000001</v>
      </c>
      <c r="AG115" s="94" t="s">
        <v>1180</v>
      </c>
      <c r="AH115" s="102">
        <v>93.384800000000013</v>
      </c>
      <c r="AI115" s="102">
        <v>95.544800000000009</v>
      </c>
      <c r="AJ115" s="102">
        <v>103.10480000000001</v>
      </c>
      <c r="AK115" s="102">
        <v>108.19159999999999</v>
      </c>
      <c r="AL115" s="102">
        <v>108.19159999999999</v>
      </c>
      <c r="AM115" s="102">
        <v>107.01440000000002</v>
      </c>
      <c r="AN115" s="102">
        <v>107.01440000000002</v>
      </c>
      <c r="AO115" s="102">
        <v>113.61320000000003</v>
      </c>
      <c r="AP115" s="102">
        <v>118.03040000000001</v>
      </c>
      <c r="AQ115" s="102">
        <v>115.81639999999999</v>
      </c>
    </row>
    <row r="116" spans="1:43">
      <c r="F116">
        <v>113</v>
      </c>
      <c r="G116" t="s">
        <v>176</v>
      </c>
      <c r="H116" t="s">
        <v>105</v>
      </c>
      <c r="I116">
        <f t="shared" si="3"/>
        <v>426</v>
      </c>
      <c r="J116" s="84">
        <v>1.0176000000000001</v>
      </c>
      <c r="K116" s="84">
        <v>1.0602</v>
      </c>
      <c r="L116" s="84">
        <v>1.1347</v>
      </c>
      <c r="M116" s="84">
        <v>1.1995</v>
      </c>
      <c r="N116" s="84">
        <v>1.1995</v>
      </c>
      <c r="O116" s="84">
        <v>1.2313000000000001</v>
      </c>
      <c r="P116" s="105">
        <v>1.2203999999999999</v>
      </c>
      <c r="Q116" s="105">
        <v>1.2529999999999999</v>
      </c>
      <c r="T116" s="94" t="s">
        <v>1128</v>
      </c>
      <c r="U116" s="94" t="s">
        <v>105</v>
      </c>
      <c r="V116" s="102">
        <v>101.76</v>
      </c>
      <c r="W116" s="102">
        <v>106.02120000000001</v>
      </c>
      <c r="X116" s="102">
        <v>113.473</v>
      </c>
      <c r="Y116" s="102">
        <v>119.9496</v>
      </c>
      <c r="Z116" s="102">
        <v>118.86840000000001</v>
      </c>
      <c r="AA116" s="102">
        <v>123.1296</v>
      </c>
      <c r="AC116" s="102">
        <v>126.38380000000001</v>
      </c>
      <c r="AD116" s="102">
        <v>125.3026</v>
      </c>
      <c r="AG116" s="94" t="s">
        <v>1128</v>
      </c>
      <c r="AH116" s="102">
        <v>101.76</v>
      </c>
      <c r="AI116" s="102">
        <v>106.02120000000001</v>
      </c>
      <c r="AJ116" s="102">
        <v>113.473</v>
      </c>
      <c r="AK116" s="102">
        <v>119.9496</v>
      </c>
      <c r="AL116" s="102">
        <v>118.86840000000001</v>
      </c>
      <c r="AM116" s="102">
        <v>123.1296</v>
      </c>
      <c r="AN116" s="102">
        <v>122.0378</v>
      </c>
      <c r="AO116" s="102">
        <v>126.38380000000001</v>
      </c>
      <c r="AP116" s="102">
        <v>125.3026</v>
      </c>
      <c r="AQ116" s="102">
        <v>125.3026</v>
      </c>
    </row>
    <row r="117" spans="1:43">
      <c r="F117">
        <v>114</v>
      </c>
      <c r="G117" t="s">
        <v>178</v>
      </c>
      <c r="H117" t="s">
        <v>105</v>
      </c>
      <c r="I117">
        <f t="shared" si="3"/>
        <v>427</v>
      </c>
      <c r="J117" s="84">
        <v>0.93599999999999994</v>
      </c>
      <c r="K117" s="84">
        <v>0.96899999999999997</v>
      </c>
      <c r="L117" s="84">
        <v>1.0461</v>
      </c>
      <c r="M117" s="84">
        <v>1.1103000000000001</v>
      </c>
      <c r="N117" s="84">
        <v>1.1103000000000001</v>
      </c>
      <c r="O117" s="84">
        <v>1.1433</v>
      </c>
      <c r="P117" s="105">
        <v>1.1319999999999999</v>
      </c>
      <c r="Q117" s="105">
        <v>1.1657999999999999</v>
      </c>
      <c r="T117" s="94" t="s">
        <v>1181</v>
      </c>
      <c r="U117" s="94" t="s">
        <v>105</v>
      </c>
      <c r="V117" s="102">
        <v>93.598300000000009</v>
      </c>
      <c r="W117" s="102">
        <v>96.90100000000001</v>
      </c>
      <c r="X117" s="102">
        <v>104.60730000000001</v>
      </c>
      <c r="Y117" s="102">
        <v>111.02740000000001</v>
      </c>
      <c r="Z117" s="102">
        <v>109.91560000000001</v>
      </c>
      <c r="AA117" s="102">
        <v>114.33010000000002</v>
      </c>
      <c r="AC117" s="102">
        <v>117.68730000000001</v>
      </c>
      <c r="AD117" s="102">
        <v>116.56460000000001</v>
      </c>
      <c r="AG117" s="94" t="s">
        <v>1181</v>
      </c>
      <c r="AH117" s="102">
        <v>93.598300000000009</v>
      </c>
      <c r="AI117" s="102">
        <v>96.90100000000001</v>
      </c>
      <c r="AJ117" s="102">
        <v>104.60730000000001</v>
      </c>
      <c r="AK117" s="102">
        <v>111.02740000000001</v>
      </c>
      <c r="AL117" s="102">
        <v>109.91560000000001</v>
      </c>
      <c r="AM117" s="102">
        <v>114.33010000000002</v>
      </c>
      <c r="AN117" s="102">
        <v>113.1965</v>
      </c>
      <c r="AO117" s="102">
        <v>117.68730000000001</v>
      </c>
      <c r="AP117" s="102">
        <v>116.56460000000001</v>
      </c>
      <c r="AQ117" s="102">
        <v>116.57550000000001</v>
      </c>
    </row>
    <row r="118" spans="1:43">
      <c r="F118">
        <v>115</v>
      </c>
      <c r="G118" t="s">
        <v>179</v>
      </c>
      <c r="H118" t="s">
        <v>105</v>
      </c>
      <c r="I118">
        <f t="shared" si="3"/>
        <v>428</v>
      </c>
      <c r="J118" s="84">
        <v>0.85870000000000002</v>
      </c>
      <c r="K118" s="84">
        <v>0.88900000000000001</v>
      </c>
      <c r="L118" s="84">
        <v>0.9597</v>
      </c>
      <c r="M118" s="84">
        <v>1.0185999999999999</v>
      </c>
      <c r="N118" s="84">
        <v>1.0185999999999999</v>
      </c>
      <c r="O118" s="84">
        <v>1.0488999999999999</v>
      </c>
      <c r="P118" s="105">
        <v>1.0385</v>
      </c>
      <c r="Q118" s="105">
        <v>1.0694999999999999</v>
      </c>
      <c r="T118" s="94" t="s">
        <v>1182</v>
      </c>
      <c r="U118" s="94" t="s">
        <v>105</v>
      </c>
      <c r="V118" s="102">
        <v>85.87</v>
      </c>
      <c r="W118" s="102">
        <v>88.9</v>
      </c>
      <c r="X118" s="102">
        <v>95.97</v>
      </c>
      <c r="Y118" s="102">
        <v>101.86</v>
      </c>
      <c r="Z118" s="102">
        <v>100.84</v>
      </c>
      <c r="AA118" s="102">
        <v>104.89</v>
      </c>
      <c r="AC118" s="102">
        <v>107.97</v>
      </c>
      <c r="AD118" s="102">
        <v>106.94</v>
      </c>
      <c r="AG118" s="94" t="s">
        <v>1182</v>
      </c>
      <c r="AH118" s="102">
        <v>85.87</v>
      </c>
      <c r="AI118" s="102">
        <v>88.9</v>
      </c>
      <c r="AJ118" s="102">
        <v>95.97</v>
      </c>
      <c r="AK118" s="102">
        <v>101.86</v>
      </c>
      <c r="AL118" s="102">
        <v>100.84</v>
      </c>
      <c r="AM118" s="102">
        <v>104.89</v>
      </c>
      <c r="AN118" s="102">
        <v>103.85</v>
      </c>
      <c r="AO118" s="102">
        <v>107.97</v>
      </c>
      <c r="AP118" s="102">
        <v>106.94</v>
      </c>
      <c r="AQ118" s="102">
        <v>106.95</v>
      </c>
    </row>
    <row r="119" spans="1:43">
      <c r="F119">
        <v>116</v>
      </c>
      <c r="G119" t="s">
        <v>138</v>
      </c>
      <c r="H119" t="s">
        <v>106</v>
      </c>
      <c r="I119">
        <v>500</v>
      </c>
      <c r="J119" s="84">
        <v>0.22007694314244475</v>
      </c>
      <c r="K119" s="84">
        <v>0.23272137933655013</v>
      </c>
      <c r="L119" s="84">
        <v>0.24261147003532346</v>
      </c>
      <c r="M119" s="84">
        <v>0.24053536538651965</v>
      </c>
      <c r="N119" s="84">
        <v>0.24053536538651965</v>
      </c>
      <c r="O119" s="84">
        <v>0.27192903336361551</v>
      </c>
      <c r="P119" s="84">
        <v>0.2631365536428707</v>
      </c>
      <c r="Q119" s="84">
        <v>0.37853386194420757</v>
      </c>
      <c r="T119" s="94" t="s">
        <v>138</v>
      </c>
      <c r="U119" s="94" t="s">
        <v>106</v>
      </c>
      <c r="Z119" s="102">
        <v>24.053676977693428</v>
      </c>
      <c r="AC119" s="102">
        <v>30.191333799375109</v>
      </c>
      <c r="AD119" s="102">
        <v>28.386592818559954</v>
      </c>
      <c r="AG119" t="s">
        <v>138</v>
      </c>
      <c r="AH119" s="84">
        <v>0.22007694314244475</v>
      </c>
      <c r="AI119" s="84">
        <v>0.23272137933655013</v>
      </c>
      <c r="AJ119" s="84">
        <v>0.24261147003532346</v>
      </c>
      <c r="AK119" s="84">
        <v>0.24053536538651965</v>
      </c>
      <c r="AL119" s="84">
        <v>0.24053676977693428</v>
      </c>
      <c r="AM119" s="84">
        <v>0.27192903336361551</v>
      </c>
      <c r="AN119" s="84">
        <v>0.2631365536428707</v>
      </c>
      <c r="AO119" s="84">
        <v>0.30191333799375109</v>
      </c>
      <c r="AP119" s="84">
        <v>0.28386592818559953</v>
      </c>
      <c r="AQ119" s="84">
        <v>0.37853386194420757</v>
      </c>
    </row>
    <row r="120" spans="1:43">
      <c r="F120">
        <v>117</v>
      </c>
      <c r="G120" t="s">
        <v>139</v>
      </c>
      <c r="H120" t="s">
        <v>106</v>
      </c>
      <c r="I120">
        <f>+I119+1</f>
        <v>501</v>
      </c>
      <c r="J120" s="84">
        <v>0.22007694314244475</v>
      </c>
      <c r="K120" s="84">
        <v>0.23272137933655013</v>
      </c>
      <c r="L120" s="84">
        <v>0.24261147003532346</v>
      </c>
      <c r="M120" s="84">
        <v>0.24053536538651965</v>
      </c>
      <c r="N120" s="84">
        <v>0.24053536538651965</v>
      </c>
      <c r="O120" s="84">
        <v>0.27192903336361551</v>
      </c>
      <c r="P120" s="84">
        <v>0.2631365536428707</v>
      </c>
      <c r="Q120" s="84">
        <v>0.37853386194420757</v>
      </c>
      <c r="T120" s="94" t="s">
        <v>139</v>
      </c>
      <c r="U120" s="94" t="s">
        <v>106</v>
      </c>
      <c r="Z120" s="102">
        <v>24.053676977693428</v>
      </c>
      <c r="AC120" s="102">
        <v>30.191333799375109</v>
      </c>
      <c r="AD120" s="102">
        <v>28.386592818559954</v>
      </c>
      <c r="AG120" t="s">
        <v>139</v>
      </c>
      <c r="AH120" s="84">
        <v>0.22007694314244475</v>
      </c>
      <c r="AI120" s="84">
        <v>0.23272137933655013</v>
      </c>
      <c r="AJ120" s="84">
        <v>0.24261147003532346</v>
      </c>
      <c r="AK120" s="84">
        <v>0.24053536538651965</v>
      </c>
      <c r="AL120" s="84">
        <v>0.24053676977693428</v>
      </c>
      <c r="AM120" s="84">
        <v>0.27192903336361551</v>
      </c>
      <c r="AN120" s="84">
        <v>0.2631365536428707</v>
      </c>
      <c r="AO120" s="84">
        <v>0.30191333799375109</v>
      </c>
      <c r="AP120" s="84">
        <v>0.28386592818559953</v>
      </c>
      <c r="AQ120" s="84">
        <v>0.37853386194420757</v>
      </c>
    </row>
    <row r="121" spans="1:43">
      <c r="F121">
        <v>118</v>
      </c>
      <c r="G121" t="s">
        <v>140</v>
      </c>
      <c r="H121" t="s">
        <v>106</v>
      </c>
      <c r="I121">
        <f t="shared" ref="I121:I147" si="4">+I120+1</f>
        <v>502</v>
      </c>
      <c r="J121" s="84">
        <v>0</v>
      </c>
      <c r="K121" s="84">
        <v>0</v>
      </c>
      <c r="L121" s="84">
        <v>0</v>
      </c>
      <c r="M121" s="84">
        <v>0</v>
      </c>
      <c r="N121" s="84">
        <v>0</v>
      </c>
      <c r="O121" s="84">
        <v>0</v>
      </c>
      <c r="P121" s="84">
        <v>0</v>
      </c>
      <c r="Q121" s="84">
        <v>0</v>
      </c>
      <c r="T121" s="94" t="s">
        <v>1164</v>
      </c>
      <c r="U121" s="94" t="s">
        <v>106</v>
      </c>
      <c r="V121" s="103">
        <v>0</v>
      </c>
      <c r="W121" s="103">
        <v>0</v>
      </c>
      <c r="X121" s="103">
        <v>0</v>
      </c>
      <c r="Y121" s="103">
        <v>0</v>
      </c>
      <c r="Z121" s="103">
        <v>0</v>
      </c>
      <c r="AA121" s="103">
        <v>0</v>
      </c>
      <c r="AB121" s="103">
        <v>0</v>
      </c>
      <c r="AC121" s="103">
        <v>0</v>
      </c>
      <c r="AD121" s="103">
        <v>0</v>
      </c>
      <c r="AE121" s="103">
        <v>0</v>
      </c>
      <c r="AG121" t="s">
        <v>1164</v>
      </c>
      <c r="AH121" s="84">
        <v>0</v>
      </c>
      <c r="AI121" s="84">
        <v>0</v>
      </c>
      <c r="AJ121" s="84">
        <v>0</v>
      </c>
      <c r="AK121" s="84">
        <v>0</v>
      </c>
      <c r="AL121" s="84">
        <v>0</v>
      </c>
      <c r="AM121" s="84">
        <v>0</v>
      </c>
      <c r="AN121" s="84">
        <v>0</v>
      </c>
      <c r="AO121" s="84">
        <v>0</v>
      </c>
      <c r="AP121" s="84">
        <v>0</v>
      </c>
      <c r="AQ121" s="84">
        <v>0</v>
      </c>
    </row>
    <row r="122" spans="1:43">
      <c r="F122">
        <v>119</v>
      </c>
      <c r="G122" t="s">
        <v>142</v>
      </c>
      <c r="H122" t="s">
        <v>106</v>
      </c>
      <c r="I122">
        <f t="shared" si="4"/>
        <v>503</v>
      </c>
      <c r="J122" s="84">
        <v>0.44511701143317706</v>
      </c>
      <c r="K122" s="84">
        <v>0.45744477926087357</v>
      </c>
      <c r="L122" s="84">
        <v>0.46328424823188752</v>
      </c>
      <c r="M122" s="84">
        <v>0.5188227627745432</v>
      </c>
      <c r="N122" s="84">
        <v>0.5188227627745432</v>
      </c>
      <c r="O122" s="84">
        <v>0.54081398470565478</v>
      </c>
      <c r="P122" s="84">
        <v>0.54077604678982105</v>
      </c>
      <c r="Q122" s="84">
        <v>0.54453358879964897</v>
      </c>
      <c r="T122" s="94" t="s">
        <v>142</v>
      </c>
      <c r="U122" s="94" t="s">
        <v>106</v>
      </c>
      <c r="Z122" s="102">
        <v>51.880630093262958</v>
      </c>
      <c r="AC122" s="102">
        <v>55.470556660604096</v>
      </c>
      <c r="AD122" s="102">
        <v>57.136409502763222</v>
      </c>
      <c r="AG122" t="s">
        <v>142</v>
      </c>
      <c r="AH122" s="84">
        <v>0.44511701143317706</v>
      </c>
      <c r="AI122" s="84">
        <v>0.45744477926087357</v>
      </c>
      <c r="AJ122" s="84">
        <v>0.46328424823188752</v>
      </c>
      <c r="AK122" s="84">
        <v>0.5188227627745432</v>
      </c>
      <c r="AL122" s="84">
        <v>0.51880630093262958</v>
      </c>
      <c r="AM122" s="84">
        <v>0.54081398470565478</v>
      </c>
      <c r="AN122" s="84">
        <v>0.54077604678982105</v>
      </c>
      <c r="AO122" s="84">
        <v>0.55470556660604098</v>
      </c>
      <c r="AP122" s="84">
        <v>0.57136409502763219</v>
      </c>
      <c r="AQ122" s="84">
        <v>0.54453358879964897</v>
      </c>
    </row>
    <row r="123" spans="1:43">
      <c r="F123">
        <v>120</v>
      </c>
      <c r="G123" t="s">
        <v>143</v>
      </c>
      <c r="H123" t="s">
        <v>106</v>
      </c>
      <c r="I123">
        <f t="shared" si="4"/>
        <v>504</v>
      </c>
      <c r="J123" s="84">
        <v>0.60542784061539656</v>
      </c>
      <c r="K123" s="84">
        <v>0.63356155089847133</v>
      </c>
      <c r="L123" s="84">
        <v>0.64688804524308541</v>
      </c>
      <c r="M123" s="84">
        <v>0.71408467379539386</v>
      </c>
      <c r="N123" s="84">
        <v>0.71408467379539386</v>
      </c>
      <c r="O123" s="84">
        <v>0.75565088806571024</v>
      </c>
      <c r="P123" s="84">
        <v>0.75939672580914319</v>
      </c>
      <c r="Q123" s="84">
        <v>0.76624658785598465</v>
      </c>
      <c r="T123" s="94" t="s">
        <v>1165</v>
      </c>
      <c r="U123" s="94" t="s">
        <v>106</v>
      </c>
      <c r="Z123" s="102">
        <v>71.406609994145811</v>
      </c>
      <c r="AC123" s="102">
        <v>77.681386713787745</v>
      </c>
      <c r="AD123" s="102">
        <v>79.798201606920685</v>
      </c>
      <c r="AG123" t="s">
        <v>1165</v>
      </c>
      <c r="AH123" s="84">
        <v>0.60542784061539656</v>
      </c>
      <c r="AI123" s="84">
        <v>0.63356155089847133</v>
      </c>
      <c r="AJ123" s="84">
        <v>0.64688804524308541</v>
      </c>
      <c r="AK123" s="84">
        <v>0.71408467379539386</v>
      </c>
      <c r="AL123" s="84">
        <v>0.71406609994145809</v>
      </c>
      <c r="AM123" s="84">
        <v>0.75565088806571024</v>
      </c>
      <c r="AN123" s="84">
        <v>0.75939672580914319</v>
      </c>
      <c r="AO123" s="84">
        <v>0.77681386713787748</v>
      </c>
      <c r="AP123" s="84">
        <v>0.79798201606920682</v>
      </c>
      <c r="AQ123" s="84">
        <v>0.76624658785598465</v>
      </c>
    </row>
    <row r="124" spans="1:43">
      <c r="F124">
        <v>121</v>
      </c>
      <c r="G124" t="s">
        <v>145</v>
      </c>
      <c r="H124" t="s">
        <v>106</v>
      </c>
      <c r="I124">
        <f t="shared" si="4"/>
        <v>505</v>
      </c>
      <c r="J124" s="84"/>
      <c r="K124" s="84"/>
      <c r="L124" s="84"/>
      <c r="M124" s="84"/>
      <c r="N124" s="84"/>
      <c r="O124" s="84"/>
      <c r="P124" s="84"/>
      <c r="Q124" s="84"/>
      <c r="T124" s="94"/>
      <c r="U124" s="94"/>
      <c r="Z124" s="102"/>
      <c r="AC124" s="102"/>
      <c r="AD124" s="102"/>
      <c r="AH124" s="84"/>
      <c r="AI124" s="84"/>
      <c r="AJ124" s="84"/>
      <c r="AK124" s="84"/>
      <c r="AL124" s="84"/>
      <c r="AM124" s="84"/>
      <c r="AN124" s="84"/>
      <c r="AO124" s="84"/>
      <c r="AP124" s="84"/>
      <c r="AQ124" s="84"/>
    </row>
    <row r="125" spans="1:43">
      <c r="F125">
        <v>122</v>
      </c>
      <c r="G125" t="s">
        <v>146</v>
      </c>
      <c r="H125" t="s">
        <v>106</v>
      </c>
      <c r="I125">
        <f t="shared" si="4"/>
        <v>506</v>
      </c>
      <c r="J125" s="84">
        <v>0.7320778119141651</v>
      </c>
      <c r="K125" s="84">
        <v>0.76607302765047369</v>
      </c>
      <c r="L125" s="84">
        <v>0.78217602457819912</v>
      </c>
      <c r="M125" s="84">
        <v>0.83834273846188301</v>
      </c>
      <c r="N125" s="84">
        <v>0.83834273846188301</v>
      </c>
      <c r="O125" s="84">
        <v>0.8902425108615788</v>
      </c>
      <c r="P125" s="84">
        <v>0.89030435522154416</v>
      </c>
      <c r="Q125" s="84">
        <v>0.89024081591160442</v>
      </c>
      <c r="T125" s="94" t="s">
        <v>1126</v>
      </c>
      <c r="U125" s="94" t="s">
        <v>106</v>
      </c>
      <c r="Z125" s="102">
        <v>83.834249425246753</v>
      </c>
      <c r="AC125" s="102">
        <v>91.142811409524469</v>
      </c>
      <c r="AD125" s="102">
        <v>92.210199463938821</v>
      </c>
      <c r="AG125" t="s">
        <v>1126</v>
      </c>
      <c r="AH125" s="84">
        <v>0.7320778119141651</v>
      </c>
      <c r="AI125" s="84">
        <v>0.76607302765047369</v>
      </c>
      <c r="AJ125" s="84">
        <v>0.78217602457819912</v>
      </c>
      <c r="AK125" s="84">
        <v>0.83834273846188301</v>
      </c>
      <c r="AL125" s="84">
        <v>0.83834249425246754</v>
      </c>
      <c r="AM125" s="84">
        <v>0.8902425108615788</v>
      </c>
      <c r="AN125" s="84">
        <v>0.89030435522154416</v>
      </c>
      <c r="AO125" s="84">
        <v>0.91142811409524471</v>
      </c>
      <c r="AP125" s="84">
        <v>0.92210199463938824</v>
      </c>
      <c r="AQ125" s="84">
        <v>0.89024081591160442</v>
      </c>
    </row>
    <row r="126" spans="1:43">
      <c r="F126">
        <v>123</v>
      </c>
      <c r="G126" t="s">
        <v>148</v>
      </c>
      <c r="H126" t="s">
        <v>106</v>
      </c>
      <c r="I126">
        <f t="shared" si="4"/>
        <v>507</v>
      </c>
      <c r="J126" s="84">
        <v>0.8525437684915349</v>
      </c>
      <c r="K126" s="84">
        <v>0.88559545247814375</v>
      </c>
      <c r="L126" s="84">
        <v>0.90125151331390507</v>
      </c>
      <c r="M126" s="84">
        <v>0.9687390325491676</v>
      </c>
      <c r="N126" s="84">
        <v>0.9687390325491676</v>
      </c>
      <c r="O126" s="84">
        <v>1.0242109091909581</v>
      </c>
      <c r="P126" s="84">
        <v>1.0242771366868455</v>
      </c>
      <c r="Q126" s="84">
        <v>1.0242090941136817</v>
      </c>
      <c r="T126" s="94" t="s">
        <v>1166</v>
      </c>
      <c r="U126" s="94" t="s">
        <v>106</v>
      </c>
      <c r="Z126" s="102">
        <v>96.873876749190188</v>
      </c>
      <c r="AC126" s="102">
        <v>103.81608053803619</v>
      </c>
      <c r="AD126" s="102">
        <v>105.6074033429351</v>
      </c>
      <c r="AG126" t="s">
        <v>1166</v>
      </c>
      <c r="AH126" s="84">
        <v>0.8525437684915349</v>
      </c>
      <c r="AI126" s="84">
        <v>0.88559545247814375</v>
      </c>
      <c r="AJ126" s="84">
        <v>0.90125151331390507</v>
      </c>
      <c r="AK126" s="84">
        <v>0.9687390325491676</v>
      </c>
      <c r="AL126" s="84">
        <v>0.96873876749190191</v>
      </c>
      <c r="AM126" s="84">
        <v>1.0242109091909581</v>
      </c>
      <c r="AN126" s="84">
        <v>1.0242771366868455</v>
      </c>
      <c r="AO126" s="84">
        <v>1.0381608053803619</v>
      </c>
      <c r="AP126" s="84">
        <v>1.056074033429351</v>
      </c>
      <c r="AQ126" s="84">
        <v>1.0242090941136817</v>
      </c>
    </row>
    <row r="127" spans="1:43">
      <c r="F127">
        <v>124</v>
      </c>
      <c r="G127" t="s">
        <v>149</v>
      </c>
      <c r="H127" t="s">
        <v>106</v>
      </c>
      <c r="I127">
        <f t="shared" si="4"/>
        <v>508</v>
      </c>
      <c r="J127" s="84">
        <v>0.88553811747541999</v>
      </c>
      <c r="K127" s="84">
        <v>0.91809640015508975</v>
      </c>
      <c r="L127" s="84">
        <v>0.93351874458230188</v>
      </c>
      <c r="M127" s="84">
        <v>0.99962005654903019</v>
      </c>
      <c r="N127" s="84">
        <v>0.99962005654903019</v>
      </c>
      <c r="O127" s="84">
        <v>1.0559240165156054</v>
      </c>
      <c r="P127" s="84">
        <v>1.055991281590964</v>
      </c>
      <c r="Q127" s="84">
        <v>1.0559221730016968</v>
      </c>
      <c r="T127" s="94" t="s">
        <v>1167</v>
      </c>
      <c r="U127" s="94" t="s">
        <v>106</v>
      </c>
      <c r="Z127" s="102">
        <v>99.961982462335655</v>
      </c>
      <c r="AC127" s="102">
        <v>106.958001774845</v>
      </c>
      <c r="AD127" s="102">
        <v>108.81703071440919</v>
      </c>
      <c r="AG127" t="s">
        <v>1167</v>
      </c>
      <c r="AH127" s="84">
        <v>0.88553811747541999</v>
      </c>
      <c r="AI127" s="84">
        <v>0.91809640015508975</v>
      </c>
      <c r="AJ127" s="84">
        <v>0.93351874458230188</v>
      </c>
      <c r="AK127" s="84">
        <v>0.99962005654903019</v>
      </c>
      <c r="AL127" s="84">
        <v>0.99961982462335652</v>
      </c>
      <c r="AM127" s="84">
        <v>1.0559240165156054</v>
      </c>
      <c r="AN127" s="84">
        <v>1.055991281590964</v>
      </c>
      <c r="AO127" s="84">
        <v>1.06958001774845</v>
      </c>
      <c r="AP127" s="84">
        <v>1.0881703071440918</v>
      </c>
      <c r="AQ127" s="84">
        <v>1.0559221730016968</v>
      </c>
    </row>
    <row r="128" spans="1:43">
      <c r="F128">
        <v>125</v>
      </c>
      <c r="G128" t="s">
        <v>151</v>
      </c>
      <c r="H128" t="s">
        <v>106</v>
      </c>
      <c r="I128">
        <f t="shared" si="4"/>
        <v>509</v>
      </c>
      <c r="J128" s="84">
        <v>0.95677915339944919</v>
      </c>
      <c r="K128" s="84">
        <v>0.98598611425355376</v>
      </c>
      <c r="L128" s="84">
        <v>0.99982099044760542</v>
      </c>
      <c r="M128" s="84">
        <v>1.0614794669150212</v>
      </c>
      <c r="N128" s="84">
        <v>1.0614794669150212</v>
      </c>
      <c r="O128" s="84">
        <v>1.1076867386906692</v>
      </c>
      <c r="P128" s="84">
        <v>1.1077556973224918</v>
      </c>
      <c r="Q128" s="84">
        <v>1.1076848487619624</v>
      </c>
      <c r="T128" s="94" t="s">
        <v>1168</v>
      </c>
      <c r="U128" s="94" t="s">
        <v>106</v>
      </c>
      <c r="Z128" s="102">
        <v>106.14792258680525</v>
      </c>
      <c r="AC128" s="102">
        <v>112.88949890756577</v>
      </c>
      <c r="AD128" s="102">
        <v>114.72574489202168</v>
      </c>
      <c r="AG128" t="s">
        <v>1168</v>
      </c>
      <c r="AH128" s="84">
        <v>0.95677915339944919</v>
      </c>
      <c r="AI128" s="84">
        <v>0.98598611425355376</v>
      </c>
      <c r="AJ128" s="84">
        <v>0.99982099044760542</v>
      </c>
      <c r="AK128" s="84">
        <v>1.0614794669150212</v>
      </c>
      <c r="AL128" s="84">
        <v>1.0614792258680525</v>
      </c>
      <c r="AM128" s="84">
        <v>1.1076867386906692</v>
      </c>
      <c r="AN128" s="84">
        <v>1.1077556973224918</v>
      </c>
      <c r="AO128" s="84">
        <v>1.1288949890756577</v>
      </c>
      <c r="AP128" s="84">
        <v>1.1472574489202167</v>
      </c>
      <c r="AQ128" s="84">
        <v>1.1076848487619624</v>
      </c>
    </row>
    <row r="129" spans="6:43">
      <c r="F129">
        <v>126</v>
      </c>
      <c r="G129" t="s">
        <v>152</v>
      </c>
      <c r="H129" t="s">
        <v>106</v>
      </c>
      <c r="I129">
        <f t="shared" si="4"/>
        <v>510</v>
      </c>
      <c r="J129" s="84">
        <v>1.0464695824257539</v>
      </c>
      <c r="K129" s="84">
        <v>1.0746751617648602</v>
      </c>
      <c r="L129" s="84">
        <v>1.0880356993465421</v>
      </c>
      <c r="M129" s="84">
        <v>1.1506542885535649</v>
      </c>
      <c r="N129" s="84">
        <v>1.1506542885535649</v>
      </c>
      <c r="O129" s="84">
        <v>1.1968066928872201</v>
      </c>
      <c r="P129" s="84">
        <v>1.1968785673176745</v>
      </c>
      <c r="Q129" s="84">
        <v>1.1968047230460876</v>
      </c>
      <c r="T129" s="94" t="s">
        <v>1169</v>
      </c>
      <c r="U129" s="94" t="s">
        <v>106</v>
      </c>
      <c r="Z129" s="102">
        <v>115.0654055771064</v>
      </c>
      <c r="AC129" s="102">
        <v>121.88761267405451</v>
      </c>
      <c r="AD129" s="102">
        <v>123.82051023223029</v>
      </c>
      <c r="AG129" t="s">
        <v>1169</v>
      </c>
      <c r="AH129" s="84">
        <v>1.0464695824257539</v>
      </c>
      <c r="AI129" s="84">
        <v>1.0746751617648602</v>
      </c>
      <c r="AJ129" s="84">
        <v>1.0880356993465421</v>
      </c>
      <c r="AK129" s="84">
        <v>1.1506542885535649</v>
      </c>
      <c r="AL129" s="84">
        <v>1.1506540557710641</v>
      </c>
      <c r="AM129" s="84">
        <v>1.1968066928872201</v>
      </c>
      <c r="AN129" s="84">
        <v>1.1968785673176745</v>
      </c>
      <c r="AO129" s="84">
        <v>1.218876126740545</v>
      </c>
      <c r="AP129" s="84">
        <v>1.2382051023223029</v>
      </c>
      <c r="AQ129" s="84">
        <v>1.1968047230460876</v>
      </c>
    </row>
    <row r="130" spans="6:43">
      <c r="F130">
        <v>127</v>
      </c>
      <c r="G130" t="s">
        <v>154</v>
      </c>
      <c r="H130" t="s">
        <v>106</v>
      </c>
      <c r="I130">
        <f t="shared" si="4"/>
        <v>511</v>
      </c>
      <c r="J130" s="84">
        <v>0.94885451949016586</v>
      </c>
      <c r="K130" s="84">
        <v>0.95870822654932875</v>
      </c>
      <c r="L130" s="84">
        <v>0.96216503115495855</v>
      </c>
      <c r="M130" s="84">
        <v>1.0109525542135116</v>
      </c>
      <c r="N130" s="84">
        <v>1.0109525542135116</v>
      </c>
      <c r="O130" s="84">
        <v>1.0682628063509387</v>
      </c>
      <c r="P130" s="84">
        <v>1.0682779348038016</v>
      </c>
      <c r="Q130" s="84">
        <v>1.0871633357344663</v>
      </c>
      <c r="T130" s="94" t="s">
        <v>733</v>
      </c>
      <c r="U130" s="94" t="s">
        <v>106</v>
      </c>
      <c r="Z130" s="102">
        <v>101.09522228237621</v>
      </c>
      <c r="AC130" s="102">
        <v>112.24507101499385</v>
      </c>
      <c r="AD130" s="102">
        <v>111.15397017711359</v>
      </c>
      <c r="AG130" t="s">
        <v>733</v>
      </c>
      <c r="AH130" s="84">
        <v>0.94885451949016586</v>
      </c>
      <c r="AI130" s="84">
        <v>0.95870822654932875</v>
      </c>
      <c r="AJ130" s="84">
        <v>0.96216503115495855</v>
      </c>
      <c r="AK130" s="84">
        <v>1.0109525542135116</v>
      </c>
      <c r="AL130" s="84">
        <v>1.0109522228237622</v>
      </c>
      <c r="AM130" s="84">
        <v>1.0682628063509387</v>
      </c>
      <c r="AN130" s="84">
        <v>1.0682779348038016</v>
      </c>
      <c r="AO130" s="84">
        <v>1.1224507101499386</v>
      </c>
      <c r="AP130" s="84">
        <v>1.1115397017711359</v>
      </c>
      <c r="AQ130" s="84">
        <v>1.0871633357344663</v>
      </c>
    </row>
    <row r="131" spans="6:43">
      <c r="F131">
        <v>128</v>
      </c>
      <c r="G131" t="s">
        <v>155</v>
      </c>
      <c r="H131" t="s">
        <v>106</v>
      </c>
      <c r="I131">
        <f t="shared" si="4"/>
        <v>512</v>
      </c>
      <c r="J131" s="84">
        <v>0.95643220969293763</v>
      </c>
      <c r="K131" s="84">
        <v>0.97744578985127939</v>
      </c>
      <c r="L131" s="84">
        <v>0.98739959097891483</v>
      </c>
      <c r="M131" s="84">
        <v>1.0366313362368533</v>
      </c>
      <c r="N131" s="84">
        <v>1.0366313362368533</v>
      </c>
      <c r="O131" s="84">
        <v>1.0643380537364422</v>
      </c>
      <c r="P131" s="84">
        <v>1.064353153481429</v>
      </c>
      <c r="Q131" s="84">
        <v>1.0860426359800175</v>
      </c>
      <c r="T131" s="94" t="s">
        <v>1170</v>
      </c>
      <c r="U131" s="94" t="s">
        <v>106</v>
      </c>
      <c r="Z131" s="102">
        <v>103.66310216217518</v>
      </c>
      <c r="AC131" s="102">
        <v>111.85575902541869</v>
      </c>
      <c r="AD131" s="102">
        <v>111.84802369717252</v>
      </c>
      <c r="AG131" t="s">
        <v>1170</v>
      </c>
      <c r="AH131" s="84">
        <v>0.95643220969293763</v>
      </c>
      <c r="AI131" s="84">
        <v>0.97744578985127939</v>
      </c>
      <c r="AJ131" s="84">
        <v>0.98739959097891483</v>
      </c>
      <c r="AK131" s="84">
        <v>1.0366313362368533</v>
      </c>
      <c r="AL131" s="84">
        <v>1.0366310216217518</v>
      </c>
      <c r="AM131" s="84">
        <v>1.0643380537364422</v>
      </c>
      <c r="AN131" s="84">
        <v>1.064353153481429</v>
      </c>
      <c r="AO131" s="84">
        <v>1.1185575902541869</v>
      </c>
      <c r="AP131" s="84">
        <v>1.1184802369717253</v>
      </c>
      <c r="AQ131" s="84">
        <v>1.0860426359800175</v>
      </c>
    </row>
    <row r="132" spans="6:43">
      <c r="F132">
        <v>129</v>
      </c>
      <c r="G132" t="s">
        <v>157</v>
      </c>
      <c r="H132" t="s">
        <v>106</v>
      </c>
      <c r="I132">
        <f t="shared" si="4"/>
        <v>513</v>
      </c>
      <c r="J132" s="84">
        <v>0.9458904404031685</v>
      </c>
      <c r="K132" s="84">
        <v>0.96687205672656629</v>
      </c>
      <c r="L132" s="84">
        <v>0.97681071709028122</v>
      </c>
      <c r="M132" s="84">
        <v>1.0258187744959124</v>
      </c>
      <c r="N132" s="84">
        <v>1.0258187744959124</v>
      </c>
      <c r="O132" s="84">
        <v>1.0478123711179128</v>
      </c>
      <c r="P132" s="84">
        <v>1.0478273499846389</v>
      </c>
      <c r="Q132" s="84">
        <v>1.0669400558082547</v>
      </c>
      <c r="T132" s="94" t="s">
        <v>1171</v>
      </c>
      <c r="U132" s="94" t="s">
        <v>106</v>
      </c>
      <c r="Z132" s="102">
        <v>102.58184616038832</v>
      </c>
      <c r="AC132" s="102">
        <v>110.7718620887685</v>
      </c>
      <c r="AD132" s="102">
        <v>109.9378427993114</v>
      </c>
      <c r="AG132" t="s">
        <v>1171</v>
      </c>
      <c r="AH132" s="84">
        <v>0.9458904404031685</v>
      </c>
      <c r="AI132" s="84">
        <v>0.96687205672656629</v>
      </c>
      <c r="AJ132" s="84">
        <v>0.97681071709028122</v>
      </c>
      <c r="AK132" s="84">
        <v>1.0258187744959124</v>
      </c>
      <c r="AL132" s="84">
        <v>1.0258184616038832</v>
      </c>
      <c r="AM132" s="84">
        <v>1.0478123711179128</v>
      </c>
      <c r="AN132" s="84">
        <v>1.0478273499846389</v>
      </c>
      <c r="AO132" s="84">
        <v>1.107718620887685</v>
      </c>
      <c r="AP132" s="84">
        <v>1.099378427993114</v>
      </c>
      <c r="AQ132" s="84">
        <v>1.0669400558082547</v>
      </c>
    </row>
    <row r="133" spans="6:43">
      <c r="F133">
        <v>130</v>
      </c>
      <c r="G133" t="s">
        <v>158</v>
      </c>
      <c r="H133" t="s">
        <v>106</v>
      </c>
      <c r="I133">
        <f t="shared" si="4"/>
        <v>514</v>
      </c>
      <c r="J133" s="84">
        <v>0.98084454261775444</v>
      </c>
      <c r="K133" s="84">
        <v>0.99518487952038126</v>
      </c>
      <c r="L133" s="84">
        <v>1.0019776706847834</v>
      </c>
      <c r="M133" s="84">
        <v>1.0482681349439593</v>
      </c>
      <c r="N133" s="84">
        <v>1.0482681349439593</v>
      </c>
      <c r="O133" s="84">
        <v>1.0721141589437115</v>
      </c>
      <c r="P133" s="84">
        <v>1.0721293155675635</v>
      </c>
      <c r="Q133" s="84">
        <v>1.0938315134613479</v>
      </c>
      <c r="T133" s="94" t="s">
        <v>1172</v>
      </c>
      <c r="U133" s="94" t="s">
        <v>106</v>
      </c>
      <c r="Z133" s="102">
        <v>104.8267831692411</v>
      </c>
      <c r="AC133" s="102">
        <v>112.63654687197868</v>
      </c>
      <c r="AD133" s="102">
        <v>112.39259231520538</v>
      </c>
      <c r="AG133" t="s">
        <v>1172</v>
      </c>
      <c r="AH133" s="84">
        <v>0.98084454261775444</v>
      </c>
      <c r="AI133" s="84">
        <v>0.99518487952038126</v>
      </c>
      <c r="AJ133" s="84">
        <v>1.0019776706847834</v>
      </c>
      <c r="AK133" s="84">
        <v>1.0482681349439593</v>
      </c>
      <c r="AL133" s="84">
        <v>1.048267831692411</v>
      </c>
      <c r="AM133" s="84">
        <v>1.0721141589437115</v>
      </c>
      <c r="AN133" s="84">
        <v>1.0721293155675635</v>
      </c>
      <c r="AO133" s="84">
        <v>1.1263654687197868</v>
      </c>
      <c r="AP133" s="84">
        <v>1.1239259231520538</v>
      </c>
      <c r="AQ133" s="84">
        <v>1.0938315134613479</v>
      </c>
    </row>
    <row r="134" spans="6:43">
      <c r="F134">
        <v>131</v>
      </c>
      <c r="G134" t="s">
        <v>160</v>
      </c>
      <c r="H134" t="s">
        <v>106</v>
      </c>
      <c r="I134">
        <f t="shared" si="4"/>
        <v>515</v>
      </c>
      <c r="J134" s="84">
        <v>0.92839784466160413</v>
      </c>
      <c r="K134" s="84">
        <v>0.94200225417589944</v>
      </c>
      <c r="L134" s="84">
        <v>0.94844644815635504</v>
      </c>
      <c r="M134" s="84">
        <v>0.99332898562405791</v>
      </c>
      <c r="N134" s="84">
        <v>0.99332898562405791</v>
      </c>
      <c r="O134" s="84">
        <v>1.0135626047594233</v>
      </c>
      <c r="P134" s="84">
        <v>1.0135773331038394</v>
      </c>
      <c r="Q134" s="84">
        <v>1.0338411788442277</v>
      </c>
      <c r="T134" s="94" t="s">
        <v>1173</v>
      </c>
      <c r="U134" s="94" t="s">
        <v>106</v>
      </c>
      <c r="Z134" s="102">
        <v>99.332869026351545</v>
      </c>
      <c r="AC134" s="102">
        <v>106.64235746802815</v>
      </c>
      <c r="AD134" s="102">
        <v>106.41427888854089</v>
      </c>
      <c r="AG134" t="s">
        <v>1173</v>
      </c>
      <c r="AH134" s="84">
        <v>0.92839784466160413</v>
      </c>
      <c r="AI134" s="84">
        <v>0.94200225417589944</v>
      </c>
      <c r="AJ134" s="84">
        <v>0.94844644815635504</v>
      </c>
      <c r="AK134" s="84">
        <v>0.99332898562405791</v>
      </c>
      <c r="AL134" s="84">
        <v>0.99332869026351545</v>
      </c>
      <c r="AM134" s="84">
        <v>1.0135626047594233</v>
      </c>
      <c r="AN134" s="84">
        <v>1.0135773331038394</v>
      </c>
      <c r="AO134" s="84">
        <v>1.0664235746802815</v>
      </c>
      <c r="AP134" s="84">
        <v>1.0641427888854089</v>
      </c>
      <c r="AQ134" s="84">
        <v>1.0338411788442277</v>
      </c>
    </row>
    <row r="135" spans="6:43">
      <c r="F135">
        <v>132</v>
      </c>
      <c r="G135" t="s">
        <v>161</v>
      </c>
      <c r="H135" t="s">
        <v>106</v>
      </c>
      <c r="I135">
        <f t="shared" si="4"/>
        <v>516</v>
      </c>
      <c r="J135" s="84">
        <v>0.87455092387938327</v>
      </c>
      <c r="K135" s="84">
        <v>0.91477336525104702</v>
      </c>
      <c r="L135" s="84">
        <v>0.94637313468759543</v>
      </c>
      <c r="M135" s="84">
        <v>1.003034430834139</v>
      </c>
      <c r="N135" s="84">
        <v>1.003034430834139</v>
      </c>
      <c r="O135" s="84">
        <v>1.0207534805920471</v>
      </c>
      <c r="P135" s="84">
        <v>1.0207585299330946</v>
      </c>
      <c r="Q135" s="84">
        <v>1.0613021976718042</v>
      </c>
      <c r="T135" s="94" t="s">
        <v>734</v>
      </c>
      <c r="U135" s="94" t="s">
        <v>106</v>
      </c>
      <c r="Z135" s="102">
        <v>100.31239322371373</v>
      </c>
      <c r="AC135" s="102">
        <v>109.16368559745911</v>
      </c>
      <c r="AD135" s="102">
        <v>109.16950854059473</v>
      </c>
      <c r="AG135" t="s">
        <v>734</v>
      </c>
      <c r="AH135" s="84">
        <v>0.87455092387938327</v>
      </c>
      <c r="AI135" s="84">
        <v>0.91477336525104702</v>
      </c>
      <c r="AJ135" s="84">
        <v>0.94637313468759543</v>
      </c>
      <c r="AK135" s="84">
        <v>1.003034430834139</v>
      </c>
      <c r="AL135" s="84">
        <v>1.0031239322371373</v>
      </c>
      <c r="AM135" s="84">
        <v>1.0207534805920471</v>
      </c>
      <c r="AN135" s="84">
        <v>1.0207585299330946</v>
      </c>
      <c r="AO135" s="84">
        <v>1.091636855974591</v>
      </c>
      <c r="AP135" s="84">
        <v>1.0916950854059473</v>
      </c>
      <c r="AQ135" s="84">
        <v>1.0613021976718042</v>
      </c>
    </row>
    <row r="136" spans="6:43">
      <c r="F136">
        <v>133</v>
      </c>
      <c r="G136" t="s">
        <v>163</v>
      </c>
      <c r="H136" t="s">
        <v>106</v>
      </c>
      <c r="I136">
        <f t="shared" si="4"/>
        <v>517</v>
      </c>
      <c r="J136" s="84">
        <v>0.94295905926571733</v>
      </c>
      <c r="K136" s="84">
        <v>0.9822955698413538</v>
      </c>
      <c r="L136" s="84">
        <v>1.0124838156404778</v>
      </c>
      <c r="M136" s="84">
        <v>1.0760508193957299</v>
      </c>
      <c r="N136" s="84">
        <v>1.0760508193957299</v>
      </c>
      <c r="O136" s="84">
        <v>1.0984060911189162</v>
      </c>
      <c r="P136" s="84">
        <v>1.0984113344937834</v>
      </c>
      <c r="Q136" s="84">
        <v>1.1409820678653007</v>
      </c>
      <c r="T136" s="94" t="s">
        <v>1174</v>
      </c>
      <c r="U136" s="94" t="s">
        <v>106</v>
      </c>
      <c r="Z136" s="102">
        <v>107.61435856223729</v>
      </c>
      <c r="AC136" s="102">
        <v>116.42995725037161</v>
      </c>
      <c r="AD136" s="102">
        <v>116.43598248046989</v>
      </c>
      <c r="AG136" t="s">
        <v>1174</v>
      </c>
      <c r="AH136" s="84">
        <v>0.94295905926571733</v>
      </c>
      <c r="AI136" s="84">
        <v>0.9822955698413538</v>
      </c>
      <c r="AJ136" s="84">
        <v>1.0124838156404778</v>
      </c>
      <c r="AK136" s="84">
        <v>1.0760508193957299</v>
      </c>
      <c r="AL136" s="84">
        <v>1.0761435856223729</v>
      </c>
      <c r="AM136" s="84">
        <v>1.0984060911189162</v>
      </c>
      <c r="AN136" s="84">
        <v>1.0984113344937834</v>
      </c>
      <c r="AO136" s="84">
        <v>1.1642995725037162</v>
      </c>
      <c r="AP136" s="84">
        <v>1.1643598248046989</v>
      </c>
      <c r="AQ136" s="84">
        <v>1.1409820678653007</v>
      </c>
    </row>
    <row r="137" spans="6:43">
      <c r="F137">
        <v>134</v>
      </c>
      <c r="G137" t="s">
        <v>164</v>
      </c>
      <c r="H137" t="s">
        <v>106</v>
      </c>
      <c r="I137">
        <f t="shared" si="4"/>
        <v>518</v>
      </c>
      <c r="J137" s="84">
        <v>0.86618861215109666</v>
      </c>
      <c r="K137" s="84">
        <v>0.90790212971397199</v>
      </c>
      <c r="L137" s="84">
        <v>0.94415020763160518</v>
      </c>
      <c r="M137" s="84">
        <v>0.99805025536213865</v>
      </c>
      <c r="N137" s="84">
        <v>0.99805025536213865</v>
      </c>
      <c r="O137" s="84">
        <v>1.0163663648029764</v>
      </c>
      <c r="P137" s="84">
        <v>1.0163714031817555</v>
      </c>
      <c r="Q137" s="84">
        <v>1.0589665485185922</v>
      </c>
      <c r="T137" s="94" t="s">
        <v>1175</v>
      </c>
      <c r="U137" s="94" t="s">
        <v>106</v>
      </c>
      <c r="Z137" s="102">
        <v>99.813956305128102</v>
      </c>
      <c r="AC137" s="102">
        <v>108.20885283512318</v>
      </c>
      <c r="AD137" s="102">
        <v>108.21464919650853</v>
      </c>
      <c r="AG137" t="s">
        <v>1175</v>
      </c>
      <c r="AH137" s="84">
        <v>0.86618861215109666</v>
      </c>
      <c r="AI137" s="84">
        <v>0.90790212971397199</v>
      </c>
      <c r="AJ137" s="84">
        <v>0.94415020763160518</v>
      </c>
      <c r="AK137" s="84">
        <v>0.99805025536213865</v>
      </c>
      <c r="AL137" s="84">
        <v>0.99813956305128104</v>
      </c>
      <c r="AM137" s="84">
        <v>1.0163663648029764</v>
      </c>
      <c r="AN137" s="84">
        <v>1.0163714031817555</v>
      </c>
      <c r="AO137" s="84">
        <v>1.0820885283512318</v>
      </c>
      <c r="AP137" s="84">
        <v>1.0821464919650854</v>
      </c>
      <c r="AQ137" s="84">
        <v>1.0589665485185922</v>
      </c>
    </row>
    <row r="138" spans="6:43">
      <c r="F138">
        <v>135</v>
      </c>
      <c r="G138" t="s">
        <v>166</v>
      </c>
      <c r="H138" t="s">
        <v>106</v>
      </c>
      <c r="I138">
        <f t="shared" si="4"/>
        <v>519</v>
      </c>
      <c r="J138" s="84">
        <v>0.83875150328924875</v>
      </c>
      <c r="K138" s="84">
        <v>0.8500647676642914</v>
      </c>
      <c r="L138" s="84">
        <v>0.90800634249673673</v>
      </c>
      <c r="M138" s="84">
        <v>0.95094720526033183</v>
      </c>
      <c r="N138" s="84">
        <v>0.95094720526033183</v>
      </c>
      <c r="O138" s="84">
        <v>0.95433691850754077</v>
      </c>
      <c r="P138" s="84">
        <v>0.95434180189075435</v>
      </c>
      <c r="Q138" s="84">
        <v>0.99736250230041312</v>
      </c>
      <c r="T138" s="94" t="s">
        <v>1176</v>
      </c>
      <c r="U138" s="94" t="s">
        <v>106</v>
      </c>
      <c r="Z138" s="102">
        <v>95.103440884467474</v>
      </c>
      <c r="AC138" s="102">
        <v>101.88047504606929</v>
      </c>
      <c r="AD138" s="102">
        <v>101.88609523067753</v>
      </c>
      <c r="AG138" t="s">
        <v>1176</v>
      </c>
      <c r="AH138" s="84">
        <v>0.83875150328924875</v>
      </c>
      <c r="AI138" s="84">
        <v>0.8500647676642914</v>
      </c>
      <c r="AJ138" s="84">
        <v>0.90800634249673673</v>
      </c>
      <c r="AK138" s="84">
        <v>0.95094720526033183</v>
      </c>
      <c r="AL138" s="84">
        <v>0.95103440884467472</v>
      </c>
      <c r="AM138" s="84">
        <v>0.95433691850754077</v>
      </c>
      <c r="AN138" s="84">
        <v>0.95434180189075435</v>
      </c>
      <c r="AO138" s="84">
        <v>1.018804750460693</v>
      </c>
      <c r="AP138" s="84">
        <v>1.0188609523067753</v>
      </c>
      <c r="AQ138" s="84">
        <v>0.99736250230041312</v>
      </c>
    </row>
    <row r="139" spans="6:43">
      <c r="F139">
        <v>136</v>
      </c>
      <c r="G139" t="s">
        <v>167</v>
      </c>
      <c r="H139" t="s">
        <v>106</v>
      </c>
      <c r="I139">
        <f t="shared" si="4"/>
        <v>520</v>
      </c>
      <c r="J139" s="84">
        <v>0.84390433454899294</v>
      </c>
      <c r="K139" s="84">
        <v>0.85528633498468398</v>
      </c>
      <c r="L139" s="84">
        <v>0.91422745078411549</v>
      </c>
      <c r="M139" s="84">
        <v>0.95732910515869241</v>
      </c>
      <c r="N139" s="84">
        <v>0.95732910515869241</v>
      </c>
      <c r="O139" s="84">
        <v>0.95849936864844443</v>
      </c>
      <c r="P139" s="84">
        <v>0.95850426243254616</v>
      </c>
      <c r="Q139" s="84">
        <v>0.96023194409341261</v>
      </c>
      <c r="T139" s="94" t="s">
        <v>1177</v>
      </c>
      <c r="U139" s="94" t="s">
        <v>106</v>
      </c>
      <c r="Z139" s="102">
        <v>95.741662253777761</v>
      </c>
      <c r="AC139" s="102">
        <v>99.132274756959021</v>
      </c>
      <c r="AD139" s="102">
        <v>99.137818433955644</v>
      </c>
      <c r="AG139" t="s">
        <v>1177</v>
      </c>
      <c r="AH139" s="84">
        <v>0.84390433454899294</v>
      </c>
      <c r="AI139" s="84">
        <v>0.85528633498468398</v>
      </c>
      <c r="AJ139" s="84">
        <v>0.91422745078411549</v>
      </c>
      <c r="AK139" s="84">
        <v>0.95732910515869241</v>
      </c>
      <c r="AL139" s="84">
        <v>0.9574166225377776</v>
      </c>
      <c r="AM139" s="84">
        <v>0.95849936864844443</v>
      </c>
      <c r="AN139" s="84">
        <v>0.95850426243254616</v>
      </c>
      <c r="AO139" s="84">
        <v>0.99132274756959016</v>
      </c>
      <c r="AP139" s="84">
        <v>0.99137818433955649</v>
      </c>
      <c r="AQ139" s="84">
        <v>0.96023194409341261</v>
      </c>
    </row>
    <row r="140" spans="6:43">
      <c r="F140">
        <v>137</v>
      </c>
      <c r="G140" t="s">
        <v>169</v>
      </c>
      <c r="H140" t="s">
        <v>106</v>
      </c>
      <c r="I140">
        <f t="shared" si="4"/>
        <v>521</v>
      </c>
      <c r="J140" s="84">
        <v>0.8888337030735507</v>
      </c>
      <c r="K140" s="84">
        <v>0.8998282994895761</v>
      </c>
      <c r="L140" s="84">
        <v>0.9587103469839261</v>
      </c>
      <c r="M140" s="84">
        <v>1.0024801656597542</v>
      </c>
      <c r="N140" s="84">
        <v>1.0024801656597542</v>
      </c>
      <c r="O140" s="84">
        <v>1.0049616639735119</v>
      </c>
      <c r="P140" s="84">
        <v>1.0049666738548892</v>
      </c>
      <c r="Q140" s="84">
        <v>1.0049767697227256</v>
      </c>
      <c r="T140" s="94" t="s">
        <v>1178</v>
      </c>
      <c r="U140" s="94" t="s">
        <v>106</v>
      </c>
      <c r="Z140" s="102">
        <v>100.25697009569288</v>
      </c>
      <c r="AC140" s="102">
        <v>102.68574023205316</v>
      </c>
      <c r="AD140" s="102">
        <v>102.6913828345748</v>
      </c>
      <c r="AG140" t="s">
        <v>1178</v>
      </c>
      <c r="AH140" s="84">
        <v>0.8888337030735507</v>
      </c>
      <c r="AI140" s="84">
        <v>0.8998282994895761</v>
      </c>
      <c r="AJ140" s="84">
        <v>0.9587103469839261</v>
      </c>
      <c r="AK140" s="84">
        <v>1.0024801656597542</v>
      </c>
      <c r="AL140" s="84">
        <v>1.0025697009569288</v>
      </c>
      <c r="AM140" s="84">
        <v>1.0049616639735119</v>
      </c>
      <c r="AN140" s="84">
        <v>1.0049666738548892</v>
      </c>
      <c r="AO140" s="84">
        <v>1.0268574023205317</v>
      </c>
      <c r="AP140" s="84">
        <v>1.026913828345748</v>
      </c>
      <c r="AQ140" s="84">
        <v>1.0049767697227256</v>
      </c>
    </row>
    <row r="141" spans="6:43">
      <c r="F141">
        <v>138</v>
      </c>
      <c r="G141" t="s">
        <v>170</v>
      </c>
      <c r="H141" t="s">
        <v>106</v>
      </c>
      <c r="I141">
        <f t="shared" si="4"/>
        <v>522</v>
      </c>
      <c r="J141" s="84">
        <v>0.96196847829043097</v>
      </c>
      <c r="K141" s="84">
        <v>0.98920233371986266</v>
      </c>
      <c r="L141" s="84">
        <v>1.0655487695875658</v>
      </c>
      <c r="M141" s="84">
        <v>1.1287664416145753</v>
      </c>
      <c r="N141" s="84">
        <v>1.1287664416145753</v>
      </c>
      <c r="O141" s="84">
        <v>1.1264379316563153</v>
      </c>
      <c r="P141" s="84">
        <v>1.1263801045424926</v>
      </c>
      <c r="Q141" s="84">
        <v>1.2119105246356701</v>
      </c>
      <c r="T141" s="94" t="s">
        <v>735</v>
      </c>
      <c r="U141" s="94" t="s">
        <v>106</v>
      </c>
      <c r="Z141" s="102">
        <v>112.87412703662159</v>
      </c>
      <c r="AC141" s="102">
        <v>119.05233928156078</v>
      </c>
      <c r="AD141" s="102">
        <v>124.27180897202578</v>
      </c>
      <c r="AG141" t="s">
        <v>735</v>
      </c>
      <c r="AH141" s="84">
        <v>0.96196847829043097</v>
      </c>
      <c r="AI141" s="84">
        <v>0.98920233371986266</v>
      </c>
      <c r="AJ141" s="84">
        <v>1.0655487695875658</v>
      </c>
      <c r="AK141" s="84">
        <v>1.1287664416145753</v>
      </c>
      <c r="AL141" s="84">
        <v>1.1287412703662159</v>
      </c>
      <c r="AM141" s="84">
        <v>1.1264379316563153</v>
      </c>
      <c r="AN141" s="84">
        <v>1.1263801045424926</v>
      </c>
      <c r="AO141" s="84">
        <v>1.1905233928156078</v>
      </c>
      <c r="AP141" s="84">
        <v>1.2427180897202579</v>
      </c>
      <c r="AQ141" s="84">
        <v>1.2119105246356701</v>
      </c>
    </row>
    <row r="142" spans="6:43">
      <c r="F142">
        <v>139</v>
      </c>
      <c r="G142" t="s">
        <v>172</v>
      </c>
      <c r="H142" t="s">
        <v>106</v>
      </c>
      <c r="I142">
        <f t="shared" si="4"/>
        <v>523</v>
      </c>
      <c r="J142" s="84">
        <v>0.85881244553601088</v>
      </c>
      <c r="K142" s="84">
        <v>0.88559127166810003</v>
      </c>
      <c r="L142" s="84">
        <v>0.96000683312879498</v>
      </c>
      <c r="M142" s="84">
        <v>1.0123076006044998</v>
      </c>
      <c r="N142" s="84">
        <v>1.0123076006044998</v>
      </c>
      <c r="O142" s="84">
        <v>1.0094420472075813</v>
      </c>
      <c r="P142" s="84">
        <v>1.0093874017216948</v>
      </c>
      <c r="Q142" s="84">
        <v>1.0953448383607483</v>
      </c>
      <c r="T142" s="94" t="s">
        <v>1179</v>
      </c>
      <c r="U142" s="94" t="s">
        <v>106</v>
      </c>
      <c r="Z142" s="102">
        <v>101.22838062951675</v>
      </c>
      <c r="AC142" s="102">
        <v>107.38511886910072</v>
      </c>
      <c r="AD142" s="102">
        <v>111.68562588396323</v>
      </c>
      <c r="AG142" t="s">
        <v>1179</v>
      </c>
      <c r="AH142" s="84">
        <v>0.85881244553601088</v>
      </c>
      <c r="AI142" s="84">
        <v>0.88559127166810003</v>
      </c>
      <c r="AJ142" s="84">
        <v>0.96000683312879498</v>
      </c>
      <c r="AK142" s="84">
        <v>1.0123076006044998</v>
      </c>
      <c r="AL142" s="84">
        <v>1.0122838062951676</v>
      </c>
      <c r="AM142" s="84">
        <v>1.0094420472075813</v>
      </c>
      <c r="AN142" s="84">
        <v>1.0093874017216948</v>
      </c>
      <c r="AO142" s="84">
        <v>1.0738511886910072</v>
      </c>
      <c r="AP142" s="84">
        <v>1.1168562588396322</v>
      </c>
      <c r="AQ142" s="84">
        <v>1.0953448383607483</v>
      </c>
    </row>
    <row r="143" spans="6:43">
      <c r="F143">
        <v>140</v>
      </c>
      <c r="G143" t="s">
        <v>173</v>
      </c>
      <c r="H143" t="s">
        <v>106</v>
      </c>
      <c r="I143">
        <f t="shared" si="4"/>
        <v>524</v>
      </c>
      <c r="J143" s="84">
        <v>0.93316494335745148</v>
      </c>
      <c r="K143" s="84">
        <v>0.96101492253482435</v>
      </c>
      <c r="L143" s="84">
        <v>1.0384071064539468</v>
      </c>
      <c r="M143" s="84">
        <v>1.09279990462868</v>
      </c>
      <c r="N143" s="84">
        <v>1.09279990462868</v>
      </c>
      <c r="O143" s="84">
        <v>1.0898197290958849</v>
      </c>
      <c r="P143" s="84">
        <v>1.0897628977905629</v>
      </c>
      <c r="Q143" s="84">
        <v>1.1791586318951783</v>
      </c>
      <c r="T143" s="94" t="s">
        <v>1180</v>
      </c>
      <c r="U143" s="94" t="s">
        <v>106</v>
      </c>
      <c r="Z143" s="102">
        <v>109.27751585469741</v>
      </c>
      <c r="AC143" s="102">
        <v>115.68052362386476</v>
      </c>
      <c r="AD143" s="102">
        <v>120.15305091932174</v>
      </c>
      <c r="AG143" t="s">
        <v>1180</v>
      </c>
      <c r="AH143" s="84">
        <v>0.93316494335745148</v>
      </c>
      <c r="AI143" s="84">
        <v>0.96101492253482435</v>
      </c>
      <c r="AJ143" s="84">
        <v>1.0384071064539468</v>
      </c>
      <c r="AK143" s="84">
        <v>1.09279990462868</v>
      </c>
      <c r="AL143" s="84">
        <v>1.092775158546974</v>
      </c>
      <c r="AM143" s="84">
        <v>1.0898197290958849</v>
      </c>
      <c r="AN143" s="84">
        <v>1.0897628977905629</v>
      </c>
      <c r="AO143" s="84">
        <v>1.1568052362386476</v>
      </c>
      <c r="AP143" s="84">
        <v>1.2015305091932174</v>
      </c>
      <c r="AQ143" s="84">
        <v>1.1791586318951783</v>
      </c>
    </row>
    <row r="144" spans="6:43">
      <c r="F144">
        <v>141</v>
      </c>
      <c r="G144" t="s">
        <v>175</v>
      </c>
      <c r="H144" t="s">
        <v>106</v>
      </c>
      <c r="I144">
        <f t="shared" si="4"/>
        <v>525</v>
      </c>
      <c r="J144" s="84">
        <v>1.0075174411788921</v>
      </c>
      <c r="K144" s="84">
        <v>1.0364385734015482</v>
      </c>
      <c r="L144" s="84">
        <v>1.1168073797790989</v>
      </c>
      <c r="M144" s="84">
        <v>1.1732922086528601</v>
      </c>
      <c r="N144" s="84">
        <v>1.1732922086528601</v>
      </c>
      <c r="O144" s="84">
        <v>1.1701974109841879</v>
      </c>
      <c r="P144" s="84">
        <v>1.1701383938594307</v>
      </c>
      <c r="Q144" s="84">
        <v>1.2629724254296082</v>
      </c>
      <c r="T144" s="94" t="s">
        <v>1180</v>
      </c>
      <c r="U144" s="94" t="s">
        <v>106</v>
      </c>
      <c r="Z144" s="102">
        <v>117.3266510798781</v>
      </c>
      <c r="AC144" s="102">
        <v>123.97592837862879</v>
      </c>
      <c r="AD144" s="102">
        <v>128.62047595468027</v>
      </c>
      <c r="AG144" t="s">
        <v>1180</v>
      </c>
      <c r="AH144" s="84">
        <v>1.0075174411788921</v>
      </c>
      <c r="AI144" s="84">
        <v>1.0364385734015482</v>
      </c>
      <c r="AJ144" s="84">
        <v>1.1168073797790989</v>
      </c>
      <c r="AK144" s="84">
        <v>1.1732922086528601</v>
      </c>
      <c r="AL144" s="84">
        <v>1.173266510798781</v>
      </c>
      <c r="AM144" s="84">
        <v>1.1701974109841879</v>
      </c>
      <c r="AN144" s="84">
        <v>1.1701383938594307</v>
      </c>
      <c r="AO144" s="84">
        <v>1.2397592837862879</v>
      </c>
      <c r="AP144" s="84">
        <v>1.2862047595468027</v>
      </c>
      <c r="AQ144" s="84">
        <v>1.2629724254296082</v>
      </c>
    </row>
    <row r="145" spans="6:43">
      <c r="F145">
        <v>142</v>
      </c>
      <c r="G145" t="s">
        <v>176</v>
      </c>
      <c r="H145" t="s">
        <v>106</v>
      </c>
      <c r="I145">
        <f t="shared" si="4"/>
        <v>526</v>
      </c>
      <c r="J145" s="84">
        <v>1.0958202935221388</v>
      </c>
      <c r="K145" s="84">
        <v>1.1436429521081153</v>
      </c>
      <c r="L145" s="84">
        <v>1.2246022066084108</v>
      </c>
      <c r="M145" s="84">
        <v>1.2949494962264374</v>
      </c>
      <c r="N145" s="84">
        <v>1.2949494962264374</v>
      </c>
      <c r="O145" s="84">
        <v>1.3359258717619777</v>
      </c>
      <c r="P145" s="84">
        <v>1.3243845409724841</v>
      </c>
      <c r="Q145" s="84">
        <v>1.3588212127414159</v>
      </c>
      <c r="T145" s="94" t="s">
        <v>1128</v>
      </c>
      <c r="U145" s="94" t="s">
        <v>106</v>
      </c>
      <c r="Z145" s="102">
        <v>128.35400703120911</v>
      </c>
      <c r="AC145" s="102">
        <v>137.02130839263526</v>
      </c>
      <c r="AD145" s="102">
        <v>135.88175960077521</v>
      </c>
      <c r="AG145" t="s">
        <v>1128</v>
      </c>
      <c r="AH145" s="84">
        <v>1.0958202935221388</v>
      </c>
      <c r="AI145" s="84">
        <v>1.1436429521081153</v>
      </c>
      <c r="AJ145" s="84">
        <v>1.2246022066084108</v>
      </c>
      <c r="AK145" s="84">
        <v>1.2949494962264374</v>
      </c>
      <c r="AL145" s="84">
        <v>1.2835400703120912</v>
      </c>
      <c r="AM145" s="84">
        <v>1.3359258717619777</v>
      </c>
      <c r="AN145" s="84">
        <v>1.3243845409724841</v>
      </c>
      <c r="AO145" s="84">
        <v>1.3702130839263527</v>
      </c>
      <c r="AP145" s="84">
        <v>1.3588175960077522</v>
      </c>
      <c r="AQ145" s="84">
        <v>1.3588212127414159</v>
      </c>
    </row>
    <row r="146" spans="6:43">
      <c r="F146">
        <v>143</v>
      </c>
      <c r="G146" t="s">
        <v>178</v>
      </c>
      <c r="H146" t="s">
        <v>106</v>
      </c>
      <c r="I146">
        <f t="shared" si="4"/>
        <v>527</v>
      </c>
      <c r="J146" s="84">
        <v>1.0182544723214291</v>
      </c>
      <c r="K146" s="84">
        <v>1.0564189666261699</v>
      </c>
      <c r="L146" s="84">
        <v>1.1392507620140357</v>
      </c>
      <c r="M146" s="84">
        <v>1.2072517683756783</v>
      </c>
      <c r="N146" s="84">
        <v>1.2072517683756783</v>
      </c>
      <c r="O146" s="84">
        <v>1.2471638578904038</v>
      </c>
      <c r="P146" s="84">
        <v>1.2352571468545099</v>
      </c>
      <c r="Q146" s="84">
        <v>1.2708259823186729</v>
      </c>
      <c r="T146" s="94" t="s">
        <v>1181</v>
      </c>
      <c r="U146" s="94" t="s">
        <v>106</v>
      </c>
      <c r="Z146" s="102">
        <v>119.6576472880175</v>
      </c>
      <c r="AC146" s="102">
        <v>128.26017066556426</v>
      </c>
      <c r="AD146" s="102">
        <v>127.08219320046028</v>
      </c>
      <c r="AG146" t="s">
        <v>1181</v>
      </c>
      <c r="AH146" s="84">
        <v>1.0182544723214291</v>
      </c>
      <c r="AI146" s="84">
        <v>1.0564189666261699</v>
      </c>
      <c r="AJ146" s="84">
        <v>1.1392507620140357</v>
      </c>
      <c r="AK146" s="84">
        <v>1.2072517683756783</v>
      </c>
      <c r="AL146" s="84">
        <v>1.1965764728801751</v>
      </c>
      <c r="AM146" s="84">
        <v>1.2471638578904038</v>
      </c>
      <c r="AN146" s="84">
        <v>1.2352571468545099</v>
      </c>
      <c r="AO146" s="84">
        <v>1.2826017066556425</v>
      </c>
      <c r="AP146" s="84">
        <v>1.2708219320046028</v>
      </c>
      <c r="AQ146" s="84">
        <v>1.2708259823186729</v>
      </c>
    </row>
    <row r="147" spans="6:43">
      <c r="F147">
        <v>144</v>
      </c>
      <c r="G147" t="s">
        <v>179</v>
      </c>
      <c r="H147" t="s">
        <v>106</v>
      </c>
      <c r="I147">
        <f t="shared" si="4"/>
        <v>528</v>
      </c>
      <c r="J147" s="84">
        <v>0.92487840470087779</v>
      </c>
      <c r="K147" s="84">
        <v>0.95971552196387799</v>
      </c>
      <c r="L147" s="84">
        <v>1.0350759229584612</v>
      </c>
      <c r="M147" s="84">
        <v>1.096952760465173</v>
      </c>
      <c r="N147" s="84">
        <v>1.096952760465173</v>
      </c>
      <c r="O147" s="84">
        <v>1.133389510133862</v>
      </c>
      <c r="P147" s="84">
        <v>1.1225629838862674</v>
      </c>
      <c r="Q147" s="84">
        <v>1.154893345311967</v>
      </c>
      <c r="T147" s="94" t="s">
        <v>1182</v>
      </c>
      <c r="U147" s="94" t="s">
        <v>106</v>
      </c>
      <c r="Z147" s="102">
        <v>108.72553734585408</v>
      </c>
      <c r="AC147" s="102">
        <v>116.55947220481471</v>
      </c>
      <c r="AD147" s="102">
        <v>115.48852400091025</v>
      </c>
      <c r="AG147" t="s">
        <v>1182</v>
      </c>
      <c r="AH147" s="84">
        <v>0.92487840470087779</v>
      </c>
      <c r="AI147" s="84">
        <v>0.95971552196387799</v>
      </c>
      <c r="AJ147" s="84">
        <v>1.0350759229584612</v>
      </c>
      <c r="AK147" s="84">
        <v>1.096952760465173</v>
      </c>
      <c r="AL147" s="84">
        <v>1.0872553734585408</v>
      </c>
      <c r="AM147" s="84">
        <v>1.133389510133862</v>
      </c>
      <c r="AN147" s="84">
        <v>1.1225629838862674</v>
      </c>
      <c r="AO147" s="84">
        <v>1.1655947220481471</v>
      </c>
      <c r="AP147" s="84">
        <v>1.1548852400091025</v>
      </c>
      <c r="AQ147" s="84">
        <v>1.154893345311967</v>
      </c>
    </row>
    <row r="148" spans="6:43">
      <c r="F148">
        <v>145</v>
      </c>
      <c r="G148" t="s">
        <v>138</v>
      </c>
      <c r="H148" t="s">
        <v>107</v>
      </c>
      <c r="I148">
        <v>600</v>
      </c>
      <c r="J148" s="84">
        <v>0.21</v>
      </c>
      <c r="K148" s="84">
        <v>0.21</v>
      </c>
      <c r="L148" s="84">
        <v>0.21</v>
      </c>
      <c r="M148" s="84">
        <v>0.21</v>
      </c>
      <c r="N148" s="84">
        <v>0.21</v>
      </c>
      <c r="O148" s="84">
        <v>0.22</v>
      </c>
      <c r="P148" s="84">
        <v>0.22</v>
      </c>
      <c r="Q148" s="84">
        <v>0.32</v>
      </c>
      <c r="T148" s="94" t="s">
        <v>138</v>
      </c>
      <c r="U148" s="94" t="s">
        <v>107</v>
      </c>
      <c r="Z148" s="91">
        <v>21</v>
      </c>
      <c r="AC148" s="91">
        <v>25</v>
      </c>
      <c r="AD148" s="91">
        <v>23</v>
      </c>
      <c r="AG148" t="s">
        <v>138</v>
      </c>
      <c r="AH148" s="84">
        <v>0.21</v>
      </c>
      <c r="AI148" s="84">
        <v>0.21</v>
      </c>
      <c r="AJ148" s="84">
        <v>0.21</v>
      </c>
      <c r="AK148" s="84">
        <v>0.21</v>
      </c>
      <c r="AL148" s="84">
        <v>0.21</v>
      </c>
      <c r="AM148" s="84">
        <v>0.22</v>
      </c>
      <c r="AN148" s="84">
        <v>0.22</v>
      </c>
      <c r="AO148" s="84">
        <v>0.25</v>
      </c>
      <c r="AP148" s="84">
        <v>0.23</v>
      </c>
      <c r="AQ148" s="84">
        <v>0.32</v>
      </c>
    </row>
    <row r="149" spans="6:43">
      <c r="F149">
        <v>146</v>
      </c>
      <c r="G149" t="s">
        <v>139</v>
      </c>
      <c r="H149" t="s">
        <v>107</v>
      </c>
      <c r="I149">
        <f>+I148+1</f>
        <v>601</v>
      </c>
      <c r="J149" s="84">
        <v>0.27</v>
      </c>
      <c r="K149" s="84">
        <v>0.27</v>
      </c>
      <c r="L149" s="84">
        <v>0.27</v>
      </c>
      <c r="M149" s="84">
        <v>0.27</v>
      </c>
      <c r="N149" s="84">
        <v>0.27</v>
      </c>
      <c r="O149" s="84">
        <v>0.28999999999999998</v>
      </c>
      <c r="P149" s="84">
        <v>0.28000000000000003</v>
      </c>
      <c r="Q149" s="84">
        <v>0.4</v>
      </c>
      <c r="T149" s="94" t="s">
        <v>139</v>
      </c>
      <c r="U149" s="94" t="s">
        <v>107</v>
      </c>
      <c r="Z149" s="91">
        <v>27</v>
      </c>
      <c r="AC149" s="91">
        <v>32</v>
      </c>
      <c r="AD149" s="91">
        <v>30</v>
      </c>
      <c r="AG149" t="s">
        <v>139</v>
      </c>
      <c r="AH149" s="84">
        <v>0.27</v>
      </c>
      <c r="AI149" s="84">
        <v>0.27</v>
      </c>
      <c r="AJ149" s="84">
        <v>0.27</v>
      </c>
      <c r="AK149" s="84">
        <v>0.27</v>
      </c>
      <c r="AL149" s="84">
        <v>0.27</v>
      </c>
      <c r="AM149" s="84">
        <v>0.28999999999999998</v>
      </c>
      <c r="AN149" s="84">
        <v>0.28000000000000003</v>
      </c>
      <c r="AO149" s="84">
        <v>0.32</v>
      </c>
      <c r="AP149" s="84">
        <v>0.3</v>
      </c>
      <c r="AQ149" s="84">
        <v>0.4</v>
      </c>
    </row>
    <row r="150" spans="6:43">
      <c r="F150">
        <v>147</v>
      </c>
      <c r="G150" t="s">
        <v>140</v>
      </c>
      <c r="H150" t="s">
        <v>107</v>
      </c>
      <c r="I150">
        <f t="shared" ref="I150:I176" si="5">+I149+1</f>
        <v>602</v>
      </c>
      <c r="J150" s="84">
        <v>0</v>
      </c>
      <c r="K150" s="84">
        <v>0</v>
      </c>
      <c r="L150" s="84">
        <v>0</v>
      </c>
      <c r="M150" s="84">
        <v>0</v>
      </c>
      <c r="N150" s="84">
        <v>0</v>
      </c>
      <c r="O150" s="84">
        <v>0</v>
      </c>
      <c r="P150" s="84">
        <v>0</v>
      </c>
      <c r="Q150" s="84">
        <v>0</v>
      </c>
      <c r="T150" s="94" t="s">
        <v>1164</v>
      </c>
      <c r="U150" s="94" t="s">
        <v>107</v>
      </c>
      <c r="V150" s="92"/>
      <c r="W150" s="92"/>
      <c r="X150" s="92"/>
      <c r="Y150" s="92"/>
      <c r="Z150" s="92"/>
      <c r="AA150" s="92"/>
      <c r="AB150" s="92"/>
      <c r="AC150" s="92"/>
      <c r="AD150" s="92"/>
      <c r="AE150" s="92"/>
      <c r="AG150" t="s">
        <v>1164</v>
      </c>
      <c r="AH150" s="84">
        <v>0</v>
      </c>
      <c r="AI150" s="84">
        <v>0</v>
      </c>
      <c r="AJ150" s="84">
        <v>0</v>
      </c>
      <c r="AK150" s="84">
        <v>0</v>
      </c>
      <c r="AL150" s="84">
        <v>0</v>
      </c>
      <c r="AM150" s="84">
        <v>0</v>
      </c>
      <c r="AN150" s="84">
        <v>0</v>
      </c>
      <c r="AO150" s="84">
        <v>0</v>
      </c>
      <c r="AP150" s="84">
        <v>0</v>
      </c>
      <c r="AQ150" s="84">
        <v>0</v>
      </c>
    </row>
    <row r="151" spans="6:43">
      <c r="F151">
        <v>148</v>
      </c>
      <c r="G151" t="s">
        <v>142</v>
      </c>
      <c r="H151" t="s">
        <v>107</v>
      </c>
      <c r="I151">
        <f t="shared" si="5"/>
        <v>603</v>
      </c>
      <c r="J151" s="84">
        <v>0.51</v>
      </c>
      <c r="K151" s="84">
        <v>0.51</v>
      </c>
      <c r="L151" s="84">
        <v>0.51</v>
      </c>
      <c r="M151" s="84">
        <v>0.53959999999999997</v>
      </c>
      <c r="N151" s="84">
        <v>0.53959999999999997</v>
      </c>
      <c r="O151" s="84">
        <v>0.55940000000000001</v>
      </c>
      <c r="P151" s="84">
        <v>0.55940000000000001</v>
      </c>
      <c r="Q151" s="84">
        <v>0.55940000000000001</v>
      </c>
      <c r="T151" s="94" t="s">
        <v>142</v>
      </c>
      <c r="U151" s="94" t="s">
        <v>107</v>
      </c>
      <c r="Z151" s="91">
        <v>53.96</v>
      </c>
      <c r="AC151" s="91">
        <v>56.96</v>
      </c>
      <c r="AD151" s="91">
        <v>59</v>
      </c>
      <c r="AG151" t="s">
        <v>142</v>
      </c>
      <c r="AH151" s="84">
        <v>0.51</v>
      </c>
      <c r="AI151" s="84">
        <v>0.51</v>
      </c>
      <c r="AJ151" s="84">
        <v>0.51</v>
      </c>
      <c r="AK151" s="84">
        <v>0.53959999999999997</v>
      </c>
      <c r="AL151" s="84">
        <v>0.53959999999999997</v>
      </c>
      <c r="AM151" s="84">
        <v>0.55940000000000001</v>
      </c>
      <c r="AN151" s="84">
        <v>0.55940000000000001</v>
      </c>
      <c r="AO151" s="84">
        <v>0.5696</v>
      </c>
      <c r="AP151" s="84">
        <v>0.59</v>
      </c>
      <c r="AQ151" s="84">
        <v>0.55940000000000001</v>
      </c>
    </row>
    <row r="152" spans="6:43">
      <c r="F152">
        <v>149</v>
      </c>
      <c r="G152" t="s">
        <v>143</v>
      </c>
      <c r="H152" t="s">
        <v>107</v>
      </c>
      <c r="I152">
        <f t="shared" si="5"/>
        <v>604</v>
      </c>
      <c r="J152" s="84">
        <v>0.75349999999999995</v>
      </c>
      <c r="K152" s="84">
        <v>0.75349999999999995</v>
      </c>
      <c r="L152" s="84">
        <v>0.75349999999999995</v>
      </c>
      <c r="M152" s="84">
        <v>0.78790000000000004</v>
      </c>
      <c r="N152" s="84">
        <v>0.78790000000000004</v>
      </c>
      <c r="O152" s="84">
        <v>0.80859999999999999</v>
      </c>
      <c r="P152" s="84">
        <v>0.80859999999999999</v>
      </c>
      <c r="Q152" s="84">
        <v>0.81930000000000003</v>
      </c>
      <c r="T152" s="94" t="s">
        <v>1165</v>
      </c>
      <c r="U152" s="94" t="s">
        <v>107</v>
      </c>
      <c r="Z152" s="91">
        <v>78.790000000000006</v>
      </c>
      <c r="AC152" s="91">
        <v>83</v>
      </c>
      <c r="AD152" s="91">
        <v>85.14</v>
      </c>
      <c r="AG152" t="s">
        <v>1165</v>
      </c>
      <c r="AH152" s="84">
        <v>0.75349999999999995</v>
      </c>
      <c r="AI152" s="84">
        <v>0.75349999999999995</v>
      </c>
      <c r="AJ152" s="84">
        <v>0.75349999999999995</v>
      </c>
      <c r="AK152" s="84">
        <v>0.78790000000000004</v>
      </c>
      <c r="AL152" s="84">
        <v>0.78790000000000004</v>
      </c>
      <c r="AM152" s="84">
        <v>0.80859999999999999</v>
      </c>
      <c r="AN152" s="84">
        <v>0.80859999999999999</v>
      </c>
      <c r="AO152" s="84">
        <v>0.83</v>
      </c>
      <c r="AP152" s="84">
        <v>0.85140000000000005</v>
      </c>
      <c r="AQ152" s="84">
        <v>0.81930000000000003</v>
      </c>
    </row>
    <row r="153" spans="6:43">
      <c r="F153">
        <v>150</v>
      </c>
      <c r="G153" t="s">
        <v>145</v>
      </c>
      <c r="H153" t="s">
        <v>107</v>
      </c>
      <c r="I153">
        <f t="shared" si="5"/>
        <v>605</v>
      </c>
      <c r="J153" s="84"/>
      <c r="K153" s="84"/>
      <c r="L153" s="84"/>
      <c r="M153" s="84"/>
      <c r="N153" s="84"/>
      <c r="O153" s="84"/>
      <c r="P153" s="84"/>
      <c r="Q153" s="84"/>
      <c r="T153" s="94"/>
      <c r="U153" s="94"/>
      <c r="Z153" s="91"/>
      <c r="AC153" s="91"/>
      <c r="AD153" s="91"/>
      <c r="AH153" s="84"/>
      <c r="AI153" s="84"/>
      <c r="AJ153" s="84"/>
      <c r="AK153" s="84"/>
      <c r="AL153" s="84"/>
      <c r="AM153" s="84"/>
      <c r="AN153" s="84"/>
      <c r="AO153" s="84"/>
      <c r="AP153" s="84"/>
      <c r="AQ153" s="84"/>
    </row>
    <row r="154" spans="6:43">
      <c r="F154">
        <v>151</v>
      </c>
      <c r="G154" t="s">
        <v>146</v>
      </c>
      <c r="H154" t="s">
        <v>107</v>
      </c>
      <c r="I154">
        <f t="shared" si="5"/>
        <v>606</v>
      </c>
      <c r="J154" s="84">
        <v>0.91099999999999992</v>
      </c>
      <c r="K154" s="84">
        <v>0.91099999999999992</v>
      </c>
      <c r="L154" s="84">
        <v>0.91099999999999992</v>
      </c>
      <c r="M154" s="84">
        <v>0.9484999999999999</v>
      </c>
      <c r="N154" s="84">
        <v>0.9484999999999999</v>
      </c>
      <c r="O154" s="84">
        <v>0.96909999999999996</v>
      </c>
      <c r="P154" s="84">
        <v>0.96920000000000006</v>
      </c>
      <c r="Q154" s="84">
        <v>0.96909999999999996</v>
      </c>
      <c r="T154" s="94" t="s">
        <v>1126</v>
      </c>
      <c r="U154" s="94" t="s">
        <v>107</v>
      </c>
      <c r="Z154" s="91">
        <v>94.85</v>
      </c>
      <c r="AC154" s="91">
        <v>99.05</v>
      </c>
      <c r="AD154" s="91">
        <v>100.13</v>
      </c>
      <c r="AG154" t="s">
        <v>1126</v>
      </c>
      <c r="AH154" s="84">
        <v>0.91099999999999992</v>
      </c>
      <c r="AI154" s="84">
        <v>0.91099999999999992</v>
      </c>
      <c r="AJ154" s="84">
        <v>0.91099999999999992</v>
      </c>
      <c r="AK154" s="84">
        <v>0.9484999999999999</v>
      </c>
      <c r="AL154" s="84">
        <v>0.9484999999999999</v>
      </c>
      <c r="AM154" s="84">
        <v>0.96909999999999996</v>
      </c>
      <c r="AN154" s="84">
        <v>0.96920000000000006</v>
      </c>
      <c r="AO154" s="84">
        <v>0.99049999999999994</v>
      </c>
      <c r="AP154" s="84">
        <v>1.0012999999999999</v>
      </c>
      <c r="AQ154" s="84">
        <v>0.96909999999999996</v>
      </c>
    </row>
    <row r="155" spans="6:43">
      <c r="F155">
        <v>152</v>
      </c>
      <c r="G155" t="s">
        <v>148</v>
      </c>
      <c r="H155" t="s">
        <v>107</v>
      </c>
      <c r="I155">
        <f t="shared" si="5"/>
        <v>607</v>
      </c>
      <c r="J155" s="84">
        <v>1.0265</v>
      </c>
      <c r="K155" s="84">
        <v>1.0265</v>
      </c>
      <c r="L155" s="84">
        <v>1.0265</v>
      </c>
      <c r="M155" s="84">
        <v>1.0662</v>
      </c>
      <c r="N155" s="84">
        <v>1.0662</v>
      </c>
      <c r="O155" s="84">
        <v>1.0976000000000001</v>
      </c>
      <c r="P155" s="84">
        <v>1.0976000000000001</v>
      </c>
      <c r="Q155" s="84">
        <v>1.0976000000000001</v>
      </c>
      <c r="T155" s="94" t="s">
        <v>1166</v>
      </c>
      <c r="U155" s="94" t="s">
        <v>107</v>
      </c>
      <c r="Z155" s="91">
        <v>106.62</v>
      </c>
      <c r="AC155" s="91">
        <v>110.82</v>
      </c>
      <c r="AD155" s="91">
        <v>112.97</v>
      </c>
      <c r="AG155" t="s">
        <v>1166</v>
      </c>
      <c r="AH155" s="84">
        <v>1.0265</v>
      </c>
      <c r="AI155" s="84">
        <v>1.0265</v>
      </c>
      <c r="AJ155" s="84">
        <v>1.0265</v>
      </c>
      <c r="AK155" s="84">
        <v>1.0662</v>
      </c>
      <c r="AL155" s="84">
        <v>1.0662</v>
      </c>
      <c r="AM155" s="84">
        <v>1.0976000000000001</v>
      </c>
      <c r="AN155" s="84">
        <v>1.0976000000000001</v>
      </c>
      <c r="AO155" s="84">
        <v>1.1081999999999999</v>
      </c>
      <c r="AP155" s="84">
        <v>1.1296999999999999</v>
      </c>
      <c r="AQ155" s="84">
        <v>1.0976000000000001</v>
      </c>
    </row>
    <row r="156" spans="6:43">
      <c r="F156">
        <v>153</v>
      </c>
      <c r="G156" t="s">
        <v>149</v>
      </c>
      <c r="H156" t="s">
        <v>107</v>
      </c>
      <c r="I156">
        <f t="shared" si="5"/>
        <v>608</v>
      </c>
      <c r="J156" s="84">
        <v>1.0569</v>
      </c>
      <c r="K156" s="84">
        <v>1.0569</v>
      </c>
      <c r="L156" s="84">
        <v>1.0569</v>
      </c>
      <c r="M156" s="84">
        <v>1.0972</v>
      </c>
      <c r="N156" s="84">
        <v>1.0972</v>
      </c>
      <c r="O156" s="84">
        <v>1.129</v>
      </c>
      <c r="P156" s="84">
        <v>1.1291</v>
      </c>
      <c r="Q156" s="84">
        <v>1.129</v>
      </c>
      <c r="T156" s="94" t="s">
        <v>1167</v>
      </c>
      <c r="U156" s="94" t="s">
        <v>107</v>
      </c>
      <c r="Z156" s="91">
        <v>109.72</v>
      </c>
      <c r="AC156" s="91">
        <v>113.99</v>
      </c>
      <c r="AD156" s="91">
        <v>116.17</v>
      </c>
      <c r="AG156" t="s">
        <v>1167</v>
      </c>
      <c r="AH156" s="84">
        <v>1.0569</v>
      </c>
      <c r="AI156" s="84">
        <v>1.0569</v>
      </c>
      <c r="AJ156" s="84">
        <v>1.0569</v>
      </c>
      <c r="AK156" s="84">
        <v>1.0972</v>
      </c>
      <c r="AL156" s="84">
        <v>1.0972</v>
      </c>
      <c r="AM156" s="84">
        <v>1.129</v>
      </c>
      <c r="AN156" s="84">
        <v>1.1291</v>
      </c>
      <c r="AO156" s="84">
        <v>1.1398999999999999</v>
      </c>
      <c r="AP156" s="84">
        <v>1.1617</v>
      </c>
      <c r="AQ156" s="84">
        <v>1.129</v>
      </c>
    </row>
    <row r="157" spans="6:43">
      <c r="F157">
        <v>154</v>
      </c>
      <c r="G157" t="s">
        <v>151</v>
      </c>
      <c r="H157" t="s">
        <v>107</v>
      </c>
      <c r="I157">
        <f t="shared" si="5"/>
        <v>609</v>
      </c>
      <c r="J157" s="84">
        <v>1.1105</v>
      </c>
      <c r="K157" s="84">
        <v>1.1105</v>
      </c>
      <c r="L157" s="84">
        <v>1.1105</v>
      </c>
      <c r="M157" s="84">
        <v>1.1518999999999999</v>
      </c>
      <c r="N157" s="84">
        <v>1.1518999999999999</v>
      </c>
      <c r="O157" s="84">
        <v>1.1725000000000001</v>
      </c>
      <c r="P157" s="84">
        <v>1.1725000000000001</v>
      </c>
      <c r="Q157" s="84">
        <v>1.1725000000000001</v>
      </c>
      <c r="T157" s="94" t="s">
        <v>1168</v>
      </c>
      <c r="U157" s="94" t="s">
        <v>107</v>
      </c>
      <c r="Z157" s="91">
        <v>115.19</v>
      </c>
      <c r="AC157" s="91">
        <v>119.39</v>
      </c>
      <c r="AD157" s="91">
        <v>121.53</v>
      </c>
      <c r="AG157" t="s">
        <v>1168</v>
      </c>
      <c r="AH157" s="84">
        <v>1.1105</v>
      </c>
      <c r="AI157" s="84">
        <v>1.1105</v>
      </c>
      <c r="AJ157" s="84">
        <v>1.1105</v>
      </c>
      <c r="AK157" s="84">
        <v>1.1518999999999999</v>
      </c>
      <c r="AL157" s="84">
        <v>1.1518999999999999</v>
      </c>
      <c r="AM157" s="84">
        <v>1.1725000000000001</v>
      </c>
      <c r="AN157" s="84">
        <v>1.1725000000000001</v>
      </c>
      <c r="AO157" s="84">
        <v>1.1939</v>
      </c>
      <c r="AP157" s="84">
        <v>1.2153</v>
      </c>
      <c r="AQ157" s="84">
        <v>1.1725000000000001</v>
      </c>
    </row>
    <row r="158" spans="6:43">
      <c r="F158">
        <v>155</v>
      </c>
      <c r="G158" t="s">
        <v>152</v>
      </c>
      <c r="H158" t="s">
        <v>107</v>
      </c>
      <c r="I158">
        <f t="shared" si="5"/>
        <v>610</v>
      </c>
      <c r="J158" s="84">
        <v>1.1948999999999999</v>
      </c>
      <c r="K158" s="84">
        <v>1.1948999999999999</v>
      </c>
      <c r="L158" s="84">
        <v>1.1948999999999999</v>
      </c>
      <c r="M158" s="84">
        <v>1.238</v>
      </c>
      <c r="N158" s="84">
        <v>1.238</v>
      </c>
      <c r="O158" s="84">
        <v>1.2594000000000001</v>
      </c>
      <c r="P158" s="84">
        <v>1.2594000000000001</v>
      </c>
      <c r="Q158" s="84">
        <v>1.2594000000000001</v>
      </c>
      <c r="T158" s="94" t="s">
        <v>1169</v>
      </c>
      <c r="U158" s="94" t="s">
        <v>107</v>
      </c>
      <c r="Z158" s="91">
        <v>123.8</v>
      </c>
      <c r="AC158" s="91">
        <v>128.16</v>
      </c>
      <c r="AD158" s="91">
        <v>130.4</v>
      </c>
      <c r="AG158" t="s">
        <v>1169</v>
      </c>
      <c r="AH158" s="84">
        <v>1.1948999999999999</v>
      </c>
      <c r="AI158" s="84">
        <v>1.1948999999999999</v>
      </c>
      <c r="AJ158" s="84">
        <v>1.1948999999999999</v>
      </c>
      <c r="AK158" s="84">
        <v>1.238</v>
      </c>
      <c r="AL158" s="84">
        <v>1.238</v>
      </c>
      <c r="AM158" s="84">
        <v>1.2594000000000001</v>
      </c>
      <c r="AN158" s="84">
        <v>1.2594000000000001</v>
      </c>
      <c r="AO158" s="84">
        <v>1.2816000000000001</v>
      </c>
      <c r="AP158" s="84">
        <v>1.304</v>
      </c>
      <c r="AQ158" s="84">
        <v>1.2594000000000001</v>
      </c>
    </row>
    <row r="159" spans="6:43">
      <c r="F159">
        <v>156</v>
      </c>
      <c r="G159" t="s">
        <v>154</v>
      </c>
      <c r="H159" t="s">
        <v>107</v>
      </c>
      <c r="I159">
        <f t="shared" si="5"/>
        <v>611</v>
      </c>
      <c r="J159" s="84">
        <v>1.0563</v>
      </c>
      <c r="K159" s="84">
        <v>1.0456000000000001</v>
      </c>
      <c r="L159" s="84">
        <v>1.0348999999999999</v>
      </c>
      <c r="M159" s="84">
        <v>1.0639000000000001</v>
      </c>
      <c r="N159" s="84">
        <v>1.0639000000000001</v>
      </c>
      <c r="O159" s="84">
        <v>1.1176999999999999</v>
      </c>
      <c r="P159" s="84">
        <v>1.1176999999999999</v>
      </c>
      <c r="Q159" s="84">
        <v>1.1395999999999999</v>
      </c>
      <c r="T159" s="94" t="s">
        <v>733</v>
      </c>
      <c r="U159" s="94" t="s">
        <v>107</v>
      </c>
      <c r="Z159" s="91">
        <v>106.39</v>
      </c>
      <c r="AC159" s="91">
        <v>117.23</v>
      </c>
      <c r="AD159" s="91">
        <v>116.13</v>
      </c>
      <c r="AG159" t="s">
        <v>733</v>
      </c>
      <c r="AH159" s="84">
        <v>1.0563</v>
      </c>
      <c r="AI159" s="84">
        <v>1.0456000000000001</v>
      </c>
      <c r="AJ159" s="84">
        <v>1.0348999999999999</v>
      </c>
      <c r="AK159" s="84">
        <v>1.0639000000000001</v>
      </c>
      <c r="AL159" s="84">
        <v>1.0639000000000001</v>
      </c>
      <c r="AM159" s="84">
        <v>1.1176999999999999</v>
      </c>
      <c r="AN159" s="84">
        <v>1.1176999999999999</v>
      </c>
      <c r="AO159" s="84">
        <v>1.1723000000000001</v>
      </c>
      <c r="AP159" s="84">
        <v>1.1613</v>
      </c>
      <c r="AQ159" s="84">
        <v>1.1395999999999999</v>
      </c>
    </row>
    <row r="160" spans="6:43">
      <c r="F160">
        <v>157</v>
      </c>
      <c r="G160" t="s">
        <v>155</v>
      </c>
      <c r="H160" t="s">
        <v>107</v>
      </c>
      <c r="I160">
        <f t="shared" si="5"/>
        <v>612</v>
      </c>
      <c r="J160" s="84">
        <v>1.0669999999999999</v>
      </c>
      <c r="K160" s="84">
        <v>1.0669999999999999</v>
      </c>
      <c r="L160" s="84">
        <v>1.0669999999999999</v>
      </c>
      <c r="M160" s="84">
        <v>1.1076000000000001</v>
      </c>
      <c r="N160" s="84">
        <v>1.1076000000000001</v>
      </c>
      <c r="O160" s="84">
        <v>1.1176999999999999</v>
      </c>
      <c r="P160" s="84">
        <v>1.1176999999999999</v>
      </c>
      <c r="Q160" s="84">
        <v>1.1395999999999999</v>
      </c>
      <c r="T160" s="94" t="s">
        <v>1170</v>
      </c>
      <c r="U160" s="94" t="s">
        <v>107</v>
      </c>
      <c r="Z160" s="91">
        <v>110.76</v>
      </c>
      <c r="AC160" s="91">
        <v>117.23</v>
      </c>
      <c r="AD160" s="91">
        <v>117.22</v>
      </c>
      <c r="AG160" t="s">
        <v>1170</v>
      </c>
      <c r="AH160" s="84">
        <v>1.0669999999999999</v>
      </c>
      <c r="AI160" s="84">
        <v>1.0669999999999999</v>
      </c>
      <c r="AJ160" s="84">
        <v>1.0669999999999999</v>
      </c>
      <c r="AK160" s="84">
        <v>1.1076000000000001</v>
      </c>
      <c r="AL160" s="84">
        <v>1.1076000000000001</v>
      </c>
      <c r="AM160" s="84">
        <v>1.1176999999999999</v>
      </c>
      <c r="AN160" s="84">
        <v>1.1176999999999999</v>
      </c>
      <c r="AO160" s="84">
        <v>1.1723000000000001</v>
      </c>
      <c r="AP160" s="84">
        <v>1.1721999999999999</v>
      </c>
      <c r="AQ160" s="84">
        <v>1.1395999999999999</v>
      </c>
    </row>
    <row r="161" spans="6:43">
      <c r="F161">
        <v>158</v>
      </c>
      <c r="G161" t="s">
        <v>157</v>
      </c>
      <c r="H161" t="s">
        <v>107</v>
      </c>
      <c r="I161">
        <f t="shared" si="5"/>
        <v>613</v>
      </c>
      <c r="J161" s="84">
        <v>1.0563</v>
      </c>
      <c r="K161" s="84">
        <v>1.0563</v>
      </c>
      <c r="L161" s="84">
        <v>1.0563</v>
      </c>
      <c r="M161" s="84">
        <v>1.0967</v>
      </c>
      <c r="N161" s="84">
        <v>1.0967</v>
      </c>
      <c r="O161" s="84">
        <v>1.0959000000000001</v>
      </c>
      <c r="P161" s="84">
        <v>1.0959000000000001</v>
      </c>
      <c r="Q161" s="84">
        <v>1.1176999999999999</v>
      </c>
      <c r="T161" s="94" t="s">
        <v>1171</v>
      </c>
      <c r="U161" s="94" t="s">
        <v>107</v>
      </c>
      <c r="Z161" s="91">
        <v>109.67</v>
      </c>
      <c r="AC161" s="91">
        <v>116.14</v>
      </c>
      <c r="AD161" s="91">
        <v>115.04</v>
      </c>
      <c r="AG161" t="s">
        <v>1171</v>
      </c>
      <c r="AH161" s="84">
        <v>1.0563</v>
      </c>
      <c r="AI161" s="84">
        <v>1.0563</v>
      </c>
      <c r="AJ161" s="84">
        <v>1.0563</v>
      </c>
      <c r="AK161" s="84">
        <v>1.0967</v>
      </c>
      <c r="AL161" s="84">
        <v>1.0967</v>
      </c>
      <c r="AM161" s="84">
        <v>1.0959000000000001</v>
      </c>
      <c r="AN161" s="84">
        <v>1.0959000000000001</v>
      </c>
      <c r="AO161" s="84">
        <v>1.1614</v>
      </c>
      <c r="AP161" s="84">
        <v>1.1504000000000001</v>
      </c>
      <c r="AQ161" s="84">
        <v>1.1176999999999999</v>
      </c>
    </row>
    <row r="162" spans="6:43">
      <c r="F162">
        <v>159</v>
      </c>
      <c r="G162" t="s">
        <v>158</v>
      </c>
      <c r="H162" t="s">
        <v>107</v>
      </c>
      <c r="I162">
        <f t="shared" si="5"/>
        <v>614</v>
      </c>
      <c r="J162" s="84">
        <v>1.0563</v>
      </c>
      <c r="K162" s="84">
        <v>1.0563</v>
      </c>
      <c r="L162" s="84">
        <v>1.0563</v>
      </c>
      <c r="M162" s="84">
        <v>1.0967</v>
      </c>
      <c r="N162" s="84">
        <v>1.0967</v>
      </c>
      <c r="O162" s="84">
        <v>1.1068</v>
      </c>
      <c r="P162" s="84">
        <v>1.1068</v>
      </c>
      <c r="Q162" s="84">
        <v>1.1287</v>
      </c>
      <c r="T162" s="94" t="s">
        <v>1172</v>
      </c>
      <c r="U162" s="94" t="s">
        <v>107</v>
      </c>
      <c r="Z162" s="91">
        <v>109.67</v>
      </c>
      <c r="AC162" s="91">
        <v>116.14</v>
      </c>
      <c r="AD162" s="91">
        <v>116.13</v>
      </c>
      <c r="AG162" t="s">
        <v>1172</v>
      </c>
      <c r="AH162" s="84">
        <v>1.0563</v>
      </c>
      <c r="AI162" s="84">
        <v>1.0563</v>
      </c>
      <c r="AJ162" s="84">
        <v>1.0563</v>
      </c>
      <c r="AK162" s="84">
        <v>1.0967</v>
      </c>
      <c r="AL162" s="84">
        <v>1.0967</v>
      </c>
      <c r="AM162" s="84">
        <v>1.1068</v>
      </c>
      <c r="AN162" s="84">
        <v>1.1068</v>
      </c>
      <c r="AO162" s="84">
        <v>1.1614</v>
      </c>
      <c r="AP162" s="84">
        <v>1.1613</v>
      </c>
      <c r="AQ162" s="84">
        <v>1.1287</v>
      </c>
    </row>
    <row r="163" spans="6:43">
      <c r="F163">
        <v>160</v>
      </c>
      <c r="G163" t="s">
        <v>160</v>
      </c>
      <c r="H163" t="s">
        <v>107</v>
      </c>
      <c r="I163">
        <f t="shared" si="5"/>
        <v>615</v>
      </c>
      <c r="J163" s="84">
        <v>1</v>
      </c>
      <c r="K163" s="84">
        <v>1</v>
      </c>
      <c r="L163" s="84">
        <v>1</v>
      </c>
      <c r="M163" s="84">
        <v>1.0393000000000001</v>
      </c>
      <c r="N163" s="84">
        <v>1.0393000000000001</v>
      </c>
      <c r="O163" s="84">
        <v>1.0487</v>
      </c>
      <c r="P163" s="84">
        <v>1.0487</v>
      </c>
      <c r="Q163" s="84">
        <v>1.0690999999999999</v>
      </c>
      <c r="T163" s="94" t="s">
        <v>1173</v>
      </c>
      <c r="U163" s="94" t="s">
        <v>107</v>
      </c>
      <c r="Z163" s="91">
        <v>103.93</v>
      </c>
      <c r="AC163" s="91">
        <v>109.97</v>
      </c>
      <c r="AD163" s="91">
        <v>109.96</v>
      </c>
      <c r="AG163" t="s">
        <v>1173</v>
      </c>
      <c r="AH163" s="84">
        <v>1</v>
      </c>
      <c r="AI163" s="84">
        <v>1</v>
      </c>
      <c r="AJ163" s="84">
        <v>1</v>
      </c>
      <c r="AK163" s="84">
        <v>1.0393000000000001</v>
      </c>
      <c r="AL163" s="84">
        <v>1.0393000000000001</v>
      </c>
      <c r="AM163" s="84">
        <v>1.0487</v>
      </c>
      <c r="AN163" s="84">
        <v>1.0487</v>
      </c>
      <c r="AO163" s="84">
        <v>1.0996999999999999</v>
      </c>
      <c r="AP163" s="84">
        <v>1.0995999999999999</v>
      </c>
      <c r="AQ163" s="84">
        <v>1.0690999999999999</v>
      </c>
    </row>
    <row r="164" spans="6:43">
      <c r="F164">
        <v>161</v>
      </c>
      <c r="G164" t="s">
        <v>161</v>
      </c>
      <c r="H164" t="s">
        <v>107</v>
      </c>
      <c r="I164">
        <f t="shared" si="5"/>
        <v>616</v>
      </c>
      <c r="J164" s="84">
        <v>0.93</v>
      </c>
      <c r="K164" s="84">
        <v>0.96</v>
      </c>
      <c r="L164" s="84">
        <v>0.99</v>
      </c>
      <c r="M164" s="84">
        <v>1.0392000000000001</v>
      </c>
      <c r="N164" s="84">
        <v>1.0392000000000001</v>
      </c>
      <c r="O164" s="84">
        <v>1.0487</v>
      </c>
      <c r="P164" s="84">
        <v>1.0487</v>
      </c>
      <c r="Q164" s="84">
        <v>1.0893999999999999</v>
      </c>
      <c r="T164" s="94" t="s">
        <v>734</v>
      </c>
      <c r="U164" s="94" t="s">
        <v>107</v>
      </c>
      <c r="Z164" s="91">
        <v>103.93</v>
      </c>
      <c r="AC164" s="91">
        <v>112</v>
      </c>
      <c r="AD164" s="91">
        <v>112</v>
      </c>
      <c r="AG164" t="s">
        <v>734</v>
      </c>
      <c r="AH164" s="84">
        <v>0.93</v>
      </c>
      <c r="AI164" s="84">
        <v>0.96</v>
      </c>
      <c r="AJ164" s="84">
        <v>0.99</v>
      </c>
      <c r="AK164" s="84">
        <v>1.0392000000000001</v>
      </c>
      <c r="AL164" s="84">
        <v>1.0393000000000001</v>
      </c>
      <c r="AM164" s="84">
        <v>1.0487</v>
      </c>
      <c r="AN164" s="84">
        <v>1.0487</v>
      </c>
      <c r="AO164" s="84">
        <v>1.1200000000000001</v>
      </c>
      <c r="AP164" s="84">
        <v>1.1200000000000001</v>
      </c>
      <c r="AQ164" s="84">
        <v>1.0893999999999999</v>
      </c>
    </row>
    <row r="165" spans="6:43">
      <c r="F165">
        <v>162</v>
      </c>
      <c r="G165" t="s">
        <v>163</v>
      </c>
      <c r="H165" t="s">
        <v>107</v>
      </c>
      <c r="I165">
        <f t="shared" si="5"/>
        <v>617</v>
      </c>
      <c r="J165" s="84">
        <v>1.0055000000000001</v>
      </c>
      <c r="K165" s="84">
        <v>1.0369999999999999</v>
      </c>
      <c r="L165" s="84">
        <v>1.0580000000000001</v>
      </c>
      <c r="M165" s="84">
        <v>1.1196999999999999</v>
      </c>
      <c r="N165" s="84">
        <v>1.1196999999999999</v>
      </c>
      <c r="O165" s="84">
        <v>1.1296999999999999</v>
      </c>
      <c r="P165" s="84">
        <v>1.1296999999999999</v>
      </c>
      <c r="Q165" s="84">
        <v>1.1725000000000001</v>
      </c>
      <c r="T165" s="94" t="s">
        <v>1174</v>
      </c>
      <c r="U165" s="94" t="s">
        <v>107</v>
      </c>
      <c r="Z165" s="91">
        <v>111.98</v>
      </c>
      <c r="AC165" s="91">
        <v>119.39</v>
      </c>
      <c r="AD165" s="91">
        <v>119.39</v>
      </c>
      <c r="AG165" t="s">
        <v>1174</v>
      </c>
      <c r="AH165" s="84">
        <v>1.0055000000000001</v>
      </c>
      <c r="AI165" s="84">
        <v>1.0369999999999999</v>
      </c>
      <c r="AJ165" s="84">
        <v>1.0580000000000001</v>
      </c>
      <c r="AK165" s="84">
        <v>1.1196999999999999</v>
      </c>
      <c r="AL165" s="84">
        <v>1.1198000000000001</v>
      </c>
      <c r="AM165" s="84">
        <v>1.1296999999999999</v>
      </c>
      <c r="AN165" s="84">
        <v>1.1296999999999999</v>
      </c>
      <c r="AO165" s="84">
        <v>1.1939</v>
      </c>
      <c r="AP165" s="84">
        <v>1.1939</v>
      </c>
      <c r="AQ165" s="84">
        <v>1.1725000000000001</v>
      </c>
    </row>
    <row r="166" spans="6:43">
      <c r="F166">
        <v>163</v>
      </c>
      <c r="G166" t="s">
        <v>164</v>
      </c>
      <c r="H166" t="s">
        <v>107</v>
      </c>
      <c r="I166">
        <f t="shared" si="5"/>
        <v>618</v>
      </c>
      <c r="J166" s="84">
        <v>0.9215000000000001</v>
      </c>
      <c r="K166" s="84">
        <v>0.95299999999999996</v>
      </c>
      <c r="L166" s="84">
        <v>0.98450000000000004</v>
      </c>
      <c r="M166" s="84">
        <v>1.0341</v>
      </c>
      <c r="N166" s="84">
        <v>1.0341</v>
      </c>
      <c r="O166" s="84">
        <v>1.0441</v>
      </c>
      <c r="P166" s="84">
        <v>1.0441</v>
      </c>
      <c r="Q166" s="84">
        <v>1.0869</v>
      </c>
      <c r="T166" s="94" t="s">
        <v>1175</v>
      </c>
      <c r="U166" s="94" t="s">
        <v>107</v>
      </c>
      <c r="Z166" s="91">
        <v>103.42</v>
      </c>
      <c r="AC166" s="91">
        <v>110.82</v>
      </c>
      <c r="AD166" s="91">
        <v>110.83</v>
      </c>
      <c r="AG166" t="s">
        <v>1175</v>
      </c>
      <c r="AH166" s="84">
        <v>0.9215000000000001</v>
      </c>
      <c r="AI166" s="84">
        <v>0.95299999999999996</v>
      </c>
      <c r="AJ166" s="84">
        <v>0.98450000000000004</v>
      </c>
      <c r="AK166" s="84">
        <v>1.0341</v>
      </c>
      <c r="AL166" s="84">
        <v>1.0342</v>
      </c>
      <c r="AM166" s="84">
        <v>1.0441</v>
      </c>
      <c r="AN166" s="84">
        <v>1.0441</v>
      </c>
      <c r="AO166" s="84">
        <v>1.1081999999999999</v>
      </c>
      <c r="AP166" s="84">
        <v>1.1083000000000001</v>
      </c>
      <c r="AQ166" s="84">
        <v>1.0869</v>
      </c>
    </row>
    <row r="167" spans="6:43">
      <c r="F167">
        <v>164</v>
      </c>
      <c r="G167" t="s">
        <v>166</v>
      </c>
      <c r="H167" t="s">
        <v>107</v>
      </c>
      <c r="I167">
        <f t="shared" si="5"/>
        <v>619</v>
      </c>
      <c r="J167" s="84">
        <v>0.89829999999999999</v>
      </c>
      <c r="K167" s="84">
        <v>0.89829999999999999</v>
      </c>
      <c r="L167" s="84">
        <v>0.95129999999999992</v>
      </c>
      <c r="M167" s="84">
        <v>0.98950000000000005</v>
      </c>
      <c r="N167" s="84">
        <v>0.98950000000000005</v>
      </c>
      <c r="O167" s="84">
        <v>0.97799999999999998</v>
      </c>
      <c r="P167" s="84">
        <v>0.97809999999999997</v>
      </c>
      <c r="Q167" s="84">
        <v>1.0212999999999999</v>
      </c>
      <c r="T167" s="94" t="s">
        <v>1176</v>
      </c>
      <c r="U167" s="94" t="s">
        <v>107</v>
      </c>
      <c r="Z167" s="91">
        <v>98.96</v>
      </c>
      <c r="AC167" s="91">
        <v>104.29</v>
      </c>
      <c r="AD167" s="91">
        <v>104.29</v>
      </c>
      <c r="AG167" t="s">
        <v>1176</v>
      </c>
      <c r="AH167" s="84">
        <v>0.89829999999999999</v>
      </c>
      <c r="AI167" s="84">
        <v>0.89829999999999999</v>
      </c>
      <c r="AJ167" s="84">
        <v>0.95129999999999992</v>
      </c>
      <c r="AK167" s="84">
        <v>0.98950000000000005</v>
      </c>
      <c r="AL167" s="84">
        <v>0.98959999999999992</v>
      </c>
      <c r="AM167" s="84">
        <v>0.97799999999999998</v>
      </c>
      <c r="AN167" s="84">
        <v>0.97809999999999997</v>
      </c>
      <c r="AO167" s="84">
        <v>1.0429000000000002</v>
      </c>
      <c r="AP167" s="84">
        <v>1.0429000000000002</v>
      </c>
      <c r="AQ167" s="84">
        <v>1.0212999999999999</v>
      </c>
    </row>
    <row r="168" spans="6:43">
      <c r="F168">
        <v>165</v>
      </c>
      <c r="G168" t="s">
        <v>167</v>
      </c>
      <c r="H168" t="s">
        <v>107</v>
      </c>
      <c r="I168">
        <f t="shared" si="5"/>
        <v>620</v>
      </c>
      <c r="J168" s="84">
        <v>0.90379999999999994</v>
      </c>
      <c r="K168" s="84">
        <v>0.90379999999999994</v>
      </c>
      <c r="L168" s="84">
        <v>0.95790000000000008</v>
      </c>
      <c r="M168" s="84">
        <v>0.99620000000000009</v>
      </c>
      <c r="N168" s="84">
        <v>0.99620000000000009</v>
      </c>
      <c r="O168" s="84">
        <v>0.98450000000000004</v>
      </c>
      <c r="P168" s="84">
        <v>0.98450000000000004</v>
      </c>
      <c r="Q168" s="84">
        <v>0.98450000000000004</v>
      </c>
      <c r="T168" s="94" t="s">
        <v>1177</v>
      </c>
      <c r="U168" s="94" t="s">
        <v>107</v>
      </c>
      <c r="Z168" s="91">
        <v>99.63</v>
      </c>
      <c r="AC168" s="91">
        <v>101.76</v>
      </c>
      <c r="AD168" s="91">
        <v>101.76</v>
      </c>
      <c r="AG168" t="s">
        <v>1177</v>
      </c>
      <c r="AH168" s="84">
        <v>0.90379999999999994</v>
      </c>
      <c r="AI168" s="84">
        <v>0.90379999999999994</v>
      </c>
      <c r="AJ168" s="84">
        <v>0.95790000000000008</v>
      </c>
      <c r="AK168" s="84">
        <v>0.99620000000000009</v>
      </c>
      <c r="AL168" s="84">
        <v>0.99629999999999996</v>
      </c>
      <c r="AM168" s="84">
        <v>0.98450000000000004</v>
      </c>
      <c r="AN168" s="84">
        <v>0.98450000000000004</v>
      </c>
      <c r="AO168" s="84">
        <v>1.0176000000000001</v>
      </c>
      <c r="AP168" s="84">
        <v>1.0176000000000001</v>
      </c>
      <c r="AQ168" s="84">
        <v>0.98450000000000004</v>
      </c>
    </row>
    <row r="169" spans="6:43">
      <c r="F169">
        <v>166</v>
      </c>
      <c r="G169" t="s">
        <v>169</v>
      </c>
      <c r="H169" t="s">
        <v>107</v>
      </c>
      <c r="I169">
        <f t="shared" si="5"/>
        <v>621</v>
      </c>
      <c r="J169" s="84">
        <v>0.94669999999999999</v>
      </c>
      <c r="K169" s="84">
        <v>0.94669999999999999</v>
      </c>
      <c r="L169" s="84">
        <v>1.0007999999999999</v>
      </c>
      <c r="M169" s="84">
        <v>1.04</v>
      </c>
      <c r="N169" s="84">
        <v>1.04</v>
      </c>
      <c r="O169" s="84">
        <v>1.0282</v>
      </c>
      <c r="P169" s="84">
        <v>1.0282</v>
      </c>
      <c r="Q169" s="84">
        <v>1.0283</v>
      </c>
      <c r="T169" s="94" t="s">
        <v>1178</v>
      </c>
      <c r="U169" s="94" t="s">
        <v>107</v>
      </c>
      <c r="Z169" s="91">
        <v>104.01</v>
      </c>
      <c r="AC169" s="91">
        <v>105.02</v>
      </c>
      <c r="AD169" s="91">
        <v>105.03</v>
      </c>
      <c r="AG169" t="s">
        <v>1178</v>
      </c>
      <c r="AH169" s="84">
        <v>0.94669999999999999</v>
      </c>
      <c r="AI169" s="84">
        <v>0.94669999999999999</v>
      </c>
      <c r="AJ169" s="84">
        <v>1.0007999999999999</v>
      </c>
      <c r="AK169" s="84">
        <v>1.04</v>
      </c>
      <c r="AL169" s="84">
        <v>1.0401</v>
      </c>
      <c r="AM169" s="84">
        <v>1.0282</v>
      </c>
      <c r="AN169" s="84">
        <v>1.0282</v>
      </c>
      <c r="AO169" s="84">
        <v>1.0502</v>
      </c>
      <c r="AP169" s="84">
        <v>1.0503</v>
      </c>
      <c r="AQ169" s="84">
        <v>1.0283</v>
      </c>
    </row>
    <row r="170" spans="6:43">
      <c r="F170">
        <v>167</v>
      </c>
      <c r="G170" t="s">
        <v>170</v>
      </c>
      <c r="H170" t="s">
        <v>107</v>
      </c>
      <c r="I170">
        <f t="shared" si="5"/>
        <v>622</v>
      </c>
      <c r="J170" s="84">
        <v>0.995</v>
      </c>
      <c r="K170" s="84">
        <v>1.016</v>
      </c>
      <c r="L170" s="84">
        <v>1.0895000000000001</v>
      </c>
      <c r="M170" s="84">
        <v>1.1518999999999999</v>
      </c>
      <c r="N170" s="84">
        <v>1.1518999999999999</v>
      </c>
      <c r="O170" s="84">
        <v>1.1404000000000001</v>
      </c>
      <c r="P170" s="84">
        <v>1.1404000000000001</v>
      </c>
      <c r="Q170" s="84">
        <v>1.226</v>
      </c>
      <c r="T170" s="94" t="s">
        <v>735</v>
      </c>
      <c r="U170" s="94" t="s">
        <v>107</v>
      </c>
      <c r="Z170" s="91">
        <v>115.19</v>
      </c>
      <c r="AC170" s="91">
        <v>120.46</v>
      </c>
      <c r="AD170" s="91">
        <v>125.81</v>
      </c>
      <c r="AG170" t="s">
        <v>735</v>
      </c>
      <c r="AH170" s="84">
        <v>0.995</v>
      </c>
      <c r="AI170" s="84">
        <v>1.016</v>
      </c>
      <c r="AJ170" s="84">
        <v>1.0895000000000001</v>
      </c>
      <c r="AK170" s="84">
        <v>1.1518999999999999</v>
      </c>
      <c r="AL170" s="84">
        <v>1.1518999999999999</v>
      </c>
      <c r="AM170" s="84">
        <v>1.1404000000000001</v>
      </c>
      <c r="AN170" s="84">
        <v>1.1404000000000001</v>
      </c>
      <c r="AO170" s="84">
        <v>1.2045999999999999</v>
      </c>
      <c r="AP170" s="84">
        <v>1.2581</v>
      </c>
      <c r="AQ170" s="84">
        <v>1.226</v>
      </c>
    </row>
    <row r="171" spans="6:43">
      <c r="F171">
        <v>168</v>
      </c>
      <c r="G171" t="s">
        <v>172</v>
      </c>
      <c r="H171" t="s">
        <v>107</v>
      </c>
      <c r="I171">
        <f t="shared" si="5"/>
        <v>623</v>
      </c>
      <c r="J171" s="84">
        <v>0.88890000000000002</v>
      </c>
      <c r="K171" s="84">
        <v>0.91</v>
      </c>
      <c r="L171" s="84">
        <v>0.9839</v>
      </c>
      <c r="M171" s="84">
        <v>1.0336000000000001</v>
      </c>
      <c r="N171" s="84">
        <v>1.0336000000000001</v>
      </c>
      <c r="O171" s="84">
        <v>1.0221</v>
      </c>
      <c r="P171" s="84">
        <v>1.022</v>
      </c>
      <c r="Q171" s="84">
        <v>1.1081000000000001</v>
      </c>
      <c r="T171" s="94" t="s">
        <v>1179</v>
      </c>
      <c r="U171" s="94" t="s">
        <v>107</v>
      </c>
      <c r="Z171" s="91">
        <v>103.36</v>
      </c>
      <c r="AC171" s="91">
        <v>108.65</v>
      </c>
      <c r="AD171" s="91">
        <v>112.96</v>
      </c>
      <c r="AG171" t="s">
        <v>1179</v>
      </c>
      <c r="AH171" s="84">
        <v>0.88890000000000002</v>
      </c>
      <c r="AI171" s="84">
        <v>0.91</v>
      </c>
      <c r="AJ171" s="84">
        <v>0.9839</v>
      </c>
      <c r="AK171" s="84">
        <v>1.0336000000000001</v>
      </c>
      <c r="AL171" s="84">
        <v>1.0336000000000001</v>
      </c>
      <c r="AM171" s="84">
        <v>1.0221</v>
      </c>
      <c r="AN171" s="84">
        <v>1.022</v>
      </c>
      <c r="AO171" s="84">
        <v>1.0865</v>
      </c>
      <c r="AP171" s="84">
        <v>1.1295999999999999</v>
      </c>
      <c r="AQ171" s="84">
        <v>1.1081000000000001</v>
      </c>
    </row>
    <row r="172" spans="6:43">
      <c r="F172">
        <v>169</v>
      </c>
      <c r="G172" t="s">
        <v>173</v>
      </c>
      <c r="H172" t="s">
        <v>107</v>
      </c>
      <c r="I172">
        <f t="shared" si="5"/>
        <v>624</v>
      </c>
      <c r="J172" s="84">
        <v>0.96445599999999987</v>
      </c>
      <c r="K172" s="84">
        <v>0.98640000000000005</v>
      </c>
      <c r="L172" s="84">
        <v>1.0632559999999998</v>
      </c>
      <c r="M172" s="84">
        <v>1.1149440000000002</v>
      </c>
      <c r="N172" s="84">
        <v>1.1149440000000002</v>
      </c>
      <c r="O172" s="84">
        <v>1.102984</v>
      </c>
      <c r="P172" s="84">
        <v>1.1028799999999999</v>
      </c>
      <c r="Q172" s="84">
        <v>1.1924239999999999</v>
      </c>
      <c r="T172" s="94" t="s">
        <v>1180</v>
      </c>
      <c r="U172" s="94" t="s">
        <v>107</v>
      </c>
      <c r="Z172" s="91">
        <v>111.49440000000001</v>
      </c>
      <c r="AC172" s="91">
        <v>116.99600000000001</v>
      </c>
      <c r="AD172" s="91">
        <v>121.47839999999999</v>
      </c>
      <c r="AG172" t="s">
        <v>1180</v>
      </c>
      <c r="AH172" s="84">
        <v>0.96445599999999987</v>
      </c>
      <c r="AI172" s="84">
        <v>0.98640000000000005</v>
      </c>
      <c r="AJ172" s="84">
        <v>1.0632559999999998</v>
      </c>
      <c r="AK172" s="84">
        <v>1.1149440000000002</v>
      </c>
      <c r="AL172" s="84">
        <v>1.1149440000000002</v>
      </c>
      <c r="AM172" s="84">
        <v>1.102984</v>
      </c>
      <c r="AN172" s="84">
        <v>1.1028799999999999</v>
      </c>
      <c r="AO172" s="84">
        <v>1.1699600000000001</v>
      </c>
      <c r="AP172" s="84">
        <v>1.2147839999999999</v>
      </c>
      <c r="AQ172" s="84">
        <v>1.1924239999999999</v>
      </c>
    </row>
    <row r="173" spans="6:43">
      <c r="F173">
        <v>170</v>
      </c>
      <c r="G173" t="s">
        <v>175</v>
      </c>
      <c r="H173" t="s">
        <v>107</v>
      </c>
      <c r="I173">
        <f t="shared" si="5"/>
        <v>625</v>
      </c>
      <c r="J173" s="84">
        <v>1.0400120000000002</v>
      </c>
      <c r="K173" s="84">
        <v>1.0628</v>
      </c>
      <c r="L173" s="84">
        <v>1.142612</v>
      </c>
      <c r="M173" s="84">
        <v>1.1962880000000005</v>
      </c>
      <c r="N173" s="84">
        <v>1.1962880000000005</v>
      </c>
      <c r="O173" s="84">
        <v>1.1838679999999999</v>
      </c>
      <c r="P173" s="84">
        <v>1.1837600000000001</v>
      </c>
      <c r="Q173" s="84">
        <v>1.276748</v>
      </c>
      <c r="T173" s="94" t="s">
        <v>1180</v>
      </c>
      <c r="U173" s="94" t="s">
        <v>107</v>
      </c>
      <c r="Z173" s="91">
        <v>119.62880000000004</v>
      </c>
      <c r="AC173" s="91">
        <v>125.34200000000001</v>
      </c>
      <c r="AD173" s="91">
        <v>129.99679999999998</v>
      </c>
      <c r="AG173" t="s">
        <v>1180</v>
      </c>
      <c r="AH173" s="84">
        <v>1.0400120000000002</v>
      </c>
      <c r="AI173" s="84">
        <v>1.0628</v>
      </c>
      <c r="AJ173" s="84">
        <v>1.142612</v>
      </c>
      <c r="AK173" s="84">
        <v>1.1962880000000005</v>
      </c>
      <c r="AL173" s="84">
        <v>1.1962880000000005</v>
      </c>
      <c r="AM173" s="84">
        <v>1.1838679999999999</v>
      </c>
      <c r="AN173" s="84">
        <v>1.1837600000000001</v>
      </c>
      <c r="AO173" s="84">
        <v>1.2534200000000002</v>
      </c>
      <c r="AP173" s="84">
        <v>1.2999679999999998</v>
      </c>
      <c r="AQ173" s="84">
        <v>1.276748</v>
      </c>
    </row>
    <row r="174" spans="6:43">
      <c r="F174">
        <v>171</v>
      </c>
      <c r="G174" t="s">
        <v>176</v>
      </c>
      <c r="H174" t="s">
        <v>107</v>
      </c>
      <c r="I174">
        <f t="shared" si="5"/>
        <v>626</v>
      </c>
      <c r="J174" s="84">
        <v>1.1313</v>
      </c>
      <c r="K174" s="84">
        <v>1.17666</v>
      </c>
      <c r="L174" s="84">
        <v>1.25604</v>
      </c>
      <c r="M174" s="84">
        <v>1.3249440000000001</v>
      </c>
      <c r="N174" s="84">
        <v>1.3249440000000001</v>
      </c>
      <c r="O174" s="84">
        <v>1.3587480000000003</v>
      </c>
      <c r="P174" s="84">
        <v>1.3471919999999999</v>
      </c>
      <c r="Q174" s="84">
        <v>1.3818600000000001</v>
      </c>
      <c r="T174" s="94" t="s">
        <v>1128</v>
      </c>
      <c r="U174" s="94" t="s">
        <v>107</v>
      </c>
      <c r="Z174" s="91">
        <v>131.33880000000002</v>
      </c>
      <c r="AC174" s="91">
        <v>139.34160000000003</v>
      </c>
      <c r="AD174" s="91">
        <v>138.18600000000001</v>
      </c>
      <c r="AG174" t="s">
        <v>1128</v>
      </c>
      <c r="AH174" s="84">
        <v>1.1313</v>
      </c>
      <c r="AI174" s="84">
        <v>1.17666</v>
      </c>
      <c r="AJ174" s="84">
        <v>1.25604</v>
      </c>
      <c r="AK174" s="84">
        <v>1.3249440000000001</v>
      </c>
      <c r="AL174" s="84">
        <v>1.3133880000000002</v>
      </c>
      <c r="AM174" s="84">
        <v>1.3587480000000003</v>
      </c>
      <c r="AN174" s="84">
        <v>1.3471919999999999</v>
      </c>
      <c r="AO174" s="84">
        <v>1.3934160000000002</v>
      </c>
      <c r="AP174" s="84">
        <v>1.3818600000000001</v>
      </c>
      <c r="AQ174" s="84">
        <v>1.3818600000000001</v>
      </c>
    </row>
    <row r="175" spans="6:43">
      <c r="F175">
        <v>172</v>
      </c>
      <c r="G175" t="s">
        <v>178</v>
      </c>
      <c r="H175" t="s">
        <v>107</v>
      </c>
      <c r="I175">
        <f t="shared" si="5"/>
        <v>627</v>
      </c>
      <c r="J175" s="84">
        <v>1.0452870000000001</v>
      </c>
      <c r="K175" s="84">
        <v>1.0803630000000002</v>
      </c>
      <c r="L175" s="84">
        <v>1.1623920000000001</v>
      </c>
      <c r="M175" s="84">
        <v>1.2307680000000001</v>
      </c>
      <c r="N175" s="84">
        <v>1.2307680000000001</v>
      </c>
      <c r="O175" s="84">
        <v>1.2658440000000002</v>
      </c>
      <c r="P175" s="84">
        <v>1.2537450000000001</v>
      </c>
      <c r="Q175" s="84">
        <v>1.289709</v>
      </c>
      <c r="T175" s="94" t="s">
        <v>1181</v>
      </c>
      <c r="U175" s="94" t="s">
        <v>107</v>
      </c>
      <c r="Z175" s="91">
        <v>121.88910000000001</v>
      </c>
      <c r="AC175" s="91">
        <v>130.15860000000001</v>
      </c>
      <c r="AD175" s="91">
        <v>128.9709</v>
      </c>
      <c r="AG175" t="s">
        <v>1181</v>
      </c>
      <c r="AH175" s="84">
        <v>1.0452870000000001</v>
      </c>
      <c r="AI175" s="84">
        <v>1.0803630000000002</v>
      </c>
      <c r="AJ175" s="84">
        <v>1.1623920000000001</v>
      </c>
      <c r="AK175" s="84">
        <v>1.2307680000000001</v>
      </c>
      <c r="AL175" s="84">
        <v>1.2188910000000002</v>
      </c>
      <c r="AM175" s="84">
        <v>1.2658440000000002</v>
      </c>
      <c r="AN175" s="84">
        <v>1.2537450000000001</v>
      </c>
      <c r="AO175" s="84">
        <v>1.3015860000000001</v>
      </c>
      <c r="AP175" s="84">
        <v>1.289709</v>
      </c>
      <c r="AQ175" s="84">
        <v>1.289709</v>
      </c>
    </row>
    <row r="176" spans="6:43">
      <c r="F176">
        <v>173</v>
      </c>
      <c r="G176" t="s">
        <v>179</v>
      </c>
      <c r="H176" t="s">
        <v>107</v>
      </c>
      <c r="I176">
        <f t="shared" si="5"/>
        <v>628</v>
      </c>
      <c r="J176" s="84">
        <v>0.94169999999999998</v>
      </c>
      <c r="K176" s="84">
        <v>0.97329999999999994</v>
      </c>
      <c r="L176" s="84">
        <v>1.0471999999999999</v>
      </c>
      <c r="M176" s="84">
        <v>1.1088</v>
      </c>
      <c r="N176" s="84">
        <v>1.1088</v>
      </c>
      <c r="O176" s="84">
        <v>1.1404000000000001</v>
      </c>
      <c r="P176" s="84">
        <v>1.1294999999999999</v>
      </c>
      <c r="Q176" s="84">
        <v>1.1618999999999999</v>
      </c>
      <c r="T176" s="94" t="s">
        <v>1182</v>
      </c>
      <c r="U176" s="94" t="s">
        <v>107</v>
      </c>
      <c r="Z176" s="91">
        <v>109.81</v>
      </c>
      <c r="AC176" s="91">
        <v>117.26</v>
      </c>
      <c r="AD176" s="91">
        <v>116.19</v>
      </c>
      <c r="AG176" t="s">
        <v>1182</v>
      </c>
      <c r="AH176" s="84">
        <v>0.94169999999999998</v>
      </c>
      <c r="AI176" s="84">
        <v>0.97329999999999994</v>
      </c>
      <c r="AJ176" s="84">
        <v>1.0471999999999999</v>
      </c>
      <c r="AK176" s="84">
        <v>1.1088</v>
      </c>
      <c r="AL176" s="84">
        <v>1.0981000000000001</v>
      </c>
      <c r="AM176" s="84">
        <v>1.1404000000000001</v>
      </c>
      <c r="AN176" s="84">
        <v>1.1294999999999999</v>
      </c>
      <c r="AO176" s="84">
        <v>1.1726000000000001</v>
      </c>
      <c r="AP176" s="84">
        <v>1.1618999999999999</v>
      </c>
      <c r="AQ176" s="84">
        <v>1.1618999999999999</v>
      </c>
    </row>
    <row r="177" spans="6:43">
      <c r="F177">
        <v>174</v>
      </c>
      <c r="G177" t="s">
        <v>138</v>
      </c>
      <c r="H177" t="s">
        <v>108</v>
      </c>
      <c r="I177">
        <v>700</v>
      </c>
      <c r="J177" s="84">
        <v>0.17</v>
      </c>
      <c r="K177" s="84">
        <v>0.17</v>
      </c>
      <c r="L177" s="84">
        <v>0.17</v>
      </c>
      <c r="M177" s="84">
        <v>0.17</v>
      </c>
      <c r="N177" s="84">
        <v>0.17</v>
      </c>
      <c r="O177" s="84">
        <v>0.18</v>
      </c>
      <c r="P177" s="84">
        <v>0.18</v>
      </c>
      <c r="Q177" s="84">
        <v>0.27</v>
      </c>
      <c r="T177" s="94" t="s">
        <v>138</v>
      </c>
      <c r="U177" s="94" t="s">
        <v>108</v>
      </c>
      <c r="Z177" s="91">
        <v>17</v>
      </c>
      <c r="AC177" s="91">
        <v>18</v>
      </c>
      <c r="AD177" s="91">
        <v>17</v>
      </c>
      <c r="AG177" t="s">
        <v>138</v>
      </c>
      <c r="AH177" s="84">
        <v>0.17</v>
      </c>
      <c r="AI177" s="84">
        <v>0.17</v>
      </c>
      <c r="AJ177" s="84">
        <v>0.17</v>
      </c>
      <c r="AK177" s="84">
        <v>0.17</v>
      </c>
      <c r="AL177" s="84">
        <v>0.17</v>
      </c>
      <c r="AM177" s="84">
        <v>0.18</v>
      </c>
      <c r="AN177" s="84">
        <v>0.18</v>
      </c>
      <c r="AO177" s="84">
        <v>0.18</v>
      </c>
      <c r="AP177" s="84">
        <v>0.17</v>
      </c>
      <c r="AQ177" s="84">
        <v>0.27</v>
      </c>
    </row>
    <row r="178" spans="6:43">
      <c r="F178">
        <v>175</v>
      </c>
      <c r="G178" t="s">
        <v>139</v>
      </c>
      <c r="H178" t="s">
        <v>108</v>
      </c>
      <c r="I178">
        <f>+I177+1</f>
        <v>701</v>
      </c>
      <c r="J178" s="84">
        <v>0.21</v>
      </c>
      <c r="K178" s="84">
        <v>0.21</v>
      </c>
      <c r="L178" s="84">
        <v>0.21</v>
      </c>
      <c r="M178" s="84">
        <v>0.21</v>
      </c>
      <c r="N178" s="84">
        <v>0.21</v>
      </c>
      <c r="O178" s="84">
        <v>0.22</v>
      </c>
      <c r="P178" s="84">
        <v>0.22</v>
      </c>
      <c r="Q178" s="84">
        <v>0.32</v>
      </c>
      <c r="T178" s="94" t="s">
        <v>139</v>
      </c>
      <c r="U178" s="94" t="s">
        <v>108</v>
      </c>
      <c r="Z178" s="91">
        <v>21</v>
      </c>
      <c r="AC178" s="91">
        <v>23</v>
      </c>
      <c r="AD178" s="91">
        <v>21</v>
      </c>
      <c r="AG178" t="s">
        <v>139</v>
      </c>
      <c r="AH178" s="84">
        <v>0.21</v>
      </c>
      <c r="AI178" s="84">
        <v>0.21</v>
      </c>
      <c r="AJ178" s="84">
        <v>0.21</v>
      </c>
      <c r="AK178" s="84">
        <v>0.21</v>
      </c>
      <c r="AL178" s="84">
        <v>0.21</v>
      </c>
      <c r="AM178" s="84">
        <v>0.22</v>
      </c>
      <c r="AN178" s="84">
        <v>0.22</v>
      </c>
      <c r="AO178" s="84">
        <v>0.23</v>
      </c>
      <c r="AP178" s="84">
        <v>0.21</v>
      </c>
      <c r="AQ178" s="84">
        <v>0.32</v>
      </c>
    </row>
    <row r="179" spans="6:43">
      <c r="F179">
        <v>176</v>
      </c>
      <c r="G179" t="s">
        <v>140</v>
      </c>
      <c r="H179" t="s">
        <v>108</v>
      </c>
      <c r="I179">
        <f t="shared" ref="I179:I205" si="6">+I178+1</f>
        <v>702</v>
      </c>
      <c r="J179" s="84">
        <v>0</v>
      </c>
      <c r="K179" s="84">
        <v>0</v>
      </c>
      <c r="L179" s="84">
        <v>0</v>
      </c>
      <c r="M179" s="84">
        <v>0</v>
      </c>
      <c r="N179" s="84">
        <v>0</v>
      </c>
      <c r="O179" s="84">
        <v>0</v>
      </c>
      <c r="P179" s="84">
        <v>0</v>
      </c>
      <c r="Q179" s="84">
        <v>0</v>
      </c>
      <c r="T179" s="94" t="s">
        <v>1164</v>
      </c>
      <c r="U179" s="94" t="s">
        <v>108</v>
      </c>
      <c r="V179" s="92"/>
      <c r="W179" s="92"/>
      <c r="X179" s="92"/>
      <c r="Y179" s="92"/>
      <c r="Z179" s="92"/>
      <c r="AC179" s="92"/>
      <c r="AD179" s="92"/>
      <c r="AG179" t="s">
        <v>1164</v>
      </c>
      <c r="AH179" s="84">
        <v>0</v>
      </c>
      <c r="AI179" s="84">
        <v>0</v>
      </c>
      <c r="AJ179" s="84">
        <v>0</v>
      </c>
      <c r="AK179" s="84">
        <v>0</v>
      </c>
      <c r="AL179" s="84">
        <v>0</v>
      </c>
      <c r="AM179" s="84">
        <v>0</v>
      </c>
      <c r="AN179" s="84">
        <v>0</v>
      </c>
      <c r="AO179" s="84">
        <v>0</v>
      </c>
      <c r="AP179" s="84">
        <v>0</v>
      </c>
      <c r="AQ179" s="84">
        <v>0</v>
      </c>
    </row>
    <row r="180" spans="6:43">
      <c r="F180">
        <v>177</v>
      </c>
      <c r="G180" t="s">
        <v>142</v>
      </c>
      <c r="H180" t="s">
        <v>108</v>
      </c>
      <c r="I180">
        <f t="shared" si="6"/>
        <v>703</v>
      </c>
      <c r="J180" s="84">
        <v>0.43</v>
      </c>
      <c r="K180" s="84">
        <v>0.43</v>
      </c>
      <c r="L180" s="84">
        <v>0.43</v>
      </c>
      <c r="M180" s="84">
        <v>0.49880000000000002</v>
      </c>
      <c r="N180" s="84">
        <v>0.49880000000000002</v>
      </c>
      <c r="O180" s="84">
        <v>0.51859999999999995</v>
      </c>
      <c r="P180" s="84">
        <v>0.51859999999999995</v>
      </c>
      <c r="Q180" s="84">
        <v>0.50900000000000001</v>
      </c>
      <c r="T180" s="94" t="s">
        <v>142</v>
      </c>
      <c r="U180" s="94" t="s">
        <v>108</v>
      </c>
      <c r="Z180" s="91">
        <v>49.88</v>
      </c>
      <c r="AC180" s="91">
        <v>50.96</v>
      </c>
      <c r="AD180" s="91">
        <v>51.97</v>
      </c>
      <c r="AG180" t="s">
        <v>142</v>
      </c>
      <c r="AH180" s="84">
        <v>0.43</v>
      </c>
      <c r="AI180" s="84">
        <v>0.43</v>
      </c>
      <c r="AJ180" s="84">
        <v>0.43</v>
      </c>
      <c r="AK180" s="84">
        <v>0.49880000000000002</v>
      </c>
      <c r="AL180" s="84">
        <v>0.49880000000000002</v>
      </c>
      <c r="AM180" s="84">
        <v>0.51859999999999995</v>
      </c>
      <c r="AN180" s="84">
        <v>0.51859999999999995</v>
      </c>
      <c r="AO180" s="84">
        <v>0.50960000000000005</v>
      </c>
      <c r="AP180" s="84">
        <v>0.51969999999999994</v>
      </c>
      <c r="AQ180" s="84">
        <v>0.50900000000000001</v>
      </c>
    </row>
    <row r="181" spans="6:43">
      <c r="F181">
        <v>178</v>
      </c>
      <c r="G181" t="s">
        <v>143</v>
      </c>
      <c r="H181" t="s">
        <v>108</v>
      </c>
      <c r="I181">
        <f t="shared" si="6"/>
        <v>704</v>
      </c>
      <c r="J181" s="84">
        <v>0.61</v>
      </c>
      <c r="K181" s="84">
        <v>0.61</v>
      </c>
      <c r="L181" s="84">
        <v>0.61</v>
      </c>
      <c r="M181" s="84">
        <v>0.6925</v>
      </c>
      <c r="N181" s="84">
        <v>0.6925</v>
      </c>
      <c r="O181" s="84">
        <v>0.71230000000000004</v>
      </c>
      <c r="P181" s="84">
        <v>0.71219999999999994</v>
      </c>
      <c r="Q181" s="84">
        <v>0.70269999999999999</v>
      </c>
      <c r="T181" s="94" t="s">
        <v>1165</v>
      </c>
      <c r="U181" s="94" t="s">
        <v>108</v>
      </c>
      <c r="Z181" s="91">
        <v>69.25</v>
      </c>
      <c r="AC181" s="91">
        <v>69.319999999999993</v>
      </c>
      <c r="AD181" s="91">
        <v>71.349999999999994</v>
      </c>
      <c r="AG181" t="s">
        <v>1165</v>
      </c>
      <c r="AH181" s="84">
        <v>0.61</v>
      </c>
      <c r="AI181" s="84">
        <v>0.61</v>
      </c>
      <c r="AJ181" s="84">
        <v>0.61</v>
      </c>
      <c r="AK181" s="84">
        <v>0.6925</v>
      </c>
      <c r="AL181" s="84">
        <v>0.6925</v>
      </c>
      <c r="AM181" s="84">
        <v>0.71230000000000004</v>
      </c>
      <c r="AN181" s="84">
        <v>0.71219999999999994</v>
      </c>
      <c r="AO181" s="84">
        <v>0.69319999999999993</v>
      </c>
      <c r="AP181" s="84">
        <v>0.71349999999999991</v>
      </c>
      <c r="AQ181" s="84">
        <v>0.70269999999999999</v>
      </c>
    </row>
    <row r="182" spans="6:43">
      <c r="F182">
        <v>179</v>
      </c>
      <c r="G182" t="s">
        <v>145</v>
      </c>
      <c r="H182" t="s">
        <v>108</v>
      </c>
      <c r="I182">
        <f t="shared" si="6"/>
        <v>705</v>
      </c>
      <c r="J182" s="84"/>
      <c r="K182" s="84"/>
      <c r="L182" s="84"/>
      <c r="M182" s="84"/>
      <c r="N182" s="84"/>
      <c r="O182" s="84"/>
      <c r="P182" s="84"/>
      <c r="Q182" s="84"/>
      <c r="T182" s="94"/>
      <c r="U182" s="94"/>
      <c r="Z182" s="91"/>
      <c r="AC182" s="91"/>
      <c r="AD182" s="91"/>
      <c r="AH182" s="84"/>
      <c r="AI182" s="84"/>
      <c r="AJ182" s="84"/>
      <c r="AK182" s="84"/>
      <c r="AL182" s="84"/>
      <c r="AM182" s="84"/>
      <c r="AN182" s="84"/>
      <c r="AO182" s="84"/>
      <c r="AP182" s="84"/>
      <c r="AQ182" s="84"/>
    </row>
    <row r="183" spans="6:43">
      <c r="F183">
        <v>180</v>
      </c>
      <c r="G183" t="s">
        <v>146</v>
      </c>
      <c r="H183" t="s">
        <v>108</v>
      </c>
      <c r="I183">
        <f t="shared" si="6"/>
        <v>706</v>
      </c>
      <c r="J183" s="84">
        <v>0.7</v>
      </c>
      <c r="K183" s="84">
        <v>0.7</v>
      </c>
      <c r="L183" s="84">
        <v>0.7</v>
      </c>
      <c r="M183" s="84">
        <v>0.73329999999999995</v>
      </c>
      <c r="N183" s="84">
        <v>0.73329999999999995</v>
      </c>
      <c r="O183" s="84">
        <v>0.7631</v>
      </c>
      <c r="P183" s="84">
        <v>0.76319999999999988</v>
      </c>
      <c r="Q183" s="84">
        <v>0.74340000000000006</v>
      </c>
      <c r="T183" s="94" t="s">
        <v>1126</v>
      </c>
      <c r="U183" s="94" t="s">
        <v>108</v>
      </c>
      <c r="Z183" s="91">
        <v>73.33</v>
      </c>
      <c r="AC183" s="91">
        <v>74.41</v>
      </c>
      <c r="AD183" s="91">
        <v>75.430000000000007</v>
      </c>
      <c r="AG183" t="s">
        <v>1126</v>
      </c>
      <c r="AH183" s="84">
        <v>0.7</v>
      </c>
      <c r="AI183" s="84">
        <v>0.7</v>
      </c>
      <c r="AJ183" s="84">
        <v>0.7</v>
      </c>
      <c r="AK183" s="84">
        <v>0.73329999999999995</v>
      </c>
      <c r="AL183" s="84">
        <v>0.73329999999999995</v>
      </c>
      <c r="AM183" s="84">
        <v>0.7631</v>
      </c>
      <c r="AN183" s="84">
        <v>0.76319999999999988</v>
      </c>
      <c r="AO183" s="84">
        <v>0.74409999999999998</v>
      </c>
      <c r="AP183" s="84">
        <v>0.75430000000000008</v>
      </c>
      <c r="AQ183" s="84">
        <v>0.74340000000000006</v>
      </c>
    </row>
    <row r="184" spans="6:43">
      <c r="F184">
        <v>181</v>
      </c>
      <c r="G184" t="s">
        <v>148</v>
      </c>
      <c r="H184" t="s">
        <v>108</v>
      </c>
      <c r="I184">
        <f t="shared" si="6"/>
        <v>707</v>
      </c>
      <c r="J184" s="84">
        <v>0.75</v>
      </c>
      <c r="K184" s="84">
        <v>0.75</v>
      </c>
      <c r="L184" s="84">
        <v>0.75</v>
      </c>
      <c r="M184" s="84">
        <v>0.78420000000000001</v>
      </c>
      <c r="N184" s="84">
        <v>0.78420000000000001</v>
      </c>
      <c r="O184" s="84">
        <v>0.81409999999999993</v>
      </c>
      <c r="P184" s="84">
        <v>0.81409999999999993</v>
      </c>
      <c r="Q184" s="84">
        <v>0.7944</v>
      </c>
      <c r="T184" s="94" t="s">
        <v>1166</v>
      </c>
      <c r="U184" s="94" t="s">
        <v>108</v>
      </c>
      <c r="Z184" s="91">
        <v>78.42</v>
      </c>
      <c r="AC184" s="91">
        <v>79.510000000000005</v>
      </c>
      <c r="AD184" s="91">
        <v>80.53</v>
      </c>
      <c r="AG184" t="s">
        <v>1166</v>
      </c>
      <c r="AH184" s="84">
        <v>0.75</v>
      </c>
      <c r="AI184" s="84">
        <v>0.75</v>
      </c>
      <c r="AJ184" s="84">
        <v>0.75</v>
      </c>
      <c r="AK184" s="84">
        <v>0.78420000000000001</v>
      </c>
      <c r="AL184" s="84">
        <v>0.78420000000000001</v>
      </c>
      <c r="AM184" s="84">
        <v>0.81409999999999993</v>
      </c>
      <c r="AN184" s="84">
        <v>0.81409999999999993</v>
      </c>
      <c r="AO184" s="84">
        <v>0.79510000000000003</v>
      </c>
      <c r="AP184" s="84">
        <v>0.80530000000000002</v>
      </c>
      <c r="AQ184" s="84">
        <v>0.7944</v>
      </c>
    </row>
    <row r="185" spans="6:43">
      <c r="F185">
        <v>182</v>
      </c>
      <c r="G185" t="s">
        <v>149</v>
      </c>
      <c r="H185" t="s">
        <v>108</v>
      </c>
      <c r="I185">
        <f t="shared" si="6"/>
        <v>708</v>
      </c>
      <c r="J185" s="84">
        <v>0.79</v>
      </c>
      <c r="K185" s="84">
        <v>0.79</v>
      </c>
      <c r="L185" s="84">
        <v>0.79</v>
      </c>
      <c r="M185" s="84">
        <v>0.82499999999999996</v>
      </c>
      <c r="N185" s="84">
        <v>0.82499999999999996</v>
      </c>
      <c r="O185" s="84">
        <v>0.84459999999999991</v>
      </c>
      <c r="P185" s="84">
        <v>0.84470000000000001</v>
      </c>
      <c r="Q185" s="84">
        <v>0.82489999999999997</v>
      </c>
      <c r="T185" s="94" t="s">
        <v>1167</v>
      </c>
      <c r="U185" s="94" t="s">
        <v>108</v>
      </c>
      <c r="Z185" s="91">
        <v>82.5</v>
      </c>
      <c r="AC185" s="91">
        <v>82.57</v>
      </c>
      <c r="AD185" s="91">
        <v>83.59</v>
      </c>
      <c r="AG185" t="s">
        <v>1167</v>
      </c>
      <c r="AH185" s="84">
        <v>0.79</v>
      </c>
      <c r="AI185" s="84">
        <v>0.79</v>
      </c>
      <c r="AJ185" s="84">
        <v>0.79</v>
      </c>
      <c r="AK185" s="84">
        <v>0.82499999999999996</v>
      </c>
      <c r="AL185" s="84">
        <v>0.82499999999999996</v>
      </c>
      <c r="AM185" s="84">
        <v>0.84459999999999991</v>
      </c>
      <c r="AN185" s="84">
        <v>0.84470000000000001</v>
      </c>
      <c r="AO185" s="84">
        <v>0.82569999999999988</v>
      </c>
      <c r="AP185" s="84">
        <v>0.83590000000000009</v>
      </c>
      <c r="AQ185" s="84">
        <v>0.82489999999999997</v>
      </c>
    </row>
    <row r="186" spans="6:43">
      <c r="F186">
        <v>183</v>
      </c>
      <c r="G186" t="s">
        <v>151</v>
      </c>
      <c r="H186" t="s">
        <v>108</v>
      </c>
      <c r="I186">
        <f t="shared" si="6"/>
        <v>709</v>
      </c>
      <c r="J186" s="84">
        <v>0.86</v>
      </c>
      <c r="K186" s="84">
        <v>0.86</v>
      </c>
      <c r="L186" s="84">
        <v>0.86</v>
      </c>
      <c r="M186" s="84">
        <v>0.89639999999999997</v>
      </c>
      <c r="N186" s="84">
        <v>0.89639999999999997</v>
      </c>
      <c r="O186" s="84">
        <v>0.91599999999999993</v>
      </c>
      <c r="P186" s="84">
        <v>0.91599999999999993</v>
      </c>
      <c r="Q186" s="84">
        <v>0.89629999999999999</v>
      </c>
      <c r="T186" s="94" t="s">
        <v>1168</v>
      </c>
      <c r="U186" s="94" t="s">
        <v>108</v>
      </c>
      <c r="Z186" s="91">
        <v>89.64</v>
      </c>
      <c r="AC186" s="91">
        <v>89.71</v>
      </c>
      <c r="AD186" s="91">
        <v>90.73</v>
      </c>
      <c r="AG186" t="s">
        <v>1168</v>
      </c>
      <c r="AH186" s="84">
        <v>0.86</v>
      </c>
      <c r="AI186" s="84">
        <v>0.86</v>
      </c>
      <c r="AJ186" s="84">
        <v>0.86</v>
      </c>
      <c r="AK186" s="84">
        <v>0.89639999999999997</v>
      </c>
      <c r="AL186" s="84">
        <v>0.89639999999999997</v>
      </c>
      <c r="AM186" s="84">
        <v>0.91599999999999993</v>
      </c>
      <c r="AN186" s="84">
        <v>0.91599999999999993</v>
      </c>
      <c r="AO186" s="84">
        <v>0.8970999999999999</v>
      </c>
      <c r="AP186" s="84">
        <v>0.9073</v>
      </c>
      <c r="AQ186" s="84">
        <v>0.89629999999999999</v>
      </c>
    </row>
    <row r="187" spans="6:43">
      <c r="F187">
        <v>184</v>
      </c>
      <c r="G187" t="s">
        <v>152</v>
      </c>
      <c r="H187" t="s">
        <v>108</v>
      </c>
      <c r="I187">
        <f t="shared" si="6"/>
        <v>710</v>
      </c>
      <c r="J187" s="84">
        <v>0.86</v>
      </c>
      <c r="K187" s="84">
        <v>0.86</v>
      </c>
      <c r="L187" s="84">
        <v>0.86</v>
      </c>
      <c r="M187" s="84">
        <v>0.89639999999999997</v>
      </c>
      <c r="N187" s="84">
        <v>0.89639999999999997</v>
      </c>
      <c r="O187" s="84">
        <v>0.91599999999999993</v>
      </c>
      <c r="P187" s="84">
        <v>0.91599999999999993</v>
      </c>
      <c r="Q187" s="84">
        <v>0.89629999999999999</v>
      </c>
      <c r="T187" s="94" t="s">
        <v>1169</v>
      </c>
      <c r="U187" s="94" t="s">
        <v>108</v>
      </c>
      <c r="Z187" s="91">
        <v>89.64</v>
      </c>
      <c r="AC187" s="91">
        <v>89.71</v>
      </c>
      <c r="AD187" s="91">
        <v>90.73</v>
      </c>
      <c r="AG187" t="s">
        <v>1169</v>
      </c>
      <c r="AH187" s="84">
        <v>0.86</v>
      </c>
      <c r="AI187" s="84">
        <v>0.86</v>
      </c>
      <c r="AJ187" s="84">
        <v>0.86</v>
      </c>
      <c r="AK187" s="84">
        <v>0.89639999999999997</v>
      </c>
      <c r="AL187" s="84">
        <v>0.89639999999999997</v>
      </c>
      <c r="AM187" s="84">
        <v>0.91599999999999993</v>
      </c>
      <c r="AN187" s="84">
        <v>0.91599999999999993</v>
      </c>
      <c r="AO187" s="84">
        <v>0.8970999999999999</v>
      </c>
      <c r="AP187" s="84">
        <v>0.9073</v>
      </c>
      <c r="AQ187" s="84">
        <v>0.89629999999999999</v>
      </c>
    </row>
    <row r="188" spans="6:43">
      <c r="F188">
        <v>185</v>
      </c>
      <c r="G188" t="s">
        <v>154</v>
      </c>
      <c r="H188" t="s">
        <v>108</v>
      </c>
      <c r="I188">
        <f t="shared" si="6"/>
        <v>711</v>
      </c>
      <c r="J188" s="84">
        <v>0.89879999999999993</v>
      </c>
      <c r="K188" s="84">
        <v>0.89879999999999993</v>
      </c>
      <c r="L188" s="84">
        <v>0.89879999999999993</v>
      </c>
      <c r="M188" s="84">
        <v>0.93540000000000001</v>
      </c>
      <c r="N188" s="84">
        <v>0.93540000000000001</v>
      </c>
      <c r="O188" s="84">
        <v>0.94440000000000002</v>
      </c>
      <c r="P188" s="84">
        <v>0.94440000000000002</v>
      </c>
      <c r="Q188" s="84">
        <v>0.93500000000000005</v>
      </c>
      <c r="T188" s="94" t="s">
        <v>733</v>
      </c>
      <c r="U188" s="94" t="s">
        <v>108</v>
      </c>
      <c r="Z188" s="91">
        <v>93.54</v>
      </c>
      <c r="AC188" s="91">
        <v>95.63</v>
      </c>
      <c r="AD188" s="91">
        <v>94.6</v>
      </c>
      <c r="AG188" t="s">
        <v>733</v>
      </c>
      <c r="AH188" s="84">
        <v>0.89879999999999993</v>
      </c>
      <c r="AI188" s="84">
        <v>0.89879999999999993</v>
      </c>
      <c r="AJ188" s="84">
        <v>0.89879999999999993</v>
      </c>
      <c r="AK188" s="84">
        <v>0.93540000000000001</v>
      </c>
      <c r="AL188" s="84">
        <v>0.93540000000000001</v>
      </c>
      <c r="AM188" s="84">
        <v>0.94440000000000002</v>
      </c>
      <c r="AN188" s="84">
        <v>0.94440000000000002</v>
      </c>
      <c r="AO188" s="84">
        <v>0.95629999999999993</v>
      </c>
      <c r="AP188" s="84">
        <v>0.94599999999999995</v>
      </c>
      <c r="AQ188" s="84">
        <v>0.93500000000000005</v>
      </c>
    </row>
    <row r="189" spans="6:43">
      <c r="F189">
        <v>186</v>
      </c>
      <c r="G189" t="s">
        <v>155</v>
      </c>
      <c r="H189" t="s">
        <v>108</v>
      </c>
      <c r="I189">
        <f t="shared" si="6"/>
        <v>712</v>
      </c>
      <c r="J189" s="84">
        <v>0.81799999999999995</v>
      </c>
      <c r="K189" s="84">
        <v>0.81799999999999995</v>
      </c>
      <c r="L189" s="84">
        <v>0.81799999999999995</v>
      </c>
      <c r="M189" s="84">
        <v>0.85309999999999997</v>
      </c>
      <c r="N189" s="84">
        <v>0.85309999999999997</v>
      </c>
      <c r="O189" s="84">
        <v>0.86209999999999998</v>
      </c>
      <c r="P189" s="84">
        <v>0.86209999999999998</v>
      </c>
      <c r="Q189" s="84">
        <v>0.85270000000000001</v>
      </c>
      <c r="T189" s="94" t="s">
        <v>1170</v>
      </c>
      <c r="U189" s="94" t="s">
        <v>108</v>
      </c>
      <c r="Z189" s="91">
        <v>85.31</v>
      </c>
      <c r="AC189" s="91">
        <v>87.4</v>
      </c>
      <c r="AD189" s="91">
        <v>86.36</v>
      </c>
      <c r="AG189" t="s">
        <v>1170</v>
      </c>
      <c r="AH189" s="84">
        <v>0.81799999999999995</v>
      </c>
      <c r="AI189" s="84">
        <v>0.81799999999999995</v>
      </c>
      <c r="AJ189" s="84">
        <v>0.81799999999999995</v>
      </c>
      <c r="AK189" s="84">
        <v>0.85309999999999997</v>
      </c>
      <c r="AL189" s="84">
        <v>0.85309999999999997</v>
      </c>
      <c r="AM189" s="84">
        <v>0.86209999999999998</v>
      </c>
      <c r="AN189" s="84">
        <v>0.86209999999999998</v>
      </c>
      <c r="AO189" s="84">
        <v>0.87400000000000011</v>
      </c>
      <c r="AP189" s="84">
        <v>0.86360000000000003</v>
      </c>
      <c r="AQ189" s="84">
        <v>0.85270000000000001</v>
      </c>
    </row>
    <row r="190" spans="6:43">
      <c r="F190">
        <v>187</v>
      </c>
      <c r="G190" t="s">
        <v>157</v>
      </c>
      <c r="H190" t="s">
        <v>108</v>
      </c>
      <c r="I190">
        <f t="shared" si="6"/>
        <v>713</v>
      </c>
      <c r="J190" s="84">
        <v>0.81799999999999995</v>
      </c>
      <c r="K190" s="84">
        <v>0.81799999999999995</v>
      </c>
      <c r="L190" s="84">
        <v>0.81799999999999995</v>
      </c>
      <c r="M190" s="84">
        <v>0.85309999999999997</v>
      </c>
      <c r="N190" s="84">
        <v>0.85309999999999997</v>
      </c>
      <c r="O190" s="84">
        <v>0.86209999999999998</v>
      </c>
      <c r="P190" s="84">
        <v>0.86209999999999998</v>
      </c>
      <c r="Q190" s="84">
        <v>0.85270000000000001</v>
      </c>
      <c r="T190" s="94" t="s">
        <v>1171</v>
      </c>
      <c r="U190" s="94" t="s">
        <v>108</v>
      </c>
      <c r="Z190" s="91">
        <v>85.31</v>
      </c>
      <c r="AC190" s="91">
        <v>87.4</v>
      </c>
      <c r="AD190" s="91">
        <v>86.36</v>
      </c>
      <c r="AG190" t="s">
        <v>1171</v>
      </c>
      <c r="AH190" s="84">
        <v>0.81799999999999995</v>
      </c>
      <c r="AI190" s="84">
        <v>0.81799999999999995</v>
      </c>
      <c r="AJ190" s="84">
        <v>0.81799999999999995</v>
      </c>
      <c r="AK190" s="84">
        <v>0.85309999999999997</v>
      </c>
      <c r="AL190" s="84">
        <v>0.85309999999999997</v>
      </c>
      <c r="AM190" s="84">
        <v>0.86209999999999998</v>
      </c>
      <c r="AN190" s="84">
        <v>0.86209999999999998</v>
      </c>
      <c r="AO190" s="84">
        <v>0.87400000000000011</v>
      </c>
      <c r="AP190" s="84">
        <v>0.86360000000000003</v>
      </c>
      <c r="AQ190" s="84">
        <v>0.85270000000000001</v>
      </c>
    </row>
    <row r="191" spans="6:43">
      <c r="F191">
        <v>188</v>
      </c>
      <c r="G191" t="s">
        <v>158</v>
      </c>
      <c r="H191" t="s">
        <v>108</v>
      </c>
      <c r="I191">
        <f t="shared" si="6"/>
        <v>714</v>
      </c>
      <c r="J191" s="84">
        <v>0.81799999999999995</v>
      </c>
      <c r="K191" s="84">
        <v>0.81799999999999995</v>
      </c>
      <c r="L191" s="84">
        <v>0.81799999999999995</v>
      </c>
      <c r="M191" s="84">
        <v>0.85309999999999997</v>
      </c>
      <c r="N191" s="84">
        <v>0.85309999999999997</v>
      </c>
      <c r="O191" s="84">
        <v>0.86209999999999998</v>
      </c>
      <c r="P191" s="84">
        <v>0.86209999999999998</v>
      </c>
      <c r="Q191" s="84">
        <v>0.85270000000000001</v>
      </c>
      <c r="T191" s="94" t="s">
        <v>1172</v>
      </c>
      <c r="U191" s="94" t="s">
        <v>108</v>
      </c>
      <c r="Z191" s="91">
        <v>85.31</v>
      </c>
      <c r="AC191" s="91">
        <v>87.4</v>
      </c>
      <c r="AD191" s="91">
        <v>86.36</v>
      </c>
      <c r="AG191" t="s">
        <v>1172</v>
      </c>
      <c r="AH191" s="84">
        <v>0.81799999999999995</v>
      </c>
      <c r="AI191" s="84">
        <v>0.81799999999999995</v>
      </c>
      <c r="AJ191" s="84">
        <v>0.81799999999999995</v>
      </c>
      <c r="AK191" s="84">
        <v>0.85309999999999997</v>
      </c>
      <c r="AL191" s="84">
        <v>0.85309999999999997</v>
      </c>
      <c r="AM191" s="84">
        <v>0.86209999999999998</v>
      </c>
      <c r="AN191" s="84">
        <v>0.86209999999999998</v>
      </c>
      <c r="AO191" s="84">
        <v>0.87400000000000011</v>
      </c>
      <c r="AP191" s="84">
        <v>0.86360000000000003</v>
      </c>
      <c r="AQ191" s="84">
        <v>0.85270000000000001</v>
      </c>
    </row>
    <row r="192" spans="6:43">
      <c r="F192">
        <v>189</v>
      </c>
      <c r="G192" t="s">
        <v>160</v>
      </c>
      <c r="H192" t="s">
        <v>108</v>
      </c>
      <c r="I192">
        <f t="shared" si="6"/>
        <v>715</v>
      </c>
      <c r="J192" s="84">
        <v>0.74760000000000004</v>
      </c>
      <c r="K192" s="84">
        <v>0.74760000000000004</v>
      </c>
      <c r="L192" s="84">
        <v>0.74760000000000004</v>
      </c>
      <c r="M192" s="84">
        <v>0.78129999999999999</v>
      </c>
      <c r="N192" s="84">
        <v>0.78129999999999999</v>
      </c>
      <c r="O192" s="84">
        <v>0.79</v>
      </c>
      <c r="P192" s="84">
        <v>0.79</v>
      </c>
      <c r="Q192" s="84">
        <v>0.78</v>
      </c>
      <c r="T192" s="94" t="s">
        <v>1173</v>
      </c>
      <c r="U192" s="94" t="s">
        <v>108</v>
      </c>
      <c r="Z192" s="91">
        <v>78.13</v>
      </c>
      <c r="AC192" s="91">
        <v>80.14</v>
      </c>
      <c r="AD192" s="91">
        <v>79.14</v>
      </c>
      <c r="AG192" t="s">
        <v>1173</v>
      </c>
      <c r="AH192" s="84">
        <v>0.74760000000000004</v>
      </c>
      <c r="AI192" s="84">
        <v>0.74760000000000004</v>
      </c>
      <c r="AJ192" s="84">
        <v>0.74760000000000004</v>
      </c>
      <c r="AK192" s="84">
        <v>0.78129999999999999</v>
      </c>
      <c r="AL192" s="84">
        <v>0.78129999999999999</v>
      </c>
      <c r="AM192" s="84">
        <v>0.79</v>
      </c>
      <c r="AN192" s="84">
        <v>0.79</v>
      </c>
      <c r="AO192" s="84">
        <v>0.8014</v>
      </c>
      <c r="AP192" s="84">
        <v>0.79139999999999999</v>
      </c>
      <c r="AQ192" s="84">
        <v>0.78</v>
      </c>
    </row>
    <row r="193" spans="6:43">
      <c r="F193">
        <v>190</v>
      </c>
      <c r="G193" t="s">
        <v>161</v>
      </c>
      <c r="H193" t="s">
        <v>108</v>
      </c>
      <c r="I193">
        <f t="shared" si="6"/>
        <v>716</v>
      </c>
      <c r="J193" s="84">
        <v>0.77670000000000006</v>
      </c>
      <c r="K193" s="84">
        <v>0.77670000000000006</v>
      </c>
      <c r="L193" s="84">
        <v>0.8155</v>
      </c>
      <c r="M193" s="84">
        <v>0.85019999999999996</v>
      </c>
      <c r="N193" s="84">
        <v>0.85019999999999996</v>
      </c>
      <c r="O193" s="84">
        <v>0.85880000000000001</v>
      </c>
      <c r="P193" s="84">
        <v>0.85880000000000001</v>
      </c>
      <c r="Q193" s="84">
        <v>0.86950000000000005</v>
      </c>
      <c r="T193" s="94" t="s">
        <v>734</v>
      </c>
      <c r="U193" s="94" t="s">
        <v>108</v>
      </c>
      <c r="Z193" s="91">
        <v>85.03</v>
      </c>
      <c r="AC193" s="91">
        <v>88.01</v>
      </c>
      <c r="AD193" s="91">
        <v>88.02</v>
      </c>
      <c r="AG193" t="s">
        <v>734</v>
      </c>
      <c r="AH193" s="84">
        <v>0.77670000000000006</v>
      </c>
      <c r="AI193" s="84">
        <v>0.77670000000000006</v>
      </c>
      <c r="AJ193" s="84">
        <v>0.8155</v>
      </c>
      <c r="AK193" s="84">
        <v>0.85019999999999996</v>
      </c>
      <c r="AL193" s="84">
        <v>0.85030000000000006</v>
      </c>
      <c r="AM193" s="84">
        <v>0.85880000000000001</v>
      </c>
      <c r="AN193" s="84">
        <v>0.85880000000000001</v>
      </c>
      <c r="AO193" s="84">
        <v>0.8801000000000001</v>
      </c>
      <c r="AP193" s="84">
        <v>0.88019999999999998</v>
      </c>
      <c r="AQ193" s="84">
        <v>0.86950000000000005</v>
      </c>
    </row>
    <row r="194" spans="6:43">
      <c r="F194">
        <v>191</v>
      </c>
      <c r="G194" t="s">
        <v>163</v>
      </c>
      <c r="H194" t="s">
        <v>108</v>
      </c>
      <c r="I194">
        <f t="shared" si="6"/>
        <v>717</v>
      </c>
      <c r="J194" s="84">
        <v>0.80669999999999997</v>
      </c>
      <c r="K194" s="84">
        <v>0.80669999999999997</v>
      </c>
      <c r="L194" s="84">
        <v>0.84730000000000005</v>
      </c>
      <c r="M194" s="84">
        <v>0.88260000000000005</v>
      </c>
      <c r="N194" s="84">
        <v>0.88260000000000005</v>
      </c>
      <c r="O194" s="84">
        <v>0.89159999999999995</v>
      </c>
      <c r="P194" s="84">
        <v>0.89159999999999995</v>
      </c>
      <c r="Q194" s="84">
        <v>0.90280000000000005</v>
      </c>
      <c r="T194" s="94" t="s">
        <v>1174</v>
      </c>
      <c r="U194" s="94" t="s">
        <v>108</v>
      </c>
      <c r="Z194" s="91">
        <v>88.27</v>
      </c>
      <c r="AC194" s="91">
        <v>91.38</v>
      </c>
      <c r="AD194" s="91">
        <v>91.39</v>
      </c>
      <c r="AG194" t="s">
        <v>1174</v>
      </c>
      <c r="AH194" s="84">
        <v>0.80669999999999997</v>
      </c>
      <c r="AI194" s="84">
        <v>0.80669999999999997</v>
      </c>
      <c r="AJ194" s="84">
        <v>0.84730000000000005</v>
      </c>
      <c r="AK194" s="84">
        <v>0.88260000000000005</v>
      </c>
      <c r="AL194" s="84">
        <v>0.88269999999999993</v>
      </c>
      <c r="AM194" s="84">
        <v>0.89159999999999995</v>
      </c>
      <c r="AN194" s="84">
        <v>0.89159999999999995</v>
      </c>
      <c r="AO194" s="84">
        <v>0.91379999999999995</v>
      </c>
      <c r="AP194" s="84">
        <v>0.91390000000000005</v>
      </c>
      <c r="AQ194" s="84">
        <v>0.90280000000000005</v>
      </c>
    </row>
    <row r="195" spans="6:43">
      <c r="F195">
        <v>192</v>
      </c>
      <c r="G195" t="s">
        <v>164</v>
      </c>
      <c r="H195" t="s">
        <v>108</v>
      </c>
      <c r="I195">
        <f t="shared" si="6"/>
        <v>718</v>
      </c>
      <c r="J195" s="84">
        <v>0.72860000000000003</v>
      </c>
      <c r="K195" s="84">
        <v>0.72860000000000003</v>
      </c>
      <c r="L195" s="84">
        <v>0.77879999999999994</v>
      </c>
      <c r="M195" s="84">
        <v>0.81290000000000007</v>
      </c>
      <c r="N195" s="84">
        <v>0.81290000000000007</v>
      </c>
      <c r="O195" s="84">
        <v>0.81150000000000011</v>
      </c>
      <c r="P195" s="84">
        <v>0.81150000000000011</v>
      </c>
      <c r="Q195" s="84">
        <v>0.83290000000000008</v>
      </c>
      <c r="T195" s="94" t="s">
        <v>1175</v>
      </c>
      <c r="U195" s="94" t="s">
        <v>108</v>
      </c>
      <c r="Z195" s="91">
        <v>81.290000000000006</v>
      </c>
      <c r="AC195" s="91">
        <v>83.35</v>
      </c>
      <c r="AD195" s="91">
        <v>83.36</v>
      </c>
      <c r="AG195" t="s">
        <v>1175</v>
      </c>
      <c r="AH195" s="84">
        <v>0.72860000000000003</v>
      </c>
      <c r="AI195" s="84">
        <v>0.72860000000000003</v>
      </c>
      <c r="AJ195" s="84">
        <v>0.77879999999999994</v>
      </c>
      <c r="AK195" s="84">
        <v>0.81290000000000007</v>
      </c>
      <c r="AL195" s="84">
        <v>0.81290000000000007</v>
      </c>
      <c r="AM195" s="84">
        <v>0.81150000000000011</v>
      </c>
      <c r="AN195" s="84">
        <v>0.81150000000000011</v>
      </c>
      <c r="AO195" s="84">
        <v>0.83349999999999991</v>
      </c>
      <c r="AP195" s="84">
        <v>0.83360000000000001</v>
      </c>
      <c r="AQ195" s="84">
        <v>0.83290000000000008</v>
      </c>
    </row>
    <row r="196" spans="6:43">
      <c r="F196">
        <v>193</v>
      </c>
      <c r="G196" t="s">
        <v>166</v>
      </c>
      <c r="H196" t="s">
        <v>108</v>
      </c>
      <c r="I196">
        <f t="shared" si="6"/>
        <v>719</v>
      </c>
      <c r="J196" s="84">
        <v>0.71</v>
      </c>
      <c r="K196" s="84">
        <v>0.71</v>
      </c>
      <c r="L196" s="84">
        <v>0.75</v>
      </c>
      <c r="M196" s="84">
        <v>0.78349999999999997</v>
      </c>
      <c r="N196" s="84">
        <v>0.78349999999999997</v>
      </c>
      <c r="O196" s="84">
        <v>0.78209999999999991</v>
      </c>
      <c r="P196" s="84">
        <v>0.78209999999999991</v>
      </c>
      <c r="Q196" s="84">
        <v>0.8034</v>
      </c>
      <c r="T196" s="94" t="s">
        <v>1176</v>
      </c>
      <c r="U196" s="94" t="s">
        <v>108</v>
      </c>
      <c r="Z196" s="91">
        <v>78.349999999999994</v>
      </c>
      <c r="AC196" s="91">
        <v>80.400000000000006</v>
      </c>
      <c r="AD196" s="91">
        <v>80.41</v>
      </c>
      <c r="AG196" t="s">
        <v>1176</v>
      </c>
      <c r="AH196" s="84">
        <v>0.71</v>
      </c>
      <c r="AI196" s="84">
        <v>0.71</v>
      </c>
      <c r="AJ196" s="84">
        <v>0.75</v>
      </c>
      <c r="AK196" s="84">
        <v>0.78349999999999997</v>
      </c>
      <c r="AL196" s="84">
        <v>0.78349999999999997</v>
      </c>
      <c r="AM196" s="84">
        <v>0.78209999999999991</v>
      </c>
      <c r="AN196" s="84">
        <v>0.78209999999999991</v>
      </c>
      <c r="AO196" s="84">
        <v>0.80400000000000005</v>
      </c>
      <c r="AP196" s="84">
        <v>0.80409999999999993</v>
      </c>
      <c r="AQ196" s="84">
        <v>0.8034</v>
      </c>
    </row>
    <row r="197" spans="6:43">
      <c r="F197">
        <v>194</v>
      </c>
      <c r="G197" t="s">
        <v>167</v>
      </c>
      <c r="H197" t="s">
        <v>108</v>
      </c>
      <c r="I197">
        <f t="shared" si="6"/>
        <v>720</v>
      </c>
      <c r="J197" s="84">
        <v>0.67</v>
      </c>
      <c r="K197" s="84">
        <v>0.67</v>
      </c>
      <c r="L197" s="84">
        <v>0.72</v>
      </c>
      <c r="M197" s="84">
        <v>0.75290000000000001</v>
      </c>
      <c r="N197" s="84">
        <v>0.75290000000000001</v>
      </c>
      <c r="O197" s="84">
        <v>0.75159999999999993</v>
      </c>
      <c r="P197" s="84">
        <v>0.75159999999999993</v>
      </c>
      <c r="Q197" s="84">
        <v>0.76260000000000006</v>
      </c>
      <c r="T197" s="94" t="s">
        <v>1177</v>
      </c>
      <c r="U197" s="94" t="s">
        <v>108</v>
      </c>
      <c r="Z197" s="91">
        <v>75.3</v>
      </c>
      <c r="AC197" s="91">
        <v>77.34</v>
      </c>
      <c r="AD197" s="91">
        <v>77.349999999999994</v>
      </c>
      <c r="AG197" t="s">
        <v>1177</v>
      </c>
      <c r="AH197" s="84">
        <v>0.67</v>
      </c>
      <c r="AI197" s="84">
        <v>0.67</v>
      </c>
      <c r="AJ197" s="84">
        <v>0.72</v>
      </c>
      <c r="AK197" s="84">
        <v>0.75290000000000001</v>
      </c>
      <c r="AL197" s="84">
        <v>0.753</v>
      </c>
      <c r="AM197" s="84">
        <v>0.75159999999999993</v>
      </c>
      <c r="AN197" s="84">
        <v>0.75159999999999993</v>
      </c>
      <c r="AO197" s="84">
        <v>0.77340000000000009</v>
      </c>
      <c r="AP197" s="84">
        <v>0.77349999999999997</v>
      </c>
      <c r="AQ197" s="84">
        <v>0.76260000000000006</v>
      </c>
    </row>
    <row r="198" spans="6:43">
      <c r="F198">
        <v>195</v>
      </c>
      <c r="G198" t="s">
        <v>169</v>
      </c>
      <c r="H198" t="s">
        <v>108</v>
      </c>
      <c r="I198">
        <f t="shared" si="6"/>
        <v>721</v>
      </c>
      <c r="J198" s="84">
        <v>0.71189999999999998</v>
      </c>
      <c r="K198" s="84">
        <v>0.71189999999999998</v>
      </c>
      <c r="L198" s="84">
        <v>0.76319999999999988</v>
      </c>
      <c r="M198" s="84">
        <v>0.79689999999999994</v>
      </c>
      <c r="N198" s="84">
        <v>0.79689999999999994</v>
      </c>
      <c r="O198" s="84">
        <v>0.79549999999999998</v>
      </c>
      <c r="P198" s="84">
        <v>0.79559999999999997</v>
      </c>
      <c r="Q198" s="84">
        <v>0.80680000000000007</v>
      </c>
      <c r="T198" s="94" t="s">
        <v>1178</v>
      </c>
      <c r="U198" s="94" t="s">
        <v>108</v>
      </c>
      <c r="Z198" s="91">
        <v>79.7</v>
      </c>
      <c r="AC198" s="91">
        <v>81.790000000000006</v>
      </c>
      <c r="AD198" s="91">
        <v>81.8</v>
      </c>
      <c r="AG198" t="s">
        <v>1178</v>
      </c>
      <c r="AH198" s="84">
        <v>0.71189999999999998</v>
      </c>
      <c r="AI198" s="84">
        <v>0.71189999999999998</v>
      </c>
      <c r="AJ198" s="84">
        <v>0.76319999999999988</v>
      </c>
      <c r="AK198" s="84">
        <v>0.79689999999999994</v>
      </c>
      <c r="AL198" s="84">
        <v>0.79700000000000004</v>
      </c>
      <c r="AM198" s="84">
        <v>0.79549999999999998</v>
      </c>
      <c r="AN198" s="84">
        <v>0.79559999999999997</v>
      </c>
      <c r="AO198" s="84">
        <v>0.81790000000000007</v>
      </c>
      <c r="AP198" s="84">
        <v>0.81799999999999995</v>
      </c>
      <c r="AQ198" s="84">
        <v>0.80680000000000007</v>
      </c>
    </row>
    <row r="199" spans="6:43">
      <c r="F199">
        <v>196</v>
      </c>
      <c r="G199" t="s">
        <v>170</v>
      </c>
      <c r="H199" t="s">
        <v>108</v>
      </c>
      <c r="I199">
        <f t="shared" si="6"/>
        <v>722</v>
      </c>
      <c r="J199" s="84">
        <v>0.77</v>
      </c>
      <c r="K199" s="84">
        <v>0.79</v>
      </c>
      <c r="L199" s="84">
        <v>0.85</v>
      </c>
      <c r="M199" s="84">
        <v>0.90560000000000007</v>
      </c>
      <c r="N199" s="84">
        <v>0.90560000000000007</v>
      </c>
      <c r="O199" s="84">
        <v>0.90400000000000003</v>
      </c>
      <c r="P199" s="84">
        <v>0.90390000000000004</v>
      </c>
      <c r="Q199" s="84">
        <v>1.0066999999999999</v>
      </c>
      <c r="T199" s="94" t="s">
        <v>735</v>
      </c>
      <c r="U199" s="94" t="s">
        <v>108</v>
      </c>
      <c r="Z199" s="91">
        <v>90.56</v>
      </c>
      <c r="AC199" s="91">
        <v>95.66</v>
      </c>
      <c r="AD199" s="91">
        <v>99.74</v>
      </c>
      <c r="AG199" t="s">
        <v>735</v>
      </c>
      <c r="AH199" s="84">
        <v>0.77</v>
      </c>
      <c r="AI199" s="84">
        <v>0.79</v>
      </c>
      <c r="AJ199" s="84">
        <v>0.85</v>
      </c>
      <c r="AK199" s="84">
        <v>0.90560000000000007</v>
      </c>
      <c r="AL199" s="84">
        <v>0.90560000000000007</v>
      </c>
      <c r="AM199" s="84">
        <v>0.90400000000000003</v>
      </c>
      <c r="AN199" s="84">
        <v>0.90390000000000004</v>
      </c>
      <c r="AO199" s="84">
        <v>0.95660000000000001</v>
      </c>
      <c r="AP199" s="84">
        <v>0.99739999999999995</v>
      </c>
      <c r="AQ199" s="84">
        <v>1.0066999999999999</v>
      </c>
    </row>
    <row r="200" spans="6:43">
      <c r="F200">
        <v>197</v>
      </c>
      <c r="G200" t="s">
        <v>172</v>
      </c>
      <c r="H200" t="s">
        <v>108</v>
      </c>
      <c r="I200">
        <f t="shared" si="6"/>
        <v>723</v>
      </c>
      <c r="J200" s="84">
        <v>0.6784</v>
      </c>
      <c r="K200" s="84">
        <v>0.6984999999999999</v>
      </c>
      <c r="L200" s="84">
        <v>0.74870000000000003</v>
      </c>
      <c r="M200" s="84">
        <v>0.80249999999999999</v>
      </c>
      <c r="N200" s="84">
        <v>0.80249999999999999</v>
      </c>
      <c r="O200" s="84">
        <v>0.80090000000000006</v>
      </c>
      <c r="P200" s="84">
        <v>0.80090000000000006</v>
      </c>
      <c r="Q200" s="84">
        <v>0.89390000000000003</v>
      </c>
      <c r="T200" s="94" t="s">
        <v>1179</v>
      </c>
      <c r="U200" s="94" t="s">
        <v>108</v>
      </c>
      <c r="Z200" s="91">
        <v>80.25</v>
      </c>
      <c r="AC200" s="91">
        <v>85.37</v>
      </c>
      <c r="AD200" s="91">
        <v>89.47</v>
      </c>
      <c r="AG200" t="s">
        <v>1179</v>
      </c>
      <c r="AH200" s="84">
        <v>0.6784</v>
      </c>
      <c r="AI200" s="84">
        <v>0.6984999999999999</v>
      </c>
      <c r="AJ200" s="84">
        <v>0.74870000000000003</v>
      </c>
      <c r="AK200" s="84">
        <v>0.80249999999999999</v>
      </c>
      <c r="AL200" s="84">
        <v>0.80249999999999999</v>
      </c>
      <c r="AM200" s="84">
        <v>0.80090000000000006</v>
      </c>
      <c r="AN200" s="84">
        <v>0.80090000000000006</v>
      </c>
      <c r="AO200" s="84">
        <v>0.85370000000000001</v>
      </c>
      <c r="AP200" s="84">
        <v>0.89469999999999994</v>
      </c>
      <c r="AQ200" s="84">
        <v>0.89390000000000003</v>
      </c>
    </row>
    <row r="201" spans="6:43">
      <c r="F201">
        <v>198</v>
      </c>
      <c r="G201" t="s">
        <v>173</v>
      </c>
      <c r="H201" t="s">
        <v>108</v>
      </c>
      <c r="I201">
        <f t="shared" si="6"/>
        <v>724</v>
      </c>
      <c r="J201" s="84">
        <v>0.7455360000000002</v>
      </c>
      <c r="K201" s="84">
        <v>0.76644000000000001</v>
      </c>
      <c r="L201" s="84">
        <v>0.81864800000000004</v>
      </c>
      <c r="M201" s="84">
        <v>0.87459999999999993</v>
      </c>
      <c r="N201" s="84">
        <v>0.87459999999999993</v>
      </c>
      <c r="O201" s="84">
        <v>0.87293599999999993</v>
      </c>
      <c r="P201" s="84">
        <v>0.87293599999999993</v>
      </c>
      <c r="Q201" s="84">
        <v>0.96965599999999996</v>
      </c>
      <c r="T201" s="94" t="s">
        <v>1180</v>
      </c>
      <c r="U201" s="94" t="s">
        <v>108</v>
      </c>
      <c r="Z201" s="91">
        <v>87.46</v>
      </c>
      <c r="AC201" s="91">
        <v>92.784800000000018</v>
      </c>
      <c r="AD201" s="91">
        <v>97.0488</v>
      </c>
      <c r="AG201" t="s">
        <v>1180</v>
      </c>
      <c r="AH201" s="84">
        <v>0.7455360000000002</v>
      </c>
      <c r="AI201" s="84">
        <v>0.76644000000000001</v>
      </c>
      <c r="AJ201" s="84">
        <v>0.81864800000000004</v>
      </c>
      <c r="AK201" s="84">
        <v>0.87459999999999993</v>
      </c>
      <c r="AL201" s="84">
        <v>0.87459999999999993</v>
      </c>
      <c r="AM201" s="84">
        <v>0.87293599999999993</v>
      </c>
      <c r="AN201" s="84">
        <v>0.87293599999999993</v>
      </c>
      <c r="AO201" s="84">
        <v>0.92784800000000023</v>
      </c>
      <c r="AP201" s="84">
        <v>0.97048800000000002</v>
      </c>
      <c r="AQ201" s="84">
        <v>0.96965599999999996</v>
      </c>
    </row>
    <row r="202" spans="6:43">
      <c r="F202">
        <v>199</v>
      </c>
      <c r="G202" t="s">
        <v>175</v>
      </c>
      <c r="H202" t="s">
        <v>108</v>
      </c>
      <c r="I202">
        <f t="shared" si="6"/>
        <v>725</v>
      </c>
      <c r="J202" s="84">
        <v>0.81267200000000006</v>
      </c>
      <c r="K202" s="84">
        <v>0.83438000000000012</v>
      </c>
      <c r="L202" s="84">
        <v>0.88859600000000027</v>
      </c>
      <c r="M202" s="84">
        <v>0.94669999999999999</v>
      </c>
      <c r="N202" s="84">
        <v>0.94669999999999999</v>
      </c>
      <c r="O202" s="84">
        <v>0.94497200000000026</v>
      </c>
      <c r="P202" s="84">
        <v>0.94497200000000026</v>
      </c>
      <c r="Q202" s="84">
        <v>1.045412</v>
      </c>
      <c r="T202" s="94" t="s">
        <v>1180</v>
      </c>
      <c r="U202" s="94" t="s">
        <v>108</v>
      </c>
      <c r="Z202" s="91">
        <v>94.67</v>
      </c>
      <c r="AC202" s="91">
        <v>100.19960000000003</v>
      </c>
      <c r="AD202" s="91">
        <v>104.6276</v>
      </c>
      <c r="AG202" t="s">
        <v>1180</v>
      </c>
      <c r="AH202" s="84">
        <v>0.81267200000000006</v>
      </c>
      <c r="AI202" s="84">
        <v>0.83438000000000012</v>
      </c>
      <c r="AJ202" s="84">
        <v>0.88859600000000027</v>
      </c>
      <c r="AK202" s="84">
        <v>0.94669999999999999</v>
      </c>
      <c r="AL202" s="84">
        <v>0.94669999999999999</v>
      </c>
      <c r="AM202" s="84">
        <v>0.94497200000000026</v>
      </c>
      <c r="AN202" s="84">
        <v>0.94497200000000026</v>
      </c>
      <c r="AO202" s="84">
        <v>1.0019960000000003</v>
      </c>
      <c r="AP202" s="84">
        <v>1.046276</v>
      </c>
      <c r="AQ202" s="84">
        <v>1.045412</v>
      </c>
    </row>
    <row r="203" spans="6:43">
      <c r="F203">
        <v>200</v>
      </c>
      <c r="G203" t="s">
        <v>176</v>
      </c>
      <c r="H203" t="s">
        <v>108</v>
      </c>
      <c r="I203">
        <f t="shared" si="6"/>
        <v>726</v>
      </c>
      <c r="J203" s="84">
        <v>0.85849999999999993</v>
      </c>
      <c r="K203" s="84">
        <v>0.88879999999999992</v>
      </c>
      <c r="L203" s="84">
        <v>0.94940000000000002</v>
      </c>
      <c r="M203" s="84">
        <v>1.0064649999999999</v>
      </c>
      <c r="N203" s="84">
        <v>1.0064649999999999</v>
      </c>
      <c r="O203" s="84">
        <v>1.0451480000000002</v>
      </c>
      <c r="P203" s="84">
        <v>1.0348459999999999</v>
      </c>
      <c r="Q203" s="84">
        <v>1.1070610000000001</v>
      </c>
      <c r="T203" s="94" t="s">
        <v>1128</v>
      </c>
      <c r="U203" s="94" t="s">
        <v>108</v>
      </c>
      <c r="Z203" s="91">
        <v>99.616299999999995</v>
      </c>
      <c r="AC203" s="91">
        <v>111.70599999999999</v>
      </c>
      <c r="AD203" s="91">
        <v>110.696</v>
      </c>
      <c r="AG203" t="s">
        <v>1128</v>
      </c>
      <c r="AH203" s="84">
        <v>0.85849999999999993</v>
      </c>
      <c r="AI203" s="84">
        <v>0.88879999999999992</v>
      </c>
      <c r="AJ203" s="84">
        <v>0.94940000000000002</v>
      </c>
      <c r="AK203" s="84">
        <v>1.0064649999999999</v>
      </c>
      <c r="AL203" s="84">
        <v>0.99616299999999991</v>
      </c>
      <c r="AM203" s="84">
        <v>1.0451480000000002</v>
      </c>
      <c r="AN203" s="84">
        <v>1.0348459999999999</v>
      </c>
      <c r="AO203" s="84">
        <v>1.1170599999999999</v>
      </c>
      <c r="AP203" s="84">
        <v>1.1069599999999999</v>
      </c>
      <c r="AQ203" s="84">
        <v>1.1070610000000001</v>
      </c>
    </row>
    <row r="204" spans="6:43">
      <c r="F204">
        <v>201</v>
      </c>
      <c r="G204" t="s">
        <v>178</v>
      </c>
      <c r="H204" t="s">
        <v>108</v>
      </c>
      <c r="I204">
        <f t="shared" si="6"/>
        <v>727</v>
      </c>
      <c r="J204" s="84">
        <v>0.77864800000000001</v>
      </c>
      <c r="K204" s="84">
        <v>0.810056</v>
      </c>
      <c r="L204" s="84">
        <v>0.8727680000000001</v>
      </c>
      <c r="M204" s="84">
        <v>0.91894400000000009</v>
      </c>
      <c r="N204" s="84">
        <v>0.91894400000000009</v>
      </c>
      <c r="O204" s="84">
        <v>0.9698</v>
      </c>
      <c r="P204" s="84">
        <v>0.95908799999999994</v>
      </c>
      <c r="Q204" s="84">
        <v>1.0232560000000002</v>
      </c>
      <c r="T204" s="94" t="s">
        <v>1181</v>
      </c>
      <c r="U204" s="94" t="s">
        <v>108</v>
      </c>
      <c r="Z204" s="91">
        <v>90.833600000000004</v>
      </c>
      <c r="AC204" s="91">
        <v>103.3656</v>
      </c>
      <c r="AD204" s="91">
        <v>102.3152</v>
      </c>
      <c r="AG204" t="s">
        <v>1181</v>
      </c>
      <c r="AH204" s="84">
        <v>0.77864800000000001</v>
      </c>
      <c r="AI204" s="84">
        <v>0.810056</v>
      </c>
      <c r="AJ204" s="84">
        <v>0.8727680000000001</v>
      </c>
      <c r="AK204" s="84">
        <v>0.91894400000000009</v>
      </c>
      <c r="AL204" s="84">
        <v>0.90833600000000003</v>
      </c>
      <c r="AM204" s="84">
        <v>0.9698</v>
      </c>
      <c r="AN204" s="84">
        <v>0.95908799999999994</v>
      </c>
      <c r="AO204" s="84">
        <v>1.0336559999999999</v>
      </c>
      <c r="AP204" s="84">
        <v>1.0231520000000001</v>
      </c>
      <c r="AQ204" s="84">
        <v>1.0232560000000002</v>
      </c>
    </row>
    <row r="205" spans="6:43">
      <c r="F205">
        <v>202</v>
      </c>
      <c r="G205" t="s">
        <v>179</v>
      </c>
      <c r="H205" t="s">
        <v>108</v>
      </c>
      <c r="I205">
        <f t="shared" si="6"/>
        <v>728</v>
      </c>
      <c r="J205" s="84">
        <v>0.74870000000000003</v>
      </c>
      <c r="K205" s="84">
        <v>0.77890000000000004</v>
      </c>
      <c r="L205" s="84">
        <v>0.83920000000000006</v>
      </c>
      <c r="M205" s="84">
        <v>0.88359999999999994</v>
      </c>
      <c r="N205" s="84">
        <v>0.88359999999999994</v>
      </c>
      <c r="O205" s="84">
        <v>0.9325</v>
      </c>
      <c r="P205" s="84">
        <v>0.92220000000000002</v>
      </c>
      <c r="Q205" s="84">
        <v>0.9839</v>
      </c>
      <c r="T205" s="94" t="s">
        <v>1182</v>
      </c>
      <c r="U205" s="94" t="s">
        <v>108</v>
      </c>
      <c r="Z205" s="91">
        <v>87.34</v>
      </c>
      <c r="AC205" s="91">
        <v>99.39</v>
      </c>
      <c r="AD205" s="91">
        <v>98.38</v>
      </c>
      <c r="AG205" t="s">
        <v>1182</v>
      </c>
      <c r="AH205" s="84">
        <v>0.74870000000000003</v>
      </c>
      <c r="AI205" s="84">
        <v>0.77890000000000004</v>
      </c>
      <c r="AJ205" s="84">
        <v>0.83920000000000006</v>
      </c>
      <c r="AK205" s="84">
        <v>0.88359999999999994</v>
      </c>
      <c r="AL205" s="84">
        <v>0.87340000000000007</v>
      </c>
      <c r="AM205" s="84">
        <v>0.9325</v>
      </c>
      <c r="AN205" s="84">
        <v>0.92220000000000002</v>
      </c>
      <c r="AO205" s="84">
        <v>0.99390000000000001</v>
      </c>
      <c r="AP205" s="84">
        <v>0.98380000000000001</v>
      </c>
      <c r="AQ205" s="84">
        <v>0.9839</v>
      </c>
    </row>
    <row r="206" spans="6:43">
      <c r="F206">
        <v>203</v>
      </c>
      <c r="G206" t="s">
        <v>138</v>
      </c>
      <c r="H206" s="1" t="s">
        <v>109</v>
      </c>
      <c r="I206">
        <v>800</v>
      </c>
      <c r="J206" s="84">
        <v>0.10949999999999999</v>
      </c>
      <c r="K206" s="84">
        <v>0.10949999999999999</v>
      </c>
      <c r="L206" s="84">
        <v>0.10279999999999999</v>
      </c>
      <c r="M206" s="84">
        <v>0.12269999999999999</v>
      </c>
      <c r="N206" s="84">
        <v>0.12269999999999999</v>
      </c>
      <c r="O206" s="84">
        <v>0.13750000000000001</v>
      </c>
      <c r="P206" s="84">
        <v>0.1366</v>
      </c>
      <c r="Q206" s="84">
        <v>0.18479999999999999</v>
      </c>
      <c r="T206" s="94" t="s">
        <v>138</v>
      </c>
      <c r="U206" s="94" t="s">
        <v>109</v>
      </c>
      <c r="Z206" s="91">
        <v>12.26</v>
      </c>
      <c r="AC206" s="91">
        <v>14.09</v>
      </c>
      <c r="AD206" s="91">
        <v>11.25</v>
      </c>
      <c r="AG206" t="s">
        <v>138</v>
      </c>
      <c r="AH206" s="84">
        <v>0.10949999999999999</v>
      </c>
      <c r="AI206" s="84">
        <v>0.10949999999999999</v>
      </c>
      <c r="AJ206" s="84">
        <v>0.10279999999999999</v>
      </c>
      <c r="AK206" s="84">
        <v>0.12269999999999999</v>
      </c>
      <c r="AL206" s="84">
        <v>0.1226</v>
      </c>
      <c r="AM206" s="84">
        <v>0.13750000000000001</v>
      </c>
      <c r="AN206" s="84">
        <v>0.1366</v>
      </c>
      <c r="AO206" s="84">
        <v>0.1409</v>
      </c>
      <c r="AP206" s="84">
        <v>0.1125</v>
      </c>
      <c r="AQ206" s="84">
        <v>0.18479999999999999</v>
      </c>
    </row>
    <row r="207" spans="6:43">
      <c r="F207">
        <v>204</v>
      </c>
      <c r="G207" t="s">
        <v>139</v>
      </c>
      <c r="H207" s="1" t="s">
        <v>109</v>
      </c>
      <c r="I207">
        <f>+I206+1</f>
        <v>801</v>
      </c>
      <c r="J207" s="84">
        <v>0.1017</v>
      </c>
      <c r="K207" s="84">
        <v>9.8800000000000013E-2</v>
      </c>
      <c r="L207" s="84">
        <v>9.6300000000000011E-2</v>
      </c>
      <c r="M207" s="84">
        <v>0.11630000000000001</v>
      </c>
      <c r="N207" s="84">
        <v>0.11630000000000001</v>
      </c>
      <c r="O207" s="84">
        <v>0.1394</v>
      </c>
      <c r="P207" s="84">
        <v>0.13470000000000001</v>
      </c>
      <c r="Q207" s="84">
        <v>0.19390000000000002</v>
      </c>
      <c r="T207" s="94" t="s">
        <v>139</v>
      </c>
      <c r="U207" s="94" t="s">
        <v>109</v>
      </c>
      <c r="Z207" s="91">
        <v>11.62</v>
      </c>
      <c r="AC207" s="91">
        <v>14.85</v>
      </c>
      <c r="AD207" s="91">
        <v>12.97</v>
      </c>
      <c r="AG207" t="s">
        <v>139</v>
      </c>
      <c r="AH207" s="84">
        <v>0.1017</v>
      </c>
      <c r="AI207" s="84">
        <v>9.8800000000000013E-2</v>
      </c>
      <c r="AJ207" s="84">
        <v>9.6300000000000011E-2</v>
      </c>
      <c r="AK207" s="84">
        <v>0.11630000000000001</v>
      </c>
      <c r="AL207" s="84">
        <v>0.1162</v>
      </c>
      <c r="AM207" s="84">
        <v>0.1394</v>
      </c>
      <c r="AN207" s="84">
        <v>0.13470000000000001</v>
      </c>
      <c r="AO207" s="84">
        <v>0.14849999999999999</v>
      </c>
      <c r="AP207" s="84">
        <v>0.12970000000000001</v>
      </c>
      <c r="AQ207" s="84">
        <v>0.19390000000000002</v>
      </c>
    </row>
    <row r="208" spans="6:43">
      <c r="F208">
        <v>205</v>
      </c>
      <c r="G208" t="s">
        <v>140</v>
      </c>
      <c r="H208" s="1" t="s">
        <v>109</v>
      </c>
      <c r="I208">
        <f t="shared" ref="I208:I234" si="7">+I207+1</f>
        <v>802</v>
      </c>
      <c r="J208" s="84">
        <v>6.480000000000001E-2</v>
      </c>
      <c r="K208" s="84">
        <v>6.2E-2</v>
      </c>
      <c r="L208" s="84">
        <v>5.9699999999999996E-2</v>
      </c>
      <c r="M208" s="84">
        <v>7.9199999999999993E-2</v>
      </c>
      <c r="N208" s="84">
        <v>7.9199999999999993E-2</v>
      </c>
      <c r="O208" s="84">
        <v>0.10150000000000001</v>
      </c>
      <c r="P208" s="84">
        <v>9.6999999999999989E-2</v>
      </c>
      <c r="Q208" s="84">
        <v>0.1542</v>
      </c>
      <c r="T208" s="94" t="s">
        <v>1164</v>
      </c>
      <c r="U208" s="94" t="s">
        <v>109</v>
      </c>
      <c r="Z208" s="91">
        <v>7.91</v>
      </c>
      <c r="AC208" s="91">
        <v>11.03</v>
      </c>
      <c r="AD208" s="91">
        <v>9.2200000000000006</v>
      </c>
      <c r="AG208" t="s">
        <v>1164</v>
      </c>
      <c r="AH208" s="84">
        <v>6.480000000000001E-2</v>
      </c>
      <c r="AI208" s="84">
        <v>6.2E-2</v>
      </c>
      <c r="AJ208" s="84">
        <v>5.9699999999999996E-2</v>
      </c>
      <c r="AK208" s="84">
        <v>7.9199999999999993E-2</v>
      </c>
      <c r="AL208" s="84">
        <v>7.9100000000000004E-2</v>
      </c>
      <c r="AM208" s="84">
        <v>0.10150000000000001</v>
      </c>
      <c r="AN208" s="84">
        <v>9.6999999999999989E-2</v>
      </c>
      <c r="AO208" s="84">
        <v>0.1103</v>
      </c>
      <c r="AP208" s="84">
        <v>9.2200000000000004E-2</v>
      </c>
      <c r="AQ208" s="84">
        <v>0.1542</v>
      </c>
    </row>
    <row r="209" spans="6:43">
      <c r="F209">
        <v>206</v>
      </c>
      <c r="G209" t="s">
        <v>142</v>
      </c>
      <c r="H209" s="1" t="s">
        <v>109</v>
      </c>
      <c r="I209">
        <f t="shared" si="7"/>
        <v>803</v>
      </c>
      <c r="J209" s="84">
        <v>0.19699999999999998</v>
      </c>
      <c r="K209" s="84">
        <v>0.1946</v>
      </c>
      <c r="L209" s="84">
        <v>0.1925</v>
      </c>
      <c r="M209" s="84">
        <v>0.21390000000000001</v>
      </c>
      <c r="N209" s="84">
        <v>0.21390000000000001</v>
      </c>
      <c r="O209" s="84">
        <v>0.2414</v>
      </c>
      <c r="P209" s="84">
        <v>0.2419</v>
      </c>
      <c r="Q209" s="84">
        <v>0.23399999999999999</v>
      </c>
      <c r="T209" s="94" t="s">
        <v>142</v>
      </c>
      <c r="U209" s="94" t="s">
        <v>109</v>
      </c>
      <c r="Z209" s="91">
        <v>21.39</v>
      </c>
      <c r="AC209" s="91">
        <v>24.04</v>
      </c>
      <c r="AD209" s="91">
        <v>23.74</v>
      </c>
      <c r="AG209" t="s">
        <v>142</v>
      </c>
      <c r="AH209" s="84">
        <v>0.19699999999999998</v>
      </c>
      <c r="AI209" s="84">
        <v>0.1946</v>
      </c>
      <c r="AJ209" s="84">
        <v>0.1925</v>
      </c>
      <c r="AK209" s="84">
        <v>0.21390000000000001</v>
      </c>
      <c r="AL209" s="84">
        <v>0.21390000000000001</v>
      </c>
      <c r="AM209" s="84">
        <v>0.2414</v>
      </c>
      <c r="AN209" s="84">
        <v>0.2419</v>
      </c>
      <c r="AO209" s="84">
        <v>0.2404</v>
      </c>
      <c r="AP209" s="84">
        <v>0.23739999999999997</v>
      </c>
      <c r="AQ209" s="84">
        <v>0.23399999999999999</v>
      </c>
    </row>
    <row r="210" spans="6:43">
      <c r="F210">
        <v>207</v>
      </c>
      <c r="G210" t="s">
        <v>143</v>
      </c>
      <c r="H210" s="1" t="s">
        <v>109</v>
      </c>
      <c r="I210">
        <f t="shared" si="7"/>
        <v>804</v>
      </c>
      <c r="J210" s="84">
        <v>0</v>
      </c>
      <c r="K210" s="84">
        <v>0</v>
      </c>
      <c r="L210" s="84">
        <v>0</v>
      </c>
      <c r="M210" s="84">
        <v>0</v>
      </c>
      <c r="N210" s="84">
        <v>0</v>
      </c>
      <c r="O210" s="84">
        <v>0</v>
      </c>
      <c r="P210" s="84">
        <v>0</v>
      </c>
      <c r="Q210" s="84">
        <v>0</v>
      </c>
      <c r="T210" s="94" t="s">
        <v>1165</v>
      </c>
      <c r="U210" s="94" t="s">
        <v>109</v>
      </c>
      <c r="V210" s="92"/>
      <c r="W210" s="92"/>
      <c r="X210" s="92"/>
      <c r="Y210" s="92"/>
      <c r="Z210" s="92"/>
      <c r="AA210" s="92"/>
      <c r="AB210" s="92"/>
      <c r="AC210" s="92"/>
      <c r="AD210" s="92"/>
      <c r="AE210" s="92"/>
      <c r="AG210" t="s">
        <v>1165</v>
      </c>
      <c r="AH210" s="84">
        <v>0</v>
      </c>
      <c r="AI210" s="84">
        <v>0</v>
      </c>
      <c r="AJ210" s="84">
        <v>0</v>
      </c>
      <c r="AK210" s="84">
        <v>0</v>
      </c>
      <c r="AL210" s="84">
        <v>0</v>
      </c>
      <c r="AM210" s="84">
        <v>0</v>
      </c>
      <c r="AN210" s="84">
        <v>0</v>
      </c>
      <c r="AO210" s="84">
        <v>0</v>
      </c>
      <c r="AP210" s="84">
        <v>0</v>
      </c>
      <c r="AQ210" s="84">
        <v>0</v>
      </c>
    </row>
    <row r="211" spans="6:43">
      <c r="F211">
        <v>208</v>
      </c>
      <c r="G211" t="s">
        <v>145</v>
      </c>
      <c r="H211" s="1" t="s">
        <v>109</v>
      </c>
      <c r="I211">
        <f t="shared" si="7"/>
        <v>805</v>
      </c>
      <c r="J211" s="84"/>
      <c r="K211" s="84"/>
      <c r="L211" s="84"/>
      <c r="M211" s="84"/>
      <c r="N211" s="84"/>
      <c r="O211" s="84"/>
      <c r="P211" s="84"/>
      <c r="Q211" s="84"/>
      <c r="T211" s="94"/>
      <c r="U211" s="94"/>
      <c r="V211" s="107"/>
      <c r="W211" s="107"/>
      <c r="X211" s="107"/>
      <c r="Y211" s="107"/>
      <c r="Z211" s="92"/>
      <c r="AA211" s="107"/>
      <c r="AB211" s="107"/>
      <c r="AC211" s="92"/>
      <c r="AD211" s="92"/>
      <c r="AE211" s="107"/>
      <c r="AH211" s="84"/>
      <c r="AI211" s="84"/>
      <c r="AJ211" s="84"/>
      <c r="AK211" s="84"/>
      <c r="AL211" s="84"/>
      <c r="AM211" s="84"/>
      <c r="AN211" s="84"/>
      <c r="AO211" s="84"/>
      <c r="AP211" s="84"/>
      <c r="AQ211" s="84"/>
    </row>
    <row r="212" spans="6:43">
      <c r="F212">
        <v>209</v>
      </c>
      <c r="G212" t="s">
        <v>146</v>
      </c>
      <c r="H212" s="1" t="s">
        <v>109</v>
      </c>
      <c r="I212">
        <f t="shared" si="7"/>
        <v>806</v>
      </c>
      <c r="J212" s="84">
        <v>0.40429999999999999</v>
      </c>
      <c r="K212" s="84">
        <v>0.40200000000000002</v>
      </c>
      <c r="L212" s="84">
        <v>0.39990000000000003</v>
      </c>
      <c r="M212" s="84">
        <v>0.42560000000000003</v>
      </c>
      <c r="N212" s="84">
        <v>0.42560000000000003</v>
      </c>
      <c r="O212" s="84">
        <v>0.45979999999999999</v>
      </c>
      <c r="P212" s="84">
        <v>0.45979999999999999</v>
      </c>
      <c r="Q212" s="84">
        <v>0.45219999999999999</v>
      </c>
      <c r="T212" s="94" t="s">
        <v>1126</v>
      </c>
      <c r="U212" s="94" t="s">
        <v>109</v>
      </c>
      <c r="Z212" s="91">
        <v>42.55</v>
      </c>
      <c r="AC212" s="91">
        <v>46.08</v>
      </c>
      <c r="AD212" s="91">
        <v>45.41</v>
      </c>
      <c r="AG212" t="s">
        <v>1126</v>
      </c>
      <c r="AH212" s="84">
        <v>0.40429999999999999</v>
      </c>
      <c r="AI212" s="84">
        <v>0.40200000000000002</v>
      </c>
      <c r="AJ212" s="84">
        <v>0.39990000000000003</v>
      </c>
      <c r="AK212" s="84">
        <v>0.42560000000000003</v>
      </c>
      <c r="AL212" s="84">
        <v>0.42549999999999999</v>
      </c>
      <c r="AM212" s="84">
        <v>0.45979999999999999</v>
      </c>
      <c r="AN212" s="84">
        <v>0.45979999999999999</v>
      </c>
      <c r="AO212" s="84">
        <v>0.46079999999999999</v>
      </c>
      <c r="AP212" s="84">
        <v>0.45409999999999995</v>
      </c>
      <c r="AQ212" s="84">
        <v>0.45219999999999999</v>
      </c>
    </row>
    <row r="213" spans="6:43">
      <c r="F213">
        <v>210</v>
      </c>
      <c r="G213" t="s">
        <v>148</v>
      </c>
      <c r="H213" s="1" t="s">
        <v>109</v>
      </c>
      <c r="I213">
        <f t="shared" si="7"/>
        <v>807</v>
      </c>
      <c r="J213" s="84">
        <v>0.47960000000000003</v>
      </c>
      <c r="K213" s="84">
        <v>0.47729999999999995</v>
      </c>
      <c r="L213" s="84">
        <v>0.47520000000000001</v>
      </c>
      <c r="M213" s="84">
        <v>0.50240000000000007</v>
      </c>
      <c r="N213" s="84">
        <v>0.50240000000000007</v>
      </c>
      <c r="O213" s="84">
        <v>0.53839999999999999</v>
      </c>
      <c r="P213" s="84">
        <v>0.53839999999999999</v>
      </c>
      <c r="Q213" s="84">
        <v>0.53049999999999997</v>
      </c>
      <c r="T213" s="94" t="s">
        <v>1166</v>
      </c>
      <c r="U213" s="94" t="s">
        <v>109</v>
      </c>
      <c r="Z213" s="91">
        <v>50.23</v>
      </c>
      <c r="AC213" s="91">
        <v>53.95</v>
      </c>
      <c r="AD213" s="91">
        <v>53.24</v>
      </c>
      <c r="AG213" t="s">
        <v>1166</v>
      </c>
      <c r="AH213" s="84">
        <v>0.47960000000000003</v>
      </c>
      <c r="AI213" s="84">
        <v>0.47729999999999995</v>
      </c>
      <c r="AJ213" s="84">
        <v>0.47520000000000001</v>
      </c>
      <c r="AK213" s="84">
        <v>0.50240000000000007</v>
      </c>
      <c r="AL213" s="84">
        <v>0.50229999999999997</v>
      </c>
      <c r="AM213" s="84">
        <v>0.53839999999999999</v>
      </c>
      <c r="AN213" s="84">
        <v>0.53839999999999999</v>
      </c>
      <c r="AO213" s="84">
        <v>0.53949999999999998</v>
      </c>
      <c r="AP213" s="84">
        <v>0.53239999999999998</v>
      </c>
      <c r="AQ213" s="84">
        <v>0.53049999999999997</v>
      </c>
    </row>
    <row r="214" spans="6:43">
      <c r="F214">
        <v>211</v>
      </c>
      <c r="G214" t="s">
        <v>149</v>
      </c>
      <c r="H214" s="1" t="s">
        <v>109</v>
      </c>
      <c r="I214">
        <f t="shared" si="7"/>
        <v>808</v>
      </c>
      <c r="J214" s="84">
        <v>0.49780000000000002</v>
      </c>
      <c r="K214" s="84">
        <v>0.49560000000000004</v>
      </c>
      <c r="L214" s="84">
        <v>0.49369999999999997</v>
      </c>
      <c r="M214" s="84">
        <v>0.52129999999999999</v>
      </c>
      <c r="N214" s="84">
        <v>0.52129999999999999</v>
      </c>
      <c r="O214" s="84">
        <v>0.55779999999999996</v>
      </c>
      <c r="P214" s="84">
        <v>0.55779999999999996</v>
      </c>
      <c r="Q214" s="84">
        <v>0.54979999999999996</v>
      </c>
      <c r="T214" s="94" t="s">
        <v>1167</v>
      </c>
      <c r="U214" s="94" t="s">
        <v>109</v>
      </c>
      <c r="Z214" s="91">
        <v>52.12</v>
      </c>
      <c r="AC214" s="91">
        <v>55.89</v>
      </c>
      <c r="AD214" s="91">
        <v>55.18</v>
      </c>
      <c r="AG214" t="s">
        <v>1167</v>
      </c>
      <c r="AH214" s="84">
        <v>0.49780000000000002</v>
      </c>
      <c r="AI214" s="84">
        <v>0.49560000000000004</v>
      </c>
      <c r="AJ214" s="84">
        <v>0.49369999999999997</v>
      </c>
      <c r="AK214" s="84">
        <v>0.52129999999999999</v>
      </c>
      <c r="AL214" s="84">
        <v>0.5212</v>
      </c>
      <c r="AM214" s="84">
        <v>0.55779999999999996</v>
      </c>
      <c r="AN214" s="84">
        <v>0.55779999999999996</v>
      </c>
      <c r="AO214" s="84">
        <v>0.55889999999999995</v>
      </c>
      <c r="AP214" s="84">
        <v>0.55179999999999996</v>
      </c>
      <c r="AQ214" s="84">
        <v>0.54979999999999996</v>
      </c>
    </row>
    <row r="215" spans="6:43">
      <c r="F215">
        <v>212</v>
      </c>
      <c r="G215" t="s">
        <v>151</v>
      </c>
      <c r="H215" s="1" t="s">
        <v>109</v>
      </c>
      <c r="I215">
        <f t="shared" si="7"/>
        <v>809</v>
      </c>
      <c r="J215" s="84">
        <v>0.56520000000000004</v>
      </c>
      <c r="K215" s="84">
        <v>0.56289999999999996</v>
      </c>
      <c r="L215" s="84">
        <v>0.56090000000000007</v>
      </c>
      <c r="M215" s="84">
        <v>0.5897</v>
      </c>
      <c r="N215" s="84">
        <v>0.5897</v>
      </c>
      <c r="O215" s="84">
        <v>0.62790000000000001</v>
      </c>
      <c r="P215" s="84">
        <v>0.62790000000000001</v>
      </c>
      <c r="Q215" s="84">
        <v>0.61960000000000004</v>
      </c>
      <c r="T215" s="94" t="s">
        <v>1168</v>
      </c>
      <c r="U215" s="94" t="s">
        <v>109</v>
      </c>
      <c r="Z215" s="91">
        <v>58.97</v>
      </c>
      <c r="AC215" s="91">
        <v>62.91</v>
      </c>
      <c r="AD215" s="91">
        <v>62.16</v>
      </c>
      <c r="AG215" t="s">
        <v>1168</v>
      </c>
      <c r="AH215" s="84">
        <v>0.56520000000000004</v>
      </c>
      <c r="AI215" s="84">
        <v>0.56289999999999996</v>
      </c>
      <c r="AJ215" s="84">
        <v>0.56090000000000007</v>
      </c>
      <c r="AK215" s="84">
        <v>0.5897</v>
      </c>
      <c r="AL215" s="84">
        <v>0.5897</v>
      </c>
      <c r="AM215" s="84">
        <v>0.62790000000000001</v>
      </c>
      <c r="AN215" s="84">
        <v>0.62790000000000001</v>
      </c>
      <c r="AO215" s="84">
        <v>0.62909999999999999</v>
      </c>
      <c r="AP215" s="84">
        <v>0.62159999999999993</v>
      </c>
      <c r="AQ215" s="84">
        <v>0.61960000000000004</v>
      </c>
    </row>
    <row r="216" spans="6:43">
      <c r="F216">
        <v>213</v>
      </c>
      <c r="G216" t="s">
        <v>152</v>
      </c>
      <c r="H216" s="1" t="s">
        <v>109</v>
      </c>
      <c r="I216">
        <f t="shared" si="7"/>
        <v>810</v>
      </c>
      <c r="J216" s="84">
        <v>0</v>
      </c>
      <c r="K216" s="84">
        <v>0</v>
      </c>
      <c r="L216" s="84">
        <v>0</v>
      </c>
      <c r="M216" s="84">
        <v>0</v>
      </c>
      <c r="N216" s="84">
        <v>0</v>
      </c>
      <c r="O216" s="84">
        <v>0</v>
      </c>
      <c r="P216" s="84">
        <v>0</v>
      </c>
      <c r="Q216" s="84">
        <v>0</v>
      </c>
      <c r="T216" s="94" t="s">
        <v>1169</v>
      </c>
      <c r="U216" s="94" t="s">
        <v>109</v>
      </c>
      <c r="V216" s="92"/>
      <c r="W216" s="92"/>
      <c r="X216" s="92"/>
      <c r="Y216" s="92"/>
      <c r="Z216" s="92"/>
      <c r="AA216" s="92"/>
      <c r="AB216" s="92"/>
      <c r="AC216" s="92"/>
      <c r="AD216" s="92"/>
      <c r="AE216" s="92"/>
      <c r="AG216" t="s">
        <v>1169</v>
      </c>
      <c r="AH216" s="84">
        <v>0</v>
      </c>
      <c r="AI216" s="84">
        <v>0</v>
      </c>
      <c r="AJ216" s="84">
        <v>0</v>
      </c>
      <c r="AK216" s="84">
        <v>0</v>
      </c>
      <c r="AL216" s="84">
        <v>0</v>
      </c>
      <c r="AM216" s="84">
        <v>0</v>
      </c>
      <c r="AN216" s="84">
        <v>0</v>
      </c>
      <c r="AO216" s="84">
        <v>0</v>
      </c>
      <c r="AP216" s="84">
        <v>0</v>
      </c>
      <c r="AQ216" s="84">
        <v>0</v>
      </c>
    </row>
    <row r="217" spans="6:43">
      <c r="F217">
        <v>214</v>
      </c>
      <c r="G217" t="s">
        <v>154</v>
      </c>
      <c r="H217" s="1" t="s">
        <v>109</v>
      </c>
      <c r="I217">
        <f t="shared" si="7"/>
        <v>811</v>
      </c>
      <c r="J217" s="84">
        <v>0.55169999999999997</v>
      </c>
      <c r="K217" s="84">
        <v>0.54079999999999995</v>
      </c>
      <c r="L217" s="84">
        <v>0.53270000000000006</v>
      </c>
      <c r="M217" s="84">
        <v>0.55610000000000004</v>
      </c>
      <c r="N217" s="84">
        <v>0.55610000000000004</v>
      </c>
      <c r="O217" s="84">
        <v>0.60209999999999997</v>
      </c>
      <c r="P217" s="84">
        <v>0.60219999999999996</v>
      </c>
      <c r="Q217" s="84">
        <v>0.60150000000000003</v>
      </c>
      <c r="T217" s="94" t="s">
        <v>733</v>
      </c>
      <c r="U217" s="94" t="s">
        <v>109</v>
      </c>
      <c r="Z217" s="91">
        <v>55.61</v>
      </c>
      <c r="AC217" s="91">
        <v>62.1</v>
      </c>
      <c r="AD217" s="91">
        <v>60.29</v>
      </c>
      <c r="AG217" t="s">
        <v>733</v>
      </c>
      <c r="AH217" s="84">
        <v>0.55169999999999997</v>
      </c>
      <c r="AI217" s="84">
        <v>0.54079999999999995</v>
      </c>
      <c r="AJ217" s="84">
        <v>0.53270000000000006</v>
      </c>
      <c r="AK217" s="84">
        <v>0.55610000000000004</v>
      </c>
      <c r="AL217" s="84">
        <v>0.55610000000000004</v>
      </c>
      <c r="AM217" s="84">
        <v>0.60209999999999997</v>
      </c>
      <c r="AN217" s="84">
        <v>0.60219999999999996</v>
      </c>
      <c r="AO217" s="84">
        <v>0.621</v>
      </c>
      <c r="AP217" s="84">
        <v>0.60289999999999999</v>
      </c>
      <c r="AQ217" s="84">
        <v>0.60150000000000003</v>
      </c>
    </row>
    <row r="218" spans="6:43">
      <c r="F218">
        <v>215</v>
      </c>
      <c r="G218" t="s">
        <v>155</v>
      </c>
      <c r="H218" s="1" t="s">
        <v>109</v>
      </c>
      <c r="I218">
        <f t="shared" si="7"/>
        <v>812</v>
      </c>
      <c r="J218" s="84">
        <v>0.52929999999999999</v>
      </c>
      <c r="K218" s="84">
        <v>0.52710000000000001</v>
      </c>
      <c r="L218" s="84">
        <v>0.5252</v>
      </c>
      <c r="M218" s="84">
        <v>0.55359999999999998</v>
      </c>
      <c r="N218" s="84">
        <v>0.55359999999999998</v>
      </c>
      <c r="O218" s="84">
        <v>0.57679999999999998</v>
      </c>
      <c r="P218" s="84">
        <v>0.57689999999999997</v>
      </c>
      <c r="Q218" s="84">
        <v>0.56110000000000004</v>
      </c>
      <c r="T218" s="94" t="s">
        <v>1170</v>
      </c>
      <c r="U218" s="94" t="s">
        <v>109</v>
      </c>
      <c r="Z218" s="91">
        <v>55.35</v>
      </c>
      <c r="AC218" s="91">
        <v>58.01</v>
      </c>
      <c r="AD218" s="91">
        <v>56.24</v>
      </c>
      <c r="AG218" t="s">
        <v>1170</v>
      </c>
      <c r="AH218" s="84">
        <v>0.52929999999999999</v>
      </c>
      <c r="AI218" s="84">
        <v>0.52710000000000001</v>
      </c>
      <c r="AJ218" s="84">
        <v>0.5252</v>
      </c>
      <c r="AK218" s="84">
        <v>0.55359999999999998</v>
      </c>
      <c r="AL218" s="84">
        <v>0.55349999999999999</v>
      </c>
      <c r="AM218" s="84">
        <v>0.57679999999999998</v>
      </c>
      <c r="AN218" s="84">
        <v>0.57689999999999997</v>
      </c>
      <c r="AO218" s="84">
        <v>0.58009999999999995</v>
      </c>
      <c r="AP218" s="84">
        <v>0.56240000000000001</v>
      </c>
      <c r="AQ218" s="84">
        <v>0.56110000000000004</v>
      </c>
    </row>
    <row r="219" spans="6:43">
      <c r="F219">
        <v>216</v>
      </c>
      <c r="G219" t="s">
        <v>157</v>
      </c>
      <c r="H219" s="1" t="s">
        <v>109</v>
      </c>
      <c r="I219">
        <f t="shared" si="7"/>
        <v>813</v>
      </c>
      <c r="J219" s="84">
        <v>0.52770000000000006</v>
      </c>
      <c r="K219" s="84">
        <v>0.52560000000000007</v>
      </c>
      <c r="L219" s="84">
        <v>0.52380000000000004</v>
      </c>
      <c r="M219" s="84">
        <v>0.55230000000000001</v>
      </c>
      <c r="N219" s="84">
        <v>0.55230000000000001</v>
      </c>
      <c r="O219" s="84">
        <v>0.5756</v>
      </c>
      <c r="P219" s="84">
        <v>0.5756</v>
      </c>
      <c r="Q219" s="84">
        <v>0.55990000000000006</v>
      </c>
      <c r="T219" s="94" t="s">
        <v>1171</v>
      </c>
      <c r="U219" s="94" t="s">
        <v>109</v>
      </c>
      <c r="Z219" s="91">
        <v>55.22</v>
      </c>
      <c r="AC219" s="91">
        <v>57.88</v>
      </c>
      <c r="AD219" s="91">
        <v>56.12</v>
      </c>
      <c r="AG219" t="s">
        <v>1171</v>
      </c>
      <c r="AH219" s="84">
        <v>0.52770000000000006</v>
      </c>
      <c r="AI219" s="84">
        <v>0.52560000000000007</v>
      </c>
      <c r="AJ219" s="84">
        <v>0.52380000000000004</v>
      </c>
      <c r="AK219" s="84">
        <v>0.55230000000000001</v>
      </c>
      <c r="AL219" s="84">
        <v>0.55220000000000002</v>
      </c>
      <c r="AM219" s="84">
        <v>0.5756</v>
      </c>
      <c r="AN219" s="84">
        <v>0.5756</v>
      </c>
      <c r="AO219" s="84">
        <v>0.57879999999999998</v>
      </c>
      <c r="AP219" s="84">
        <v>0.56119999999999992</v>
      </c>
      <c r="AQ219" s="84">
        <v>0.55990000000000006</v>
      </c>
    </row>
    <row r="220" spans="6:43">
      <c r="F220">
        <v>217</v>
      </c>
      <c r="G220" t="s">
        <v>158</v>
      </c>
      <c r="H220" s="1" t="s">
        <v>109</v>
      </c>
      <c r="I220">
        <f t="shared" si="7"/>
        <v>814</v>
      </c>
      <c r="J220" s="84">
        <v>0.57350000000000001</v>
      </c>
      <c r="K220" s="84">
        <v>0.57140000000000002</v>
      </c>
      <c r="L220" s="84">
        <v>0.56950000000000001</v>
      </c>
      <c r="M220" s="84">
        <v>0.5988</v>
      </c>
      <c r="N220" s="84">
        <v>0.5988</v>
      </c>
      <c r="O220" s="84">
        <v>0.62280000000000002</v>
      </c>
      <c r="P220" s="84">
        <v>0.62290000000000001</v>
      </c>
      <c r="Q220" s="84">
        <v>0.60670000000000002</v>
      </c>
      <c r="T220" s="94" t="s">
        <v>1172</v>
      </c>
      <c r="U220" s="94" t="s">
        <v>109</v>
      </c>
      <c r="Z220" s="91">
        <v>59.88</v>
      </c>
      <c r="AC220" s="91">
        <v>62.62</v>
      </c>
      <c r="AD220" s="91">
        <v>60.81</v>
      </c>
      <c r="AG220" t="s">
        <v>1172</v>
      </c>
      <c r="AH220" s="84">
        <v>0.57350000000000001</v>
      </c>
      <c r="AI220" s="84">
        <v>0.57140000000000002</v>
      </c>
      <c r="AJ220" s="84">
        <v>0.56950000000000001</v>
      </c>
      <c r="AK220" s="84">
        <v>0.5988</v>
      </c>
      <c r="AL220" s="84">
        <v>0.5988</v>
      </c>
      <c r="AM220" s="84">
        <v>0.62280000000000002</v>
      </c>
      <c r="AN220" s="84">
        <v>0.62290000000000001</v>
      </c>
      <c r="AO220" s="84">
        <v>0.62619999999999998</v>
      </c>
      <c r="AP220" s="84">
        <v>0.60809999999999997</v>
      </c>
      <c r="AQ220" s="84">
        <v>0.60670000000000002</v>
      </c>
    </row>
    <row r="221" spans="6:43">
      <c r="F221">
        <v>218</v>
      </c>
      <c r="G221" t="s">
        <v>160</v>
      </c>
      <c r="H221" s="1" t="s">
        <v>109</v>
      </c>
      <c r="I221">
        <f t="shared" si="7"/>
        <v>815</v>
      </c>
      <c r="J221" s="84">
        <v>0</v>
      </c>
      <c r="K221" s="84">
        <v>0</v>
      </c>
      <c r="L221" s="84">
        <v>0</v>
      </c>
      <c r="M221" s="84">
        <v>0</v>
      </c>
      <c r="N221" s="84">
        <v>0</v>
      </c>
      <c r="O221" s="84">
        <v>0</v>
      </c>
      <c r="P221" s="84">
        <v>0</v>
      </c>
      <c r="Q221" s="84">
        <v>0</v>
      </c>
      <c r="T221" s="94" t="s">
        <v>1173</v>
      </c>
      <c r="U221" s="94" t="s">
        <v>109</v>
      </c>
      <c r="V221" s="92"/>
      <c r="W221" s="92"/>
      <c r="X221" s="92"/>
      <c r="Y221" s="92"/>
      <c r="Z221" s="92"/>
      <c r="AA221" s="92"/>
      <c r="AB221" s="92"/>
      <c r="AC221" s="92"/>
      <c r="AD221" s="92"/>
      <c r="AE221" s="92"/>
      <c r="AG221" t="s">
        <v>1173</v>
      </c>
      <c r="AH221" s="84">
        <v>0</v>
      </c>
      <c r="AI221" s="84">
        <v>0</v>
      </c>
      <c r="AJ221" s="84">
        <v>0</v>
      </c>
      <c r="AK221" s="84">
        <v>0</v>
      </c>
      <c r="AL221" s="84">
        <v>0</v>
      </c>
      <c r="AM221" s="84">
        <v>0</v>
      </c>
      <c r="AN221" s="84">
        <v>0</v>
      </c>
      <c r="AO221" s="84">
        <v>0</v>
      </c>
      <c r="AP221" s="84">
        <v>0</v>
      </c>
      <c r="AQ221" s="84">
        <v>0</v>
      </c>
    </row>
    <row r="222" spans="6:43">
      <c r="F222">
        <v>219</v>
      </c>
      <c r="G222" t="s">
        <v>161</v>
      </c>
      <c r="H222" s="1" t="s">
        <v>109</v>
      </c>
      <c r="I222">
        <f t="shared" si="7"/>
        <v>816</v>
      </c>
      <c r="J222" s="84">
        <v>0.53139999999999998</v>
      </c>
      <c r="K222" s="84">
        <v>0.54569999999999996</v>
      </c>
      <c r="L222" s="84">
        <v>0.5615</v>
      </c>
      <c r="M222" s="84">
        <v>0.59379999999999999</v>
      </c>
      <c r="N222" s="84">
        <v>0.59379999999999999</v>
      </c>
      <c r="O222" s="84">
        <v>0.61909999999999998</v>
      </c>
      <c r="P222" s="84">
        <v>0.61970000000000003</v>
      </c>
      <c r="Q222" s="84">
        <v>0.61809999999999998</v>
      </c>
      <c r="T222" s="94" t="s">
        <v>734</v>
      </c>
      <c r="U222" s="94" t="s">
        <v>109</v>
      </c>
      <c r="Z222" s="91">
        <v>59.44</v>
      </c>
      <c r="AC222" s="91">
        <v>63.02</v>
      </c>
      <c r="AD222" s="91">
        <v>61.58</v>
      </c>
      <c r="AG222" t="s">
        <v>734</v>
      </c>
      <c r="AH222" s="84">
        <v>0.53139999999999998</v>
      </c>
      <c r="AI222" s="84">
        <v>0.54569999999999996</v>
      </c>
      <c r="AJ222" s="84">
        <v>0.5615</v>
      </c>
      <c r="AK222" s="84">
        <v>0.59379999999999999</v>
      </c>
      <c r="AL222" s="84">
        <v>0.59439999999999993</v>
      </c>
      <c r="AM222" s="84">
        <v>0.61909999999999998</v>
      </c>
      <c r="AN222" s="84">
        <v>0.61970000000000003</v>
      </c>
      <c r="AO222" s="84">
        <v>0.63019999999999998</v>
      </c>
      <c r="AP222" s="84">
        <v>0.61580000000000001</v>
      </c>
      <c r="AQ222" s="84">
        <v>0.61809999999999998</v>
      </c>
    </row>
    <row r="223" spans="6:43">
      <c r="F223">
        <v>220</v>
      </c>
      <c r="G223" t="s">
        <v>163</v>
      </c>
      <c r="H223" s="1" t="s">
        <v>109</v>
      </c>
      <c r="I223">
        <f t="shared" si="7"/>
        <v>817</v>
      </c>
      <c r="J223" s="84">
        <v>0.48930000000000001</v>
      </c>
      <c r="K223" s="84">
        <v>0.49520000000000003</v>
      </c>
      <c r="L223" s="84">
        <v>0.50880000000000003</v>
      </c>
      <c r="M223" s="84">
        <v>0.53720000000000001</v>
      </c>
      <c r="N223" s="84">
        <v>0.53720000000000001</v>
      </c>
      <c r="O223" s="84">
        <v>0.5615</v>
      </c>
      <c r="P223" s="84">
        <v>0.56210000000000004</v>
      </c>
      <c r="Q223" s="84">
        <v>0.56059999999999999</v>
      </c>
      <c r="T223" s="94" t="s">
        <v>1174</v>
      </c>
      <c r="U223" s="94" t="s">
        <v>109</v>
      </c>
      <c r="Z223" s="91">
        <v>53.72</v>
      </c>
      <c r="AC223" s="91">
        <v>57.22</v>
      </c>
      <c r="AD223" s="91">
        <v>55.83</v>
      </c>
      <c r="AG223" t="s">
        <v>1174</v>
      </c>
      <c r="AH223" s="84">
        <v>0.48930000000000001</v>
      </c>
      <c r="AI223" s="84">
        <v>0.49520000000000003</v>
      </c>
      <c r="AJ223" s="84">
        <v>0.50880000000000003</v>
      </c>
      <c r="AK223" s="84">
        <v>0.53720000000000001</v>
      </c>
      <c r="AL223" s="84">
        <v>0.53720000000000001</v>
      </c>
      <c r="AM223" s="84">
        <v>0.5615</v>
      </c>
      <c r="AN223" s="84">
        <v>0.56210000000000004</v>
      </c>
      <c r="AO223" s="84">
        <v>0.57220000000000004</v>
      </c>
      <c r="AP223" s="84">
        <v>0.55830000000000002</v>
      </c>
      <c r="AQ223" s="84">
        <v>0.56059999999999999</v>
      </c>
    </row>
    <row r="224" spans="6:43">
      <c r="F224">
        <v>221</v>
      </c>
      <c r="G224" t="s">
        <v>164</v>
      </c>
      <c r="H224" s="1" t="s">
        <v>109</v>
      </c>
      <c r="I224">
        <f t="shared" si="7"/>
        <v>818</v>
      </c>
      <c r="J224" s="84">
        <v>0.41450000000000004</v>
      </c>
      <c r="K224" s="84">
        <v>0.41320000000000001</v>
      </c>
      <c r="L224" s="84">
        <v>0.41220000000000001</v>
      </c>
      <c r="M224" s="84">
        <v>0.43890000000000001</v>
      </c>
      <c r="N224" s="84">
        <v>0.43890000000000001</v>
      </c>
      <c r="O224" s="84">
        <v>0.44719999999999999</v>
      </c>
      <c r="P224" s="84">
        <v>0.44780000000000003</v>
      </c>
      <c r="Q224" s="84">
        <v>0.44650000000000001</v>
      </c>
      <c r="T224" s="94" t="s">
        <v>1175</v>
      </c>
      <c r="U224" s="94" t="s">
        <v>109</v>
      </c>
      <c r="Z224" s="91">
        <v>43.89</v>
      </c>
      <c r="AC224" s="91">
        <v>45.72</v>
      </c>
      <c r="AD224" s="91">
        <v>44.44</v>
      </c>
      <c r="AG224" t="s">
        <v>1175</v>
      </c>
      <c r="AH224" s="84">
        <v>0.41450000000000004</v>
      </c>
      <c r="AI224" s="84">
        <v>0.41320000000000001</v>
      </c>
      <c r="AJ224" s="84">
        <v>0.41220000000000001</v>
      </c>
      <c r="AK224" s="84">
        <v>0.43890000000000001</v>
      </c>
      <c r="AL224" s="84">
        <v>0.43890000000000001</v>
      </c>
      <c r="AM224" s="84">
        <v>0.44719999999999999</v>
      </c>
      <c r="AN224" s="84">
        <v>0.44780000000000003</v>
      </c>
      <c r="AO224" s="84">
        <v>0.4572</v>
      </c>
      <c r="AP224" s="84">
        <v>0.44439999999999996</v>
      </c>
      <c r="AQ224" s="84">
        <v>0.44650000000000001</v>
      </c>
    </row>
    <row r="225" spans="6:43">
      <c r="F225">
        <v>222</v>
      </c>
      <c r="G225" t="s">
        <v>166</v>
      </c>
      <c r="H225" s="1" t="s">
        <v>109</v>
      </c>
      <c r="I225">
        <f t="shared" si="7"/>
        <v>819</v>
      </c>
      <c r="J225" s="84">
        <v>0.40939999999999999</v>
      </c>
      <c r="K225" s="84">
        <v>0.40820000000000001</v>
      </c>
      <c r="L225" s="84">
        <v>0.40720000000000001</v>
      </c>
      <c r="M225" s="84">
        <v>0.434</v>
      </c>
      <c r="N225" s="84">
        <v>0.434</v>
      </c>
      <c r="O225" s="84">
        <v>0.44229999999999997</v>
      </c>
      <c r="P225" s="84">
        <v>0.44290000000000002</v>
      </c>
      <c r="Q225" s="84">
        <v>0.4415</v>
      </c>
      <c r="T225" s="94" t="s">
        <v>1176</v>
      </c>
      <c r="U225" s="94" t="s">
        <v>109</v>
      </c>
      <c r="Z225" s="91">
        <v>43.39</v>
      </c>
      <c r="AC225" s="91">
        <v>45.22</v>
      </c>
      <c r="AD225" s="91">
        <v>43.94</v>
      </c>
      <c r="AG225" t="s">
        <v>1176</v>
      </c>
      <c r="AH225" s="84">
        <v>0.40939999999999999</v>
      </c>
      <c r="AI225" s="84">
        <v>0.40820000000000001</v>
      </c>
      <c r="AJ225" s="84">
        <v>0.40720000000000001</v>
      </c>
      <c r="AK225" s="84">
        <v>0.434</v>
      </c>
      <c r="AL225" s="84">
        <v>0.43390000000000001</v>
      </c>
      <c r="AM225" s="84">
        <v>0.44229999999999997</v>
      </c>
      <c r="AN225" s="84">
        <v>0.44290000000000002</v>
      </c>
      <c r="AO225" s="84">
        <v>0.45219999999999999</v>
      </c>
      <c r="AP225" s="84">
        <v>0.43939999999999996</v>
      </c>
      <c r="AQ225" s="84">
        <v>0.4415</v>
      </c>
    </row>
    <row r="226" spans="6:43">
      <c r="F226">
        <v>223</v>
      </c>
      <c r="G226" t="s">
        <v>167</v>
      </c>
      <c r="H226" s="1" t="s">
        <v>109</v>
      </c>
      <c r="I226">
        <f t="shared" si="7"/>
        <v>820</v>
      </c>
      <c r="J226" s="84">
        <v>0.46579999999999999</v>
      </c>
      <c r="K226" s="84">
        <v>0.46450000000000002</v>
      </c>
      <c r="L226" s="84">
        <v>0.46350000000000002</v>
      </c>
      <c r="M226" s="84">
        <v>0.49130000000000001</v>
      </c>
      <c r="N226" s="84">
        <v>0.49130000000000001</v>
      </c>
      <c r="O226" s="84">
        <v>0.5</v>
      </c>
      <c r="P226" s="84">
        <v>0.50060000000000004</v>
      </c>
      <c r="Q226" s="84">
        <v>0.49920000000000003</v>
      </c>
      <c r="T226" s="94" t="s">
        <v>1177</v>
      </c>
      <c r="U226" s="94" t="s">
        <v>109</v>
      </c>
      <c r="Z226" s="91">
        <v>49.13</v>
      </c>
      <c r="AC226" s="91">
        <v>51.03</v>
      </c>
      <c r="AD226" s="91">
        <v>49.7</v>
      </c>
      <c r="AG226" t="s">
        <v>1177</v>
      </c>
      <c r="AH226" s="84">
        <v>0.46579999999999999</v>
      </c>
      <c r="AI226" s="84">
        <v>0.46450000000000002</v>
      </c>
      <c r="AJ226" s="84">
        <v>0.46350000000000002</v>
      </c>
      <c r="AK226" s="84">
        <v>0.49130000000000001</v>
      </c>
      <c r="AL226" s="84">
        <v>0.49130000000000001</v>
      </c>
      <c r="AM226" s="84">
        <v>0.5</v>
      </c>
      <c r="AN226" s="84">
        <v>0.50060000000000004</v>
      </c>
      <c r="AO226" s="84">
        <v>0.51029999999999998</v>
      </c>
      <c r="AP226" s="84">
        <v>0.49700000000000005</v>
      </c>
      <c r="AQ226" s="84">
        <v>0.49920000000000003</v>
      </c>
    </row>
    <row r="227" spans="6:43">
      <c r="F227">
        <v>224</v>
      </c>
      <c r="G227" t="s">
        <v>169</v>
      </c>
      <c r="H227" s="1" t="s">
        <v>109</v>
      </c>
      <c r="I227">
        <f t="shared" si="7"/>
        <v>821</v>
      </c>
      <c r="J227" s="84">
        <v>0</v>
      </c>
      <c r="K227" s="84">
        <v>0</v>
      </c>
      <c r="L227" s="84">
        <v>0</v>
      </c>
      <c r="M227" s="84">
        <v>0</v>
      </c>
      <c r="N227" s="84">
        <v>0</v>
      </c>
      <c r="O227" s="84">
        <v>0</v>
      </c>
      <c r="P227" s="84">
        <v>0</v>
      </c>
      <c r="Q227" s="84">
        <v>0</v>
      </c>
      <c r="T227" s="94" t="s">
        <v>1178</v>
      </c>
      <c r="U227" s="94" t="s">
        <v>109</v>
      </c>
      <c r="V227" s="92"/>
      <c r="W227" s="92"/>
      <c r="X227" s="92"/>
      <c r="Y227" s="92"/>
      <c r="Z227" s="92"/>
      <c r="AA227" s="92"/>
      <c r="AB227" s="92"/>
      <c r="AC227" s="92"/>
      <c r="AD227" s="92"/>
      <c r="AE227" s="92"/>
      <c r="AG227" t="s">
        <v>1178</v>
      </c>
      <c r="AH227" s="84">
        <v>0</v>
      </c>
      <c r="AI227" s="84">
        <v>0</v>
      </c>
      <c r="AJ227" s="84">
        <v>0</v>
      </c>
      <c r="AK227" s="84">
        <v>0</v>
      </c>
      <c r="AL227" s="84">
        <v>0</v>
      </c>
      <c r="AM227" s="84">
        <v>0</v>
      </c>
      <c r="AN227" s="84">
        <v>0</v>
      </c>
      <c r="AO227" s="84">
        <v>0</v>
      </c>
      <c r="AP227" s="84">
        <v>0</v>
      </c>
      <c r="AQ227" s="84">
        <v>0</v>
      </c>
    </row>
    <row r="228" spans="6:43">
      <c r="F228">
        <v>225</v>
      </c>
      <c r="G228" t="s">
        <v>170</v>
      </c>
      <c r="H228" s="1" t="s">
        <v>109</v>
      </c>
      <c r="I228">
        <f t="shared" si="7"/>
        <v>822</v>
      </c>
      <c r="J228" s="84">
        <v>0.5968</v>
      </c>
      <c r="K228" s="84">
        <v>0.60060000000000002</v>
      </c>
      <c r="L228" s="84">
        <v>0.60650000000000004</v>
      </c>
      <c r="M228" s="84">
        <v>0.63219999999999998</v>
      </c>
      <c r="N228" s="84">
        <v>0.63219999999999998</v>
      </c>
      <c r="O228" s="84">
        <v>0.6409999999999999</v>
      </c>
      <c r="P228" s="84">
        <v>0.64139999999999997</v>
      </c>
      <c r="Q228" s="84">
        <v>0.67779999999999996</v>
      </c>
      <c r="T228" s="94" t="s">
        <v>735</v>
      </c>
      <c r="U228" s="94" t="s">
        <v>109</v>
      </c>
      <c r="Z228" s="91">
        <v>63.2</v>
      </c>
      <c r="AC228" s="91">
        <v>66.55</v>
      </c>
      <c r="AD228" s="91">
        <v>67.17</v>
      </c>
      <c r="AG228" t="s">
        <v>735</v>
      </c>
      <c r="AH228" s="84">
        <v>0.5968</v>
      </c>
      <c r="AI228" s="84">
        <v>0.60060000000000002</v>
      </c>
      <c r="AJ228" s="84">
        <v>0.60650000000000004</v>
      </c>
      <c r="AK228" s="84">
        <v>0.63219999999999998</v>
      </c>
      <c r="AL228" s="84">
        <v>0.63200000000000001</v>
      </c>
      <c r="AM228" s="84">
        <v>0.6409999999999999</v>
      </c>
      <c r="AN228" s="84">
        <v>0.64139999999999997</v>
      </c>
      <c r="AO228" s="84">
        <v>0.66549999999999998</v>
      </c>
      <c r="AP228" s="84">
        <v>0.67169999999999996</v>
      </c>
      <c r="AQ228" s="84">
        <v>0.67779999999999996</v>
      </c>
    </row>
    <row r="229" spans="6:43">
      <c r="F229">
        <v>226</v>
      </c>
      <c r="G229" t="s">
        <v>172</v>
      </c>
      <c r="H229" s="1" t="s">
        <v>109</v>
      </c>
      <c r="I229">
        <f t="shared" si="7"/>
        <v>823</v>
      </c>
      <c r="J229" s="84">
        <v>0.61280000000000001</v>
      </c>
      <c r="K229" s="84">
        <v>0.61659999999999993</v>
      </c>
      <c r="L229" s="84">
        <v>0.62250000000000005</v>
      </c>
      <c r="M229" s="84">
        <v>0.64859999999999995</v>
      </c>
      <c r="N229" s="84">
        <v>0.64859999999999995</v>
      </c>
      <c r="O229" s="84">
        <v>0.65739999999999998</v>
      </c>
      <c r="P229" s="84">
        <v>0.65780000000000005</v>
      </c>
      <c r="Q229" s="84">
        <v>0.69459999999999988</v>
      </c>
      <c r="T229" s="94" t="s">
        <v>1179</v>
      </c>
      <c r="U229" s="94" t="s">
        <v>109</v>
      </c>
      <c r="Z229" s="91">
        <v>64.83</v>
      </c>
      <c r="AC229" s="91">
        <v>68.22</v>
      </c>
      <c r="AD229" s="91">
        <v>68.84</v>
      </c>
      <c r="AG229" t="s">
        <v>1179</v>
      </c>
      <c r="AH229" s="84">
        <v>0.61280000000000001</v>
      </c>
      <c r="AI229" s="84">
        <v>0.61659999999999993</v>
      </c>
      <c r="AJ229" s="84">
        <v>0.62250000000000005</v>
      </c>
      <c r="AK229" s="84">
        <v>0.64859999999999995</v>
      </c>
      <c r="AL229" s="84">
        <v>0.64829999999999999</v>
      </c>
      <c r="AM229" s="84">
        <v>0.65739999999999998</v>
      </c>
      <c r="AN229" s="84">
        <v>0.65780000000000005</v>
      </c>
      <c r="AO229" s="84">
        <v>0.68220000000000003</v>
      </c>
      <c r="AP229" s="84">
        <v>0.68840000000000001</v>
      </c>
      <c r="AQ229" s="84">
        <v>0.69459999999999988</v>
      </c>
    </row>
    <row r="230" spans="6:43">
      <c r="F230">
        <v>227</v>
      </c>
      <c r="G230" t="s">
        <v>173</v>
      </c>
      <c r="H230" s="1" t="s">
        <v>109</v>
      </c>
      <c r="I230">
        <f t="shared" si="7"/>
        <v>824</v>
      </c>
      <c r="J230" s="84">
        <v>0.67731200000000003</v>
      </c>
      <c r="K230" s="84">
        <v>0.68126399999999987</v>
      </c>
      <c r="L230" s="84">
        <v>0.6873999999999999</v>
      </c>
      <c r="M230" s="84">
        <v>0.71454400000000018</v>
      </c>
      <c r="N230" s="84">
        <v>0.71454400000000018</v>
      </c>
      <c r="O230" s="84">
        <v>0.72369600000000023</v>
      </c>
      <c r="P230" s="84">
        <v>0.72411200000000009</v>
      </c>
      <c r="Q230" s="84">
        <v>0.76238399999999984</v>
      </c>
      <c r="T230" s="94" t="s">
        <v>1180</v>
      </c>
      <c r="U230" s="94" t="s">
        <v>109</v>
      </c>
      <c r="Z230" s="91">
        <v>71.42319999999998</v>
      </c>
      <c r="AC230" s="91">
        <v>74.948800000000006</v>
      </c>
      <c r="AD230" s="91">
        <v>75.593600000000009</v>
      </c>
      <c r="AG230" t="s">
        <v>1180</v>
      </c>
      <c r="AH230" s="84">
        <v>0.67731200000000003</v>
      </c>
      <c r="AI230" s="84">
        <v>0.68126399999999987</v>
      </c>
      <c r="AJ230" s="84">
        <v>0.6873999999999999</v>
      </c>
      <c r="AK230" s="84">
        <v>0.71454400000000018</v>
      </c>
      <c r="AL230" s="84">
        <v>0.71423199999999976</v>
      </c>
      <c r="AM230" s="84">
        <v>0.72369600000000023</v>
      </c>
      <c r="AN230" s="84">
        <v>0.72411200000000009</v>
      </c>
      <c r="AO230" s="84">
        <v>0.74948800000000004</v>
      </c>
      <c r="AP230" s="84">
        <v>0.75593600000000005</v>
      </c>
      <c r="AQ230" s="84">
        <v>0.76238399999999984</v>
      </c>
    </row>
    <row r="231" spans="6:43">
      <c r="F231">
        <v>228</v>
      </c>
      <c r="G231" t="s">
        <v>175</v>
      </c>
      <c r="H231" s="1" t="s">
        <v>109</v>
      </c>
      <c r="I231">
        <f t="shared" si="7"/>
        <v>825</v>
      </c>
      <c r="J231" s="84">
        <v>0.74182400000000004</v>
      </c>
      <c r="K231" s="84">
        <v>0.74592800000000015</v>
      </c>
      <c r="L231" s="84">
        <v>0.75230000000000008</v>
      </c>
      <c r="M231" s="84">
        <v>0.78048800000000029</v>
      </c>
      <c r="N231" s="84">
        <v>0.78048800000000029</v>
      </c>
      <c r="O231" s="84">
        <v>0.78999200000000025</v>
      </c>
      <c r="P231" s="84">
        <v>0.79042400000000013</v>
      </c>
      <c r="Q231" s="84">
        <v>0.83016799999999991</v>
      </c>
      <c r="T231" s="94" t="s">
        <v>1180</v>
      </c>
      <c r="U231" s="94" t="s">
        <v>109</v>
      </c>
      <c r="Z231" s="91">
        <v>78.016400000000004</v>
      </c>
      <c r="AC231" s="91">
        <v>81.677600000000012</v>
      </c>
      <c r="AD231" s="91">
        <v>82.347200000000015</v>
      </c>
      <c r="AG231" t="s">
        <v>1180</v>
      </c>
      <c r="AH231" s="84">
        <v>0.74182400000000004</v>
      </c>
      <c r="AI231" s="84">
        <v>0.74592800000000015</v>
      </c>
      <c r="AJ231" s="84">
        <v>0.75230000000000008</v>
      </c>
      <c r="AK231" s="84">
        <v>0.78048800000000029</v>
      </c>
      <c r="AL231" s="84">
        <v>0.78016400000000008</v>
      </c>
      <c r="AM231" s="84">
        <v>0.78999200000000025</v>
      </c>
      <c r="AN231" s="84">
        <v>0.79042400000000013</v>
      </c>
      <c r="AO231" s="84">
        <v>0.81677600000000017</v>
      </c>
      <c r="AP231" s="84">
        <v>0.8234720000000002</v>
      </c>
      <c r="AQ231" s="84">
        <v>0.83016799999999991</v>
      </c>
    </row>
    <row r="232" spans="6:43">
      <c r="F232">
        <v>229</v>
      </c>
      <c r="G232" t="s">
        <v>176</v>
      </c>
      <c r="H232" s="1" t="s">
        <v>109</v>
      </c>
      <c r="I232">
        <f t="shared" si="7"/>
        <v>826</v>
      </c>
      <c r="J232" s="84">
        <v>0.67148800000000008</v>
      </c>
      <c r="K232" s="84">
        <v>0.72614400000000001</v>
      </c>
      <c r="L232" s="84">
        <v>0.7462399999999999</v>
      </c>
      <c r="M232" s="84">
        <v>0.88972800000000007</v>
      </c>
      <c r="N232" s="84">
        <v>0.88972800000000007</v>
      </c>
      <c r="O232" s="84">
        <v>0.92979200000000006</v>
      </c>
      <c r="P232" s="84">
        <v>0.92326399999999997</v>
      </c>
      <c r="Q232" s="84">
        <v>0.98982400000000004</v>
      </c>
      <c r="T232" s="94" t="s">
        <v>1128</v>
      </c>
      <c r="U232" s="94" t="s">
        <v>109</v>
      </c>
      <c r="Z232" s="91">
        <v>88.34559999999999</v>
      </c>
      <c r="AC232" s="91">
        <v>97.33120000000001</v>
      </c>
      <c r="AD232" s="91">
        <v>98.432000000000016</v>
      </c>
      <c r="AG232" t="s">
        <v>1128</v>
      </c>
      <c r="AH232" s="84">
        <v>0.67148800000000008</v>
      </c>
      <c r="AI232" s="84">
        <v>0.72614400000000001</v>
      </c>
      <c r="AJ232" s="84">
        <v>0.7462399999999999</v>
      </c>
      <c r="AK232" s="84">
        <v>0.88972800000000007</v>
      </c>
      <c r="AL232" s="84">
        <v>0.88345599999999991</v>
      </c>
      <c r="AM232" s="84">
        <v>0.92979200000000006</v>
      </c>
      <c r="AN232" s="84">
        <v>0.92326399999999997</v>
      </c>
      <c r="AO232" s="84">
        <v>0.97331200000000007</v>
      </c>
      <c r="AP232" s="84">
        <v>0.98432000000000019</v>
      </c>
      <c r="AQ232" s="84">
        <v>0.98982400000000004</v>
      </c>
    </row>
    <row r="233" spans="6:43">
      <c r="F233">
        <v>230</v>
      </c>
      <c r="G233" t="s">
        <v>178</v>
      </c>
      <c r="H233" s="1" t="s">
        <v>109</v>
      </c>
      <c r="I233">
        <f t="shared" si="7"/>
        <v>827</v>
      </c>
      <c r="J233" s="84">
        <v>0.61548600000000009</v>
      </c>
      <c r="K233" s="84">
        <v>0.66450600000000004</v>
      </c>
      <c r="L233" s="84">
        <v>0.68263200000000013</v>
      </c>
      <c r="M233" s="84">
        <v>0.81179400000000002</v>
      </c>
      <c r="N233" s="84">
        <v>0.81179400000000002</v>
      </c>
      <c r="O233" s="84">
        <v>0.84781800000000018</v>
      </c>
      <c r="P233" s="84">
        <v>0.84189000000000003</v>
      </c>
      <c r="Q233" s="84">
        <v>0.9017400000000001</v>
      </c>
      <c r="T233" s="94" t="s">
        <v>1181</v>
      </c>
      <c r="U233" s="94" t="s">
        <v>109</v>
      </c>
      <c r="Z233" s="91">
        <v>80.609400000000008</v>
      </c>
      <c r="AC233" s="91">
        <v>88.692000000000007</v>
      </c>
      <c r="AD233" s="91">
        <v>89.683800000000005</v>
      </c>
      <c r="AG233" t="s">
        <v>1181</v>
      </c>
      <c r="AH233" s="84">
        <v>0.61548600000000009</v>
      </c>
      <c r="AI233" s="84">
        <v>0.66450600000000004</v>
      </c>
      <c r="AJ233" s="84">
        <v>0.68263200000000013</v>
      </c>
      <c r="AK233" s="84">
        <v>0.81179400000000002</v>
      </c>
      <c r="AL233" s="84">
        <v>0.80609400000000009</v>
      </c>
      <c r="AM233" s="84">
        <v>0.84781800000000018</v>
      </c>
      <c r="AN233" s="84">
        <v>0.84189000000000003</v>
      </c>
      <c r="AO233" s="84">
        <v>0.88692000000000004</v>
      </c>
      <c r="AP233" s="84">
        <v>0.89683800000000002</v>
      </c>
      <c r="AQ233" s="84">
        <v>0.9017400000000001</v>
      </c>
    </row>
    <row r="234" spans="6:43">
      <c r="F234">
        <v>231</v>
      </c>
      <c r="G234" t="s">
        <v>179</v>
      </c>
      <c r="H234" s="1" t="s">
        <v>109</v>
      </c>
      <c r="I234">
        <f t="shared" si="7"/>
        <v>828</v>
      </c>
      <c r="J234" s="84">
        <v>0.53990000000000005</v>
      </c>
      <c r="K234" s="84">
        <v>0.58289999999999997</v>
      </c>
      <c r="L234" s="84">
        <v>0.5988</v>
      </c>
      <c r="M234" s="84">
        <v>0.71209999999999996</v>
      </c>
      <c r="N234" s="84">
        <v>0.71209999999999996</v>
      </c>
      <c r="O234" s="84">
        <v>0.74370000000000003</v>
      </c>
      <c r="P234" s="84">
        <v>0.73849999999999993</v>
      </c>
      <c r="Q234" s="84">
        <v>0.79099999999999993</v>
      </c>
      <c r="T234" s="94" t="s">
        <v>1182</v>
      </c>
      <c r="U234" s="94" t="s">
        <v>109</v>
      </c>
      <c r="Z234" s="91">
        <v>70.709999999999994</v>
      </c>
      <c r="AC234" s="91">
        <v>77.8</v>
      </c>
      <c r="AD234" s="91">
        <v>78.67</v>
      </c>
      <c r="AG234" t="s">
        <v>1182</v>
      </c>
      <c r="AH234" s="84">
        <v>0.53990000000000005</v>
      </c>
      <c r="AI234" s="84">
        <v>0.58289999999999997</v>
      </c>
      <c r="AJ234" s="84">
        <v>0.5988</v>
      </c>
      <c r="AK234" s="84">
        <v>0.71209999999999996</v>
      </c>
      <c r="AL234" s="84">
        <v>0.70709999999999995</v>
      </c>
      <c r="AM234" s="84">
        <v>0.74370000000000003</v>
      </c>
      <c r="AN234" s="84">
        <v>0.73849999999999993</v>
      </c>
      <c r="AO234" s="84">
        <v>0.77800000000000002</v>
      </c>
      <c r="AP234" s="84">
        <v>0.78670000000000007</v>
      </c>
      <c r="AQ234" s="84">
        <v>0.79099999999999993</v>
      </c>
    </row>
    <row r="235" spans="6:43">
      <c r="F235">
        <v>232</v>
      </c>
      <c r="G235" t="s">
        <v>138</v>
      </c>
      <c r="H235" t="s">
        <v>110</v>
      </c>
      <c r="I235">
        <v>900</v>
      </c>
      <c r="J235" s="84">
        <v>0</v>
      </c>
      <c r="K235" s="84">
        <v>0</v>
      </c>
      <c r="L235" s="84">
        <v>0</v>
      </c>
      <c r="M235" s="84">
        <v>0</v>
      </c>
      <c r="N235" s="84">
        <v>0</v>
      </c>
      <c r="O235" s="84">
        <v>0</v>
      </c>
      <c r="P235" s="84">
        <v>0</v>
      </c>
      <c r="Q235" s="84">
        <v>0</v>
      </c>
      <c r="T235" s="94" t="s">
        <v>138</v>
      </c>
      <c r="U235" s="94" t="s">
        <v>110</v>
      </c>
      <c r="V235" s="92"/>
      <c r="W235" s="92"/>
      <c r="X235" s="92"/>
      <c r="Y235" s="92"/>
      <c r="Z235" s="92"/>
      <c r="AA235" s="92"/>
      <c r="AB235" s="92"/>
      <c r="AC235" s="92"/>
      <c r="AD235" s="92"/>
      <c r="AE235" s="92"/>
      <c r="AG235" t="s">
        <v>138</v>
      </c>
      <c r="AH235" s="84">
        <v>0</v>
      </c>
      <c r="AI235" s="84">
        <v>0</v>
      </c>
      <c r="AJ235" s="84">
        <v>0</v>
      </c>
      <c r="AK235" s="84">
        <v>0</v>
      </c>
      <c r="AL235" s="84">
        <v>0</v>
      </c>
      <c r="AM235" s="84">
        <v>0</v>
      </c>
      <c r="AN235" s="84">
        <v>0</v>
      </c>
      <c r="AO235" s="84">
        <v>0</v>
      </c>
      <c r="AP235" s="84">
        <v>0</v>
      </c>
      <c r="AQ235" s="84">
        <v>0</v>
      </c>
    </row>
    <row r="236" spans="6:43">
      <c r="F236">
        <v>233</v>
      </c>
      <c r="G236" t="s">
        <v>139</v>
      </c>
      <c r="H236" t="s">
        <v>110</v>
      </c>
      <c r="I236">
        <f>+I235+1</f>
        <v>901</v>
      </c>
      <c r="J236" s="84">
        <v>0.32340000000000002</v>
      </c>
      <c r="K236" s="84">
        <v>0.31629999999999997</v>
      </c>
      <c r="L236" s="84">
        <v>0.31030000000000002</v>
      </c>
      <c r="M236" s="84">
        <v>0.30599999999999999</v>
      </c>
      <c r="N236" s="84">
        <v>0.30599999999999999</v>
      </c>
      <c r="O236" s="84">
        <v>0.308</v>
      </c>
      <c r="P236" s="84">
        <v>0.30109999999999998</v>
      </c>
      <c r="Q236" s="84">
        <v>0.40850000000000003</v>
      </c>
      <c r="T236" s="94" t="s">
        <v>139</v>
      </c>
      <c r="U236" s="94" t="s">
        <v>110</v>
      </c>
      <c r="Z236" s="91">
        <v>30.58</v>
      </c>
      <c r="AC236" s="91">
        <v>31.26</v>
      </c>
      <c r="AD236" s="91">
        <v>32.409999999999997</v>
      </c>
      <c r="AG236" t="s">
        <v>139</v>
      </c>
      <c r="AH236" s="84">
        <v>0.32340000000000002</v>
      </c>
      <c r="AI236" s="84">
        <v>0.31629999999999997</v>
      </c>
      <c r="AJ236" s="84">
        <v>0.31030000000000002</v>
      </c>
      <c r="AK236" s="84">
        <v>0.30599999999999999</v>
      </c>
      <c r="AL236" s="84">
        <v>0.30579999999999996</v>
      </c>
      <c r="AM236" s="84">
        <v>0.308</v>
      </c>
      <c r="AN236" s="84">
        <v>0.30109999999999998</v>
      </c>
      <c r="AO236" s="84">
        <v>0.31259999999999999</v>
      </c>
      <c r="AP236" s="84">
        <v>0.32409999999999994</v>
      </c>
      <c r="AQ236" s="84">
        <v>0.40850000000000003</v>
      </c>
    </row>
    <row r="237" spans="6:43">
      <c r="F237">
        <v>234</v>
      </c>
      <c r="G237" t="s">
        <v>140</v>
      </c>
      <c r="H237" t="s">
        <v>110</v>
      </c>
      <c r="I237">
        <f t="shared" ref="I237:I263" si="8">+I236+1</f>
        <v>902</v>
      </c>
      <c r="J237" s="84">
        <v>0</v>
      </c>
      <c r="K237" s="84">
        <v>0</v>
      </c>
      <c r="L237" s="84">
        <v>0</v>
      </c>
      <c r="M237" s="84">
        <v>0</v>
      </c>
      <c r="N237" s="84">
        <v>0</v>
      </c>
      <c r="O237" s="84">
        <v>0</v>
      </c>
      <c r="P237" s="84">
        <v>0</v>
      </c>
      <c r="Q237" s="84">
        <v>0</v>
      </c>
      <c r="T237" s="95" t="s">
        <v>1164</v>
      </c>
      <c r="U237" s="95" t="s">
        <v>110</v>
      </c>
      <c r="V237" s="92"/>
      <c r="W237" s="92"/>
      <c r="X237" s="92"/>
      <c r="Y237" s="92"/>
      <c r="Z237" s="92"/>
      <c r="AA237" s="92"/>
      <c r="AB237" s="92"/>
      <c r="AC237" s="92"/>
      <c r="AD237" s="92"/>
      <c r="AE237" s="92"/>
      <c r="AG237" t="s">
        <v>1164</v>
      </c>
      <c r="AH237" s="84">
        <v>0</v>
      </c>
      <c r="AI237" s="84">
        <v>0</v>
      </c>
      <c r="AJ237" s="84">
        <v>0</v>
      </c>
      <c r="AK237" s="84">
        <v>0</v>
      </c>
      <c r="AL237" s="84">
        <v>0</v>
      </c>
      <c r="AM237" s="84">
        <v>0</v>
      </c>
      <c r="AN237" s="84">
        <v>0</v>
      </c>
      <c r="AO237" s="84">
        <v>0</v>
      </c>
      <c r="AP237" s="84">
        <v>0</v>
      </c>
      <c r="AQ237" s="84">
        <v>0</v>
      </c>
    </row>
    <row r="238" spans="6:43">
      <c r="F238">
        <v>235</v>
      </c>
      <c r="G238" t="s">
        <v>142</v>
      </c>
      <c r="H238" t="s">
        <v>110</v>
      </c>
      <c r="I238">
        <f t="shared" si="8"/>
        <v>903</v>
      </c>
      <c r="J238" s="84">
        <v>0.67079999999999995</v>
      </c>
      <c r="K238" s="84">
        <v>0.65500000000000003</v>
      </c>
      <c r="L238" s="84">
        <v>0.64159999999999995</v>
      </c>
      <c r="M238" s="84">
        <v>0.66599999999999993</v>
      </c>
      <c r="N238" s="84">
        <v>0.66599999999999993</v>
      </c>
      <c r="O238" s="84">
        <v>0.70440000000000003</v>
      </c>
      <c r="P238" s="84">
        <v>0.70389999999999997</v>
      </c>
      <c r="Q238" s="84">
        <v>0.67969999999999997</v>
      </c>
      <c r="T238" s="94" t="s">
        <v>142</v>
      </c>
      <c r="U238" s="94" t="s">
        <v>110</v>
      </c>
      <c r="Z238" s="96">
        <v>66.569999999999993</v>
      </c>
      <c r="AC238" s="96">
        <v>70.319999999999993</v>
      </c>
      <c r="AD238" s="96">
        <v>69.790000000000006</v>
      </c>
      <c r="AG238" t="s">
        <v>142</v>
      </c>
      <c r="AH238" s="84">
        <v>0.67079999999999995</v>
      </c>
      <c r="AI238" s="84">
        <v>0.65500000000000003</v>
      </c>
      <c r="AJ238" s="84">
        <v>0.64159999999999995</v>
      </c>
      <c r="AK238" s="84">
        <v>0.66599999999999993</v>
      </c>
      <c r="AL238" s="84">
        <v>0.66569999999999996</v>
      </c>
      <c r="AM238" s="84">
        <v>0.70440000000000003</v>
      </c>
      <c r="AN238" s="84">
        <v>0.70389999999999997</v>
      </c>
      <c r="AO238" s="84">
        <v>0.70319999999999994</v>
      </c>
      <c r="AP238" s="84">
        <v>0.69790000000000008</v>
      </c>
      <c r="AQ238" s="84">
        <v>0.67969999999999997</v>
      </c>
    </row>
    <row r="239" spans="6:43">
      <c r="F239">
        <v>236</v>
      </c>
      <c r="G239" t="s">
        <v>143</v>
      </c>
      <c r="H239" t="s">
        <v>110</v>
      </c>
      <c r="I239">
        <f t="shared" si="8"/>
        <v>904</v>
      </c>
      <c r="J239" s="84">
        <v>0.65849999999999997</v>
      </c>
      <c r="K239" s="84">
        <v>0.64319999999999988</v>
      </c>
      <c r="L239" s="84">
        <v>0.63019999999999998</v>
      </c>
      <c r="M239" s="84">
        <v>0.65489999999999993</v>
      </c>
      <c r="N239" s="84">
        <v>0.65489999999999993</v>
      </c>
      <c r="O239" s="84">
        <v>0.69319999999999993</v>
      </c>
      <c r="P239" s="84">
        <v>0.69279999999999997</v>
      </c>
      <c r="Q239" s="84">
        <v>0.66909999999999992</v>
      </c>
      <c r="T239" s="94" t="s">
        <v>1165</v>
      </c>
      <c r="U239" s="94" t="s">
        <v>110</v>
      </c>
      <c r="Z239" s="91">
        <v>65.459999999999994</v>
      </c>
      <c r="AC239" s="91">
        <v>69.23</v>
      </c>
      <c r="AD239" s="91">
        <v>68.709999999999994</v>
      </c>
      <c r="AG239" t="s">
        <v>1165</v>
      </c>
      <c r="AH239" s="84">
        <v>0.65849999999999997</v>
      </c>
      <c r="AI239" s="84">
        <v>0.64319999999999988</v>
      </c>
      <c r="AJ239" s="84">
        <v>0.63019999999999998</v>
      </c>
      <c r="AK239" s="84">
        <v>0.65489999999999993</v>
      </c>
      <c r="AL239" s="84">
        <v>0.65459999999999996</v>
      </c>
      <c r="AM239" s="84">
        <v>0.69319999999999993</v>
      </c>
      <c r="AN239" s="84">
        <v>0.69279999999999997</v>
      </c>
      <c r="AO239" s="84">
        <v>0.69230000000000003</v>
      </c>
      <c r="AP239" s="84">
        <v>0.68709999999999993</v>
      </c>
      <c r="AQ239" s="84">
        <v>0.66909999999999992</v>
      </c>
    </row>
    <row r="240" spans="6:43">
      <c r="F240">
        <v>237</v>
      </c>
      <c r="G240" t="s">
        <v>145</v>
      </c>
      <c r="H240" t="s">
        <v>110</v>
      </c>
      <c r="J240" s="84">
        <v>0.64549999999999996</v>
      </c>
      <c r="K240" s="84">
        <v>0.63</v>
      </c>
      <c r="L240" s="84">
        <v>0.61699999999999999</v>
      </c>
      <c r="M240" s="84">
        <v>0.63969999999999994</v>
      </c>
      <c r="N240" s="84">
        <v>0.63969999999999994</v>
      </c>
      <c r="O240" s="84">
        <v>0.67579999999999996</v>
      </c>
      <c r="P240" s="84">
        <v>0.67540000000000011</v>
      </c>
      <c r="Q240" s="84">
        <v>0.65200000000000002</v>
      </c>
      <c r="T240" s="94"/>
      <c r="U240" s="94"/>
      <c r="Z240" s="91"/>
      <c r="AC240" s="91"/>
      <c r="AD240" s="91"/>
      <c r="AG240" t="s">
        <v>1183</v>
      </c>
      <c r="AH240" s="84">
        <v>0.64549999999999996</v>
      </c>
      <c r="AI240" s="84">
        <v>0.63</v>
      </c>
      <c r="AJ240" s="84">
        <v>0.61699999999999999</v>
      </c>
      <c r="AK240" s="84">
        <v>0.63969999999999994</v>
      </c>
      <c r="AL240" s="84">
        <v>0.63939999999999997</v>
      </c>
      <c r="AM240" s="84">
        <v>0.67579999999999996</v>
      </c>
      <c r="AN240" s="84">
        <v>0.67540000000000011</v>
      </c>
      <c r="AO240" s="84">
        <v>0.67489999999999994</v>
      </c>
      <c r="AP240" s="84">
        <v>0.66980000000000006</v>
      </c>
      <c r="AQ240" s="84">
        <v>0.65200000000000002</v>
      </c>
    </row>
    <row r="241" spans="6:43">
      <c r="F241">
        <v>238</v>
      </c>
      <c r="G241" t="s">
        <v>146</v>
      </c>
      <c r="H241" t="s">
        <v>110</v>
      </c>
      <c r="I241">
        <f>+I239+1</f>
        <v>905</v>
      </c>
      <c r="J241" s="84">
        <v>0.71379999999999999</v>
      </c>
      <c r="K241" s="84">
        <v>0.70489999999999997</v>
      </c>
      <c r="L241" s="84">
        <v>0.69730000000000003</v>
      </c>
      <c r="M241" s="84">
        <v>0.73709999999999998</v>
      </c>
      <c r="N241" s="84">
        <v>0.73709999999999998</v>
      </c>
      <c r="O241" s="84">
        <v>0.79220000000000002</v>
      </c>
      <c r="P241" s="84">
        <v>0.79170000000000007</v>
      </c>
      <c r="Q241" s="84">
        <v>0.78060000000000007</v>
      </c>
      <c r="T241" s="94" t="s">
        <v>1183</v>
      </c>
      <c r="U241" s="94" t="s">
        <v>110</v>
      </c>
      <c r="V241" s="91">
        <v>64.55</v>
      </c>
      <c r="W241" s="91">
        <v>63</v>
      </c>
      <c r="X241" s="91">
        <v>61.7</v>
      </c>
      <c r="Y241" s="91">
        <v>63.97</v>
      </c>
      <c r="Z241" s="91">
        <v>63.94</v>
      </c>
      <c r="AA241" s="91">
        <v>67.58</v>
      </c>
      <c r="AB241" s="91">
        <v>67.540000000000006</v>
      </c>
      <c r="AC241" s="91">
        <v>67.489999999999995</v>
      </c>
      <c r="AD241" s="91">
        <v>66.98</v>
      </c>
      <c r="AE241" s="91">
        <v>65.2</v>
      </c>
      <c r="AG241" t="s">
        <v>1126</v>
      </c>
      <c r="AH241" s="84">
        <v>0.71379999999999999</v>
      </c>
      <c r="AI241" s="84">
        <v>0.70489999999999997</v>
      </c>
      <c r="AJ241" s="84">
        <v>0.69730000000000003</v>
      </c>
      <c r="AK241" s="84">
        <v>0.73709999999999998</v>
      </c>
      <c r="AL241" s="84">
        <v>0.7369</v>
      </c>
      <c r="AM241" s="84">
        <v>0.79220000000000002</v>
      </c>
      <c r="AN241" s="84">
        <v>0.79170000000000007</v>
      </c>
      <c r="AO241" s="84">
        <v>0.79559999999999997</v>
      </c>
      <c r="AP241" s="84">
        <v>0.79079999999999995</v>
      </c>
      <c r="AQ241" s="84">
        <v>0.78060000000000007</v>
      </c>
    </row>
    <row r="242" spans="6:43">
      <c r="F242">
        <v>239</v>
      </c>
      <c r="G242" t="s">
        <v>148</v>
      </c>
      <c r="H242" t="s">
        <v>110</v>
      </c>
      <c r="I242">
        <f t="shared" si="8"/>
        <v>906</v>
      </c>
      <c r="J242" s="84">
        <v>0.71640000000000004</v>
      </c>
      <c r="K242" s="84">
        <v>0.70810000000000006</v>
      </c>
      <c r="L242" s="84">
        <v>0.70090000000000008</v>
      </c>
      <c r="M242" s="84">
        <v>0.74109999999999998</v>
      </c>
      <c r="N242" s="84">
        <v>0.74109999999999998</v>
      </c>
      <c r="O242" s="84">
        <v>0.79620000000000002</v>
      </c>
      <c r="P242" s="84">
        <v>0.79569999999999996</v>
      </c>
      <c r="Q242" s="84">
        <v>0.7853</v>
      </c>
      <c r="T242" s="94" t="s">
        <v>1126</v>
      </c>
      <c r="U242" s="94" t="s">
        <v>110</v>
      </c>
      <c r="Z242" s="91">
        <v>73.69</v>
      </c>
      <c r="AC242" s="91">
        <v>79.56</v>
      </c>
      <c r="AD242" s="91">
        <v>79.08</v>
      </c>
      <c r="AG242" t="s">
        <v>1166</v>
      </c>
      <c r="AH242" s="84">
        <v>0.71640000000000004</v>
      </c>
      <c r="AI242" s="84">
        <v>0.70810000000000006</v>
      </c>
      <c r="AJ242" s="84">
        <v>0.70090000000000008</v>
      </c>
      <c r="AK242" s="84">
        <v>0.74109999999999998</v>
      </c>
      <c r="AL242" s="84">
        <v>0.7409</v>
      </c>
      <c r="AM242" s="84">
        <v>0.79620000000000002</v>
      </c>
      <c r="AN242" s="84">
        <v>0.79569999999999996</v>
      </c>
      <c r="AO242" s="84">
        <v>0.79989999999999994</v>
      </c>
      <c r="AP242" s="84">
        <v>0.79530000000000001</v>
      </c>
      <c r="AQ242" s="84">
        <v>0.7853</v>
      </c>
    </row>
    <row r="243" spans="6:43">
      <c r="F243">
        <v>240</v>
      </c>
      <c r="G243" t="s">
        <v>149</v>
      </c>
      <c r="H243" t="s">
        <v>110</v>
      </c>
      <c r="I243">
        <f t="shared" si="8"/>
        <v>907</v>
      </c>
      <c r="J243" s="84">
        <v>0.69629999999999992</v>
      </c>
      <c r="K243" s="84">
        <v>0.68849999999999989</v>
      </c>
      <c r="L243" s="84">
        <v>0.68159999999999998</v>
      </c>
      <c r="M243" s="84">
        <v>0.72180000000000011</v>
      </c>
      <c r="N243" s="84">
        <v>0.72180000000000011</v>
      </c>
      <c r="O243" s="84">
        <v>0.77629999999999999</v>
      </c>
      <c r="P243" s="84">
        <v>0.77590000000000003</v>
      </c>
      <c r="Q243" s="84">
        <v>0.7659999999999999</v>
      </c>
      <c r="T243" s="94" t="s">
        <v>1166</v>
      </c>
      <c r="U243" s="94" t="s">
        <v>110</v>
      </c>
      <c r="Z243" s="91">
        <v>74.09</v>
      </c>
      <c r="AC243" s="91">
        <v>79.989999999999995</v>
      </c>
      <c r="AD243" s="91">
        <v>79.53</v>
      </c>
      <c r="AG243" t="s">
        <v>1167</v>
      </c>
      <c r="AH243" s="84">
        <v>0.69629999999999992</v>
      </c>
      <c r="AI243" s="84">
        <v>0.68849999999999989</v>
      </c>
      <c r="AJ243" s="84">
        <v>0.68159999999999998</v>
      </c>
      <c r="AK243" s="84">
        <v>0.72180000000000011</v>
      </c>
      <c r="AL243" s="84">
        <v>0.72160000000000002</v>
      </c>
      <c r="AM243" s="84">
        <v>0.77629999999999999</v>
      </c>
      <c r="AN243" s="84">
        <v>0.77590000000000003</v>
      </c>
      <c r="AO243" s="84">
        <v>0.78029999999999999</v>
      </c>
      <c r="AP243" s="84">
        <v>0.77590000000000003</v>
      </c>
      <c r="AQ243" s="84">
        <v>0.7659999999999999</v>
      </c>
    </row>
    <row r="244" spans="6:43">
      <c r="F244">
        <v>241</v>
      </c>
      <c r="G244" t="s">
        <v>151</v>
      </c>
      <c r="H244" t="s">
        <v>110</v>
      </c>
      <c r="I244">
        <f t="shared" si="8"/>
        <v>908</v>
      </c>
      <c r="J244" s="84">
        <v>0.81849999999999989</v>
      </c>
      <c r="K244" s="84">
        <v>0.80969999999999998</v>
      </c>
      <c r="L244" s="84">
        <v>0.80200000000000005</v>
      </c>
      <c r="M244" s="84">
        <v>0.84349999999999992</v>
      </c>
      <c r="N244" s="84">
        <v>0.84349999999999992</v>
      </c>
      <c r="O244" s="84">
        <v>0.90040000000000009</v>
      </c>
      <c r="P244" s="84">
        <v>0.89989999999999992</v>
      </c>
      <c r="Q244" s="84">
        <v>0.88890000000000002</v>
      </c>
      <c r="T244" s="94" t="s">
        <v>1167</v>
      </c>
      <c r="U244" s="94" t="s">
        <v>110</v>
      </c>
      <c r="Z244" s="91">
        <v>72.16</v>
      </c>
      <c r="AC244" s="91">
        <v>78.03</v>
      </c>
      <c r="AD244" s="91">
        <v>77.59</v>
      </c>
      <c r="AG244" t="s">
        <v>1168</v>
      </c>
      <c r="AH244" s="84">
        <v>0.81849999999999989</v>
      </c>
      <c r="AI244" s="84">
        <v>0.80969999999999998</v>
      </c>
      <c r="AJ244" s="84">
        <v>0.80200000000000005</v>
      </c>
      <c r="AK244" s="84">
        <v>0.84349999999999992</v>
      </c>
      <c r="AL244" s="84">
        <v>0.84329999999999994</v>
      </c>
      <c r="AM244" s="84">
        <v>0.90040000000000009</v>
      </c>
      <c r="AN244" s="84">
        <v>0.89989999999999992</v>
      </c>
      <c r="AO244" s="84">
        <v>0.9042</v>
      </c>
      <c r="AP244" s="84">
        <v>0.89939999999999998</v>
      </c>
      <c r="AQ244" s="84">
        <v>0.88890000000000002</v>
      </c>
    </row>
    <row r="245" spans="6:43">
      <c r="F245">
        <v>242</v>
      </c>
      <c r="G245" t="s">
        <v>152</v>
      </c>
      <c r="H245" t="s">
        <v>110</v>
      </c>
      <c r="I245">
        <f t="shared" si="8"/>
        <v>909</v>
      </c>
      <c r="J245" s="84">
        <v>0</v>
      </c>
      <c r="K245" s="84">
        <v>0</v>
      </c>
      <c r="L245" s="84">
        <v>0</v>
      </c>
      <c r="M245" s="84">
        <v>0</v>
      </c>
      <c r="N245" s="84">
        <v>0</v>
      </c>
      <c r="O245" s="84">
        <v>0</v>
      </c>
      <c r="P245" s="84">
        <v>0</v>
      </c>
      <c r="Q245" s="84">
        <v>0</v>
      </c>
      <c r="T245" s="94" t="s">
        <v>1168</v>
      </c>
      <c r="U245" s="94" t="s">
        <v>110</v>
      </c>
      <c r="Z245" s="91">
        <v>84.33</v>
      </c>
      <c r="AC245" s="91">
        <v>90.42</v>
      </c>
      <c r="AD245" s="91">
        <v>89.94</v>
      </c>
      <c r="AG245" t="s">
        <v>1169</v>
      </c>
      <c r="AH245" s="84">
        <v>0</v>
      </c>
      <c r="AI245" s="84">
        <v>0</v>
      </c>
      <c r="AJ245" s="84">
        <v>0</v>
      </c>
      <c r="AK245" s="84">
        <v>0</v>
      </c>
      <c r="AL245" s="84">
        <v>0</v>
      </c>
      <c r="AM245" s="84">
        <v>0</v>
      </c>
      <c r="AN245" s="84">
        <v>0</v>
      </c>
      <c r="AO245" s="84">
        <v>0</v>
      </c>
      <c r="AP245" s="84">
        <v>0</v>
      </c>
      <c r="AQ245" s="84">
        <v>0</v>
      </c>
    </row>
    <row r="246" spans="6:43">
      <c r="F246">
        <v>243</v>
      </c>
      <c r="G246" t="s">
        <v>154</v>
      </c>
      <c r="H246" t="s">
        <v>110</v>
      </c>
      <c r="I246">
        <f t="shared" si="8"/>
        <v>910</v>
      </c>
      <c r="J246" s="84">
        <v>0.65280000000000005</v>
      </c>
      <c r="K246" s="84">
        <v>0.64170000000000005</v>
      </c>
      <c r="L246" s="84">
        <v>0.63219999999999998</v>
      </c>
      <c r="M246" s="84">
        <v>0.64590000000000003</v>
      </c>
      <c r="N246" s="84">
        <v>0.64590000000000003</v>
      </c>
      <c r="O246" s="84">
        <v>0.64500000000000002</v>
      </c>
      <c r="P246" s="84">
        <v>0.64459999999999995</v>
      </c>
      <c r="Q246" s="84">
        <v>0.60909999999999997</v>
      </c>
      <c r="T246" s="95" t="s">
        <v>1169</v>
      </c>
      <c r="U246" s="95" t="s">
        <v>110</v>
      </c>
      <c r="V246" s="92"/>
      <c r="W246" s="92"/>
      <c r="X246" s="92"/>
      <c r="Y246" s="92"/>
      <c r="Z246" s="92"/>
      <c r="AA246" s="92"/>
      <c r="AB246" s="92"/>
      <c r="AC246" s="92"/>
      <c r="AD246" s="92"/>
      <c r="AE246" s="92"/>
      <c r="AG246" t="s">
        <v>733</v>
      </c>
      <c r="AH246" s="84">
        <v>0.65280000000000005</v>
      </c>
      <c r="AI246" s="84">
        <v>0.64170000000000005</v>
      </c>
      <c r="AJ246" s="84">
        <v>0.63219999999999998</v>
      </c>
      <c r="AK246" s="84">
        <v>0.64590000000000003</v>
      </c>
      <c r="AL246" s="84">
        <v>0.64569999999999994</v>
      </c>
      <c r="AM246" s="84">
        <v>0.64500000000000002</v>
      </c>
      <c r="AN246" s="84">
        <v>0.64459999999999995</v>
      </c>
      <c r="AO246" s="84">
        <v>0.6351</v>
      </c>
      <c r="AP246" s="84">
        <v>0.62890000000000001</v>
      </c>
      <c r="AQ246" s="84">
        <v>0.60909999999999997</v>
      </c>
    </row>
    <row r="247" spans="6:43">
      <c r="F247">
        <v>244</v>
      </c>
      <c r="G247" t="s">
        <v>155</v>
      </c>
      <c r="H247" t="s">
        <v>110</v>
      </c>
      <c r="I247">
        <f t="shared" si="8"/>
        <v>911</v>
      </c>
      <c r="J247" s="84">
        <v>0.63350000000000006</v>
      </c>
      <c r="K247" s="84">
        <v>0.623</v>
      </c>
      <c r="L247" s="84">
        <v>0.61409999999999998</v>
      </c>
      <c r="M247" s="84">
        <v>0.62840000000000007</v>
      </c>
      <c r="N247" s="84">
        <v>0.62840000000000007</v>
      </c>
      <c r="O247" s="84">
        <v>0.62759999999999994</v>
      </c>
      <c r="P247" s="84">
        <v>0.62719999999999998</v>
      </c>
      <c r="Q247" s="84">
        <v>0.59250000000000003</v>
      </c>
      <c r="T247" s="94" t="s">
        <v>733</v>
      </c>
      <c r="U247" s="94" t="s">
        <v>110</v>
      </c>
      <c r="Z247" s="96">
        <v>64.569999999999993</v>
      </c>
      <c r="AC247" s="96">
        <v>63.51</v>
      </c>
      <c r="AD247" s="96">
        <v>62.89</v>
      </c>
      <c r="AG247" t="s">
        <v>1170</v>
      </c>
      <c r="AH247" s="84">
        <v>0.63350000000000006</v>
      </c>
      <c r="AI247" s="84">
        <v>0.623</v>
      </c>
      <c r="AJ247" s="84">
        <v>0.61409999999999998</v>
      </c>
      <c r="AK247" s="84">
        <v>0.62840000000000007</v>
      </c>
      <c r="AL247" s="84">
        <v>0.62809999999999999</v>
      </c>
      <c r="AM247" s="84">
        <v>0.62759999999999994</v>
      </c>
      <c r="AN247" s="84">
        <v>0.62719999999999998</v>
      </c>
      <c r="AO247" s="84">
        <v>0.61799999999999999</v>
      </c>
      <c r="AP247" s="84">
        <v>0.61199999999999999</v>
      </c>
      <c r="AQ247" s="84">
        <v>0.59250000000000003</v>
      </c>
    </row>
    <row r="248" spans="6:43">
      <c r="F248">
        <v>245</v>
      </c>
      <c r="G248" t="s">
        <v>157</v>
      </c>
      <c r="H248" t="s">
        <v>110</v>
      </c>
      <c r="I248">
        <f t="shared" si="8"/>
        <v>912</v>
      </c>
      <c r="J248" s="84">
        <v>0.45150000000000001</v>
      </c>
      <c r="K248" s="84">
        <v>0.45319999999999999</v>
      </c>
      <c r="L248" s="84">
        <v>0.45469999999999999</v>
      </c>
      <c r="M248" s="84">
        <v>0.48020000000000002</v>
      </c>
      <c r="N248" s="84">
        <v>0.48020000000000002</v>
      </c>
      <c r="O248" s="84">
        <v>0.48619999999999997</v>
      </c>
      <c r="P248" s="84">
        <v>0.48619999999999997</v>
      </c>
      <c r="Q248" s="84">
        <v>0.4637</v>
      </c>
      <c r="T248" s="94" t="s">
        <v>1170</v>
      </c>
      <c r="U248" s="94" t="s">
        <v>110</v>
      </c>
      <c r="Z248" s="91">
        <v>62.81</v>
      </c>
      <c r="AC248" s="91">
        <v>61.8</v>
      </c>
      <c r="AD248" s="91">
        <v>61.2</v>
      </c>
      <c r="AG248" t="s">
        <v>1171</v>
      </c>
      <c r="AH248" s="84">
        <v>0.45150000000000001</v>
      </c>
      <c r="AI248" s="84">
        <v>0.45319999999999999</v>
      </c>
      <c r="AJ248" s="84">
        <v>0.45469999999999999</v>
      </c>
      <c r="AK248" s="84">
        <v>0.48020000000000002</v>
      </c>
      <c r="AL248" s="84">
        <v>0.4803</v>
      </c>
      <c r="AM248" s="84">
        <v>0.48619999999999997</v>
      </c>
      <c r="AN248" s="84">
        <v>0.48619999999999997</v>
      </c>
      <c r="AO248" s="84">
        <v>0.48109999999999997</v>
      </c>
      <c r="AP248" s="84">
        <v>0.47960000000000003</v>
      </c>
      <c r="AQ248" s="84">
        <v>0.4637</v>
      </c>
    </row>
    <row r="249" spans="6:43">
      <c r="F249">
        <v>246</v>
      </c>
      <c r="G249" t="s">
        <v>158</v>
      </c>
      <c r="H249" t="s">
        <v>110</v>
      </c>
      <c r="I249">
        <f t="shared" si="8"/>
        <v>913</v>
      </c>
      <c r="J249" s="84">
        <v>0.58179999999999998</v>
      </c>
      <c r="K249" s="84">
        <v>0.58240000000000003</v>
      </c>
      <c r="L249" s="84">
        <v>0.58289999999999997</v>
      </c>
      <c r="M249" s="84">
        <v>0.60860000000000003</v>
      </c>
      <c r="N249" s="84">
        <v>0.60860000000000003</v>
      </c>
      <c r="O249" s="84">
        <v>0.61419999999999997</v>
      </c>
      <c r="P249" s="84">
        <v>0.61409999999999998</v>
      </c>
      <c r="Q249" s="84">
        <v>0.58930000000000005</v>
      </c>
      <c r="T249" s="94" t="s">
        <v>1171</v>
      </c>
      <c r="U249" s="94" t="s">
        <v>110</v>
      </c>
      <c r="Z249" s="91">
        <v>48.03</v>
      </c>
      <c r="AC249" s="91">
        <v>48.11</v>
      </c>
      <c r="AD249" s="91">
        <v>47.96</v>
      </c>
      <c r="AG249" t="s">
        <v>1172</v>
      </c>
      <c r="AH249" s="84">
        <v>0.58179999999999998</v>
      </c>
      <c r="AI249" s="84">
        <v>0.58240000000000003</v>
      </c>
      <c r="AJ249" s="84">
        <v>0.58289999999999997</v>
      </c>
      <c r="AK249" s="84">
        <v>0.60860000000000003</v>
      </c>
      <c r="AL249" s="84">
        <v>0.60860000000000003</v>
      </c>
      <c r="AM249" s="84">
        <v>0.61419999999999997</v>
      </c>
      <c r="AN249" s="84">
        <v>0.61409999999999998</v>
      </c>
      <c r="AO249" s="84">
        <v>0.60829999999999995</v>
      </c>
      <c r="AP249" s="84">
        <v>0.60630000000000006</v>
      </c>
      <c r="AQ249" s="84">
        <v>0.58930000000000005</v>
      </c>
    </row>
    <row r="250" spans="6:43">
      <c r="F250">
        <v>247</v>
      </c>
      <c r="G250" t="s">
        <v>160</v>
      </c>
      <c r="H250" t="s">
        <v>110</v>
      </c>
      <c r="I250">
        <f t="shared" si="8"/>
        <v>914</v>
      </c>
      <c r="J250" s="84">
        <v>0</v>
      </c>
      <c r="K250" s="84">
        <v>0</v>
      </c>
      <c r="L250" s="84">
        <v>0</v>
      </c>
      <c r="M250" s="84">
        <v>0</v>
      </c>
      <c r="N250" s="84">
        <v>0</v>
      </c>
      <c r="O250" s="84">
        <v>0</v>
      </c>
      <c r="P250" s="84">
        <v>0</v>
      </c>
      <c r="Q250" s="84">
        <v>0</v>
      </c>
      <c r="T250" s="94" t="s">
        <v>1172</v>
      </c>
      <c r="U250" s="94" t="s">
        <v>110</v>
      </c>
      <c r="Z250" s="91">
        <v>60.86</v>
      </c>
      <c r="AC250" s="91">
        <v>60.83</v>
      </c>
      <c r="AD250" s="91">
        <v>60.63</v>
      </c>
      <c r="AG250" t="s">
        <v>1173</v>
      </c>
      <c r="AH250" s="84">
        <v>0</v>
      </c>
      <c r="AI250" s="84">
        <v>0</v>
      </c>
      <c r="AJ250" s="84">
        <v>0</v>
      </c>
      <c r="AK250" s="84">
        <v>0</v>
      </c>
      <c r="AL250" s="84">
        <v>0</v>
      </c>
      <c r="AM250" s="84">
        <v>0</v>
      </c>
      <c r="AN250" s="84">
        <v>0</v>
      </c>
      <c r="AO250" s="84">
        <v>0</v>
      </c>
      <c r="AP250" s="84">
        <v>0</v>
      </c>
      <c r="AQ250" s="84">
        <v>0</v>
      </c>
    </row>
    <row r="251" spans="6:43">
      <c r="F251">
        <v>248</v>
      </c>
      <c r="G251" t="s">
        <v>161</v>
      </c>
      <c r="H251" t="s">
        <v>110</v>
      </c>
      <c r="I251">
        <f t="shared" si="8"/>
        <v>915</v>
      </c>
      <c r="J251" s="84">
        <v>0.59650000000000003</v>
      </c>
      <c r="K251" s="84">
        <v>0.58499999999999996</v>
      </c>
      <c r="L251" s="84">
        <v>0.57530000000000003</v>
      </c>
      <c r="M251" s="84">
        <v>0.45689999999999997</v>
      </c>
      <c r="N251" s="84">
        <v>0.45689999999999997</v>
      </c>
      <c r="O251" s="84">
        <v>0.45069999999999999</v>
      </c>
      <c r="P251" s="84">
        <v>0.45030000000000003</v>
      </c>
      <c r="Q251" s="84">
        <v>0.42479999999999996</v>
      </c>
      <c r="T251" s="95" t="s">
        <v>1173</v>
      </c>
      <c r="U251" s="95" t="s">
        <v>110</v>
      </c>
      <c r="V251" s="92"/>
      <c r="W251" s="92"/>
      <c r="X251" s="92"/>
      <c r="Y251" s="92"/>
      <c r="Z251" s="92"/>
      <c r="AA251" s="92"/>
      <c r="AB251" s="92"/>
      <c r="AC251" s="92"/>
      <c r="AD251" s="92"/>
      <c r="AE251" s="92"/>
      <c r="AG251" t="s">
        <v>734</v>
      </c>
      <c r="AH251" s="84">
        <v>0.59650000000000003</v>
      </c>
      <c r="AI251" s="84">
        <v>0.58499999999999996</v>
      </c>
      <c r="AJ251" s="84">
        <v>0.57530000000000003</v>
      </c>
      <c r="AK251" s="84">
        <v>0.45689999999999997</v>
      </c>
      <c r="AL251" s="84">
        <v>0.45669999999999999</v>
      </c>
      <c r="AM251" s="84">
        <v>0.45069999999999999</v>
      </c>
      <c r="AN251" s="84">
        <v>0.45030000000000003</v>
      </c>
      <c r="AO251" s="84">
        <v>0.45020000000000004</v>
      </c>
      <c r="AP251" s="84">
        <v>0.44359999999999999</v>
      </c>
      <c r="AQ251" s="84">
        <v>0.42479999999999996</v>
      </c>
    </row>
    <row r="252" spans="6:43">
      <c r="F252">
        <v>249</v>
      </c>
      <c r="G252" t="s">
        <v>163</v>
      </c>
      <c r="H252" t="s">
        <v>110</v>
      </c>
      <c r="I252">
        <f t="shared" si="8"/>
        <v>916</v>
      </c>
      <c r="J252" s="84">
        <v>0.58540000000000003</v>
      </c>
      <c r="K252" s="84">
        <v>0.57420000000000004</v>
      </c>
      <c r="L252" s="84">
        <v>0.56479999999999997</v>
      </c>
      <c r="M252" s="84">
        <v>0.44740000000000002</v>
      </c>
      <c r="N252" s="84">
        <v>0.44740000000000002</v>
      </c>
      <c r="O252" s="84">
        <v>0.44130000000000003</v>
      </c>
      <c r="P252" s="84">
        <v>0.44090000000000001</v>
      </c>
      <c r="Q252" s="84">
        <v>0.4158</v>
      </c>
      <c r="T252" s="94" t="s">
        <v>734</v>
      </c>
      <c r="U252" s="94" t="s">
        <v>110</v>
      </c>
      <c r="Z252" s="96">
        <v>45.67</v>
      </c>
      <c r="AC252" s="96">
        <v>45.02</v>
      </c>
      <c r="AD252" s="96">
        <v>44.36</v>
      </c>
      <c r="AG252" t="s">
        <v>1174</v>
      </c>
      <c r="AH252" s="84">
        <v>0.58540000000000003</v>
      </c>
      <c r="AI252" s="84">
        <v>0.57420000000000004</v>
      </c>
      <c r="AJ252" s="84">
        <v>0.56479999999999997</v>
      </c>
      <c r="AK252" s="84">
        <v>0.44740000000000002</v>
      </c>
      <c r="AL252" s="84">
        <v>0.44719999999999999</v>
      </c>
      <c r="AM252" s="84">
        <v>0.44130000000000003</v>
      </c>
      <c r="AN252" s="84">
        <v>0.44090000000000001</v>
      </c>
      <c r="AO252" s="84">
        <v>0.44090000000000001</v>
      </c>
      <c r="AP252" s="84">
        <v>0.43439999999999995</v>
      </c>
      <c r="AQ252" s="84">
        <v>0.4158</v>
      </c>
    </row>
    <row r="253" spans="6:43">
      <c r="F253">
        <v>250</v>
      </c>
      <c r="G253" t="s">
        <v>164</v>
      </c>
      <c r="H253" t="s">
        <v>110</v>
      </c>
      <c r="I253">
        <f t="shared" si="8"/>
        <v>917</v>
      </c>
      <c r="J253" s="84">
        <v>0.55909999999999993</v>
      </c>
      <c r="K253" s="84">
        <v>0.54869999999999997</v>
      </c>
      <c r="L253" s="84">
        <v>0.54010000000000002</v>
      </c>
      <c r="M253" s="84">
        <v>0.42520000000000002</v>
      </c>
      <c r="N253" s="84">
        <v>0.42520000000000002</v>
      </c>
      <c r="O253" s="84">
        <v>0.41930000000000001</v>
      </c>
      <c r="P253" s="84">
        <v>0.41889999999999999</v>
      </c>
      <c r="Q253" s="84">
        <v>0.39479999999999998</v>
      </c>
      <c r="T253" s="94" t="s">
        <v>1174</v>
      </c>
      <c r="U253" s="94" t="s">
        <v>110</v>
      </c>
      <c r="Z253" s="91">
        <v>44.72</v>
      </c>
      <c r="AC253" s="91">
        <v>44.09</v>
      </c>
      <c r="AD253" s="91">
        <v>43.44</v>
      </c>
      <c r="AG253" t="s">
        <v>1175</v>
      </c>
      <c r="AH253" s="84">
        <v>0.55909999999999993</v>
      </c>
      <c r="AI253" s="84">
        <v>0.54869999999999997</v>
      </c>
      <c r="AJ253" s="84">
        <v>0.54010000000000002</v>
      </c>
      <c r="AK253" s="84">
        <v>0.42520000000000002</v>
      </c>
      <c r="AL253" s="84">
        <v>0.42499999999999999</v>
      </c>
      <c r="AM253" s="84">
        <v>0.41930000000000001</v>
      </c>
      <c r="AN253" s="84">
        <v>0.41889999999999999</v>
      </c>
      <c r="AO253" s="84">
        <v>0.41920000000000002</v>
      </c>
      <c r="AP253" s="84">
        <v>0.41299999999999998</v>
      </c>
      <c r="AQ253" s="84">
        <v>0.39479999999999998</v>
      </c>
    </row>
    <row r="254" spans="6:43">
      <c r="F254">
        <v>251</v>
      </c>
      <c r="G254" t="s">
        <v>166</v>
      </c>
      <c r="H254" t="s">
        <v>110</v>
      </c>
      <c r="I254">
        <f t="shared" si="8"/>
        <v>918</v>
      </c>
      <c r="J254" s="84">
        <v>0.54820000000000002</v>
      </c>
      <c r="K254" s="84">
        <v>0.53820000000000001</v>
      </c>
      <c r="L254" s="84">
        <v>0.52990000000000004</v>
      </c>
      <c r="M254" s="84">
        <v>0.41609999999999997</v>
      </c>
      <c r="N254" s="84">
        <v>0.41609999999999997</v>
      </c>
      <c r="O254" s="84">
        <v>0.4103</v>
      </c>
      <c r="P254" s="84">
        <v>0.40990000000000004</v>
      </c>
      <c r="Q254" s="84">
        <v>0.38630000000000003</v>
      </c>
      <c r="T254" s="94" t="s">
        <v>1175</v>
      </c>
      <c r="U254" s="94" t="s">
        <v>110</v>
      </c>
      <c r="Z254" s="91">
        <v>42.5</v>
      </c>
      <c r="AC254" s="91">
        <v>41.92</v>
      </c>
      <c r="AD254" s="91">
        <v>41.3</v>
      </c>
      <c r="AG254" t="s">
        <v>1176</v>
      </c>
      <c r="AH254" s="84">
        <v>0.54820000000000002</v>
      </c>
      <c r="AI254" s="84">
        <v>0.53820000000000001</v>
      </c>
      <c r="AJ254" s="84">
        <v>0.52990000000000004</v>
      </c>
      <c r="AK254" s="84">
        <v>0.41609999999999997</v>
      </c>
      <c r="AL254" s="84">
        <v>0.41590000000000005</v>
      </c>
      <c r="AM254" s="84">
        <v>0.4103</v>
      </c>
      <c r="AN254" s="84">
        <v>0.40990000000000004</v>
      </c>
      <c r="AO254" s="84">
        <v>0.4103</v>
      </c>
      <c r="AP254" s="84">
        <v>0.40429999999999999</v>
      </c>
      <c r="AQ254" s="84">
        <v>0.38630000000000003</v>
      </c>
    </row>
    <row r="255" spans="6:43">
      <c r="F255">
        <v>252</v>
      </c>
      <c r="G255" t="s">
        <v>167</v>
      </c>
      <c r="H255" t="s">
        <v>110</v>
      </c>
      <c r="I255">
        <f t="shared" si="8"/>
        <v>919</v>
      </c>
      <c r="J255" s="84">
        <v>0</v>
      </c>
      <c r="K255" s="84">
        <v>0</v>
      </c>
      <c r="L255" s="84">
        <v>0</v>
      </c>
      <c r="M255" s="84">
        <v>0</v>
      </c>
      <c r="N255" s="84">
        <v>0</v>
      </c>
      <c r="O255" s="84">
        <v>0</v>
      </c>
      <c r="P255" s="84">
        <v>0</v>
      </c>
      <c r="Q255" s="84">
        <v>0</v>
      </c>
      <c r="T255" s="94" t="s">
        <v>1176</v>
      </c>
      <c r="U255" s="94" t="s">
        <v>110</v>
      </c>
      <c r="Z255" s="91">
        <v>41.59</v>
      </c>
      <c r="AC255" s="91">
        <v>41.03</v>
      </c>
      <c r="AD255" s="91">
        <v>40.43</v>
      </c>
      <c r="AG255" t="s">
        <v>1177</v>
      </c>
      <c r="AH255" s="84">
        <v>0</v>
      </c>
      <c r="AI255" s="84">
        <v>0</v>
      </c>
      <c r="AJ255" s="84">
        <v>0</v>
      </c>
      <c r="AK255" s="84">
        <v>0</v>
      </c>
      <c r="AL255" s="84">
        <v>0</v>
      </c>
      <c r="AM255" s="84">
        <v>0</v>
      </c>
      <c r="AN255" s="84">
        <v>0</v>
      </c>
      <c r="AO255" s="84">
        <v>0</v>
      </c>
      <c r="AP255" s="84">
        <v>0</v>
      </c>
      <c r="AQ255" s="84">
        <v>0</v>
      </c>
    </row>
    <row r="256" spans="6:43">
      <c r="F256">
        <v>253</v>
      </c>
      <c r="G256" t="s">
        <v>169</v>
      </c>
      <c r="H256" t="s">
        <v>110</v>
      </c>
      <c r="I256">
        <f t="shared" si="8"/>
        <v>920</v>
      </c>
      <c r="J256" s="84">
        <v>0</v>
      </c>
      <c r="K256" s="84">
        <v>0</v>
      </c>
      <c r="L256" s="84">
        <v>0</v>
      </c>
      <c r="M256" s="84">
        <v>0</v>
      </c>
      <c r="N256" s="84">
        <v>0</v>
      </c>
      <c r="O256" s="84">
        <v>0</v>
      </c>
      <c r="P256" s="84">
        <v>0</v>
      </c>
      <c r="Q256" s="84">
        <v>0</v>
      </c>
      <c r="T256" s="95" t="s">
        <v>1177</v>
      </c>
      <c r="U256" s="95" t="s">
        <v>110</v>
      </c>
      <c r="V256" s="92"/>
      <c r="W256" s="92"/>
      <c r="X256" s="92"/>
      <c r="Y256" s="92"/>
      <c r="Z256" s="92"/>
      <c r="AA256" s="92"/>
      <c r="AB256" s="92"/>
      <c r="AC256" s="92"/>
      <c r="AD256" s="92"/>
      <c r="AE256" s="92"/>
      <c r="AG256" t="s">
        <v>1178</v>
      </c>
      <c r="AH256" s="84">
        <v>0</v>
      </c>
      <c r="AI256" s="84">
        <v>0</v>
      </c>
      <c r="AJ256" s="84">
        <v>0</v>
      </c>
      <c r="AK256" s="84">
        <v>0</v>
      </c>
      <c r="AL256" s="84">
        <v>0</v>
      </c>
      <c r="AM256" s="84">
        <v>0</v>
      </c>
      <c r="AN256" s="84">
        <v>0</v>
      </c>
      <c r="AO256" s="84">
        <v>0</v>
      </c>
      <c r="AP256" s="84">
        <v>0</v>
      </c>
      <c r="AQ256" s="84">
        <v>0</v>
      </c>
    </row>
    <row r="257" spans="6:43">
      <c r="F257">
        <v>254</v>
      </c>
      <c r="G257" t="s">
        <v>170</v>
      </c>
      <c r="H257" t="s">
        <v>110</v>
      </c>
      <c r="I257">
        <f t="shared" si="8"/>
        <v>921</v>
      </c>
      <c r="J257" s="84">
        <v>0.36070000000000002</v>
      </c>
      <c r="K257" s="84">
        <v>0.37119999999999997</v>
      </c>
      <c r="L257" s="84">
        <v>0.3846</v>
      </c>
      <c r="M257" s="84">
        <v>0.27629999999999999</v>
      </c>
      <c r="N257" s="84">
        <v>0.27629999999999999</v>
      </c>
      <c r="O257" s="84">
        <v>0.27489999999999998</v>
      </c>
      <c r="P257" s="84">
        <v>0.27440000000000003</v>
      </c>
      <c r="Q257" s="84">
        <v>0.32329999999999998</v>
      </c>
      <c r="T257" s="95" t="s">
        <v>1178</v>
      </c>
      <c r="U257" s="95" t="s">
        <v>110</v>
      </c>
      <c r="V257" s="92"/>
      <c r="W257" s="92"/>
      <c r="X257" s="92"/>
      <c r="Y257" s="92"/>
      <c r="Z257" s="92"/>
      <c r="AA257" s="92"/>
      <c r="AB257" s="92"/>
      <c r="AC257" s="92"/>
      <c r="AD257" s="92"/>
      <c r="AE257" s="92"/>
      <c r="AG257" t="s">
        <v>735</v>
      </c>
      <c r="AH257" s="84">
        <v>0.36070000000000002</v>
      </c>
      <c r="AI257" s="84">
        <v>0.37119999999999997</v>
      </c>
      <c r="AJ257" s="84">
        <v>0.3846</v>
      </c>
      <c r="AK257" s="84">
        <v>0.27629999999999999</v>
      </c>
      <c r="AL257" s="84">
        <v>0.27589999999999998</v>
      </c>
      <c r="AM257" s="84">
        <v>0.27489999999999998</v>
      </c>
      <c r="AN257" s="84">
        <v>0.27440000000000003</v>
      </c>
      <c r="AO257" s="84">
        <v>0.30030000000000001</v>
      </c>
      <c r="AP257" s="84">
        <v>0.33159999999999995</v>
      </c>
      <c r="AQ257" s="84">
        <v>0.32329999999999998</v>
      </c>
    </row>
    <row r="258" spans="6:43">
      <c r="F258">
        <v>255</v>
      </c>
      <c r="G258" t="s">
        <v>172</v>
      </c>
      <c r="H258" t="s">
        <v>110</v>
      </c>
      <c r="I258">
        <f t="shared" si="8"/>
        <v>922</v>
      </c>
      <c r="J258" s="84">
        <v>0.374</v>
      </c>
      <c r="K258" s="84">
        <v>0.38450000000000001</v>
      </c>
      <c r="L258" s="84">
        <v>0.39799999999999996</v>
      </c>
      <c r="M258" s="84">
        <v>0.28899999999999998</v>
      </c>
      <c r="N258" s="84">
        <v>0.28899999999999998</v>
      </c>
      <c r="O258" s="84">
        <v>0.28760000000000002</v>
      </c>
      <c r="P258" s="84">
        <v>0.28710000000000002</v>
      </c>
      <c r="Q258" s="84">
        <v>0.3362</v>
      </c>
      <c r="T258" s="94" t="s">
        <v>735</v>
      </c>
      <c r="U258" s="94" t="s">
        <v>110</v>
      </c>
      <c r="Z258" s="96">
        <v>27.59</v>
      </c>
      <c r="AC258" s="96">
        <v>30.03</v>
      </c>
      <c r="AD258" s="96">
        <v>33.159999999999997</v>
      </c>
      <c r="AG258" t="s">
        <v>1179</v>
      </c>
      <c r="AH258" s="84">
        <v>0.374</v>
      </c>
      <c r="AI258" s="84">
        <v>0.38450000000000001</v>
      </c>
      <c r="AJ258" s="84">
        <v>0.39799999999999996</v>
      </c>
      <c r="AK258" s="84">
        <v>0.28899999999999998</v>
      </c>
      <c r="AL258" s="84">
        <v>0.28870000000000001</v>
      </c>
      <c r="AM258" s="84">
        <v>0.28760000000000002</v>
      </c>
      <c r="AN258" s="84">
        <v>0.28710000000000002</v>
      </c>
      <c r="AO258" s="84">
        <v>0.31309999999999999</v>
      </c>
      <c r="AP258" s="84">
        <v>0.34460000000000002</v>
      </c>
      <c r="AQ258" s="84">
        <v>0.3362</v>
      </c>
    </row>
    <row r="259" spans="6:43">
      <c r="F259">
        <v>256</v>
      </c>
      <c r="G259" t="s">
        <v>173</v>
      </c>
      <c r="H259" t="s">
        <v>110</v>
      </c>
      <c r="I259">
        <f t="shared" si="8"/>
        <v>923</v>
      </c>
      <c r="J259" s="84">
        <v>0</v>
      </c>
      <c r="K259" s="84">
        <v>0</v>
      </c>
      <c r="L259" s="84">
        <v>0</v>
      </c>
      <c r="M259" s="84">
        <v>0</v>
      </c>
      <c r="N259" s="84">
        <v>0</v>
      </c>
      <c r="O259" s="84">
        <v>0</v>
      </c>
      <c r="P259" s="84">
        <v>0</v>
      </c>
      <c r="Q259" s="84">
        <v>0</v>
      </c>
      <c r="T259" s="94" t="s">
        <v>1179</v>
      </c>
      <c r="U259" s="94" t="s">
        <v>110</v>
      </c>
      <c r="Z259" s="91">
        <v>28.87</v>
      </c>
      <c r="AC259" s="91">
        <v>31.31</v>
      </c>
      <c r="AD259" s="91">
        <v>34.46</v>
      </c>
      <c r="AG259" t="s">
        <v>1180</v>
      </c>
      <c r="AH259" s="84">
        <v>0</v>
      </c>
      <c r="AI259" s="84">
        <v>0</v>
      </c>
      <c r="AJ259" s="84">
        <v>0</v>
      </c>
      <c r="AK259" s="84">
        <v>0</v>
      </c>
      <c r="AL259" s="84">
        <v>0</v>
      </c>
      <c r="AM259" s="84">
        <v>0</v>
      </c>
      <c r="AN259" s="84">
        <v>0</v>
      </c>
      <c r="AO259" s="84">
        <v>0</v>
      </c>
      <c r="AP259" s="84">
        <v>0</v>
      </c>
      <c r="AQ259" s="84">
        <v>0</v>
      </c>
    </row>
    <row r="260" spans="6:43">
      <c r="F260">
        <v>257</v>
      </c>
      <c r="G260" t="s">
        <v>175</v>
      </c>
      <c r="H260" t="s">
        <v>110</v>
      </c>
      <c r="I260">
        <f t="shared" si="8"/>
        <v>924</v>
      </c>
      <c r="J260" s="84">
        <v>0</v>
      </c>
      <c r="K260" s="84">
        <v>0</v>
      </c>
      <c r="L260" s="84">
        <v>0</v>
      </c>
      <c r="M260" s="84">
        <v>0</v>
      </c>
      <c r="N260" s="84">
        <v>0</v>
      </c>
      <c r="O260" s="84">
        <v>0</v>
      </c>
      <c r="P260" s="84">
        <v>0</v>
      </c>
      <c r="Q260" s="84">
        <v>0</v>
      </c>
      <c r="T260" s="94" t="s">
        <v>1128</v>
      </c>
      <c r="U260" s="94" t="s">
        <v>110</v>
      </c>
      <c r="V260" s="97"/>
      <c r="W260" s="97"/>
      <c r="X260" s="97"/>
      <c r="Y260" s="97"/>
      <c r="Z260" s="97"/>
      <c r="AA260" s="97"/>
      <c r="AB260" s="97"/>
      <c r="AC260" s="97"/>
      <c r="AD260" s="97"/>
      <c r="AE260" s="97"/>
      <c r="AG260" t="s">
        <v>1184</v>
      </c>
      <c r="AH260" s="84">
        <v>0</v>
      </c>
      <c r="AI260" s="84">
        <v>0</v>
      </c>
      <c r="AJ260" s="84">
        <v>0</v>
      </c>
      <c r="AK260" s="84">
        <v>0</v>
      </c>
      <c r="AL260" s="84">
        <v>0</v>
      </c>
      <c r="AM260" s="84">
        <v>0</v>
      </c>
      <c r="AN260" s="84">
        <v>0</v>
      </c>
      <c r="AO260" s="84">
        <v>0</v>
      </c>
      <c r="AP260" s="84">
        <v>0</v>
      </c>
      <c r="AQ260" s="84">
        <v>0</v>
      </c>
    </row>
    <row r="261" spans="6:43">
      <c r="F261">
        <v>258</v>
      </c>
      <c r="G261" t="s">
        <v>176</v>
      </c>
      <c r="H261" t="s">
        <v>110</v>
      </c>
      <c r="I261">
        <f t="shared" si="8"/>
        <v>925</v>
      </c>
      <c r="J261" s="84">
        <v>0</v>
      </c>
      <c r="K261" s="84">
        <v>0</v>
      </c>
      <c r="L261" s="84">
        <v>0</v>
      </c>
      <c r="M261" s="84">
        <v>0</v>
      </c>
      <c r="N261" s="84">
        <v>0</v>
      </c>
      <c r="O261" s="84">
        <v>0</v>
      </c>
      <c r="P261" s="84">
        <v>0</v>
      </c>
      <c r="Q261" s="84">
        <v>0</v>
      </c>
      <c r="T261" s="94" t="s">
        <v>1181</v>
      </c>
      <c r="U261" s="94" t="s">
        <v>110</v>
      </c>
      <c r="V261" s="98"/>
      <c r="W261" s="98"/>
      <c r="X261" s="98"/>
      <c r="Y261" s="98"/>
      <c r="Z261" s="98"/>
      <c r="AA261" s="98"/>
      <c r="AB261" s="98"/>
      <c r="AC261" s="98"/>
      <c r="AD261" s="98"/>
      <c r="AE261" s="98"/>
      <c r="AG261" t="s">
        <v>1128</v>
      </c>
      <c r="AH261" s="84">
        <v>0</v>
      </c>
      <c r="AI261" s="84">
        <v>0</v>
      </c>
      <c r="AJ261" s="84">
        <v>0</v>
      </c>
      <c r="AK261" s="84">
        <v>0</v>
      </c>
      <c r="AL261" s="84">
        <v>0</v>
      </c>
      <c r="AM261" s="84">
        <v>0</v>
      </c>
      <c r="AN261" s="84">
        <v>0</v>
      </c>
      <c r="AO261" s="84">
        <v>0</v>
      </c>
      <c r="AP261" s="84">
        <v>0</v>
      </c>
      <c r="AQ261" s="84">
        <v>0</v>
      </c>
    </row>
    <row r="262" spans="6:43">
      <c r="F262">
        <v>259</v>
      </c>
      <c r="G262" t="s">
        <v>178</v>
      </c>
      <c r="H262" t="s">
        <v>110</v>
      </c>
      <c r="I262">
        <f t="shared" si="8"/>
        <v>926</v>
      </c>
      <c r="J262" s="84">
        <v>0</v>
      </c>
      <c r="K262" s="84">
        <v>0</v>
      </c>
      <c r="L262" s="84">
        <v>0</v>
      </c>
      <c r="M262" s="84">
        <v>0</v>
      </c>
      <c r="N262" s="84">
        <v>0</v>
      </c>
      <c r="O262" s="84">
        <v>0</v>
      </c>
      <c r="P262" s="84">
        <v>0</v>
      </c>
      <c r="Q262" s="84">
        <v>0</v>
      </c>
      <c r="T262" s="94" t="s">
        <v>1182</v>
      </c>
      <c r="U262" s="94" t="s">
        <v>110</v>
      </c>
      <c r="V262" s="98"/>
      <c r="W262" s="98"/>
      <c r="X262" s="98"/>
      <c r="Y262" s="98"/>
      <c r="Z262" s="98"/>
      <c r="AA262" s="98"/>
      <c r="AB262" s="98"/>
      <c r="AC262" s="98"/>
      <c r="AD262" s="98"/>
      <c r="AE262" s="98"/>
      <c r="AG262" t="s">
        <v>1181</v>
      </c>
      <c r="AH262" s="84">
        <v>0</v>
      </c>
      <c r="AI262" s="84">
        <v>0</v>
      </c>
      <c r="AJ262" s="84">
        <v>0</v>
      </c>
      <c r="AK262" s="84">
        <v>0</v>
      </c>
      <c r="AL262" s="84">
        <v>0</v>
      </c>
      <c r="AM262" s="84">
        <v>0</v>
      </c>
      <c r="AN262" s="84">
        <v>0</v>
      </c>
      <c r="AO262" s="84">
        <v>0</v>
      </c>
      <c r="AP262" s="84">
        <v>0</v>
      </c>
      <c r="AQ262" s="84">
        <v>0</v>
      </c>
    </row>
    <row r="263" spans="6:43">
      <c r="F263">
        <v>260</v>
      </c>
      <c r="G263" t="s">
        <v>179</v>
      </c>
      <c r="H263" t="s">
        <v>110</v>
      </c>
      <c r="I263">
        <f t="shared" si="8"/>
        <v>927</v>
      </c>
      <c r="J263" s="84">
        <v>0</v>
      </c>
      <c r="K263" s="84">
        <v>0</v>
      </c>
      <c r="L263" s="84">
        <v>0</v>
      </c>
      <c r="M263" s="84">
        <v>0</v>
      </c>
      <c r="N263" s="84">
        <v>0</v>
      </c>
      <c r="O263" s="84">
        <v>0</v>
      </c>
      <c r="P263" s="84">
        <v>0</v>
      </c>
      <c r="Q263" s="84">
        <v>0</v>
      </c>
      <c r="AG263" t="s">
        <v>1182</v>
      </c>
      <c r="AH263" s="84">
        <v>0</v>
      </c>
      <c r="AI263" s="84">
        <v>0</v>
      </c>
      <c r="AJ263" s="84">
        <v>0</v>
      </c>
      <c r="AK263" s="84">
        <v>0</v>
      </c>
      <c r="AL263" s="84">
        <v>0</v>
      </c>
      <c r="AM263" s="84">
        <v>0</v>
      </c>
      <c r="AN263" s="84">
        <v>0</v>
      </c>
      <c r="AO263" s="84">
        <v>0</v>
      </c>
      <c r="AP263" s="84">
        <v>0</v>
      </c>
      <c r="AQ263" s="84">
        <v>0</v>
      </c>
    </row>
    <row r="264" spans="6:43">
      <c r="F264">
        <v>261</v>
      </c>
      <c r="G264" t="s">
        <v>138</v>
      </c>
      <c r="H264" t="s">
        <v>111</v>
      </c>
      <c r="I264">
        <v>1000</v>
      </c>
      <c r="J264" s="84">
        <v>0.43</v>
      </c>
      <c r="K264" s="84">
        <v>0.43</v>
      </c>
      <c r="L264" s="84">
        <v>0.43</v>
      </c>
      <c r="M264" s="84">
        <v>0.43</v>
      </c>
      <c r="N264" s="84">
        <v>0.43</v>
      </c>
      <c r="O264" s="84">
        <v>0.43</v>
      </c>
      <c r="P264" s="84">
        <v>0.43</v>
      </c>
      <c r="Q264" s="84">
        <v>0.43</v>
      </c>
      <c r="T264" s="94" t="s">
        <v>138</v>
      </c>
      <c r="U264" s="94" t="s">
        <v>221</v>
      </c>
      <c r="Z264" s="100">
        <v>43</v>
      </c>
      <c r="AA264" s="100">
        <v>43</v>
      </c>
      <c r="AB264" s="100">
        <v>43</v>
      </c>
      <c r="AC264" s="100">
        <v>43</v>
      </c>
      <c r="AD264" s="100">
        <v>43</v>
      </c>
      <c r="AE264" s="100">
        <v>43</v>
      </c>
      <c r="AG264" t="s">
        <v>138</v>
      </c>
      <c r="AH264" s="84">
        <v>0.43</v>
      </c>
      <c r="AI264" s="84">
        <v>0.43</v>
      </c>
      <c r="AJ264" s="84">
        <v>0.43</v>
      </c>
      <c r="AK264" s="84">
        <v>0.43</v>
      </c>
      <c r="AL264" s="84">
        <v>0.43</v>
      </c>
      <c r="AM264" s="84">
        <v>0.43</v>
      </c>
      <c r="AN264" s="84">
        <v>0.43</v>
      </c>
      <c r="AO264" s="84">
        <v>0.43</v>
      </c>
      <c r="AP264" s="84">
        <v>0.43</v>
      </c>
      <c r="AQ264" s="84">
        <v>0.43</v>
      </c>
    </row>
    <row r="265" spans="6:43">
      <c r="F265">
        <v>262</v>
      </c>
      <c r="G265" t="s">
        <v>139</v>
      </c>
      <c r="H265" t="s">
        <v>111</v>
      </c>
      <c r="I265">
        <f>+I264+1</f>
        <v>1001</v>
      </c>
      <c r="J265" s="84">
        <v>0.43</v>
      </c>
      <c r="K265" s="84">
        <v>0.43</v>
      </c>
      <c r="L265" s="84">
        <v>0.43</v>
      </c>
      <c r="M265" s="84">
        <v>0.43</v>
      </c>
      <c r="N265" s="84">
        <v>0.43</v>
      </c>
      <c r="O265" s="84">
        <v>0.43</v>
      </c>
      <c r="P265" s="84">
        <v>0.43</v>
      </c>
      <c r="Q265" s="84">
        <v>0.43</v>
      </c>
      <c r="T265" s="94" t="s">
        <v>139</v>
      </c>
      <c r="U265" s="94" t="s">
        <v>221</v>
      </c>
      <c r="Z265" s="100">
        <v>43</v>
      </c>
      <c r="AA265" s="100">
        <v>43</v>
      </c>
      <c r="AB265" s="100">
        <v>43</v>
      </c>
      <c r="AC265" s="100">
        <v>43</v>
      </c>
      <c r="AD265" s="100">
        <v>43</v>
      </c>
      <c r="AE265" s="100">
        <v>43</v>
      </c>
      <c r="AG265" t="s">
        <v>139</v>
      </c>
      <c r="AH265" s="84">
        <v>0.43</v>
      </c>
      <c r="AI265" s="84">
        <v>0.43</v>
      </c>
      <c r="AJ265" s="84">
        <v>0.43</v>
      </c>
      <c r="AK265" s="84">
        <v>0.43</v>
      </c>
      <c r="AL265" s="84">
        <v>0.43</v>
      </c>
      <c r="AM265" s="84">
        <v>0.43</v>
      </c>
      <c r="AN265" s="84">
        <v>0.43</v>
      </c>
      <c r="AO265" s="84">
        <v>0.43</v>
      </c>
      <c r="AP265" s="84">
        <v>0.43</v>
      </c>
      <c r="AQ265" s="84">
        <v>0.43</v>
      </c>
    </row>
    <row r="266" spans="6:43">
      <c r="F266">
        <v>263</v>
      </c>
      <c r="G266" t="s">
        <v>140</v>
      </c>
      <c r="H266" t="s">
        <v>111</v>
      </c>
      <c r="I266">
        <f t="shared" ref="I266:I292" si="9">+I265+1</f>
        <v>1002</v>
      </c>
      <c r="J266" s="84">
        <v>0</v>
      </c>
      <c r="K266" s="84">
        <v>0</v>
      </c>
      <c r="L266" s="84">
        <v>0</v>
      </c>
      <c r="M266" s="84">
        <v>0</v>
      </c>
      <c r="N266" s="84">
        <v>0</v>
      </c>
      <c r="O266" s="84">
        <v>0</v>
      </c>
      <c r="P266" s="84">
        <v>0</v>
      </c>
      <c r="Q266" s="84">
        <v>0</v>
      </c>
      <c r="T266" s="94" t="s">
        <v>1164</v>
      </c>
      <c r="U266" s="94" t="s">
        <v>221</v>
      </c>
      <c r="V266" s="101"/>
      <c r="W266" s="101"/>
      <c r="X266" s="101"/>
      <c r="Y266" s="101"/>
      <c r="Z266" s="101"/>
      <c r="AA266" s="101"/>
      <c r="AB266" s="101"/>
      <c r="AC266" s="101"/>
      <c r="AD266" s="101"/>
      <c r="AE266" s="101"/>
      <c r="AG266" t="s">
        <v>1164</v>
      </c>
      <c r="AH266" s="84">
        <v>0</v>
      </c>
      <c r="AI266" s="84">
        <v>0</v>
      </c>
      <c r="AJ266" s="84">
        <v>0</v>
      </c>
      <c r="AK266" s="84">
        <v>0</v>
      </c>
      <c r="AL266" s="84">
        <v>0</v>
      </c>
      <c r="AM266" s="84">
        <v>0</v>
      </c>
      <c r="AN266" s="84">
        <v>0</v>
      </c>
      <c r="AO266" s="84">
        <v>0</v>
      </c>
      <c r="AP266" s="84">
        <v>0</v>
      </c>
      <c r="AQ266" s="84">
        <v>0</v>
      </c>
    </row>
    <row r="267" spans="6:43">
      <c r="F267">
        <v>264</v>
      </c>
      <c r="G267" t="s">
        <v>142</v>
      </c>
      <c r="H267" t="s">
        <v>111</v>
      </c>
      <c r="I267">
        <f t="shared" si="9"/>
        <v>1003</v>
      </c>
      <c r="J267" s="84">
        <v>0.73</v>
      </c>
      <c r="K267" s="84">
        <v>0.73</v>
      </c>
      <c r="L267" s="84">
        <v>0.73</v>
      </c>
      <c r="M267" s="84">
        <v>0.73</v>
      </c>
      <c r="N267" s="84">
        <v>0.73</v>
      </c>
      <c r="O267" s="84">
        <v>0.73</v>
      </c>
      <c r="P267" s="84">
        <v>0.73</v>
      </c>
      <c r="Q267" s="84">
        <v>0.73</v>
      </c>
      <c r="T267" s="94" t="s">
        <v>142</v>
      </c>
      <c r="U267" s="94" t="s">
        <v>221</v>
      </c>
      <c r="W267" s="100">
        <v>73</v>
      </c>
      <c r="X267" s="100">
        <v>73</v>
      </c>
      <c r="Y267" s="100">
        <v>73</v>
      </c>
      <c r="Z267" s="100">
        <v>73</v>
      </c>
      <c r="AA267" s="100">
        <v>73</v>
      </c>
      <c r="AB267" s="100">
        <v>73</v>
      </c>
      <c r="AC267" s="100">
        <v>73</v>
      </c>
      <c r="AD267" s="100">
        <v>73</v>
      </c>
      <c r="AE267" s="100">
        <v>73</v>
      </c>
      <c r="AG267" t="s">
        <v>142</v>
      </c>
      <c r="AH267" s="84">
        <v>0.73</v>
      </c>
      <c r="AI267" s="84">
        <v>0.73</v>
      </c>
      <c r="AJ267" s="84">
        <v>0.73</v>
      </c>
      <c r="AK267" s="84">
        <v>0.73</v>
      </c>
      <c r="AL267" s="84">
        <v>0.73</v>
      </c>
      <c r="AM267" s="84">
        <v>0.73</v>
      </c>
      <c r="AN267" s="84">
        <v>0.73</v>
      </c>
      <c r="AO267" s="84">
        <v>0.73</v>
      </c>
      <c r="AP267" s="84">
        <v>0.73</v>
      </c>
      <c r="AQ267" s="84">
        <v>0.73</v>
      </c>
    </row>
    <row r="268" spans="6:43">
      <c r="F268">
        <v>265</v>
      </c>
      <c r="G268" t="s">
        <v>143</v>
      </c>
      <c r="H268" t="s">
        <v>111</v>
      </c>
      <c r="I268">
        <f t="shared" si="9"/>
        <v>1004</v>
      </c>
      <c r="J268" s="84">
        <v>0.73</v>
      </c>
      <c r="K268" s="84">
        <v>0.73</v>
      </c>
      <c r="L268" s="84">
        <v>0.73</v>
      </c>
      <c r="M268" s="84">
        <v>0.73</v>
      </c>
      <c r="N268" s="84">
        <v>0.73</v>
      </c>
      <c r="O268" s="84">
        <v>0.73</v>
      </c>
      <c r="P268" s="84">
        <v>0.73</v>
      </c>
      <c r="Q268" s="84">
        <v>0.73</v>
      </c>
      <c r="T268" s="94" t="s">
        <v>1165</v>
      </c>
      <c r="U268" s="94" t="s">
        <v>221</v>
      </c>
      <c r="W268" s="100">
        <v>73</v>
      </c>
      <c r="X268" s="100">
        <v>73</v>
      </c>
      <c r="Y268" s="100">
        <v>73</v>
      </c>
      <c r="Z268" s="100">
        <v>73</v>
      </c>
      <c r="AA268" s="100">
        <v>73</v>
      </c>
      <c r="AB268" s="100">
        <v>73</v>
      </c>
      <c r="AC268" s="100">
        <v>73</v>
      </c>
      <c r="AD268" s="100">
        <v>73</v>
      </c>
      <c r="AE268" s="100">
        <v>73</v>
      </c>
      <c r="AG268" t="s">
        <v>1165</v>
      </c>
      <c r="AH268" s="84">
        <v>0.73</v>
      </c>
      <c r="AI268" s="84">
        <v>0.73</v>
      </c>
      <c r="AJ268" s="84">
        <v>0.73</v>
      </c>
      <c r="AK268" s="84">
        <v>0.73</v>
      </c>
      <c r="AL268" s="84">
        <v>0.73</v>
      </c>
      <c r="AM268" s="84">
        <v>0.73</v>
      </c>
      <c r="AN268" s="84">
        <v>0.73</v>
      </c>
      <c r="AO268" s="84">
        <v>0.73</v>
      </c>
      <c r="AP268" s="84">
        <v>0.73</v>
      </c>
      <c r="AQ268" s="84">
        <v>0.73</v>
      </c>
    </row>
    <row r="269" spans="6:43">
      <c r="F269">
        <v>266</v>
      </c>
      <c r="G269" t="s">
        <v>145</v>
      </c>
      <c r="H269" t="s">
        <v>111</v>
      </c>
      <c r="I269">
        <f t="shared" si="9"/>
        <v>1005</v>
      </c>
      <c r="J269" s="84">
        <v>0</v>
      </c>
      <c r="K269" s="84">
        <v>0</v>
      </c>
      <c r="L269" s="84">
        <v>0</v>
      </c>
      <c r="M269" s="84">
        <v>0</v>
      </c>
      <c r="N269" s="84">
        <v>0</v>
      </c>
      <c r="O269" s="84">
        <v>0</v>
      </c>
      <c r="P269" s="84">
        <v>0</v>
      </c>
      <c r="Q269" s="84">
        <v>0</v>
      </c>
      <c r="T269" s="94"/>
      <c r="U269" s="94"/>
      <c r="W269" s="100"/>
      <c r="X269" s="100"/>
      <c r="Y269" s="100"/>
      <c r="Z269" s="100"/>
      <c r="AA269" s="100"/>
      <c r="AB269" s="100"/>
      <c r="AC269" s="100"/>
      <c r="AD269" s="100"/>
      <c r="AE269" s="100"/>
      <c r="AG269" t="s">
        <v>1183</v>
      </c>
      <c r="AH269" s="84">
        <v>0</v>
      </c>
      <c r="AI269" s="84">
        <v>0</v>
      </c>
      <c r="AJ269" s="84">
        <v>0</v>
      </c>
      <c r="AK269" s="84">
        <v>0</v>
      </c>
      <c r="AL269" s="84">
        <v>0</v>
      </c>
      <c r="AM269" s="84">
        <v>0</v>
      </c>
      <c r="AN269" s="84">
        <v>0</v>
      </c>
      <c r="AO269" s="84">
        <v>0</v>
      </c>
      <c r="AP269" s="84">
        <v>0</v>
      </c>
      <c r="AQ269" s="84">
        <v>0</v>
      </c>
    </row>
    <row r="270" spans="6:43">
      <c r="F270">
        <v>267</v>
      </c>
      <c r="G270" t="s">
        <v>146</v>
      </c>
      <c r="H270" t="s">
        <v>111</v>
      </c>
      <c r="I270">
        <f t="shared" si="9"/>
        <v>1006</v>
      </c>
      <c r="J270" s="84">
        <v>0.83</v>
      </c>
      <c r="K270" s="84">
        <v>0.83</v>
      </c>
      <c r="L270" s="84">
        <v>0.83</v>
      </c>
      <c r="M270" s="84">
        <v>0.83</v>
      </c>
      <c r="N270" s="84">
        <v>0.83</v>
      </c>
      <c r="O270" s="84">
        <v>0.83</v>
      </c>
      <c r="P270" s="84">
        <v>0.83</v>
      </c>
      <c r="Q270" s="84">
        <v>0.83</v>
      </c>
      <c r="T270" s="94" t="s">
        <v>1183</v>
      </c>
      <c r="U270" s="94" t="s">
        <v>221</v>
      </c>
      <c r="V270" s="101"/>
      <c r="W270" s="101"/>
      <c r="X270" s="101"/>
      <c r="Y270" s="101"/>
      <c r="Z270" s="101"/>
      <c r="AA270" s="101"/>
      <c r="AB270" s="101"/>
      <c r="AC270" s="101"/>
      <c r="AD270" s="101"/>
      <c r="AE270" s="101"/>
      <c r="AG270" t="s">
        <v>1126</v>
      </c>
      <c r="AH270" s="84">
        <v>0.83</v>
      </c>
      <c r="AI270" s="84">
        <v>0.83</v>
      </c>
      <c r="AJ270" s="84">
        <v>0.83</v>
      </c>
      <c r="AK270" s="84">
        <v>0.83</v>
      </c>
      <c r="AL270" s="84">
        <v>0.83</v>
      </c>
      <c r="AM270" s="84">
        <v>0.83</v>
      </c>
      <c r="AN270" s="84">
        <v>0.83</v>
      </c>
      <c r="AO270" s="84">
        <v>0.83</v>
      </c>
      <c r="AP270" s="84">
        <v>0.83</v>
      </c>
      <c r="AQ270" s="84">
        <v>0.83</v>
      </c>
    </row>
    <row r="271" spans="6:43">
      <c r="F271">
        <v>268</v>
      </c>
      <c r="G271" t="s">
        <v>148</v>
      </c>
      <c r="H271" t="s">
        <v>111</v>
      </c>
      <c r="I271">
        <f t="shared" si="9"/>
        <v>1007</v>
      </c>
      <c r="J271" s="84">
        <v>0.83</v>
      </c>
      <c r="K271" s="84">
        <v>0.83</v>
      </c>
      <c r="L271" s="84">
        <v>0.83</v>
      </c>
      <c r="M271" s="84">
        <v>0.83</v>
      </c>
      <c r="N271" s="84">
        <v>0.83</v>
      </c>
      <c r="O271" s="84">
        <v>0.83</v>
      </c>
      <c r="P271" s="84">
        <v>0.83</v>
      </c>
      <c r="Q271" s="84">
        <v>0.83</v>
      </c>
      <c r="T271" s="94" t="s">
        <v>1126</v>
      </c>
      <c r="U271" s="94" t="s">
        <v>221</v>
      </c>
      <c r="W271" s="100">
        <v>83</v>
      </c>
      <c r="X271" s="100">
        <v>83</v>
      </c>
      <c r="Y271" s="100">
        <v>83</v>
      </c>
      <c r="Z271" s="100">
        <v>83</v>
      </c>
      <c r="AA271" s="100">
        <v>83</v>
      </c>
      <c r="AB271" s="100">
        <v>83</v>
      </c>
      <c r="AC271" s="100">
        <v>83</v>
      </c>
      <c r="AD271" s="100">
        <v>83</v>
      </c>
      <c r="AE271" s="100">
        <v>83</v>
      </c>
      <c r="AG271" t="s">
        <v>1166</v>
      </c>
      <c r="AH271" s="84">
        <v>0.83</v>
      </c>
      <c r="AI271" s="84">
        <v>0.83</v>
      </c>
      <c r="AJ271" s="84">
        <v>0.83</v>
      </c>
      <c r="AK271" s="84">
        <v>0.83</v>
      </c>
      <c r="AL271" s="84">
        <v>0.83</v>
      </c>
      <c r="AM271" s="84">
        <v>0.83</v>
      </c>
      <c r="AN271" s="84">
        <v>0.83</v>
      </c>
      <c r="AO271" s="84">
        <v>0.83</v>
      </c>
      <c r="AP271" s="84">
        <v>0.83</v>
      </c>
      <c r="AQ271" s="84">
        <v>0.83</v>
      </c>
    </row>
    <row r="272" spans="6:43">
      <c r="F272">
        <v>269</v>
      </c>
      <c r="G272" t="s">
        <v>149</v>
      </c>
      <c r="H272" t="s">
        <v>111</v>
      </c>
      <c r="I272">
        <f t="shared" si="9"/>
        <v>1008</v>
      </c>
      <c r="J272" s="84">
        <v>0.83</v>
      </c>
      <c r="K272" s="84">
        <v>0.83</v>
      </c>
      <c r="L272" s="84">
        <v>0.83</v>
      </c>
      <c r="M272" s="84">
        <v>0.83</v>
      </c>
      <c r="N272" s="84">
        <v>0.83</v>
      </c>
      <c r="O272" s="84">
        <v>0.83</v>
      </c>
      <c r="P272" s="84">
        <v>0.83</v>
      </c>
      <c r="Q272" s="84">
        <v>0.83</v>
      </c>
      <c r="T272" s="94" t="s">
        <v>1166</v>
      </c>
      <c r="U272" s="94" t="s">
        <v>221</v>
      </c>
      <c r="W272" s="100">
        <v>83</v>
      </c>
      <c r="X272" s="100">
        <v>83</v>
      </c>
      <c r="Y272" s="100">
        <v>83</v>
      </c>
      <c r="Z272" s="100">
        <v>83</v>
      </c>
      <c r="AA272" s="100">
        <v>83</v>
      </c>
      <c r="AB272" s="100">
        <v>83</v>
      </c>
      <c r="AC272" s="100">
        <v>83</v>
      </c>
      <c r="AD272" s="100">
        <v>83</v>
      </c>
      <c r="AE272" s="100">
        <v>83</v>
      </c>
      <c r="AG272" t="s">
        <v>1167</v>
      </c>
      <c r="AH272" s="84">
        <v>0.83</v>
      </c>
      <c r="AI272" s="84">
        <v>0.83</v>
      </c>
      <c r="AJ272" s="84">
        <v>0.83</v>
      </c>
      <c r="AK272" s="84">
        <v>0.83</v>
      </c>
      <c r="AL272" s="84">
        <v>0.83</v>
      </c>
      <c r="AM272" s="84">
        <v>0.83</v>
      </c>
      <c r="AN272" s="84">
        <v>0.83</v>
      </c>
      <c r="AO272" s="84">
        <v>0.83</v>
      </c>
      <c r="AP272" s="84">
        <v>0.83</v>
      </c>
      <c r="AQ272" s="84">
        <v>0.83</v>
      </c>
    </row>
    <row r="273" spans="6:43">
      <c r="F273">
        <v>270</v>
      </c>
      <c r="G273" t="s">
        <v>151</v>
      </c>
      <c r="H273" t="s">
        <v>111</v>
      </c>
      <c r="I273">
        <f t="shared" si="9"/>
        <v>1009</v>
      </c>
      <c r="J273" s="84">
        <v>0.83</v>
      </c>
      <c r="K273" s="84">
        <v>0.83</v>
      </c>
      <c r="L273" s="84">
        <v>0.83</v>
      </c>
      <c r="M273" s="84">
        <v>0.83</v>
      </c>
      <c r="N273" s="84">
        <v>0.83</v>
      </c>
      <c r="O273" s="84">
        <v>0.83</v>
      </c>
      <c r="P273" s="84">
        <v>0.83</v>
      </c>
      <c r="Q273" s="84">
        <v>0.83</v>
      </c>
      <c r="T273" s="94" t="s">
        <v>1167</v>
      </c>
      <c r="U273" s="94" t="s">
        <v>221</v>
      </c>
      <c r="W273" s="100">
        <v>83</v>
      </c>
      <c r="X273" s="100">
        <v>83</v>
      </c>
      <c r="Y273" s="100">
        <v>83</v>
      </c>
      <c r="Z273" s="100">
        <v>83</v>
      </c>
      <c r="AA273" s="100">
        <v>83</v>
      </c>
      <c r="AB273" s="100">
        <v>83</v>
      </c>
      <c r="AC273" s="100">
        <v>83</v>
      </c>
      <c r="AD273" s="100">
        <v>83</v>
      </c>
      <c r="AE273" s="100">
        <v>83</v>
      </c>
      <c r="AG273" t="s">
        <v>1168</v>
      </c>
      <c r="AH273" s="84">
        <v>0.83</v>
      </c>
      <c r="AI273" s="84">
        <v>0.83</v>
      </c>
      <c r="AJ273" s="84">
        <v>0.83</v>
      </c>
      <c r="AK273" s="84">
        <v>0.83</v>
      </c>
      <c r="AL273" s="84">
        <v>0.83</v>
      </c>
      <c r="AM273" s="84">
        <v>0.83</v>
      </c>
      <c r="AN273" s="84">
        <v>0.83</v>
      </c>
      <c r="AO273" s="84">
        <v>0.83</v>
      </c>
      <c r="AP273" s="84">
        <v>0.83</v>
      </c>
      <c r="AQ273" s="84">
        <v>0.83</v>
      </c>
    </row>
    <row r="274" spans="6:43">
      <c r="F274">
        <v>271</v>
      </c>
      <c r="G274" t="s">
        <v>152</v>
      </c>
      <c r="H274" t="s">
        <v>111</v>
      </c>
      <c r="I274">
        <f t="shared" si="9"/>
        <v>1010</v>
      </c>
      <c r="J274" s="84">
        <v>0.83</v>
      </c>
      <c r="K274" s="84">
        <v>0.83</v>
      </c>
      <c r="L274" s="84">
        <v>0.83</v>
      </c>
      <c r="M274" s="84">
        <v>0.83</v>
      </c>
      <c r="N274" s="84">
        <v>0.83</v>
      </c>
      <c r="O274" s="84">
        <v>0.83</v>
      </c>
      <c r="P274" s="84">
        <v>0.83</v>
      </c>
      <c r="Q274" s="84">
        <v>0.83</v>
      </c>
      <c r="T274" s="94" t="s">
        <v>1168</v>
      </c>
      <c r="U274" s="94" t="s">
        <v>221</v>
      </c>
      <c r="W274" s="100">
        <v>83</v>
      </c>
      <c r="X274" s="100">
        <v>83</v>
      </c>
      <c r="Y274" s="100">
        <v>83</v>
      </c>
      <c r="Z274" s="100">
        <v>83</v>
      </c>
      <c r="AA274" s="100">
        <v>83</v>
      </c>
      <c r="AB274" s="100">
        <v>83</v>
      </c>
      <c r="AC274" s="100">
        <v>83</v>
      </c>
      <c r="AD274" s="100">
        <v>83</v>
      </c>
      <c r="AE274" s="100">
        <v>83</v>
      </c>
      <c r="AG274" t="s">
        <v>1169</v>
      </c>
      <c r="AH274" s="84">
        <v>0.83</v>
      </c>
      <c r="AI274" s="84">
        <v>0.83</v>
      </c>
      <c r="AJ274" s="84">
        <v>0.83</v>
      </c>
      <c r="AK274" s="84">
        <v>0.83</v>
      </c>
      <c r="AL274" s="84">
        <v>0.83</v>
      </c>
      <c r="AM274" s="84">
        <v>0.83</v>
      </c>
      <c r="AN274" s="84">
        <v>0.83</v>
      </c>
      <c r="AO274" s="84">
        <v>0.83</v>
      </c>
      <c r="AP274" s="84">
        <v>0.83</v>
      </c>
      <c r="AQ274" s="84">
        <v>0.83</v>
      </c>
    </row>
    <row r="275" spans="6:43">
      <c r="F275">
        <v>272</v>
      </c>
      <c r="G275" t="s">
        <v>154</v>
      </c>
      <c r="H275" t="s">
        <v>111</v>
      </c>
      <c r="I275">
        <f t="shared" si="9"/>
        <v>1011</v>
      </c>
      <c r="J275" s="84">
        <v>0.79</v>
      </c>
      <c r="K275" s="84">
        <v>0.79</v>
      </c>
      <c r="L275" s="84">
        <v>0.79</v>
      </c>
      <c r="M275" s="84">
        <v>0.79</v>
      </c>
      <c r="N275" s="84">
        <v>0.79</v>
      </c>
      <c r="O275" s="84">
        <v>0.79</v>
      </c>
      <c r="P275" s="84">
        <v>0.79</v>
      </c>
      <c r="Q275" s="84">
        <v>0.79</v>
      </c>
      <c r="T275" s="94" t="s">
        <v>1169</v>
      </c>
      <c r="U275" s="94" t="s">
        <v>221</v>
      </c>
      <c r="W275" s="100">
        <v>83</v>
      </c>
      <c r="X275" s="100">
        <v>83</v>
      </c>
      <c r="Y275" s="100">
        <v>83</v>
      </c>
      <c r="Z275" s="100">
        <v>83</v>
      </c>
      <c r="AA275" s="100">
        <v>83</v>
      </c>
      <c r="AB275" s="100">
        <v>83</v>
      </c>
      <c r="AC275" s="100">
        <v>83</v>
      </c>
      <c r="AD275" s="100">
        <v>83</v>
      </c>
      <c r="AE275" s="100">
        <v>83</v>
      </c>
      <c r="AG275" t="s">
        <v>733</v>
      </c>
      <c r="AH275" s="84">
        <v>0.79</v>
      </c>
      <c r="AI275" s="84">
        <v>0.79</v>
      </c>
      <c r="AJ275" s="84">
        <v>0.79</v>
      </c>
      <c r="AK275" s="84">
        <v>0.79</v>
      </c>
      <c r="AL275" s="84">
        <v>0.79</v>
      </c>
      <c r="AM275" s="84">
        <v>0.79</v>
      </c>
      <c r="AN275" s="84">
        <v>0.79</v>
      </c>
      <c r="AO275" s="84">
        <v>0.79</v>
      </c>
      <c r="AP275" s="84">
        <v>0.79</v>
      </c>
      <c r="AQ275" s="84">
        <v>0.79</v>
      </c>
    </row>
    <row r="276" spans="6:43">
      <c r="F276">
        <v>273</v>
      </c>
      <c r="G276" t="s">
        <v>155</v>
      </c>
      <c r="H276" t="s">
        <v>111</v>
      </c>
      <c r="I276">
        <f t="shared" si="9"/>
        <v>1012</v>
      </c>
      <c r="J276" s="84">
        <v>0.79</v>
      </c>
      <c r="K276" s="84">
        <v>0.79</v>
      </c>
      <c r="L276" s="84">
        <v>0.79</v>
      </c>
      <c r="M276" s="84">
        <v>0.79</v>
      </c>
      <c r="N276" s="84">
        <v>0.79</v>
      </c>
      <c r="O276" s="84">
        <v>0.79</v>
      </c>
      <c r="P276" s="84">
        <v>0.79</v>
      </c>
      <c r="Q276" s="84">
        <v>0.79</v>
      </c>
      <c r="T276" s="94" t="s">
        <v>733</v>
      </c>
      <c r="U276" s="94" t="s">
        <v>221</v>
      </c>
      <c r="W276" s="100">
        <v>79</v>
      </c>
      <c r="X276" s="100">
        <v>79</v>
      </c>
      <c r="Y276" s="100">
        <v>79</v>
      </c>
      <c r="Z276" s="100">
        <v>79</v>
      </c>
      <c r="AA276" s="100">
        <v>79</v>
      </c>
      <c r="AB276" s="100">
        <v>79</v>
      </c>
      <c r="AC276" s="100">
        <v>79</v>
      </c>
      <c r="AD276" s="100">
        <v>79</v>
      </c>
      <c r="AE276" s="100">
        <v>79</v>
      </c>
      <c r="AG276" t="s">
        <v>1170</v>
      </c>
      <c r="AH276" s="84">
        <v>0.79</v>
      </c>
      <c r="AI276" s="84">
        <v>0.79</v>
      </c>
      <c r="AJ276" s="84">
        <v>0.79</v>
      </c>
      <c r="AK276" s="84">
        <v>0.79</v>
      </c>
      <c r="AL276" s="84">
        <v>0.79</v>
      </c>
      <c r="AM276" s="84">
        <v>0.79</v>
      </c>
      <c r="AN276" s="84">
        <v>0.79</v>
      </c>
      <c r="AO276" s="84">
        <v>0.79</v>
      </c>
      <c r="AP276" s="84">
        <v>0.79</v>
      </c>
      <c r="AQ276" s="84">
        <v>0.79</v>
      </c>
    </row>
    <row r="277" spans="6:43">
      <c r="F277">
        <v>274</v>
      </c>
      <c r="G277" t="s">
        <v>157</v>
      </c>
      <c r="H277" t="s">
        <v>111</v>
      </c>
      <c r="I277">
        <f t="shared" si="9"/>
        <v>1013</v>
      </c>
      <c r="J277" s="84">
        <v>0.79</v>
      </c>
      <c r="K277" s="84">
        <v>0.79</v>
      </c>
      <c r="L277" s="84">
        <v>0.79</v>
      </c>
      <c r="M277" s="84">
        <v>0.79</v>
      </c>
      <c r="N277" s="84">
        <v>0.79</v>
      </c>
      <c r="O277" s="84">
        <v>0.79</v>
      </c>
      <c r="P277" s="84">
        <v>0.79</v>
      </c>
      <c r="Q277" s="84">
        <v>0.79</v>
      </c>
      <c r="T277" s="94" t="s">
        <v>1170</v>
      </c>
      <c r="U277" s="94" t="s">
        <v>221</v>
      </c>
      <c r="W277" s="100">
        <v>79</v>
      </c>
      <c r="X277" s="100">
        <v>79</v>
      </c>
      <c r="Y277" s="100">
        <v>79</v>
      </c>
      <c r="Z277" s="100">
        <v>79</v>
      </c>
      <c r="AA277" s="100">
        <v>79</v>
      </c>
      <c r="AB277" s="100">
        <v>79</v>
      </c>
      <c r="AC277" s="100">
        <v>79</v>
      </c>
      <c r="AD277" s="100">
        <v>79</v>
      </c>
      <c r="AE277" s="100">
        <v>79</v>
      </c>
      <c r="AG277" t="s">
        <v>1171</v>
      </c>
      <c r="AH277" s="84">
        <v>0.79</v>
      </c>
      <c r="AI277" s="84">
        <v>0.79</v>
      </c>
      <c r="AJ277" s="84">
        <v>0.79</v>
      </c>
      <c r="AK277" s="84">
        <v>0.79</v>
      </c>
      <c r="AL277" s="84">
        <v>0.79</v>
      </c>
      <c r="AM277" s="84">
        <v>0.79</v>
      </c>
      <c r="AN277" s="84">
        <v>0.79</v>
      </c>
      <c r="AO277" s="84">
        <v>0.79</v>
      </c>
      <c r="AP277" s="84">
        <v>0.79</v>
      </c>
      <c r="AQ277" s="84">
        <v>0.79</v>
      </c>
    </row>
    <row r="278" spans="6:43">
      <c r="F278">
        <v>275</v>
      </c>
      <c r="G278" t="s">
        <v>158</v>
      </c>
      <c r="H278" t="s">
        <v>111</v>
      </c>
      <c r="I278">
        <f t="shared" si="9"/>
        <v>1014</v>
      </c>
      <c r="J278" s="84">
        <v>0.79</v>
      </c>
      <c r="K278" s="84">
        <v>0.79</v>
      </c>
      <c r="L278" s="84">
        <v>0.79</v>
      </c>
      <c r="M278" s="84">
        <v>0.79</v>
      </c>
      <c r="N278" s="84">
        <v>0.79</v>
      </c>
      <c r="O278" s="84">
        <v>0.79</v>
      </c>
      <c r="P278" s="84">
        <v>0.79</v>
      </c>
      <c r="Q278" s="84">
        <v>0.79</v>
      </c>
      <c r="T278" s="94" t="s">
        <v>1171</v>
      </c>
      <c r="U278" s="94" t="s">
        <v>221</v>
      </c>
      <c r="W278" s="100">
        <v>79</v>
      </c>
      <c r="X278" s="100">
        <v>79</v>
      </c>
      <c r="Y278" s="100">
        <v>79</v>
      </c>
      <c r="Z278" s="100">
        <v>79</v>
      </c>
      <c r="AA278" s="100">
        <v>79</v>
      </c>
      <c r="AB278" s="100">
        <v>79</v>
      </c>
      <c r="AC278" s="100">
        <v>79</v>
      </c>
      <c r="AD278" s="100">
        <v>79</v>
      </c>
      <c r="AE278" s="100">
        <v>79</v>
      </c>
      <c r="AG278" t="s">
        <v>1172</v>
      </c>
      <c r="AH278" s="84">
        <v>0.79</v>
      </c>
      <c r="AI278" s="84">
        <v>0.79</v>
      </c>
      <c r="AJ278" s="84">
        <v>0.79</v>
      </c>
      <c r="AK278" s="84">
        <v>0.79</v>
      </c>
      <c r="AL278" s="84">
        <v>0.79</v>
      </c>
      <c r="AM278" s="84">
        <v>0.79</v>
      </c>
      <c r="AN278" s="84">
        <v>0.79</v>
      </c>
      <c r="AO278" s="84">
        <v>0.79</v>
      </c>
      <c r="AP278" s="84">
        <v>0.79</v>
      </c>
      <c r="AQ278" s="84">
        <v>0.79</v>
      </c>
    </row>
    <row r="279" spans="6:43">
      <c r="F279">
        <v>276</v>
      </c>
      <c r="G279" t="s">
        <v>160</v>
      </c>
      <c r="H279" t="s">
        <v>111</v>
      </c>
      <c r="I279">
        <f t="shared" si="9"/>
        <v>1015</v>
      </c>
      <c r="J279" s="84">
        <v>0.79</v>
      </c>
      <c r="K279" s="84">
        <v>0.79</v>
      </c>
      <c r="L279" s="84">
        <v>0.79</v>
      </c>
      <c r="M279" s="84">
        <v>0.79</v>
      </c>
      <c r="N279" s="84">
        <v>0.79</v>
      </c>
      <c r="O279" s="84">
        <v>0.79</v>
      </c>
      <c r="P279" s="84">
        <v>0.79</v>
      </c>
      <c r="Q279" s="84">
        <v>0.79</v>
      </c>
      <c r="T279" s="94" t="s">
        <v>1172</v>
      </c>
      <c r="U279" s="94" t="s">
        <v>221</v>
      </c>
      <c r="W279" s="100">
        <v>79</v>
      </c>
      <c r="X279" s="100">
        <v>79</v>
      </c>
      <c r="Y279" s="100">
        <v>79</v>
      </c>
      <c r="Z279" s="100">
        <v>79</v>
      </c>
      <c r="AA279" s="100">
        <v>79</v>
      </c>
      <c r="AB279" s="100">
        <v>79</v>
      </c>
      <c r="AC279" s="100">
        <v>79</v>
      </c>
      <c r="AD279" s="100">
        <v>79</v>
      </c>
      <c r="AE279" s="100">
        <v>79</v>
      </c>
      <c r="AG279" t="s">
        <v>1173</v>
      </c>
      <c r="AH279" s="84">
        <v>0.79</v>
      </c>
      <c r="AI279" s="84">
        <v>0.79</v>
      </c>
      <c r="AJ279" s="84">
        <v>0.79</v>
      </c>
      <c r="AK279" s="84">
        <v>0.79</v>
      </c>
      <c r="AL279" s="84">
        <v>0.79</v>
      </c>
      <c r="AM279" s="84">
        <v>0.79</v>
      </c>
      <c r="AN279" s="84">
        <v>0.79</v>
      </c>
      <c r="AO279" s="84">
        <v>0.79</v>
      </c>
      <c r="AP279" s="84">
        <v>0.79</v>
      </c>
      <c r="AQ279" s="84">
        <v>0.79</v>
      </c>
    </row>
    <row r="280" spans="6:43">
      <c r="F280">
        <v>277</v>
      </c>
      <c r="G280" t="s">
        <v>161</v>
      </c>
      <c r="H280" t="s">
        <v>111</v>
      </c>
      <c r="I280">
        <f t="shared" si="9"/>
        <v>1016</v>
      </c>
      <c r="J280" s="84">
        <v>0.76</v>
      </c>
      <c r="K280" s="84">
        <v>0.76</v>
      </c>
      <c r="L280" s="84">
        <v>0.76</v>
      </c>
      <c r="M280" s="84">
        <v>0.78</v>
      </c>
      <c r="N280" s="84">
        <v>0.78</v>
      </c>
      <c r="O280" s="84">
        <v>0.78</v>
      </c>
      <c r="P280" s="84">
        <v>0.78</v>
      </c>
      <c r="Q280" s="84">
        <v>0.78</v>
      </c>
      <c r="T280" s="94" t="s">
        <v>1173</v>
      </c>
      <c r="U280" s="94" t="s">
        <v>221</v>
      </c>
      <c r="W280" s="100">
        <v>79</v>
      </c>
      <c r="X280" s="100">
        <v>79</v>
      </c>
      <c r="Y280" s="100">
        <v>79</v>
      </c>
      <c r="Z280" s="100">
        <v>79</v>
      </c>
      <c r="AA280" s="100">
        <v>79</v>
      </c>
      <c r="AB280" s="100">
        <v>79</v>
      </c>
      <c r="AC280" s="100">
        <v>79</v>
      </c>
      <c r="AD280" s="100">
        <v>79</v>
      </c>
      <c r="AE280" s="100">
        <v>79</v>
      </c>
      <c r="AG280" t="s">
        <v>734</v>
      </c>
      <c r="AH280" s="84">
        <v>0.76</v>
      </c>
      <c r="AI280" s="84">
        <v>0.76</v>
      </c>
      <c r="AJ280" s="84">
        <v>0.76</v>
      </c>
      <c r="AK280" s="84">
        <v>0.78</v>
      </c>
      <c r="AL280" s="84">
        <v>0.78</v>
      </c>
      <c r="AM280" s="84">
        <v>0.78</v>
      </c>
      <c r="AN280" s="84">
        <v>0.78</v>
      </c>
      <c r="AO280" s="84">
        <v>0.78</v>
      </c>
      <c r="AP280" s="84">
        <v>0.78</v>
      </c>
      <c r="AQ280" s="84">
        <v>0.78</v>
      </c>
    </row>
    <row r="281" spans="6:43">
      <c r="F281">
        <v>278</v>
      </c>
      <c r="G281" t="s">
        <v>163</v>
      </c>
      <c r="H281" t="s">
        <v>111</v>
      </c>
      <c r="I281">
        <f t="shared" si="9"/>
        <v>1017</v>
      </c>
      <c r="J281" s="84">
        <v>0.76</v>
      </c>
      <c r="K281" s="84">
        <v>0.76</v>
      </c>
      <c r="L281" s="84">
        <v>0.76</v>
      </c>
      <c r="M281" s="84">
        <v>0.78</v>
      </c>
      <c r="N281" s="84">
        <v>0.78</v>
      </c>
      <c r="O281" s="84">
        <v>0.78</v>
      </c>
      <c r="P281" s="84">
        <v>0.78</v>
      </c>
      <c r="Q281" s="84">
        <v>0.78</v>
      </c>
      <c r="T281" s="94" t="s">
        <v>734</v>
      </c>
      <c r="U281" s="94" t="s">
        <v>221</v>
      </c>
      <c r="W281" s="100">
        <v>76</v>
      </c>
      <c r="X281" s="100">
        <v>76</v>
      </c>
      <c r="Y281" s="100">
        <v>78</v>
      </c>
      <c r="Z281" s="100">
        <v>78</v>
      </c>
      <c r="AA281" s="100">
        <v>78</v>
      </c>
      <c r="AB281" s="100">
        <v>78</v>
      </c>
      <c r="AC281" s="100">
        <v>78</v>
      </c>
      <c r="AD281" s="100">
        <v>78</v>
      </c>
      <c r="AE281" s="100">
        <v>78</v>
      </c>
      <c r="AG281" t="s">
        <v>1174</v>
      </c>
      <c r="AH281" s="84">
        <v>0.76</v>
      </c>
      <c r="AI281" s="84">
        <v>0.76</v>
      </c>
      <c r="AJ281" s="84">
        <v>0.76</v>
      </c>
      <c r="AK281" s="84">
        <v>0.78</v>
      </c>
      <c r="AL281" s="84">
        <v>0.78</v>
      </c>
      <c r="AM281" s="84">
        <v>0.78</v>
      </c>
      <c r="AN281" s="84">
        <v>0.78</v>
      </c>
      <c r="AO281" s="84">
        <v>0.78</v>
      </c>
      <c r="AP281" s="84">
        <v>0.78</v>
      </c>
      <c r="AQ281" s="84">
        <v>0.78</v>
      </c>
    </row>
    <row r="282" spans="6:43">
      <c r="F282">
        <v>279</v>
      </c>
      <c r="G282" t="s">
        <v>164</v>
      </c>
      <c r="H282" t="s">
        <v>111</v>
      </c>
      <c r="I282">
        <f t="shared" si="9"/>
        <v>1018</v>
      </c>
      <c r="J282" s="84">
        <v>0.76</v>
      </c>
      <c r="K282" s="84">
        <v>0.76</v>
      </c>
      <c r="L282" s="84">
        <v>0.76</v>
      </c>
      <c r="M282" s="84">
        <v>0.78</v>
      </c>
      <c r="N282" s="84">
        <v>0.78</v>
      </c>
      <c r="O282" s="84">
        <v>0.78</v>
      </c>
      <c r="P282" s="84">
        <v>0.78</v>
      </c>
      <c r="Q282" s="84">
        <v>0.78</v>
      </c>
      <c r="T282" s="94" t="s">
        <v>1174</v>
      </c>
      <c r="U282" s="94" t="s">
        <v>221</v>
      </c>
      <c r="W282" s="100">
        <v>76</v>
      </c>
      <c r="X282" s="100">
        <v>76</v>
      </c>
      <c r="Y282" s="100">
        <v>78</v>
      </c>
      <c r="Z282" s="100">
        <v>78</v>
      </c>
      <c r="AA282" s="100">
        <v>78</v>
      </c>
      <c r="AB282" s="100">
        <v>78</v>
      </c>
      <c r="AC282" s="100">
        <v>78</v>
      </c>
      <c r="AD282" s="100">
        <v>78</v>
      </c>
      <c r="AE282" s="100">
        <v>78</v>
      </c>
      <c r="AG282" t="s">
        <v>1175</v>
      </c>
      <c r="AH282" s="84">
        <v>0.76</v>
      </c>
      <c r="AI282" s="84">
        <v>0.76</v>
      </c>
      <c r="AJ282" s="84">
        <v>0.76</v>
      </c>
      <c r="AK282" s="84">
        <v>0.78</v>
      </c>
      <c r="AL282" s="84">
        <v>0.78</v>
      </c>
      <c r="AM282" s="84">
        <v>0.78</v>
      </c>
      <c r="AN282" s="84">
        <v>0.78</v>
      </c>
      <c r="AO282" s="84">
        <v>0.78</v>
      </c>
      <c r="AP282" s="84">
        <v>0.78</v>
      </c>
      <c r="AQ282" s="84">
        <v>0.78</v>
      </c>
    </row>
    <row r="283" spans="6:43">
      <c r="F283">
        <v>280</v>
      </c>
      <c r="G283" t="s">
        <v>166</v>
      </c>
      <c r="H283" t="s">
        <v>111</v>
      </c>
      <c r="I283">
        <f t="shared" si="9"/>
        <v>1019</v>
      </c>
      <c r="J283" s="84">
        <v>0.76</v>
      </c>
      <c r="K283" s="84">
        <v>0.76</v>
      </c>
      <c r="L283" s="84">
        <v>0.76</v>
      </c>
      <c r="M283" s="84">
        <v>0.78</v>
      </c>
      <c r="N283" s="84">
        <v>0.78</v>
      </c>
      <c r="O283" s="84">
        <v>0.78</v>
      </c>
      <c r="P283" s="84">
        <v>0.78</v>
      </c>
      <c r="Q283" s="84">
        <v>0.78</v>
      </c>
      <c r="T283" s="94" t="s">
        <v>1175</v>
      </c>
      <c r="U283" s="94" t="s">
        <v>221</v>
      </c>
      <c r="W283" s="100">
        <v>76</v>
      </c>
      <c r="X283" s="100">
        <v>76</v>
      </c>
      <c r="Y283" s="100">
        <v>78</v>
      </c>
      <c r="Z283" s="100">
        <v>78</v>
      </c>
      <c r="AA283" s="100">
        <v>78</v>
      </c>
      <c r="AB283" s="100">
        <v>78</v>
      </c>
      <c r="AC283" s="100">
        <v>78</v>
      </c>
      <c r="AD283" s="100">
        <v>78</v>
      </c>
      <c r="AE283" s="100">
        <v>78</v>
      </c>
      <c r="AG283" t="s">
        <v>1176</v>
      </c>
      <c r="AH283" s="84">
        <v>0.76</v>
      </c>
      <c r="AI283" s="84">
        <v>0.76</v>
      </c>
      <c r="AJ283" s="84">
        <v>0.76</v>
      </c>
      <c r="AK283" s="84">
        <v>0.78</v>
      </c>
      <c r="AL283" s="84">
        <v>0.78</v>
      </c>
      <c r="AM283" s="84">
        <v>0.78</v>
      </c>
      <c r="AN283" s="84">
        <v>0.78</v>
      </c>
      <c r="AO283" s="84">
        <v>0.78</v>
      </c>
      <c r="AP283" s="84">
        <v>0.78</v>
      </c>
      <c r="AQ283" s="84">
        <v>0.78</v>
      </c>
    </row>
    <row r="284" spans="6:43">
      <c r="F284">
        <v>281</v>
      </c>
      <c r="G284" t="s">
        <v>167</v>
      </c>
      <c r="H284" t="s">
        <v>111</v>
      </c>
      <c r="I284">
        <f t="shared" si="9"/>
        <v>1020</v>
      </c>
      <c r="J284" s="84">
        <v>0.76</v>
      </c>
      <c r="K284" s="84">
        <v>0.76</v>
      </c>
      <c r="L284" s="84">
        <v>0.76</v>
      </c>
      <c r="M284" s="84">
        <v>0.78</v>
      </c>
      <c r="N284" s="84">
        <v>0.78</v>
      </c>
      <c r="O284" s="84">
        <v>0.78</v>
      </c>
      <c r="P284" s="84">
        <v>0.78</v>
      </c>
      <c r="Q284" s="84">
        <v>0.78</v>
      </c>
      <c r="T284" s="94" t="s">
        <v>1176</v>
      </c>
      <c r="U284" s="94" t="s">
        <v>221</v>
      </c>
      <c r="W284" s="100">
        <v>76</v>
      </c>
      <c r="X284" s="100">
        <v>76</v>
      </c>
      <c r="Y284" s="100">
        <v>78</v>
      </c>
      <c r="Z284" s="100">
        <v>78</v>
      </c>
      <c r="AA284" s="100">
        <v>78</v>
      </c>
      <c r="AB284" s="100">
        <v>78</v>
      </c>
      <c r="AC284" s="100">
        <v>78</v>
      </c>
      <c r="AD284" s="100">
        <v>78</v>
      </c>
      <c r="AE284" s="100">
        <v>78</v>
      </c>
      <c r="AG284" t="s">
        <v>1177</v>
      </c>
      <c r="AH284" s="84">
        <v>0.76</v>
      </c>
      <c r="AI284" s="84">
        <v>0.76</v>
      </c>
      <c r="AJ284" s="84">
        <v>0.76</v>
      </c>
      <c r="AK284" s="84">
        <v>0.78</v>
      </c>
      <c r="AL284" s="84">
        <v>0.78</v>
      </c>
      <c r="AM284" s="84">
        <v>0.78</v>
      </c>
      <c r="AN284" s="84">
        <v>0.78</v>
      </c>
      <c r="AO284" s="84">
        <v>0.78</v>
      </c>
      <c r="AP284" s="84">
        <v>0.78</v>
      </c>
      <c r="AQ284" s="84">
        <v>0.78</v>
      </c>
    </row>
    <row r="285" spans="6:43">
      <c r="F285">
        <v>282</v>
      </c>
      <c r="G285" t="s">
        <v>169</v>
      </c>
      <c r="H285" t="s">
        <v>111</v>
      </c>
      <c r="I285">
        <f t="shared" si="9"/>
        <v>1021</v>
      </c>
      <c r="J285" s="84">
        <v>0.76</v>
      </c>
      <c r="K285" s="84">
        <v>0.76</v>
      </c>
      <c r="L285" s="84">
        <v>0.76</v>
      </c>
      <c r="M285" s="84">
        <v>0.78</v>
      </c>
      <c r="N285" s="84">
        <v>0.78</v>
      </c>
      <c r="O285" s="84">
        <v>0.78</v>
      </c>
      <c r="P285" s="84">
        <v>0.78</v>
      </c>
      <c r="Q285" s="84">
        <v>0.78</v>
      </c>
      <c r="T285" s="94" t="s">
        <v>1177</v>
      </c>
      <c r="U285" s="94" t="s">
        <v>221</v>
      </c>
      <c r="W285" s="100">
        <v>76</v>
      </c>
      <c r="X285" s="100">
        <v>76</v>
      </c>
      <c r="Y285" s="100">
        <v>78</v>
      </c>
      <c r="Z285" s="100">
        <v>78</v>
      </c>
      <c r="AA285" s="100">
        <v>78</v>
      </c>
      <c r="AB285" s="100">
        <v>78</v>
      </c>
      <c r="AC285" s="100">
        <v>78</v>
      </c>
      <c r="AD285" s="100">
        <v>78</v>
      </c>
      <c r="AE285" s="100">
        <v>78</v>
      </c>
      <c r="AG285" t="s">
        <v>1178</v>
      </c>
      <c r="AH285" s="84">
        <v>0.76</v>
      </c>
      <c r="AI285" s="84">
        <v>0.76</v>
      </c>
      <c r="AJ285" s="84">
        <v>0.76</v>
      </c>
      <c r="AK285" s="84">
        <v>0.78</v>
      </c>
      <c r="AL285" s="84">
        <v>0.78</v>
      </c>
      <c r="AM285" s="84">
        <v>0.78</v>
      </c>
      <c r="AN285" s="84">
        <v>0.78</v>
      </c>
      <c r="AO285" s="84">
        <v>0.78</v>
      </c>
      <c r="AP285" s="84">
        <v>0.78</v>
      </c>
      <c r="AQ285" s="84">
        <v>0.78</v>
      </c>
    </row>
    <row r="286" spans="6:43">
      <c r="F286">
        <v>283</v>
      </c>
      <c r="G286" t="s">
        <v>170</v>
      </c>
      <c r="H286" t="s">
        <v>111</v>
      </c>
      <c r="I286">
        <f t="shared" si="9"/>
        <v>1022</v>
      </c>
      <c r="J286" s="84">
        <v>0.76</v>
      </c>
      <c r="K286" s="84">
        <v>0.76</v>
      </c>
      <c r="L286" s="84">
        <v>0.76</v>
      </c>
      <c r="M286" s="84">
        <v>0.78</v>
      </c>
      <c r="N286" s="84">
        <v>0.78</v>
      </c>
      <c r="O286" s="84">
        <v>0.78</v>
      </c>
      <c r="P286" s="84">
        <v>0.78</v>
      </c>
      <c r="Q286" s="84">
        <v>0.78</v>
      </c>
      <c r="T286" s="94" t="s">
        <v>1178</v>
      </c>
      <c r="U286" s="94" t="s">
        <v>221</v>
      </c>
      <c r="W286" s="100">
        <v>76</v>
      </c>
      <c r="X286" s="100">
        <v>76</v>
      </c>
      <c r="Y286" s="100">
        <v>78</v>
      </c>
      <c r="Z286" s="100">
        <v>78</v>
      </c>
      <c r="AA286" s="100">
        <v>78</v>
      </c>
      <c r="AB286" s="100">
        <v>78</v>
      </c>
      <c r="AC286" s="100">
        <v>78</v>
      </c>
      <c r="AD286" s="100">
        <v>78</v>
      </c>
      <c r="AE286" s="100">
        <v>78</v>
      </c>
      <c r="AG286" t="s">
        <v>735</v>
      </c>
      <c r="AH286" s="84">
        <v>0.76</v>
      </c>
      <c r="AI286" s="84">
        <v>0.76</v>
      </c>
      <c r="AJ286" s="84">
        <v>0.76</v>
      </c>
      <c r="AK286" s="84">
        <v>0.78</v>
      </c>
      <c r="AL286" s="84">
        <v>0.78</v>
      </c>
      <c r="AM286" s="84">
        <v>0.78</v>
      </c>
      <c r="AN286" s="84">
        <v>0.78</v>
      </c>
      <c r="AO286" s="84">
        <v>0.78</v>
      </c>
      <c r="AP286" s="84">
        <v>0.78</v>
      </c>
      <c r="AQ286" s="84">
        <v>0.78</v>
      </c>
    </row>
    <row r="287" spans="6:43">
      <c r="F287">
        <v>284</v>
      </c>
      <c r="G287" t="s">
        <v>172</v>
      </c>
      <c r="H287" t="s">
        <v>111</v>
      </c>
      <c r="I287">
        <f t="shared" si="9"/>
        <v>1023</v>
      </c>
      <c r="J287" s="84">
        <v>0.76</v>
      </c>
      <c r="K287" s="84">
        <v>0.76</v>
      </c>
      <c r="L287" s="84">
        <v>0.76</v>
      </c>
      <c r="M287" s="84">
        <v>0.78</v>
      </c>
      <c r="N287" s="84">
        <v>0.78</v>
      </c>
      <c r="O287" s="84">
        <v>0.78</v>
      </c>
      <c r="P287" s="84">
        <v>0.78</v>
      </c>
      <c r="Q287" s="84">
        <v>0.78</v>
      </c>
      <c r="T287" s="94" t="s">
        <v>735</v>
      </c>
      <c r="U287" s="94" t="s">
        <v>221</v>
      </c>
      <c r="W287" s="100">
        <v>76</v>
      </c>
      <c r="X287" s="100">
        <v>76</v>
      </c>
      <c r="Y287" s="100">
        <v>78</v>
      </c>
      <c r="Z287" s="100">
        <v>78</v>
      </c>
      <c r="AA287" s="100">
        <v>78</v>
      </c>
      <c r="AB287" s="100">
        <v>78</v>
      </c>
      <c r="AC287" s="100">
        <v>78</v>
      </c>
      <c r="AD287" s="100">
        <v>78</v>
      </c>
      <c r="AE287" s="100">
        <v>78</v>
      </c>
      <c r="AG287" t="s">
        <v>1179</v>
      </c>
      <c r="AH287" s="84">
        <v>0.76</v>
      </c>
      <c r="AI287" s="84">
        <v>0.76</v>
      </c>
      <c r="AJ287" s="84">
        <v>0.76</v>
      </c>
      <c r="AK287" s="84">
        <v>0.78</v>
      </c>
      <c r="AL287" s="84">
        <v>0.78</v>
      </c>
      <c r="AM287" s="84">
        <v>0.78</v>
      </c>
      <c r="AN287" s="84">
        <v>0.78</v>
      </c>
      <c r="AO287" s="84">
        <v>0.78</v>
      </c>
      <c r="AP287" s="84">
        <v>0.78</v>
      </c>
      <c r="AQ287" s="84">
        <v>0.78</v>
      </c>
    </row>
    <row r="288" spans="6:43">
      <c r="F288">
        <v>285</v>
      </c>
      <c r="G288" t="s">
        <v>173</v>
      </c>
      <c r="H288" t="s">
        <v>111</v>
      </c>
      <c r="I288">
        <f t="shared" si="9"/>
        <v>1024</v>
      </c>
      <c r="J288" s="84">
        <v>0.76</v>
      </c>
      <c r="K288" s="84">
        <v>0.76</v>
      </c>
      <c r="L288" s="84">
        <v>0.76</v>
      </c>
      <c r="M288" s="84">
        <v>0.78</v>
      </c>
      <c r="N288" s="84">
        <v>0.78</v>
      </c>
      <c r="O288" s="84">
        <v>0.78</v>
      </c>
      <c r="P288" s="84">
        <v>0.78</v>
      </c>
      <c r="Q288" s="84">
        <v>0.78</v>
      </c>
      <c r="T288" s="94" t="s">
        <v>1179</v>
      </c>
      <c r="U288" s="94" t="s">
        <v>221</v>
      </c>
      <c r="W288" s="100">
        <v>76</v>
      </c>
      <c r="X288" s="100">
        <v>76</v>
      </c>
      <c r="Y288" s="100">
        <v>78</v>
      </c>
      <c r="Z288" s="100">
        <v>78</v>
      </c>
      <c r="AA288" s="100">
        <v>78</v>
      </c>
      <c r="AB288" s="100">
        <v>78</v>
      </c>
      <c r="AC288" s="100">
        <v>78</v>
      </c>
      <c r="AD288" s="100">
        <v>78</v>
      </c>
      <c r="AE288" s="100">
        <v>78</v>
      </c>
      <c r="AG288" t="s">
        <v>1180</v>
      </c>
      <c r="AH288" s="84">
        <v>0.76</v>
      </c>
      <c r="AI288" s="84">
        <v>0.76</v>
      </c>
      <c r="AJ288" s="84">
        <v>0.76</v>
      </c>
      <c r="AK288" s="84">
        <v>0.78</v>
      </c>
      <c r="AL288" s="84">
        <v>0.78</v>
      </c>
      <c r="AM288" s="84">
        <v>0.78</v>
      </c>
      <c r="AN288" s="84">
        <v>0.78</v>
      </c>
      <c r="AO288" s="84">
        <v>0.78</v>
      </c>
      <c r="AP288" s="84">
        <v>0.78</v>
      </c>
      <c r="AQ288" s="84">
        <v>0.78</v>
      </c>
    </row>
    <row r="289" spans="6:43">
      <c r="F289">
        <v>286</v>
      </c>
      <c r="G289" t="s">
        <v>175</v>
      </c>
      <c r="H289" t="s">
        <v>111</v>
      </c>
      <c r="I289">
        <f t="shared" si="9"/>
        <v>1025</v>
      </c>
      <c r="J289" s="84">
        <v>0.76</v>
      </c>
      <c r="K289" s="84">
        <v>0.76</v>
      </c>
      <c r="L289" s="84">
        <v>0.76</v>
      </c>
      <c r="M289" s="84">
        <v>0.78</v>
      </c>
      <c r="N289" s="84">
        <v>0.78</v>
      </c>
      <c r="O289" s="84">
        <v>0.78</v>
      </c>
      <c r="P289" s="84">
        <v>0.78</v>
      </c>
      <c r="Q289" s="84">
        <v>0.78</v>
      </c>
      <c r="T289" s="94" t="s">
        <v>1128</v>
      </c>
      <c r="U289" s="94" t="s">
        <v>221</v>
      </c>
      <c r="W289" s="100">
        <v>76</v>
      </c>
      <c r="X289" s="100">
        <v>76</v>
      </c>
      <c r="Y289" s="100">
        <v>78</v>
      </c>
      <c r="Z289" s="100">
        <v>78</v>
      </c>
      <c r="AA289" s="100">
        <v>78</v>
      </c>
      <c r="AB289" s="100">
        <v>78</v>
      </c>
      <c r="AC289" s="100">
        <v>78</v>
      </c>
      <c r="AD289" s="100">
        <v>78</v>
      </c>
      <c r="AE289" s="100">
        <v>78</v>
      </c>
      <c r="AG289" t="s">
        <v>1184</v>
      </c>
      <c r="AH289" s="84">
        <v>0.76</v>
      </c>
      <c r="AI289" s="84">
        <v>0.76</v>
      </c>
      <c r="AJ289" s="84">
        <v>0.76</v>
      </c>
      <c r="AK289" s="84">
        <v>0.78</v>
      </c>
      <c r="AL289" s="84">
        <v>0.78</v>
      </c>
      <c r="AM289" s="84">
        <v>0.78</v>
      </c>
      <c r="AN289" s="84">
        <v>0.78</v>
      </c>
      <c r="AO289" s="84">
        <v>0.78</v>
      </c>
      <c r="AP289" s="84">
        <v>0.78</v>
      </c>
      <c r="AQ289" s="84">
        <v>0.78</v>
      </c>
    </row>
    <row r="290" spans="6:43">
      <c r="F290">
        <v>287</v>
      </c>
      <c r="G290" t="s">
        <v>176</v>
      </c>
      <c r="H290" t="s">
        <v>111</v>
      </c>
      <c r="I290">
        <f t="shared" si="9"/>
        <v>1026</v>
      </c>
      <c r="J290" s="84">
        <v>0.76</v>
      </c>
      <c r="K290" s="84">
        <v>0.76</v>
      </c>
      <c r="L290" s="84">
        <v>0.76</v>
      </c>
      <c r="M290" s="84">
        <v>0.78</v>
      </c>
      <c r="N290" s="84">
        <v>0.78</v>
      </c>
      <c r="O290" s="84">
        <v>0.78</v>
      </c>
      <c r="P290" s="84">
        <v>0.78</v>
      </c>
      <c r="Q290" s="84">
        <v>0.78</v>
      </c>
      <c r="T290" s="94" t="s">
        <v>1181</v>
      </c>
      <c r="U290" s="94" t="s">
        <v>221</v>
      </c>
      <c r="W290" s="100">
        <v>76</v>
      </c>
      <c r="X290" s="100">
        <v>76</v>
      </c>
      <c r="Y290" s="100">
        <v>78</v>
      </c>
      <c r="Z290" s="100">
        <v>78</v>
      </c>
      <c r="AA290" s="100">
        <v>78</v>
      </c>
      <c r="AB290" s="100">
        <v>78</v>
      </c>
      <c r="AC290" s="100">
        <v>78</v>
      </c>
      <c r="AD290" s="100">
        <v>78</v>
      </c>
      <c r="AE290" s="100">
        <v>78</v>
      </c>
      <c r="AG290" t="s">
        <v>1128</v>
      </c>
      <c r="AH290" s="84">
        <v>0.76</v>
      </c>
      <c r="AI290" s="84">
        <v>0.76</v>
      </c>
      <c r="AJ290" s="84">
        <v>0.76</v>
      </c>
      <c r="AK290" s="84">
        <v>0.78</v>
      </c>
      <c r="AL290" s="84">
        <v>0.78</v>
      </c>
      <c r="AM290" s="84">
        <v>0.78</v>
      </c>
      <c r="AN290" s="84">
        <v>0.78</v>
      </c>
      <c r="AO290" s="84">
        <v>0.78</v>
      </c>
      <c r="AP290" s="84">
        <v>0.78</v>
      </c>
      <c r="AQ290" s="84">
        <v>0.78</v>
      </c>
    </row>
    <row r="291" spans="6:43">
      <c r="F291">
        <v>288</v>
      </c>
      <c r="G291" t="s">
        <v>178</v>
      </c>
      <c r="H291" t="s">
        <v>111</v>
      </c>
      <c r="I291">
        <f t="shared" si="9"/>
        <v>1027</v>
      </c>
      <c r="J291" s="84">
        <v>0.76</v>
      </c>
      <c r="K291" s="84">
        <v>0.76</v>
      </c>
      <c r="L291" s="84">
        <v>0.76</v>
      </c>
      <c r="M291" s="84">
        <v>0.78</v>
      </c>
      <c r="N291" s="84">
        <v>0.78</v>
      </c>
      <c r="O291" s="84">
        <v>0.78</v>
      </c>
      <c r="P291" s="84">
        <v>0.78</v>
      </c>
      <c r="Q291" s="84">
        <v>0.78</v>
      </c>
      <c r="T291" s="94" t="s">
        <v>1182</v>
      </c>
      <c r="U291" s="94" t="s">
        <v>221</v>
      </c>
      <c r="W291" s="100">
        <v>76</v>
      </c>
      <c r="X291" s="100">
        <v>76</v>
      </c>
      <c r="Y291" s="100">
        <v>78</v>
      </c>
      <c r="Z291" s="100">
        <v>78</v>
      </c>
      <c r="AA291" s="100">
        <v>78</v>
      </c>
      <c r="AB291" s="100">
        <v>78</v>
      </c>
      <c r="AC291" s="100">
        <v>78</v>
      </c>
      <c r="AD291" s="100">
        <v>78</v>
      </c>
      <c r="AE291" s="100">
        <v>78</v>
      </c>
      <c r="AG291" t="s">
        <v>1181</v>
      </c>
      <c r="AH291" s="84">
        <v>0.76</v>
      </c>
      <c r="AI291" s="84">
        <v>0.76</v>
      </c>
      <c r="AJ291" s="84">
        <v>0.76</v>
      </c>
      <c r="AK291" s="84">
        <v>0.78</v>
      </c>
      <c r="AL291" s="84">
        <v>0.78</v>
      </c>
      <c r="AM291" s="84">
        <v>0.78</v>
      </c>
      <c r="AN291" s="84">
        <v>0.78</v>
      </c>
      <c r="AO291" s="84">
        <v>0.78</v>
      </c>
      <c r="AP291" s="84">
        <v>0.78</v>
      </c>
      <c r="AQ291" s="84">
        <v>0.78</v>
      </c>
    </row>
    <row r="292" spans="6:43" ht="15.6">
      <c r="F292">
        <v>289</v>
      </c>
      <c r="G292" t="s">
        <v>179</v>
      </c>
      <c r="H292" t="s">
        <v>111</v>
      </c>
      <c r="I292">
        <f t="shared" si="9"/>
        <v>1028</v>
      </c>
      <c r="J292" s="84">
        <v>0.76</v>
      </c>
      <c r="K292" s="84">
        <v>0.76</v>
      </c>
      <c r="L292" s="84">
        <v>0.76</v>
      </c>
      <c r="M292" s="84">
        <v>0.78</v>
      </c>
      <c r="N292" s="84">
        <v>0.78</v>
      </c>
      <c r="O292" s="84">
        <v>0.78</v>
      </c>
      <c r="P292" s="84">
        <v>0.78</v>
      </c>
      <c r="Q292" s="84">
        <v>0.78</v>
      </c>
      <c r="T292" s="93"/>
      <c r="U292" s="93"/>
      <c r="V292" s="89" t="s">
        <v>1131</v>
      </c>
      <c r="W292" s="89" t="s">
        <v>1132</v>
      </c>
      <c r="X292" s="89" t="s">
        <v>1134</v>
      </c>
      <c r="Y292" s="89" t="s">
        <v>1138</v>
      </c>
      <c r="Z292" s="89" t="s">
        <v>1141</v>
      </c>
      <c r="AA292" s="89" t="s">
        <v>1163</v>
      </c>
      <c r="AB292" s="89" t="s">
        <v>1140</v>
      </c>
      <c r="AC292" s="89" t="s">
        <v>1142</v>
      </c>
      <c r="AD292" s="89" t="s">
        <v>1143</v>
      </c>
      <c r="AE292" s="89" t="s">
        <v>1102</v>
      </c>
      <c r="AG292" t="s">
        <v>1182</v>
      </c>
      <c r="AH292" s="84">
        <v>0.76</v>
      </c>
      <c r="AI292" s="84">
        <v>0.76</v>
      </c>
      <c r="AJ292" s="84">
        <v>0.76</v>
      </c>
      <c r="AK292" s="84">
        <v>0.78</v>
      </c>
      <c r="AL292" s="84">
        <v>0.78</v>
      </c>
      <c r="AM292" s="84">
        <v>0.78</v>
      </c>
      <c r="AN292" s="84">
        <v>0.78</v>
      </c>
      <c r="AO292" s="84">
        <v>0.78</v>
      </c>
      <c r="AP292" s="84">
        <v>0.78</v>
      </c>
      <c r="AQ292" s="84">
        <v>0.78</v>
      </c>
    </row>
    <row r="305" spans="21:32" ht="15.6">
      <c r="U305" s="250"/>
      <c r="V305" s="250"/>
      <c r="W305" s="89" t="s">
        <v>1131</v>
      </c>
      <c r="X305" s="89" t="s">
        <v>1132</v>
      </c>
      <c r="Y305" s="89" t="s">
        <v>1134</v>
      </c>
      <c r="Z305" s="89" t="s">
        <v>1138</v>
      </c>
      <c r="AA305" s="89" t="s">
        <v>1141</v>
      </c>
      <c r="AB305" s="89" t="s">
        <v>1163</v>
      </c>
      <c r="AC305" s="89" t="s">
        <v>1140</v>
      </c>
      <c r="AD305" s="89" t="s">
        <v>1142</v>
      </c>
      <c r="AE305" s="89" t="s">
        <v>1143</v>
      </c>
      <c r="AF305" s="89" t="s">
        <v>1102</v>
      </c>
    </row>
    <row r="306" spans="21:32">
      <c r="U306" s="94" t="s">
        <v>138</v>
      </c>
      <c r="V306" s="94" t="s">
        <v>1185</v>
      </c>
      <c r="W306" s="91">
        <v>17</v>
      </c>
      <c r="X306" s="91">
        <v>17</v>
      </c>
      <c r="Y306" s="91">
        <v>17</v>
      </c>
      <c r="Z306" s="91">
        <v>17</v>
      </c>
      <c r="AA306" s="91">
        <v>17</v>
      </c>
      <c r="AB306" s="91">
        <v>18</v>
      </c>
      <c r="AC306" s="91">
        <v>18</v>
      </c>
      <c r="AD306" s="91">
        <v>18</v>
      </c>
      <c r="AE306" s="91">
        <v>17</v>
      </c>
      <c r="AF306" s="91">
        <v>27</v>
      </c>
    </row>
    <row r="307" spans="21:32">
      <c r="U307" s="94" t="s">
        <v>139</v>
      </c>
      <c r="V307" s="94" t="s">
        <v>1185</v>
      </c>
      <c r="W307" s="91">
        <v>21</v>
      </c>
      <c r="X307" s="91">
        <v>21</v>
      </c>
      <c r="Y307" s="91">
        <v>21</v>
      </c>
      <c r="Z307" s="91">
        <v>21</v>
      </c>
      <c r="AA307" s="91">
        <v>21</v>
      </c>
      <c r="AB307" s="91">
        <v>22</v>
      </c>
      <c r="AC307" s="91">
        <v>22</v>
      </c>
      <c r="AD307" s="91">
        <v>23</v>
      </c>
      <c r="AE307" s="91">
        <v>21</v>
      </c>
      <c r="AF307" s="91">
        <v>32</v>
      </c>
    </row>
    <row r="308" spans="21:32">
      <c r="U308" s="94" t="s">
        <v>1164</v>
      </c>
      <c r="V308" s="94" t="s">
        <v>1185</v>
      </c>
      <c r="W308" s="92"/>
      <c r="X308" s="92"/>
      <c r="Y308" s="92"/>
      <c r="Z308" s="92"/>
      <c r="AA308" s="92"/>
      <c r="AB308" s="92"/>
      <c r="AC308" s="92"/>
      <c r="AD308" s="92"/>
      <c r="AE308" s="92"/>
      <c r="AF308" s="92"/>
    </row>
    <row r="309" spans="21:32">
      <c r="U309" s="94" t="s">
        <v>142</v>
      </c>
      <c r="V309" s="94" t="s">
        <v>1185</v>
      </c>
      <c r="W309" s="91">
        <v>43</v>
      </c>
      <c r="X309" s="91">
        <v>43</v>
      </c>
      <c r="Y309" s="91">
        <v>43</v>
      </c>
      <c r="Z309" s="91">
        <v>49.88</v>
      </c>
      <c r="AA309" s="91">
        <v>49.88</v>
      </c>
      <c r="AB309" s="91">
        <v>51.86</v>
      </c>
      <c r="AC309" s="91">
        <v>51.86</v>
      </c>
      <c r="AD309" s="91">
        <v>50.96</v>
      </c>
      <c r="AE309" s="91">
        <v>51.97</v>
      </c>
      <c r="AF309" s="91">
        <v>50.9</v>
      </c>
    </row>
    <row r="310" spans="21:32">
      <c r="U310" s="94" t="s">
        <v>1165</v>
      </c>
      <c r="V310" s="94" t="s">
        <v>1185</v>
      </c>
      <c r="W310" s="91">
        <v>61</v>
      </c>
      <c r="X310" s="91">
        <v>61</v>
      </c>
      <c r="Y310" s="91">
        <v>61</v>
      </c>
      <c r="Z310" s="91">
        <v>69.25</v>
      </c>
      <c r="AA310" s="91">
        <v>69.25</v>
      </c>
      <c r="AB310" s="91">
        <v>71.23</v>
      </c>
      <c r="AC310" s="91">
        <v>71.22</v>
      </c>
      <c r="AD310" s="91">
        <v>69.319999999999993</v>
      </c>
      <c r="AE310" s="91">
        <v>71.349999999999994</v>
      </c>
      <c r="AF310" s="91">
        <v>70.27</v>
      </c>
    </row>
    <row r="311" spans="21:32">
      <c r="U311" s="94" t="s">
        <v>1183</v>
      </c>
      <c r="V311" s="94" t="s">
        <v>1185</v>
      </c>
      <c r="W311" s="92"/>
      <c r="X311" s="92"/>
      <c r="Y311" s="92"/>
      <c r="Z311" s="92"/>
      <c r="AA311" s="92"/>
      <c r="AB311" s="92"/>
      <c r="AC311" s="92"/>
      <c r="AD311" s="92"/>
      <c r="AE311" s="92"/>
      <c r="AF311" s="92"/>
    </row>
    <row r="312" spans="21:32">
      <c r="U312" s="94" t="s">
        <v>1126</v>
      </c>
      <c r="V312" s="94" t="s">
        <v>1185</v>
      </c>
      <c r="W312" s="91">
        <v>70</v>
      </c>
      <c r="X312" s="91">
        <v>70</v>
      </c>
      <c r="Y312" s="91">
        <v>70</v>
      </c>
      <c r="Z312" s="91">
        <v>73.33</v>
      </c>
      <c r="AA312" s="91">
        <v>73.33</v>
      </c>
      <c r="AB312" s="91">
        <v>76.31</v>
      </c>
      <c r="AC312" s="91">
        <v>76.319999999999993</v>
      </c>
      <c r="AD312" s="91">
        <v>74.41</v>
      </c>
      <c r="AE312" s="91">
        <v>75.430000000000007</v>
      </c>
      <c r="AF312" s="91">
        <v>74.34</v>
      </c>
    </row>
    <row r="313" spans="21:32">
      <c r="U313" s="94" t="s">
        <v>1166</v>
      </c>
      <c r="V313" s="94" t="s">
        <v>1185</v>
      </c>
      <c r="W313" s="91">
        <v>75</v>
      </c>
      <c r="X313" s="91">
        <v>75</v>
      </c>
      <c r="Y313" s="91">
        <v>75</v>
      </c>
      <c r="Z313" s="91">
        <v>78.42</v>
      </c>
      <c r="AA313" s="91">
        <v>78.42</v>
      </c>
      <c r="AB313" s="91">
        <v>81.41</v>
      </c>
      <c r="AC313" s="91">
        <v>81.41</v>
      </c>
      <c r="AD313" s="91">
        <v>79.510000000000005</v>
      </c>
      <c r="AE313" s="91">
        <v>80.53</v>
      </c>
      <c r="AF313" s="91">
        <v>79.44</v>
      </c>
    </row>
    <row r="314" spans="21:32">
      <c r="U314" s="94" t="s">
        <v>1167</v>
      </c>
      <c r="V314" s="94" t="s">
        <v>1185</v>
      </c>
      <c r="W314" s="91">
        <v>79</v>
      </c>
      <c r="X314" s="91">
        <v>79</v>
      </c>
      <c r="Y314" s="91">
        <v>79</v>
      </c>
      <c r="Z314" s="91">
        <v>82.5</v>
      </c>
      <c r="AA314" s="91">
        <v>82.5</v>
      </c>
      <c r="AB314" s="91">
        <v>84.46</v>
      </c>
      <c r="AC314" s="91">
        <v>84.47</v>
      </c>
      <c r="AD314" s="91">
        <v>82.57</v>
      </c>
      <c r="AE314" s="91">
        <v>83.59</v>
      </c>
      <c r="AF314" s="91">
        <v>82.49</v>
      </c>
    </row>
    <row r="315" spans="21:32">
      <c r="U315" s="94" t="s">
        <v>1168</v>
      </c>
      <c r="V315" s="94" t="s">
        <v>1185</v>
      </c>
      <c r="W315" s="91">
        <v>86</v>
      </c>
      <c r="X315" s="91">
        <v>86</v>
      </c>
      <c r="Y315" s="91">
        <v>86</v>
      </c>
      <c r="Z315" s="91">
        <v>89.64</v>
      </c>
      <c r="AA315" s="91">
        <v>89.64</v>
      </c>
      <c r="AB315" s="91">
        <v>91.6</v>
      </c>
      <c r="AC315" s="91">
        <v>91.6</v>
      </c>
      <c r="AD315" s="91">
        <v>89.71</v>
      </c>
      <c r="AE315" s="91">
        <v>90.73</v>
      </c>
      <c r="AF315" s="91">
        <v>89.63</v>
      </c>
    </row>
    <row r="316" spans="21:32">
      <c r="U316" s="94" t="s">
        <v>1169</v>
      </c>
      <c r="V316" s="94" t="s">
        <v>1185</v>
      </c>
      <c r="W316" s="91">
        <v>86</v>
      </c>
      <c r="X316" s="91">
        <v>86</v>
      </c>
      <c r="Y316" s="91">
        <v>86</v>
      </c>
      <c r="Z316" s="91">
        <v>89.64</v>
      </c>
      <c r="AA316" s="91">
        <v>89.64</v>
      </c>
      <c r="AB316" s="91">
        <v>91.6</v>
      </c>
      <c r="AC316" s="91">
        <v>91.6</v>
      </c>
      <c r="AD316" s="91">
        <v>89.71</v>
      </c>
      <c r="AE316" s="91">
        <v>90.73</v>
      </c>
      <c r="AF316" s="91">
        <v>89.63</v>
      </c>
    </row>
    <row r="317" spans="21:32">
      <c r="U317" s="94" t="s">
        <v>733</v>
      </c>
      <c r="V317" s="94" t="s">
        <v>1185</v>
      </c>
      <c r="W317" s="91">
        <v>89.88</v>
      </c>
      <c r="X317" s="91">
        <v>89.88</v>
      </c>
      <c r="Y317" s="91">
        <v>89.88</v>
      </c>
      <c r="Z317" s="91">
        <v>93.54</v>
      </c>
      <c r="AA317" s="91">
        <v>93.54</v>
      </c>
      <c r="AB317" s="91">
        <v>94.44</v>
      </c>
      <c r="AC317" s="91">
        <v>94.44</v>
      </c>
      <c r="AD317" s="91">
        <v>95.63</v>
      </c>
      <c r="AE317" s="91">
        <v>94.6</v>
      </c>
      <c r="AF317" s="91">
        <v>93.5</v>
      </c>
    </row>
    <row r="318" spans="21:32">
      <c r="U318" s="94" t="s">
        <v>1170</v>
      </c>
      <c r="V318" s="94" t="s">
        <v>1185</v>
      </c>
      <c r="W318" s="91">
        <v>81.8</v>
      </c>
      <c r="X318" s="91">
        <v>81.8</v>
      </c>
      <c r="Y318" s="91">
        <v>81.8</v>
      </c>
      <c r="Z318" s="91">
        <v>85.31</v>
      </c>
      <c r="AA318" s="91">
        <v>85.31</v>
      </c>
      <c r="AB318" s="91">
        <v>86.21</v>
      </c>
      <c r="AC318" s="91">
        <v>86.21</v>
      </c>
      <c r="AD318" s="91">
        <v>87.4</v>
      </c>
      <c r="AE318" s="91">
        <v>86.36</v>
      </c>
      <c r="AF318" s="91">
        <v>85.27</v>
      </c>
    </row>
    <row r="319" spans="21:32">
      <c r="U319" s="94" t="s">
        <v>1171</v>
      </c>
      <c r="V319" s="94" t="s">
        <v>1185</v>
      </c>
      <c r="W319" s="91">
        <v>81.8</v>
      </c>
      <c r="X319" s="91">
        <v>81.8</v>
      </c>
      <c r="Y319" s="91">
        <v>81.8</v>
      </c>
      <c r="Z319" s="91">
        <v>85.31</v>
      </c>
      <c r="AA319" s="91">
        <v>85.31</v>
      </c>
      <c r="AB319" s="91">
        <v>86.21</v>
      </c>
      <c r="AC319" s="91">
        <v>86.21</v>
      </c>
      <c r="AD319" s="91">
        <v>87.4</v>
      </c>
      <c r="AE319" s="91">
        <v>86.36</v>
      </c>
      <c r="AF319" s="91">
        <v>85.27</v>
      </c>
    </row>
    <row r="320" spans="21:32">
      <c r="U320" s="94" t="s">
        <v>1172</v>
      </c>
      <c r="V320" s="94" t="s">
        <v>1185</v>
      </c>
      <c r="W320" s="91">
        <v>81.8</v>
      </c>
      <c r="X320" s="91">
        <v>81.8</v>
      </c>
      <c r="Y320" s="91">
        <v>81.8</v>
      </c>
      <c r="Z320" s="91">
        <v>85.31</v>
      </c>
      <c r="AA320" s="91">
        <v>85.31</v>
      </c>
      <c r="AB320" s="91">
        <v>86.21</v>
      </c>
      <c r="AC320" s="91">
        <v>86.21</v>
      </c>
      <c r="AD320" s="91">
        <v>87.4</v>
      </c>
      <c r="AE320" s="91">
        <v>86.36</v>
      </c>
      <c r="AF320" s="91">
        <v>85.27</v>
      </c>
    </row>
    <row r="321" spans="21:32">
      <c r="U321" s="94" t="s">
        <v>1173</v>
      </c>
      <c r="V321" s="94" t="s">
        <v>1185</v>
      </c>
      <c r="W321" s="91">
        <v>74.760000000000005</v>
      </c>
      <c r="X321" s="91">
        <v>74.760000000000005</v>
      </c>
      <c r="Y321" s="91">
        <v>74.760000000000005</v>
      </c>
      <c r="Z321" s="91">
        <v>78.13</v>
      </c>
      <c r="AA321" s="91">
        <v>78.13</v>
      </c>
      <c r="AB321" s="91">
        <v>79</v>
      </c>
      <c r="AC321" s="91">
        <v>79</v>
      </c>
      <c r="AD321" s="91">
        <v>80.14</v>
      </c>
      <c r="AE321" s="91">
        <v>79.14</v>
      </c>
      <c r="AF321" s="91">
        <v>78</v>
      </c>
    </row>
    <row r="322" spans="21:32">
      <c r="U322" s="94" t="s">
        <v>734</v>
      </c>
      <c r="V322" s="94" t="s">
        <v>1185</v>
      </c>
      <c r="W322" s="91">
        <v>77.67</v>
      </c>
      <c r="X322" s="91">
        <v>77.67</v>
      </c>
      <c r="Y322" s="91">
        <v>81.55</v>
      </c>
      <c r="Z322" s="91">
        <v>85.02</v>
      </c>
      <c r="AA322" s="91">
        <v>85.03</v>
      </c>
      <c r="AB322" s="91">
        <v>85.88</v>
      </c>
      <c r="AC322" s="91">
        <v>85.88</v>
      </c>
      <c r="AD322" s="91">
        <v>88.01</v>
      </c>
      <c r="AE322" s="91">
        <v>88.02</v>
      </c>
      <c r="AF322" s="91">
        <v>86.95</v>
      </c>
    </row>
    <row r="323" spans="21:32">
      <c r="U323" s="94" t="s">
        <v>1174</v>
      </c>
      <c r="V323" s="94" t="s">
        <v>1185</v>
      </c>
      <c r="W323" s="91">
        <v>80.67</v>
      </c>
      <c r="X323" s="91">
        <v>80.67</v>
      </c>
      <c r="Y323" s="91">
        <v>84.73</v>
      </c>
      <c r="Z323" s="91">
        <v>88.26</v>
      </c>
      <c r="AA323" s="91">
        <v>88.27</v>
      </c>
      <c r="AB323" s="91">
        <v>89.16</v>
      </c>
      <c r="AC323" s="91">
        <v>89.16</v>
      </c>
      <c r="AD323" s="91">
        <v>91.38</v>
      </c>
      <c r="AE323" s="91">
        <v>91.39</v>
      </c>
      <c r="AF323" s="91">
        <v>90.28</v>
      </c>
    </row>
    <row r="324" spans="21:32">
      <c r="U324" s="94" t="s">
        <v>1175</v>
      </c>
      <c r="V324" s="94" t="s">
        <v>1185</v>
      </c>
      <c r="W324" s="91">
        <v>72.86</v>
      </c>
      <c r="X324" s="91">
        <v>72.86</v>
      </c>
      <c r="Y324" s="91">
        <v>77.88</v>
      </c>
      <c r="Z324" s="91">
        <v>81.290000000000006</v>
      </c>
      <c r="AA324" s="91">
        <v>81.290000000000006</v>
      </c>
      <c r="AB324" s="91">
        <v>81.150000000000006</v>
      </c>
      <c r="AC324" s="91">
        <v>81.150000000000006</v>
      </c>
      <c r="AD324" s="91">
        <v>83.35</v>
      </c>
      <c r="AE324" s="91">
        <v>83.36</v>
      </c>
      <c r="AF324" s="91">
        <v>83.29</v>
      </c>
    </row>
    <row r="325" spans="21:32">
      <c r="U325" s="94" t="s">
        <v>1176</v>
      </c>
      <c r="V325" s="94" t="s">
        <v>1185</v>
      </c>
      <c r="W325" s="91">
        <v>71</v>
      </c>
      <c r="X325" s="91">
        <v>71</v>
      </c>
      <c r="Y325" s="91">
        <v>75</v>
      </c>
      <c r="Z325" s="91">
        <v>78.349999999999994</v>
      </c>
      <c r="AA325" s="91">
        <v>78.349999999999994</v>
      </c>
      <c r="AB325" s="91">
        <v>78.209999999999994</v>
      </c>
      <c r="AC325" s="91">
        <v>78.209999999999994</v>
      </c>
      <c r="AD325" s="91">
        <v>80.400000000000006</v>
      </c>
      <c r="AE325" s="91">
        <v>80.41</v>
      </c>
      <c r="AF325" s="91">
        <v>80.34</v>
      </c>
    </row>
    <row r="326" spans="21:32">
      <c r="U326" s="94" t="s">
        <v>1177</v>
      </c>
      <c r="V326" s="94" t="s">
        <v>1185</v>
      </c>
      <c r="W326" s="91">
        <v>67</v>
      </c>
      <c r="X326" s="91">
        <v>67</v>
      </c>
      <c r="Y326" s="91">
        <v>72</v>
      </c>
      <c r="Z326" s="91">
        <v>75.290000000000006</v>
      </c>
      <c r="AA326" s="91">
        <v>75.3</v>
      </c>
      <c r="AB326" s="91">
        <v>75.16</v>
      </c>
      <c r="AC326" s="91">
        <v>75.16</v>
      </c>
      <c r="AD326" s="91">
        <v>77.34</v>
      </c>
      <c r="AE326" s="91">
        <v>77.349999999999994</v>
      </c>
      <c r="AF326" s="91">
        <v>76.260000000000005</v>
      </c>
    </row>
    <row r="327" spans="21:32">
      <c r="U327" s="94" t="s">
        <v>1178</v>
      </c>
      <c r="V327" s="94" t="s">
        <v>1185</v>
      </c>
      <c r="W327" s="91">
        <v>71.19</v>
      </c>
      <c r="X327" s="91">
        <v>71.19</v>
      </c>
      <c r="Y327" s="91">
        <v>76.319999999999993</v>
      </c>
      <c r="Z327" s="91">
        <v>79.69</v>
      </c>
      <c r="AA327" s="91">
        <v>79.7</v>
      </c>
      <c r="AB327" s="91">
        <v>79.55</v>
      </c>
      <c r="AC327" s="91">
        <v>79.56</v>
      </c>
      <c r="AD327" s="91">
        <v>81.790000000000006</v>
      </c>
      <c r="AE327" s="91">
        <v>81.8</v>
      </c>
      <c r="AF327" s="91">
        <v>80.680000000000007</v>
      </c>
    </row>
    <row r="328" spans="21:32">
      <c r="U328" s="94" t="s">
        <v>735</v>
      </c>
      <c r="V328" s="94" t="s">
        <v>1185</v>
      </c>
      <c r="W328" s="91">
        <v>77</v>
      </c>
      <c r="X328" s="91">
        <v>79</v>
      </c>
      <c r="Y328" s="91">
        <v>85</v>
      </c>
      <c r="Z328" s="91">
        <v>90.56</v>
      </c>
      <c r="AA328" s="91">
        <v>90.56</v>
      </c>
      <c r="AB328" s="91">
        <v>90.4</v>
      </c>
      <c r="AC328" s="91">
        <v>90.39</v>
      </c>
      <c r="AD328" s="91">
        <v>95.66</v>
      </c>
      <c r="AE328" s="91">
        <v>99.74</v>
      </c>
      <c r="AF328" s="91">
        <v>100.67</v>
      </c>
    </row>
    <row r="329" spans="21:32">
      <c r="U329" s="94" t="s">
        <v>1179</v>
      </c>
      <c r="V329" s="94" t="s">
        <v>1185</v>
      </c>
      <c r="W329" s="91">
        <v>67.84</v>
      </c>
      <c r="X329" s="91">
        <v>69.849999999999994</v>
      </c>
      <c r="Y329" s="91">
        <v>74.87</v>
      </c>
      <c r="Z329" s="91">
        <v>80.25</v>
      </c>
      <c r="AA329" s="91">
        <v>80.25</v>
      </c>
      <c r="AB329" s="91">
        <v>80.09</v>
      </c>
      <c r="AC329" s="91">
        <v>80.09</v>
      </c>
      <c r="AD329" s="91">
        <v>85.37</v>
      </c>
      <c r="AE329" s="91">
        <v>89.47</v>
      </c>
      <c r="AF329" s="91">
        <v>89.39</v>
      </c>
    </row>
    <row r="330" spans="21:32">
      <c r="U330" s="94" t="s">
        <v>1180</v>
      </c>
      <c r="V330" s="94" t="s">
        <v>1185</v>
      </c>
      <c r="W330" s="91">
        <v>74.553600000000017</v>
      </c>
      <c r="X330" s="91">
        <v>76.644000000000005</v>
      </c>
      <c r="Y330" s="91">
        <v>81.864800000000002</v>
      </c>
      <c r="Z330" s="91">
        <v>87.46</v>
      </c>
      <c r="AA330" s="91">
        <v>87.46</v>
      </c>
      <c r="AB330" s="91">
        <v>87.293599999999998</v>
      </c>
      <c r="AC330" s="91">
        <v>87.293599999999998</v>
      </c>
      <c r="AD330" s="91">
        <v>92.784800000000018</v>
      </c>
      <c r="AE330" s="91">
        <v>97.0488</v>
      </c>
      <c r="AF330" s="91">
        <v>96.965599999999995</v>
      </c>
    </row>
    <row r="331" spans="21:32">
      <c r="U331" s="94" t="s">
        <v>1180</v>
      </c>
      <c r="V331" s="94" t="s">
        <v>1185</v>
      </c>
      <c r="W331" s="91">
        <v>81.267200000000003</v>
      </c>
      <c r="X331" s="91">
        <v>83.438000000000017</v>
      </c>
      <c r="Y331" s="91">
        <v>88.859600000000029</v>
      </c>
      <c r="Z331" s="91">
        <v>94.67</v>
      </c>
      <c r="AA331" s="91">
        <v>94.67</v>
      </c>
      <c r="AB331" s="91">
        <v>94.497200000000021</v>
      </c>
      <c r="AC331" s="91">
        <v>94.497200000000021</v>
      </c>
      <c r="AD331" s="91">
        <v>100.19960000000003</v>
      </c>
      <c r="AE331" s="91">
        <v>104.6276</v>
      </c>
      <c r="AF331" s="91">
        <v>104.5412</v>
      </c>
    </row>
    <row r="332" spans="21:32">
      <c r="U332" s="94" t="s">
        <v>1128</v>
      </c>
      <c r="V332" s="94" t="s">
        <v>1185</v>
      </c>
      <c r="W332" s="91">
        <v>85.85</v>
      </c>
      <c r="X332" s="91">
        <v>88.88</v>
      </c>
      <c r="Y332" s="91">
        <v>94.94</v>
      </c>
      <c r="Z332" s="91">
        <v>100.6465</v>
      </c>
      <c r="AA332" s="91">
        <v>99.616299999999995</v>
      </c>
      <c r="AB332" s="91">
        <v>104.51480000000001</v>
      </c>
      <c r="AC332" s="91">
        <v>103.4846</v>
      </c>
      <c r="AD332" s="91">
        <v>111.70599999999999</v>
      </c>
      <c r="AE332" s="91">
        <v>110.696</v>
      </c>
      <c r="AF332" s="91">
        <v>110.70610000000001</v>
      </c>
    </row>
    <row r="333" spans="21:32">
      <c r="U333" s="94" t="s">
        <v>1181</v>
      </c>
      <c r="V333" s="94" t="s">
        <v>1185</v>
      </c>
      <c r="W333" s="91">
        <v>77.864800000000002</v>
      </c>
      <c r="X333" s="91">
        <v>81.005600000000001</v>
      </c>
      <c r="Y333" s="91">
        <v>87.276800000000009</v>
      </c>
      <c r="Z333" s="91">
        <v>91.894400000000005</v>
      </c>
      <c r="AA333" s="91">
        <v>90.833600000000004</v>
      </c>
      <c r="AB333" s="91">
        <v>96.98</v>
      </c>
      <c r="AC333" s="91">
        <v>95.908799999999999</v>
      </c>
      <c r="AD333" s="91">
        <v>103.3656</v>
      </c>
      <c r="AE333" s="91">
        <v>102.3152</v>
      </c>
      <c r="AF333" s="91">
        <v>102.32560000000001</v>
      </c>
    </row>
    <row r="334" spans="21:32">
      <c r="U334" s="94" t="s">
        <v>1182</v>
      </c>
      <c r="V334" s="94" t="s">
        <v>1185</v>
      </c>
      <c r="W334" s="91">
        <v>74.87</v>
      </c>
      <c r="X334" s="91">
        <v>77.89</v>
      </c>
      <c r="Y334" s="91">
        <v>83.92</v>
      </c>
      <c r="Z334" s="91">
        <v>88.36</v>
      </c>
      <c r="AA334" s="91">
        <v>87.34</v>
      </c>
      <c r="AB334" s="91">
        <v>93.25</v>
      </c>
      <c r="AC334" s="91">
        <v>92.22</v>
      </c>
      <c r="AD334" s="91">
        <v>99.39</v>
      </c>
      <c r="AE334" s="91">
        <v>98.38</v>
      </c>
      <c r="AF334" s="91">
        <v>98.39</v>
      </c>
    </row>
    <row r="335" spans="21:32" ht="15.6">
      <c r="U335" s="104"/>
      <c r="V335" s="104"/>
      <c r="W335" s="89" t="s">
        <v>1131</v>
      </c>
      <c r="X335" s="89" t="s">
        <v>1132</v>
      </c>
      <c r="Y335" s="89" t="s">
        <v>1134</v>
      </c>
      <c r="Z335" s="89" t="s">
        <v>1138</v>
      </c>
      <c r="AA335" s="89" t="s">
        <v>1141</v>
      </c>
      <c r="AB335" s="89" t="s">
        <v>1163</v>
      </c>
      <c r="AC335" s="89" t="s">
        <v>1140</v>
      </c>
      <c r="AD335" s="89" t="s">
        <v>1142</v>
      </c>
      <c r="AE335" s="89" t="s">
        <v>1143</v>
      </c>
      <c r="AF335" s="89" t="s">
        <v>1102</v>
      </c>
    </row>
    <row r="336" spans="21:32">
      <c r="U336" s="94" t="s">
        <v>138</v>
      </c>
      <c r="V336" s="94" t="s">
        <v>1121</v>
      </c>
      <c r="W336" s="91">
        <v>41.64</v>
      </c>
      <c r="X336" s="91">
        <v>40.64</v>
      </c>
      <c r="Y336" s="91">
        <v>39.840000000000003</v>
      </c>
      <c r="Z336" s="91">
        <v>39.28</v>
      </c>
      <c r="AA336" s="91">
        <v>39.26</v>
      </c>
      <c r="AB336" s="91">
        <v>38.9</v>
      </c>
      <c r="AC336" s="91">
        <v>38.880000000000003</v>
      </c>
      <c r="AD336" s="91">
        <v>38.6</v>
      </c>
      <c r="AE336" s="91">
        <v>38.270000000000003</v>
      </c>
      <c r="AF336" s="91">
        <v>46.34</v>
      </c>
    </row>
    <row r="337" spans="21:32">
      <c r="U337" s="94" t="s">
        <v>139</v>
      </c>
      <c r="V337" s="94" t="s">
        <v>1121</v>
      </c>
      <c r="W337" s="91">
        <v>39.26</v>
      </c>
      <c r="X337" s="91">
        <v>38.4</v>
      </c>
      <c r="Y337" s="91">
        <v>37.68</v>
      </c>
      <c r="Z337" s="91">
        <v>37.15</v>
      </c>
      <c r="AA337" s="91">
        <v>37.130000000000003</v>
      </c>
      <c r="AB337" s="91">
        <v>36.79</v>
      </c>
      <c r="AC337" s="91">
        <v>36.74</v>
      </c>
      <c r="AD337" s="91">
        <v>36.51</v>
      </c>
      <c r="AE337" s="91">
        <v>36.21</v>
      </c>
      <c r="AF337" s="91">
        <v>43.71</v>
      </c>
    </row>
    <row r="338" spans="21:32">
      <c r="U338" s="94" t="s">
        <v>1164</v>
      </c>
      <c r="V338" s="94" t="s">
        <v>1121</v>
      </c>
      <c r="W338" s="91">
        <v>35.19</v>
      </c>
      <c r="X338" s="91">
        <v>34.369999999999997</v>
      </c>
      <c r="Y338" s="91">
        <v>33.69</v>
      </c>
      <c r="Z338" s="91">
        <v>33.19</v>
      </c>
      <c r="AA338" s="91">
        <v>33.17</v>
      </c>
      <c r="AB338" s="91">
        <v>32.85</v>
      </c>
      <c r="AC338" s="91">
        <v>32.799999999999997</v>
      </c>
      <c r="AD338" s="91">
        <v>32.58</v>
      </c>
      <c r="AE338" s="91">
        <v>32.299999999999997</v>
      </c>
      <c r="AF338" s="91">
        <v>39.590000000000003</v>
      </c>
    </row>
    <row r="339" spans="21:32">
      <c r="U339" s="94" t="s">
        <v>142</v>
      </c>
      <c r="V339" s="94" t="s">
        <v>1121</v>
      </c>
      <c r="W339" s="91">
        <v>50.07</v>
      </c>
      <c r="X339" s="91">
        <v>49.32</v>
      </c>
      <c r="Y339" s="91">
        <v>48.69</v>
      </c>
      <c r="Z339" s="91">
        <v>50.96</v>
      </c>
      <c r="AA339" s="91">
        <v>50.95</v>
      </c>
      <c r="AB339" s="91">
        <v>53.45</v>
      </c>
      <c r="AC339" s="91">
        <v>53.43</v>
      </c>
      <c r="AD339" s="91">
        <v>53.07</v>
      </c>
      <c r="AE339" s="91">
        <v>52.88</v>
      </c>
      <c r="AF339" s="91">
        <v>52.65</v>
      </c>
    </row>
    <row r="340" spans="21:32">
      <c r="U340" s="94" t="s">
        <v>1165</v>
      </c>
      <c r="V340" s="94" t="s">
        <v>1121</v>
      </c>
      <c r="W340" s="91">
        <v>48.12</v>
      </c>
      <c r="X340" s="91">
        <v>47.42</v>
      </c>
      <c r="Y340" s="91">
        <v>46.82</v>
      </c>
      <c r="Z340" s="91">
        <v>49.1</v>
      </c>
      <c r="AA340" s="91">
        <v>49.09</v>
      </c>
      <c r="AB340" s="91">
        <v>51.58</v>
      </c>
      <c r="AC340" s="91">
        <v>51.57</v>
      </c>
      <c r="AD340" s="91">
        <v>51.23</v>
      </c>
      <c r="AE340" s="91">
        <v>51.05</v>
      </c>
      <c r="AF340" s="91">
        <v>50.83</v>
      </c>
    </row>
    <row r="341" spans="21:32">
      <c r="U341" s="94" t="s">
        <v>1183</v>
      </c>
      <c r="V341" s="94" t="s">
        <v>1121</v>
      </c>
      <c r="W341" s="91">
        <v>48.12</v>
      </c>
      <c r="X341" s="91">
        <v>47.42</v>
      </c>
      <c r="Y341" s="91">
        <v>46.82</v>
      </c>
      <c r="Z341" s="91">
        <v>49.1</v>
      </c>
      <c r="AA341" s="91">
        <v>49.09</v>
      </c>
      <c r="AB341" s="91">
        <v>51.58</v>
      </c>
      <c r="AC341" s="91">
        <v>51.57</v>
      </c>
      <c r="AD341" s="91">
        <v>51.23</v>
      </c>
      <c r="AE341" s="91">
        <v>51.05</v>
      </c>
      <c r="AF341" s="91">
        <v>50.83</v>
      </c>
    </row>
    <row r="342" spans="21:32">
      <c r="U342" s="94" t="s">
        <v>1126</v>
      </c>
      <c r="V342" s="94" t="s">
        <v>1121</v>
      </c>
      <c r="W342" s="91">
        <v>56.25</v>
      </c>
      <c r="X342" s="91">
        <v>55.65</v>
      </c>
      <c r="Y342" s="91">
        <v>55.12</v>
      </c>
      <c r="Z342" s="91">
        <v>57.63</v>
      </c>
      <c r="AA342" s="91">
        <v>57.62</v>
      </c>
      <c r="AB342" s="91">
        <v>60.29</v>
      </c>
      <c r="AC342" s="91">
        <v>60.27</v>
      </c>
      <c r="AD342" s="91">
        <v>59.95</v>
      </c>
      <c r="AE342" s="91">
        <v>59.76</v>
      </c>
      <c r="AF342" s="91">
        <v>59.55</v>
      </c>
    </row>
    <row r="343" spans="21:32">
      <c r="U343" s="94" t="s">
        <v>1166</v>
      </c>
      <c r="V343" s="94" t="s">
        <v>1121</v>
      </c>
      <c r="W343" s="91">
        <v>58.93</v>
      </c>
      <c r="X343" s="91">
        <v>58.37</v>
      </c>
      <c r="Y343" s="91">
        <v>57.89</v>
      </c>
      <c r="Z343" s="91">
        <v>60.5</v>
      </c>
      <c r="AA343" s="91">
        <v>60.49</v>
      </c>
      <c r="AB343" s="91">
        <v>63.25</v>
      </c>
      <c r="AC343" s="91">
        <v>63.23</v>
      </c>
      <c r="AD343" s="91">
        <v>62.94</v>
      </c>
      <c r="AE343" s="91">
        <v>62.76</v>
      </c>
      <c r="AF343" s="91">
        <v>62.57</v>
      </c>
    </row>
    <row r="344" spans="21:32">
      <c r="U344" s="94" t="s">
        <v>1167</v>
      </c>
      <c r="V344" s="94" t="s">
        <v>1121</v>
      </c>
      <c r="W344" s="91">
        <v>64.599999999999994</v>
      </c>
      <c r="X344" s="91">
        <v>64.069999999999993</v>
      </c>
      <c r="Y344" s="91">
        <v>63.61</v>
      </c>
      <c r="Z344" s="91">
        <v>66.36</v>
      </c>
      <c r="AA344" s="91">
        <v>66.34</v>
      </c>
      <c r="AB344" s="91">
        <v>69.239999999999995</v>
      </c>
      <c r="AC344" s="91">
        <v>69.22</v>
      </c>
      <c r="AD344" s="91">
        <v>68.94</v>
      </c>
      <c r="AE344" s="91">
        <v>68.77</v>
      </c>
      <c r="AF344" s="91">
        <v>68.59</v>
      </c>
    </row>
    <row r="345" spans="21:32">
      <c r="U345" s="94" t="s">
        <v>1168</v>
      </c>
      <c r="V345" s="94" t="s">
        <v>1121</v>
      </c>
      <c r="W345" s="91">
        <v>61.14</v>
      </c>
      <c r="X345" s="91">
        <v>60.62</v>
      </c>
      <c r="Y345" s="91">
        <v>60.17</v>
      </c>
      <c r="Z345" s="91">
        <v>62.86</v>
      </c>
      <c r="AA345" s="91">
        <v>62.84</v>
      </c>
      <c r="AB345" s="91">
        <v>65.680000000000007</v>
      </c>
      <c r="AC345" s="91">
        <v>65.66</v>
      </c>
      <c r="AD345" s="91">
        <v>65.38</v>
      </c>
      <c r="AE345" s="91">
        <v>65.22</v>
      </c>
      <c r="AF345" s="91">
        <v>65.040000000000006</v>
      </c>
    </row>
    <row r="346" spans="21:32">
      <c r="U346" s="94" t="s">
        <v>1169</v>
      </c>
      <c r="V346" s="94" t="s">
        <v>1121</v>
      </c>
      <c r="W346" s="91">
        <v>61.14</v>
      </c>
      <c r="X346" s="91">
        <v>60.62</v>
      </c>
      <c r="Y346" s="91">
        <v>60.17</v>
      </c>
      <c r="Z346" s="91">
        <v>62.86</v>
      </c>
      <c r="AA346" s="91">
        <v>62.84</v>
      </c>
      <c r="AB346" s="91">
        <v>65.680000000000007</v>
      </c>
      <c r="AC346" s="91">
        <v>65.66</v>
      </c>
      <c r="AD346" s="91">
        <v>65.38</v>
      </c>
      <c r="AE346" s="91">
        <v>65.22</v>
      </c>
      <c r="AF346" s="91">
        <v>65.040000000000006</v>
      </c>
    </row>
    <row r="347" spans="21:32">
      <c r="U347" s="94" t="s">
        <v>733</v>
      </c>
      <c r="V347" s="94" t="s">
        <v>1121</v>
      </c>
      <c r="W347" s="91">
        <v>66.13</v>
      </c>
      <c r="X347" s="91">
        <v>65.569999999999993</v>
      </c>
      <c r="Y347" s="91">
        <v>65.099999999999994</v>
      </c>
      <c r="Z347" s="91">
        <v>67.89</v>
      </c>
      <c r="AA347" s="91">
        <v>67.87</v>
      </c>
      <c r="AB347" s="91">
        <v>70.86</v>
      </c>
      <c r="AC347" s="91">
        <v>70.84</v>
      </c>
      <c r="AD347" s="91">
        <v>70.650000000000006</v>
      </c>
      <c r="AE347" s="91">
        <v>70.44</v>
      </c>
      <c r="AF347" s="91">
        <v>70.27</v>
      </c>
    </row>
    <row r="348" spans="21:32">
      <c r="U348" s="94" t="s">
        <v>1170</v>
      </c>
      <c r="V348" s="94" t="s">
        <v>1121</v>
      </c>
      <c r="W348" s="91">
        <v>65.55</v>
      </c>
      <c r="X348" s="91">
        <v>65.02</v>
      </c>
      <c r="Y348" s="91">
        <v>64.569999999999993</v>
      </c>
      <c r="Z348" s="91">
        <v>67.36</v>
      </c>
      <c r="AA348" s="91">
        <v>67.349999999999994</v>
      </c>
      <c r="AB348" s="91">
        <v>70.34</v>
      </c>
      <c r="AC348" s="91">
        <v>70.319999999999993</v>
      </c>
      <c r="AD348" s="91">
        <v>70.14</v>
      </c>
      <c r="AE348" s="91">
        <v>69.94</v>
      </c>
      <c r="AF348" s="91">
        <v>69.77</v>
      </c>
    </row>
    <row r="349" spans="21:32">
      <c r="U349" s="94" t="s">
        <v>1171</v>
      </c>
      <c r="V349" s="94" t="s">
        <v>1121</v>
      </c>
      <c r="W349" s="91">
        <v>70.55</v>
      </c>
      <c r="X349" s="91">
        <v>70.02</v>
      </c>
      <c r="Y349" s="91">
        <v>69.569999999999993</v>
      </c>
      <c r="Z349" s="91">
        <v>72.36</v>
      </c>
      <c r="AA349" s="91">
        <v>72.349999999999994</v>
      </c>
      <c r="AB349" s="91">
        <v>75.34</v>
      </c>
      <c r="AC349" s="91">
        <v>75.319999999999993</v>
      </c>
      <c r="AD349" s="91">
        <v>75.14</v>
      </c>
      <c r="AE349" s="91">
        <v>74.94</v>
      </c>
      <c r="AF349" s="91">
        <v>74.77</v>
      </c>
    </row>
    <row r="350" spans="21:32">
      <c r="U350" s="94" t="s">
        <v>1172</v>
      </c>
      <c r="V350" s="94" t="s">
        <v>1121</v>
      </c>
      <c r="W350" s="91">
        <v>75.55</v>
      </c>
      <c r="X350" s="91">
        <v>75.02</v>
      </c>
      <c r="Y350" s="91">
        <v>74.569999999999993</v>
      </c>
      <c r="Z350" s="91">
        <v>77.36</v>
      </c>
      <c r="AA350" s="91">
        <v>77.349999999999994</v>
      </c>
      <c r="AB350" s="91">
        <v>80.34</v>
      </c>
      <c r="AC350" s="91">
        <v>80.319999999999993</v>
      </c>
      <c r="AD350" s="91">
        <v>80.14</v>
      </c>
      <c r="AE350" s="91">
        <v>79.94</v>
      </c>
      <c r="AF350" s="91">
        <v>79.77</v>
      </c>
    </row>
    <row r="351" spans="21:32">
      <c r="U351" s="94" t="s">
        <v>1173</v>
      </c>
      <c r="V351" s="94" t="s">
        <v>1121</v>
      </c>
      <c r="W351" s="91">
        <v>78.55</v>
      </c>
      <c r="X351" s="91">
        <v>78.02</v>
      </c>
      <c r="Y351" s="91">
        <v>77.569999999999993</v>
      </c>
      <c r="Z351" s="91">
        <v>79.36</v>
      </c>
      <c r="AA351" s="91">
        <v>80.349999999999994</v>
      </c>
      <c r="AB351" s="91">
        <v>83.34</v>
      </c>
      <c r="AC351" s="91">
        <v>83.32</v>
      </c>
      <c r="AD351" s="91">
        <v>83.14</v>
      </c>
      <c r="AE351" s="91">
        <v>82.94</v>
      </c>
      <c r="AF351" s="91">
        <v>82.77</v>
      </c>
    </row>
    <row r="352" spans="21:32">
      <c r="U352" s="94" t="s">
        <v>734</v>
      </c>
      <c r="V352" s="94" t="s">
        <v>1121</v>
      </c>
      <c r="W352" s="97"/>
      <c r="X352" s="97"/>
      <c r="Y352" s="97"/>
      <c r="Z352" s="97"/>
      <c r="AA352" s="97"/>
      <c r="AB352" s="97"/>
      <c r="AC352" s="97"/>
      <c r="AD352" s="97"/>
      <c r="AE352" s="97"/>
      <c r="AF352" s="97"/>
    </row>
    <row r="353" spans="21:32">
      <c r="U353" s="94" t="s">
        <v>1174</v>
      </c>
      <c r="V353" s="94" t="s">
        <v>1121</v>
      </c>
      <c r="W353" s="97"/>
      <c r="X353" s="97"/>
      <c r="Y353" s="97"/>
      <c r="Z353" s="97"/>
      <c r="AA353" s="97"/>
      <c r="AB353" s="97"/>
      <c r="AC353" s="97"/>
      <c r="AD353" s="97"/>
      <c r="AE353" s="97"/>
      <c r="AF353" s="97"/>
    </row>
    <row r="354" spans="21:32">
      <c r="U354" s="94" t="s">
        <v>1175</v>
      </c>
      <c r="V354" s="94" t="s">
        <v>1121</v>
      </c>
      <c r="W354" s="97"/>
      <c r="X354" s="97"/>
      <c r="Y354" s="97"/>
      <c r="Z354" s="97"/>
      <c r="AA354" s="97"/>
      <c r="AB354" s="97"/>
      <c r="AC354" s="97"/>
      <c r="AD354" s="97"/>
      <c r="AE354" s="97"/>
      <c r="AF354" s="97"/>
    </row>
    <row r="355" spans="21:32">
      <c r="U355" s="94" t="s">
        <v>1176</v>
      </c>
      <c r="V355" s="94" t="s">
        <v>1121</v>
      </c>
      <c r="W355" s="97"/>
      <c r="X355" s="97"/>
      <c r="Y355" s="97"/>
      <c r="Z355" s="97"/>
      <c r="AA355" s="97"/>
      <c r="AB355" s="97"/>
      <c r="AC355" s="97"/>
      <c r="AD355" s="97"/>
      <c r="AE355" s="97"/>
      <c r="AF355" s="97"/>
    </row>
    <row r="356" spans="21:32">
      <c r="U356" s="94" t="s">
        <v>1177</v>
      </c>
      <c r="V356" s="94" t="s">
        <v>1121</v>
      </c>
      <c r="W356" s="97"/>
      <c r="X356" s="97"/>
      <c r="Y356" s="97"/>
      <c r="Z356" s="97"/>
      <c r="AA356" s="97"/>
      <c r="AB356" s="97"/>
      <c r="AC356" s="97"/>
      <c r="AD356" s="97"/>
      <c r="AE356" s="97"/>
      <c r="AF356" s="97"/>
    </row>
    <row r="357" spans="21:32">
      <c r="U357" s="94" t="s">
        <v>1178</v>
      </c>
      <c r="V357" s="94" t="s">
        <v>1121</v>
      </c>
      <c r="W357" s="97"/>
      <c r="X357" s="97"/>
      <c r="Y357" s="97"/>
      <c r="Z357" s="97"/>
      <c r="AA357" s="97"/>
      <c r="AB357" s="97"/>
      <c r="AC357" s="97"/>
      <c r="AD357" s="97"/>
      <c r="AE357" s="97"/>
      <c r="AF357" s="97"/>
    </row>
    <row r="358" spans="21:32">
      <c r="U358" s="94" t="s">
        <v>735</v>
      </c>
      <c r="V358" s="94" t="s">
        <v>1121</v>
      </c>
      <c r="W358" s="97"/>
      <c r="X358" s="97"/>
      <c r="Y358" s="97"/>
      <c r="Z358" s="97"/>
      <c r="AA358" s="97"/>
      <c r="AB358" s="97"/>
      <c r="AC358" s="97"/>
      <c r="AD358" s="97"/>
      <c r="AE358" s="97"/>
      <c r="AF358" s="97"/>
    </row>
    <row r="359" spans="21:32">
      <c r="U359" s="94" t="s">
        <v>1179</v>
      </c>
      <c r="V359" s="94" t="s">
        <v>1121</v>
      </c>
      <c r="W359" s="97"/>
      <c r="X359" s="97"/>
      <c r="Y359" s="97"/>
      <c r="Z359" s="97"/>
      <c r="AA359" s="97"/>
      <c r="AB359" s="97"/>
      <c r="AC359" s="97"/>
      <c r="AD359" s="97"/>
      <c r="AE359" s="97"/>
      <c r="AF359" s="97"/>
    </row>
    <row r="360" spans="21:32">
      <c r="U360" s="94" t="s">
        <v>1128</v>
      </c>
      <c r="V360" s="94" t="s">
        <v>1121</v>
      </c>
      <c r="W360" s="97"/>
      <c r="X360" s="97"/>
      <c r="Y360" s="97"/>
      <c r="Z360" s="97"/>
      <c r="AA360" s="97"/>
      <c r="AB360" s="97"/>
      <c r="AC360" s="97"/>
      <c r="AD360" s="97"/>
      <c r="AE360" s="97"/>
      <c r="AF360" s="97"/>
    </row>
    <row r="361" spans="21:32">
      <c r="U361" s="94" t="s">
        <v>1181</v>
      </c>
      <c r="V361" s="94" t="s">
        <v>1121</v>
      </c>
      <c r="W361" s="97"/>
      <c r="X361" s="97"/>
      <c r="Y361" s="97"/>
      <c r="Z361" s="97"/>
      <c r="AA361" s="97"/>
      <c r="AB361" s="97"/>
      <c r="AC361" s="97"/>
      <c r="AD361" s="97"/>
      <c r="AE361" s="97"/>
      <c r="AF361" s="97"/>
    </row>
    <row r="362" spans="21:32">
      <c r="U362" s="94" t="s">
        <v>1182</v>
      </c>
      <c r="V362" s="94" t="s">
        <v>1121</v>
      </c>
      <c r="W362" s="97"/>
      <c r="X362" s="97"/>
      <c r="Y362" s="97"/>
      <c r="Z362" s="97"/>
      <c r="AA362" s="97"/>
      <c r="AB362" s="97"/>
      <c r="AC362" s="97"/>
      <c r="AD362" s="97"/>
      <c r="AE362" s="97"/>
      <c r="AF362" s="97"/>
    </row>
    <row r="363" spans="21:32" ht="15.6">
      <c r="U363" s="250"/>
      <c r="V363" s="250"/>
      <c r="W363" s="89" t="s">
        <v>1131</v>
      </c>
      <c r="X363" s="89" t="s">
        <v>1132</v>
      </c>
      <c r="Y363" s="89" t="s">
        <v>1134</v>
      </c>
      <c r="Z363" s="89" t="s">
        <v>1138</v>
      </c>
      <c r="AA363" s="89" t="s">
        <v>1141</v>
      </c>
      <c r="AB363" s="89" t="s">
        <v>1163</v>
      </c>
      <c r="AC363" s="89" t="s">
        <v>1140</v>
      </c>
      <c r="AD363" s="89" t="s">
        <v>1142</v>
      </c>
      <c r="AE363" s="89" t="s">
        <v>1143</v>
      </c>
      <c r="AF363" s="89" t="s">
        <v>1102</v>
      </c>
    </row>
    <row r="364" spans="21:32">
      <c r="U364" s="94" t="s">
        <v>138</v>
      </c>
      <c r="V364" s="94" t="s">
        <v>1122</v>
      </c>
      <c r="W364" s="91">
        <v>39.17</v>
      </c>
      <c r="X364" s="91">
        <v>38.200000000000003</v>
      </c>
      <c r="Y364" s="91">
        <v>37.409999999999997</v>
      </c>
      <c r="Z364" s="91">
        <v>36.869999999999997</v>
      </c>
      <c r="AA364" s="91">
        <v>36.85</v>
      </c>
      <c r="AB364" s="91">
        <v>36.49</v>
      </c>
      <c r="AC364" s="91">
        <v>36.47</v>
      </c>
      <c r="AD364" s="91">
        <v>36.200000000000003</v>
      </c>
      <c r="AE364" s="91">
        <v>35.880000000000003</v>
      </c>
      <c r="AF364" s="91">
        <v>43.81</v>
      </c>
    </row>
    <row r="365" spans="21:32">
      <c r="U365" s="94" t="s">
        <v>139</v>
      </c>
      <c r="V365" s="94" t="s">
        <v>1122</v>
      </c>
      <c r="W365" s="91">
        <v>39.21</v>
      </c>
      <c r="X365" s="91">
        <v>38.39</v>
      </c>
      <c r="Y365" s="91">
        <v>37.72</v>
      </c>
      <c r="Z365" s="91">
        <v>37.22</v>
      </c>
      <c r="AA365" s="91">
        <v>37.200000000000003</v>
      </c>
      <c r="AB365" s="91">
        <v>36.880000000000003</v>
      </c>
      <c r="AC365" s="91">
        <v>36.83</v>
      </c>
      <c r="AD365" s="91">
        <v>36.61</v>
      </c>
      <c r="AE365" s="91">
        <v>36.33</v>
      </c>
      <c r="AF365" s="91">
        <v>43.84</v>
      </c>
    </row>
    <row r="366" spans="21:32">
      <c r="U366" s="94" t="s">
        <v>1164</v>
      </c>
      <c r="V366" s="94" t="s">
        <v>1122</v>
      </c>
      <c r="W366" s="92"/>
      <c r="X366" s="92"/>
      <c r="Y366" s="92"/>
      <c r="Z366" s="92"/>
      <c r="AA366" s="92"/>
      <c r="AB366" s="92"/>
      <c r="AC366" s="92"/>
      <c r="AD366" s="92"/>
      <c r="AE366" s="92"/>
      <c r="AF366" s="92"/>
    </row>
    <row r="367" spans="21:32">
      <c r="U367" s="94" t="s">
        <v>142</v>
      </c>
      <c r="V367" s="94" t="s">
        <v>1122</v>
      </c>
      <c r="W367" s="91">
        <v>65.02</v>
      </c>
      <c r="X367" s="91">
        <v>64.28</v>
      </c>
      <c r="Y367" s="91">
        <v>63.66</v>
      </c>
      <c r="Z367" s="91">
        <v>66.23</v>
      </c>
      <c r="AA367" s="91">
        <v>66.22</v>
      </c>
      <c r="AB367" s="91">
        <v>69.02</v>
      </c>
      <c r="AC367" s="91">
        <v>69.010000000000005</v>
      </c>
      <c r="AD367" s="91">
        <v>68.64</v>
      </c>
      <c r="AE367" s="91">
        <v>68.459999999999994</v>
      </c>
      <c r="AF367" s="91">
        <v>68.22</v>
      </c>
    </row>
    <row r="368" spans="21:32">
      <c r="U368" s="94" t="s">
        <v>1165</v>
      </c>
      <c r="V368" s="94" t="s">
        <v>1122</v>
      </c>
      <c r="W368" s="91">
        <v>65.02</v>
      </c>
      <c r="X368" s="91">
        <v>64.28</v>
      </c>
      <c r="Y368" s="91">
        <v>63.66</v>
      </c>
      <c r="Z368" s="91">
        <v>66.23</v>
      </c>
      <c r="AA368" s="91">
        <v>66.22</v>
      </c>
      <c r="AB368" s="91">
        <v>69.02</v>
      </c>
      <c r="AC368" s="91">
        <v>69.010000000000005</v>
      </c>
      <c r="AD368" s="91">
        <v>68.64</v>
      </c>
      <c r="AE368" s="91">
        <v>68.459999999999994</v>
      </c>
      <c r="AF368" s="91">
        <v>68.22</v>
      </c>
    </row>
    <row r="369" spans="21:32">
      <c r="U369" s="94" t="s">
        <v>1183</v>
      </c>
      <c r="V369" s="94" t="s">
        <v>1122</v>
      </c>
      <c r="W369" s="92"/>
      <c r="X369" s="92"/>
      <c r="Y369" s="92"/>
      <c r="Z369" s="92"/>
      <c r="AA369" s="92"/>
      <c r="AB369" s="92"/>
      <c r="AC369" s="92"/>
      <c r="AD369" s="92"/>
      <c r="AE369" s="92"/>
      <c r="AF369" s="92"/>
    </row>
    <row r="370" spans="21:32">
      <c r="U370" s="94" t="s">
        <v>1126</v>
      </c>
      <c r="V370" s="94" t="s">
        <v>1122</v>
      </c>
      <c r="W370" s="91">
        <v>78.45</v>
      </c>
      <c r="X370" s="91">
        <v>77.77</v>
      </c>
      <c r="Y370" s="91">
        <v>77.180000000000007</v>
      </c>
      <c r="Z370" s="91">
        <v>80.040000000000006</v>
      </c>
      <c r="AA370" s="91">
        <v>80.02</v>
      </c>
      <c r="AB370" s="91">
        <v>83.08</v>
      </c>
      <c r="AC370" s="91">
        <v>83.06</v>
      </c>
      <c r="AD370" s="91">
        <v>82.69</v>
      </c>
      <c r="AE370" s="91">
        <v>82.47</v>
      </c>
      <c r="AF370" s="91">
        <v>82.24</v>
      </c>
    </row>
    <row r="371" spans="21:32">
      <c r="U371" s="94" t="s">
        <v>1166</v>
      </c>
      <c r="V371" s="94" t="s">
        <v>1122</v>
      </c>
      <c r="W371" s="91">
        <v>78.45</v>
      </c>
      <c r="X371" s="91">
        <v>77.77</v>
      </c>
      <c r="Y371" s="91">
        <v>77.180000000000007</v>
      </c>
      <c r="Z371" s="91">
        <v>80.040000000000006</v>
      </c>
      <c r="AA371" s="91">
        <v>80.02</v>
      </c>
      <c r="AB371" s="91">
        <v>83.08</v>
      </c>
      <c r="AC371" s="91">
        <v>83.06</v>
      </c>
      <c r="AD371" s="91">
        <v>82.69</v>
      </c>
      <c r="AE371" s="91">
        <v>82.47</v>
      </c>
      <c r="AF371" s="91">
        <v>82.24</v>
      </c>
    </row>
    <row r="372" spans="21:32">
      <c r="U372" s="94" t="s">
        <v>1167</v>
      </c>
      <c r="V372" s="94" t="s">
        <v>1122</v>
      </c>
      <c r="W372" s="91">
        <v>82.02</v>
      </c>
      <c r="X372" s="91">
        <v>81.33</v>
      </c>
      <c r="Y372" s="91">
        <v>80.72</v>
      </c>
      <c r="Z372" s="91">
        <v>83.64</v>
      </c>
      <c r="AA372" s="91">
        <v>83.63</v>
      </c>
      <c r="AB372" s="91">
        <v>86.74</v>
      </c>
      <c r="AC372" s="91">
        <v>86.72</v>
      </c>
      <c r="AD372" s="91">
        <v>86.35</v>
      </c>
      <c r="AE372" s="91">
        <v>86.12</v>
      </c>
      <c r="AF372" s="91">
        <v>85.88</v>
      </c>
    </row>
    <row r="373" spans="21:32">
      <c r="U373" s="94" t="s">
        <v>1168</v>
      </c>
      <c r="V373" s="94" t="s">
        <v>1122</v>
      </c>
      <c r="W373" s="92"/>
      <c r="X373" s="92"/>
      <c r="Y373" s="92"/>
      <c r="Z373" s="92"/>
      <c r="AA373" s="92"/>
      <c r="AB373" s="92"/>
      <c r="AC373" s="92"/>
      <c r="AD373" s="92"/>
      <c r="AE373" s="92"/>
      <c r="AF373" s="92"/>
    </row>
    <row r="374" spans="21:32">
      <c r="U374" s="94" t="s">
        <v>1169</v>
      </c>
      <c r="V374" s="94" t="s">
        <v>1122</v>
      </c>
      <c r="W374" s="92"/>
      <c r="X374" s="92"/>
      <c r="Y374" s="92"/>
      <c r="Z374" s="92"/>
      <c r="AA374" s="92"/>
      <c r="AB374" s="92"/>
      <c r="AC374" s="92"/>
      <c r="AD374" s="92"/>
      <c r="AE374" s="92"/>
      <c r="AF374" s="92"/>
    </row>
    <row r="375" spans="21:32">
      <c r="U375" s="94" t="s">
        <v>733</v>
      </c>
      <c r="V375" s="94" t="s">
        <v>1122</v>
      </c>
      <c r="W375" s="91">
        <v>79.67</v>
      </c>
      <c r="X375" s="91">
        <v>78.959999999999994</v>
      </c>
      <c r="Y375" s="91">
        <v>78.36</v>
      </c>
      <c r="Z375" s="91">
        <v>81.25</v>
      </c>
      <c r="AA375" s="91">
        <v>81.239999999999995</v>
      </c>
      <c r="AB375" s="91">
        <v>84.39</v>
      </c>
      <c r="AC375" s="91">
        <v>84.37</v>
      </c>
      <c r="AD375" s="91">
        <v>84.13</v>
      </c>
      <c r="AE375" s="91">
        <v>83.86</v>
      </c>
      <c r="AF375" s="91">
        <v>83.64</v>
      </c>
    </row>
    <row r="376" spans="21:32">
      <c r="U376" s="94" t="s">
        <v>1170</v>
      </c>
      <c r="V376" s="94" t="s">
        <v>1122</v>
      </c>
      <c r="W376" s="91">
        <v>83.27</v>
      </c>
      <c r="X376" s="91">
        <v>82.54</v>
      </c>
      <c r="Y376" s="91">
        <v>81.92</v>
      </c>
      <c r="Z376" s="91">
        <v>84.88</v>
      </c>
      <c r="AA376" s="91">
        <v>84.86</v>
      </c>
      <c r="AB376" s="91">
        <v>88.08</v>
      </c>
      <c r="AC376" s="91">
        <v>88.06</v>
      </c>
      <c r="AD376" s="91">
        <v>87.81</v>
      </c>
      <c r="AE376" s="91">
        <v>87.53</v>
      </c>
      <c r="AF376" s="91">
        <v>87.31</v>
      </c>
    </row>
    <row r="377" spans="21:32">
      <c r="U377" s="94" t="s">
        <v>1171</v>
      </c>
      <c r="V377" s="94" t="s">
        <v>1122</v>
      </c>
      <c r="W377" s="92"/>
      <c r="X377" s="92"/>
      <c r="Y377" s="92"/>
      <c r="Z377" s="92"/>
      <c r="AA377" s="92"/>
      <c r="AB377" s="92"/>
      <c r="AC377" s="92"/>
      <c r="AD377" s="92"/>
      <c r="AE377" s="92"/>
      <c r="AF377" s="92"/>
    </row>
    <row r="378" spans="21:32">
      <c r="U378" s="94" t="s">
        <v>1172</v>
      </c>
      <c r="V378" s="94" t="s">
        <v>1122</v>
      </c>
      <c r="W378" s="97"/>
      <c r="X378" s="97"/>
      <c r="Y378" s="97"/>
      <c r="Z378" s="97"/>
      <c r="AA378" s="97"/>
      <c r="AB378" s="97"/>
      <c r="AC378" s="97"/>
      <c r="AD378" s="97"/>
      <c r="AE378" s="97"/>
      <c r="AF378" s="97"/>
    </row>
    <row r="379" spans="21:32">
      <c r="U379" s="94" t="s">
        <v>1173</v>
      </c>
      <c r="V379" s="94" t="s">
        <v>1122</v>
      </c>
      <c r="W379" s="97"/>
      <c r="X379" s="97"/>
      <c r="Y379" s="97"/>
      <c r="Z379" s="97"/>
      <c r="AA379" s="97"/>
      <c r="AB379" s="97"/>
      <c r="AC379" s="97"/>
      <c r="AD379" s="97"/>
      <c r="AE379" s="97"/>
      <c r="AF379" s="97"/>
    </row>
    <row r="380" spans="21:32">
      <c r="U380" s="94" t="s">
        <v>734</v>
      </c>
      <c r="V380" s="94" t="s">
        <v>1122</v>
      </c>
      <c r="W380" s="97"/>
      <c r="X380" s="97"/>
      <c r="Y380" s="97"/>
      <c r="Z380" s="97"/>
      <c r="AA380" s="97"/>
      <c r="AB380" s="97"/>
      <c r="AC380" s="97"/>
      <c r="AD380" s="97"/>
      <c r="AE380" s="97"/>
      <c r="AF380" s="97"/>
    </row>
    <row r="381" spans="21:32">
      <c r="U381" s="94" t="s">
        <v>1174</v>
      </c>
      <c r="V381" s="94" t="s">
        <v>1122</v>
      </c>
      <c r="W381" s="97"/>
      <c r="X381" s="97"/>
      <c r="Y381" s="97"/>
      <c r="Z381" s="97"/>
      <c r="AA381" s="97"/>
      <c r="AB381" s="97"/>
      <c r="AC381" s="97"/>
      <c r="AD381" s="97"/>
      <c r="AE381" s="97"/>
      <c r="AF381" s="97"/>
    </row>
    <row r="382" spans="21:32">
      <c r="U382" s="94" t="s">
        <v>1175</v>
      </c>
      <c r="V382" s="94" t="s">
        <v>1122</v>
      </c>
      <c r="W382" s="97"/>
      <c r="X382" s="97"/>
      <c r="Y382" s="97"/>
      <c r="Z382" s="97"/>
      <c r="AA382" s="97"/>
      <c r="AB382" s="97"/>
      <c r="AC382" s="97"/>
      <c r="AD382" s="97"/>
      <c r="AE382" s="97"/>
      <c r="AF382" s="97"/>
    </row>
    <row r="383" spans="21:32">
      <c r="U383" s="94" t="s">
        <v>1176</v>
      </c>
      <c r="V383" s="94" t="s">
        <v>1122</v>
      </c>
      <c r="W383" s="97"/>
      <c r="X383" s="97"/>
      <c r="Y383" s="97"/>
      <c r="Z383" s="97"/>
      <c r="AA383" s="97"/>
      <c r="AB383" s="97"/>
      <c r="AC383" s="97"/>
      <c r="AD383" s="97"/>
      <c r="AE383" s="97"/>
      <c r="AF383" s="97"/>
    </row>
    <row r="384" spans="21:32">
      <c r="U384" s="94" t="s">
        <v>1177</v>
      </c>
      <c r="V384" s="94" t="s">
        <v>1122</v>
      </c>
      <c r="W384" s="97"/>
      <c r="X384" s="97"/>
      <c r="Y384" s="97"/>
      <c r="Z384" s="97"/>
      <c r="AA384" s="97"/>
      <c r="AB384" s="97"/>
      <c r="AC384" s="97"/>
      <c r="AD384" s="97"/>
      <c r="AE384" s="97"/>
      <c r="AF384" s="97"/>
    </row>
    <row r="385" spans="21:32">
      <c r="U385" s="94" t="s">
        <v>1178</v>
      </c>
      <c r="V385" s="94" t="s">
        <v>1122</v>
      </c>
      <c r="W385" s="97"/>
      <c r="X385" s="97"/>
      <c r="Y385" s="97"/>
      <c r="Z385" s="97"/>
      <c r="AA385" s="97"/>
      <c r="AB385" s="97"/>
      <c r="AC385" s="97"/>
      <c r="AD385" s="97"/>
      <c r="AE385" s="97"/>
      <c r="AF385" s="97"/>
    </row>
    <row r="386" spans="21:32">
      <c r="U386" s="94" t="s">
        <v>735</v>
      </c>
      <c r="V386" s="94" t="s">
        <v>1122</v>
      </c>
      <c r="W386" s="97"/>
      <c r="X386" s="97"/>
      <c r="Y386" s="97"/>
      <c r="Z386" s="97"/>
      <c r="AA386" s="97"/>
      <c r="AB386" s="97"/>
      <c r="AC386" s="97"/>
      <c r="AD386" s="97"/>
      <c r="AE386" s="97"/>
      <c r="AF386" s="97"/>
    </row>
    <row r="387" spans="21:32">
      <c r="U387" s="94" t="s">
        <v>1179</v>
      </c>
      <c r="V387" s="94" t="s">
        <v>1122</v>
      </c>
      <c r="W387" s="97"/>
      <c r="X387" s="97"/>
      <c r="Y387" s="97"/>
      <c r="Z387" s="97"/>
      <c r="AA387" s="97"/>
      <c r="AB387" s="97"/>
      <c r="AC387" s="97"/>
      <c r="AD387" s="97"/>
      <c r="AE387" s="97"/>
      <c r="AF387" s="97"/>
    </row>
    <row r="388" spans="21:32">
      <c r="U388" s="94" t="s">
        <v>1128</v>
      </c>
      <c r="V388" s="94" t="s">
        <v>1122</v>
      </c>
      <c r="W388" s="97"/>
      <c r="X388" s="97"/>
      <c r="Y388" s="97"/>
      <c r="Z388" s="97"/>
      <c r="AA388" s="97"/>
      <c r="AB388" s="97"/>
      <c r="AC388" s="97"/>
      <c r="AD388" s="97"/>
      <c r="AE388" s="97"/>
      <c r="AF388" s="97"/>
    </row>
    <row r="389" spans="21:32">
      <c r="U389" s="94" t="s">
        <v>1181</v>
      </c>
      <c r="V389" s="94" t="s">
        <v>1122</v>
      </c>
      <c r="W389" s="97"/>
      <c r="X389" s="97"/>
      <c r="Y389" s="97"/>
      <c r="Z389" s="97"/>
      <c r="AA389" s="97"/>
      <c r="AB389" s="97"/>
      <c r="AC389" s="97"/>
      <c r="AD389" s="97"/>
      <c r="AE389" s="97"/>
      <c r="AF389" s="97"/>
    </row>
    <row r="390" spans="21:32">
      <c r="U390" s="94" t="s">
        <v>1182</v>
      </c>
      <c r="V390" s="94" t="s">
        <v>1122</v>
      </c>
      <c r="W390" s="97"/>
      <c r="X390" s="97"/>
      <c r="Y390" s="97"/>
      <c r="Z390" s="97"/>
      <c r="AA390" s="97"/>
      <c r="AB390" s="97"/>
      <c r="AC390" s="97"/>
      <c r="AD390" s="97"/>
      <c r="AE390" s="97"/>
      <c r="AF390" s="97"/>
    </row>
    <row r="391" spans="21:32" ht="15.6">
      <c r="U391" s="250"/>
      <c r="V391" s="250"/>
      <c r="W391" s="251" t="s">
        <v>1131</v>
      </c>
      <c r="X391" s="251" t="s">
        <v>1132</v>
      </c>
      <c r="Y391" s="251" t="s">
        <v>1134</v>
      </c>
      <c r="Z391" s="251" t="s">
        <v>1138</v>
      </c>
      <c r="AA391" s="251" t="s">
        <v>1141</v>
      </c>
      <c r="AB391" s="89" t="s">
        <v>1163</v>
      </c>
      <c r="AC391" s="89" t="s">
        <v>1140</v>
      </c>
      <c r="AD391" s="251" t="s">
        <v>1142</v>
      </c>
      <c r="AE391" s="251" t="s">
        <v>1143</v>
      </c>
      <c r="AF391" s="251" t="s">
        <v>1102</v>
      </c>
    </row>
    <row r="392" spans="21:32">
      <c r="U392" s="94" t="s">
        <v>138</v>
      </c>
      <c r="V392" s="94" t="s">
        <v>393</v>
      </c>
      <c r="W392" s="98"/>
      <c r="X392" s="98"/>
      <c r="Y392" s="98"/>
      <c r="Z392" s="98"/>
      <c r="AA392" s="98"/>
      <c r="AB392" s="98"/>
      <c r="AC392" s="98"/>
      <c r="AD392" s="98"/>
      <c r="AE392" s="98"/>
      <c r="AF392" s="98"/>
    </row>
    <row r="393" spans="21:32">
      <c r="U393" s="94" t="s">
        <v>139</v>
      </c>
      <c r="V393" s="94" t="s">
        <v>393</v>
      </c>
      <c r="W393" s="102">
        <v>51.99</v>
      </c>
      <c r="X393" s="102">
        <v>51.99</v>
      </c>
      <c r="Y393" s="102">
        <v>51.99</v>
      </c>
      <c r="Z393" s="102">
        <v>51.99</v>
      </c>
      <c r="AA393" s="102">
        <v>51.99</v>
      </c>
      <c r="AB393" s="102">
        <v>51.99</v>
      </c>
      <c r="AC393" s="102">
        <v>51.99</v>
      </c>
      <c r="AD393" s="102">
        <v>51.99</v>
      </c>
      <c r="AE393" s="102">
        <v>51.99</v>
      </c>
      <c r="AF393" s="102">
        <v>65.47</v>
      </c>
    </row>
    <row r="394" spans="21:32">
      <c r="U394" s="94" t="s">
        <v>1164</v>
      </c>
      <c r="V394" s="94" t="s">
        <v>393</v>
      </c>
      <c r="W394" s="102">
        <v>51.99</v>
      </c>
      <c r="X394" s="102">
        <v>51.99</v>
      </c>
      <c r="Y394" s="102">
        <v>51.99</v>
      </c>
      <c r="Z394" s="102">
        <v>51.99</v>
      </c>
      <c r="AA394" s="102">
        <v>51.99</v>
      </c>
      <c r="AB394" s="102">
        <v>51.99</v>
      </c>
      <c r="AC394" s="102">
        <v>51.99</v>
      </c>
      <c r="AD394" s="102">
        <v>51.99</v>
      </c>
      <c r="AE394" s="102">
        <v>51.99</v>
      </c>
      <c r="AF394" s="102">
        <v>65.47</v>
      </c>
    </row>
    <row r="395" spans="21:32">
      <c r="U395" s="94" t="s">
        <v>142</v>
      </c>
      <c r="V395" s="94" t="s">
        <v>393</v>
      </c>
      <c r="W395" s="102">
        <v>76.25</v>
      </c>
      <c r="X395" s="102">
        <v>76.25</v>
      </c>
      <c r="Y395" s="102">
        <v>76.25</v>
      </c>
      <c r="Z395" s="102">
        <v>76.25</v>
      </c>
      <c r="AA395" s="102">
        <v>76.25</v>
      </c>
      <c r="AB395" s="102">
        <v>76.25</v>
      </c>
      <c r="AC395" s="102">
        <v>76.25</v>
      </c>
      <c r="AD395" s="102">
        <v>76.25</v>
      </c>
      <c r="AE395" s="102">
        <v>76.25</v>
      </c>
      <c r="AF395" s="102">
        <v>76.25</v>
      </c>
    </row>
    <row r="396" spans="21:32">
      <c r="U396" s="94" t="s">
        <v>1165</v>
      </c>
      <c r="V396" s="94" t="s">
        <v>393</v>
      </c>
      <c r="W396" s="102">
        <v>74.62</v>
      </c>
      <c r="X396" s="102">
        <v>74.62</v>
      </c>
      <c r="Y396" s="102">
        <v>74.62</v>
      </c>
      <c r="Z396" s="102">
        <v>74.62</v>
      </c>
      <c r="AA396" s="102">
        <v>74.62</v>
      </c>
      <c r="AB396" s="102">
        <v>74.62</v>
      </c>
      <c r="AC396" s="102">
        <v>74.62</v>
      </c>
      <c r="AD396" s="102">
        <v>74.62</v>
      </c>
      <c r="AE396" s="102">
        <v>74.62</v>
      </c>
      <c r="AF396" s="102">
        <v>74.62</v>
      </c>
    </row>
    <row r="397" spans="21:32">
      <c r="U397" s="94" t="s">
        <v>1183</v>
      </c>
      <c r="V397" s="94" t="s">
        <v>393</v>
      </c>
      <c r="W397" s="102">
        <v>67.489999999999995</v>
      </c>
      <c r="X397" s="102">
        <v>67.489999999999995</v>
      </c>
      <c r="Y397" s="102">
        <v>67.489999999999995</v>
      </c>
      <c r="Z397" s="102">
        <v>67.489999999999995</v>
      </c>
      <c r="AA397" s="102">
        <v>67.489999999999995</v>
      </c>
      <c r="AB397" s="102">
        <v>67.489999999999995</v>
      </c>
      <c r="AC397" s="102">
        <v>67.489999999999995</v>
      </c>
      <c r="AD397" s="102">
        <v>67.489999999999995</v>
      </c>
      <c r="AE397" s="102">
        <v>67.489999999999995</v>
      </c>
      <c r="AF397" s="102">
        <v>67.489999999999995</v>
      </c>
    </row>
    <row r="398" spans="21:32">
      <c r="U398" s="94" t="s">
        <v>1126</v>
      </c>
      <c r="V398" s="94" t="s">
        <v>393</v>
      </c>
      <c r="W398" s="102">
        <v>82.54</v>
      </c>
      <c r="X398" s="102">
        <v>82.54</v>
      </c>
      <c r="Y398" s="102">
        <v>82.54</v>
      </c>
      <c r="Z398" s="102">
        <v>82.54</v>
      </c>
      <c r="AA398" s="102">
        <v>82.54</v>
      </c>
      <c r="AB398" s="102">
        <v>82.54</v>
      </c>
      <c r="AC398" s="102">
        <v>82.54</v>
      </c>
      <c r="AD398" s="102">
        <v>82.54</v>
      </c>
      <c r="AE398" s="102">
        <v>82.54</v>
      </c>
      <c r="AF398" s="102">
        <v>82.54</v>
      </c>
    </row>
    <row r="399" spans="21:32">
      <c r="U399" s="94" t="s">
        <v>1166</v>
      </c>
      <c r="V399" s="94" t="s">
        <v>393</v>
      </c>
      <c r="W399" s="102">
        <v>83.01</v>
      </c>
      <c r="X399" s="102">
        <v>83.01</v>
      </c>
      <c r="Y399" s="102">
        <v>83.01</v>
      </c>
      <c r="Z399" s="102">
        <v>83.01</v>
      </c>
      <c r="AA399" s="102">
        <v>83.01</v>
      </c>
      <c r="AB399" s="102">
        <v>83.01</v>
      </c>
      <c r="AC399" s="102">
        <v>83.01</v>
      </c>
      <c r="AD399" s="102">
        <v>83.01</v>
      </c>
      <c r="AE399" s="102">
        <v>83.01</v>
      </c>
      <c r="AF399" s="102">
        <v>83.01</v>
      </c>
    </row>
    <row r="400" spans="21:32">
      <c r="U400" s="94" t="s">
        <v>1167</v>
      </c>
      <c r="V400" s="94" t="s">
        <v>393</v>
      </c>
      <c r="W400" s="102">
        <v>82.99</v>
      </c>
      <c r="X400" s="102">
        <v>82.99</v>
      </c>
      <c r="Y400" s="102">
        <v>82.99</v>
      </c>
      <c r="Z400" s="102">
        <v>82.99</v>
      </c>
      <c r="AA400" s="102">
        <v>82.99</v>
      </c>
      <c r="AB400" s="102">
        <v>82.99</v>
      </c>
      <c r="AC400" s="102">
        <v>82.99</v>
      </c>
      <c r="AD400" s="102">
        <v>82.99</v>
      </c>
      <c r="AE400" s="102">
        <v>82.99</v>
      </c>
      <c r="AF400" s="102">
        <v>82.99</v>
      </c>
    </row>
    <row r="401" spans="21:32">
      <c r="U401" s="94" t="s">
        <v>1168</v>
      </c>
      <c r="V401" s="94" t="s">
        <v>393</v>
      </c>
      <c r="W401" s="102">
        <v>82.99</v>
      </c>
      <c r="X401" s="102">
        <v>82.99</v>
      </c>
      <c r="Y401" s="102">
        <v>82.99</v>
      </c>
      <c r="Z401" s="102">
        <v>82.99</v>
      </c>
      <c r="AA401" s="102">
        <v>82.99</v>
      </c>
      <c r="AB401" s="102">
        <v>82.99</v>
      </c>
      <c r="AC401" s="102">
        <v>82.99</v>
      </c>
      <c r="AD401" s="102">
        <v>82.99</v>
      </c>
      <c r="AE401" s="102">
        <v>82.99</v>
      </c>
      <c r="AF401" s="102">
        <v>82.99</v>
      </c>
    </row>
    <row r="402" spans="21:32">
      <c r="U402" s="94" t="s">
        <v>1169</v>
      </c>
      <c r="V402" s="94" t="s">
        <v>393</v>
      </c>
      <c r="W402" s="102">
        <v>78.569999999999993</v>
      </c>
      <c r="X402" s="102">
        <v>78.569999999999993</v>
      </c>
      <c r="Y402" s="102">
        <v>78.569999999999993</v>
      </c>
      <c r="Z402" s="102">
        <v>78.569999999999993</v>
      </c>
      <c r="AA402" s="102">
        <v>78.569999999999993</v>
      </c>
      <c r="AB402" s="102">
        <v>78.569999999999993</v>
      </c>
      <c r="AC402" s="102">
        <v>78.569999999999993</v>
      </c>
      <c r="AD402" s="102">
        <v>78.569999999999993</v>
      </c>
      <c r="AE402" s="102">
        <v>78.569999999999993</v>
      </c>
      <c r="AF402" s="102">
        <v>78.569999999999993</v>
      </c>
    </row>
    <row r="403" spans="21:32">
      <c r="U403" s="94" t="s">
        <v>733</v>
      </c>
      <c r="V403" s="94" t="s">
        <v>393</v>
      </c>
      <c r="W403" s="102">
        <v>95.17</v>
      </c>
      <c r="X403" s="102">
        <v>95.17</v>
      </c>
      <c r="Y403" s="102">
        <v>95.17</v>
      </c>
      <c r="Z403" s="102">
        <v>95.17</v>
      </c>
      <c r="AA403" s="102">
        <v>95.17</v>
      </c>
      <c r="AB403" s="102">
        <v>95.17</v>
      </c>
      <c r="AC403" s="102">
        <v>95.17</v>
      </c>
      <c r="AD403" s="102">
        <v>95.17</v>
      </c>
      <c r="AE403" s="102">
        <v>95.17</v>
      </c>
      <c r="AF403" s="102">
        <v>95.17</v>
      </c>
    </row>
    <row r="404" spans="21:32">
      <c r="U404" s="94" t="s">
        <v>1170</v>
      </c>
      <c r="V404" s="94" t="s">
        <v>393</v>
      </c>
      <c r="W404" s="102">
        <v>92.36</v>
      </c>
      <c r="X404" s="102">
        <v>92.36</v>
      </c>
      <c r="Y404" s="102">
        <v>92.36</v>
      </c>
      <c r="Z404" s="102">
        <v>92.36</v>
      </c>
      <c r="AA404" s="102">
        <v>92.36</v>
      </c>
      <c r="AB404" s="102">
        <v>92.36</v>
      </c>
      <c r="AC404" s="102">
        <v>92.36</v>
      </c>
      <c r="AD404" s="102">
        <v>92.36</v>
      </c>
      <c r="AE404" s="102">
        <v>92.36</v>
      </c>
      <c r="AF404" s="102">
        <v>92.36</v>
      </c>
    </row>
    <row r="405" spans="21:32">
      <c r="U405" s="94" t="s">
        <v>1171</v>
      </c>
      <c r="V405" s="94" t="s">
        <v>393</v>
      </c>
      <c r="W405" s="102">
        <v>89.47</v>
      </c>
      <c r="X405" s="102">
        <v>89.47</v>
      </c>
      <c r="Y405" s="102">
        <v>89.47</v>
      </c>
      <c r="Z405" s="102">
        <v>89.47</v>
      </c>
      <c r="AA405" s="102">
        <v>89.47</v>
      </c>
      <c r="AB405" s="102">
        <v>89.47</v>
      </c>
      <c r="AC405" s="102">
        <v>89.47</v>
      </c>
      <c r="AD405" s="102">
        <v>89.47</v>
      </c>
      <c r="AE405" s="102">
        <v>89.47</v>
      </c>
      <c r="AF405" s="102">
        <v>89.47</v>
      </c>
    </row>
    <row r="406" spans="21:32">
      <c r="U406" s="94" t="s">
        <v>1172</v>
      </c>
      <c r="V406" s="94" t="s">
        <v>393</v>
      </c>
      <c r="W406" s="102">
        <v>90.8</v>
      </c>
      <c r="X406" s="102">
        <v>90.8</v>
      </c>
      <c r="Y406" s="102">
        <v>90.8</v>
      </c>
      <c r="Z406" s="102">
        <v>90.8</v>
      </c>
      <c r="AA406" s="102">
        <v>90.8</v>
      </c>
      <c r="AB406" s="102">
        <v>90.8</v>
      </c>
      <c r="AC406" s="102">
        <v>90.8</v>
      </c>
      <c r="AD406" s="102">
        <v>90.8</v>
      </c>
      <c r="AE406" s="102">
        <v>90.8</v>
      </c>
      <c r="AF406" s="102">
        <v>90.8</v>
      </c>
    </row>
    <row r="407" spans="21:32">
      <c r="U407" s="94" t="s">
        <v>1173</v>
      </c>
      <c r="V407" s="94" t="s">
        <v>393</v>
      </c>
      <c r="W407" s="102">
        <v>105.85</v>
      </c>
      <c r="X407" s="102">
        <v>105.85</v>
      </c>
      <c r="Y407" s="102">
        <v>105.85</v>
      </c>
      <c r="Z407" s="102">
        <v>105.85</v>
      </c>
      <c r="AA407" s="102">
        <v>105.85</v>
      </c>
      <c r="AB407" s="102">
        <v>105.85</v>
      </c>
      <c r="AC407" s="102">
        <v>105.85</v>
      </c>
      <c r="AD407" s="102">
        <v>105.85</v>
      </c>
      <c r="AE407" s="102">
        <v>105.85</v>
      </c>
      <c r="AF407" s="102">
        <v>105.85</v>
      </c>
    </row>
    <row r="408" spans="21:32">
      <c r="U408" s="94" t="s">
        <v>734</v>
      </c>
      <c r="V408" s="94" t="s">
        <v>393</v>
      </c>
      <c r="W408" s="98"/>
      <c r="X408" s="98"/>
      <c r="Y408" s="98"/>
      <c r="Z408" s="98"/>
      <c r="AA408" s="98"/>
      <c r="AB408" s="98"/>
      <c r="AC408" s="98"/>
      <c r="AD408" s="98"/>
      <c r="AE408" s="98"/>
      <c r="AF408" s="98"/>
    </row>
    <row r="409" spans="21:32">
      <c r="U409" s="94" t="s">
        <v>1174</v>
      </c>
      <c r="V409" s="94" t="s">
        <v>393</v>
      </c>
      <c r="W409" s="98"/>
      <c r="X409" s="98"/>
      <c r="Y409" s="98"/>
      <c r="Z409" s="98"/>
      <c r="AA409" s="98"/>
      <c r="AB409" s="98"/>
      <c r="AC409" s="98"/>
      <c r="AD409" s="98"/>
      <c r="AE409" s="98"/>
      <c r="AF409" s="98"/>
    </row>
    <row r="410" spans="21:32">
      <c r="U410" s="94" t="s">
        <v>1175</v>
      </c>
      <c r="V410" s="94" t="s">
        <v>393</v>
      </c>
      <c r="W410" s="98"/>
      <c r="X410" s="98"/>
      <c r="Y410" s="98"/>
      <c r="Z410" s="98"/>
      <c r="AA410" s="98"/>
      <c r="AB410" s="98"/>
      <c r="AC410" s="98"/>
      <c r="AD410" s="98"/>
      <c r="AE410" s="98"/>
      <c r="AF410" s="98"/>
    </row>
    <row r="411" spans="21:32">
      <c r="U411" s="94" t="s">
        <v>1176</v>
      </c>
      <c r="V411" s="94" t="s">
        <v>393</v>
      </c>
      <c r="W411" s="98"/>
      <c r="X411" s="98"/>
      <c r="Y411" s="98"/>
      <c r="Z411" s="98"/>
      <c r="AA411" s="98"/>
      <c r="AB411" s="98"/>
      <c r="AC411" s="98"/>
      <c r="AD411" s="98"/>
      <c r="AE411" s="98"/>
      <c r="AF411" s="98"/>
    </row>
    <row r="412" spans="21:32">
      <c r="U412" s="94" t="s">
        <v>1177</v>
      </c>
      <c r="V412" s="94" t="s">
        <v>393</v>
      </c>
      <c r="W412" s="98"/>
      <c r="X412" s="98"/>
      <c r="Y412" s="98"/>
      <c r="Z412" s="98"/>
      <c r="AA412" s="98"/>
      <c r="AB412" s="98"/>
      <c r="AC412" s="98"/>
      <c r="AD412" s="98"/>
      <c r="AE412" s="98"/>
      <c r="AF412" s="98"/>
    </row>
    <row r="413" spans="21:32">
      <c r="U413" s="94" t="s">
        <v>1178</v>
      </c>
      <c r="V413" s="94" t="s">
        <v>393</v>
      </c>
      <c r="W413" s="98"/>
      <c r="X413" s="98"/>
      <c r="Y413" s="98"/>
      <c r="Z413" s="98"/>
      <c r="AA413" s="98"/>
      <c r="AB413" s="98"/>
      <c r="AC413" s="98"/>
      <c r="AD413" s="98"/>
      <c r="AE413" s="98"/>
      <c r="AF413" s="98"/>
    </row>
    <row r="414" spans="21:32">
      <c r="U414" s="94" t="s">
        <v>735</v>
      </c>
      <c r="V414" s="94" t="s">
        <v>393</v>
      </c>
      <c r="W414" s="98"/>
      <c r="X414" s="98"/>
      <c r="Y414" s="98"/>
      <c r="Z414" s="98"/>
      <c r="AA414" s="98"/>
      <c r="AB414" s="98"/>
      <c r="AC414" s="98"/>
      <c r="AD414" s="98"/>
      <c r="AE414" s="98"/>
      <c r="AF414" s="98"/>
    </row>
    <row r="415" spans="21:32">
      <c r="U415" s="94" t="s">
        <v>1179</v>
      </c>
      <c r="V415" s="94" t="s">
        <v>393</v>
      </c>
      <c r="W415" s="98"/>
      <c r="X415" s="98"/>
      <c r="Y415" s="98"/>
      <c r="Z415" s="98"/>
      <c r="AA415" s="98"/>
      <c r="AB415" s="98"/>
      <c r="AC415" s="98"/>
      <c r="AD415" s="98"/>
      <c r="AE415" s="98"/>
      <c r="AF415" s="98"/>
    </row>
    <row r="416" spans="21:32">
      <c r="U416" s="94" t="s">
        <v>1128</v>
      </c>
      <c r="V416" s="94" t="s">
        <v>393</v>
      </c>
      <c r="W416" s="98"/>
      <c r="X416" s="98"/>
      <c r="Y416" s="98"/>
      <c r="Z416" s="98"/>
      <c r="AA416" s="98"/>
      <c r="AB416" s="98"/>
      <c r="AC416" s="98"/>
      <c r="AD416" s="98"/>
      <c r="AE416" s="98"/>
      <c r="AF416" s="98"/>
    </row>
    <row r="417" spans="21:32">
      <c r="U417" s="94" t="s">
        <v>1181</v>
      </c>
      <c r="V417" s="94" t="s">
        <v>393</v>
      </c>
      <c r="W417" s="98"/>
      <c r="X417" s="98"/>
      <c r="Y417" s="98"/>
      <c r="Z417" s="98"/>
      <c r="AA417" s="98"/>
      <c r="AB417" s="98"/>
      <c r="AC417" s="98"/>
      <c r="AD417" s="98"/>
      <c r="AE417" s="98"/>
      <c r="AF417" s="98"/>
    </row>
    <row r="418" spans="21:32">
      <c r="U418" s="94" t="s">
        <v>1182</v>
      </c>
      <c r="V418" s="94" t="s">
        <v>393</v>
      </c>
      <c r="W418" s="98"/>
      <c r="X418" s="98"/>
      <c r="Y418" s="98"/>
      <c r="Z418" s="98"/>
      <c r="AA418" s="98"/>
      <c r="AB418" s="98"/>
      <c r="AC418" s="98"/>
      <c r="AD418" s="98"/>
      <c r="AE418" s="98"/>
      <c r="AF418" s="98"/>
    </row>
    <row r="419" spans="21:32" ht="15.6">
      <c r="U419" s="93"/>
      <c r="V419" s="93"/>
      <c r="W419" s="89" t="s">
        <v>1131</v>
      </c>
      <c r="X419" s="89" t="s">
        <v>1132</v>
      </c>
      <c r="Y419" s="89" t="s">
        <v>1134</v>
      </c>
      <c r="Z419" s="89" t="s">
        <v>1138</v>
      </c>
      <c r="AA419" s="89" t="s">
        <v>1141</v>
      </c>
      <c r="AB419" s="89" t="s">
        <v>1163</v>
      </c>
      <c r="AC419" s="89" t="s">
        <v>1140</v>
      </c>
      <c r="AD419" s="89" t="s">
        <v>1142</v>
      </c>
      <c r="AE419" s="89" t="s">
        <v>1143</v>
      </c>
      <c r="AF419" s="89" t="s">
        <v>1102</v>
      </c>
    </row>
    <row r="420" spans="21:32">
      <c r="U420" s="94" t="s">
        <v>138</v>
      </c>
      <c r="V420" s="94" t="s">
        <v>1120</v>
      </c>
      <c r="W420" s="91">
        <v>42.52</v>
      </c>
      <c r="X420" s="91">
        <v>41.51</v>
      </c>
      <c r="Y420" s="91">
        <v>40.69</v>
      </c>
      <c r="Z420" s="91">
        <v>40.130000000000003</v>
      </c>
      <c r="AA420" s="91">
        <v>40.11</v>
      </c>
      <c r="AB420" s="91">
        <v>39.729999999999997</v>
      </c>
      <c r="AC420" s="91">
        <v>39.71</v>
      </c>
      <c r="AD420" s="91">
        <v>39.43</v>
      </c>
      <c r="AE420" s="91">
        <v>39.090000000000003</v>
      </c>
      <c r="AF420" s="91">
        <v>47.14</v>
      </c>
    </row>
    <row r="421" spans="21:32">
      <c r="U421" s="94" t="s">
        <v>139</v>
      </c>
      <c r="V421" s="94" t="s">
        <v>1120</v>
      </c>
      <c r="W421" s="91">
        <v>42.24</v>
      </c>
      <c r="X421" s="91">
        <v>41.34</v>
      </c>
      <c r="Y421" s="91">
        <v>40.6</v>
      </c>
      <c r="Z421" s="91">
        <v>40.049999999999997</v>
      </c>
      <c r="AA421" s="91">
        <v>40.03</v>
      </c>
      <c r="AB421" s="91">
        <v>39.67</v>
      </c>
      <c r="AC421" s="91">
        <v>39.61</v>
      </c>
      <c r="AD421" s="91">
        <v>39.369999999999997</v>
      </c>
      <c r="AE421" s="91">
        <v>39.06</v>
      </c>
      <c r="AF421" s="91">
        <v>46.63</v>
      </c>
    </row>
    <row r="422" spans="21:32">
      <c r="U422" s="94" t="s">
        <v>1164</v>
      </c>
      <c r="V422" s="94" t="s">
        <v>1120</v>
      </c>
      <c r="W422" s="92"/>
      <c r="X422" s="92"/>
      <c r="Y422" s="92"/>
      <c r="Z422" s="92"/>
      <c r="AA422" s="92"/>
      <c r="AB422" s="92"/>
      <c r="AC422" s="92"/>
      <c r="AD422" s="92"/>
      <c r="AE422" s="92"/>
      <c r="AF422" s="92"/>
    </row>
    <row r="423" spans="21:32">
      <c r="U423" s="94" t="s">
        <v>142</v>
      </c>
      <c r="V423" s="94" t="s">
        <v>1120</v>
      </c>
      <c r="W423" s="91">
        <v>66.97</v>
      </c>
      <c r="X423" s="91">
        <v>66.069999999999993</v>
      </c>
      <c r="Y423" s="91">
        <v>65.31</v>
      </c>
      <c r="Z423" s="91">
        <v>67.78</v>
      </c>
      <c r="AA423" s="91">
        <v>67.760000000000005</v>
      </c>
      <c r="AB423" s="91">
        <v>70.489999999999995</v>
      </c>
      <c r="AC423" s="91">
        <v>70.47</v>
      </c>
      <c r="AD423" s="91">
        <v>70.03</v>
      </c>
      <c r="AE423" s="91">
        <v>69.81</v>
      </c>
      <c r="AF423" s="91">
        <v>69.52</v>
      </c>
    </row>
    <row r="424" spans="21:32">
      <c r="U424" s="94" t="s">
        <v>1165</v>
      </c>
      <c r="V424" s="94" t="s">
        <v>1120</v>
      </c>
      <c r="W424" s="91">
        <v>75.319999999999993</v>
      </c>
      <c r="X424" s="91">
        <v>74.38</v>
      </c>
      <c r="Y424" s="91">
        <v>73.58</v>
      </c>
      <c r="Z424" s="91">
        <v>76.16</v>
      </c>
      <c r="AA424" s="91">
        <v>76.150000000000006</v>
      </c>
      <c r="AB424" s="91">
        <v>79.010000000000005</v>
      </c>
      <c r="AC424" s="91">
        <v>79</v>
      </c>
      <c r="AD424" s="91">
        <v>78.540000000000006</v>
      </c>
      <c r="AE424" s="91">
        <v>78.3</v>
      </c>
      <c r="AF424" s="91">
        <v>78</v>
      </c>
    </row>
    <row r="425" spans="21:32">
      <c r="U425" s="94" t="s">
        <v>1183</v>
      </c>
      <c r="V425" s="94" t="s">
        <v>1120</v>
      </c>
      <c r="W425" s="92"/>
      <c r="X425" s="92"/>
      <c r="Y425" s="92"/>
      <c r="Z425" s="92"/>
      <c r="AA425" s="92"/>
      <c r="AB425" s="92"/>
      <c r="AC425" s="92"/>
      <c r="AD425" s="92"/>
      <c r="AE425" s="92"/>
      <c r="AF425" s="92"/>
    </row>
    <row r="426" spans="21:32">
      <c r="U426" s="94" t="s">
        <v>1126</v>
      </c>
      <c r="V426" s="94" t="s">
        <v>1120</v>
      </c>
      <c r="W426" s="91">
        <v>76.849999999999994</v>
      </c>
      <c r="X426" s="91">
        <v>76.010000000000005</v>
      </c>
      <c r="Y426" s="91">
        <v>75.28</v>
      </c>
      <c r="Z426" s="91">
        <v>77.95</v>
      </c>
      <c r="AA426" s="91">
        <v>77.92</v>
      </c>
      <c r="AB426" s="91">
        <v>80.83</v>
      </c>
      <c r="AC426" s="91">
        <v>80.8</v>
      </c>
      <c r="AD426" s="91">
        <v>80.349999999999994</v>
      </c>
      <c r="AE426" s="91">
        <v>80.069999999999993</v>
      </c>
      <c r="AF426" s="91">
        <v>79.78</v>
      </c>
    </row>
    <row r="427" spans="21:32">
      <c r="U427" s="94" t="s">
        <v>1166</v>
      </c>
      <c r="V427" s="94" t="s">
        <v>1120</v>
      </c>
      <c r="W427" s="91">
        <v>85.69</v>
      </c>
      <c r="X427" s="91">
        <v>84.81</v>
      </c>
      <c r="Y427" s="91">
        <v>84.04</v>
      </c>
      <c r="Z427" s="91">
        <v>86.84</v>
      </c>
      <c r="AA427" s="91">
        <v>86.82</v>
      </c>
      <c r="AB427" s="91">
        <v>89.87</v>
      </c>
      <c r="AC427" s="91">
        <v>89.84</v>
      </c>
      <c r="AD427" s="91">
        <v>89.37</v>
      </c>
      <c r="AE427" s="91">
        <v>89.08</v>
      </c>
      <c r="AF427" s="91">
        <v>88.77</v>
      </c>
    </row>
    <row r="428" spans="21:32">
      <c r="U428" s="94" t="s">
        <v>1167</v>
      </c>
      <c r="V428" s="94" t="s">
        <v>1120</v>
      </c>
      <c r="W428" s="91">
        <v>94.97</v>
      </c>
      <c r="X428" s="91">
        <v>94.05</v>
      </c>
      <c r="Y428" s="91">
        <v>93.24</v>
      </c>
      <c r="Z428" s="91">
        <v>96.19</v>
      </c>
      <c r="AA428" s="91">
        <v>96.16</v>
      </c>
      <c r="AB428" s="91">
        <v>99.36</v>
      </c>
      <c r="AC428" s="91">
        <v>99.33</v>
      </c>
      <c r="AD428" s="91">
        <v>98.83</v>
      </c>
      <c r="AE428" s="91">
        <v>98.53</v>
      </c>
      <c r="AF428" s="91">
        <v>98.21</v>
      </c>
    </row>
    <row r="429" spans="21:32">
      <c r="U429" s="94" t="s">
        <v>1168</v>
      </c>
      <c r="V429" s="94" t="s">
        <v>1120</v>
      </c>
      <c r="W429" s="91">
        <v>104.72</v>
      </c>
      <c r="X429" s="91">
        <v>103.75</v>
      </c>
      <c r="Y429" s="91">
        <v>102.9</v>
      </c>
      <c r="Z429" s="91">
        <v>106</v>
      </c>
      <c r="AA429" s="91">
        <v>105.97</v>
      </c>
      <c r="AB429" s="91">
        <v>109.33</v>
      </c>
      <c r="AC429" s="91">
        <v>109.3</v>
      </c>
      <c r="AD429" s="91">
        <v>108.78</v>
      </c>
      <c r="AE429" s="91">
        <v>108.46</v>
      </c>
      <c r="AF429" s="91">
        <v>108.12</v>
      </c>
    </row>
    <row r="430" spans="21:32">
      <c r="U430" s="94" t="s">
        <v>1169</v>
      </c>
      <c r="V430" s="94" t="s">
        <v>1120</v>
      </c>
      <c r="W430" s="92"/>
      <c r="X430" s="92"/>
      <c r="Y430" s="92"/>
      <c r="Z430" s="92"/>
      <c r="AA430" s="92"/>
      <c r="AB430" s="92"/>
      <c r="AC430" s="92"/>
      <c r="AD430" s="92"/>
      <c r="AE430" s="92"/>
      <c r="AF430" s="92"/>
    </row>
    <row r="431" spans="21:32">
      <c r="U431" s="94" t="s">
        <v>733</v>
      </c>
      <c r="V431" s="94" t="s">
        <v>1120</v>
      </c>
      <c r="W431" s="91">
        <v>72.040000000000006</v>
      </c>
      <c r="X431" s="91">
        <v>71.489999999999995</v>
      </c>
      <c r="Y431" s="91">
        <v>71.010000000000005</v>
      </c>
      <c r="Z431" s="91">
        <v>73.88</v>
      </c>
      <c r="AA431" s="91">
        <v>73.86</v>
      </c>
      <c r="AB431" s="91">
        <v>76.94</v>
      </c>
      <c r="AC431" s="91">
        <v>76.92</v>
      </c>
      <c r="AD431" s="91">
        <v>76.709999999999994</v>
      </c>
      <c r="AE431" s="91">
        <v>76.48</v>
      </c>
      <c r="AF431" s="91">
        <v>76.28</v>
      </c>
    </row>
    <row r="432" spans="21:32">
      <c r="U432" s="94" t="s">
        <v>1170</v>
      </c>
      <c r="V432" s="94" t="s">
        <v>1120</v>
      </c>
      <c r="W432" s="92"/>
      <c r="X432" s="92"/>
      <c r="Y432" s="92"/>
      <c r="Z432" s="92"/>
      <c r="AA432" s="92"/>
      <c r="AB432" s="92"/>
      <c r="AC432" s="92"/>
      <c r="AD432" s="92"/>
      <c r="AE432" s="92"/>
      <c r="AF432" s="92"/>
    </row>
    <row r="433" spans="21:32">
      <c r="U433" s="94" t="s">
        <v>1171</v>
      </c>
      <c r="V433" s="94" t="s">
        <v>1120</v>
      </c>
      <c r="W433" s="92"/>
      <c r="X433" s="92"/>
      <c r="Y433" s="92"/>
      <c r="Z433" s="92"/>
      <c r="AA433" s="92"/>
      <c r="AB433" s="92"/>
      <c r="AC433" s="92"/>
      <c r="AD433" s="92"/>
      <c r="AE433" s="92"/>
      <c r="AF433" s="92"/>
    </row>
    <row r="434" spans="21:32">
      <c r="U434" s="94" t="s">
        <v>1172</v>
      </c>
      <c r="V434" s="94" t="s">
        <v>1120</v>
      </c>
      <c r="W434" s="92"/>
      <c r="X434" s="92"/>
      <c r="Y434" s="92"/>
      <c r="Z434" s="92"/>
      <c r="AA434" s="92"/>
      <c r="AB434" s="92"/>
      <c r="AC434" s="92"/>
      <c r="AD434" s="92"/>
      <c r="AE434" s="92"/>
      <c r="AF434" s="92"/>
    </row>
    <row r="435" spans="21:32">
      <c r="U435" s="94" t="s">
        <v>1173</v>
      </c>
      <c r="V435" s="94" t="s">
        <v>1120</v>
      </c>
      <c r="W435" s="92"/>
      <c r="X435" s="92"/>
      <c r="Y435" s="92"/>
      <c r="Z435" s="92"/>
      <c r="AA435" s="92"/>
      <c r="AB435" s="92"/>
      <c r="AC435" s="92"/>
      <c r="AD435" s="92"/>
      <c r="AE435" s="92"/>
      <c r="AF435" s="92"/>
    </row>
    <row r="436" spans="21:32">
      <c r="U436" s="94" t="s">
        <v>734</v>
      </c>
      <c r="V436" s="94" t="s">
        <v>1120</v>
      </c>
      <c r="W436" s="91">
        <v>77.41</v>
      </c>
      <c r="X436" s="91">
        <v>78.209999999999994</v>
      </c>
      <c r="Y436" s="91">
        <v>79.25</v>
      </c>
      <c r="Z436" s="91">
        <v>82.29</v>
      </c>
      <c r="AA436" s="91">
        <v>82.33</v>
      </c>
      <c r="AB436" s="91">
        <v>85.48</v>
      </c>
      <c r="AC436" s="91">
        <v>85.51</v>
      </c>
      <c r="AD436" s="91">
        <v>85.92</v>
      </c>
      <c r="AE436" s="91">
        <v>85.93</v>
      </c>
      <c r="AF436" s="91">
        <v>86</v>
      </c>
    </row>
    <row r="437" spans="21:32">
      <c r="U437" s="94" t="s">
        <v>1174</v>
      </c>
      <c r="V437" s="94" t="s">
        <v>1120</v>
      </c>
      <c r="W437" s="92"/>
      <c r="X437" s="92"/>
      <c r="Y437" s="92"/>
      <c r="Z437" s="92"/>
      <c r="AA437" s="92"/>
      <c r="AB437" s="92"/>
      <c r="AC437" s="92"/>
      <c r="AD437" s="92"/>
      <c r="AE437" s="92"/>
      <c r="AF437" s="92"/>
    </row>
    <row r="438" spans="21:32">
      <c r="U438" s="94" t="s">
        <v>1175</v>
      </c>
      <c r="V438" s="94" t="s">
        <v>1120</v>
      </c>
      <c r="W438" s="92"/>
      <c r="X438" s="92"/>
      <c r="Y438" s="92"/>
      <c r="Z438" s="92"/>
      <c r="AA438" s="92"/>
      <c r="AB438" s="92"/>
      <c r="AC438" s="92"/>
      <c r="AD438" s="92"/>
      <c r="AE438" s="92"/>
      <c r="AF438" s="92"/>
    </row>
    <row r="439" spans="21:32">
      <c r="U439" s="94" t="s">
        <v>1176</v>
      </c>
      <c r="V439" s="94" t="s">
        <v>1120</v>
      </c>
      <c r="W439" s="92"/>
      <c r="X439" s="92"/>
      <c r="Y439" s="92"/>
      <c r="Z439" s="92"/>
      <c r="AA439" s="92"/>
      <c r="AB439" s="92"/>
      <c r="AC439" s="92"/>
      <c r="AD439" s="92"/>
      <c r="AE439" s="92"/>
      <c r="AF439" s="92"/>
    </row>
    <row r="440" spans="21:32">
      <c r="U440" s="94" t="s">
        <v>1177</v>
      </c>
      <c r="V440" s="94" t="s">
        <v>1120</v>
      </c>
      <c r="W440" s="92"/>
      <c r="X440" s="92"/>
      <c r="Y440" s="92"/>
      <c r="Z440" s="92"/>
      <c r="AA440" s="92"/>
      <c r="AB440" s="92"/>
      <c r="AC440" s="92"/>
      <c r="AD440" s="92"/>
      <c r="AE440" s="92"/>
      <c r="AF440" s="92"/>
    </row>
    <row r="441" spans="21:32">
      <c r="U441" s="94" t="s">
        <v>1178</v>
      </c>
      <c r="V441" s="94" t="s">
        <v>1120</v>
      </c>
      <c r="W441" s="92"/>
      <c r="X441" s="92"/>
      <c r="Y441" s="92"/>
      <c r="Z441" s="92"/>
      <c r="AA441" s="92"/>
      <c r="AB441" s="92"/>
      <c r="AC441" s="92"/>
      <c r="AD441" s="92"/>
      <c r="AE441" s="92"/>
      <c r="AF441" s="92"/>
    </row>
    <row r="442" spans="21:32">
      <c r="U442" s="94" t="s">
        <v>735</v>
      </c>
      <c r="V442" s="94" t="s">
        <v>1120</v>
      </c>
      <c r="W442" s="92"/>
      <c r="X442" s="92"/>
      <c r="Y442" s="92"/>
      <c r="Z442" s="92"/>
      <c r="AA442" s="92"/>
      <c r="AB442" s="92"/>
      <c r="AC442" s="92"/>
      <c r="AD442" s="92"/>
      <c r="AE442" s="92"/>
      <c r="AF442" s="92"/>
    </row>
    <row r="443" spans="21:32">
      <c r="U443" s="94" t="s">
        <v>1179</v>
      </c>
      <c r="V443" s="94" t="s">
        <v>1120</v>
      </c>
      <c r="W443" s="92"/>
      <c r="X443" s="92"/>
      <c r="Y443" s="92"/>
      <c r="Z443" s="92"/>
      <c r="AA443" s="92"/>
      <c r="AB443" s="92"/>
      <c r="AC443" s="92"/>
      <c r="AD443" s="92"/>
      <c r="AE443" s="92"/>
      <c r="AF443" s="92"/>
    </row>
    <row r="444" spans="21:32">
      <c r="U444" s="94" t="s">
        <v>1128</v>
      </c>
      <c r="V444" s="94" t="s">
        <v>1120</v>
      </c>
      <c r="W444" s="92"/>
      <c r="X444" s="92"/>
      <c r="Y444" s="92"/>
      <c r="Z444" s="92"/>
      <c r="AA444" s="92"/>
      <c r="AB444" s="92"/>
      <c r="AC444" s="92"/>
      <c r="AD444" s="92"/>
      <c r="AE444" s="92"/>
      <c r="AF444" s="92"/>
    </row>
    <row r="445" spans="21:32">
      <c r="U445" s="94" t="s">
        <v>1181</v>
      </c>
      <c r="V445" s="94" t="s">
        <v>1120</v>
      </c>
      <c r="W445" s="92"/>
      <c r="X445" s="92"/>
      <c r="Y445" s="92"/>
      <c r="Z445" s="92"/>
      <c r="AA445" s="92"/>
      <c r="AB445" s="92"/>
      <c r="AC445" s="92"/>
      <c r="AD445" s="92"/>
      <c r="AE445" s="92"/>
      <c r="AF445" s="92"/>
    </row>
    <row r="446" spans="21:32">
      <c r="U446" s="99" t="s">
        <v>1182</v>
      </c>
      <c r="V446" s="99" t="s">
        <v>1120</v>
      </c>
      <c r="W446" s="92"/>
      <c r="X446" s="92"/>
      <c r="Y446" s="92"/>
      <c r="Z446" s="92"/>
      <c r="AA446" s="92"/>
      <c r="AB446" s="92"/>
      <c r="AC446" s="92"/>
      <c r="AD446" s="92"/>
      <c r="AE446" s="92"/>
      <c r="AF446" s="92"/>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גיליון18"/>
  <dimension ref="A1:V163"/>
  <sheetViews>
    <sheetView rightToLeft="1" topLeftCell="A140" workbookViewId="0">
      <selection activeCell="D152" sqref="D152:D163"/>
    </sheetView>
  </sheetViews>
  <sheetFormatPr defaultRowHeight="14.4"/>
  <cols>
    <col min="1" max="1" width="6.33203125" bestFit="1" customWidth="1"/>
    <col min="2" max="2" width="4" bestFit="1" customWidth="1"/>
    <col min="3" max="3" width="10.6640625" customWidth="1"/>
    <col min="4" max="4" width="11.6640625" bestFit="1" customWidth="1"/>
    <col min="16" max="16" width="11.33203125" bestFit="1" customWidth="1"/>
    <col min="20" max="20" width="10.77734375" bestFit="1" customWidth="1"/>
    <col min="21" max="21" width="12" bestFit="1" customWidth="1"/>
    <col min="22" max="22" width="12.44140625" bestFit="1" customWidth="1"/>
  </cols>
  <sheetData>
    <row r="1" spans="1:22" ht="15" thickTop="1">
      <c r="A1" t="s">
        <v>720</v>
      </c>
      <c r="C1" t="s">
        <v>102</v>
      </c>
      <c r="D1" t="s">
        <v>721</v>
      </c>
      <c r="F1" t="s">
        <v>182</v>
      </c>
      <c r="G1" t="s">
        <v>722</v>
      </c>
      <c r="H1" t="s">
        <v>723</v>
      </c>
      <c r="K1" t="s">
        <v>185</v>
      </c>
      <c r="L1" t="s">
        <v>112</v>
      </c>
      <c r="M1" t="s">
        <v>104</v>
      </c>
      <c r="N1" t="s">
        <v>107</v>
      </c>
      <c r="P1" s="278"/>
      <c r="Q1" s="279"/>
      <c r="R1" s="279"/>
      <c r="S1" s="279"/>
      <c r="T1" s="279" t="s">
        <v>1208</v>
      </c>
      <c r="U1" s="279"/>
      <c r="V1" s="280">
        <f>+SACHAR!Y11</f>
        <v>2344.71</v>
      </c>
    </row>
    <row r="2" spans="1:22">
      <c r="C2">
        <v>1</v>
      </c>
      <c r="D2">
        <v>2</v>
      </c>
      <c r="E2">
        <v>3</v>
      </c>
      <c r="F2">
        <v>4</v>
      </c>
      <c r="G2">
        <v>5</v>
      </c>
      <c r="H2">
        <v>6</v>
      </c>
      <c r="I2">
        <v>7</v>
      </c>
      <c r="J2">
        <v>8</v>
      </c>
      <c r="K2">
        <v>9</v>
      </c>
      <c r="L2">
        <v>10</v>
      </c>
      <c r="M2">
        <v>11</v>
      </c>
      <c r="N2">
        <v>12</v>
      </c>
      <c r="P2" s="281" t="s">
        <v>1210</v>
      </c>
      <c r="Q2" s="19">
        <f>+'Netunei Gimlai'!B12</f>
        <v>0</v>
      </c>
      <c r="R2" s="19">
        <f>+Q2</f>
        <v>0</v>
      </c>
      <c r="S2" s="19"/>
      <c r="T2" s="19" t="s">
        <v>54</v>
      </c>
      <c r="U2" s="19">
        <f>+SACHAR!K11</f>
        <v>1</v>
      </c>
      <c r="V2" s="282"/>
    </row>
    <row r="3" spans="1:22">
      <c r="A3" s="8">
        <v>0</v>
      </c>
      <c r="B3" s="15">
        <v>1</v>
      </c>
      <c r="C3" s="214">
        <v>1</v>
      </c>
      <c r="D3" s="14">
        <f>+C3</f>
        <v>1</v>
      </c>
      <c r="F3" s="14">
        <v>1</v>
      </c>
      <c r="G3" s="14">
        <v>1</v>
      </c>
      <c r="H3" s="14">
        <v>1</v>
      </c>
      <c r="I3" s="14">
        <v>1</v>
      </c>
      <c r="J3" s="14">
        <v>1</v>
      </c>
      <c r="K3" s="14">
        <v>1</v>
      </c>
      <c r="L3" s="14">
        <v>1</v>
      </c>
      <c r="M3" s="14">
        <v>1</v>
      </c>
      <c r="N3" s="14">
        <v>1</v>
      </c>
      <c r="P3" s="281" t="s">
        <v>1211</v>
      </c>
      <c r="Q3" s="19">
        <f>+'Netunei Gimlai'!B13</f>
        <v>22.75</v>
      </c>
      <c r="R3" s="19">
        <f>+Q3</f>
        <v>22.75</v>
      </c>
      <c r="S3" s="19"/>
      <c r="T3" s="19"/>
      <c r="U3" s="19"/>
      <c r="V3" s="282"/>
    </row>
    <row r="4" spans="1:22">
      <c r="A4" s="8">
        <v>0.25</v>
      </c>
      <c r="B4" s="15">
        <v>2</v>
      </c>
      <c r="C4" s="214">
        <f t="shared" ref="C4:D6" si="0">+C3*1.0025</f>
        <v>1.0024999999999999</v>
      </c>
      <c r="D4" s="14">
        <f t="shared" si="0"/>
        <v>1.0024999999999999</v>
      </c>
      <c r="F4" s="14">
        <f t="shared" ref="F4:G6" si="1">+F3*1.0025</f>
        <v>1.0024999999999999</v>
      </c>
      <c r="G4" s="14">
        <f t="shared" si="1"/>
        <v>1.0024999999999999</v>
      </c>
      <c r="H4" s="14">
        <f t="shared" ref="H4:I6" si="2">+H3*1.0025</f>
        <v>1.0024999999999999</v>
      </c>
      <c r="I4" s="14">
        <f t="shared" si="2"/>
        <v>1.0024999999999999</v>
      </c>
      <c r="J4" s="14">
        <f t="shared" ref="J4:M6" si="3">+J3*1.0025</f>
        <v>1.0024999999999999</v>
      </c>
      <c r="K4" s="14">
        <f t="shared" si="3"/>
        <v>1.0024999999999999</v>
      </c>
      <c r="L4" s="14">
        <f t="shared" si="3"/>
        <v>1.0024999999999999</v>
      </c>
      <c r="M4" s="14">
        <f t="shared" si="3"/>
        <v>1.0024999999999999</v>
      </c>
      <c r="N4" s="14">
        <f>+N3*1.0025</f>
        <v>1.0024999999999999</v>
      </c>
      <c r="P4" s="281" t="s">
        <v>1212</v>
      </c>
      <c r="Q4" s="19">
        <f>+'Netunei Gimlai'!B14</f>
        <v>0</v>
      </c>
      <c r="R4" s="283">
        <f>+Q4*50%</f>
        <v>0</v>
      </c>
      <c r="S4" s="19"/>
      <c r="T4" s="19"/>
      <c r="U4" s="19"/>
      <c r="V4" s="282"/>
    </row>
    <row r="5" spans="1:22">
      <c r="A5" s="8">
        <v>0.5</v>
      </c>
      <c r="B5" s="15">
        <v>3</v>
      </c>
      <c r="C5" s="214">
        <f t="shared" si="0"/>
        <v>1.0050062499999999</v>
      </c>
      <c r="D5" s="14">
        <f t="shared" si="0"/>
        <v>1.0050062499999999</v>
      </c>
      <c r="F5" s="14">
        <f t="shared" si="1"/>
        <v>1.0050062499999999</v>
      </c>
      <c r="G5" s="14">
        <f t="shared" si="1"/>
        <v>1.0050062499999999</v>
      </c>
      <c r="H5" s="14">
        <f t="shared" si="2"/>
        <v>1.0050062499999999</v>
      </c>
      <c r="I5" s="14">
        <f t="shared" si="2"/>
        <v>1.0050062499999999</v>
      </c>
      <c r="J5" s="14">
        <f t="shared" si="3"/>
        <v>1.0050062499999999</v>
      </c>
      <c r="K5" s="14">
        <f t="shared" si="3"/>
        <v>1.0050062499999999</v>
      </c>
      <c r="L5" s="14">
        <f t="shared" si="3"/>
        <v>1.0050062499999999</v>
      </c>
      <c r="M5" s="14">
        <f t="shared" si="3"/>
        <v>1.0050062499999999</v>
      </c>
      <c r="N5" s="14">
        <f>+N4*1.0025</f>
        <v>1.0050062499999999</v>
      </c>
      <c r="P5" s="281">
        <v>37.119999999999997</v>
      </c>
      <c r="Q5" s="19"/>
      <c r="R5" s="19">
        <f>SUM(R2:R4)</f>
        <v>22.75</v>
      </c>
      <c r="S5" s="19"/>
      <c r="T5" s="19"/>
      <c r="U5" s="19"/>
      <c r="V5" s="282"/>
    </row>
    <row r="6" spans="1:22">
      <c r="A6" s="8">
        <v>0.75</v>
      </c>
      <c r="B6" s="15">
        <v>4</v>
      </c>
      <c r="C6" s="214">
        <f t="shared" si="0"/>
        <v>1.0075187656249998</v>
      </c>
      <c r="D6" s="14">
        <f t="shared" si="0"/>
        <v>1.0075187656249998</v>
      </c>
      <c r="F6" s="14">
        <f t="shared" si="1"/>
        <v>1.0075187656249998</v>
      </c>
      <c r="G6" s="14">
        <f t="shared" si="1"/>
        <v>1.0075187656249998</v>
      </c>
      <c r="H6" s="14">
        <f t="shared" si="2"/>
        <v>1.0075187656249998</v>
      </c>
      <c r="I6" s="14">
        <f t="shared" si="2"/>
        <v>1.0075187656249998</v>
      </c>
      <c r="J6" s="14">
        <f t="shared" si="3"/>
        <v>1.0075187656249998</v>
      </c>
      <c r="K6" s="14">
        <f t="shared" si="3"/>
        <v>1.0075187656249998</v>
      </c>
      <c r="L6" s="14">
        <f t="shared" si="3"/>
        <v>1.0075187656249998</v>
      </c>
      <c r="M6" s="14">
        <f t="shared" si="3"/>
        <v>1.0075187656249998</v>
      </c>
      <c r="N6" s="14">
        <f>+N5*1.0025</f>
        <v>1.0075187656249998</v>
      </c>
      <c r="P6" s="281"/>
      <c r="Q6" s="19"/>
      <c r="R6" s="19"/>
      <c r="S6" s="19" t="s">
        <v>60</v>
      </c>
      <c r="T6" s="19" t="s">
        <v>61</v>
      </c>
      <c r="U6" s="19" t="s">
        <v>1213</v>
      </c>
      <c r="V6" s="282" t="s">
        <v>1214</v>
      </c>
    </row>
    <row r="7" spans="1:22">
      <c r="A7" s="8">
        <v>1</v>
      </c>
      <c r="B7" s="15">
        <v>5</v>
      </c>
      <c r="C7" s="214">
        <f t="shared" ref="C7:M7" si="4">+C3*1.01</f>
        <v>1.01</v>
      </c>
      <c r="D7" s="14">
        <f t="shared" si="4"/>
        <v>1.01</v>
      </c>
      <c r="F7" s="14">
        <f t="shared" si="4"/>
        <v>1.01</v>
      </c>
      <c r="G7" s="14">
        <f t="shared" si="4"/>
        <v>1.01</v>
      </c>
      <c r="H7" s="14">
        <f t="shared" si="4"/>
        <v>1.01</v>
      </c>
      <c r="I7" s="14">
        <f t="shared" si="4"/>
        <v>1.01</v>
      </c>
      <c r="J7" s="14">
        <f t="shared" si="4"/>
        <v>1.01</v>
      </c>
      <c r="K7" s="14">
        <f t="shared" si="4"/>
        <v>1.01</v>
      </c>
      <c r="L7" s="14">
        <f t="shared" si="4"/>
        <v>1.01</v>
      </c>
      <c r="M7" s="14">
        <f t="shared" si="4"/>
        <v>1.01</v>
      </c>
      <c r="N7" s="14">
        <f>+N3*1.01</f>
        <v>1.01</v>
      </c>
      <c r="P7" s="281" t="s">
        <v>1217</v>
      </c>
      <c r="Q7" s="19"/>
      <c r="R7" s="19">
        <f>ROUNDDOWN(R5,0)</f>
        <v>22</v>
      </c>
      <c r="S7" s="19">
        <f>VLOOKUP(R7,$A$3:$B$163,2,0)</f>
        <v>89</v>
      </c>
      <c r="T7" s="396" cm="1">
        <f t="array" ref="T7">INDEX($C$3:$N$163,S7,U2)</f>
        <v>1.2447158597509214</v>
      </c>
      <c r="U7" s="19"/>
      <c r="V7" s="282"/>
    </row>
    <row r="8" spans="1:22">
      <c r="A8" s="8">
        <v>1.25</v>
      </c>
      <c r="B8" s="15">
        <v>6</v>
      </c>
      <c r="C8" s="214">
        <f t="shared" ref="C8:M8" si="5">+(C7*75%)+(C11*25%)</f>
        <v>1.0125250000000001</v>
      </c>
      <c r="D8" s="14">
        <f t="shared" si="5"/>
        <v>1.0125250000000001</v>
      </c>
      <c r="F8" s="14">
        <f t="shared" si="5"/>
        <v>1.0125250000000001</v>
      </c>
      <c r="G8" s="14">
        <f t="shared" si="5"/>
        <v>1.0125250000000001</v>
      </c>
      <c r="H8" s="14">
        <f t="shared" si="5"/>
        <v>1.0125250000000001</v>
      </c>
      <c r="I8" s="14">
        <f t="shared" si="5"/>
        <v>1.0125250000000001</v>
      </c>
      <c r="J8" s="14">
        <f t="shared" si="5"/>
        <v>1.0125250000000001</v>
      </c>
      <c r="K8" s="14">
        <f t="shared" si="5"/>
        <v>1.0125250000000001</v>
      </c>
      <c r="L8" s="14">
        <f t="shared" si="5"/>
        <v>1.0125250000000001</v>
      </c>
      <c r="M8" s="14">
        <f t="shared" si="5"/>
        <v>1.0125250000000001</v>
      </c>
      <c r="N8" s="14">
        <f>+(N7*75%)+(N11*25%)</f>
        <v>1.0125250000000001</v>
      </c>
      <c r="P8" s="281" t="s">
        <v>1218</v>
      </c>
      <c r="Q8" s="19"/>
      <c r="R8" s="19">
        <f>ROUNDUP(R5,0)</f>
        <v>23</v>
      </c>
      <c r="S8" s="19">
        <f>VLOOKUP(R8,$A$3:$B$163,2,0)</f>
        <v>93</v>
      </c>
      <c r="T8" s="396" cm="1">
        <f t="array" ref="T8">INDEX(C3:N163,S8,U2)</f>
        <v>1.2571630183484306</v>
      </c>
      <c r="U8" s="284">
        <f>+(T8-T7)</f>
        <v>1.2447158597509222E-2</v>
      </c>
      <c r="V8" s="285">
        <f>+U8*R10</f>
        <v>9.3353689481319169E-3</v>
      </c>
    </row>
    <row r="9" spans="1:22">
      <c r="A9" s="8">
        <v>1.5</v>
      </c>
      <c r="B9" s="15">
        <v>7</v>
      </c>
      <c r="C9" s="214">
        <f t="shared" ref="C9:M9" si="6">+C7*50%+C11*50%</f>
        <v>1.01505</v>
      </c>
      <c r="D9" s="14">
        <f t="shared" si="6"/>
        <v>1.01505</v>
      </c>
      <c r="F9" s="14">
        <f t="shared" si="6"/>
        <v>1.01505</v>
      </c>
      <c r="G9" s="14">
        <f t="shared" si="6"/>
        <v>1.01505</v>
      </c>
      <c r="H9" s="14">
        <f t="shared" si="6"/>
        <v>1.01505</v>
      </c>
      <c r="I9" s="14">
        <f t="shared" si="6"/>
        <v>1.01505</v>
      </c>
      <c r="J9" s="14">
        <f t="shared" si="6"/>
        <v>1.01505</v>
      </c>
      <c r="K9" s="14">
        <f t="shared" si="6"/>
        <v>1.01505</v>
      </c>
      <c r="L9" s="14">
        <f t="shared" si="6"/>
        <v>1.01505</v>
      </c>
      <c r="M9" s="14">
        <f t="shared" si="6"/>
        <v>1.01505</v>
      </c>
      <c r="N9" s="14">
        <f>+N7*50%+N11*50%</f>
        <v>1.01505</v>
      </c>
      <c r="P9" s="281"/>
      <c r="Q9" s="19"/>
      <c r="R9" s="19"/>
      <c r="S9" s="19"/>
      <c r="T9" s="19"/>
      <c r="U9" s="19"/>
      <c r="V9" s="282"/>
    </row>
    <row r="10" spans="1:22">
      <c r="A10" s="8">
        <v>1.75</v>
      </c>
      <c r="B10" s="15">
        <v>8</v>
      </c>
      <c r="C10" s="214">
        <f t="shared" ref="C10:M10" si="7">+C7*25%+C11*75%</f>
        <v>1.0175749999999999</v>
      </c>
      <c r="D10" s="14">
        <f t="shared" si="7"/>
        <v>1.0175749999999999</v>
      </c>
      <c r="F10" s="14">
        <f t="shared" si="7"/>
        <v>1.0175749999999999</v>
      </c>
      <c r="G10" s="14">
        <f t="shared" si="7"/>
        <v>1.0175749999999999</v>
      </c>
      <c r="H10" s="14">
        <f t="shared" si="7"/>
        <v>1.0175749999999999</v>
      </c>
      <c r="I10" s="14">
        <f t="shared" si="7"/>
        <v>1.0175749999999999</v>
      </c>
      <c r="J10" s="14">
        <f t="shared" si="7"/>
        <v>1.0175749999999999</v>
      </c>
      <c r="K10" s="14">
        <f t="shared" si="7"/>
        <v>1.0175749999999999</v>
      </c>
      <c r="L10" s="14">
        <f t="shared" si="7"/>
        <v>1.0175749999999999</v>
      </c>
      <c r="M10" s="14">
        <f t="shared" si="7"/>
        <v>1.0175749999999999</v>
      </c>
      <c r="N10" s="14">
        <f>+N7*25%+N11*75%</f>
        <v>1.0175749999999999</v>
      </c>
      <c r="P10" s="281"/>
      <c r="Q10" s="19" t="s">
        <v>1209</v>
      </c>
      <c r="R10" s="19">
        <f>+R5-R7</f>
        <v>0.75</v>
      </c>
      <c r="S10" s="19"/>
      <c r="T10" s="396">
        <f>+T7+V8</f>
        <v>1.2540512286990533</v>
      </c>
      <c r="U10" s="19" t="s">
        <v>1215</v>
      </c>
      <c r="V10" s="286">
        <f>+V1*(T10-1)</f>
        <v>595.67645644295726</v>
      </c>
    </row>
    <row r="11" spans="1:22">
      <c r="A11" s="8">
        <v>2</v>
      </c>
      <c r="B11" s="15">
        <v>9</v>
      </c>
      <c r="C11" s="214">
        <f t="shared" ref="C11:M11" si="8">+C7*1.01</f>
        <v>1.0201</v>
      </c>
      <c r="D11" s="14">
        <f t="shared" si="8"/>
        <v>1.0201</v>
      </c>
      <c r="F11" s="14">
        <f t="shared" si="8"/>
        <v>1.0201</v>
      </c>
      <c r="G11" s="14">
        <f t="shared" si="8"/>
        <v>1.0201</v>
      </c>
      <c r="H11" s="14">
        <f t="shared" si="8"/>
        <v>1.0201</v>
      </c>
      <c r="I11" s="14">
        <f t="shared" si="8"/>
        <v>1.0201</v>
      </c>
      <c r="J11" s="14">
        <f t="shared" si="8"/>
        <v>1.0201</v>
      </c>
      <c r="K11" s="14">
        <f t="shared" si="8"/>
        <v>1.0201</v>
      </c>
      <c r="L11" s="14">
        <f t="shared" si="8"/>
        <v>1.0201</v>
      </c>
      <c r="M11" s="14">
        <f t="shared" si="8"/>
        <v>1.0201</v>
      </c>
      <c r="N11" s="14">
        <f>+N7*1.01</f>
        <v>1.0201</v>
      </c>
      <c r="P11" s="281"/>
      <c r="Q11" s="19"/>
      <c r="R11" s="19"/>
      <c r="S11" s="19"/>
      <c r="T11" s="19"/>
      <c r="U11" s="19"/>
      <c r="V11" s="282"/>
    </row>
    <row r="12" spans="1:22" ht="15" thickBot="1">
      <c r="A12" s="8">
        <v>2.25</v>
      </c>
      <c r="B12" s="15">
        <v>10</v>
      </c>
      <c r="C12" s="214">
        <f t="shared" ref="C12:M12" si="9">+(C11*75%)+(C15*25%)</f>
        <v>1.0226502499999999</v>
      </c>
      <c r="D12" s="14">
        <f t="shared" si="9"/>
        <v>1.0226502499999999</v>
      </c>
      <c r="F12" s="14">
        <f t="shared" si="9"/>
        <v>1.0226502499999999</v>
      </c>
      <c r="G12" s="14">
        <f t="shared" si="9"/>
        <v>1.0226502499999999</v>
      </c>
      <c r="H12" s="14">
        <f t="shared" si="9"/>
        <v>1.0226502499999999</v>
      </c>
      <c r="I12" s="14">
        <f t="shared" si="9"/>
        <v>1.0226502499999999</v>
      </c>
      <c r="J12" s="14">
        <f t="shared" si="9"/>
        <v>1.0226502499999999</v>
      </c>
      <c r="K12" s="14">
        <f t="shared" si="9"/>
        <v>1.0226502499999999</v>
      </c>
      <c r="L12" s="14">
        <f t="shared" si="9"/>
        <v>1.0226502499999999</v>
      </c>
      <c r="M12" s="14">
        <f t="shared" si="9"/>
        <v>1.0226502499999999</v>
      </c>
      <c r="N12" s="14">
        <f>+(N11*75%)+(N15*25%)</f>
        <v>1.0226502499999999</v>
      </c>
      <c r="P12" s="287"/>
      <c r="Q12" s="288"/>
      <c r="R12" s="288"/>
      <c r="S12" s="288"/>
      <c r="T12" s="288"/>
      <c r="U12" s="288" t="s">
        <v>68</v>
      </c>
      <c r="V12" s="289">
        <f>+V1+V10</f>
        <v>2940.3864564429573</v>
      </c>
    </row>
    <row r="13" spans="1:22" ht="15" thickTop="1">
      <c r="A13" s="8">
        <v>2.5</v>
      </c>
      <c r="B13" s="15">
        <v>11</v>
      </c>
      <c r="C13" s="214">
        <f t="shared" ref="C13:M13" si="10">+C11*50%+C15*50%</f>
        <v>1.0252005</v>
      </c>
      <c r="D13" s="14">
        <f t="shared" si="10"/>
        <v>1.0252005</v>
      </c>
      <c r="F13" s="14">
        <f t="shared" si="10"/>
        <v>1.0252005</v>
      </c>
      <c r="G13" s="14">
        <f t="shared" si="10"/>
        <v>1.0252005</v>
      </c>
      <c r="H13" s="14">
        <f t="shared" si="10"/>
        <v>1.0252005</v>
      </c>
      <c r="I13" s="14">
        <f t="shared" si="10"/>
        <v>1.0252005</v>
      </c>
      <c r="J13" s="14">
        <f t="shared" si="10"/>
        <v>1.0252005</v>
      </c>
      <c r="K13" s="14">
        <f t="shared" si="10"/>
        <v>1.0252005</v>
      </c>
      <c r="L13" s="14">
        <f t="shared" si="10"/>
        <v>1.0252005</v>
      </c>
      <c r="M13" s="14">
        <f t="shared" si="10"/>
        <v>1.0252005</v>
      </c>
      <c r="N13" s="14">
        <f>+N11*50%+N15*50%</f>
        <v>1.0252005</v>
      </c>
    </row>
    <row r="14" spans="1:22">
      <c r="A14" s="8">
        <v>2.75</v>
      </c>
      <c r="B14" s="15">
        <v>12</v>
      </c>
      <c r="C14" s="214">
        <f t="shared" ref="C14:M14" si="11">+C11*25%+C15*75%</f>
        <v>1.02775075</v>
      </c>
      <c r="D14" s="14">
        <f t="shared" si="11"/>
        <v>1.02775075</v>
      </c>
      <c r="F14" s="14">
        <f t="shared" si="11"/>
        <v>1.02775075</v>
      </c>
      <c r="G14" s="14">
        <f t="shared" si="11"/>
        <v>1.02775075</v>
      </c>
      <c r="H14" s="14">
        <f t="shared" si="11"/>
        <v>1.02775075</v>
      </c>
      <c r="I14" s="14">
        <f t="shared" si="11"/>
        <v>1.02775075</v>
      </c>
      <c r="J14" s="14">
        <f t="shared" si="11"/>
        <v>1.02775075</v>
      </c>
      <c r="K14" s="14">
        <f t="shared" si="11"/>
        <v>1.02775075</v>
      </c>
      <c r="L14" s="14">
        <f t="shared" si="11"/>
        <v>1.02775075</v>
      </c>
      <c r="M14" s="14">
        <f t="shared" si="11"/>
        <v>1.02775075</v>
      </c>
      <c r="N14" s="14">
        <f>+N11*25%+N15*75%</f>
        <v>1.02775075</v>
      </c>
    </row>
    <row r="15" spans="1:22">
      <c r="A15" s="8">
        <v>3</v>
      </c>
      <c r="B15" s="15">
        <v>13</v>
      </c>
      <c r="C15" s="214">
        <f t="shared" ref="C15:M15" si="12">+C11*1.01</f>
        <v>1.0303009999999999</v>
      </c>
      <c r="D15" s="14">
        <f t="shared" si="12"/>
        <v>1.0303009999999999</v>
      </c>
      <c r="F15" s="14">
        <f t="shared" si="12"/>
        <v>1.0303009999999999</v>
      </c>
      <c r="G15" s="14">
        <f t="shared" si="12"/>
        <v>1.0303009999999999</v>
      </c>
      <c r="H15" s="14">
        <f t="shared" si="12"/>
        <v>1.0303009999999999</v>
      </c>
      <c r="I15" s="14">
        <f t="shared" si="12"/>
        <v>1.0303009999999999</v>
      </c>
      <c r="J15" s="14">
        <f t="shared" si="12"/>
        <v>1.0303009999999999</v>
      </c>
      <c r="K15" s="14">
        <f t="shared" si="12"/>
        <v>1.0303009999999999</v>
      </c>
      <c r="L15" s="14">
        <f t="shared" si="12"/>
        <v>1.0303009999999999</v>
      </c>
      <c r="M15" s="14">
        <f t="shared" si="12"/>
        <v>1.0303009999999999</v>
      </c>
      <c r="N15" s="14">
        <f>+N11*1.01</f>
        <v>1.0303009999999999</v>
      </c>
    </row>
    <row r="16" spans="1:22">
      <c r="A16" s="8">
        <v>3.25</v>
      </c>
      <c r="B16" s="15">
        <v>14</v>
      </c>
      <c r="C16" s="214">
        <f t="shared" ref="C16:M16" si="13">+(C15*75%)+(C19*25%)</f>
        <v>1.0328767525</v>
      </c>
      <c r="D16" s="14">
        <f t="shared" si="13"/>
        <v>1.0328767525</v>
      </c>
      <c r="F16" s="14">
        <f t="shared" si="13"/>
        <v>1.0328767525</v>
      </c>
      <c r="G16" s="14">
        <f t="shared" si="13"/>
        <v>1.0328767525</v>
      </c>
      <c r="H16" s="14">
        <f t="shared" si="13"/>
        <v>1.0328767525</v>
      </c>
      <c r="I16" s="14">
        <f t="shared" si="13"/>
        <v>1.0328767525</v>
      </c>
      <c r="J16" s="14">
        <f t="shared" si="13"/>
        <v>1.0328767525</v>
      </c>
      <c r="K16" s="14">
        <f t="shared" si="13"/>
        <v>1.0328767525</v>
      </c>
      <c r="L16" s="14">
        <f t="shared" si="13"/>
        <v>1.0328767525</v>
      </c>
      <c r="M16" s="14">
        <f t="shared" si="13"/>
        <v>1.0328767525</v>
      </c>
      <c r="N16" s="14">
        <f>+(N15*75%)+(N19*25%)</f>
        <v>1.0328767525</v>
      </c>
      <c r="T16" s="192"/>
    </row>
    <row r="17" spans="1:14">
      <c r="A17" s="8">
        <v>3.5</v>
      </c>
      <c r="B17" s="15">
        <v>15</v>
      </c>
      <c r="C17" s="214">
        <f t="shared" ref="C17:M17" si="14">+C15*50%+C19*50%</f>
        <v>1.0354525049999999</v>
      </c>
      <c r="D17" s="14">
        <f t="shared" si="14"/>
        <v>1.0354525049999999</v>
      </c>
      <c r="F17" s="14">
        <f t="shared" si="14"/>
        <v>1.0354525049999999</v>
      </c>
      <c r="G17" s="14">
        <f t="shared" si="14"/>
        <v>1.0354525049999999</v>
      </c>
      <c r="H17" s="14">
        <f t="shared" si="14"/>
        <v>1.0354525049999999</v>
      </c>
      <c r="I17" s="14">
        <f t="shared" si="14"/>
        <v>1.0354525049999999</v>
      </c>
      <c r="J17" s="14">
        <f t="shared" si="14"/>
        <v>1.0354525049999999</v>
      </c>
      <c r="K17" s="14">
        <f t="shared" si="14"/>
        <v>1.0354525049999999</v>
      </c>
      <c r="L17" s="14">
        <f t="shared" si="14"/>
        <v>1.0354525049999999</v>
      </c>
      <c r="M17" s="14">
        <f t="shared" si="14"/>
        <v>1.0354525049999999</v>
      </c>
      <c r="N17" s="14">
        <f>+N15*50%+N19*50%</f>
        <v>1.0354525049999999</v>
      </c>
    </row>
    <row r="18" spans="1:14">
      <c r="A18" s="8">
        <v>3.75</v>
      </c>
      <c r="B18" s="15">
        <v>16</v>
      </c>
      <c r="C18" s="214">
        <f t="shared" ref="C18:M18" si="15">+C15*25%+C19*75%</f>
        <v>1.0380282574999999</v>
      </c>
      <c r="D18" s="14">
        <f t="shared" si="15"/>
        <v>1.0380282574999999</v>
      </c>
      <c r="F18" s="14">
        <f t="shared" si="15"/>
        <v>1.0380282574999999</v>
      </c>
      <c r="G18" s="14">
        <f t="shared" si="15"/>
        <v>1.0380282574999999</v>
      </c>
      <c r="H18" s="14">
        <f t="shared" si="15"/>
        <v>1.0380282574999999</v>
      </c>
      <c r="I18" s="14">
        <f t="shared" si="15"/>
        <v>1.0380282574999999</v>
      </c>
      <c r="J18" s="14">
        <f t="shared" si="15"/>
        <v>1.0380282574999999</v>
      </c>
      <c r="K18" s="14">
        <f t="shared" si="15"/>
        <v>1.0380282574999999</v>
      </c>
      <c r="L18" s="14">
        <f t="shared" si="15"/>
        <v>1.0380282574999999</v>
      </c>
      <c r="M18" s="14">
        <f t="shared" si="15"/>
        <v>1.0380282574999999</v>
      </c>
      <c r="N18" s="14">
        <f>+N15*25%+N19*75%</f>
        <v>1.0380282574999999</v>
      </c>
    </row>
    <row r="19" spans="1:14">
      <c r="A19" s="8">
        <v>4</v>
      </c>
      <c r="B19" s="15">
        <v>17</v>
      </c>
      <c r="C19" s="214">
        <f t="shared" ref="C19:M19" si="16">+C15*1.01</f>
        <v>1.04060401</v>
      </c>
      <c r="D19" s="14">
        <f t="shared" si="16"/>
        <v>1.04060401</v>
      </c>
      <c r="F19" s="14">
        <f t="shared" si="16"/>
        <v>1.04060401</v>
      </c>
      <c r="G19" s="14">
        <f t="shared" si="16"/>
        <v>1.04060401</v>
      </c>
      <c r="H19" s="14">
        <f t="shared" si="16"/>
        <v>1.04060401</v>
      </c>
      <c r="I19" s="14">
        <f t="shared" si="16"/>
        <v>1.04060401</v>
      </c>
      <c r="J19" s="14">
        <f t="shared" si="16"/>
        <v>1.04060401</v>
      </c>
      <c r="K19" s="14">
        <f t="shared" si="16"/>
        <v>1.04060401</v>
      </c>
      <c r="L19" s="14">
        <f t="shared" si="16"/>
        <v>1.04060401</v>
      </c>
      <c r="M19" s="14">
        <f t="shared" si="16"/>
        <v>1.04060401</v>
      </c>
      <c r="N19" s="14">
        <f>+N15*1.01</f>
        <v>1.04060401</v>
      </c>
    </row>
    <row r="20" spans="1:14">
      <c r="A20" s="8">
        <v>4.25</v>
      </c>
      <c r="B20" s="15">
        <v>18</v>
      </c>
      <c r="C20" s="214">
        <f t="shared" ref="C20:M20" si="17">+(C19*75%)+(C23*25%)</f>
        <v>1.0432055200249999</v>
      </c>
      <c r="D20" s="14">
        <f t="shared" si="17"/>
        <v>1.0432055200249999</v>
      </c>
      <c r="F20" s="14">
        <f t="shared" si="17"/>
        <v>1.0432055200249999</v>
      </c>
      <c r="G20" s="14">
        <f t="shared" si="17"/>
        <v>1.0432055200249999</v>
      </c>
      <c r="H20" s="14">
        <f t="shared" si="17"/>
        <v>1.0432055200249999</v>
      </c>
      <c r="I20" s="14">
        <f t="shared" si="17"/>
        <v>1.0432055200249999</v>
      </c>
      <c r="J20" s="14">
        <f t="shared" si="17"/>
        <v>1.0432055200249999</v>
      </c>
      <c r="K20" s="14">
        <f t="shared" si="17"/>
        <v>1.0432055200249999</v>
      </c>
      <c r="L20" s="14">
        <f t="shared" si="17"/>
        <v>1.0432055200249999</v>
      </c>
      <c r="M20" s="14">
        <f t="shared" si="17"/>
        <v>1.0432055200249999</v>
      </c>
      <c r="N20" s="14">
        <f>+(N19*75%)+(N23*25%)</f>
        <v>1.0432055200249999</v>
      </c>
    </row>
    <row r="21" spans="1:14">
      <c r="A21" s="8">
        <v>4.5</v>
      </c>
      <c r="B21" s="15">
        <v>19</v>
      </c>
      <c r="C21" s="214">
        <f t="shared" ref="C21:M21" si="18">+C19*50%+C23*50%</f>
        <v>1.04580703005</v>
      </c>
      <c r="D21" s="14">
        <f t="shared" si="18"/>
        <v>1.04580703005</v>
      </c>
      <c r="F21" s="14">
        <f t="shared" si="18"/>
        <v>1.04580703005</v>
      </c>
      <c r="G21" s="14">
        <f t="shared" si="18"/>
        <v>1.04580703005</v>
      </c>
      <c r="H21" s="14">
        <f t="shared" si="18"/>
        <v>1.04580703005</v>
      </c>
      <c r="I21" s="14">
        <f t="shared" si="18"/>
        <v>1.04580703005</v>
      </c>
      <c r="J21" s="14">
        <f t="shared" si="18"/>
        <v>1.04580703005</v>
      </c>
      <c r="K21" s="14">
        <f t="shared" si="18"/>
        <v>1.04580703005</v>
      </c>
      <c r="L21" s="14">
        <f t="shared" si="18"/>
        <v>1.04580703005</v>
      </c>
      <c r="M21" s="14">
        <f t="shared" si="18"/>
        <v>1.04580703005</v>
      </c>
      <c r="N21" s="14">
        <f>+N19*50%+N23*50%</f>
        <v>1.04580703005</v>
      </c>
    </row>
    <row r="22" spans="1:14">
      <c r="A22" s="8">
        <v>4.75</v>
      </c>
      <c r="B22" s="15">
        <v>20</v>
      </c>
      <c r="C22" s="214">
        <f t="shared" ref="C22:M22" si="19">+C19*25%+C23*75%</f>
        <v>1.0484085400750001</v>
      </c>
      <c r="D22" s="14">
        <f t="shared" si="19"/>
        <v>1.0484085400750001</v>
      </c>
      <c r="F22" s="14">
        <f t="shared" si="19"/>
        <v>1.0484085400750001</v>
      </c>
      <c r="G22" s="14">
        <f t="shared" si="19"/>
        <v>1.0484085400750001</v>
      </c>
      <c r="H22" s="14">
        <f t="shared" si="19"/>
        <v>1.0484085400750001</v>
      </c>
      <c r="I22" s="14">
        <f t="shared" si="19"/>
        <v>1.0484085400750001</v>
      </c>
      <c r="J22" s="14">
        <f t="shared" si="19"/>
        <v>1.0484085400750001</v>
      </c>
      <c r="K22" s="14">
        <f t="shared" si="19"/>
        <v>1.0484085400750001</v>
      </c>
      <c r="L22" s="14">
        <f t="shared" si="19"/>
        <v>1.0484085400750001</v>
      </c>
      <c r="M22" s="14">
        <f t="shared" si="19"/>
        <v>1.0484085400750001</v>
      </c>
      <c r="N22" s="14">
        <f>+N19*25%+N23*75%</f>
        <v>1.0484085400750001</v>
      </c>
    </row>
    <row r="23" spans="1:14">
      <c r="A23" s="8">
        <v>5</v>
      </c>
      <c r="B23" s="15">
        <v>21</v>
      </c>
      <c r="C23" s="214">
        <f t="shared" ref="C23:M23" si="20">+C19*1.01</f>
        <v>1.0510100500999999</v>
      </c>
      <c r="D23" s="14">
        <f t="shared" si="20"/>
        <v>1.0510100500999999</v>
      </c>
      <c r="F23" s="14">
        <f t="shared" si="20"/>
        <v>1.0510100500999999</v>
      </c>
      <c r="G23" s="14">
        <f t="shared" si="20"/>
        <v>1.0510100500999999</v>
      </c>
      <c r="H23" s="14">
        <f t="shared" si="20"/>
        <v>1.0510100500999999</v>
      </c>
      <c r="I23" s="14">
        <f t="shared" si="20"/>
        <v>1.0510100500999999</v>
      </c>
      <c r="J23" s="14">
        <f t="shared" si="20"/>
        <v>1.0510100500999999</v>
      </c>
      <c r="K23" s="14">
        <f t="shared" si="20"/>
        <v>1.0510100500999999</v>
      </c>
      <c r="L23" s="14">
        <f t="shared" si="20"/>
        <v>1.0510100500999999</v>
      </c>
      <c r="M23" s="14">
        <f t="shared" si="20"/>
        <v>1.0510100500999999</v>
      </c>
      <c r="N23" s="14">
        <f>+N19*1.01</f>
        <v>1.0510100500999999</v>
      </c>
    </row>
    <row r="24" spans="1:14">
      <c r="A24" s="8">
        <v>5.25</v>
      </c>
      <c r="B24" s="15">
        <v>22</v>
      </c>
      <c r="C24" s="214">
        <f t="shared" ref="C24:M24" si="21">+(C23*75%)+(C27*25%)</f>
        <v>1.0536375752252498</v>
      </c>
      <c r="D24" s="14">
        <f t="shared" si="21"/>
        <v>1.0536375752252498</v>
      </c>
      <c r="F24" s="14">
        <f t="shared" si="21"/>
        <v>1.0536375752252498</v>
      </c>
      <c r="G24" s="14">
        <f t="shared" si="21"/>
        <v>1.0536375752252498</v>
      </c>
      <c r="H24" s="14">
        <f t="shared" si="21"/>
        <v>1.0536375752252498</v>
      </c>
      <c r="I24" s="14">
        <f t="shared" si="21"/>
        <v>1.0536375752252498</v>
      </c>
      <c r="J24" s="14">
        <f t="shared" si="21"/>
        <v>1.0536375752252498</v>
      </c>
      <c r="K24" s="14">
        <f t="shared" si="21"/>
        <v>1.0536375752252498</v>
      </c>
      <c r="L24" s="14">
        <f t="shared" si="21"/>
        <v>1.0536375752252498</v>
      </c>
      <c r="M24" s="14">
        <f t="shared" si="21"/>
        <v>1.0536375752252498</v>
      </c>
      <c r="N24" s="14">
        <f>+(N23*75%)+(N27*25%)</f>
        <v>1.0536375752252498</v>
      </c>
    </row>
    <row r="25" spans="1:14">
      <c r="A25" s="8">
        <v>5.5</v>
      </c>
      <c r="B25" s="15">
        <v>23</v>
      </c>
      <c r="C25" s="214">
        <f t="shared" ref="C25:M25" si="22">+C23*50%+C27*50%</f>
        <v>1.0562651003504999</v>
      </c>
      <c r="D25" s="14">
        <f t="shared" si="22"/>
        <v>1.0562651003504999</v>
      </c>
      <c r="F25" s="14">
        <f t="shared" si="22"/>
        <v>1.0562651003504999</v>
      </c>
      <c r="G25" s="14">
        <f t="shared" si="22"/>
        <v>1.0562651003504999</v>
      </c>
      <c r="H25" s="14">
        <f t="shared" si="22"/>
        <v>1.0562651003504999</v>
      </c>
      <c r="I25" s="14">
        <f t="shared" si="22"/>
        <v>1.0562651003504999</v>
      </c>
      <c r="J25" s="14">
        <f t="shared" si="22"/>
        <v>1.0562651003504999</v>
      </c>
      <c r="K25" s="14">
        <f t="shared" si="22"/>
        <v>1.0562651003504999</v>
      </c>
      <c r="L25" s="14">
        <f t="shared" si="22"/>
        <v>1.0562651003504999</v>
      </c>
      <c r="M25" s="14">
        <f t="shared" si="22"/>
        <v>1.0562651003504999</v>
      </c>
      <c r="N25" s="14">
        <f>+N23*50%+N27*50%</f>
        <v>1.0562651003504999</v>
      </c>
    </row>
    <row r="26" spans="1:14">
      <c r="A26" s="8">
        <v>5.75</v>
      </c>
      <c r="B26" s="15">
        <v>24</v>
      </c>
      <c r="C26" s="214">
        <f t="shared" ref="C26:M26" si="23">+C23*25%+C27*75%</f>
        <v>1.05889262547575</v>
      </c>
      <c r="D26" s="14">
        <f t="shared" si="23"/>
        <v>1.05889262547575</v>
      </c>
      <c r="F26" s="14">
        <f t="shared" si="23"/>
        <v>1.05889262547575</v>
      </c>
      <c r="G26" s="14">
        <f t="shared" si="23"/>
        <v>1.05889262547575</v>
      </c>
      <c r="H26" s="14">
        <f t="shared" si="23"/>
        <v>1.05889262547575</v>
      </c>
      <c r="I26" s="14">
        <f t="shared" si="23"/>
        <v>1.05889262547575</v>
      </c>
      <c r="J26" s="14">
        <f t="shared" si="23"/>
        <v>1.05889262547575</v>
      </c>
      <c r="K26" s="14">
        <f t="shared" si="23"/>
        <v>1.05889262547575</v>
      </c>
      <c r="L26" s="14">
        <f t="shared" si="23"/>
        <v>1.05889262547575</v>
      </c>
      <c r="M26" s="14">
        <f t="shared" si="23"/>
        <v>1.05889262547575</v>
      </c>
      <c r="N26" s="14">
        <f>+N23*25%+N27*75%</f>
        <v>1.05889262547575</v>
      </c>
    </row>
    <row r="27" spans="1:14">
      <c r="A27" s="8">
        <v>6</v>
      </c>
      <c r="B27" s="15">
        <v>25</v>
      </c>
      <c r="C27" s="214">
        <f t="shared" ref="C27:M27" si="24">+C23*1.01</f>
        <v>1.0615201506009999</v>
      </c>
      <c r="D27" s="14">
        <f t="shared" si="24"/>
        <v>1.0615201506009999</v>
      </c>
      <c r="F27" s="14">
        <f t="shared" si="24"/>
        <v>1.0615201506009999</v>
      </c>
      <c r="G27" s="14">
        <f t="shared" si="24"/>
        <v>1.0615201506009999</v>
      </c>
      <c r="H27" s="14">
        <f t="shared" si="24"/>
        <v>1.0615201506009999</v>
      </c>
      <c r="I27" s="14">
        <f t="shared" si="24"/>
        <v>1.0615201506009999</v>
      </c>
      <c r="J27" s="14">
        <f t="shared" si="24"/>
        <v>1.0615201506009999</v>
      </c>
      <c r="K27" s="14">
        <f t="shared" si="24"/>
        <v>1.0615201506009999</v>
      </c>
      <c r="L27" s="14">
        <f t="shared" si="24"/>
        <v>1.0615201506009999</v>
      </c>
      <c r="M27" s="14">
        <f t="shared" si="24"/>
        <v>1.0615201506009999</v>
      </c>
      <c r="N27" s="14">
        <f>+N23*1.01</f>
        <v>1.0615201506009999</v>
      </c>
    </row>
    <row r="28" spans="1:14">
      <c r="A28" s="8">
        <v>6.25</v>
      </c>
      <c r="B28" s="15">
        <v>26</v>
      </c>
      <c r="C28" s="214">
        <f t="shared" ref="C28:M28" si="25">+(C27*75%)+(C31*25%)</f>
        <v>1.0641739509775023</v>
      </c>
      <c r="D28" s="14">
        <f t="shared" si="25"/>
        <v>1.0641739509775023</v>
      </c>
      <c r="F28" s="14">
        <f t="shared" si="25"/>
        <v>1.0641739509775023</v>
      </c>
      <c r="G28" s="14">
        <f t="shared" si="25"/>
        <v>1.0641739509775023</v>
      </c>
      <c r="H28" s="14">
        <f t="shared" si="25"/>
        <v>1.0641739509775023</v>
      </c>
      <c r="I28" s="14">
        <f t="shared" si="25"/>
        <v>1.0641739509775023</v>
      </c>
      <c r="J28" s="14">
        <f t="shared" si="25"/>
        <v>1.0641739509775023</v>
      </c>
      <c r="K28" s="14">
        <f t="shared" si="25"/>
        <v>1.0641739509775023</v>
      </c>
      <c r="L28" s="14">
        <f t="shared" si="25"/>
        <v>1.0641739509775023</v>
      </c>
      <c r="M28" s="14">
        <f t="shared" si="25"/>
        <v>1.0641739509775023</v>
      </c>
      <c r="N28" s="14">
        <f>+(N27*75%)+(N31*25%)</f>
        <v>1.0641739509775023</v>
      </c>
    </row>
    <row r="29" spans="1:14">
      <c r="A29" s="8">
        <v>6.5</v>
      </c>
      <c r="B29" s="15">
        <v>27</v>
      </c>
      <c r="C29" s="214">
        <f t="shared" ref="C29:M29" si="26">+C27*50%+C31*50%</f>
        <v>1.0668277513540048</v>
      </c>
      <c r="D29" s="14">
        <f t="shared" si="26"/>
        <v>1.0668277513540048</v>
      </c>
      <c r="F29" s="14">
        <f t="shared" si="26"/>
        <v>1.0668277513540048</v>
      </c>
      <c r="G29" s="14">
        <f t="shared" si="26"/>
        <v>1.0668277513540048</v>
      </c>
      <c r="H29" s="14">
        <f t="shared" si="26"/>
        <v>1.0668277513540048</v>
      </c>
      <c r="I29" s="14">
        <f t="shared" si="26"/>
        <v>1.0668277513540048</v>
      </c>
      <c r="J29" s="14">
        <f t="shared" si="26"/>
        <v>1.0668277513540048</v>
      </c>
      <c r="K29" s="14">
        <f t="shared" si="26"/>
        <v>1.0668277513540048</v>
      </c>
      <c r="L29" s="14">
        <f t="shared" si="26"/>
        <v>1.0668277513540048</v>
      </c>
      <c r="M29" s="14">
        <f t="shared" si="26"/>
        <v>1.0668277513540048</v>
      </c>
      <c r="N29" s="14">
        <f>+N27*50%+N31*50%</f>
        <v>1.0668277513540048</v>
      </c>
    </row>
    <row r="30" spans="1:14">
      <c r="A30" s="8">
        <v>6.75</v>
      </c>
      <c r="B30" s="15">
        <v>28</v>
      </c>
      <c r="C30" s="214">
        <f t="shared" ref="C30:M30" si="27">+C27*25%+C31*75%</f>
        <v>1.0694815517305074</v>
      </c>
      <c r="D30" s="14">
        <f t="shared" si="27"/>
        <v>1.0694815517305074</v>
      </c>
      <c r="F30" s="14">
        <f t="shared" si="27"/>
        <v>1.0694815517305074</v>
      </c>
      <c r="G30" s="14">
        <f t="shared" si="27"/>
        <v>1.0694815517305074</v>
      </c>
      <c r="H30" s="14">
        <f t="shared" si="27"/>
        <v>1.0694815517305074</v>
      </c>
      <c r="I30" s="14">
        <f t="shared" si="27"/>
        <v>1.0694815517305074</v>
      </c>
      <c r="J30" s="14">
        <f t="shared" si="27"/>
        <v>1.0694815517305074</v>
      </c>
      <c r="K30" s="14">
        <f t="shared" si="27"/>
        <v>1.0694815517305074</v>
      </c>
      <c r="L30" s="14">
        <f t="shared" si="27"/>
        <v>1.0694815517305074</v>
      </c>
      <c r="M30" s="14">
        <f t="shared" si="27"/>
        <v>1.0694815517305074</v>
      </c>
      <c r="N30" s="14">
        <f>+N27*25%+N31*75%</f>
        <v>1.0694815517305074</v>
      </c>
    </row>
    <row r="31" spans="1:14">
      <c r="A31" s="8">
        <v>7</v>
      </c>
      <c r="B31" s="15">
        <v>29</v>
      </c>
      <c r="C31" s="214">
        <f t="shared" ref="C31:M31" si="28">+C27*1.01</f>
        <v>1.0721353521070098</v>
      </c>
      <c r="D31" s="14">
        <f t="shared" si="28"/>
        <v>1.0721353521070098</v>
      </c>
      <c r="F31" s="14">
        <f t="shared" si="28"/>
        <v>1.0721353521070098</v>
      </c>
      <c r="G31" s="14">
        <f t="shared" si="28"/>
        <v>1.0721353521070098</v>
      </c>
      <c r="H31" s="14">
        <f t="shared" si="28"/>
        <v>1.0721353521070098</v>
      </c>
      <c r="I31" s="14">
        <f t="shared" si="28"/>
        <v>1.0721353521070098</v>
      </c>
      <c r="J31" s="14">
        <f t="shared" si="28"/>
        <v>1.0721353521070098</v>
      </c>
      <c r="K31" s="14">
        <f t="shared" si="28"/>
        <v>1.0721353521070098</v>
      </c>
      <c r="L31" s="14">
        <f t="shared" si="28"/>
        <v>1.0721353521070098</v>
      </c>
      <c r="M31" s="14">
        <f t="shared" si="28"/>
        <v>1.0721353521070098</v>
      </c>
      <c r="N31" s="14">
        <f>+N27*1.01</f>
        <v>1.0721353521070098</v>
      </c>
    </row>
    <row r="32" spans="1:14">
      <c r="A32" s="8">
        <v>7.25</v>
      </c>
      <c r="B32" s="15">
        <v>30</v>
      </c>
      <c r="C32" s="214">
        <f t="shared" ref="C32:M32" si="29">+(C31*75%)+(C35*25%)</f>
        <v>1.0748156904872774</v>
      </c>
      <c r="D32" s="14">
        <f t="shared" si="29"/>
        <v>1.0748156904872774</v>
      </c>
      <c r="F32" s="14">
        <f t="shared" si="29"/>
        <v>1.0748156904872774</v>
      </c>
      <c r="G32" s="14">
        <f t="shared" si="29"/>
        <v>1.0748156904872774</v>
      </c>
      <c r="H32" s="14">
        <f t="shared" si="29"/>
        <v>1.0748156904872774</v>
      </c>
      <c r="I32" s="14">
        <f t="shared" si="29"/>
        <v>1.0748156904872774</v>
      </c>
      <c r="J32" s="14">
        <f t="shared" si="29"/>
        <v>1.0748156904872774</v>
      </c>
      <c r="K32" s="14">
        <f t="shared" si="29"/>
        <v>1.0748156904872774</v>
      </c>
      <c r="L32" s="14">
        <f t="shared" si="29"/>
        <v>1.0748156904872774</v>
      </c>
      <c r="M32" s="14">
        <f t="shared" si="29"/>
        <v>1.0748156904872774</v>
      </c>
      <c r="N32" s="14">
        <f>+(N31*75%)+(N35*25%)</f>
        <v>1.0748156904872774</v>
      </c>
    </row>
    <row r="33" spans="1:14">
      <c r="A33" s="8">
        <v>7.5</v>
      </c>
      <c r="B33" s="15">
        <v>31</v>
      </c>
      <c r="C33" s="214">
        <f t="shared" ref="C33:M33" si="30">+C31*50%+C35*50%</f>
        <v>1.0774960288675448</v>
      </c>
      <c r="D33" s="14">
        <f t="shared" si="30"/>
        <v>1.0774960288675448</v>
      </c>
      <c r="F33" s="14">
        <f t="shared" si="30"/>
        <v>1.0774960288675448</v>
      </c>
      <c r="G33" s="14">
        <f t="shared" si="30"/>
        <v>1.0774960288675448</v>
      </c>
      <c r="H33" s="14">
        <f t="shared" si="30"/>
        <v>1.0774960288675448</v>
      </c>
      <c r="I33" s="14">
        <f t="shared" si="30"/>
        <v>1.0774960288675448</v>
      </c>
      <c r="J33" s="14">
        <f t="shared" si="30"/>
        <v>1.0774960288675448</v>
      </c>
      <c r="K33" s="14">
        <f t="shared" si="30"/>
        <v>1.0774960288675448</v>
      </c>
      <c r="L33" s="14">
        <f t="shared" si="30"/>
        <v>1.0774960288675448</v>
      </c>
      <c r="M33" s="14">
        <f t="shared" si="30"/>
        <v>1.0774960288675448</v>
      </c>
      <c r="N33" s="14">
        <f>+N31*50%+N35*50%</f>
        <v>1.0774960288675448</v>
      </c>
    </row>
    <row r="34" spans="1:14">
      <c r="A34" s="8">
        <v>7.75</v>
      </c>
      <c r="B34" s="15">
        <v>32</v>
      </c>
      <c r="C34" s="214">
        <f t="shared" ref="C34:M34" si="31">+C31*25%+C35*75%</f>
        <v>1.0801763672478124</v>
      </c>
      <c r="D34" s="14">
        <f t="shared" si="31"/>
        <v>1.0801763672478124</v>
      </c>
      <c r="F34" s="14">
        <f t="shared" si="31"/>
        <v>1.0801763672478124</v>
      </c>
      <c r="G34" s="14">
        <f t="shared" si="31"/>
        <v>1.0801763672478124</v>
      </c>
      <c r="H34" s="14">
        <f t="shared" si="31"/>
        <v>1.0801763672478124</v>
      </c>
      <c r="I34" s="14">
        <f t="shared" si="31"/>
        <v>1.0801763672478124</v>
      </c>
      <c r="J34" s="14">
        <f t="shared" si="31"/>
        <v>1.0801763672478124</v>
      </c>
      <c r="K34" s="14">
        <f t="shared" si="31"/>
        <v>1.0801763672478124</v>
      </c>
      <c r="L34" s="14">
        <f t="shared" si="31"/>
        <v>1.0801763672478124</v>
      </c>
      <c r="M34" s="14">
        <f t="shared" si="31"/>
        <v>1.0801763672478124</v>
      </c>
      <c r="N34" s="14">
        <f>+N31*25%+N35*75%</f>
        <v>1.0801763672478124</v>
      </c>
    </row>
    <row r="35" spans="1:14">
      <c r="A35" s="8">
        <v>8</v>
      </c>
      <c r="B35" s="15">
        <v>33</v>
      </c>
      <c r="C35" s="214">
        <f t="shared" ref="C35:M35" si="32">+C31*1.01</f>
        <v>1.08285670562808</v>
      </c>
      <c r="D35" s="14">
        <f t="shared" si="32"/>
        <v>1.08285670562808</v>
      </c>
      <c r="F35" s="14">
        <f t="shared" si="32"/>
        <v>1.08285670562808</v>
      </c>
      <c r="G35" s="14">
        <f t="shared" si="32"/>
        <v>1.08285670562808</v>
      </c>
      <c r="H35" s="14">
        <f t="shared" si="32"/>
        <v>1.08285670562808</v>
      </c>
      <c r="I35" s="14">
        <f t="shared" si="32"/>
        <v>1.08285670562808</v>
      </c>
      <c r="J35" s="14">
        <f t="shared" si="32"/>
        <v>1.08285670562808</v>
      </c>
      <c r="K35" s="14">
        <f t="shared" si="32"/>
        <v>1.08285670562808</v>
      </c>
      <c r="L35" s="14">
        <f t="shared" si="32"/>
        <v>1.08285670562808</v>
      </c>
      <c r="M35" s="14">
        <f t="shared" si="32"/>
        <v>1.08285670562808</v>
      </c>
      <c r="N35" s="14">
        <f>+N31*1.01</f>
        <v>1.08285670562808</v>
      </c>
    </row>
    <row r="36" spans="1:14">
      <c r="A36" s="8">
        <v>8.25</v>
      </c>
      <c r="B36" s="15">
        <v>34</v>
      </c>
      <c r="C36" s="214">
        <f t="shared" ref="C36:M36" si="33">+(C35*75%)+(C39*25%)</f>
        <v>1.0855638473921503</v>
      </c>
      <c r="D36" s="14">
        <f t="shared" si="33"/>
        <v>1.0855638473921503</v>
      </c>
      <c r="F36" s="14">
        <f t="shared" si="33"/>
        <v>1.0855638473921503</v>
      </c>
      <c r="G36" s="14">
        <f t="shared" si="33"/>
        <v>1.0855638473921503</v>
      </c>
      <c r="H36" s="14">
        <f t="shared" si="33"/>
        <v>1.0855638473921503</v>
      </c>
      <c r="I36" s="14">
        <f t="shared" si="33"/>
        <v>1.0855638473921503</v>
      </c>
      <c r="J36" s="14">
        <f t="shared" si="33"/>
        <v>1.0855638473921503</v>
      </c>
      <c r="K36" s="14">
        <f t="shared" si="33"/>
        <v>1.0855638473921503</v>
      </c>
      <c r="L36" s="14">
        <f t="shared" si="33"/>
        <v>1.0855638473921503</v>
      </c>
      <c r="M36" s="14">
        <f t="shared" si="33"/>
        <v>1.0855638473921503</v>
      </c>
      <c r="N36" s="14">
        <f>+(N35*75%)+(N39*25%)</f>
        <v>1.0855638473921503</v>
      </c>
    </row>
    <row r="37" spans="1:14">
      <c r="A37" s="8">
        <v>8.5</v>
      </c>
      <c r="B37" s="15">
        <v>35</v>
      </c>
      <c r="C37" s="214">
        <f t="shared" ref="C37:M37" si="34">+C35*50%+C39*50%</f>
        <v>1.0882709891562206</v>
      </c>
      <c r="D37" s="14">
        <f t="shared" si="34"/>
        <v>1.0882709891562206</v>
      </c>
      <c r="F37" s="14">
        <f t="shared" si="34"/>
        <v>1.0882709891562206</v>
      </c>
      <c r="G37" s="14">
        <f t="shared" si="34"/>
        <v>1.0882709891562206</v>
      </c>
      <c r="H37" s="14">
        <f t="shared" si="34"/>
        <v>1.0882709891562206</v>
      </c>
      <c r="I37" s="14">
        <f t="shared" si="34"/>
        <v>1.0882709891562206</v>
      </c>
      <c r="J37" s="14">
        <f t="shared" si="34"/>
        <v>1.0882709891562206</v>
      </c>
      <c r="K37" s="14">
        <f t="shared" si="34"/>
        <v>1.0882709891562206</v>
      </c>
      <c r="L37" s="14">
        <f t="shared" si="34"/>
        <v>1.0882709891562206</v>
      </c>
      <c r="M37" s="14">
        <f t="shared" si="34"/>
        <v>1.0882709891562206</v>
      </c>
      <c r="N37" s="14">
        <f>+N35*50%+N39*50%</f>
        <v>1.0882709891562206</v>
      </c>
    </row>
    <row r="38" spans="1:14">
      <c r="A38" s="8">
        <v>8.75</v>
      </c>
      <c r="B38" s="15">
        <v>36</v>
      </c>
      <c r="C38" s="214">
        <f t="shared" ref="C38:M38" si="35">+C35*25%+C39*75%</f>
        <v>1.0909781309202906</v>
      </c>
      <c r="D38" s="14">
        <f t="shared" si="35"/>
        <v>1.0909781309202906</v>
      </c>
      <c r="F38" s="14">
        <f t="shared" si="35"/>
        <v>1.0909781309202906</v>
      </c>
      <c r="G38" s="14">
        <f t="shared" si="35"/>
        <v>1.0909781309202906</v>
      </c>
      <c r="H38" s="14">
        <f t="shared" si="35"/>
        <v>1.0909781309202906</v>
      </c>
      <c r="I38" s="14">
        <f t="shared" si="35"/>
        <v>1.0909781309202906</v>
      </c>
      <c r="J38" s="14">
        <f t="shared" si="35"/>
        <v>1.0909781309202906</v>
      </c>
      <c r="K38" s="14">
        <f t="shared" si="35"/>
        <v>1.0909781309202906</v>
      </c>
      <c r="L38" s="14">
        <f t="shared" si="35"/>
        <v>1.0909781309202906</v>
      </c>
      <c r="M38" s="14">
        <f t="shared" si="35"/>
        <v>1.0909781309202906</v>
      </c>
      <c r="N38" s="14">
        <f>+N35*25%+N39*75%</f>
        <v>1.0909781309202906</v>
      </c>
    </row>
    <row r="39" spans="1:14">
      <c r="A39" s="8">
        <v>9</v>
      </c>
      <c r="B39" s="15">
        <v>37</v>
      </c>
      <c r="C39" s="214">
        <f t="shared" ref="C39:M39" si="36">+C35*1.01</f>
        <v>1.0936852726843609</v>
      </c>
      <c r="D39" s="14">
        <f t="shared" si="36"/>
        <v>1.0936852726843609</v>
      </c>
      <c r="F39" s="14">
        <f t="shared" si="36"/>
        <v>1.0936852726843609</v>
      </c>
      <c r="G39" s="14">
        <f t="shared" si="36"/>
        <v>1.0936852726843609</v>
      </c>
      <c r="H39" s="14">
        <f t="shared" si="36"/>
        <v>1.0936852726843609</v>
      </c>
      <c r="I39" s="14">
        <f t="shared" si="36"/>
        <v>1.0936852726843609</v>
      </c>
      <c r="J39" s="14">
        <f t="shared" si="36"/>
        <v>1.0936852726843609</v>
      </c>
      <c r="K39" s="14">
        <f t="shared" si="36"/>
        <v>1.0936852726843609</v>
      </c>
      <c r="L39" s="14">
        <f t="shared" si="36"/>
        <v>1.0936852726843609</v>
      </c>
      <c r="M39" s="14">
        <f t="shared" si="36"/>
        <v>1.0936852726843609</v>
      </c>
      <c r="N39" s="14">
        <f>+N35*1.01</f>
        <v>1.0936852726843609</v>
      </c>
    </row>
    <row r="40" spans="1:14">
      <c r="A40" s="8">
        <v>9.25</v>
      </c>
      <c r="B40" s="15">
        <v>38</v>
      </c>
      <c r="C40" s="214">
        <f t="shared" ref="C40:M40" si="37">+(C39*75%)+(C43*25%)</f>
        <v>1.0964194858660719</v>
      </c>
      <c r="D40" s="14">
        <f t="shared" si="37"/>
        <v>1.0964194858660719</v>
      </c>
      <c r="F40" s="14">
        <f t="shared" si="37"/>
        <v>1.0964194858660719</v>
      </c>
      <c r="G40" s="14">
        <f t="shared" si="37"/>
        <v>1.0964194858660719</v>
      </c>
      <c r="H40" s="14">
        <f t="shared" si="37"/>
        <v>1.0964194858660719</v>
      </c>
      <c r="I40" s="14">
        <f t="shared" si="37"/>
        <v>1.0964194858660719</v>
      </c>
      <c r="J40" s="14">
        <f t="shared" si="37"/>
        <v>1.0964194858660719</v>
      </c>
      <c r="K40" s="14">
        <f t="shared" si="37"/>
        <v>1.0964194858660719</v>
      </c>
      <c r="L40" s="14">
        <f t="shared" si="37"/>
        <v>1.0964194858660719</v>
      </c>
      <c r="M40" s="14">
        <f t="shared" si="37"/>
        <v>1.0964194858660719</v>
      </c>
      <c r="N40" s="14">
        <f>+(N39*75%)+(N43*25%)</f>
        <v>1.0964194858660719</v>
      </c>
    </row>
    <row r="41" spans="1:14">
      <c r="A41" s="8">
        <v>9.5</v>
      </c>
      <c r="B41" s="15">
        <v>39</v>
      </c>
      <c r="C41" s="214">
        <f t="shared" ref="C41:M41" si="38">+C39*50%+C43*50%</f>
        <v>1.0991536990477826</v>
      </c>
      <c r="D41" s="14">
        <f t="shared" si="38"/>
        <v>1.0991536990477826</v>
      </c>
      <c r="F41" s="14">
        <f t="shared" si="38"/>
        <v>1.0991536990477826</v>
      </c>
      <c r="G41" s="14">
        <f t="shared" si="38"/>
        <v>1.0991536990477826</v>
      </c>
      <c r="H41" s="14">
        <f t="shared" si="38"/>
        <v>1.0991536990477826</v>
      </c>
      <c r="I41" s="14">
        <f t="shared" si="38"/>
        <v>1.0991536990477826</v>
      </c>
      <c r="J41" s="14">
        <f t="shared" si="38"/>
        <v>1.0991536990477826</v>
      </c>
      <c r="K41" s="14">
        <f t="shared" si="38"/>
        <v>1.0991536990477826</v>
      </c>
      <c r="L41" s="14">
        <f t="shared" si="38"/>
        <v>1.0991536990477826</v>
      </c>
      <c r="M41" s="14">
        <f t="shared" si="38"/>
        <v>1.0991536990477826</v>
      </c>
      <c r="N41" s="14">
        <f>+N39*50%+N43*50%</f>
        <v>1.0991536990477826</v>
      </c>
    </row>
    <row r="42" spans="1:14">
      <c r="A42" s="8">
        <v>9.75</v>
      </c>
      <c r="B42" s="15">
        <v>40</v>
      </c>
      <c r="C42" s="214">
        <f t="shared" ref="C42:M42" si="39">+C39*25%+C43*75%</f>
        <v>1.1018879122294936</v>
      </c>
      <c r="D42" s="14">
        <f t="shared" si="39"/>
        <v>1.1018879122294936</v>
      </c>
      <c r="F42" s="14">
        <f t="shared" si="39"/>
        <v>1.1018879122294936</v>
      </c>
      <c r="G42" s="14">
        <f t="shared" si="39"/>
        <v>1.1018879122294936</v>
      </c>
      <c r="H42" s="14">
        <f t="shared" si="39"/>
        <v>1.1018879122294936</v>
      </c>
      <c r="I42" s="14">
        <f t="shared" si="39"/>
        <v>1.1018879122294936</v>
      </c>
      <c r="J42" s="14">
        <f t="shared" si="39"/>
        <v>1.1018879122294936</v>
      </c>
      <c r="K42" s="14">
        <f t="shared" si="39"/>
        <v>1.1018879122294936</v>
      </c>
      <c r="L42" s="14">
        <f t="shared" si="39"/>
        <v>1.1018879122294936</v>
      </c>
      <c r="M42" s="14">
        <f t="shared" si="39"/>
        <v>1.1018879122294936</v>
      </c>
      <c r="N42" s="14">
        <f>+N39*25%+N43*75%</f>
        <v>1.1018879122294936</v>
      </c>
    </row>
    <row r="43" spans="1:14">
      <c r="A43" s="8">
        <v>10</v>
      </c>
      <c r="B43" s="15">
        <v>41</v>
      </c>
      <c r="C43" s="214">
        <f t="shared" ref="C43:M43" si="40">+C39*1.01</f>
        <v>1.1046221254112045</v>
      </c>
      <c r="D43" s="14">
        <f t="shared" si="40"/>
        <v>1.1046221254112045</v>
      </c>
      <c r="F43" s="14">
        <f t="shared" si="40"/>
        <v>1.1046221254112045</v>
      </c>
      <c r="G43" s="14">
        <f t="shared" si="40"/>
        <v>1.1046221254112045</v>
      </c>
      <c r="H43" s="14">
        <f t="shared" si="40"/>
        <v>1.1046221254112045</v>
      </c>
      <c r="I43" s="14">
        <f t="shared" si="40"/>
        <v>1.1046221254112045</v>
      </c>
      <c r="J43" s="14">
        <f t="shared" si="40"/>
        <v>1.1046221254112045</v>
      </c>
      <c r="K43" s="14">
        <f t="shared" si="40"/>
        <v>1.1046221254112045</v>
      </c>
      <c r="L43" s="14">
        <f t="shared" si="40"/>
        <v>1.1046221254112045</v>
      </c>
      <c r="M43" s="14">
        <f t="shared" si="40"/>
        <v>1.1046221254112045</v>
      </c>
      <c r="N43" s="14">
        <f>+N39*1.01</f>
        <v>1.1046221254112045</v>
      </c>
    </row>
    <row r="44" spans="1:14">
      <c r="A44" s="8">
        <v>10.25</v>
      </c>
      <c r="B44" s="15">
        <v>42</v>
      </c>
      <c r="C44" s="214">
        <f t="shared" ref="C44:M44" si="41">+(C43*75%)+(C47*25%)</f>
        <v>1.1073836807247326</v>
      </c>
      <c r="D44" s="14">
        <f t="shared" si="41"/>
        <v>1.1073836807247326</v>
      </c>
      <c r="F44" s="14">
        <f t="shared" si="41"/>
        <v>1.1073836807247326</v>
      </c>
      <c r="G44" s="14">
        <f t="shared" si="41"/>
        <v>1.1073836807247326</v>
      </c>
      <c r="H44" s="14">
        <f t="shared" si="41"/>
        <v>1.1073836807247326</v>
      </c>
      <c r="I44" s="14">
        <f t="shared" si="41"/>
        <v>1.1073836807247326</v>
      </c>
      <c r="J44" s="14">
        <f t="shared" si="41"/>
        <v>1.1073836807247326</v>
      </c>
      <c r="K44" s="14">
        <f t="shared" si="41"/>
        <v>1.1073836807247326</v>
      </c>
      <c r="L44" s="14">
        <f t="shared" si="41"/>
        <v>1.1073836807247326</v>
      </c>
      <c r="M44" s="14">
        <f t="shared" si="41"/>
        <v>1.1073836807247326</v>
      </c>
      <c r="N44" s="14">
        <f>+(N43*75%)+(N47*25%)</f>
        <v>1.1073836807247326</v>
      </c>
    </row>
    <row r="45" spans="1:14">
      <c r="A45" s="8">
        <v>10.5</v>
      </c>
      <c r="B45" s="15">
        <v>43</v>
      </c>
      <c r="C45" s="214">
        <f t="shared" ref="C45:M45" si="42">+C43*50%+C47*50%</f>
        <v>1.1101452360382607</v>
      </c>
      <c r="D45" s="14">
        <f t="shared" si="42"/>
        <v>1.1101452360382607</v>
      </c>
      <c r="F45" s="14">
        <f t="shared" si="42"/>
        <v>1.1101452360382607</v>
      </c>
      <c r="G45" s="14">
        <f t="shared" si="42"/>
        <v>1.1101452360382607</v>
      </c>
      <c r="H45" s="14">
        <f t="shared" si="42"/>
        <v>1.1101452360382607</v>
      </c>
      <c r="I45" s="14">
        <f t="shared" si="42"/>
        <v>1.1101452360382607</v>
      </c>
      <c r="J45" s="14">
        <f t="shared" si="42"/>
        <v>1.1101452360382607</v>
      </c>
      <c r="K45" s="14">
        <f t="shared" si="42"/>
        <v>1.1101452360382607</v>
      </c>
      <c r="L45" s="14">
        <f t="shared" si="42"/>
        <v>1.1101452360382607</v>
      </c>
      <c r="M45" s="14">
        <f t="shared" si="42"/>
        <v>1.1101452360382607</v>
      </c>
      <c r="N45" s="14">
        <f>+N43*50%+N47*50%</f>
        <v>1.1101452360382607</v>
      </c>
    </row>
    <row r="46" spans="1:14">
      <c r="A46" s="8">
        <v>10.75</v>
      </c>
      <c r="B46" s="15">
        <v>44</v>
      </c>
      <c r="C46" s="214">
        <f t="shared" ref="C46:M46" si="43">+C43*25%+C47*75%</f>
        <v>1.1129067913517887</v>
      </c>
      <c r="D46" s="14">
        <f t="shared" si="43"/>
        <v>1.1129067913517887</v>
      </c>
      <c r="F46" s="14">
        <f t="shared" si="43"/>
        <v>1.1129067913517887</v>
      </c>
      <c r="G46" s="14">
        <f t="shared" si="43"/>
        <v>1.1129067913517887</v>
      </c>
      <c r="H46" s="14">
        <f t="shared" si="43"/>
        <v>1.1129067913517887</v>
      </c>
      <c r="I46" s="14">
        <f t="shared" si="43"/>
        <v>1.1129067913517887</v>
      </c>
      <c r="J46" s="14">
        <f t="shared" si="43"/>
        <v>1.1129067913517887</v>
      </c>
      <c r="K46" s="14">
        <f t="shared" si="43"/>
        <v>1.1129067913517887</v>
      </c>
      <c r="L46" s="14">
        <f t="shared" si="43"/>
        <v>1.1129067913517887</v>
      </c>
      <c r="M46" s="14">
        <f t="shared" si="43"/>
        <v>1.1129067913517887</v>
      </c>
      <c r="N46" s="14">
        <f>+N43*25%+N47*75%</f>
        <v>1.1129067913517887</v>
      </c>
    </row>
    <row r="47" spans="1:14">
      <c r="A47" s="8">
        <v>11</v>
      </c>
      <c r="B47" s="15">
        <v>45</v>
      </c>
      <c r="C47" s="214">
        <f t="shared" ref="C47:M47" si="44">+C43*1.01</f>
        <v>1.1156683466653166</v>
      </c>
      <c r="D47" s="14">
        <f t="shared" si="44"/>
        <v>1.1156683466653166</v>
      </c>
      <c r="F47" s="14">
        <f t="shared" si="44"/>
        <v>1.1156683466653166</v>
      </c>
      <c r="G47" s="14">
        <f t="shared" si="44"/>
        <v>1.1156683466653166</v>
      </c>
      <c r="H47" s="14">
        <f t="shared" si="44"/>
        <v>1.1156683466653166</v>
      </c>
      <c r="I47" s="14">
        <f t="shared" si="44"/>
        <v>1.1156683466653166</v>
      </c>
      <c r="J47" s="14">
        <f t="shared" si="44"/>
        <v>1.1156683466653166</v>
      </c>
      <c r="K47" s="14">
        <f t="shared" si="44"/>
        <v>1.1156683466653166</v>
      </c>
      <c r="L47" s="14">
        <f t="shared" si="44"/>
        <v>1.1156683466653166</v>
      </c>
      <c r="M47" s="14">
        <f t="shared" si="44"/>
        <v>1.1156683466653166</v>
      </c>
      <c r="N47" s="14">
        <f>+N43*1.01</f>
        <v>1.1156683466653166</v>
      </c>
    </row>
    <row r="48" spans="1:14">
      <c r="A48" s="8">
        <v>11.25</v>
      </c>
      <c r="B48" s="15">
        <v>46</v>
      </c>
      <c r="C48" s="214">
        <f t="shared" ref="C48:M48" si="45">+(C47*75%)+(C51*25%)</f>
        <v>1.11845751753198</v>
      </c>
      <c r="D48" s="14">
        <f t="shared" si="45"/>
        <v>1.11845751753198</v>
      </c>
      <c r="F48" s="14">
        <f t="shared" si="45"/>
        <v>1.11845751753198</v>
      </c>
      <c r="G48" s="14">
        <f t="shared" si="45"/>
        <v>1.11845751753198</v>
      </c>
      <c r="H48" s="14">
        <f t="shared" si="45"/>
        <v>1.11845751753198</v>
      </c>
      <c r="I48" s="14">
        <f t="shared" si="45"/>
        <v>1.11845751753198</v>
      </c>
      <c r="J48" s="14">
        <f t="shared" si="45"/>
        <v>1.11845751753198</v>
      </c>
      <c r="K48" s="14">
        <f t="shared" si="45"/>
        <v>1.11845751753198</v>
      </c>
      <c r="L48" s="14">
        <f t="shared" si="45"/>
        <v>1.11845751753198</v>
      </c>
      <c r="M48" s="14">
        <f t="shared" si="45"/>
        <v>1.11845751753198</v>
      </c>
      <c r="N48" s="14">
        <f>+(N47*75%)+(N51*25%)</f>
        <v>1.11845751753198</v>
      </c>
    </row>
    <row r="49" spans="1:14">
      <c r="A49" s="8">
        <v>11.5</v>
      </c>
      <c r="B49" s="15">
        <v>47</v>
      </c>
      <c r="C49" s="214">
        <f t="shared" ref="C49:M49" si="46">+C47*50%+C51*50%</f>
        <v>1.1212466883986432</v>
      </c>
      <c r="D49" s="14">
        <f t="shared" si="46"/>
        <v>1.1212466883986432</v>
      </c>
      <c r="F49" s="14">
        <f t="shared" si="46"/>
        <v>1.1212466883986432</v>
      </c>
      <c r="G49" s="14">
        <f t="shared" si="46"/>
        <v>1.1212466883986432</v>
      </c>
      <c r="H49" s="14">
        <f t="shared" si="46"/>
        <v>1.1212466883986432</v>
      </c>
      <c r="I49" s="14">
        <f t="shared" si="46"/>
        <v>1.1212466883986432</v>
      </c>
      <c r="J49" s="14">
        <f t="shared" si="46"/>
        <v>1.1212466883986432</v>
      </c>
      <c r="K49" s="14">
        <f t="shared" si="46"/>
        <v>1.1212466883986432</v>
      </c>
      <c r="L49" s="14">
        <f t="shared" si="46"/>
        <v>1.1212466883986432</v>
      </c>
      <c r="M49" s="14">
        <f t="shared" si="46"/>
        <v>1.1212466883986432</v>
      </c>
      <c r="N49" s="14">
        <f>+N47*50%+N51*50%</f>
        <v>1.1212466883986432</v>
      </c>
    </row>
    <row r="50" spans="1:14">
      <c r="A50" s="8">
        <v>11.75</v>
      </c>
      <c r="B50" s="15">
        <v>48</v>
      </c>
      <c r="C50" s="214">
        <f t="shared" ref="C50:M50" si="47">+C47*25%+C51*75%</f>
        <v>1.1240358592653064</v>
      </c>
      <c r="D50" s="14">
        <f t="shared" si="47"/>
        <v>1.1240358592653064</v>
      </c>
      <c r="F50" s="14">
        <f t="shared" si="47"/>
        <v>1.1240358592653064</v>
      </c>
      <c r="G50" s="14">
        <f t="shared" si="47"/>
        <v>1.1240358592653064</v>
      </c>
      <c r="H50" s="14">
        <f t="shared" si="47"/>
        <v>1.1240358592653064</v>
      </c>
      <c r="I50" s="14">
        <f t="shared" si="47"/>
        <v>1.1240358592653064</v>
      </c>
      <c r="J50" s="14">
        <f t="shared" si="47"/>
        <v>1.1240358592653064</v>
      </c>
      <c r="K50" s="14">
        <f t="shared" si="47"/>
        <v>1.1240358592653064</v>
      </c>
      <c r="L50" s="14">
        <f t="shared" si="47"/>
        <v>1.1240358592653064</v>
      </c>
      <c r="M50" s="14">
        <f t="shared" si="47"/>
        <v>1.1240358592653064</v>
      </c>
      <c r="N50" s="14">
        <f>+N47*25%+N51*75%</f>
        <v>1.1240358592653064</v>
      </c>
    </row>
    <row r="51" spans="1:14">
      <c r="A51" s="8">
        <v>12</v>
      </c>
      <c r="B51" s="15">
        <v>49</v>
      </c>
      <c r="C51" s="214">
        <f t="shared" ref="C51:M51" si="48">+C47*1.01</f>
        <v>1.1268250301319698</v>
      </c>
      <c r="D51" s="14">
        <f t="shared" si="48"/>
        <v>1.1268250301319698</v>
      </c>
      <c r="F51" s="14">
        <f t="shared" si="48"/>
        <v>1.1268250301319698</v>
      </c>
      <c r="G51" s="14">
        <f t="shared" si="48"/>
        <v>1.1268250301319698</v>
      </c>
      <c r="H51" s="14">
        <f t="shared" si="48"/>
        <v>1.1268250301319698</v>
      </c>
      <c r="I51" s="14">
        <f t="shared" si="48"/>
        <v>1.1268250301319698</v>
      </c>
      <c r="J51" s="14">
        <f t="shared" si="48"/>
        <v>1.1268250301319698</v>
      </c>
      <c r="K51" s="14">
        <f t="shared" si="48"/>
        <v>1.1268250301319698</v>
      </c>
      <c r="L51" s="14">
        <f t="shared" si="48"/>
        <v>1.1268250301319698</v>
      </c>
      <c r="M51" s="14">
        <f t="shared" si="48"/>
        <v>1.1268250301319698</v>
      </c>
      <c r="N51" s="14">
        <f>+N47*1.01</f>
        <v>1.1268250301319698</v>
      </c>
    </row>
    <row r="52" spans="1:14">
      <c r="A52" s="8">
        <v>12.25</v>
      </c>
      <c r="B52" s="15">
        <v>50</v>
      </c>
      <c r="C52" s="214">
        <f t="shared" ref="C52:M52" si="49">+(C51*75%)+(C55*25%)</f>
        <v>1.1296420927072996</v>
      </c>
      <c r="D52" s="14">
        <f t="shared" si="49"/>
        <v>1.1296420927072996</v>
      </c>
      <c r="F52" s="14">
        <f t="shared" si="49"/>
        <v>1.1296420927072996</v>
      </c>
      <c r="G52" s="14">
        <f t="shared" si="49"/>
        <v>1.1296420927072996</v>
      </c>
      <c r="H52" s="14">
        <f t="shared" si="49"/>
        <v>1.1296420927072996</v>
      </c>
      <c r="I52" s="14">
        <f t="shared" si="49"/>
        <v>1.1296420927072996</v>
      </c>
      <c r="J52" s="14">
        <f t="shared" si="49"/>
        <v>1.1296420927072996</v>
      </c>
      <c r="K52" s="14">
        <f t="shared" si="49"/>
        <v>1.1296420927072996</v>
      </c>
      <c r="L52" s="14">
        <f t="shared" si="49"/>
        <v>1.1296420927072996</v>
      </c>
      <c r="M52" s="14">
        <f t="shared" si="49"/>
        <v>1.1296420927072996</v>
      </c>
      <c r="N52" s="14">
        <f>+(N51*75%)+(N55*25%)</f>
        <v>1.1296420927072996</v>
      </c>
    </row>
    <row r="53" spans="1:14">
      <c r="A53" s="8">
        <v>12.5</v>
      </c>
      <c r="B53" s="15">
        <v>51</v>
      </c>
      <c r="C53" s="214">
        <f t="shared" ref="C53:M53" si="50">+C51*50%+C55*50%</f>
        <v>1.1324591552826297</v>
      </c>
      <c r="D53" s="14">
        <f t="shared" si="50"/>
        <v>1.1324591552826297</v>
      </c>
      <c r="F53" s="14">
        <f t="shared" si="50"/>
        <v>1.1324591552826297</v>
      </c>
      <c r="G53" s="14">
        <f t="shared" si="50"/>
        <v>1.1324591552826297</v>
      </c>
      <c r="H53" s="14">
        <f t="shared" si="50"/>
        <v>1.1324591552826297</v>
      </c>
      <c r="I53" s="14">
        <f t="shared" si="50"/>
        <v>1.1324591552826297</v>
      </c>
      <c r="J53" s="14">
        <f t="shared" si="50"/>
        <v>1.1324591552826297</v>
      </c>
      <c r="K53" s="14">
        <f t="shared" si="50"/>
        <v>1.1324591552826297</v>
      </c>
      <c r="L53" s="14">
        <f t="shared" si="50"/>
        <v>1.1324591552826297</v>
      </c>
      <c r="M53" s="14">
        <f t="shared" si="50"/>
        <v>1.1324591552826297</v>
      </c>
      <c r="N53" s="14">
        <f>+N51*50%+N55*50%</f>
        <v>1.1324591552826297</v>
      </c>
    </row>
    <row r="54" spans="1:14">
      <c r="A54" s="8">
        <v>12.75</v>
      </c>
      <c r="B54" s="15">
        <v>52</v>
      </c>
      <c r="C54" s="214">
        <f t="shared" ref="C54:M54" si="51">+C51*25%+C55*75%</f>
        <v>1.1352762178579596</v>
      </c>
      <c r="D54" s="14">
        <f t="shared" si="51"/>
        <v>1.1352762178579596</v>
      </c>
      <c r="F54" s="14">
        <f t="shared" si="51"/>
        <v>1.1352762178579596</v>
      </c>
      <c r="G54" s="14">
        <f t="shared" si="51"/>
        <v>1.1352762178579596</v>
      </c>
      <c r="H54" s="14">
        <f t="shared" si="51"/>
        <v>1.1352762178579596</v>
      </c>
      <c r="I54" s="14">
        <f t="shared" si="51"/>
        <v>1.1352762178579596</v>
      </c>
      <c r="J54" s="14">
        <f t="shared" si="51"/>
        <v>1.1352762178579596</v>
      </c>
      <c r="K54" s="14">
        <f t="shared" si="51"/>
        <v>1.1352762178579596</v>
      </c>
      <c r="L54" s="14">
        <f t="shared" si="51"/>
        <v>1.1352762178579596</v>
      </c>
      <c r="M54" s="14">
        <f t="shared" si="51"/>
        <v>1.1352762178579596</v>
      </c>
      <c r="N54" s="14">
        <f>+N51*25%+N55*75%</f>
        <v>1.1352762178579596</v>
      </c>
    </row>
    <row r="55" spans="1:14">
      <c r="A55" s="8">
        <v>13</v>
      </c>
      <c r="B55" s="15">
        <v>53</v>
      </c>
      <c r="C55" s="214">
        <f t="shared" ref="C55:M55" si="52">+C51*1.01</f>
        <v>1.1380932804332895</v>
      </c>
      <c r="D55" s="14">
        <f t="shared" si="52"/>
        <v>1.1380932804332895</v>
      </c>
      <c r="F55" s="14">
        <f t="shared" si="52"/>
        <v>1.1380932804332895</v>
      </c>
      <c r="G55" s="14">
        <f t="shared" si="52"/>
        <v>1.1380932804332895</v>
      </c>
      <c r="H55" s="14">
        <f t="shared" si="52"/>
        <v>1.1380932804332895</v>
      </c>
      <c r="I55" s="14">
        <f t="shared" si="52"/>
        <v>1.1380932804332895</v>
      </c>
      <c r="J55" s="14">
        <f t="shared" si="52"/>
        <v>1.1380932804332895</v>
      </c>
      <c r="K55" s="14">
        <f t="shared" si="52"/>
        <v>1.1380932804332895</v>
      </c>
      <c r="L55" s="14">
        <f t="shared" si="52"/>
        <v>1.1380932804332895</v>
      </c>
      <c r="M55" s="14">
        <f t="shared" si="52"/>
        <v>1.1380932804332895</v>
      </c>
      <c r="N55" s="14">
        <f>+N51*1.01</f>
        <v>1.1380932804332895</v>
      </c>
    </row>
    <row r="56" spans="1:14">
      <c r="A56" s="8">
        <v>13.25</v>
      </c>
      <c r="B56" s="15">
        <v>54</v>
      </c>
      <c r="C56" s="214">
        <f t="shared" ref="C56:M56" si="53">+(C55*75%)+(C59*25%)</f>
        <v>1.1409385136343726</v>
      </c>
      <c r="D56" s="14">
        <f t="shared" si="53"/>
        <v>1.1409385136343726</v>
      </c>
      <c r="F56" s="14">
        <f t="shared" si="53"/>
        <v>1.1409385136343726</v>
      </c>
      <c r="G56" s="14">
        <f t="shared" si="53"/>
        <v>1.1409385136343726</v>
      </c>
      <c r="H56" s="14">
        <f t="shared" si="53"/>
        <v>1.1409385136343726</v>
      </c>
      <c r="I56" s="14">
        <f t="shared" si="53"/>
        <v>1.1409385136343726</v>
      </c>
      <c r="J56" s="14">
        <f t="shared" si="53"/>
        <v>1.1409385136343726</v>
      </c>
      <c r="K56" s="14">
        <f t="shared" si="53"/>
        <v>1.1409385136343726</v>
      </c>
      <c r="L56" s="14">
        <f t="shared" si="53"/>
        <v>1.1409385136343726</v>
      </c>
      <c r="M56" s="14">
        <f t="shared" si="53"/>
        <v>1.1409385136343726</v>
      </c>
      <c r="N56" s="14">
        <f>+(N55*75%)+(N59*25%)</f>
        <v>1.1409385136343726</v>
      </c>
    </row>
    <row r="57" spans="1:14">
      <c r="A57" s="8">
        <v>13.5</v>
      </c>
      <c r="B57" s="15">
        <v>55</v>
      </c>
      <c r="C57" s="214">
        <f t="shared" ref="C57:M57" si="54">+C55*50%+C59*50%</f>
        <v>1.1437837468354559</v>
      </c>
      <c r="D57" s="14">
        <f t="shared" si="54"/>
        <v>1.1437837468354559</v>
      </c>
      <c r="F57" s="14">
        <f t="shared" si="54"/>
        <v>1.1437837468354559</v>
      </c>
      <c r="G57" s="14">
        <f t="shared" si="54"/>
        <v>1.1437837468354559</v>
      </c>
      <c r="H57" s="14">
        <f t="shared" si="54"/>
        <v>1.1437837468354559</v>
      </c>
      <c r="I57" s="14">
        <f t="shared" si="54"/>
        <v>1.1437837468354559</v>
      </c>
      <c r="J57" s="14">
        <f t="shared" si="54"/>
        <v>1.1437837468354559</v>
      </c>
      <c r="K57" s="14">
        <f t="shared" si="54"/>
        <v>1.1437837468354559</v>
      </c>
      <c r="L57" s="14">
        <f t="shared" si="54"/>
        <v>1.1437837468354559</v>
      </c>
      <c r="M57" s="14">
        <f t="shared" si="54"/>
        <v>1.1437837468354559</v>
      </c>
      <c r="N57" s="14">
        <f>+N55*50%+N59*50%</f>
        <v>1.1437837468354559</v>
      </c>
    </row>
    <row r="58" spans="1:14">
      <c r="A58" s="8">
        <v>13.75</v>
      </c>
      <c r="B58" s="15">
        <v>56</v>
      </c>
      <c r="C58" s="214">
        <f t="shared" ref="C58:M58" si="55">+C55*25%+C59*75%</f>
        <v>1.1466289800365392</v>
      </c>
      <c r="D58" s="14">
        <f t="shared" si="55"/>
        <v>1.1466289800365392</v>
      </c>
      <c r="F58" s="14">
        <f t="shared" si="55"/>
        <v>1.1466289800365392</v>
      </c>
      <c r="G58" s="14">
        <f t="shared" si="55"/>
        <v>1.1466289800365392</v>
      </c>
      <c r="H58" s="14">
        <f t="shared" si="55"/>
        <v>1.1466289800365392</v>
      </c>
      <c r="I58" s="14">
        <f t="shared" si="55"/>
        <v>1.1466289800365392</v>
      </c>
      <c r="J58" s="14">
        <f t="shared" si="55"/>
        <v>1.1466289800365392</v>
      </c>
      <c r="K58" s="14">
        <f t="shared" si="55"/>
        <v>1.1466289800365392</v>
      </c>
      <c r="L58" s="14">
        <f t="shared" si="55"/>
        <v>1.1466289800365392</v>
      </c>
      <c r="M58" s="14">
        <f t="shared" si="55"/>
        <v>1.1466289800365392</v>
      </c>
      <c r="N58" s="14">
        <f>+N55*25%+N59*75%</f>
        <v>1.1466289800365392</v>
      </c>
    </row>
    <row r="59" spans="1:14">
      <c r="A59" s="8">
        <v>14</v>
      </c>
      <c r="B59" s="15">
        <v>57</v>
      </c>
      <c r="C59" s="214">
        <f t="shared" ref="C59:M59" si="56">+C55*1.01</f>
        <v>1.1494742132376223</v>
      </c>
      <c r="D59" s="14">
        <f t="shared" si="56"/>
        <v>1.1494742132376223</v>
      </c>
      <c r="F59" s="14">
        <f t="shared" si="56"/>
        <v>1.1494742132376223</v>
      </c>
      <c r="G59" s="14">
        <f t="shared" si="56"/>
        <v>1.1494742132376223</v>
      </c>
      <c r="H59" s="14">
        <f t="shared" si="56"/>
        <v>1.1494742132376223</v>
      </c>
      <c r="I59" s="14">
        <f t="shared" si="56"/>
        <v>1.1494742132376223</v>
      </c>
      <c r="J59" s="14">
        <f t="shared" si="56"/>
        <v>1.1494742132376223</v>
      </c>
      <c r="K59" s="14">
        <f t="shared" si="56"/>
        <v>1.1494742132376223</v>
      </c>
      <c r="L59" s="14">
        <f t="shared" si="56"/>
        <v>1.1494742132376223</v>
      </c>
      <c r="M59" s="14">
        <f t="shared" si="56"/>
        <v>1.1494742132376223</v>
      </c>
      <c r="N59" s="14">
        <f>+N55*1.01</f>
        <v>1.1494742132376223</v>
      </c>
    </row>
    <row r="60" spans="1:14">
      <c r="A60" s="8">
        <v>14.25</v>
      </c>
      <c r="B60" s="15">
        <v>58</v>
      </c>
      <c r="C60" s="214">
        <f t="shared" ref="C60:M60" si="57">+(C59*75%)+(C63*25%)</f>
        <v>1.1523478987707163</v>
      </c>
      <c r="D60" s="14">
        <f t="shared" si="57"/>
        <v>1.1523478987707163</v>
      </c>
      <c r="F60" s="14">
        <f t="shared" si="57"/>
        <v>1.1523478987707163</v>
      </c>
      <c r="G60" s="14">
        <f t="shared" si="57"/>
        <v>1.1523478987707163</v>
      </c>
      <c r="H60" s="14">
        <f t="shared" si="57"/>
        <v>1.1523478987707163</v>
      </c>
      <c r="I60" s="14">
        <f t="shared" si="57"/>
        <v>1.1523478987707163</v>
      </c>
      <c r="J60" s="14">
        <f t="shared" si="57"/>
        <v>1.1523478987707163</v>
      </c>
      <c r="K60" s="14">
        <f t="shared" si="57"/>
        <v>1.1523478987707163</v>
      </c>
      <c r="L60" s="14">
        <f t="shared" si="57"/>
        <v>1.1523478987707163</v>
      </c>
      <c r="M60" s="14">
        <f t="shared" si="57"/>
        <v>1.1523478987707163</v>
      </c>
      <c r="N60" s="14">
        <f>+(N59*75%)+(N63*25%)</f>
        <v>1.1523478987707163</v>
      </c>
    </row>
    <row r="61" spans="1:14">
      <c r="A61" s="8">
        <v>14.5</v>
      </c>
      <c r="B61" s="15">
        <v>59</v>
      </c>
      <c r="C61" s="214">
        <f t="shared" ref="C61:M61" si="58">+C59*50%+C63*50%</f>
        <v>1.1552215843038105</v>
      </c>
      <c r="D61" s="14">
        <f t="shared" si="58"/>
        <v>1.1552215843038105</v>
      </c>
      <c r="F61" s="14">
        <f t="shared" si="58"/>
        <v>1.1552215843038105</v>
      </c>
      <c r="G61" s="14">
        <f t="shared" si="58"/>
        <v>1.1552215843038105</v>
      </c>
      <c r="H61" s="14">
        <f t="shared" si="58"/>
        <v>1.1552215843038105</v>
      </c>
      <c r="I61" s="14">
        <f t="shared" si="58"/>
        <v>1.1552215843038105</v>
      </c>
      <c r="J61" s="14">
        <f t="shared" si="58"/>
        <v>1.1552215843038105</v>
      </c>
      <c r="K61" s="14">
        <f t="shared" si="58"/>
        <v>1.1552215843038105</v>
      </c>
      <c r="L61" s="14">
        <f t="shared" si="58"/>
        <v>1.1552215843038105</v>
      </c>
      <c r="M61" s="14">
        <f t="shared" si="58"/>
        <v>1.1552215843038105</v>
      </c>
      <c r="N61" s="14">
        <f>+N59*50%+N63*50%</f>
        <v>1.1552215843038105</v>
      </c>
    </row>
    <row r="62" spans="1:14">
      <c r="A62" s="8">
        <v>14.75</v>
      </c>
      <c r="B62" s="15">
        <v>60</v>
      </c>
      <c r="C62" s="214">
        <f t="shared" ref="C62:M62" si="59">+C59*25%+C63*75%</f>
        <v>1.1580952698369047</v>
      </c>
      <c r="D62" s="14">
        <f t="shared" si="59"/>
        <v>1.1580952698369047</v>
      </c>
      <c r="F62" s="14">
        <f t="shared" si="59"/>
        <v>1.1580952698369047</v>
      </c>
      <c r="G62" s="14">
        <f t="shared" si="59"/>
        <v>1.1580952698369047</v>
      </c>
      <c r="H62" s="14">
        <f t="shared" si="59"/>
        <v>1.1580952698369047</v>
      </c>
      <c r="I62" s="14">
        <f t="shared" si="59"/>
        <v>1.1580952698369047</v>
      </c>
      <c r="J62" s="14">
        <f t="shared" si="59"/>
        <v>1.1580952698369047</v>
      </c>
      <c r="K62" s="14">
        <f t="shared" si="59"/>
        <v>1.1580952698369047</v>
      </c>
      <c r="L62" s="14">
        <f t="shared" si="59"/>
        <v>1.1580952698369047</v>
      </c>
      <c r="M62" s="14">
        <f t="shared" si="59"/>
        <v>1.1580952698369047</v>
      </c>
      <c r="N62" s="14">
        <f>+N59*25%+N63*75%</f>
        <v>1.1580952698369047</v>
      </c>
    </row>
    <row r="63" spans="1:14">
      <c r="A63" s="8">
        <v>15</v>
      </c>
      <c r="B63" s="15">
        <v>61</v>
      </c>
      <c r="C63" s="214">
        <f t="shared" ref="C63:M63" si="60">+C59*1.01</f>
        <v>1.1609689553699987</v>
      </c>
      <c r="D63" s="14">
        <f t="shared" si="60"/>
        <v>1.1609689553699987</v>
      </c>
      <c r="F63" s="14">
        <f t="shared" si="60"/>
        <v>1.1609689553699987</v>
      </c>
      <c r="G63" s="14">
        <f t="shared" si="60"/>
        <v>1.1609689553699987</v>
      </c>
      <c r="H63" s="14">
        <f t="shared" si="60"/>
        <v>1.1609689553699987</v>
      </c>
      <c r="I63" s="14">
        <f t="shared" si="60"/>
        <v>1.1609689553699987</v>
      </c>
      <c r="J63" s="14">
        <f t="shared" si="60"/>
        <v>1.1609689553699987</v>
      </c>
      <c r="K63" s="14">
        <f t="shared" si="60"/>
        <v>1.1609689553699987</v>
      </c>
      <c r="L63" s="14">
        <f t="shared" si="60"/>
        <v>1.1609689553699987</v>
      </c>
      <c r="M63" s="14">
        <f t="shared" si="60"/>
        <v>1.1609689553699987</v>
      </c>
      <c r="N63" s="14">
        <f>+N59*1.01</f>
        <v>1.1609689553699987</v>
      </c>
    </row>
    <row r="64" spans="1:14">
      <c r="A64" s="8">
        <v>15.25</v>
      </c>
      <c r="B64" s="15">
        <v>62</v>
      </c>
      <c r="C64" s="214">
        <f t="shared" ref="C64:M64" si="61">+(C63*75%)+(C67*25%)</f>
        <v>1.1638713777584235</v>
      </c>
      <c r="D64" s="14">
        <f t="shared" si="61"/>
        <v>1.1638713777584235</v>
      </c>
      <c r="F64" s="14">
        <f t="shared" si="61"/>
        <v>1.1638713777584235</v>
      </c>
      <c r="G64" s="14">
        <f t="shared" si="61"/>
        <v>1.1638713777584235</v>
      </c>
      <c r="H64" s="14">
        <f t="shared" si="61"/>
        <v>1.1638713777584235</v>
      </c>
      <c r="I64" s="14">
        <f t="shared" si="61"/>
        <v>1.1638713777584235</v>
      </c>
      <c r="J64" s="14">
        <f t="shared" si="61"/>
        <v>1.1638713777584235</v>
      </c>
      <c r="K64" s="14">
        <f t="shared" si="61"/>
        <v>1.1638713777584235</v>
      </c>
      <c r="L64" s="14">
        <f t="shared" si="61"/>
        <v>1.1638713777584235</v>
      </c>
      <c r="M64" s="14">
        <f t="shared" si="61"/>
        <v>1.1638713777584235</v>
      </c>
      <c r="N64" s="14">
        <f>+(N63*75%)+(N67*25%)</f>
        <v>1.1638713777584235</v>
      </c>
    </row>
    <row r="65" spans="1:14">
      <c r="A65" s="8">
        <v>15.5</v>
      </c>
      <c r="B65" s="15">
        <v>63</v>
      </c>
      <c r="C65" s="214">
        <f t="shared" ref="C65:M65" si="62">+C63*50%+C67*50%</f>
        <v>1.1667738001468486</v>
      </c>
      <c r="D65" s="14">
        <f t="shared" si="62"/>
        <v>1.1667738001468486</v>
      </c>
      <c r="F65" s="14">
        <f t="shared" si="62"/>
        <v>1.1667738001468486</v>
      </c>
      <c r="G65" s="14">
        <f t="shared" si="62"/>
        <v>1.1667738001468486</v>
      </c>
      <c r="H65" s="14">
        <f t="shared" si="62"/>
        <v>1.1667738001468486</v>
      </c>
      <c r="I65" s="14">
        <f t="shared" si="62"/>
        <v>1.1667738001468486</v>
      </c>
      <c r="J65" s="14">
        <f t="shared" si="62"/>
        <v>1.1667738001468486</v>
      </c>
      <c r="K65" s="14">
        <f t="shared" si="62"/>
        <v>1.1667738001468486</v>
      </c>
      <c r="L65" s="14">
        <f t="shared" si="62"/>
        <v>1.1667738001468486</v>
      </c>
      <c r="M65" s="14">
        <f t="shared" si="62"/>
        <v>1.1667738001468486</v>
      </c>
      <c r="N65" s="14">
        <f>+N63*50%+N67*50%</f>
        <v>1.1667738001468486</v>
      </c>
    </row>
    <row r="66" spans="1:14">
      <c r="A66" s="8">
        <v>15.75</v>
      </c>
      <c r="B66" s="15">
        <v>64</v>
      </c>
      <c r="C66" s="214">
        <f t="shared" ref="C66:M66" si="63">+C63*25%+C67*75%</f>
        <v>1.1696762225352737</v>
      </c>
      <c r="D66" s="14">
        <f t="shared" si="63"/>
        <v>1.1696762225352737</v>
      </c>
      <c r="F66" s="14">
        <f t="shared" si="63"/>
        <v>1.1696762225352737</v>
      </c>
      <c r="G66" s="14">
        <f t="shared" si="63"/>
        <v>1.1696762225352737</v>
      </c>
      <c r="H66" s="14">
        <f t="shared" si="63"/>
        <v>1.1696762225352737</v>
      </c>
      <c r="I66" s="14">
        <f t="shared" si="63"/>
        <v>1.1696762225352737</v>
      </c>
      <c r="J66" s="14">
        <f t="shared" si="63"/>
        <v>1.1696762225352737</v>
      </c>
      <c r="K66" s="14">
        <f t="shared" si="63"/>
        <v>1.1696762225352737</v>
      </c>
      <c r="L66" s="14">
        <f t="shared" si="63"/>
        <v>1.1696762225352737</v>
      </c>
      <c r="M66" s="14">
        <f t="shared" si="63"/>
        <v>1.1696762225352737</v>
      </c>
      <c r="N66" s="14">
        <f>+N63*25%+N67*75%</f>
        <v>1.1696762225352737</v>
      </c>
    </row>
    <row r="67" spans="1:14">
      <c r="A67" s="8">
        <v>16</v>
      </c>
      <c r="B67" s="15">
        <v>65</v>
      </c>
      <c r="C67" s="214">
        <f t="shared" ref="C67:M67" si="64">+C63*1.01</f>
        <v>1.1725786449236986</v>
      </c>
      <c r="D67" s="14">
        <f t="shared" si="64"/>
        <v>1.1725786449236986</v>
      </c>
      <c r="F67" s="14">
        <f t="shared" si="64"/>
        <v>1.1725786449236986</v>
      </c>
      <c r="G67" s="14">
        <f t="shared" si="64"/>
        <v>1.1725786449236986</v>
      </c>
      <c r="H67" s="14">
        <f t="shared" si="64"/>
        <v>1.1725786449236986</v>
      </c>
      <c r="I67" s="14">
        <f t="shared" si="64"/>
        <v>1.1725786449236986</v>
      </c>
      <c r="J67" s="14">
        <f t="shared" si="64"/>
        <v>1.1725786449236986</v>
      </c>
      <c r="K67" s="14">
        <f t="shared" si="64"/>
        <v>1.1725786449236986</v>
      </c>
      <c r="L67" s="14">
        <f t="shared" si="64"/>
        <v>1.1725786449236986</v>
      </c>
      <c r="M67" s="14">
        <f t="shared" si="64"/>
        <v>1.1725786449236986</v>
      </c>
      <c r="N67" s="14">
        <f>+N63*1.01</f>
        <v>1.1725786449236986</v>
      </c>
    </row>
    <row r="68" spans="1:14">
      <c r="A68" s="8">
        <v>16.25</v>
      </c>
      <c r="B68" s="15">
        <v>66</v>
      </c>
      <c r="C68" s="214">
        <f t="shared" ref="C68:M68" si="65">+(C67*75%)+(C71*25%)</f>
        <v>1.1755100915360077</v>
      </c>
      <c r="D68" s="14">
        <f t="shared" si="65"/>
        <v>1.1755100915360077</v>
      </c>
      <c r="F68" s="14">
        <f t="shared" si="65"/>
        <v>1.1755100915360077</v>
      </c>
      <c r="G68" s="14">
        <f t="shared" si="65"/>
        <v>1.1755100915360077</v>
      </c>
      <c r="H68" s="14">
        <f t="shared" si="65"/>
        <v>1.1755100915360077</v>
      </c>
      <c r="I68" s="14">
        <f t="shared" si="65"/>
        <v>1.1755100915360077</v>
      </c>
      <c r="J68" s="14">
        <f t="shared" si="65"/>
        <v>1.1755100915360077</v>
      </c>
      <c r="K68" s="14">
        <f t="shared" si="65"/>
        <v>1.1755100915360077</v>
      </c>
      <c r="L68" s="14">
        <f t="shared" si="65"/>
        <v>1.1755100915360077</v>
      </c>
      <c r="M68" s="14">
        <f t="shared" si="65"/>
        <v>1.1755100915360077</v>
      </c>
      <c r="N68" s="14">
        <f>+(N67*75%)+(N71*25%)</f>
        <v>1.1755100915360077</v>
      </c>
    </row>
    <row r="69" spans="1:14">
      <c r="A69" s="8">
        <v>16.5</v>
      </c>
      <c r="B69" s="15">
        <v>67</v>
      </c>
      <c r="C69" s="214">
        <f t="shared" ref="C69:M69" si="66">+C67*50%+C71*50%</f>
        <v>1.1784415381483171</v>
      </c>
      <c r="D69" s="14">
        <f t="shared" si="66"/>
        <v>1.1784415381483171</v>
      </c>
      <c r="F69" s="14">
        <f t="shared" si="66"/>
        <v>1.1784415381483171</v>
      </c>
      <c r="G69" s="14">
        <f t="shared" si="66"/>
        <v>1.1784415381483171</v>
      </c>
      <c r="H69" s="14">
        <f t="shared" si="66"/>
        <v>1.1784415381483171</v>
      </c>
      <c r="I69" s="14">
        <f t="shared" si="66"/>
        <v>1.1784415381483171</v>
      </c>
      <c r="J69" s="14">
        <f t="shared" si="66"/>
        <v>1.1784415381483171</v>
      </c>
      <c r="K69" s="14">
        <f t="shared" si="66"/>
        <v>1.1784415381483171</v>
      </c>
      <c r="L69" s="14">
        <f t="shared" si="66"/>
        <v>1.1784415381483171</v>
      </c>
      <c r="M69" s="14">
        <f t="shared" si="66"/>
        <v>1.1784415381483171</v>
      </c>
      <c r="N69" s="14">
        <f>+N67*50%+N71*50%</f>
        <v>1.1784415381483171</v>
      </c>
    </row>
    <row r="70" spans="1:14">
      <c r="A70" s="8">
        <v>16.75</v>
      </c>
      <c r="B70" s="15">
        <v>68</v>
      </c>
      <c r="C70" s="214">
        <f t="shared" ref="C70:M70" si="67">+C67*25%+C71*75%</f>
        <v>1.1813729847606265</v>
      </c>
      <c r="D70" s="14">
        <f t="shared" si="67"/>
        <v>1.1813729847606265</v>
      </c>
      <c r="F70" s="14">
        <f t="shared" si="67"/>
        <v>1.1813729847606265</v>
      </c>
      <c r="G70" s="14">
        <f t="shared" si="67"/>
        <v>1.1813729847606265</v>
      </c>
      <c r="H70" s="14">
        <f t="shared" si="67"/>
        <v>1.1813729847606265</v>
      </c>
      <c r="I70" s="14">
        <f t="shared" si="67"/>
        <v>1.1813729847606265</v>
      </c>
      <c r="J70" s="14">
        <f t="shared" si="67"/>
        <v>1.1813729847606265</v>
      </c>
      <c r="K70" s="14">
        <f t="shared" si="67"/>
        <v>1.1813729847606265</v>
      </c>
      <c r="L70" s="14">
        <f t="shared" si="67"/>
        <v>1.1813729847606265</v>
      </c>
      <c r="M70" s="14">
        <f t="shared" si="67"/>
        <v>1.1813729847606265</v>
      </c>
      <c r="N70" s="14">
        <f>+N67*25%+N71*75%</f>
        <v>1.1813729847606265</v>
      </c>
    </row>
    <row r="71" spans="1:14">
      <c r="A71" s="8">
        <v>17</v>
      </c>
      <c r="B71" s="15">
        <v>69</v>
      </c>
      <c r="C71" s="214">
        <f t="shared" ref="C71:M71" si="68">+C67*1.01</f>
        <v>1.1843044313729356</v>
      </c>
      <c r="D71" s="14">
        <f t="shared" si="68"/>
        <v>1.1843044313729356</v>
      </c>
      <c r="F71" s="14">
        <f t="shared" si="68"/>
        <v>1.1843044313729356</v>
      </c>
      <c r="G71" s="14">
        <f t="shared" si="68"/>
        <v>1.1843044313729356</v>
      </c>
      <c r="H71" s="14">
        <f t="shared" si="68"/>
        <v>1.1843044313729356</v>
      </c>
      <c r="I71" s="14">
        <f t="shared" si="68"/>
        <v>1.1843044313729356</v>
      </c>
      <c r="J71" s="14">
        <f t="shared" si="68"/>
        <v>1.1843044313729356</v>
      </c>
      <c r="K71" s="14">
        <f t="shared" si="68"/>
        <v>1.1843044313729356</v>
      </c>
      <c r="L71" s="14">
        <f t="shared" si="68"/>
        <v>1.1843044313729356</v>
      </c>
      <c r="M71" s="14">
        <f t="shared" si="68"/>
        <v>1.1843044313729356</v>
      </c>
      <c r="N71" s="14">
        <f>+N67*1.01</f>
        <v>1.1843044313729356</v>
      </c>
    </row>
    <row r="72" spans="1:14">
      <c r="A72" s="8">
        <v>17.25</v>
      </c>
      <c r="B72" s="15">
        <v>70</v>
      </c>
      <c r="C72" s="214">
        <f t="shared" ref="C72:M72" si="69">+(C71*75%)+(C75*25%)</f>
        <v>1.187265192451368</v>
      </c>
      <c r="D72" s="14">
        <f t="shared" si="69"/>
        <v>1.187265192451368</v>
      </c>
      <c r="F72" s="14">
        <f t="shared" si="69"/>
        <v>1.187265192451368</v>
      </c>
      <c r="G72" s="14">
        <f t="shared" si="69"/>
        <v>1.187265192451368</v>
      </c>
      <c r="H72" s="14">
        <f t="shared" si="69"/>
        <v>1.187265192451368</v>
      </c>
      <c r="I72" s="14">
        <f t="shared" si="69"/>
        <v>1.187265192451368</v>
      </c>
      <c r="J72" s="14">
        <f t="shared" si="69"/>
        <v>1.187265192451368</v>
      </c>
      <c r="K72" s="14">
        <f t="shared" si="69"/>
        <v>1.187265192451368</v>
      </c>
      <c r="L72" s="14">
        <f t="shared" si="69"/>
        <v>1.187265192451368</v>
      </c>
      <c r="M72" s="14">
        <f t="shared" si="69"/>
        <v>1.187265192451368</v>
      </c>
      <c r="N72" s="14">
        <f>+(N71*75%)+(N75*25%)</f>
        <v>1.187265192451368</v>
      </c>
    </row>
    <row r="73" spans="1:14">
      <c r="A73" s="8">
        <v>17.5</v>
      </c>
      <c r="B73" s="15">
        <v>71</v>
      </c>
      <c r="C73" s="214">
        <f t="shared" ref="C73:M73" si="70">+C71*50%+C75*50%</f>
        <v>1.1902259535298003</v>
      </c>
      <c r="D73" s="14">
        <f t="shared" si="70"/>
        <v>1.1902259535298003</v>
      </c>
      <c r="F73" s="14">
        <f t="shared" si="70"/>
        <v>1.1902259535298003</v>
      </c>
      <c r="G73" s="14">
        <f t="shared" si="70"/>
        <v>1.1902259535298003</v>
      </c>
      <c r="H73" s="14">
        <f t="shared" si="70"/>
        <v>1.1902259535298003</v>
      </c>
      <c r="I73" s="14">
        <f t="shared" si="70"/>
        <v>1.1902259535298003</v>
      </c>
      <c r="J73" s="14">
        <f t="shared" si="70"/>
        <v>1.1902259535298003</v>
      </c>
      <c r="K73" s="14">
        <f t="shared" si="70"/>
        <v>1.1902259535298003</v>
      </c>
      <c r="L73" s="14">
        <f t="shared" si="70"/>
        <v>1.1902259535298003</v>
      </c>
      <c r="M73" s="14">
        <f t="shared" si="70"/>
        <v>1.1902259535298003</v>
      </c>
      <c r="N73" s="14">
        <f>+N71*50%+N75*50%</f>
        <v>1.1902259535298003</v>
      </c>
    </row>
    <row r="74" spans="1:14">
      <c r="A74" s="8">
        <v>17.75</v>
      </c>
      <c r="B74" s="15">
        <v>72</v>
      </c>
      <c r="C74" s="214">
        <f t="shared" ref="C74:M74" si="71">+C71*25%+C75*75%</f>
        <v>1.1931867146082327</v>
      </c>
      <c r="D74" s="14">
        <f t="shared" si="71"/>
        <v>1.1931867146082327</v>
      </c>
      <c r="F74" s="14">
        <f t="shared" si="71"/>
        <v>1.1931867146082327</v>
      </c>
      <c r="G74" s="14">
        <f t="shared" si="71"/>
        <v>1.1931867146082327</v>
      </c>
      <c r="H74" s="14">
        <f t="shared" si="71"/>
        <v>1.1931867146082327</v>
      </c>
      <c r="I74" s="14">
        <f t="shared" si="71"/>
        <v>1.1931867146082327</v>
      </c>
      <c r="J74" s="14">
        <f t="shared" si="71"/>
        <v>1.1931867146082327</v>
      </c>
      <c r="K74" s="14">
        <f t="shared" si="71"/>
        <v>1.1931867146082327</v>
      </c>
      <c r="L74" s="14">
        <f t="shared" si="71"/>
        <v>1.1931867146082327</v>
      </c>
      <c r="M74" s="14">
        <f t="shared" si="71"/>
        <v>1.1931867146082327</v>
      </c>
      <c r="N74" s="14">
        <f>+N71*25%+N75*75%</f>
        <v>1.1931867146082327</v>
      </c>
    </row>
    <row r="75" spans="1:14">
      <c r="A75" s="8">
        <v>18</v>
      </c>
      <c r="B75" s="15">
        <v>73</v>
      </c>
      <c r="C75" s="214">
        <f t="shared" ref="C75:M75" si="72">+C71*1.01</f>
        <v>1.196147475686665</v>
      </c>
      <c r="D75" s="14">
        <f t="shared" si="72"/>
        <v>1.196147475686665</v>
      </c>
      <c r="F75" s="14">
        <f t="shared" si="72"/>
        <v>1.196147475686665</v>
      </c>
      <c r="G75" s="14">
        <f t="shared" si="72"/>
        <v>1.196147475686665</v>
      </c>
      <c r="H75" s="14">
        <f t="shared" si="72"/>
        <v>1.196147475686665</v>
      </c>
      <c r="I75" s="14">
        <f t="shared" si="72"/>
        <v>1.196147475686665</v>
      </c>
      <c r="J75" s="14">
        <f t="shared" si="72"/>
        <v>1.196147475686665</v>
      </c>
      <c r="K75" s="14">
        <f t="shared" si="72"/>
        <v>1.196147475686665</v>
      </c>
      <c r="L75" s="14">
        <f t="shared" si="72"/>
        <v>1.196147475686665</v>
      </c>
      <c r="M75" s="14">
        <f t="shared" si="72"/>
        <v>1.196147475686665</v>
      </c>
      <c r="N75" s="14">
        <f>+N71*1.01</f>
        <v>1.196147475686665</v>
      </c>
    </row>
    <row r="76" spans="1:14">
      <c r="A76" s="8">
        <v>18.25</v>
      </c>
      <c r="B76" s="15">
        <v>74</v>
      </c>
      <c r="C76" s="214">
        <f t="shared" ref="C76:M76" si="73">+(C75*75%)+(C79*25%)</f>
        <v>1.1991378443758816</v>
      </c>
      <c r="D76" s="14">
        <f t="shared" si="73"/>
        <v>1.1991378443758816</v>
      </c>
      <c r="F76" s="14">
        <f t="shared" si="73"/>
        <v>1.1991378443758816</v>
      </c>
      <c r="G76" s="14">
        <f t="shared" si="73"/>
        <v>1.1991378443758816</v>
      </c>
      <c r="H76" s="14">
        <f t="shared" si="73"/>
        <v>1.1991378443758816</v>
      </c>
      <c r="I76" s="14">
        <f t="shared" si="73"/>
        <v>1.1991378443758816</v>
      </c>
      <c r="J76" s="14">
        <f t="shared" si="73"/>
        <v>1.1991378443758816</v>
      </c>
      <c r="K76" s="14">
        <f t="shared" si="73"/>
        <v>1.1991378443758816</v>
      </c>
      <c r="L76" s="14">
        <f t="shared" si="73"/>
        <v>1.1991378443758816</v>
      </c>
      <c r="M76" s="14">
        <f t="shared" si="73"/>
        <v>1.1991378443758816</v>
      </c>
      <c r="N76" s="14">
        <f>+(N75*75%)+(N79*25%)</f>
        <v>1.1991378443758816</v>
      </c>
    </row>
    <row r="77" spans="1:14">
      <c r="A77" s="8">
        <v>18.5</v>
      </c>
      <c r="B77" s="15">
        <v>75</v>
      </c>
      <c r="C77" s="214">
        <f t="shared" ref="C77:M77" si="74">+C75*50%+C79*50%</f>
        <v>1.2021282130650983</v>
      </c>
      <c r="D77" s="14">
        <f t="shared" si="74"/>
        <v>1.2021282130650983</v>
      </c>
      <c r="F77" s="14">
        <f t="shared" si="74"/>
        <v>1.2021282130650983</v>
      </c>
      <c r="G77" s="14">
        <f t="shared" si="74"/>
        <v>1.2021282130650983</v>
      </c>
      <c r="H77" s="14">
        <f t="shared" si="74"/>
        <v>1.2021282130650983</v>
      </c>
      <c r="I77" s="14">
        <f t="shared" si="74"/>
        <v>1.2021282130650983</v>
      </c>
      <c r="J77" s="14">
        <f t="shared" si="74"/>
        <v>1.2021282130650983</v>
      </c>
      <c r="K77" s="14">
        <f t="shared" si="74"/>
        <v>1.2021282130650983</v>
      </c>
      <c r="L77" s="14">
        <f t="shared" si="74"/>
        <v>1.2021282130650983</v>
      </c>
      <c r="M77" s="14">
        <f t="shared" si="74"/>
        <v>1.2021282130650983</v>
      </c>
      <c r="N77" s="14">
        <f>+N75*50%+N79*50%</f>
        <v>1.2021282130650983</v>
      </c>
    </row>
    <row r="78" spans="1:14">
      <c r="A78" s="8">
        <v>18.75</v>
      </c>
      <c r="B78" s="15">
        <v>76</v>
      </c>
      <c r="C78" s="214">
        <f t="shared" ref="C78:M78" si="75">+C75*25%+C79*75%</f>
        <v>1.2051185817543151</v>
      </c>
      <c r="D78" s="14">
        <f t="shared" si="75"/>
        <v>1.2051185817543151</v>
      </c>
      <c r="F78" s="14">
        <f t="shared" si="75"/>
        <v>1.2051185817543151</v>
      </c>
      <c r="G78" s="14">
        <f t="shared" si="75"/>
        <v>1.2051185817543151</v>
      </c>
      <c r="H78" s="14">
        <f t="shared" si="75"/>
        <v>1.2051185817543151</v>
      </c>
      <c r="I78" s="14">
        <f t="shared" si="75"/>
        <v>1.2051185817543151</v>
      </c>
      <c r="J78" s="14">
        <f t="shared" si="75"/>
        <v>1.2051185817543151</v>
      </c>
      <c r="K78" s="14">
        <f t="shared" si="75"/>
        <v>1.2051185817543151</v>
      </c>
      <c r="L78" s="14">
        <f t="shared" si="75"/>
        <v>1.2051185817543151</v>
      </c>
      <c r="M78" s="14">
        <f t="shared" si="75"/>
        <v>1.2051185817543151</v>
      </c>
      <c r="N78" s="14">
        <f>+N75*25%+N79*75%</f>
        <v>1.2051185817543151</v>
      </c>
    </row>
    <row r="79" spans="1:14">
      <c r="A79" s="8">
        <v>19</v>
      </c>
      <c r="B79" s="15">
        <v>77</v>
      </c>
      <c r="C79" s="214">
        <f t="shared" ref="C79:M79" si="76">+C75*1.01</f>
        <v>1.2081089504435316</v>
      </c>
      <c r="D79" s="14">
        <f t="shared" si="76"/>
        <v>1.2081089504435316</v>
      </c>
      <c r="F79" s="14">
        <f t="shared" si="76"/>
        <v>1.2081089504435316</v>
      </c>
      <c r="G79" s="14">
        <f t="shared" si="76"/>
        <v>1.2081089504435316</v>
      </c>
      <c r="H79" s="14">
        <f t="shared" si="76"/>
        <v>1.2081089504435316</v>
      </c>
      <c r="I79" s="14">
        <f t="shared" si="76"/>
        <v>1.2081089504435316</v>
      </c>
      <c r="J79" s="14">
        <f t="shared" si="76"/>
        <v>1.2081089504435316</v>
      </c>
      <c r="K79" s="14">
        <f t="shared" si="76"/>
        <v>1.2081089504435316</v>
      </c>
      <c r="L79" s="14">
        <f t="shared" si="76"/>
        <v>1.2081089504435316</v>
      </c>
      <c r="M79" s="14">
        <f t="shared" si="76"/>
        <v>1.2081089504435316</v>
      </c>
      <c r="N79" s="14">
        <f>+N75*1.01</f>
        <v>1.2081089504435316</v>
      </c>
    </row>
    <row r="80" spans="1:14">
      <c r="A80" s="8">
        <v>19.25</v>
      </c>
      <c r="B80" s="15">
        <v>78</v>
      </c>
      <c r="C80" s="214">
        <f t="shared" ref="C80:M80" si="77">+(C79*75%)+(C83*25%)</f>
        <v>1.2111292228196404</v>
      </c>
      <c r="D80" s="14">
        <f t="shared" si="77"/>
        <v>1.2111292228196404</v>
      </c>
      <c r="F80" s="14">
        <f t="shared" si="77"/>
        <v>1.2111292228196404</v>
      </c>
      <c r="G80" s="14">
        <f t="shared" si="77"/>
        <v>1.2111292228196404</v>
      </c>
      <c r="H80" s="14">
        <f t="shared" si="77"/>
        <v>1.2111292228196404</v>
      </c>
      <c r="I80" s="14">
        <f t="shared" si="77"/>
        <v>1.2111292228196404</v>
      </c>
      <c r="J80" s="14">
        <f t="shared" si="77"/>
        <v>1.2111292228196404</v>
      </c>
      <c r="K80" s="14">
        <f t="shared" si="77"/>
        <v>1.2111292228196404</v>
      </c>
      <c r="L80" s="14">
        <f t="shared" si="77"/>
        <v>1.2111292228196404</v>
      </c>
      <c r="M80" s="14">
        <f t="shared" si="77"/>
        <v>1.2111292228196404</v>
      </c>
      <c r="N80" s="14">
        <f>+(N79*75%)+(N83*25%)</f>
        <v>1.2111292228196404</v>
      </c>
    </row>
    <row r="81" spans="1:14">
      <c r="A81" s="8">
        <v>19.5</v>
      </c>
      <c r="B81" s="15">
        <v>79</v>
      </c>
      <c r="C81" s="214">
        <f t="shared" ref="C81:M81" si="78">+C79*50%+C83*50%</f>
        <v>1.2141494951957492</v>
      </c>
      <c r="D81" s="14">
        <f t="shared" si="78"/>
        <v>1.2141494951957492</v>
      </c>
      <c r="F81" s="14">
        <f t="shared" si="78"/>
        <v>1.2141494951957492</v>
      </c>
      <c r="G81" s="14">
        <f t="shared" si="78"/>
        <v>1.2141494951957492</v>
      </c>
      <c r="H81" s="14">
        <f t="shared" si="78"/>
        <v>1.2141494951957492</v>
      </c>
      <c r="I81" s="14">
        <f t="shared" si="78"/>
        <v>1.2141494951957492</v>
      </c>
      <c r="J81" s="14">
        <f t="shared" si="78"/>
        <v>1.2141494951957492</v>
      </c>
      <c r="K81" s="14">
        <f t="shared" si="78"/>
        <v>1.2141494951957492</v>
      </c>
      <c r="L81" s="14">
        <f t="shared" si="78"/>
        <v>1.2141494951957492</v>
      </c>
      <c r="M81" s="14">
        <f t="shared" si="78"/>
        <v>1.2141494951957492</v>
      </c>
      <c r="N81" s="14">
        <f>+N79*50%+N83*50%</f>
        <v>1.2141494951957492</v>
      </c>
    </row>
    <row r="82" spans="1:14">
      <c r="A82" s="8">
        <v>19.75</v>
      </c>
      <c r="B82" s="15">
        <v>80</v>
      </c>
      <c r="C82" s="214">
        <f t="shared" ref="C82:M82" si="79">+C79*25%+C83*75%</f>
        <v>1.2171697675718582</v>
      </c>
      <c r="D82" s="14">
        <f t="shared" si="79"/>
        <v>1.2171697675718582</v>
      </c>
      <c r="F82" s="14">
        <f t="shared" si="79"/>
        <v>1.2171697675718582</v>
      </c>
      <c r="G82" s="14">
        <f t="shared" si="79"/>
        <v>1.2171697675718582</v>
      </c>
      <c r="H82" s="14">
        <f t="shared" si="79"/>
        <v>1.2171697675718582</v>
      </c>
      <c r="I82" s="14">
        <f t="shared" si="79"/>
        <v>1.2171697675718582</v>
      </c>
      <c r="J82" s="14">
        <f t="shared" si="79"/>
        <v>1.2171697675718582</v>
      </c>
      <c r="K82" s="14">
        <f t="shared" si="79"/>
        <v>1.2171697675718582</v>
      </c>
      <c r="L82" s="14">
        <f t="shared" si="79"/>
        <v>1.2171697675718582</v>
      </c>
      <c r="M82" s="14">
        <f t="shared" si="79"/>
        <v>1.2171697675718582</v>
      </c>
      <c r="N82" s="14">
        <f>+N79*25%+N83*75%</f>
        <v>1.2171697675718582</v>
      </c>
    </row>
    <row r="83" spans="1:14">
      <c r="A83" s="8">
        <v>20</v>
      </c>
      <c r="B83" s="15">
        <v>81</v>
      </c>
      <c r="C83" s="214">
        <f t="shared" ref="C83:M83" si="80">+C79*1.01</f>
        <v>1.220190039947967</v>
      </c>
      <c r="D83" s="14">
        <f t="shared" si="80"/>
        <v>1.220190039947967</v>
      </c>
      <c r="F83" s="14">
        <f t="shared" si="80"/>
        <v>1.220190039947967</v>
      </c>
      <c r="G83" s="14">
        <f t="shared" si="80"/>
        <v>1.220190039947967</v>
      </c>
      <c r="H83" s="14">
        <f t="shared" si="80"/>
        <v>1.220190039947967</v>
      </c>
      <c r="I83" s="14">
        <f t="shared" si="80"/>
        <v>1.220190039947967</v>
      </c>
      <c r="J83" s="14">
        <f t="shared" si="80"/>
        <v>1.220190039947967</v>
      </c>
      <c r="K83" s="14">
        <f t="shared" si="80"/>
        <v>1.220190039947967</v>
      </c>
      <c r="L83" s="14">
        <f t="shared" si="80"/>
        <v>1.220190039947967</v>
      </c>
      <c r="M83" s="14">
        <f t="shared" si="80"/>
        <v>1.220190039947967</v>
      </c>
      <c r="N83" s="14">
        <f>+N79*1.01</f>
        <v>1.220190039947967</v>
      </c>
    </row>
    <row r="84" spans="1:14">
      <c r="A84" s="8">
        <v>20.25</v>
      </c>
      <c r="B84" s="15">
        <v>82</v>
      </c>
      <c r="C84" s="214">
        <f t="shared" ref="C84:M84" si="81">+(C83*75%)+(C87*25%)</f>
        <v>1.2232405150478369</v>
      </c>
      <c r="D84" s="14">
        <f t="shared" si="81"/>
        <v>1.2232405150478369</v>
      </c>
      <c r="F84" s="14">
        <f t="shared" si="81"/>
        <v>1.2232405150478369</v>
      </c>
      <c r="G84" s="14">
        <f t="shared" si="81"/>
        <v>1.2232405150478369</v>
      </c>
      <c r="H84" s="14">
        <f t="shared" si="81"/>
        <v>1.2232405150478369</v>
      </c>
      <c r="I84" s="14">
        <f t="shared" si="81"/>
        <v>1.2232405150478369</v>
      </c>
      <c r="J84" s="14">
        <f t="shared" si="81"/>
        <v>1.2232405150478369</v>
      </c>
      <c r="K84" s="14">
        <f t="shared" si="81"/>
        <v>1.2232405150478369</v>
      </c>
      <c r="L84" s="14">
        <f t="shared" si="81"/>
        <v>1.2232405150478369</v>
      </c>
      <c r="M84" s="14">
        <f t="shared" si="81"/>
        <v>1.2232405150478369</v>
      </c>
      <c r="N84" s="14">
        <f>+(N83*75%)+(N87*25%)</f>
        <v>1.2232405150478369</v>
      </c>
    </row>
    <row r="85" spans="1:14">
      <c r="A85" s="8">
        <v>20.5</v>
      </c>
      <c r="B85" s="15">
        <v>83</v>
      </c>
      <c r="C85" s="214">
        <f t="shared" ref="C85:M85" si="82">+C83*50%+C87*50%</f>
        <v>1.226290990147707</v>
      </c>
      <c r="D85" s="14">
        <f t="shared" si="82"/>
        <v>1.226290990147707</v>
      </c>
      <c r="F85" s="14">
        <f t="shared" si="82"/>
        <v>1.226290990147707</v>
      </c>
      <c r="G85" s="14">
        <f t="shared" si="82"/>
        <v>1.226290990147707</v>
      </c>
      <c r="H85" s="14">
        <f t="shared" si="82"/>
        <v>1.226290990147707</v>
      </c>
      <c r="I85" s="14">
        <f t="shared" si="82"/>
        <v>1.226290990147707</v>
      </c>
      <c r="J85" s="14">
        <f t="shared" si="82"/>
        <v>1.226290990147707</v>
      </c>
      <c r="K85" s="14">
        <f t="shared" si="82"/>
        <v>1.226290990147707</v>
      </c>
      <c r="L85" s="14">
        <f t="shared" si="82"/>
        <v>1.226290990147707</v>
      </c>
      <c r="M85" s="14">
        <f t="shared" si="82"/>
        <v>1.226290990147707</v>
      </c>
      <c r="N85" s="14">
        <f>+N83*50%+N87*50%</f>
        <v>1.226290990147707</v>
      </c>
    </row>
    <row r="86" spans="1:14">
      <c r="A86" s="8">
        <v>20.75</v>
      </c>
      <c r="B86" s="15">
        <v>84</v>
      </c>
      <c r="C86" s="214">
        <f t="shared" ref="C86:M86" si="83">+C83*25%+C87*75%</f>
        <v>1.2293414652475769</v>
      </c>
      <c r="D86" s="14">
        <f t="shared" si="83"/>
        <v>1.2293414652475769</v>
      </c>
      <c r="F86" s="14">
        <f t="shared" si="83"/>
        <v>1.2293414652475769</v>
      </c>
      <c r="G86" s="14">
        <f t="shared" si="83"/>
        <v>1.2293414652475769</v>
      </c>
      <c r="H86" s="14">
        <f t="shared" si="83"/>
        <v>1.2293414652475769</v>
      </c>
      <c r="I86" s="14">
        <f t="shared" si="83"/>
        <v>1.2293414652475769</v>
      </c>
      <c r="J86" s="14">
        <f t="shared" si="83"/>
        <v>1.2293414652475769</v>
      </c>
      <c r="K86" s="14">
        <f t="shared" si="83"/>
        <v>1.2293414652475769</v>
      </c>
      <c r="L86" s="14">
        <f t="shared" si="83"/>
        <v>1.2293414652475769</v>
      </c>
      <c r="M86" s="14">
        <f t="shared" si="83"/>
        <v>1.2293414652475769</v>
      </c>
      <c r="N86" s="14">
        <f>+N83*25%+N87*75%</f>
        <v>1.2293414652475769</v>
      </c>
    </row>
    <row r="87" spans="1:14">
      <c r="A87" s="8">
        <v>21</v>
      </c>
      <c r="B87" s="15">
        <v>85</v>
      </c>
      <c r="C87" s="214">
        <f t="shared" ref="C87:M87" si="84">+C83*1.01</f>
        <v>1.2323919403474468</v>
      </c>
      <c r="D87" s="14">
        <f t="shared" si="84"/>
        <v>1.2323919403474468</v>
      </c>
      <c r="F87" s="14">
        <f t="shared" si="84"/>
        <v>1.2323919403474468</v>
      </c>
      <c r="G87" s="14">
        <f t="shared" si="84"/>
        <v>1.2323919403474468</v>
      </c>
      <c r="H87" s="14">
        <f t="shared" si="84"/>
        <v>1.2323919403474468</v>
      </c>
      <c r="I87" s="14">
        <f t="shared" si="84"/>
        <v>1.2323919403474468</v>
      </c>
      <c r="J87" s="14">
        <f t="shared" si="84"/>
        <v>1.2323919403474468</v>
      </c>
      <c r="K87" s="14">
        <f t="shared" si="84"/>
        <v>1.2323919403474468</v>
      </c>
      <c r="L87" s="14">
        <f t="shared" si="84"/>
        <v>1.2323919403474468</v>
      </c>
      <c r="M87" s="14">
        <f t="shared" si="84"/>
        <v>1.2323919403474468</v>
      </c>
      <c r="N87" s="14">
        <f>+N83*1.01</f>
        <v>1.2323919403474468</v>
      </c>
    </row>
    <row r="88" spans="1:14">
      <c r="A88" s="8">
        <v>21.25</v>
      </c>
      <c r="B88" s="15">
        <v>86</v>
      </c>
      <c r="C88" s="214">
        <f t="shared" ref="C88:M88" si="85">+(C87*75%)+(C91*25%)</f>
        <v>1.2354729201983154</v>
      </c>
      <c r="D88" s="14">
        <f t="shared" si="85"/>
        <v>1.2354729201983154</v>
      </c>
      <c r="F88" s="14">
        <f t="shared" si="85"/>
        <v>1.2354729201983154</v>
      </c>
      <c r="G88" s="14">
        <f t="shared" si="85"/>
        <v>1.2354729201983154</v>
      </c>
      <c r="H88" s="14">
        <f t="shared" si="85"/>
        <v>1.2354729201983154</v>
      </c>
      <c r="I88" s="14">
        <f t="shared" si="85"/>
        <v>1.2354729201983154</v>
      </c>
      <c r="J88" s="14">
        <f t="shared" si="85"/>
        <v>1.2354729201983154</v>
      </c>
      <c r="K88" s="14">
        <f t="shared" si="85"/>
        <v>1.2354729201983154</v>
      </c>
      <c r="L88" s="14">
        <f t="shared" si="85"/>
        <v>1.2354729201983154</v>
      </c>
      <c r="M88" s="14">
        <f t="shared" si="85"/>
        <v>1.2354729201983154</v>
      </c>
      <c r="N88" s="14">
        <f>+(N87*75%)+(N91*25%)</f>
        <v>1.2354729201983154</v>
      </c>
    </row>
    <row r="89" spans="1:14">
      <c r="A89" s="8">
        <v>21.5</v>
      </c>
      <c r="B89" s="15">
        <v>87</v>
      </c>
      <c r="C89" s="214">
        <f t="shared" ref="C89:M89" si="86">+C87*50%+C91*50%</f>
        <v>1.2385539000491841</v>
      </c>
      <c r="D89" s="14">
        <f t="shared" si="86"/>
        <v>1.2385539000491841</v>
      </c>
      <c r="F89" s="14">
        <f t="shared" si="86"/>
        <v>1.2385539000491841</v>
      </c>
      <c r="G89" s="14">
        <f t="shared" si="86"/>
        <v>1.2385539000491841</v>
      </c>
      <c r="H89" s="14">
        <f t="shared" si="86"/>
        <v>1.2385539000491841</v>
      </c>
      <c r="I89" s="14">
        <f t="shared" si="86"/>
        <v>1.2385539000491841</v>
      </c>
      <c r="J89" s="14">
        <f t="shared" si="86"/>
        <v>1.2385539000491841</v>
      </c>
      <c r="K89" s="14">
        <f t="shared" si="86"/>
        <v>1.2385539000491841</v>
      </c>
      <c r="L89" s="14">
        <f t="shared" si="86"/>
        <v>1.2385539000491841</v>
      </c>
      <c r="M89" s="14">
        <f t="shared" si="86"/>
        <v>1.2385539000491841</v>
      </c>
      <c r="N89" s="14">
        <f>+N87*50%+N91*50%</f>
        <v>1.2385539000491841</v>
      </c>
    </row>
    <row r="90" spans="1:14">
      <c r="A90" s="8">
        <v>21.75</v>
      </c>
      <c r="B90" s="15">
        <v>88</v>
      </c>
      <c r="C90" s="214">
        <f t="shared" ref="C90:M90" si="87">+C87*25%+C91*75%</f>
        <v>1.2416348799000527</v>
      </c>
      <c r="D90" s="14">
        <f t="shared" si="87"/>
        <v>1.2416348799000527</v>
      </c>
      <c r="F90" s="14">
        <f t="shared" si="87"/>
        <v>1.2416348799000527</v>
      </c>
      <c r="G90" s="14">
        <f t="shared" si="87"/>
        <v>1.2416348799000527</v>
      </c>
      <c r="H90" s="14">
        <f t="shared" si="87"/>
        <v>1.2416348799000527</v>
      </c>
      <c r="I90" s="14">
        <f t="shared" si="87"/>
        <v>1.2416348799000527</v>
      </c>
      <c r="J90" s="14">
        <f t="shared" si="87"/>
        <v>1.2416348799000527</v>
      </c>
      <c r="K90" s="14">
        <f t="shared" si="87"/>
        <v>1.2416348799000527</v>
      </c>
      <c r="L90" s="14">
        <f t="shared" si="87"/>
        <v>1.2416348799000527</v>
      </c>
      <c r="M90" s="14">
        <f t="shared" si="87"/>
        <v>1.2416348799000527</v>
      </c>
      <c r="N90" s="14">
        <f>+N87*25%+N91*75%</f>
        <v>1.2416348799000527</v>
      </c>
    </row>
    <row r="91" spans="1:14">
      <c r="A91" s="8">
        <v>22</v>
      </c>
      <c r="B91" s="15">
        <v>89</v>
      </c>
      <c r="C91" s="214">
        <f t="shared" ref="C91:M91" si="88">+C87*1.01</f>
        <v>1.2447158597509214</v>
      </c>
      <c r="D91" s="14">
        <f t="shared" si="88"/>
        <v>1.2447158597509214</v>
      </c>
      <c r="F91" s="14">
        <f t="shared" si="88"/>
        <v>1.2447158597509214</v>
      </c>
      <c r="G91" s="14">
        <f t="shared" si="88"/>
        <v>1.2447158597509214</v>
      </c>
      <c r="H91" s="14">
        <f t="shared" si="88"/>
        <v>1.2447158597509214</v>
      </c>
      <c r="I91" s="14">
        <f t="shared" si="88"/>
        <v>1.2447158597509214</v>
      </c>
      <c r="J91" s="14">
        <f t="shared" si="88"/>
        <v>1.2447158597509214</v>
      </c>
      <c r="K91" s="14">
        <f t="shared" si="88"/>
        <v>1.2447158597509214</v>
      </c>
      <c r="L91" s="14">
        <f t="shared" si="88"/>
        <v>1.2447158597509214</v>
      </c>
      <c r="M91" s="14">
        <f t="shared" si="88"/>
        <v>1.2447158597509214</v>
      </c>
      <c r="N91" s="14">
        <f>+N87*1.01</f>
        <v>1.2447158597509214</v>
      </c>
    </row>
    <row r="92" spans="1:14">
      <c r="A92" s="8">
        <v>22.25</v>
      </c>
      <c r="B92" s="15">
        <v>90</v>
      </c>
      <c r="C92" s="214">
        <f t="shared" ref="C92:M92" si="89">+(C91*75%)+(C95*25%)</f>
        <v>1.2478276494002987</v>
      </c>
      <c r="D92" s="14">
        <f t="shared" si="89"/>
        <v>1.2478276494002987</v>
      </c>
      <c r="F92" s="14">
        <f t="shared" si="89"/>
        <v>1.2478276494002987</v>
      </c>
      <c r="G92" s="14">
        <f t="shared" si="89"/>
        <v>1.2478276494002987</v>
      </c>
      <c r="H92" s="14">
        <f t="shared" si="89"/>
        <v>1.2478276494002987</v>
      </c>
      <c r="I92" s="14">
        <f t="shared" si="89"/>
        <v>1.2478276494002987</v>
      </c>
      <c r="J92" s="14">
        <f t="shared" si="89"/>
        <v>1.2478276494002987</v>
      </c>
      <c r="K92" s="14">
        <f t="shared" si="89"/>
        <v>1.2478276494002987</v>
      </c>
      <c r="L92" s="14">
        <f t="shared" si="89"/>
        <v>1.2478276494002987</v>
      </c>
      <c r="M92" s="14">
        <f t="shared" si="89"/>
        <v>1.2478276494002987</v>
      </c>
      <c r="N92" s="14">
        <f>+(N91*75%)+(N95*25%)</f>
        <v>1.2478276494002987</v>
      </c>
    </row>
    <row r="93" spans="1:14">
      <c r="A93" s="8">
        <v>22.5</v>
      </c>
      <c r="B93" s="15">
        <v>91</v>
      </c>
      <c r="C93" s="214">
        <f t="shared" ref="C93:M93" si="90">+C91*50%+C95*50%</f>
        <v>1.250939439049676</v>
      </c>
      <c r="D93" s="14">
        <f t="shared" si="90"/>
        <v>1.250939439049676</v>
      </c>
      <c r="F93" s="14">
        <f t="shared" si="90"/>
        <v>1.250939439049676</v>
      </c>
      <c r="G93" s="14">
        <f t="shared" si="90"/>
        <v>1.250939439049676</v>
      </c>
      <c r="H93" s="14">
        <f t="shared" si="90"/>
        <v>1.250939439049676</v>
      </c>
      <c r="I93" s="14">
        <f t="shared" si="90"/>
        <v>1.250939439049676</v>
      </c>
      <c r="J93" s="14">
        <f t="shared" si="90"/>
        <v>1.250939439049676</v>
      </c>
      <c r="K93" s="14">
        <f t="shared" si="90"/>
        <v>1.250939439049676</v>
      </c>
      <c r="L93" s="14">
        <f t="shared" si="90"/>
        <v>1.250939439049676</v>
      </c>
      <c r="M93" s="14">
        <f t="shared" si="90"/>
        <v>1.250939439049676</v>
      </c>
      <c r="N93" s="14">
        <f>+N91*50%+N95*50%</f>
        <v>1.250939439049676</v>
      </c>
    </row>
    <row r="94" spans="1:14">
      <c r="A94" s="8">
        <v>22.75</v>
      </c>
      <c r="B94" s="15">
        <v>92</v>
      </c>
      <c r="C94" s="214">
        <f t="shared" ref="C94:M94" si="91">+C91*25%+C95*75%</f>
        <v>1.2540512286990533</v>
      </c>
      <c r="D94" s="14">
        <f t="shared" si="91"/>
        <v>1.2540512286990533</v>
      </c>
      <c r="F94" s="14">
        <f t="shared" si="91"/>
        <v>1.2540512286990533</v>
      </c>
      <c r="G94" s="14">
        <f t="shared" si="91"/>
        <v>1.2540512286990533</v>
      </c>
      <c r="H94" s="14">
        <f t="shared" si="91"/>
        <v>1.2540512286990533</v>
      </c>
      <c r="I94" s="14">
        <f t="shared" si="91"/>
        <v>1.2540512286990533</v>
      </c>
      <c r="J94" s="14">
        <f t="shared" si="91"/>
        <v>1.2540512286990533</v>
      </c>
      <c r="K94" s="14">
        <f t="shared" si="91"/>
        <v>1.2540512286990533</v>
      </c>
      <c r="L94" s="14">
        <f t="shared" si="91"/>
        <v>1.2540512286990533</v>
      </c>
      <c r="M94" s="14">
        <f t="shared" si="91"/>
        <v>1.2540512286990533</v>
      </c>
      <c r="N94" s="14">
        <f>+N91*25%+N95*75%</f>
        <v>1.2540512286990533</v>
      </c>
    </row>
    <row r="95" spans="1:14">
      <c r="A95" s="8">
        <v>23</v>
      </c>
      <c r="B95" s="15">
        <v>93</v>
      </c>
      <c r="C95" s="214">
        <f t="shared" ref="C95:M95" si="92">+C91*1.01</f>
        <v>1.2571630183484306</v>
      </c>
      <c r="D95" s="14">
        <f t="shared" si="92"/>
        <v>1.2571630183484306</v>
      </c>
      <c r="F95" s="14">
        <f t="shared" si="92"/>
        <v>1.2571630183484306</v>
      </c>
      <c r="G95" s="14">
        <f t="shared" si="92"/>
        <v>1.2571630183484306</v>
      </c>
      <c r="H95" s="14">
        <f t="shared" si="92"/>
        <v>1.2571630183484306</v>
      </c>
      <c r="I95" s="14">
        <f t="shared" si="92"/>
        <v>1.2571630183484306</v>
      </c>
      <c r="J95" s="14">
        <f t="shared" si="92"/>
        <v>1.2571630183484306</v>
      </c>
      <c r="K95" s="14">
        <f t="shared" si="92"/>
        <v>1.2571630183484306</v>
      </c>
      <c r="L95" s="14">
        <f t="shared" si="92"/>
        <v>1.2571630183484306</v>
      </c>
      <c r="M95" s="14">
        <f t="shared" si="92"/>
        <v>1.2571630183484306</v>
      </c>
      <c r="N95" s="14">
        <f>+N91*1.01</f>
        <v>1.2571630183484306</v>
      </c>
    </row>
    <row r="96" spans="1:14">
      <c r="A96" s="8">
        <v>23.25</v>
      </c>
      <c r="B96" s="15">
        <v>94</v>
      </c>
      <c r="C96" s="214">
        <f t="shared" ref="C96:M96" si="93">+(C95*75%)+(C99*25%)</f>
        <v>1.2603059258943017</v>
      </c>
      <c r="D96" s="14">
        <f t="shared" si="93"/>
        <v>1.2603059258943017</v>
      </c>
      <c r="F96" s="14">
        <f t="shared" si="93"/>
        <v>1.2603059258943017</v>
      </c>
      <c r="G96" s="14">
        <f t="shared" si="93"/>
        <v>1.2603059258943017</v>
      </c>
      <c r="H96" s="14">
        <f t="shared" si="93"/>
        <v>1.2603059258943017</v>
      </c>
      <c r="I96" s="14">
        <f t="shared" si="93"/>
        <v>1.2603059258943017</v>
      </c>
      <c r="J96" s="14">
        <f t="shared" si="93"/>
        <v>1.2603059258943017</v>
      </c>
      <c r="K96" s="14">
        <f t="shared" si="93"/>
        <v>1.2603059258943017</v>
      </c>
      <c r="L96" s="14">
        <f t="shared" si="93"/>
        <v>1.2603059258943017</v>
      </c>
      <c r="M96" s="14">
        <f t="shared" si="93"/>
        <v>1.2603059258943017</v>
      </c>
      <c r="N96" s="14">
        <f>+(N95*75%)+(N99*25%)</f>
        <v>1.2603059258943017</v>
      </c>
    </row>
    <row r="97" spans="1:14">
      <c r="A97" s="8">
        <v>23.5</v>
      </c>
      <c r="B97" s="15">
        <v>95</v>
      </c>
      <c r="C97" s="214">
        <f t="shared" ref="C97:M97" si="94">+C95*50%+C99*50%</f>
        <v>1.2634488334401728</v>
      </c>
      <c r="D97" s="14">
        <f t="shared" si="94"/>
        <v>1.2634488334401728</v>
      </c>
      <c r="F97" s="14">
        <f t="shared" si="94"/>
        <v>1.2634488334401728</v>
      </c>
      <c r="G97" s="14">
        <f t="shared" si="94"/>
        <v>1.2634488334401728</v>
      </c>
      <c r="H97" s="14">
        <f t="shared" si="94"/>
        <v>1.2634488334401728</v>
      </c>
      <c r="I97" s="14">
        <f t="shared" si="94"/>
        <v>1.2634488334401728</v>
      </c>
      <c r="J97" s="14">
        <f t="shared" si="94"/>
        <v>1.2634488334401728</v>
      </c>
      <c r="K97" s="14">
        <f t="shared" si="94"/>
        <v>1.2634488334401728</v>
      </c>
      <c r="L97" s="14">
        <f t="shared" si="94"/>
        <v>1.2634488334401728</v>
      </c>
      <c r="M97" s="14">
        <f t="shared" si="94"/>
        <v>1.2634488334401728</v>
      </c>
      <c r="N97" s="14">
        <f>+N95*50%+N99*50%</f>
        <v>1.2634488334401728</v>
      </c>
    </row>
    <row r="98" spans="1:14">
      <c r="A98" s="8">
        <v>23.75</v>
      </c>
      <c r="B98" s="15">
        <v>96</v>
      </c>
      <c r="C98" s="214">
        <f t="shared" ref="C98:M98" si="95">+C95*25%+C99*75%</f>
        <v>1.2665917409860439</v>
      </c>
      <c r="D98" s="14">
        <f t="shared" si="95"/>
        <v>1.2665917409860439</v>
      </c>
      <c r="F98" s="14">
        <f t="shared" si="95"/>
        <v>1.2665917409860439</v>
      </c>
      <c r="G98" s="14">
        <f t="shared" si="95"/>
        <v>1.2665917409860439</v>
      </c>
      <c r="H98" s="14">
        <f t="shared" si="95"/>
        <v>1.2665917409860439</v>
      </c>
      <c r="I98" s="14">
        <f t="shared" si="95"/>
        <v>1.2665917409860439</v>
      </c>
      <c r="J98" s="14">
        <f t="shared" si="95"/>
        <v>1.2665917409860439</v>
      </c>
      <c r="K98" s="14">
        <f t="shared" si="95"/>
        <v>1.2665917409860439</v>
      </c>
      <c r="L98" s="14">
        <f t="shared" si="95"/>
        <v>1.2665917409860439</v>
      </c>
      <c r="M98" s="14">
        <f t="shared" si="95"/>
        <v>1.2665917409860439</v>
      </c>
      <c r="N98" s="14">
        <f>+N95*25%+N99*75%</f>
        <v>1.2665917409860439</v>
      </c>
    </row>
    <row r="99" spans="1:14">
      <c r="A99" s="8">
        <v>24</v>
      </c>
      <c r="B99" s="15">
        <v>97</v>
      </c>
      <c r="C99" s="214">
        <f t="shared" ref="C99:M99" si="96">+C95*1.01</f>
        <v>1.269734648531915</v>
      </c>
      <c r="D99" s="14">
        <f t="shared" si="96"/>
        <v>1.269734648531915</v>
      </c>
      <c r="F99" s="14">
        <f t="shared" si="96"/>
        <v>1.269734648531915</v>
      </c>
      <c r="G99" s="14">
        <f t="shared" si="96"/>
        <v>1.269734648531915</v>
      </c>
      <c r="H99" s="14">
        <f t="shared" si="96"/>
        <v>1.269734648531915</v>
      </c>
      <c r="I99" s="14">
        <f t="shared" si="96"/>
        <v>1.269734648531915</v>
      </c>
      <c r="J99" s="14">
        <f t="shared" si="96"/>
        <v>1.269734648531915</v>
      </c>
      <c r="K99" s="14">
        <f t="shared" si="96"/>
        <v>1.269734648531915</v>
      </c>
      <c r="L99" s="14">
        <f t="shared" si="96"/>
        <v>1.269734648531915</v>
      </c>
      <c r="M99" s="14">
        <f t="shared" si="96"/>
        <v>1.269734648531915</v>
      </c>
      <c r="N99" s="14">
        <f>+N95*1.01</f>
        <v>1.269734648531915</v>
      </c>
    </row>
    <row r="100" spans="1:14">
      <c r="A100" s="8">
        <v>24.25</v>
      </c>
      <c r="B100" s="15">
        <v>98</v>
      </c>
      <c r="C100" s="214">
        <f t="shared" ref="C100:M100" si="97">+(C99*75%)+(C103*25%)</f>
        <v>1.2729089851532447</v>
      </c>
      <c r="D100" s="14">
        <f t="shared" si="97"/>
        <v>1.2729089851532447</v>
      </c>
      <c r="F100" s="14">
        <f t="shared" si="97"/>
        <v>1.2729089851532447</v>
      </c>
      <c r="G100" s="14">
        <f t="shared" si="97"/>
        <v>1.2729089851532447</v>
      </c>
      <c r="H100" s="14">
        <f t="shared" si="97"/>
        <v>1.2729089851532447</v>
      </c>
      <c r="I100" s="14">
        <f t="shared" si="97"/>
        <v>1.2729089851532447</v>
      </c>
      <c r="J100" s="14">
        <f t="shared" si="97"/>
        <v>1.2729089851532447</v>
      </c>
      <c r="K100" s="14">
        <f t="shared" si="97"/>
        <v>1.2729089851532447</v>
      </c>
      <c r="L100" s="14">
        <f t="shared" si="97"/>
        <v>1.2729089851532447</v>
      </c>
      <c r="M100" s="14">
        <f t="shared" si="97"/>
        <v>1.2729089851532447</v>
      </c>
      <c r="N100" s="14">
        <f>+(N99*75%)+(N103*25%)</f>
        <v>1.2729089851532447</v>
      </c>
    </row>
    <row r="101" spans="1:14">
      <c r="A101" s="8">
        <v>24.5</v>
      </c>
      <c r="B101" s="15">
        <v>99</v>
      </c>
      <c r="C101" s="214">
        <f t="shared" ref="C101:M101" si="98">+C99*50%+C103*50%</f>
        <v>1.2760833217745744</v>
      </c>
      <c r="D101" s="14">
        <f t="shared" si="98"/>
        <v>1.2760833217745744</v>
      </c>
      <c r="F101" s="14">
        <f t="shared" si="98"/>
        <v>1.2760833217745744</v>
      </c>
      <c r="G101" s="14">
        <f t="shared" si="98"/>
        <v>1.2760833217745744</v>
      </c>
      <c r="H101" s="14">
        <f t="shared" si="98"/>
        <v>1.2760833217745744</v>
      </c>
      <c r="I101" s="14">
        <f t="shared" si="98"/>
        <v>1.2760833217745744</v>
      </c>
      <c r="J101" s="14">
        <f t="shared" si="98"/>
        <v>1.2760833217745744</v>
      </c>
      <c r="K101" s="14">
        <f t="shared" si="98"/>
        <v>1.2760833217745744</v>
      </c>
      <c r="L101" s="14">
        <f t="shared" si="98"/>
        <v>1.2760833217745744</v>
      </c>
      <c r="M101" s="14">
        <f t="shared" si="98"/>
        <v>1.2760833217745744</v>
      </c>
      <c r="N101" s="14">
        <f>+N99*50%+N103*50%</f>
        <v>1.2760833217745744</v>
      </c>
    </row>
    <row r="102" spans="1:14">
      <c r="A102" s="8">
        <v>24.75</v>
      </c>
      <c r="B102" s="15">
        <v>100</v>
      </c>
      <c r="C102" s="214">
        <f t="shared" ref="C102:M102" si="99">+C99*25%+C103*75%</f>
        <v>1.2792576583959043</v>
      </c>
      <c r="D102" s="14">
        <f t="shared" si="99"/>
        <v>1.2792576583959043</v>
      </c>
      <c r="F102" s="14">
        <f t="shared" si="99"/>
        <v>1.2792576583959043</v>
      </c>
      <c r="G102" s="14">
        <f t="shared" si="99"/>
        <v>1.2792576583959043</v>
      </c>
      <c r="H102" s="14">
        <f t="shared" si="99"/>
        <v>1.2792576583959043</v>
      </c>
      <c r="I102" s="14">
        <f t="shared" si="99"/>
        <v>1.2792576583959043</v>
      </c>
      <c r="J102" s="14">
        <f t="shared" si="99"/>
        <v>1.2792576583959043</v>
      </c>
      <c r="K102" s="14">
        <f t="shared" si="99"/>
        <v>1.2792576583959043</v>
      </c>
      <c r="L102" s="14">
        <f t="shared" si="99"/>
        <v>1.2792576583959043</v>
      </c>
      <c r="M102" s="14">
        <f t="shared" si="99"/>
        <v>1.2792576583959043</v>
      </c>
      <c r="N102" s="14">
        <f>+N99*25%+N103*75%</f>
        <v>1.2792576583959043</v>
      </c>
    </row>
    <row r="103" spans="1:14">
      <c r="A103" s="8">
        <v>25</v>
      </c>
      <c r="B103" s="15">
        <v>101</v>
      </c>
      <c r="C103" s="214">
        <f t="shared" ref="C103:M103" si="100">+C99*1.01</f>
        <v>1.282431995017234</v>
      </c>
      <c r="D103" s="14">
        <f t="shared" si="100"/>
        <v>1.282431995017234</v>
      </c>
      <c r="F103" s="14">
        <f t="shared" si="100"/>
        <v>1.282431995017234</v>
      </c>
      <c r="G103" s="14">
        <f t="shared" si="100"/>
        <v>1.282431995017234</v>
      </c>
      <c r="H103" s="14">
        <f t="shared" si="100"/>
        <v>1.282431995017234</v>
      </c>
      <c r="I103" s="14">
        <f t="shared" si="100"/>
        <v>1.282431995017234</v>
      </c>
      <c r="J103" s="14">
        <f t="shared" si="100"/>
        <v>1.282431995017234</v>
      </c>
      <c r="K103" s="14">
        <f t="shared" si="100"/>
        <v>1.282431995017234</v>
      </c>
      <c r="L103" s="14">
        <f t="shared" si="100"/>
        <v>1.282431995017234</v>
      </c>
      <c r="M103" s="14">
        <f t="shared" si="100"/>
        <v>1.282431995017234</v>
      </c>
      <c r="N103" s="14">
        <f>+N99*1.01</f>
        <v>1.282431995017234</v>
      </c>
    </row>
    <row r="104" spans="1:14">
      <c r="A104" s="8">
        <v>25.25</v>
      </c>
      <c r="B104" s="15">
        <v>102</v>
      </c>
      <c r="C104" s="214">
        <f t="shared" ref="C104:M104" si="101">+(C103*75%)+(C107*25%)</f>
        <v>1.2856380750047771</v>
      </c>
      <c r="D104" s="14">
        <f t="shared" si="101"/>
        <v>1.2856380750047771</v>
      </c>
      <c r="F104" s="14">
        <f t="shared" si="101"/>
        <v>1.2856380750047771</v>
      </c>
      <c r="G104" s="14">
        <f t="shared" si="101"/>
        <v>1.2856380750047771</v>
      </c>
      <c r="H104" s="14">
        <f t="shared" si="101"/>
        <v>1.2856380750047771</v>
      </c>
      <c r="I104" s="14">
        <f t="shared" si="101"/>
        <v>1.2856380750047771</v>
      </c>
      <c r="J104" s="14">
        <f t="shared" si="101"/>
        <v>1.2856380750047771</v>
      </c>
      <c r="K104" s="14">
        <f t="shared" si="101"/>
        <v>1.2856380750047771</v>
      </c>
      <c r="L104" s="14">
        <f t="shared" si="101"/>
        <v>1.2856380750047771</v>
      </c>
      <c r="M104" s="14">
        <f t="shared" si="101"/>
        <v>1.2856380750047771</v>
      </c>
      <c r="N104" s="14">
        <f>+(N103*75%)+(N107*25%)</f>
        <v>1.2856380750047771</v>
      </c>
    </row>
    <row r="105" spans="1:14">
      <c r="A105" s="8">
        <v>25.5</v>
      </c>
      <c r="B105" s="15">
        <v>103</v>
      </c>
      <c r="C105" s="214">
        <f t="shared" ref="C105:M105" si="102">+C103*50%+C107*50%</f>
        <v>1.2888441549923202</v>
      </c>
      <c r="D105" s="14">
        <f t="shared" si="102"/>
        <v>1.2888441549923202</v>
      </c>
      <c r="F105" s="14">
        <f t="shared" si="102"/>
        <v>1.2888441549923202</v>
      </c>
      <c r="G105" s="14">
        <f t="shared" si="102"/>
        <v>1.2888441549923202</v>
      </c>
      <c r="H105" s="14">
        <f t="shared" si="102"/>
        <v>1.2888441549923202</v>
      </c>
      <c r="I105" s="14">
        <f t="shared" si="102"/>
        <v>1.2888441549923202</v>
      </c>
      <c r="J105" s="14">
        <f t="shared" si="102"/>
        <v>1.2888441549923202</v>
      </c>
      <c r="K105" s="14">
        <f t="shared" si="102"/>
        <v>1.2888441549923202</v>
      </c>
      <c r="L105" s="14">
        <f t="shared" si="102"/>
        <v>1.2888441549923202</v>
      </c>
      <c r="M105" s="14">
        <f t="shared" si="102"/>
        <v>1.2888441549923202</v>
      </c>
      <c r="N105" s="14">
        <f>+N103*50%+N107*50%</f>
        <v>1.2888441549923202</v>
      </c>
    </row>
    <row r="106" spans="1:14">
      <c r="A106" s="8">
        <v>25.75</v>
      </c>
      <c r="B106" s="15">
        <v>104</v>
      </c>
      <c r="C106" s="214">
        <f t="shared" ref="C106:M106" si="103">+C103*25%+C107*75%</f>
        <v>1.2920502349798633</v>
      </c>
      <c r="D106" s="14">
        <f t="shared" si="103"/>
        <v>1.2920502349798633</v>
      </c>
      <c r="F106" s="14">
        <f t="shared" si="103"/>
        <v>1.2920502349798633</v>
      </c>
      <c r="G106" s="14">
        <f t="shared" si="103"/>
        <v>1.2920502349798633</v>
      </c>
      <c r="H106" s="14">
        <f t="shared" si="103"/>
        <v>1.2920502349798633</v>
      </c>
      <c r="I106" s="14">
        <f t="shared" si="103"/>
        <v>1.2920502349798633</v>
      </c>
      <c r="J106" s="14">
        <f t="shared" si="103"/>
        <v>1.2920502349798633</v>
      </c>
      <c r="K106" s="14">
        <f t="shared" si="103"/>
        <v>1.2920502349798633</v>
      </c>
      <c r="L106" s="14">
        <f t="shared" si="103"/>
        <v>1.2920502349798633</v>
      </c>
      <c r="M106" s="14">
        <f t="shared" si="103"/>
        <v>1.2920502349798633</v>
      </c>
      <c r="N106" s="14">
        <f>+N103*25%+N107*75%</f>
        <v>1.2920502349798633</v>
      </c>
    </row>
    <row r="107" spans="1:14">
      <c r="A107" s="8">
        <v>26</v>
      </c>
      <c r="B107" s="15">
        <v>105</v>
      </c>
      <c r="C107" s="214">
        <f t="shared" ref="C107:M107" si="104">+C103*1.01</f>
        <v>1.2952563149674063</v>
      </c>
      <c r="D107" s="14">
        <f t="shared" si="104"/>
        <v>1.2952563149674063</v>
      </c>
      <c r="F107" s="14">
        <f t="shared" si="104"/>
        <v>1.2952563149674063</v>
      </c>
      <c r="G107" s="14">
        <f t="shared" si="104"/>
        <v>1.2952563149674063</v>
      </c>
      <c r="H107" s="14">
        <f t="shared" si="104"/>
        <v>1.2952563149674063</v>
      </c>
      <c r="I107" s="14">
        <f t="shared" si="104"/>
        <v>1.2952563149674063</v>
      </c>
      <c r="J107" s="14">
        <f t="shared" si="104"/>
        <v>1.2952563149674063</v>
      </c>
      <c r="K107" s="14">
        <f t="shared" si="104"/>
        <v>1.2952563149674063</v>
      </c>
      <c r="L107" s="14">
        <f t="shared" si="104"/>
        <v>1.2952563149674063</v>
      </c>
      <c r="M107" s="14">
        <f t="shared" si="104"/>
        <v>1.2952563149674063</v>
      </c>
      <c r="N107" s="14">
        <f>+N103*1.01</f>
        <v>1.2952563149674063</v>
      </c>
    </row>
    <row r="108" spans="1:14">
      <c r="A108" s="8">
        <v>26.25</v>
      </c>
      <c r="B108" s="15">
        <v>106</v>
      </c>
      <c r="C108" s="214">
        <f t="shared" ref="C108:M108" si="105">+(C107*75%)+(C111*25%)</f>
        <v>1.2984944557548248</v>
      </c>
      <c r="D108" s="14">
        <f t="shared" si="105"/>
        <v>1.2984944557548248</v>
      </c>
      <c r="F108" s="14">
        <f t="shared" si="105"/>
        <v>1.2984944557548248</v>
      </c>
      <c r="G108" s="14">
        <f t="shared" si="105"/>
        <v>1.2984944557548248</v>
      </c>
      <c r="H108" s="14">
        <f t="shared" si="105"/>
        <v>1.2984944557548248</v>
      </c>
      <c r="I108" s="14">
        <f t="shared" si="105"/>
        <v>1.2984944557548248</v>
      </c>
      <c r="J108" s="14">
        <f t="shared" si="105"/>
        <v>1.2984944557548248</v>
      </c>
      <c r="K108" s="14">
        <f t="shared" si="105"/>
        <v>1.2984944557548248</v>
      </c>
      <c r="L108" s="14">
        <f t="shared" si="105"/>
        <v>1.2984944557548248</v>
      </c>
      <c r="M108" s="14">
        <f t="shared" si="105"/>
        <v>1.2984944557548248</v>
      </c>
      <c r="N108" s="14">
        <f>+(N107*75%)+(N111*25%)</f>
        <v>1.2984944557548248</v>
      </c>
    </row>
    <row r="109" spans="1:14">
      <c r="A109" s="8">
        <v>26.5</v>
      </c>
      <c r="B109" s="15">
        <v>107</v>
      </c>
      <c r="C109" s="214">
        <f t="shared" ref="C109:M109" si="106">+C107*50%+C111*50%</f>
        <v>1.3017325965422435</v>
      </c>
      <c r="D109" s="14">
        <f t="shared" si="106"/>
        <v>1.3017325965422435</v>
      </c>
      <c r="F109" s="14">
        <f t="shared" si="106"/>
        <v>1.3017325965422435</v>
      </c>
      <c r="G109" s="14">
        <f t="shared" si="106"/>
        <v>1.3017325965422435</v>
      </c>
      <c r="H109" s="14">
        <f t="shared" si="106"/>
        <v>1.3017325965422435</v>
      </c>
      <c r="I109" s="14">
        <f t="shared" si="106"/>
        <v>1.3017325965422435</v>
      </c>
      <c r="J109" s="14">
        <f t="shared" si="106"/>
        <v>1.3017325965422435</v>
      </c>
      <c r="K109" s="14">
        <f t="shared" si="106"/>
        <v>1.3017325965422435</v>
      </c>
      <c r="L109" s="14">
        <f t="shared" si="106"/>
        <v>1.3017325965422435</v>
      </c>
      <c r="M109" s="14">
        <f t="shared" si="106"/>
        <v>1.3017325965422435</v>
      </c>
      <c r="N109" s="14">
        <f>+N107*50%+N111*50%</f>
        <v>1.3017325965422435</v>
      </c>
    </row>
    <row r="110" spans="1:14">
      <c r="A110" s="8">
        <v>26.75</v>
      </c>
      <c r="B110" s="15">
        <v>108</v>
      </c>
      <c r="C110" s="214">
        <f t="shared" ref="C110:M110" si="107">+C107*25%+C111*75%</f>
        <v>1.304970737329662</v>
      </c>
      <c r="D110" s="14">
        <f t="shared" si="107"/>
        <v>1.304970737329662</v>
      </c>
      <c r="F110" s="14">
        <f t="shared" si="107"/>
        <v>1.304970737329662</v>
      </c>
      <c r="G110" s="14">
        <f t="shared" si="107"/>
        <v>1.304970737329662</v>
      </c>
      <c r="H110" s="14">
        <f t="shared" si="107"/>
        <v>1.304970737329662</v>
      </c>
      <c r="I110" s="14">
        <f t="shared" si="107"/>
        <v>1.304970737329662</v>
      </c>
      <c r="J110" s="14">
        <f t="shared" si="107"/>
        <v>1.304970737329662</v>
      </c>
      <c r="K110" s="14">
        <f t="shared" si="107"/>
        <v>1.304970737329662</v>
      </c>
      <c r="L110" s="14">
        <f t="shared" si="107"/>
        <v>1.304970737329662</v>
      </c>
      <c r="M110" s="14">
        <f t="shared" si="107"/>
        <v>1.304970737329662</v>
      </c>
      <c r="N110" s="14">
        <f>+N107*25%+N111*75%</f>
        <v>1.304970737329662</v>
      </c>
    </row>
    <row r="111" spans="1:14">
      <c r="A111" s="8">
        <v>27</v>
      </c>
      <c r="B111" s="15">
        <v>109</v>
      </c>
      <c r="C111" s="214">
        <f t="shared" ref="C111:M111" si="108">+C107*1.01</f>
        <v>1.3082088781170804</v>
      </c>
      <c r="D111" s="14">
        <f t="shared" si="108"/>
        <v>1.3082088781170804</v>
      </c>
      <c r="F111" s="14">
        <f t="shared" si="108"/>
        <v>1.3082088781170804</v>
      </c>
      <c r="G111" s="14">
        <f t="shared" si="108"/>
        <v>1.3082088781170804</v>
      </c>
      <c r="H111" s="14">
        <f t="shared" si="108"/>
        <v>1.3082088781170804</v>
      </c>
      <c r="I111" s="14">
        <f t="shared" si="108"/>
        <v>1.3082088781170804</v>
      </c>
      <c r="J111" s="14">
        <f t="shared" si="108"/>
        <v>1.3082088781170804</v>
      </c>
      <c r="K111" s="14">
        <f t="shared" si="108"/>
        <v>1.3082088781170804</v>
      </c>
      <c r="L111" s="14">
        <f t="shared" si="108"/>
        <v>1.3082088781170804</v>
      </c>
      <c r="M111" s="14">
        <f t="shared" si="108"/>
        <v>1.3082088781170804</v>
      </c>
      <c r="N111" s="14">
        <f>+N107*1.01</f>
        <v>1.3082088781170804</v>
      </c>
    </row>
    <row r="112" spans="1:14">
      <c r="A112" s="8">
        <v>27.25</v>
      </c>
      <c r="B112" s="15">
        <v>110</v>
      </c>
      <c r="C112" s="214">
        <f t="shared" ref="C112:M112" si="109">+(C111*75%)+(C115*25%)</f>
        <v>1.3114794003123731</v>
      </c>
      <c r="D112" s="14">
        <f t="shared" si="109"/>
        <v>1.3114794003123731</v>
      </c>
      <c r="F112" s="14">
        <f t="shared" si="109"/>
        <v>1.3114794003123731</v>
      </c>
      <c r="G112" s="14">
        <f t="shared" si="109"/>
        <v>1.3114794003123731</v>
      </c>
      <c r="H112" s="14">
        <f t="shared" si="109"/>
        <v>1.3114794003123731</v>
      </c>
      <c r="I112" s="14">
        <f t="shared" si="109"/>
        <v>1.3114794003123731</v>
      </c>
      <c r="J112" s="14">
        <f t="shared" si="109"/>
        <v>1.3114794003123731</v>
      </c>
      <c r="K112" s="14">
        <f t="shared" si="109"/>
        <v>1.3114794003123731</v>
      </c>
      <c r="L112" s="14">
        <f t="shared" si="109"/>
        <v>1.3114794003123731</v>
      </c>
      <c r="M112" s="14">
        <f t="shared" si="109"/>
        <v>1.3114794003123731</v>
      </c>
      <c r="N112" s="14">
        <f>+(N111*75%)+(N115*25%)</f>
        <v>1.3114794003123731</v>
      </c>
    </row>
    <row r="113" spans="1:14">
      <c r="A113" s="8">
        <v>27.5</v>
      </c>
      <c r="B113" s="15">
        <v>111</v>
      </c>
      <c r="C113" s="214">
        <f t="shared" ref="C113:M113" si="110">+C111*50%+C115*50%</f>
        <v>1.3147499225076658</v>
      </c>
      <c r="D113" s="14">
        <f t="shared" si="110"/>
        <v>1.3147499225076658</v>
      </c>
      <c r="F113" s="14">
        <f t="shared" si="110"/>
        <v>1.3147499225076658</v>
      </c>
      <c r="G113" s="14">
        <f t="shared" si="110"/>
        <v>1.3147499225076658</v>
      </c>
      <c r="H113" s="14">
        <f t="shared" si="110"/>
        <v>1.3147499225076658</v>
      </c>
      <c r="I113" s="14">
        <f t="shared" si="110"/>
        <v>1.3147499225076658</v>
      </c>
      <c r="J113" s="14">
        <f t="shared" si="110"/>
        <v>1.3147499225076658</v>
      </c>
      <c r="K113" s="14">
        <f t="shared" si="110"/>
        <v>1.3147499225076658</v>
      </c>
      <c r="L113" s="14">
        <f t="shared" si="110"/>
        <v>1.3147499225076658</v>
      </c>
      <c r="M113" s="14">
        <f t="shared" si="110"/>
        <v>1.3147499225076658</v>
      </c>
      <c r="N113" s="14">
        <f>+N111*50%+N115*50%</f>
        <v>1.3147499225076658</v>
      </c>
    </row>
    <row r="114" spans="1:14">
      <c r="A114" s="8">
        <v>27.75</v>
      </c>
      <c r="B114" s="15">
        <v>112</v>
      </c>
      <c r="C114" s="214">
        <f t="shared" ref="C114:M114" si="111">+C111*25%+C115*75%</f>
        <v>1.3180204447029586</v>
      </c>
      <c r="D114" s="14">
        <f t="shared" si="111"/>
        <v>1.3180204447029586</v>
      </c>
      <c r="F114" s="14">
        <f t="shared" si="111"/>
        <v>1.3180204447029586</v>
      </c>
      <c r="G114" s="14">
        <f t="shared" si="111"/>
        <v>1.3180204447029586</v>
      </c>
      <c r="H114" s="14">
        <f t="shared" si="111"/>
        <v>1.3180204447029586</v>
      </c>
      <c r="I114" s="14">
        <f t="shared" si="111"/>
        <v>1.3180204447029586</v>
      </c>
      <c r="J114" s="14">
        <f t="shared" si="111"/>
        <v>1.3180204447029586</v>
      </c>
      <c r="K114" s="14">
        <f t="shared" si="111"/>
        <v>1.3180204447029586</v>
      </c>
      <c r="L114" s="14">
        <f t="shared" si="111"/>
        <v>1.3180204447029586</v>
      </c>
      <c r="M114" s="14">
        <f t="shared" si="111"/>
        <v>1.3180204447029586</v>
      </c>
      <c r="N114" s="14">
        <f>+N111*25%+N115*75%</f>
        <v>1.3180204447029586</v>
      </c>
    </row>
    <row r="115" spans="1:14">
      <c r="A115" s="8">
        <v>28</v>
      </c>
      <c r="B115" s="15">
        <v>113</v>
      </c>
      <c r="C115" s="214">
        <f t="shared" ref="C115:M115" si="112">+C111*1.01</f>
        <v>1.3212909668982513</v>
      </c>
      <c r="D115" s="14">
        <f t="shared" si="112"/>
        <v>1.3212909668982513</v>
      </c>
      <c r="F115" s="14">
        <f t="shared" si="112"/>
        <v>1.3212909668982513</v>
      </c>
      <c r="G115" s="14">
        <f t="shared" si="112"/>
        <v>1.3212909668982513</v>
      </c>
      <c r="H115" s="14">
        <f t="shared" si="112"/>
        <v>1.3212909668982513</v>
      </c>
      <c r="I115" s="14">
        <f t="shared" si="112"/>
        <v>1.3212909668982513</v>
      </c>
      <c r="J115" s="14">
        <f t="shared" si="112"/>
        <v>1.3212909668982513</v>
      </c>
      <c r="K115" s="14">
        <f t="shared" si="112"/>
        <v>1.3212909668982513</v>
      </c>
      <c r="L115" s="14">
        <f t="shared" si="112"/>
        <v>1.3212909668982513</v>
      </c>
      <c r="M115" s="14">
        <f t="shared" si="112"/>
        <v>1.3212909668982513</v>
      </c>
      <c r="N115" s="14">
        <f>+N111*1.01</f>
        <v>1.3212909668982513</v>
      </c>
    </row>
    <row r="116" spans="1:14">
      <c r="A116" s="8">
        <v>28.25</v>
      </c>
      <c r="B116" s="15">
        <v>114</v>
      </c>
      <c r="C116" s="214">
        <f t="shared" ref="C116:M116" si="113">+(C115*75%)+(C119*25%)</f>
        <v>1.3245941943154969</v>
      </c>
      <c r="D116" s="14">
        <f t="shared" si="113"/>
        <v>1.3245941943154969</v>
      </c>
      <c r="F116" s="14">
        <f t="shared" si="113"/>
        <v>1.3245941943154969</v>
      </c>
      <c r="G116" s="14">
        <f t="shared" si="113"/>
        <v>1.3245941943154969</v>
      </c>
      <c r="H116" s="14">
        <f t="shared" si="113"/>
        <v>1.3245941943154969</v>
      </c>
      <c r="I116" s="14">
        <f t="shared" si="113"/>
        <v>1.3245941943154969</v>
      </c>
      <c r="J116" s="14">
        <f t="shared" si="113"/>
        <v>1.3245941943154969</v>
      </c>
      <c r="K116" s="14">
        <f t="shared" si="113"/>
        <v>1.3245941943154969</v>
      </c>
      <c r="L116" s="14">
        <f t="shared" si="113"/>
        <v>1.3245941943154969</v>
      </c>
      <c r="M116" s="14">
        <f t="shared" si="113"/>
        <v>1.3245941943154969</v>
      </c>
      <c r="N116" s="14">
        <f>+(N115*75%)+(N119*25%)</f>
        <v>1.3245941943154969</v>
      </c>
    </row>
    <row r="117" spans="1:14">
      <c r="A117" s="8">
        <v>28.5</v>
      </c>
      <c r="B117" s="15">
        <v>115</v>
      </c>
      <c r="C117" s="214">
        <f t="shared" ref="C117:M117" si="114">+C115*50%+C119*50%</f>
        <v>1.3278974217327426</v>
      </c>
      <c r="D117" s="14">
        <f t="shared" si="114"/>
        <v>1.3278974217327426</v>
      </c>
      <c r="F117" s="14">
        <f t="shared" si="114"/>
        <v>1.3278974217327426</v>
      </c>
      <c r="G117" s="14">
        <f t="shared" si="114"/>
        <v>1.3278974217327426</v>
      </c>
      <c r="H117" s="14">
        <f t="shared" si="114"/>
        <v>1.3278974217327426</v>
      </c>
      <c r="I117" s="14">
        <f t="shared" si="114"/>
        <v>1.3278974217327426</v>
      </c>
      <c r="J117" s="14">
        <f t="shared" si="114"/>
        <v>1.3278974217327426</v>
      </c>
      <c r="K117" s="14">
        <f t="shared" si="114"/>
        <v>1.3278974217327426</v>
      </c>
      <c r="L117" s="14">
        <f t="shared" si="114"/>
        <v>1.3278974217327426</v>
      </c>
      <c r="M117" s="14">
        <f t="shared" si="114"/>
        <v>1.3278974217327426</v>
      </c>
      <c r="N117" s="14">
        <f>+N115*50%+N119*50%</f>
        <v>1.3278974217327426</v>
      </c>
    </row>
    <row r="118" spans="1:14">
      <c r="A118" s="8">
        <v>28.75</v>
      </c>
      <c r="B118" s="15">
        <v>116</v>
      </c>
      <c r="C118" s="214">
        <f t="shared" ref="C118:M118" si="115">+C115*25%+C119*75%</f>
        <v>1.3312006491499884</v>
      </c>
      <c r="D118" s="14">
        <f t="shared" si="115"/>
        <v>1.3312006491499884</v>
      </c>
      <c r="F118" s="14">
        <f t="shared" si="115"/>
        <v>1.3312006491499884</v>
      </c>
      <c r="G118" s="14">
        <f t="shared" si="115"/>
        <v>1.3312006491499884</v>
      </c>
      <c r="H118" s="14">
        <f t="shared" si="115"/>
        <v>1.3312006491499884</v>
      </c>
      <c r="I118" s="14">
        <f t="shared" si="115"/>
        <v>1.3312006491499884</v>
      </c>
      <c r="J118" s="14">
        <f t="shared" si="115"/>
        <v>1.3312006491499884</v>
      </c>
      <c r="K118" s="14">
        <f t="shared" si="115"/>
        <v>1.3312006491499884</v>
      </c>
      <c r="L118" s="14">
        <f t="shared" si="115"/>
        <v>1.3312006491499884</v>
      </c>
      <c r="M118" s="14">
        <f t="shared" si="115"/>
        <v>1.3312006491499884</v>
      </c>
      <c r="N118" s="14">
        <f>+N115*25%+N119*75%</f>
        <v>1.3312006491499884</v>
      </c>
    </row>
    <row r="119" spans="1:14">
      <c r="A119" s="8">
        <v>29</v>
      </c>
      <c r="B119" s="15">
        <v>117</v>
      </c>
      <c r="C119" s="214">
        <f t="shared" ref="C119:M119" si="116">+C115*1.01</f>
        <v>1.3345038765672339</v>
      </c>
      <c r="D119" s="14">
        <f t="shared" si="116"/>
        <v>1.3345038765672339</v>
      </c>
      <c r="F119" s="14">
        <f t="shared" si="116"/>
        <v>1.3345038765672339</v>
      </c>
      <c r="G119" s="14">
        <f t="shared" si="116"/>
        <v>1.3345038765672339</v>
      </c>
      <c r="H119" s="14">
        <f t="shared" si="116"/>
        <v>1.3345038765672339</v>
      </c>
      <c r="I119" s="14">
        <f t="shared" si="116"/>
        <v>1.3345038765672339</v>
      </c>
      <c r="J119" s="14">
        <f t="shared" si="116"/>
        <v>1.3345038765672339</v>
      </c>
      <c r="K119" s="14">
        <f t="shared" si="116"/>
        <v>1.3345038765672339</v>
      </c>
      <c r="L119" s="14">
        <f t="shared" si="116"/>
        <v>1.3345038765672339</v>
      </c>
      <c r="M119" s="14">
        <f t="shared" si="116"/>
        <v>1.3345038765672339</v>
      </c>
      <c r="N119" s="14">
        <f>+N115*1.01</f>
        <v>1.3345038765672339</v>
      </c>
    </row>
    <row r="120" spans="1:14">
      <c r="A120" s="8">
        <v>29.25</v>
      </c>
      <c r="B120" s="15">
        <v>118</v>
      </c>
      <c r="C120" s="214">
        <f t="shared" ref="C120:M120" si="117">+(C119*75%)+(C123*25%)</f>
        <v>1.3378401362586521</v>
      </c>
      <c r="D120" s="14">
        <f t="shared" si="117"/>
        <v>1.3378401362586521</v>
      </c>
      <c r="F120" s="14">
        <f t="shared" si="117"/>
        <v>1.3378401362586521</v>
      </c>
      <c r="G120" s="14">
        <f t="shared" si="117"/>
        <v>1.3378401362586521</v>
      </c>
      <c r="H120" s="14">
        <f t="shared" si="117"/>
        <v>1.3378401362586521</v>
      </c>
      <c r="I120" s="14">
        <f t="shared" si="117"/>
        <v>1.3378401362586521</v>
      </c>
      <c r="J120" s="14">
        <f t="shared" si="117"/>
        <v>1.3378401362586521</v>
      </c>
      <c r="K120" s="14">
        <f t="shared" si="117"/>
        <v>1.3378401362586521</v>
      </c>
      <c r="L120" s="14">
        <f t="shared" si="117"/>
        <v>1.3378401362586521</v>
      </c>
      <c r="M120" s="14">
        <f t="shared" si="117"/>
        <v>1.3378401362586521</v>
      </c>
      <c r="N120" s="14">
        <f>+(N119*75%)+(N123*25%)</f>
        <v>1.3378401362586521</v>
      </c>
    </row>
    <row r="121" spans="1:14">
      <c r="A121" s="8">
        <v>29.5</v>
      </c>
      <c r="B121" s="15">
        <v>119</v>
      </c>
      <c r="C121" s="214">
        <f t="shared" ref="C121:M121" si="118">+C119*50%+C123*50%</f>
        <v>1.34117639595007</v>
      </c>
      <c r="D121" s="14">
        <f t="shared" si="118"/>
        <v>1.34117639595007</v>
      </c>
      <c r="F121" s="14">
        <f t="shared" si="118"/>
        <v>1.34117639595007</v>
      </c>
      <c r="G121" s="14">
        <f t="shared" si="118"/>
        <v>1.34117639595007</v>
      </c>
      <c r="H121" s="14">
        <f t="shared" si="118"/>
        <v>1.34117639595007</v>
      </c>
      <c r="I121" s="14">
        <f t="shared" si="118"/>
        <v>1.34117639595007</v>
      </c>
      <c r="J121" s="14">
        <f t="shared" si="118"/>
        <v>1.34117639595007</v>
      </c>
      <c r="K121" s="14">
        <f t="shared" si="118"/>
        <v>1.34117639595007</v>
      </c>
      <c r="L121" s="14">
        <f t="shared" si="118"/>
        <v>1.34117639595007</v>
      </c>
      <c r="M121" s="14">
        <f t="shared" si="118"/>
        <v>1.34117639595007</v>
      </c>
      <c r="N121" s="14">
        <f>+N119*50%+N123*50%</f>
        <v>1.34117639595007</v>
      </c>
    </row>
    <row r="122" spans="1:14">
      <c r="A122" s="8">
        <v>29.75</v>
      </c>
      <c r="B122" s="15">
        <v>120</v>
      </c>
      <c r="C122" s="214">
        <f t="shared" ref="C122:M122" si="119">+C119*25%+C123*75%</f>
        <v>1.3445126556414881</v>
      </c>
      <c r="D122" s="14">
        <f t="shared" si="119"/>
        <v>1.3445126556414881</v>
      </c>
      <c r="F122" s="14">
        <f t="shared" si="119"/>
        <v>1.3445126556414881</v>
      </c>
      <c r="G122" s="14">
        <f t="shared" si="119"/>
        <v>1.3445126556414881</v>
      </c>
      <c r="H122" s="14">
        <f t="shared" si="119"/>
        <v>1.3445126556414881</v>
      </c>
      <c r="I122" s="14">
        <f t="shared" si="119"/>
        <v>1.3445126556414881</v>
      </c>
      <c r="J122" s="14">
        <f t="shared" si="119"/>
        <v>1.3445126556414881</v>
      </c>
      <c r="K122" s="14">
        <f t="shared" si="119"/>
        <v>1.3445126556414881</v>
      </c>
      <c r="L122" s="14">
        <f t="shared" si="119"/>
        <v>1.3445126556414881</v>
      </c>
      <c r="M122" s="14">
        <f t="shared" si="119"/>
        <v>1.3445126556414881</v>
      </c>
      <c r="N122" s="14">
        <f>+N119*25%+N123*75%</f>
        <v>1.3445126556414881</v>
      </c>
    </row>
    <row r="123" spans="1:14">
      <c r="A123" s="8">
        <v>30</v>
      </c>
      <c r="B123" s="15">
        <v>121</v>
      </c>
      <c r="C123" s="214">
        <f t="shared" ref="C123:M123" si="120">+C119*1.01</f>
        <v>1.3478489153329063</v>
      </c>
      <c r="D123" s="14">
        <f t="shared" si="120"/>
        <v>1.3478489153329063</v>
      </c>
      <c r="F123" s="14">
        <f t="shared" si="120"/>
        <v>1.3478489153329063</v>
      </c>
      <c r="G123" s="14">
        <f t="shared" si="120"/>
        <v>1.3478489153329063</v>
      </c>
      <c r="H123" s="14">
        <f t="shared" si="120"/>
        <v>1.3478489153329063</v>
      </c>
      <c r="I123" s="14">
        <f t="shared" si="120"/>
        <v>1.3478489153329063</v>
      </c>
      <c r="J123" s="14">
        <f t="shared" si="120"/>
        <v>1.3478489153329063</v>
      </c>
      <c r="K123" s="14">
        <f t="shared" si="120"/>
        <v>1.3478489153329063</v>
      </c>
      <c r="L123" s="14">
        <f t="shared" si="120"/>
        <v>1.3478489153329063</v>
      </c>
      <c r="M123" s="14">
        <f t="shared" si="120"/>
        <v>1.3478489153329063</v>
      </c>
      <c r="N123" s="14">
        <f>+N119*1.01</f>
        <v>1.3478489153329063</v>
      </c>
    </row>
    <row r="124" spans="1:14">
      <c r="A124" s="8">
        <v>30.25</v>
      </c>
      <c r="B124" s="15">
        <v>122</v>
      </c>
      <c r="C124" s="214">
        <f>+(C123*75%)+(C127*25%)</f>
        <v>1.3512185376212384</v>
      </c>
      <c r="D124" s="14">
        <f>+(D123*75%)+(D127*25%)</f>
        <v>1.3512185376212384</v>
      </c>
      <c r="F124" s="14">
        <f>+(F123*75%)+(F127*25%)</f>
        <v>1.3503761320491554</v>
      </c>
      <c r="G124" s="14">
        <f t="shared" ref="G124:M124" si="121">+(G123*75%)+(G127*25%)</f>
        <v>1.3503761320491554</v>
      </c>
      <c r="H124" s="14">
        <f>+(H123*75%)+(H127*25%)</f>
        <v>1.3503761320491554</v>
      </c>
      <c r="I124" s="14">
        <f t="shared" si="121"/>
        <v>1.3503761320491554</v>
      </c>
      <c r="J124" s="14">
        <f>+(J123*75%)+(J127*25%)</f>
        <v>1.3503761320491554</v>
      </c>
      <c r="K124" s="14">
        <f t="shared" si="121"/>
        <v>1.3503761320491554</v>
      </c>
      <c r="L124" s="14">
        <f>+(L123*75%)+(L127*25%)</f>
        <v>1.3503761320491554</v>
      </c>
      <c r="M124" s="14">
        <f t="shared" si="121"/>
        <v>1.3503761320491554</v>
      </c>
      <c r="N124" s="14">
        <f>+(N123*75%)+(N127*25%)</f>
        <v>1.3503761320491554</v>
      </c>
    </row>
    <row r="125" spans="1:14">
      <c r="A125" s="8">
        <v>30.5</v>
      </c>
      <c r="B125" s="15">
        <v>123</v>
      </c>
      <c r="C125" s="214">
        <f t="shared" ref="C125:M125" si="122">+C123*50%+C127*50%</f>
        <v>1.3545881599095708</v>
      </c>
      <c r="D125" s="14">
        <f t="shared" si="122"/>
        <v>1.3545881599095708</v>
      </c>
      <c r="F125" s="14">
        <f t="shared" si="122"/>
        <v>1.3529033487654047</v>
      </c>
      <c r="G125" s="14">
        <f t="shared" si="122"/>
        <v>1.3529033487654047</v>
      </c>
      <c r="H125" s="14">
        <f t="shared" si="122"/>
        <v>1.3529033487654047</v>
      </c>
      <c r="I125" s="14">
        <f t="shared" si="122"/>
        <v>1.3529033487654047</v>
      </c>
      <c r="J125" s="14">
        <f t="shared" si="122"/>
        <v>1.3529033487654047</v>
      </c>
      <c r="K125" s="14">
        <f t="shared" si="122"/>
        <v>1.3529033487654047</v>
      </c>
      <c r="L125" s="14">
        <f t="shared" si="122"/>
        <v>1.3529033487654047</v>
      </c>
      <c r="M125" s="14">
        <f t="shared" si="122"/>
        <v>1.3529033487654047</v>
      </c>
      <c r="N125" s="14">
        <f>+N123*50%+N127*50%</f>
        <v>1.3529033487654047</v>
      </c>
    </row>
    <row r="126" spans="1:14">
      <c r="A126" s="8">
        <v>30.75</v>
      </c>
      <c r="B126" s="15">
        <v>124</v>
      </c>
      <c r="C126" s="214">
        <f>+C123*25%+C127*75%</f>
        <v>1.357957782197903</v>
      </c>
      <c r="D126" s="14">
        <f>+D123*25%+D127*75%</f>
        <v>1.357957782197903</v>
      </c>
      <c r="F126" s="14">
        <f>+F123*25%+F127*75%</f>
        <v>1.3554305654816539</v>
      </c>
      <c r="G126" s="14">
        <f t="shared" ref="G126:M126" si="123">+G123*25%+G127*75%</f>
        <v>1.3554305654816539</v>
      </c>
      <c r="H126" s="14">
        <f>+H123*25%+H127*75%</f>
        <v>1.3554305654816539</v>
      </c>
      <c r="I126" s="14">
        <f t="shared" si="123"/>
        <v>1.3554305654816539</v>
      </c>
      <c r="J126" s="14">
        <f>+J123*25%+J127*75%</f>
        <v>1.3554305654816539</v>
      </c>
      <c r="K126" s="14">
        <f t="shared" si="123"/>
        <v>1.3554305654816539</v>
      </c>
      <c r="L126" s="14">
        <f>+L123*25%+L127*75%</f>
        <v>1.3554305654816539</v>
      </c>
      <c r="M126" s="14">
        <f t="shared" si="123"/>
        <v>1.3554305654816539</v>
      </c>
      <c r="N126" s="14">
        <f>+N123*25%+N127*75%</f>
        <v>1.3554305654816539</v>
      </c>
    </row>
    <row r="127" spans="1:14">
      <c r="A127" s="8">
        <v>31</v>
      </c>
      <c r="B127" s="15">
        <v>125</v>
      </c>
      <c r="C127" s="214">
        <f>+C123*1.01</f>
        <v>1.3613274044862353</v>
      </c>
      <c r="D127" s="14">
        <f>+D123*1.01</f>
        <v>1.3613274044862353</v>
      </c>
      <c r="F127" s="14">
        <f t="shared" ref="F127:M127" si="124">+F123*1.0075</f>
        <v>1.3579577821979032</v>
      </c>
      <c r="G127" s="14">
        <f t="shared" si="124"/>
        <v>1.3579577821979032</v>
      </c>
      <c r="H127" s="14">
        <f t="shared" si="124"/>
        <v>1.3579577821979032</v>
      </c>
      <c r="I127" s="14">
        <f t="shared" si="124"/>
        <v>1.3579577821979032</v>
      </c>
      <c r="J127" s="14">
        <f t="shared" si="124"/>
        <v>1.3579577821979032</v>
      </c>
      <c r="K127" s="14">
        <f t="shared" si="124"/>
        <v>1.3579577821979032</v>
      </c>
      <c r="L127" s="14">
        <f t="shared" si="124"/>
        <v>1.3579577821979032</v>
      </c>
      <c r="M127" s="14">
        <f t="shared" si="124"/>
        <v>1.3579577821979032</v>
      </c>
      <c r="N127" s="14">
        <f>+N123*1.0075</f>
        <v>1.3579577821979032</v>
      </c>
    </row>
    <row r="128" spans="1:14">
      <c r="A128" s="8">
        <v>31.25</v>
      </c>
      <c r="B128" s="15">
        <v>126</v>
      </c>
      <c r="C128" s="214">
        <f>+(C127*75%)+(C131*25%)</f>
        <v>1.3647307229974508</v>
      </c>
      <c r="D128" s="14">
        <f>+(D127*75%)+(D131*25%)</f>
        <v>1.3647307229974508</v>
      </c>
      <c r="F128" s="14">
        <f>+(F127*75%)+(F131*25%)</f>
        <v>1.3605039530395242</v>
      </c>
      <c r="G128" s="14">
        <f t="shared" ref="G128:M128" si="125">+(G127*75%)+(G131*25%)</f>
        <v>1.3605039530395242</v>
      </c>
      <c r="H128" s="14">
        <f>+(H127*75%)+(H131*25%)</f>
        <v>1.3605039530395242</v>
      </c>
      <c r="I128" s="14">
        <f t="shared" si="125"/>
        <v>1.3605039530395242</v>
      </c>
      <c r="J128" s="14">
        <f>+(J127*75%)+(J131*25%)</f>
        <v>1.3605039530395242</v>
      </c>
      <c r="K128" s="14">
        <f t="shared" si="125"/>
        <v>1.3605039530395242</v>
      </c>
      <c r="L128" s="14">
        <f>+(L127*75%)+(L131*25%)</f>
        <v>1.3605039530395242</v>
      </c>
      <c r="M128" s="14">
        <f t="shared" si="125"/>
        <v>1.3605039530395242</v>
      </c>
      <c r="N128" s="14">
        <f>+(N127*75%)+(N131*25%)</f>
        <v>1.3605039530395242</v>
      </c>
    </row>
    <row r="129" spans="1:14">
      <c r="A129" s="8">
        <v>31.5</v>
      </c>
      <c r="B129" s="15">
        <v>127</v>
      </c>
      <c r="C129" s="214">
        <f t="shared" ref="C129:M129" si="126">+C127*50%+C131*50%</f>
        <v>1.3681340415086667</v>
      </c>
      <c r="D129" s="14">
        <f t="shared" si="126"/>
        <v>1.3681340415086667</v>
      </c>
      <c r="F129" s="14">
        <f t="shared" si="126"/>
        <v>1.3630501238811452</v>
      </c>
      <c r="G129" s="14">
        <f t="shared" si="126"/>
        <v>1.3630501238811452</v>
      </c>
      <c r="H129" s="14">
        <f t="shared" si="126"/>
        <v>1.3630501238811452</v>
      </c>
      <c r="I129" s="14">
        <f t="shared" si="126"/>
        <v>1.3630501238811452</v>
      </c>
      <c r="J129" s="14">
        <f t="shared" si="126"/>
        <v>1.3630501238811452</v>
      </c>
      <c r="K129" s="14">
        <f t="shared" si="126"/>
        <v>1.3630501238811452</v>
      </c>
      <c r="L129" s="14">
        <f t="shared" si="126"/>
        <v>1.3630501238811452</v>
      </c>
      <c r="M129" s="14">
        <f t="shared" si="126"/>
        <v>1.3630501238811452</v>
      </c>
      <c r="N129" s="14">
        <f>+N127*50%+N131*50%</f>
        <v>1.3630501238811452</v>
      </c>
    </row>
    <row r="130" spans="1:14">
      <c r="A130" s="8">
        <v>31.75</v>
      </c>
      <c r="B130" s="15">
        <v>128</v>
      </c>
      <c r="C130" s="214">
        <f>+C127*25%+C131*75%</f>
        <v>1.3715373600198824</v>
      </c>
      <c r="D130" s="14">
        <f>+D127*25%+D131*75%</f>
        <v>1.3715373600198824</v>
      </c>
      <c r="F130" s="14">
        <f>+F127*25%+F131*75%</f>
        <v>1.3655962947227662</v>
      </c>
      <c r="G130" s="14">
        <f t="shared" ref="G130:M130" si="127">+G127*25%+G131*75%</f>
        <v>1.3655962947227662</v>
      </c>
      <c r="H130" s="14">
        <f>+H127*25%+H131*75%</f>
        <v>1.3655962947227662</v>
      </c>
      <c r="I130" s="14">
        <f t="shared" si="127"/>
        <v>1.3655962947227662</v>
      </c>
      <c r="J130" s="14">
        <f>+J127*25%+J131*75%</f>
        <v>1.3655962947227662</v>
      </c>
      <c r="K130" s="14">
        <f t="shared" si="127"/>
        <v>1.3655962947227662</v>
      </c>
      <c r="L130" s="14">
        <f>+L127*25%+L131*75%</f>
        <v>1.3655962947227662</v>
      </c>
      <c r="M130" s="14">
        <f t="shared" si="127"/>
        <v>1.3655962947227662</v>
      </c>
      <c r="N130" s="14">
        <f>+N127*25%+N131*75%</f>
        <v>1.3655962947227662</v>
      </c>
    </row>
    <row r="131" spans="1:14">
      <c r="A131" s="8">
        <v>32</v>
      </c>
      <c r="B131" s="15">
        <v>129</v>
      </c>
      <c r="C131" s="214">
        <f>+C127*1.01</f>
        <v>1.3749406785310978</v>
      </c>
      <c r="D131" s="14">
        <f>+D127*1.01</f>
        <v>1.3749406785310978</v>
      </c>
      <c r="F131" s="14">
        <f t="shared" ref="F131:M131" si="128">+F127*1.0075</f>
        <v>1.3681424655643875</v>
      </c>
      <c r="G131" s="14">
        <f t="shared" si="128"/>
        <v>1.3681424655643875</v>
      </c>
      <c r="H131" s="14">
        <f t="shared" si="128"/>
        <v>1.3681424655643875</v>
      </c>
      <c r="I131" s="14">
        <f t="shared" si="128"/>
        <v>1.3681424655643875</v>
      </c>
      <c r="J131" s="14">
        <f t="shared" si="128"/>
        <v>1.3681424655643875</v>
      </c>
      <c r="K131" s="14">
        <f t="shared" si="128"/>
        <v>1.3681424655643875</v>
      </c>
      <c r="L131" s="14">
        <f t="shared" si="128"/>
        <v>1.3681424655643875</v>
      </c>
      <c r="M131" s="14">
        <f t="shared" si="128"/>
        <v>1.3681424655643875</v>
      </c>
      <c r="N131" s="14">
        <f>+N127*1.0075</f>
        <v>1.3681424655643875</v>
      </c>
    </row>
    <row r="132" spans="1:14">
      <c r="A132" s="8">
        <v>32.25</v>
      </c>
      <c r="B132" s="15">
        <v>130</v>
      </c>
      <c r="C132" s="214">
        <f>+(C131*75%)+(C135*25%)</f>
        <v>1.3783780302274256</v>
      </c>
      <c r="D132" s="14">
        <f>+(D131*75%)+(D135*25%)</f>
        <v>1.3783780302274256</v>
      </c>
      <c r="F132" s="14">
        <f>+(F131*75%)+(F135*25%)</f>
        <v>1.3707077326873207</v>
      </c>
      <c r="G132" s="14">
        <f t="shared" ref="G132:M132" si="129">+(G131*75%)+(G135*25%)</f>
        <v>1.3707077326873207</v>
      </c>
      <c r="H132" s="14">
        <f>+(H131*75%)+(H135*25%)</f>
        <v>1.3707077326873207</v>
      </c>
      <c r="I132" s="14">
        <f t="shared" si="129"/>
        <v>1.3707077326873207</v>
      </c>
      <c r="J132" s="14">
        <f>+(J131*75%)+(J135*25%)</f>
        <v>1.3707077326873207</v>
      </c>
      <c r="K132" s="14">
        <f t="shared" si="129"/>
        <v>1.3707077326873207</v>
      </c>
      <c r="L132" s="14">
        <f>+(L131*75%)+(L135*25%)</f>
        <v>1.3707077326873207</v>
      </c>
      <c r="M132" s="14">
        <f t="shared" si="129"/>
        <v>1.3707077326873207</v>
      </c>
      <c r="N132" s="14">
        <f>+(N131*75%)+(N135*25%)</f>
        <v>1.3707077326873207</v>
      </c>
    </row>
    <row r="133" spans="1:14">
      <c r="A133" s="8">
        <v>32.5</v>
      </c>
      <c r="B133" s="15">
        <v>131</v>
      </c>
      <c r="C133" s="214">
        <f t="shared" ref="C133:M133" si="130">+C131*50%+C135*50%</f>
        <v>1.3818153819237533</v>
      </c>
      <c r="D133" s="14">
        <f t="shared" si="130"/>
        <v>1.3818153819237533</v>
      </c>
      <c r="F133" s="14">
        <f t="shared" si="130"/>
        <v>1.373272999810254</v>
      </c>
      <c r="G133" s="14">
        <f t="shared" si="130"/>
        <v>1.373272999810254</v>
      </c>
      <c r="H133" s="14">
        <f t="shared" si="130"/>
        <v>1.373272999810254</v>
      </c>
      <c r="I133" s="14">
        <f t="shared" si="130"/>
        <v>1.373272999810254</v>
      </c>
      <c r="J133" s="14">
        <f t="shared" si="130"/>
        <v>1.373272999810254</v>
      </c>
      <c r="K133" s="14">
        <f t="shared" si="130"/>
        <v>1.373272999810254</v>
      </c>
      <c r="L133" s="14">
        <f t="shared" si="130"/>
        <v>1.373272999810254</v>
      </c>
      <c r="M133" s="14">
        <f t="shared" si="130"/>
        <v>1.373272999810254</v>
      </c>
      <c r="N133" s="14">
        <f>+N131*50%+N135*50%</f>
        <v>1.373272999810254</v>
      </c>
    </row>
    <row r="134" spans="1:14">
      <c r="A134" s="8">
        <v>32.75</v>
      </c>
      <c r="B134" s="15">
        <v>132</v>
      </c>
      <c r="C134" s="214">
        <f>+C131*25%+C135*75%</f>
        <v>1.3852527336200811</v>
      </c>
      <c r="D134" s="14">
        <f>+D131*25%+D135*75%</f>
        <v>1.3852527336200811</v>
      </c>
      <c r="F134" s="14">
        <f>+F131*25%+F135*75%</f>
        <v>1.3758382669331872</v>
      </c>
      <c r="G134" s="14">
        <f t="shared" ref="G134:M134" si="131">+G131*25%+G135*75%</f>
        <v>1.3758382669331872</v>
      </c>
      <c r="H134" s="14">
        <f>+H131*25%+H135*75%</f>
        <v>1.3758382669331872</v>
      </c>
      <c r="I134" s="14">
        <f t="shared" si="131"/>
        <v>1.3758382669331872</v>
      </c>
      <c r="J134" s="14">
        <f>+J131*25%+J135*75%</f>
        <v>1.3758382669331872</v>
      </c>
      <c r="K134" s="14">
        <f t="shared" si="131"/>
        <v>1.3758382669331872</v>
      </c>
      <c r="L134" s="14">
        <f>+L131*25%+L135*75%</f>
        <v>1.3758382669331872</v>
      </c>
      <c r="M134" s="14">
        <f t="shared" si="131"/>
        <v>1.3758382669331872</v>
      </c>
      <c r="N134" s="14">
        <f>+N131*25%+N135*75%</f>
        <v>1.3758382669331872</v>
      </c>
    </row>
    <row r="135" spans="1:14">
      <c r="A135" s="8">
        <v>33</v>
      </c>
      <c r="B135" s="15">
        <v>133</v>
      </c>
      <c r="C135" s="214">
        <f>+C131*1.01</f>
        <v>1.3886900853164088</v>
      </c>
      <c r="D135" s="14">
        <f>+D131*1.01</f>
        <v>1.3886900853164088</v>
      </c>
      <c r="F135" s="14">
        <f t="shared" ref="F135:M135" si="132">+F131*1.0075</f>
        <v>1.3784035340561205</v>
      </c>
      <c r="G135" s="14">
        <f t="shared" si="132"/>
        <v>1.3784035340561205</v>
      </c>
      <c r="H135" s="14">
        <f t="shared" si="132"/>
        <v>1.3784035340561205</v>
      </c>
      <c r="I135" s="14">
        <f t="shared" si="132"/>
        <v>1.3784035340561205</v>
      </c>
      <c r="J135" s="14">
        <f t="shared" si="132"/>
        <v>1.3784035340561205</v>
      </c>
      <c r="K135" s="14">
        <f t="shared" si="132"/>
        <v>1.3784035340561205</v>
      </c>
      <c r="L135" s="14">
        <f t="shared" si="132"/>
        <v>1.3784035340561205</v>
      </c>
      <c r="M135" s="14">
        <f t="shared" si="132"/>
        <v>1.3784035340561205</v>
      </c>
      <c r="N135" s="14">
        <f>+N131*1.0075</f>
        <v>1.3784035340561205</v>
      </c>
    </row>
    <row r="136" spans="1:14">
      <c r="A136" s="8">
        <v>33.25</v>
      </c>
      <c r="B136" s="15">
        <v>134</v>
      </c>
      <c r="C136" s="214">
        <f>+(C135*75%)+(C139*25%)</f>
        <v>1.3921618105297</v>
      </c>
      <c r="D136" s="14">
        <f>+(D135*75%)+(D139*25%)</f>
        <v>1.3921618105297</v>
      </c>
      <c r="F136" s="14">
        <f>+(F135*75%)+(F139*25%)</f>
        <v>1.3809880406824757</v>
      </c>
      <c r="G136" s="14">
        <f t="shared" ref="G136:M136" si="133">+(G135*75%)+(G139*25%)</f>
        <v>1.3809880406824757</v>
      </c>
      <c r="H136" s="14">
        <f>+(H135*75%)+(H139*25%)</f>
        <v>1.3809880406824757</v>
      </c>
      <c r="I136" s="14">
        <f t="shared" si="133"/>
        <v>1.3809880406824757</v>
      </c>
      <c r="J136" s="14">
        <f>+(J135*75%)+(J139*25%)</f>
        <v>1.3809880406824757</v>
      </c>
      <c r="K136" s="14">
        <f t="shared" si="133"/>
        <v>1.3809880406824757</v>
      </c>
      <c r="L136" s="14">
        <f>+(L135*75%)+(L139*25%)</f>
        <v>1.3809880406824757</v>
      </c>
      <c r="M136" s="14">
        <f t="shared" si="133"/>
        <v>1.3809880406824757</v>
      </c>
      <c r="N136" s="14">
        <f>+(N135*75%)+(N139*25%)</f>
        <v>1.3809880406824757</v>
      </c>
    </row>
    <row r="137" spans="1:14">
      <c r="A137" s="8">
        <v>33.5</v>
      </c>
      <c r="B137" s="15">
        <v>135</v>
      </c>
      <c r="C137" s="214">
        <f t="shared" ref="C137:M137" si="134">+C135*50%+C139*50%</f>
        <v>1.395633535742991</v>
      </c>
      <c r="D137" s="14">
        <f t="shared" si="134"/>
        <v>1.395633535742991</v>
      </c>
      <c r="F137" s="14">
        <f t="shared" si="134"/>
        <v>1.3835725473088309</v>
      </c>
      <c r="G137" s="14">
        <f t="shared" si="134"/>
        <v>1.3835725473088309</v>
      </c>
      <c r="H137" s="14">
        <f t="shared" si="134"/>
        <v>1.3835725473088309</v>
      </c>
      <c r="I137" s="14">
        <f t="shared" si="134"/>
        <v>1.3835725473088309</v>
      </c>
      <c r="J137" s="14">
        <f t="shared" si="134"/>
        <v>1.3835725473088309</v>
      </c>
      <c r="K137" s="14">
        <f t="shared" si="134"/>
        <v>1.3835725473088309</v>
      </c>
      <c r="L137" s="14">
        <f t="shared" si="134"/>
        <v>1.3835725473088309</v>
      </c>
      <c r="M137" s="14">
        <f t="shared" si="134"/>
        <v>1.3835725473088309</v>
      </c>
      <c r="N137" s="14">
        <f>+N135*50%+N139*50%</f>
        <v>1.3835725473088309</v>
      </c>
    </row>
    <row r="138" spans="1:14">
      <c r="A138" s="8">
        <v>33.75</v>
      </c>
      <c r="B138" s="15">
        <v>136</v>
      </c>
      <c r="C138" s="214">
        <f>+C135*25%+C139*75%</f>
        <v>1.399105260956282</v>
      </c>
      <c r="D138" s="14">
        <f>+D135*25%+D139*75%</f>
        <v>1.399105260956282</v>
      </c>
      <c r="F138" s="14">
        <f>+F135*25%+F139*75%</f>
        <v>1.3861570539351862</v>
      </c>
      <c r="G138" s="14">
        <f t="shared" ref="G138:M138" si="135">+G135*25%+G139*75%</f>
        <v>1.3861570539351862</v>
      </c>
      <c r="H138" s="14">
        <f>+H135*25%+H139*75%</f>
        <v>1.3861570539351862</v>
      </c>
      <c r="I138" s="14">
        <f t="shared" si="135"/>
        <v>1.3861570539351862</v>
      </c>
      <c r="J138" s="14">
        <f>+J135*25%+J139*75%</f>
        <v>1.3861570539351862</v>
      </c>
      <c r="K138" s="14">
        <f t="shared" si="135"/>
        <v>1.3861570539351862</v>
      </c>
      <c r="L138" s="14">
        <f>+L135*25%+L139*75%</f>
        <v>1.3861570539351862</v>
      </c>
      <c r="M138" s="14">
        <f t="shared" si="135"/>
        <v>1.3861570539351862</v>
      </c>
      <c r="N138" s="14">
        <f>+N135*25%+N139*75%</f>
        <v>1.3861570539351862</v>
      </c>
    </row>
    <row r="139" spans="1:14">
      <c r="A139" s="8">
        <v>34</v>
      </c>
      <c r="B139" s="15">
        <v>137</v>
      </c>
      <c r="C139" s="214">
        <f>+C135*1.01</f>
        <v>1.4025769861695729</v>
      </c>
      <c r="D139" s="14">
        <f>+D135*1.01</f>
        <v>1.4025769861695729</v>
      </c>
      <c r="F139" s="14">
        <f t="shared" ref="F139:M139" si="136">+F135*1.0075</f>
        <v>1.3887415605615414</v>
      </c>
      <c r="G139" s="14">
        <f t="shared" si="136"/>
        <v>1.3887415605615414</v>
      </c>
      <c r="H139" s="14">
        <f t="shared" si="136"/>
        <v>1.3887415605615414</v>
      </c>
      <c r="I139" s="14">
        <f t="shared" si="136"/>
        <v>1.3887415605615414</v>
      </c>
      <c r="J139" s="14">
        <f t="shared" si="136"/>
        <v>1.3887415605615414</v>
      </c>
      <c r="K139" s="14">
        <f t="shared" si="136"/>
        <v>1.3887415605615414</v>
      </c>
      <c r="L139" s="14">
        <f t="shared" si="136"/>
        <v>1.3887415605615414</v>
      </c>
      <c r="M139" s="14">
        <f t="shared" si="136"/>
        <v>1.3887415605615414</v>
      </c>
      <c r="N139" s="14">
        <f>+N135*1.0075</f>
        <v>1.3887415605615414</v>
      </c>
    </row>
    <row r="140" spans="1:14">
      <c r="A140" s="8">
        <v>34.25</v>
      </c>
      <c r="B140" s="15">
        <v>138</v>
      </c>
      <c r="C140" s="214">
        <f>+(C139*75%)+(C143*25%)</f>
        <v>1.406083428634997</v>
      </c>
      <c r="D140" s="14">
        <f>+(D139*75%)+(D143*25%)</f>
        <v>1.406083428634997</v>
      </c>
      <c r="F140" s="14">
        <f>+(F139*75%)+(F143*25%)</f>
        <v>1.3913454509875942</v>
      </c>
      <c r="G140" s="14">
        <f t="shared" ref="G140:M140" si="137">+(G139*75%)+(G143*25%)</f>
        <v>1.3913454509875942</v>
      </c>
      <c r="H140" s="14">
        <f>+(H139*75%)+(H143*25%)</f>
        <v>1.3913454509875942</v>
      </c>
      <c r="I140" s="14">
        <f t="shared" si="137"/>
        <v>1.3913454509875942</v>
      </c>
      <c r="J140" s="14">
        <f>+(J139*75%)+(J143*25%)</f>
        <v>1.3913454509875942</v>
      </c>
      <c r="K140" s="14">
        <f t="shared" si="137"/>
        <v>1.3913454509875942</v>
      </c>
      <c r="L140" s="14">
        <f>+(L139*75%)+(L143*25%)</f>
        <v>1.3913454509875942</v>
      </c>
      <c r="M140" s="14">
        <f t="shared" si="137"/>
        <v>1.3913454509875942</v>
      </c>
      <c r="N140" s="14">
        <f>+(N139*75%)+(N143*25%)</f>
        <v>1.3913454509875942</v>
      </c>
    </row>
    <row r="141" spans="1:14">
      <c r="A141" s="8">
        <v>34.5</v>
      </c>
      <c r="B141" s="15">
        <v>139</v>
      </c>
      <c r="C141" s="214">
        <f t="shared" ref="C141:M141" si="138">+C139*50%+C143*50%</f>
        <v>1.4095898711004207</v>
      </c>
      <c r="D141" s="14">
        <f t="shared" si="138"/>
        <v>1.4095898711004207</v>
      </c>
      <c r="F141" s="14">
        <f t="shared" si="138"/>
        <v>1.3939493414136472</v>
      </c>
      <c r="G141" s="14">
        <f t="shared" si="138"/>
        <v>1.3939493414136472</v>
      </c>
      <c r="H141" s="14">
        <f t="shared" si="138"/>
        <v>1.3939493414136472</v>
      </c>
      <c r="I141" s="14">
        <f t="shared" si="138"/>
        <v>1.3939493414136472</v>
      </c>
      <c r="J141" s="14">
        <f t="shared" si="138"/>
        <v>1.3939493414136472</v>
      </c>
      <c r="K141" s="14">
        <f t="shared" si="138"/>
        <v>1.3939493414136472</v>
      </c>
      <c r="L141" s="14">
        <f t="shared" si="138"/>
        <v>1.3939493414136472</v>
      </c>
      <c r="M141" s="14">
        <f t="shared" si="138"/>
        <v>1.3939493414136472</v>
      </c>
      <c r="N141" s="14">
        <f>+N139*50%+N143*50%</f>
        <v>1.3939493414136472</v>
      </c>
    </row>
    <row r="142" spans="1:14">
      <c r="A142" s="8">
        <v>34.75</v>
      </c>
      <c r="B142" s="15">
        <v>140</v>
      </c>
      <c r="C142" s="214">
        <f>+C139*25%+C143*75%</f>
        <v>1.4130963135658448</v>
      </c>
      <c r="D142" s="14">
        <f>+D139*25%+D143*75%</f>
        <v>1.4130963135658448</v>
      </c>
      <c r="F142" s="14">
        <f>+F139*25%+F143*75%</f>
        <v>1.3965532318397003</v>
      </c>
      <c r="G142" s="14">
        <f t="shared" ref="G142:M142" si="139">+G139*25%+G143*75%</f>
        <v>1.3965532318397003</v>
      </c>
      <c r="H142" s="14">
        <f>+H139*25%+H143*75%</f>
        <v>1.3965532318397003</v>
      </c>
      <c r="I142" s="14">
        <f t="shared" si="139"/>
        <v>1.3965532318397003</v>
      </c>
      <c r="J142" s="14">
        <f>+J139*25%+J143*75%</f>
        <v>1.3965532318397003</v>
      </c>
      <c r="K142" s="14">
        <f t="shared" si="139"/>
        <v>1.3965532318397003</v>
      </c>
      <c r="L142" s="14">
        <f>+L139*25%+L143*75%</f>
        <v>1.3965532318397003</v>
      </c>
      <c r="M142" s="14">
        <f t="shared" si="139"/>
        <v>1.3965532318397003</v>
      </c>
      <c r="N142" s="14">
        <f>+N139*25%+N143*75%</f>
        <v>1.3965532318397003</v>
      </c>
    </row>
    <row r="143" spans="1:14">
      <c r="A143" s="8">
        <v>35</v>
      </c>
      <c r="B143" s="15">
        <v>141</v>
      </c>
      <c r="C143" s="214">
        <f>+C139*1.01</f>
        <v>1.4166027560312686</v>
      </c>
      <c r="D143" s="14">
        <f>+D139*1.01</f>
        <v>1.4166027560312686</v>
      </c>
      <c r="F143" s="14">
        <f t="shared" ref="F143:M143" si="140">+F139*1.0075</f>
        <v>1.3991571222657531</v>
      </c>
      <c r="G143" s="14">
        <f t="shared" si="140"/>
        <v>1.3991571222657531</v>
      </c>
      <c r="H143" s="14">
        <f t="shared" si="140"/>
        <v>1.3991571222657531</v>
      </c>
      <c r="I143" s="14">
        <f t="shared" si="140"/>
        <v>1.3991571222657531</v>
      </c>
      <c r="J143" s="14">
        <f t="shared" si="140"/>
        <v>1.3991571222657531</v>
      </c>
      <c r="K143" s="14">
        <f t="shared" si="140"/>
        <v>1.3991571222657531</v>
      </c>
      <c r="L143" s="14">
        <f t="shared" si="140"/>
        <v>1.3991571222657531</v>
      </c>
      <c r="M143" s="14">
        <f t="shared" si="140"/>
        <v>1.3991571222657531</v>
      </c>
      <c r="N143" s="14">
        <f>+N139*1.0075</f>
        <v>1.3991571222657531</v>
      </c>
    </row>
    <row r="144" spans="1:14">
      <c r="A144" s="8">
        <v>35.25</v>
      </c>
      <c r="B144" s="15">
        <v>142</v>
      </c>
      <c r="C144" s="214">
        <f>+(C143*75%)+(C147*25%)</f>
        <v>1.4201442629213468</v>
      </c>
      <c r="D144" s="14">
        <f>+(D143*75%)+(D147*25%)</f>
        <v>1.4201442629213468</v>
      </c>
      <c r="F144" s="14">
        <f>+(F143*75%)+(F147*25%)</f>
        <v>1.4017805418700013</v>
      </c>
      <c r="G144" s="14">
        <f t="shared" ref="G144:M144" si="141">+(G143*75%)+(G147*25%)</f>
        <v>1.4017805418700013</v>
      </c>
      <c r="H144" s="14">
        <f>+(H143*75%)+(H147*25%)</f>
        <v>1.4017805418700013</v>
      </c>
      <c r="I144" s="14">
        <f t="shared" si="141"/>
        <v>1.4017805418700013</v>
      </c>
      <c r="J144" s="14">
        <f>+(J143*75%)+(J147*25%)</f>
        <v>1.4017805418700013</v>
      </c>
      <c r="K144" s="14">
        <f t="shared" si="141"/>
        <v>1.4017805418700013</v>
      </c>
      <c r="L144" s="14">
        <f>+(L143*75%)+(L147*25%)</f>
        <v>1.4017805418700013</v>
      </c>
      <c r="M144" s="14">
        <f t="shared" si="141"/>
        <v>1.4017805418700013</v>
      </c>
      <c r="N144" s="14">
        <f>+(N143*75%)+(N147*25%)</f>
        <v>1.4017805418700013</v>
      </c>
    </row>
    <row r="145" spans="1:14">
      <c r="A145" s="8">
        <v>35.5</v>
      </c>
      <c r="B145" s="15">
        <v>143</v>
      </c>
      <c r="C145" s="214">
        <f t="shared" ref="C145:M145" si="142">+C143*50%+C147*50%</f>
        <v>1.4236857698114249</v>
      </c>
      <c r="D145" s="14">
        <f t="shared" si="142"/>
        <v>1.4236857698114249</v>
      </c>
      <c r="F145" s="14">
        <f t="shared" si="142"/>
        <v>1.4044039614742498</v>
      </c>
      <c r="G145" s="14">
        <f t="shared" si="142"/>
        <v>1.4044039614742498</v>
      </c>
      <c r="H145" s="14">
        <f t="shared" si="142"/>
        <v>1.4044039614742498</v>
      </c>
      <c r="I145" s="14">
        <f t="shared" si="142"/>
        <v>1.4044039614742498</v>
      </c>
      <c r="J145" s="14">
        <f t="shared" si="142"/>
        <v>1.4044039614742498</v>
      </c>
      <c r="K145" s="14">
        <f t="shared" si="142"/>
        <v>1.4044039614742498</v>
      </c>
      <c r="L145" s="14">
        <f t="shared" si="142"/>
        <v>1.4044039614742498</v>
      </c>
      <c r="M145" s="14">
        <f t="shared" si="142"/>
        <v>1.4044039614742498</v>
      </c>
      <c r="N145" s="14">
        <f>+N143*50%+N147*50%</f>
        <v>1.4044039614742498</v>
      </c>
    </row>
    <row r="146" spans="1:14">
      <c r="A146" s="8">
        <v>35.75</v>
      </c>
      <c r="B146" s="15">
        <v>144</v>
      </c>
      <c r="C146" s="214">
        <f>+C143*25%+C147*75%</f>
        <v>1.4272272767015031</v>
      </c>
      <c r="D146" s="14">
        <f>+D143*25%+D147*75%</f>
        <v>1.4272272767015031</v>
      </c>
      <c r="F146" s="14">
        <f>+F143*25%+F147*75%</f>
        <v>1.4070273810784981</v>
      </c>
      <c r="G146" s="14">
        <f t="shared" ref="G146:M146" si="143">+G143*25%+G147*75%</f>
        <v>1.4070273810784981</v>
      </c>
      <c r="H146" s="14">
        <f>+H143*25%+H147*75%</f>
        <v>1.4070273810784981</v>
      </c>
      <c r="I146" s="14">
        <f t="shared" si="143"/>
        <v>1.4070273810784981</v>
      </c>
      <c r="J146" s="14">
        <f>+J143*25%+J147*75%</f>
        <v>1.4070273810784981</v>
      </c>
      <c r="K146" s="14">
        <f t="shared" si="143"/>
        <v>1.4070273810784981</v>
      </c>
      <c r="L146" s="14">
        <f>+L143*25%+L147*75%</f>
        <v>1.4070273810784981</v>
      </c>
      <c r="M146" s="14">
        <f t="shared" si="143"/>
        <v>1.4070273810784981</v>
      </c>
      <c r="N146" s="14">
        <f>+N143*25%+N147*75%</f>
        <v>1.4070273810784981</v>
      </c>
    </row>
    <row r="147" spans="1:14">
      <c r="A147" s="8">
        <v>36</v>
      </c>
      <c r="B147" s="15">
        <v>145</v>
      </c>
      <c r="C147" s="214">
        <f>+C143*1.01</f>
        <v>1.4307687835915812</v>
      </c>
      <c r="D147" s="14">
        <f>+D143*1.01</f>
        <v>1.4307687835915812</v>
      </c>
      <c r="F147" s="14">
        <f t="shared" ref="F147:M147" si="144">+F143*1.0075</f>
        <v>1.4096508006827464</v>
      </c>
      <c r="G147" s="14">
        <f t="shared" si="144"/>
        <v>1.4096508006827464</v>
      </c>
      <c r="H147" s="14">
        <f t="shared" si="144"/>
        <v>1.4096508006827464</v>
      </c>
      <c r="I147" s="14">
        <f t="shared" si="144"/>
        <v>1.4096508006827464</v>
      </c>
      <c r="J147" s="14">
        <f t="shared" si="144"/>
        <v>1.4096508006827464</v>
      </c>
      <c r="K147" s="14">
        <f t="shared" si="144"/>
        <v>1.4096508006827464</v>
      </c>
      <c r="L147" s="14">
        <f t="shared" si="144"/>
        <v>1.4096508006827464</v>
      </c>
      <c r="M147" s="14">
        <f t="shared" si="144"/>
        <v>1.4096508006827464</v>
      </c>
      <c r="N147" s="14">
        <f>+N143*1.0075</f>
        <v>1.4096508006827464</v>
      </c>
    </row>
    <row r="148" spans="1:14">
      <c r="A148" s="8">
        <v>36.25</v>
      </c>
      <c r="B148" s="15">
        <v>146</v>
      </c>
      <c r="C148" s="214">
        <f>+(C147*75%)+(C151*25%)</f>
        <v>1.4343457055505602</v>
      </c>
      <c r="D148" s="14">
        <f>+(D147*75%)+(D151*25%)</f>
        <v>1.4343457055505602</v>
      </c>
      <c r="F148" s="14">
        <f>+(F147*75%)+(F151*25%)</f>
        <v>1.4122938959340265</v>
      </c>
      <c r="G148" s="14">
        <f t="shared" ref="G148:M148" si="145">+(G147*75%)+(G151*25%)</f>
        <v>1.4122938959340265</v>
      </c>
      <c r="H148" s="14">
        <f>+(H147*75%)+(H151*25%)</f>
        <v>1.4122938959340265</v>
      </c>
      <c r="I148" s="14">
        <f t="shared" si="145"/>
        <v>1.4122938959340265</v>
      </c>
      <c r="J148" s="14">
        <f>+(J147*75%)+(J151*25%)</f>
        <v>1.4122938959340265</v>
      </c>
      <c r="K148" s="14">
        <f t="shared" si="145"/>
        <v>1.4122938959340265</v>
      </c>
      <c r="L148" s="14">
        <f>+(L147*75%)+(L151*25%)</f>
        <v>1.4122938959340265</v>
      </c>
      <c r="M148" s="14">
        <f t="shared" si="145"/>
        <v>1.4122938959340265</v>
      </c>
      <c r="N148" s="14">
        <f>+(N147*75%)+(N151*25%)</f>
        <v>1.4122938959340265</v>
      </c>
    </row>
    <row r="149" spans="1:14">
      <c r="A149" s="8">
        <v>36.5</v>
      </c>
      <c r="B149" s="15">
        <v>147</v>
      </c>
      <c r="C149" s="214">
        <f t="shared" ref="C149:M149" si="146">+C147*50%+C151*50%</f>
        <v>1.4379226275095391</v>
      </c>
      <c r="D149" s="14">
        <f t="shared" si="146"/>
        <v>1.4379226275095391</v>
      </c>
      <c r="F149" s="14">
        <f t="shared" si="146"/>
        <v>1.4149369911853067</v>
      </c>
      <c r="G149" s="14">
        <f t="shared" si="146"/>
        <v>1.4149369911853067</v>
      </c>
      <c r="H149" s="14">
        <f t="shared" si="146"/>
        <v>1.4149369911853067</v>
      </c>
      <c r="I149" s="14">
        <f t="shared" si="146"/>
        <v>1.4149369911853067</v>
      </c>
      <c r="J149" s="14">
        <f t="shared" si="146"/>
        <v>1.4149369911853067</v>
      </c>
      <c r="K149" s="14">
        <f t="shared" si="146"/>
        <v>1.4149369911853067</v>
      </c>
      <c r="L149" s="14">
        <f t="shared" si="146"/>
        <v>1.4149369911853067</v>
      </c>
      <c r="M149" s="14">
        <f t="shared" si="146"/>
        <v>1.4149369911853067</v>
      </c>
      <c r="N149" s="14">
        <f>+N147*50%+N151*50%</f>
        <v>1.4149369911853067</v>
      </c>
    </row>
    <row r="150" spans="1:14">
      <c r="A150" s="8">
        <v>36.75</v>
      </c>
      <c r="B150" s="15">
        <v>148</v>
      </c>
      <c r="C150" s="214">
        <f>+C147*25%+C151*75%</f>
        <v>1.4414995494685181</v>
      </c>
      <c r="D150" s="14">
        <f>+D147*25%+D151*75%</f>
        <v>1.4414995494685181</v>
      </c>
      <c r="F150" s="14">
        <f>+F147*25%+F151*75%</f>
        <v>1.4175800864365868</v>
      </c>
      <c r="G150" s="14">
        <f t="shared" ref="G150:M150" si="147">+G147*25%+G151*75%</f>
        <v>1.4175800864365868</v>
      </c>
      <c r="H150" s="14">
        <f>+H147*25%+H151*75%</f>
        <v>1.4175800864365868</v>
      </c>
      <c r="I150" s="14">
        <f t="shared" si="147"/>
        <v>1.4175800864365868</v>
      </c>
      <c r="J150" s="14">
        <f>+J147*25%+J151*75%</f>
        <v>1.4175800864365868</v>
      </c>
      <c r="K150" s="14">
        <f t="shared" si="147"/>
        <v>1.4175800864365868</v>
      </c>
      <c r="L150" s="14">
        <f>+L147*25%+L151*75%</f>
        <v>1.4175800864365868</v>
      </c>
      <c r="M150" s="14">
        <f t="shared" si="147"/>
        <v>1.4175800864365868</v>
      </c>
      <c r="N150" s="14">
        <f>+N147*25%+N151*75%</f>
        <v>1.4175800864365868</v>
      </c>
    </row>
    <row r="151" spans="1:14">
      <c r="A151" s="8">
        <v>37</v>
      </c>
      <c r="B151" s="15">
        <v>149</v>
      </c>
      <c r="C151" s="214">
        <f>+C147*1.01</f>
        <v>1.4450764714274971</v>
      </c>
      <c r="D151" s="14">
        <f>+D147*1.01</f>
        <v>1.4450764714274971</v>
      </c>
      <c r="F151" s="14">
        <f t="shared" ref="F151:M151" si="148">+F147*1.0075</f>
        <v>1.420223181687867</v>
      </c>
      <c r="G151" s="14">
        <f t="shared" si="148"/>
        <v>1.420223181687867</v>
      </c>
      <c r="H151" s="14">
        <f t="shared" si="148"/>
        <v>1.420223181687867</v>
      </c>
      <c r="I151" s="14">
        <f t="shared" si="148"/>
        <v>1.420223181687867</v>
      </c>
      <c r="J151" s="14">
        <f t="shared" si="148"/>
        <v>1.420223181687867</v>
      </c>
      <c r="K151" s="14">
        <f t="shared" si="148"/>
        <v>1.420223181687867</v>
      </c>
      <c r="L151" s="14">
        <f t="shared" si="148"/>
        <v>1.420223181687867</v>
      </c>
      <c r="M151" s="14">
        <f t="shared" si="148"/>
        <v>1.420223181687867</v>
      </c>
      <c r="N151" s="14">
        <f>+N147*1.0075</f>
        <v>1.420223181687867</v>
      </c>
    </row>
    <row r="152" spans="1:14">
      <c r="A152" s="8">
        <v>37.25</v>
      </c>
      <c r="B152" s="15">
        <v>150</v>
      </c>
      <c r="C152" s="214">
        <f>+C151</f>
        <v>1.4450764714274971</v>
      </c>
      <c r="D152" s="14">
        <f>+D151</f>
        <v>1.4450764714274971</v>
      </c>
      <c r="F152" s="14">
        <f>+(F151*75%)+(F155*25%)</f>
        <v>1.4228861001535318</v>
      </c>
      <c r="G152" s="14">
        <f t="shared" ref="G152:M152" si="149">+(G151*75%)+(G155*25%)</f>
        <v>1.4228861001535318</v>
      </c>
      <c r="H152" s="14">
        <f>+(H151*75%)+(H155*25%)</f>
        <v>1.4228861001535318</v>
      </c>
      <c r="I152" s="14">
        <f t="shared" si="149"/>
        <v>1.4228861001535318</v>
      </c>
      <c r="J152" s="14">
        <f>+(J151*75%)+(J155*25%)</f>
        <v>1.4228861001535318</v>
      </c>
      <c r="K152" s="14">
        <f t="shared" si="149"/>
        <v>1.4228861001535318</v>
      </c>
      <c r="L152" s="14">
        <f>+(L151*75%)+(L155*25%)</f>
        <v>1.4228861001535318</v>
      </c>
      <c r="M152" s="14">
        <f t="shared" si="149"/>
        <v>1.4228861001535318</v>
      </c>
      <c r="N152" s="14">
        <f>+(N151*75%)+(N155*25%)</f>
        <v>1.4228861001535318</v>
      </c>
    </row>
    <row r="153" spans="1:14">
      <c r="A153" s="8">
        <v>37.5</v>
      </c>
      <c r="B153" s="15">
        <v>151</v>
      </c>
      <c r="C153" s="214">
        <f t="shared" ref="C153:D163" si="150">+C152</f>
        <v>1.4450764714274971</v>
      </c>
      <c r="D153" s="14">
        <f t="shared" si="150"/>
        <v>1.4450764714274971</v>
      </c>
      <c r="F153" s="14">
        <f t="shared" ref="F153:M153" si="151">+F151*50%+F155*50%</f>
        <v>1.4255490186191966</v>
      </c>
      <c r="G153" s="14">
        <f t="shared" si="151"/>
        <v>1.4255490186191966</v>
      </c>
      <c r="H153" s="14">
        <f t="shared" si="151"/>
        <v>1.4255490186191966</v>
      </c>
      <c r="I153" s="14">
        <f t="shared" si="151"/>
        <v>1.4255490186191966</v>
      </c>
      <c r="J153" s="14">
        <f t="shared" si="151"/>
        <v>1.4255490186191966</v>
      </c>
      <c r="K153" s="14">
        <f t="shared" si="151"/>
        <v>1.4255490186191966</v>
      </c>
      <c r="L153" s="14">
        <f t="shared" si="151"/>
        <v>1.4255490186191966</v>
      </c>
      <c r="M153" s="14">
        <f t="shared" si="151"/>
        <v>1.4255490186191966</v>
      </c>
      <c r="N153" s="14">
        <f>+N151*50%+N155*50%</f>
        <v>1.4255490186191966</v>
      </c>
    </row>
    <row r="154" spans="1:14">
      <c r="A154" s="8">
        <v>37.75</v>
      </c>
      <c r="B154" s="15">
        <v>152</v>
      </c>
      <c r="C154" s="214">
        <f t="shared" si="150"/>
        <v>1.4450764714274971</v>
      </c>
      <c r="D154" s="14">
        <f t="shared" si="150"/>
        <v>1.4450764714274971</v>
      </c>
      <c r="F154" s="14">
        <f>+F151*25%+F155*75%</f>
        <v>1.4282119370848614</v>
      </c>
      <c r="G154" s="14">
        <f t="shared" ref="G154:M154" si="152">+G151*25%+G155*75%</f>
        <v>1.4282119370848614</v>
      </c>
      <c r="H154" s="14">
        <f>+H151*25%+H155*75%</f>
        <v>1.4282119370848614</v>
      </c>
      <c r="I154" s="14">
        <f t="shared" si="152"/>
        <v>1.4282119370848614</v>
      </c>
      <c r="J154" s="14">
        <f>+J151*25%+J155*75%</f>
        <v>1.4282119370848614</v>
      </c>
      <c r="K154" s="14">
        <f t="shared" si="152"/>
        <v>1.4282119370848614</v>
      </c>
      <c r="L154" s="14">
        <f>+L151*25%+L155*75%</f>
        <v>1.4282119370848614</v>
      </c>
      <c r="M154" s="14">
        <f t="shared" si="152"/>
        <v>1.4282119370848614</v>
      </c>
      <c r="N154" s="14">
        <f>+N151*25%+N155*75%</f>
        <v>1.4282119370848614</v>
      </c>
    </row>
    <row r="155" spans="1:14">
      <c r="A155" s="8">
        <v>38</v>
      </c>
      <c r="B155" s="15">
        <v>153</v>
      </c>
      <c r="C155" s="214">
        <f t="shared" si="150"/>
        <v>1.4450764714274971</v>
      </c>
      <c r="D155" s="14">
        <f t="shared" si="150"/>
        <v>1.4450764714274971</v>
      </c>
      <c r="F155" s="14">
        <f t="shared" ref="F155:M155" si="153">+F151*1.0075</f>
        <v>1.4308748555505262</v>
      </c>
      <c r="G155" s="14">
        <f t="shared" si="153"/>
        <v>1.4308748555505262</v>
      </c>
      <c r="H155" s="14">
        <f t="shared" si="153"/>
        <v>1.4308748555505262</v>
      </c>
      <c r="I155" s="14">
        <f t="shared" si="153"/>
        <v>1.4308748555505262</v>
      </c>
      <c r="J155" s="14">
        <f t="shared" si="153"/>
        <v>1.4308748555505262</v>
      </c>
      <c r="K155" s="14">
        <f t="shared" si="153"/>
        <v>1.4308748555505262</v>
      </c>
      <c r="L155" s="14">
        <f t="shared" si="153"/>
        <v>1.4308748555505262</v>
      </c>
      <c r="M155" s="14">
        <f t="shared" si="153"/>
        <v>1.4308748555505262</v>
      </c>
      <c r="N155" s="14">
        <f>+N151*1.0075</f>
        <v>1.4308748555505262</v>
      </c>
    </row>
    <row r="156" spans="1:14">
      <c r="A156" s="8">
        <v>38.25</v>
      </c>
      <c r="B156" s="15">
        <v>154</v>
      </c>
      <c r="C156" s="214">
        <f t="shared" si="150"/>
        <v>1.4450764714274971</v>
      </c>
      <c r="D156" s="14">
        <f t="shared" si="150"/>
        <v>1.4450764714274971</v>
      </c>
      <c r="F156" s="14">
        <f>+(F155*75%)+(F159*25%)</f>
        <v>1.4335577459046835</v>
      </c>
      <c r="G156" s="14">
        <f t="shared" ref="G156:M156" si="154">+(G155*75%)+(G159*25%)</f>
        <v>1.4335577459046835</v>
      </c>
      <c r="H156" s="14">
        <f>+(H155*75%)+(H159*25%)</f>
        <v>1.4335577459046835</v>
      </c>
      <c r="I156" s="14">
        <f t="shared" si="154"/>
        <v>1.4335577459046835</v>
      </c>
      <c r="J156" s="14">
        <f>+(J155*75%)+(J159*25%)</f>
        <v>1.4335577459046835</v>
      </c>
      <c r="K156" s="14">
        <f t="shared" si="154"/>
        <v>1.4335577459046835</v>
      </c>
      <c r="L156" s="14">
        <f>+(L155*75%)+(L159*25%)</f>
        <v>1.4335577459046835</v>
      </c>
      <c r="M156" s="14">
        <f t="shared" si="154"/>
        <v>1.4335577459046835</v>
      </c>
      <c r="N156" s="14">
        <f>+(N155*75%)+(N159*25%)</f>
        <v>1.4335577459046835</v>
      </c>
    </row>
    <row r="157" spans="1:14">
      <c r="A157" s="8">
        <v>38.5</v>
      </c>
      <c r="B157" s="15">
        <v>155</v>
      </c>
      <c r="C157" s="214">
        <f t="shared" si="150"/>
        <v>1.4450764714274971</v>
      </c>
      <c r="D157" s="14">
        <f t="shared" si="150"/>
        <v>1.4450764714274971</v>
      </c>
      <c r="F157" s="14">
        <f t="shared" ref="F157:M157" si="155">+F155*50%+F159*50%</f>
        <v>1.4362406362588407</v>
      </c>
      <c r="G157" s="14">
        <f t="shared" si="155"/>
        <v>1.4362406362588407</v>
      </c>
      <c r="H157" s="14">
        <f t="shared" si="155"/>
        <v>1.4362406362588407</v>
      </c>
      <c r="I157" s="14">
        <f t="shared" si="155"/>
        <v>1.4362406362588407</v>
      </c>
      <c r="J157" s="14">
        <f t="shared" si="155"/>
        <v>1.4362406362588407</v>
      </c>
      <c r="K157" s="14">
        <f t="shared" si="155"/>
        <v>1.4362406362588407</v>
      </c>
      <c r="L157" s="14">
        <f t="shared" si="155"/>
        <v>1.4362406362588407</v>
      </c>
      <c r="M157" s="14">
        <f t="shared" si="155"/>
        <v>1.4362406362588407</v>
      </c>
      <c r="N157" s="14">
        <f>+N155*50%+N159*50%</f>
        <v>1.4362406362588407</v>
      </c>
    </row>
    <row r="158" spans="1:14">
      <c r="A158" s="8">
        <v>38.75</v>
      </c>
      <c r="B158" s="15">
        <v>156</v>
      </c>
      <c r="C158" s="214">
        <f t="shared" si="150"/>
        <v>1.4450764714274971</v>
      </c>
      <c r="D158" s="14">
        <f t="shared" si="150"/>
        <v>1.4450764714274971</v>
      </c>
      <c r="F158" s="14">
        <f>+F155*25%+F159*75%</f>
        <v>1.438923526612998</v>
      </c>
      <c r="G158" s="14">
        <f t="shared" ref="G158:M158" si="156">+G155*25%+G159*75%</f>
        <v>1.438923526612998</v>
      </c>
      <c r="H158" s="14">
        <f>+H155*25%+H159*75%</f>
        <v>1.438923526612998</v>
      </c>
      <c r="I158" s="14">
        <f t="shared" si="156"/>
        <v>1.438923526612998</v>
      </c>
      <c r="J158" s="14">
        <f>+J155*25%+J159*75%</f>
        <v>1.438923526612998</v>
      </c>
      <c r="K158" s="14">
        <f t="shared" si="156"/>
        <v>1.438923526612998</v>
      </c>
      <c r="L158" s="14">
        <f>+L155*25%+L159*75%</f>
        <v>1.438923526612998</v>
      </c>
      <c r="M158" s="14">
        <f t="shared" si="156"/>
        <v>1.438923526612998</v>
      </c>
      <c r="N158" s="14">
        <f>+N155*25%+N159*75%</f>
        <v>1.438923526612998</v>
      </c>
    </row>
    <row r="159" spans="1:14">
      <c r="A159" s="8">
        <v>39</v>
      </c>
      <c r="B159" s="15">
        <v>157</v>
      </c>
      <c r="C159" s="214">
        <f t="shared" si="150"/>
        <v>1.4450764714274971</v>
      </c>
      <c r="D159" s="14">
        <f t="shared" si="150"/>
        <v>1.4450764714274971</v>
      </c>
      <c r="F159" s="14">
        <f t="shared" ref="F159:M159" si="157">+F155*1.0075</f>
        <v>1.4416064169671552</v>
      </c>
      <c r="G159" s="14">
        <f t="shared" si="157"/>
        <v>1.4416064169671552</v>
      </c>
      <c r="H159" s="14">
        <f t="shared" si="157"/>
        <v>1.4416064169671552</v>
      </c>
      <c r="I159" s="14">
        <f t="shared" si="157"/>
        <v>1.4416064169671552</v>
      </c>
      <c r="J159" s="14">
        <f t="shared" si="157"/>
        <v>1.4416064169671552</v>
      </c>
      <c r="K159" s="14">
        <f t="shared" si="157"/>
        <v>1.4416064169671552</v>
      </c>
      <c r="L159" s="14">
        <f t="shared" si="157"/>
        <v>1.4416064169671552</v>
      </c>
      <c r="M159" s="14">
        <f t="shared" si="157"/>
        <v>1.4416064169671552</v>
      </c>
      <c r="N159" s="14">
        <f>+N155*1.0075</f>
        <v>1.4416064169671552</v>
      </c>
    </row>
    <row r="160" spans="1:14">
      <c r="A160" s="8">
        <v>39.25</v>
      </c>
      <c r="B160" s="15">
        <v>158</v>
      </c>
      <c r="C160" s="214">
        <f t="shared" si="150"/>
        <v>1.4450764714274971</v>
      </c>
      <c r="D160" s="14">
        <f t="shared" si="150"/>
        <v>1.4450764714274971</v>
      </c>
      <c r="F160" s="14">
        <f>+(F159*75%)+(F163*25%)</f>
        <v>1.4443094289989686</v>
      </c>
      <c r="G160" s="14">
        <f t="shared" ref="G160:M160" si="158">+(G159*75%)+(G163*25%)</f>
        <v>1.4443094289989686</v>
      </c>
      <c r="H160" s="14">
        <f>+(H159*75%)+(H163*25%)</f>
        <v>1.4443094289989686</v>
      </c>
      <c r="I160" s="14">
        <f t="shared" si="158"/>
        <v>1.4443094289989686</v>
      </c>
      <c r="J160" s="14">
        <f>+(J159*75%)+(J163*25%)</f>
        <v>1.4443094289989686</v>
      </c>
      <c r="K160" s="14">
        <f t="shared" si="158"/>
        <v>1.4443094289989686</v>
      </c>
      <c r="L160" s="14">
        <f>+(L159*75%)+(L163*25%)</f>
        <v>1.4443094289989686</v>
      </c>
      <c r="M160" s="14">
        <f t="shared" si="158"/>
        <v>1.4443094289989686</v>
      </c>
      <c r="N160" s="14">
        <f>+(N159*75%)+(N163*25%)</f>
        <v>1.4443094289989686</v>
      </c>
    </row>
    <row r="161" spans="1:14">
      <c r="A161" s="8">
        <v>39.5</v>
      </c>
      <c r="B161" s="15">
        <v>159</v>
      </c>
      <c r="C161" s="214">
        <f t="shared" si="150"/>
        <v>1.4450764714274971</v>
      </c>
      <c r="D161" s="14">
        <f t="shared" si="150"/>
        <v>1.4450764714274971</v>
      </c>
      <c r="F161" s="14">
        <f t="shared" ref="F161:M161" si="159">+F159*50%+F163*50%</f>
        <v>1.4470124410307821</v>
      </c>
      <c r="G161" s="14">
        <f t="shared" si="159"/>
        <v>1.4470124410307821</v>
      </c>
      <c r="H161" s="14">
        <f t="shared" si="159"/>
        <v>1.4470124410307821</v>
      </c>
      <c r="I161" s="14">
        <f t="shared" si="159"/>
        <v>1.4470124410307821</v>
      </c>
      <c r="J161" s="14">
        <f t="shared" si="159"/>
        <v>1.4470124410307821</v>
      </c>
      <c r="K161" s="14">
        <f t="shared" si="159"/>
        <v>1.4470124410307821</v>
      </c>
      <c r="L161" s="14">
        <f t="shared" si="159"/>
        <v>1.4470124410307821</v>
      </c>
      <c r="M161" s="14">
        <f t="shared" si="159"/>
        <v>1.4470124410307821</v>
      </c>
      <c r="N161" s="14">
        <f>+N159*50%+N163*50%</f>
        <v>1.4470124410307821</v>
      </c>
    </row>
    <row r="162" spans="1:14">
      <c r="A162" s="8">
        <v>39.75</v>
      </c>
      <c r="B162" s="15">
        <v>160</v>
      </c>
      <c r="C162" s="214">
        <f t="shared" si="150"/>
        <v>1.4450764714274971</v>
      </c>
      <c r="D162" s="14">
        <f t="shared" si="150"/>
        <v>1.4450764714274971</v>
      </c>
      <c r="F162" s="14">
        <f>+F159*25%+F163*75%</f>
        <v>1.4497154530625955</v>
      </c>
      <c r="G162" s="14">
        <f t="shared" ref="G162:M162" si="160">+G159*25%+G163*75%</f>
        <v>1.4497154530625955</v>
      </c>
      <c r="H162" s="14">
        <f>+H159*25%+H163*75%</f>
        <v>1.4497154530625955</v>
      </c>
      <c r="I162" s="14">
        <f t="shared" si="160"/>
        <v>1.4497154530625955</v>
      </c>
      <c r="J162" s="14">
        <f>+J159*25%+J163*75%</f>
        <v>1.4497154530625955</v>
      </c>
      <c r="K162" s="14">
        <f t="shared" si="160"/>
        <v>1.4497154530625955</v>
      </c>
      <c r="L162" s="14">
        <f>+L159*25%+L163*75%</f>
        <v>1.4497154530625955</v>
      </c>
      <c r="M162" s="14">
        <f t="shared" si="160"/>
        <v>1.4497154530625955</v>
      </c>
      <c r="N162" s="14">
        <f>+N159*25%+N163*75%</f>
        <v>1.4497154530625955</v>
      </c>
    </row>
    <row r="163" spans="1:14">
      <c r="A163" s="8">
        <v>40</v>
      </c>
      <c r="B163" s="15">
        <v>161</v>
      </c>
      <c r="C163" s="214">
        <f t="shared" si="150"/>
        <v>1.4450764714274971</v>
      </c>
      <c r="D163" s="14">
        <f t="shared" si="150"/>
        <v>1.4450764714274971</v>
      </c>
      <c r="F163" s="14">
        <f t="shared" ref="F163:M163" si="161">+F159*1.0075</f>
        <v>1.452418465094409</v>
      </c>
      <c r="G163" s="14">
        <f t="shared" si="161"/>
        <v>1.452418465094409</v>
      </c>
      <c r="H163" s="14">
        <f t="shared" si="161"/>
        <v>1.452418465094409</v>
      </c>
      <c r="I163" s="14">
        <f t="shared" si="161"/>
        <v>1.452418465094409</v>
      </c>
      <c r="J163" s="14">
        <f t="shared" si="161"/>
        <v>1.452418465094409</v>
      </c>
      <c r="K163" s="14">
        <f t="shared" si="161"/>
        <v>1.452418465094409</v>
      </c>
      <c r="L163" s="14">
        <f t="shared" si="161"/>
        <v>1.452418465094409</v>
      </c>
      <c r="M163" s="14">
        <f t="shared" si="161"/>
        <v>1.452418465094409</v>
      </c>
      <c r="N163" s="14">
        <f>+N159*1.0075</f>
        <v>1.452418465094409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גיליון22"/>
  <dimension ref="A1:Z295"/>
  <sheetViews>
    <sheetView rightToLeft="1" workbookViewId="0">
      <selection activeCell="H4" sqref="H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8" max="8" width="10.5546875" bestFit="1" customWidth="1"/>
    <col min="9" max="9" width="13.21875" bestFit="1" customWidth="1"/>
    <col min="10" max="10" width="10.5546875" bestFit="1" customWidth="1"/>
    <col min="11" max="11" width="10.5546875" customWidth="1"/>
    <col min="12" max="12" width="9.88671875" bestFit="1" customWidth="1"/>
    <col min="13" max="15" width="9.88671875" customWidth="1"/>
    <col min="16" max="16" width="14.109375" bestFit="1" customWidth="1"/>
    <col min="17" max="17" width="14.5546875" bestFit="1" customWidth="1"/>
    <col min="18" max="19" width="14.5546875" customWidth="1"/>
  </cols>
  <sheetData>
    <row r="1" spans="1:26" ht="15" thickTop="1">
      <c r="G1" s="67"/>
      <c r="I1" s="233" t="s">
        <v>5321</v>
      </c>
      <c r="J1" s="234" t="s">
        <v>1203</v>
      </c>
      <c r="K1" s="484">
        <f>IF(F4&lt;I3,0,IF(F4&gt;=J3,K4,J4))</f>
        <v>0</v>
      </c>
      <c r="L1" t="s">
        <v>1203</v>
      </c>
      <c r="M1" s="84">
        <f>IF(F4&lt;L3,0,IF(F4&lt;M3,L4,IF(F4&lt;N3,M4,IF(F4&lt;N3,M4,IF(F4&lt;O3,N4,O4)))))</f>
        <v>0</v>
      </c>
      <c r="O1" s="10"/>
      <c r="Q1" s="10"/>
      <c r="S1" s="10"/>
    </row>
    <row r="2" spans="1:26">
      <c r="E2" t="s">
        <v>58</v>
      </c>
      <c r="F2">
        <f>+SACHAR!O11</f>
        <v>1011</v>
      </c>
      <c r="G2" s="67"/>
      <c r="I2" s="9">
        <v>1.2009000000000001</v>
      </c>
      <c r="J2">
        <v>1.2013</v>
      </c>
      <c r="K2" s="10"/>
      <c r="L2">
        <v>1.2011000000000001</v>
      </c>
      <c r="M2">
        <v>1.2012</v>
      </c>
      <c r="N2">
        <v>1.2013</v>
      </c>
      <c r="O2" s="10">
        <v>7.2012999999999998</v>
      </c>
      <c r="Q2" s="10"/>
      <c r="S2" s="10"/>
    </row>
    <row r="3" spans="1:26">
      <c r="E3" t="s">
        <v>9</v>
      </c>
      <c r="F3">
        <f>+SACHAR!C9</f>
        <v>1.2008000000000001</v>
      </c>
      <c r="G3" s="67"/>
      <c r="I3" s="9">
        <v>13</v>
      </c>
      <c r="J3">
        <f>VLOOKUP(J2,'tosafot '!$B$7:$C$234,2,0)</f>
        <v>61</v>
      </c>
      <c r="K3" s="10"/>
      <c r="L3" s="9">
        <f>VLOOKUP(L2,'tosafot '!$B$7:$C$234,2,0)</f>
        <v>37</v>
      </c>
      <c r="M3">
        <f>VLOOKUP(M2,'tosafot '!$B$7:$C$234,2,0)</f>
        <v>49</v>
      </c>
      <c r="N3">
        <f>VLOOKUP(N2,'tosafot '!$B$7:$C$234,2,0)</f>
        <v>61</v>
      </c>
      <c r="O3" s="10">
        <f>VLOOKUP(O2,'tosafot '!$B$7:$C$234,2,0)</f>
        <v>67</v>
      </c>
      <c r="Q3" s="10"/>
      <c r="S3" s="10"/>
    </row>
    <row r="4" spans="1:26" ht="15" thickBot="1">
      <c r="E4" t="s">
        <v>9</v>
      </c>
      <c r="F4">
        <f>+'Netunei Gimlai'!B6</f>
        <v>1</v>
      </c>
      <c r="G4" s="67"/>
      <c r="H4" s="6">
        <v>3.5999999999999997E-2</v>
      </c>
      <c r="I4" s="270">
        <v>0</v>
      </c>
      <c r="J4" s="78">
        <f>VLOOKUP(F2,$F$6:$L$195,5,0)</f>
        <v>4.7E-2</v>
      </c>
      <c r="K4" s="269">
        <v>0.05</v>
      </c>
      <c r="L4" s="6">
        <f>+L6</f>
        <v>2.2499999999999999E-2</v>
      </c>
      <c r="M4" s="6">
        <f>+M6</f>
        <v>0.04</v>
      </c>
      <c r="N4" s="6">
        <f>+N6</f>
        <v>6.25E-2</v>
      </c>
      <c r="O4" s="271">
        <f>+O6</f>
        <v>7.2499999999999995E-2</v>
      </c>
      <c r="Q4" s="10"/>
      <c r="S4" s="10"/>
    </row>
    <row r="5" spans="1:26" ht="15.6" thickTop="1" thickBot="1">
      <c r="A5" s="110" t="s">
        <v>88</v>
      </c>
      <c r="B5" s="303" t="s">
        <v>131</v>
      </c>
      <c r="C5" s="303" t="s">
        <v>55</v>
      </c>
      <c r="D5" s="110" t="s">
        <v>132</v>
      </c>
      <c r="E5" s="110" t="s">
        <v>57</v>
      </c>
      <c r="F5" s="110" t="s">
        <v>58</v>
      </c>
      <c r="G5" s="110" t="s">
        <v>133</v>
      </c>
      <c r="H5" s="112" t="s">
        <v>134</v>
      </c>
      <c r="I5" s="112" t="s">
        <v>76</v>
      </c>
      <c r="J5" s="111" t="s">
        <v>76</v>
      </c>
      <c r="K5" s="109" t="s">
        <v>76</v>
      </c>
      <c r="L5" s="110" t="s">
        <v>77</v>
      </c>
      <c r="M5" s="110" t="s">
        <v>77</v>
      </c>
      <c r="N5" s="110" t="s">
        <v>77</v>
      </c>
      <c r="O5" s="110" t="s">
        <v>77</v>
      </c>
      <c r="P5" s="110" t="s">
        <v>62</v>
      </c>
      <c r="Q5" s="110" t="s">
        <v>135</v>
      </c>
      <c r="R5" s="110" t="s">
        <v>1367</v>
      </c>
      <c r="S5" s="110" t="s">
        <v>1368</v>
      </c>
      <c r="W5" t="s">
        <v>136</v>
      </c>
      <c r="X5" t="s">
        <v>54</v>
      </c>
      <c r="Z5" s="108" t="s">
        <v>133</v>
      </c>
    </row>
    <row r="6" spans="1:26" ht="15" thickTop="1">
      <c r="A6" s="3">
        <v>1</v>
      </c>
      <c r="B6" s="302" t="s">
        <v>137</v>
      </c>
      <c r="C6" s="302">
        <v>1</v>
      </c>
      <c r="D6" s="1">
        <v>10</v>
      </c>
      <c r="F6">
        <v>1001</v>
      </c>
      <c r="G6" s="272">
        <v>0.04</v>
      </c>
      <c r="H6" s="6">
        <v>3.5999999999999997E-2</v>
      </c>
      <c r="I6" s="6"/>
      <c r="J6" s="270">
        <v>4.7E-2</v>
      </c>
      <c r="K6" s="271">
        <v>0.05</v>
      </c>
      <c r="L6" s="6">
        <v>2.2499999999999999E-2</v>
      </c>
      <c r="M6" s="6">
        <v>0.04</v>
      </c>
      <c r="N6" s="6">
        <v>6.25E-2</v>
      </c>
      <c r="O6" s="271">
        <v>7.2499999999999995E-2</v>
      </c>
      <c r="Q6" s="10"/>
      <c r="S6" s="10"/>
      <c r="V6">
        <v>1</v>
      </c>
      <c r="W6" t="s">
        <v>138</v>
      </c>
      <c r="X6" s="1" t="s">
        <v>102</v>
      </c>
      <c r="Y6">
        <v>100</v>
      </c>
      <c r="Z6" s="84">
        <v>0.04</v>
      </c>
    </row>
    <row r="7" spans="1:26">
      <c r="A7">
        <v>2</v>
      </c>
      <c r="B7" s="186" t="s">
        <v>137</v>
      </c>
      <c r="C7" s="186">
        <v>1</v>
      </c>
      <c r="D7" s="1">
        <v>11</v>
      </c>
      <c r="F7">
        <v>1002</v>
      </c>
      <c r="G7" s="272">
        <v>0.04</v>
      </c>
      <c r="H7" s="6">
        <v>3.5999999999999997E-2</v>
      </c>
      <c r="I7" s="6"/>
      <c r="J7" s="270">
        <v>4.7E-2</v>
      </c>
      <c r="K7" s="271">
        <v>0.05</v>
      </c>
      <c r="L7" s="6">
        <v>2.2499999999999999E-2</v>
      </c>
      <c r="M7" s="6">
        <v>0.04</v>
      </c>
      <c r="N7" s="6">
        <v>6.25E-2</v>
      </c>
      <c r="O7" s="271">
        <v>7.2499999999999995E-2</v>
      </c>
      <c r="Q7" s="10"/>
      <c r="S7" s="10"/>
      <c r="V7">
        <v>2</v>
      </c>
      <c r="W7" t="s">
        <v>139</v>
      </c>
      <c r="X7" s="1" t="s">
        <v>102</v>
      </c>
      <c r="Y7">
        <f>+Y6+1</f>
        <v>101</v>
      </c>
      <c r="Z7" s="84">
        <v>0.04</v>
      </c>
    </row>
    <row r="8" spans="1:26">
      <c r="A8" s="3">
        <v>3</v>
      </c>
      <c r="B8" s="186" t="s">
        <v>137</v>
      </c>
      <c r="C8" s="186">
        <v>1</v>
      </c>
      <c r="D8" s="1">
        <v>12</v>
      </c>
      <c r="F8">
        <v>1003</v>
      </c>
      <c r="G8" s="272">
        <v>0.04</v>
      </c>
      <c r="H8" s="6">
        <v>3.5999999999999997E-2</v>
      </c>
      <c r="I8" s="6"/>
      <c r="J8" s="270">
        <v>4.7E-2</v>
      </c>
      <c r="K8" s="271">
        <v>0.05</v>
      </c>
      <c r="L8" s="6">
        <v>2.2499999999999999E-2</v>
      </c>
      <c r="M8" s="6">
        <v>0.04</v>
      </c>
      <c r="N8" s="6">
        <v>6.25E-2</v>
      </c>
      <c r="O8" s="271">
        <v>7.2499999999999995E-2</v>
      </c>
      <c r="Q8" s="10"/>
      <c r="S8" s="10"/>
      <c r="V8">
        <v>3</v>
      </c>
      <c r="W8" t="s">
        <v>140</v>
      </c>
      <c r="X8" s="1" t="s">
        <v>102</v>
      </c>
      <c r="Y8">
        <f t="shared" ref="Y8:Y34" si="0">+Y7+1</f>
        <v>102</v>
      </c>
      <c r="Z8" s="84">
        <v>0.04</v>
      </c>
    </row>
    <row r="9" spans="1:26">
      <c r="A9">
        <v>4</v>
      </c>
      <c r="B9" s="186" t="s">
        <v>137</v>
      </c>
      <c r="C9" s="186">
        <v>1</v>
      </c>
      <c r="D9" s="1" t="s">
        <v>141</v>
      </c>
      <c r="F9">
        <v>1004</v>
      </c>
      <c r="G9" s="272">
        <v>0.04</v>
      </c>
      <c r="H9" s="6">
        <v>3.5999999999999997E-2</v>
      </c>
      <c r="I9" s="6"/>
      <c r="J9" s="270">
        <v>4.7E-2</v>
      </c>
      <c r="K9" s="271">
        <v>0.05</v>
      </c>
      <c r="L9" s="6">
        <v>2.2499999999999999E-2</v>
      </c>
      <c r="M9" s="6">
        <v>0.04</v>
      </c>
      <c r="N9" s="6">
        <v>6.25E-2</v>
      </c>
      <c r="O9" s="271">
        <v>7.2499999999999995E-2</v>
      </c>
      <c r="Q9" s="10"/>
      <c r="S9" s="10"/>
      <c r="V9">
        <v>4</v>
      </c>
      <c r="W9" t="s">
        <v>142</v>
      </c>
      <c r="X9" s="1" t="s">
        <v>102</v>
      </c>
      <c r="Y9">
        <f t="shared" si="0"/>
        <v>103</v>
      </c>
      <c r="Z9" s="84">
        <v>0.04</v>
      </c>
    </row>
    <row r="10" spans="1:26">
      <c r="A10" s="3">
        <v>5</v>
      </c>
      <c r="B10" s="186" t="s">
        <v>137</v>
      </c>
      <c r="C10" s="186">
        <v>1</v>
      </c>
      <c r="D10" s="1">
        <v>13</v>
      </c>
      <c r="F10">
        <v>1005</v>
      </c>
      <c r="G10" s="272">
        <v>0.04</v>
      </c>
      <c r="H10" s="6">
        <v>3.5999999999999997E-2</v>
      </c>
      <c r="I10" s="6"/>
      <c r="J10" s="270">
        <v>4.7E-2</v>
      </c>
      <c r="K10" s="271">
        <v>0.05</v>
      </c>
      <c r="L10" s="6">
        <v>2.2499999999999999E-2</v>
      </c>
      <c r="M10" s="6">
        <v>0.04</v>
      </c>
      <c r="N10" s="6">
        <v>6.25E-2</v>
      </c>
      <c r="O10" s="271">
        <v>7.2499999999999995E-2</v>
      </c>
      <c r="Q10" s="10"/>
      <c r="S10" s="10"/>
      <c r="V10">
        <v>5</v>
      </c>
      <c r="W10" t="s">
        <v>143</v>
      </c>
      <c r="X10" s="1" t="s">
        <v>102</v>
      </c>
      <c r="Y10">
        <f t="shared" si="0"/>
        <v>104</v>
      </c>
      <c r="Z10" s="84">
        <v>0.04</v>
      </c>
    </row>
    <row r="11" spans="1:26">
      <c r="A11">
        <v>6</v>
      </c>
      <c r="B11" s="186" t="s">
        <v>137</v>
      </c>
      <c r="C11" s="186">
        <v>1</v>
      </c>
      <c r="D11" s="1" t="s">
        <v>144</v>
      </c>
      <c r="F11">
        <v>1006</v>
      </c>
      <c r="G11" s="272">
        <v>0.04</v>
      </c>
      <c r="H11" s="6">
        <v>3.5999999999999997E-2</v>
      </c>
      <c r="I11" s="6"/>
      <c r="J11" s="270">
        <v>4.7E-2</v>
      </c>
      <c r="K11" s="271">
        <v>0.05</v>
      </c>
      <c r="L11" s="6">
        <v>2.2499999999999999E-2</v>
      </c>
      <c r="M11" s="6">
        <v>0.04</v>
      </c>
      <c r="N11" s="6">
        <v>6.25E-2</v>
      </c>
      <c r="O11" s="271">
        <v>7.2499999999999995E-2</v>
      </c>
      <c r="Q11" s="10"/>
      <c r="S11" s="10"/>
      <c r="V11">
        <v>6</v>
      </c>
      <c r="W11" t="s">
        <v>145</v>
      </c>
      <c r="X11" s="1" t="s">
        <v>102</v>
      </c>
      <c r="Y11">
        <f t="shared" si="0"/>
        <v>105</v>
      </c>
      <c r="Z11" s="84">
        <v>0</v>
      </c>
    </row>
    <row r="12" spans="1:26">
      <c r="A12" s="3">
        <v>7</v>
      </c>
      <c r="B12" s="186" t="s">
        <v>137</v>
      </c>
      <c r="C12" s="186">
        <v>1</v>
      </c>
      <c r="D12" s="1">
        <v>14</v>
      </c>
      <c r="F12">
        <v>1007</v>
      </c>
      <c r="G12" s="272">
        <v>0.04</v>
      </c>
      <c r="H12" s="6">
        <v>3.5999999999999997E-2</v>
      </c>
      <c r="I12" s="6"/>
      <c r="J12" s="270">
        <v>4.7E-2</v>
      </c>
      <c r="K12" s="271">
        <v>0.05</v>
      </c>
      <c r="L12" s="6">
        <v>2.2499999999999999E-2</v>
      </c>
      <c r="M12" s="6">
        <v>0.04</v>
      </c>
      <c r="N12" s="6">
        <v>6.25E-2</v>
      </c>
      <c r="O12" s="271">
        <v>7.2499999999999995E-2</v>
      </c>
      <c r="Q12" s="10"/>
      <c r="S12" s="10"/>
      <c r="V12">
        <v>7</v>
      </c>
      <c r="W12" t="s">
        <v>146</v>
      </c>
      <c r="X12" s="1" t="s">
        <v>102</v>
      </c>
      <c r="Y12">
        <f t="shared" si="0"/>
        <v>106</v>
      </c>
      <c r="Z12" s="84">
        <v>0</v>
      </c>
    </row>
    <row r="13" spans="1:26">
      <c r="A13">
        <v>8</v>
      </c>
      <c r="B13" s="186" t="s">
        <v>137</v>
      </c>
      <c r="C13" s="186">
        <v>1</v>
      </c>
      <c r="D13" s="1" t="s">
        <v>147</v>
      </c>
      <c r="F13">
        <v>1008</v>
      </c>
      <c r="G13" s="272">
        <v>0.04</v>
      </c>
      <c r="H13" s="6">
        <v>3.5999999999999997E-2</v>
      </c>
      <c r="I13" s="6"/>
      <c r="J13" s="270">
        <v>4.7E-2</v>
      </c>
      <c r="K13" s="271">
        <v>0.05</v>
      </c>
      <c r="L13" s="6">
        <v>2.2499999999999999E-2</v>
      </c>
      <c r="M13" s="6">
        <v>0.04</v>
      </c>
      <c r="N13" s="6">
        <v>6.25E-2</v>
      </c>
      <c r="O13" s="271">
        <v>7.2499999999999995E-2</v>
      </c>
      <c r="Q13" s="10"/>
      <c r="S13" s="10"/>
      <c r="V13">
        <v>8</v>
      </c>
      <c r="W13" t="s">
        <v>148</v>
      </c>
      <c r="X13" s="1" t="s">
        <v>102</v>
      </c>
      <c r="Y13">
        <f t="shared" si="0"/>
        <v>107</v>
      </c>
      <c r="Z13" s="84">
        <v>0</v>
      </c>
    </row>
    <row r="14" spans="1:26">
      <c r="A14" s="3">
        <v>9</v>
      </c>
      <c r="B14" s="186" t="s">
        <v>137</v>
      </c>
      <c r="C14" s="186">
        <v>1</v>
      </c>
      <c r="D14" s="1">
        <v>15</v>
      </c>
      <c r="F14">
        <v>1009</v>
      </c>
      <c r="G14" s="272">
        <v>0.04</v>
      </c>
      <c r="H14" s="6">
        <v>3.5999999999999997E-2</v>
      </c>
      <c r="I14" s="6"/>
      <c r="J14" s="270">
        <v>4.7E-2</v>
      </c>
      <c r="K14" s="271">
        <v>0.05</v>
      </c>
      <c r="L14" s="6">
        <v>2.2499999999999999E-2</v>
      </c>
      <c r="M14" s="6">
        <v>0.04</v>
      </c>
      <c r="N14" s="6">
        <v>6.25E-2</v>
      </c>
      <c r="O14" s="271">
        <v>7.2499999999999995E-2</v>
      </c>
      <c r="Q14" s="10"/>
      <c r="S14" s="10"/>
      <c r="V14">
        <v>9</v>
      </c>
      <c r="W14" t="s">
        <v>149</v>
      </c>
      <c r="X14" s="1" t="s">
        <v>102</v>
      </c>
      <c r="Y14">
        <f t="shared" si="0"/>
        <v>108</v>
      </c>
      <c r="Z14" s="84">
        <v>0</v>
      </c>
    </row>
    <row r="15" spans="1:26">
      <c r="A15">
        <v>10</v>
      </c>
      <c r="B15" s="186" t="s">
        <v>137</v>
      </c>
      <c r="C15" s="186">
        <v>1</v>
      </c>
      <c r="D15" s="1" t="s">
        <v>150</v>
      </c>
      <c r="F15">
        <v>1010</v>
      </c>
      <c r="G15" s="272">
        <v>0.04</v>
      </c>
      <c r="H15" s="6">
        <v>3.5999999999999997E-2</v>
      </c>
      <c r="I15" s="6"/>
      <c r="J15" s="270">
        <v>4.7E-2</v>
      </c>
      <c r="K15" s="271">
        <v>0.05</v>
      </c>
      <c r="L15" s="6">
        <v>2.2499999999999999E-2</v>
      </c>
      <c r="M15" s="6">
        <v>0.04</v>
      </c>
      <c r="N15" s="6">
        <v>6.25E-2</v>
      </c>
      <c r="O15" s="271">
        <v>7.2499999999999995E-2</v>
      </c>
      <c r="Q15" s="10"/>
      <c r="S15" s="10"/>
      <c r="V15">
        <v>10</v>
      </c>
      <c r="W15" t="s">
        <v>151</v>
      </c>
      <c r="X15" s="1" t="s">
        <v>102</v>
      </c>
      <c r="Y15">
        <f t="shared" si="0"/>
        <v>109</v>
      </c>
      <c r="Z15" s="84">
        <v>0</v>
      </c>
    </row>
    <row r="16" spans="1:26">
      <c r="A16" s="3">
        <v>11</v>
      </c>
      <c r="B16" s="186" t="s">
        <v>137</v>
      </c>
      <c r="C16" s="186">
        <v>1</v>
      </c>
      <c r="D16" s="1">
        <v>16</v>
      </c>
      <c r="F16">
        <v>1011</v>
      </c>
      <c r="G16" s="272">
        <v>0.04</v>
      </c>
      <c r="H16" s="6">
        <v>3.5999999999999997E-2</v>
      </c>
      <c r="I16" s="6"/>
      <c r="J16" s="270">
        <v>4.7E-2</v>
      </c>
      <c r="K16" s="271">
        <v>0.05</v>
      </c>
      <c r="L16" s="6">
        <v>2.2499999999999999E-2</v>
      </c>
      <c r="M16" s="6">
        <v>0.04</v>
      </c>
      <c r="N16" s="6">
        <v>6.25E-2</v>
      </c>
      <c r="O16" s="271">
        <v>7.2499999999999995E-2</v>
      </c>
      <c r="Q16" s="10"/>
      <c r="S16" s="10"/>
      <c r="V16">
        <v>11</v>
      </c>
      <c r="W16" t="s">
        <v>152</v>
      </c>
      <c r="X16" s="1" t="s">
        <v>102</v>
      </c>
      <c r="Y16">
        <f t="shared" si="0"/>
        <v>110</v>
      </c>
      <c r="Z16" s="84">
        <v>0</v>
      </c>
    </row>
    <row r="17" spans="1:26">
      <c r="A17">
        <v>12</v>
      </c>
      <c r="B17" s="186" t="s">
        <v>137</v>
      </c>
      <c r="C17" s="186">
        <v>1</v>
      </c>
      <c r="D17" s="1" t="s">
        <v>153</v>
      </c>
      <c r="F17">
        <v>1012</v>
      </c>
      <c r="G17" s="272">
        <v>0.04</v>
      </c>
      <c r="H17" s="6">
        <v>3.5999999999999997E-2</v>
      </c>
      <c r="I17" s="6"/>
      <c r="J17" s="270">
        <v>4.7E-2</v>
      </c>
      <c r="K17" s="271">
        <v>0.05</v>
      </c>
      <c r="L17" s="6">
        <v>2.2499999999999999E-2</v>
      </c>
      <c r="M17" s="6">
        <v>0.04</v>
      </c>
      <c r="N17" s="6">
        <v>6.25E-2</v>
      </c>
      <c r="O17" s="271">
        <v>7.2499999999999995E-2</v>
      </c>
      <c r="Q17" s="10"/>
      <c r="S17" s="10"/>
      <c r="V17">
        <v>12</v>
      </c>
      <c r="W17" t="s">
        <v>154</v>
      </c>
      <c r="X17" s="1" t="s">
        <v>102</v>
      </c>
      <c r="Y17">
        <f t="shared" si="0"/>
        <v>111</v>
      </c>
      <c r="Z17" s="84">
        <v>0</v>
      </c>
    </row>
    <row r="18" spans="1:26">
      <c r="A18" s="3">
        <v>13</v>
      </c>
      <c r="B18" s="186" t="s">
        <v>137</v>
      </c>
      <c r="C18" s="186">
        <v>1</v>
      </c>
      <c r="D18" s="1">
        <v>17</v>
      </c>
      <c r="F18">
        <v>1013</v>
      </c>
      <c r="G18" s="272">
        <v>0</v>
      </c>
      <c r="H18" s="6">
        <v>3.5999999999999997E-2</v>
      </c>
      <c r="I18" s="6"/>
      <c r="J18" s="270">
        <v>4.7E-2</v>
      </c>
      <c r="K18" s="271">
        <v>0.05</v>
      </c>
      <c r="L18" s="6">
        <v>2.2499999999999999E-2</v>
      </c>
      <c r="M18" s="6">
        <v>0.04</v>
      </c>
      <c r="N18" s="6">
        <v>6.25E-2</v>
      </c>
      <c r="O18" s="271">
        <v>7.2499999999999995E-2</v>
      </c>
      <c r="Q18" s="10"/>
      <c r="S18" s="10"/>
      <c r="V18">
        <v>13</v>
      </c>
      <c r="W18" t="s">
        <v>155</v>
      </c>
      <c r="X18" s="1" t="s">
        <v>102</v>
      </c>
      <c r="Y18">
        <f t="shared" si="0"/>
        <v>112</v>
      </c>
      <c r="Z18" s="84">
        <v>0</v>
      </c>
    </row>
    <row r="19" spans="1:26">
      <c r="A19">
        <v>14</v>
      </c>
      <c r="B19" s="186" t="s">
        <v>137</v>
      </c>
      <c r="C19" s="186">
        <v>1</v>
      </c>
      <c r="D19" s="1" t="s">
        <v>156</v>
      </c>
      <c r="F19">
        <v>1014</v>
      </c>
      <c r="G19" s="272">
        <v>0</v>
      </c>
      <c r="H19" s="6">
        <v>3.5999999999999997E-2</v>
      </c>
      <c r="I19" s="6"/>
      <c r="J19" s="270">
        <v>4.7E-2</v>
      </c>
      <c r="K19" s="271">
        <v>0.05</v>
      </c>
      <c r="L19" s="6">
        <v>2.2499999999999999E-2</v>
      </c>
      <c r="M19" s="6">
        <v>0.04</v>
      </c>
      <c r="N19" s="6">
        <v>6.25E-2</v>
      </c>
      <c r="O19" s="271">
        <v>7.2499999999999995E-2</v>
      </c>
      <c r="Q19" s="10"/>
      <c r="S19" s="10"/>
      <c r="V19">
        <v>14</v>
      </c>
      <c r="W19" t="s">
        <v>157</v>
      </c>
      <c r="X19" s="1" t="s">
        <v>102</v>
      </c>
      <c r="Y19">
        <f t="shared" si="0"/>
        <v>113</v>
      </c>
      <c r="Z19" s="84">
        <v>0</v>
      </c>
    </row>
    <row r="20" spans="1:26">
      <c r="A20" s="3">
        <v>15</v>
      </c>
      <c r="B20" s="186" t="s">
        <v>137</v>
      </c>
      <c r="C20" s="186">
        <v>1</v>
      </c>
      <c r="D20" s="1">
        <v>18</v>
      </c>
      <c r="F20">
        <v>1015</v>
      </c>
      <c r="G20" s="272">
        <v>0</v>
      </c>
      <c r="H20" s="6">
        <v>3.5999999999999997E-2</v>
      </c>
      <c r="I20" s="6"/>
      <c r="J20" s="270">
        <v>4.7E-2</v>
      </c>
      <c r="K20" s="271">
        <v>0.05</v>
      </c>
      <c r="L20" s="6">
        <v>2.2499999999999999E-2</v>
      </c>
      <c r="M20" s="6">
        <v>0.04</v>
      </c>
      <c r="N20" s="6">
        <v>6.25E-2</v>
      </c>
      <c r="O20" s="271">
        <v>7.2499999999999995E-2</v>
      </c>
      <c r="Q20" s="10"/>
      <c r="S20" s="10"/>
      <c r="V20">
        <v>15</v>
      </c>
      <c r="W20" t="s">
        <v>158</v>
      </c>
      <c r="X20" s="1" t="s">
        <v>102</v>
      </c>
      <c r="Y20">
        <f t="shared" si="0"/>
        <v>114</v>
      </c>
      <c r="Z20" s="84">
        <v>0</v>
      </c>
    </row>
    <row r="21" spans="1:26">
      <c r="A21">
        <v>16</v>
      </c>
      <c r="B21" s="186" t="s">
        <v>137</v>
      </c>
      <c r="C21" s="186">
        <v>1</v>
      </c>
      <c r="D21" s="1" t="s">
        <v>159</v>
      </c>
      <c r="F21">
        <v>1016</v>
      </c>
      <c r="G21" s="272">
        <v>0</v>
      </c>
      <c r="H21" s="6">
        <v>3.5999999999999997E-2</v>
      </c>
      <c r="I21" s="6"/>
      <c r="J21" s="270">
        <v>4.7E-2</v>
      </c>
      <c r="K21" s="271">
        <v>0.05</v>
      </c>
      <c r="L21" s="6">
        <v>2.2499999999999999E-2</v>
      </c>
      <c r="M21" s="6">
        <v>0.04</v>
      </c>
      <c r="N21" s="6">
        <v>6.25E-2</v>
      </c>
      <c r="O21" s="271">
        <v>7.2499999999999995E-2</v>
      </c>
      <c r="Q21" s="10"/>
      <c r="S21" s="10"/>
      <c r="V21">
        <v>16</v>
      </c>
      <c r="W21" t="s">
        <v>160</v>
      </c>
      <c r="X21" s="1" t="s">
        <v>102</v>
      </c>
      <c r="Y21">
        <f t="shared" si="0"/>
        <v>115</v>
      </c>
      <c r="Z21" s="84">
        <v>0</v>
      </c>
    </row>
    <row r="22" spans="1:26">
      <c r="A22" s="3">
        <v>17</v>
      </c>
      <c r="B22" s="186" t="s">
        <v>137</v>
      </c>
      <c r="C22" s="186">
        <v>1</v>
      </c>
      <c r="D22" s="1">
        <v>19</v>
      </c>
      <c r="F22">
        <v>1017</v>
      </c>
      <c r="G22" s="272">
        <v>0</v>
      </c>
      <c r="H22" s="6">
        <v>3.5999999999999997E-2</v>
      </c>
      <c r="I22" s="6"/>
      <c r="J22" s="270">
        <v>4.7E-2</v>
      </c>
      <c r="K22" s="271">
        <v>0.05</v>
      </c>
      <c r="L22" s="6">
        <v>2.2499999999999999E-2</v>
      </c>
      <c r="M22" s="6">
        <v>0.04</v>
      </c>
      <c r="N22" s="6">
        <v>6.25E-2</v>
      </c>
      <c r="O22" s="271">
        <v>7.2499999999999995E-2</v>
      </c>
      <c r="Q22" s="10"/>
      <c r="S22" s="10"/>
      <c r="V22">
        <v>17</v>
      </c>
      <c r="W22" t="s">
        <v>161</v>
      </c>
      <c r="X22" s="1" t="s">
        <v>102</v>
      </c>
      <c r="Y22">
        <f t="shared" si="0"/>
        <v>116</v>
      </c>
      <c r="Z22" s="84">
        <v>0</v>
      </c>
    </row>
    <row r="23" spans="1:26">
      <c r="A23">
        <v>18</v>
      </c>
      <c r="B23" s="186" t="s">
        <v>137</v>
      </c>
      <c r="C23" s="186">
        <v>1</v>
      </c>
      <c r="D23" s="1" t="s">
        <v>162</v>
      </c>
      <c r="F23">
        <v>1018</v>
      </c>
      <c r="G23" s="272">
        <v>0</v>
      </c>
      <c r="H23" s="6">
        <v>3.5999999999999997E-2</v>
      </c>
      <c r="I23" s="6"/>
      <c r="J23" s="270">
        <v>4.7E-2</v>
      </c>
      <c r="K23" s="271">
        <v>0.05</v>
      </c>
      <c r="L23" s="6">
        <v>2.2499999999999999E-2</v>
      </c>
      <c r="M23" s="6">
        <v>0.04</v>
      </c>
      <c r="N23" s="6">
        <v>6.25E-2</v>
      </c>
      <c r="O23" s="271">
        <v>7.2499999999999995E-2</v>
      </c>
      <c r="Q23" s="10"/>
      <c r="S23" s="10"/>
      <c r="V23">
        <v>18</v>
      </c>
      <c r="W23" t="s">
        <v>163</v>
      </c>
      <c r="X23" s="1" t="s">
        <v>102</v>
      </c>
      <c r="Y23">
        <f t="shared" si="0"/>
        <v>117</v>
      </c>
      <c r="Z23" s="84">
        <v>0</v>
      </c>
    </row>
    <row r="24" spans="1:26">
      <c r="A24" s="3">
        <v>19</v>
      </c>
      <c r="B24" s="186" t="s">
        <v>137</v>
      </c>
      <c r="C24" s="186">
        <v>1</v>
      </c>
      <c r="D24" s="1">
        <v>20</v>
      </c>
      <c r="F24">
        <v>1019</v>
      </c>
      <c r="G24" s="272">
        <v>0</v>
      </c>
      <c r="H24" s="6">
        <v>3.5999999999999997E-2</v>
      </c>
      <c r="I24" s="6"/>
      <c r="J24" s="270">
        <v>4.7E-2</v>
      </c>
      <c r="K24" s="271">
        <v>0.05</v>
      </c>
      <c r="L24" s="6">
        <v>2.2499999999999999E-2</v>
      </c>
      <c r="M24" s="6">
        <v>0.04</v>
      </c>
      <c r="N24" s="6">
        <v>6.25E-2</v>
      </c>
      <c r="O24" s="271">
        <v>7.2499999999999995E-2</v>
      </c>
      <c r="Q24" s="10"/>
      <c r="S24" s="10"/>
      <c r="V24">
        <v>19</v>
      </c>
      <c r="W24" t="s">
        <v>164</v>
      </c>
      <c r="X24" s="1" t="s">
        <v>102</v>
      </c>
      <c r="Y24">
        <f t="shared" si="0"/>
        <v>118</v>
      </c>
      <c r="Z24" s="84">
        <v>0</v>
      </c>
    </row>
    <row r="25" spans="1:26">
      <c r="A25">
        <v>20</v>
      </c>
      <c r="B25" s="186" t="s">
        <v>137</v>
      </c>
      <c r="C25" s="186">
        <v>1</v>
      </c>
      <c r="D25" s="1" t="s">
        <v>165</v>
      </c>
      <c r="F25">
        <v>1020</v>
      </c>
      <c r="G25" s="272">
        <v>0</v>
      </c>
      <c r="H25" s="6">
        <v>3.5999999999999997E-2</v>
      </c>
      <c r="I25" s="6"/>
      <c r="J25" s="270">
        <v>4.7E-2</v>
      </c>
      <c r="K25" s="271">
        <v>0.05</v>
      </c>
      <c r="L25" s="6">
        <v>2.2499999999999999E-2</v>
      </c>
      <c r="M25" s="6">
        <v>0.04</v>
      </c>
      <c r="N25" s="6">
        <v>6.25E-2</v>
      </c>
      <c r="O25" s="271">
        <v>7.2499999999999995E-2</v>
      </c>
      <c r="Q25" s="10"/>
      <c r="S25" s="10"/>
      <c r="V25">
        <v>20</v>
      </c>
      <c r="W25" t="s">
        <v>166</v>
      </c>
      <c r="X25" s="1" t="s">
        <v>102</v>
      </c>
      <c r="Y25">
        <f t="shared" si="0"/>
        <v>119</v>
      </c>
      <c r="Z25" s="84">
        <v>0</v>
      </c>
    </row>
    <row r="26" spans="1:26">
      <c r="A26" s="3">
        <v>21</v>
      </c>
      <c r="B26" s="186" t="s">
        <v>137</v>
      </c>
      <c r="C26" s="186">
        <v>1</v>
      </c>
      <c r="D26" s="1">
        <v>21</v>
      </c>
      <c r="F26">
        <v>1021</v>
      </c>
      <c r="G26" s="272">
        <v>0</v>
      </c>
      <c r="H26" s="6">
        <v>3.5999999999999997E-2</v>
      </c>
      <c r="I26" s="6"/>
      <c r="J26" s="270">
        <v>4.7E-2</v>
      </c>
      <c r="K26" s="271">
        <v>0.05</v>
      </c>
      <c r="L26" s="6">
        <v>2.2499999999999999E-2</v>
      </c>
      <c r="M26" s="6">
        <v>0.04</v>
      </c>
      <c r="N26" s="6">
        <v>6.25E-2</v>
      </c>
      <c r="O26" s="271">
        <v>7.2499999999999995E-2</v>
      </c>
      <c r="Q26" s="10"/>
      <c r="S26" s="10"/>
      <c r="V26">
        <v>21</v>
      </c>
      <c r="W26" t="s">
        <v>167</v>
      </c>
      <c r="X26" s="1" t="s">
        <v>102</v>
      </c>
      <c r="Y26">
        <f t="shared" si="0"/>
        <v>120</v>
      </c>
      <c r="Z26" s="84">
        <v>0</v>
      </c>
    </row>
    <row r="27" spans="1:26">
      <c r="A27">
        <v>22</v>
      </c>
      <c r="B27" s="186" t="s">
        <v>137</v>
      </c>
      <c r="C27" s="186">
        <v>1</v>
      </c>
      <c r="D27" s="1" t="s">
        <v>168</v>
      </c>
      <c r="F27">
        <v>1022</v>
      </c>
      <c r="G27" s="272">
        <v>0</v>
      </c>
      <c r="H27" s="6">
        <v>3.5999999999999997E-2</v>
      </c>
      <c r="I27" s="6"/>
      <c r="J27" s="270">
        <v>4.7E-2</v>
      </c>
      <c r="K27" s="271">
        <v>0.05</v>
      </c>
      <c r="L27" s="6">
        <v>2.2499999999999999E-2</v>
      </c>
      <c r="M27" s="6">
        <v>0.04</v>
      </c>
      <c r="N27" s="6">
        <v>6.25E-2</v>
      </c>
      <c r="O27" s="271">
        <v>7.2499999999999995E-2</v>
      </c>
      <c r="Q27" s="10"/>
      <c r="S27" s="10"/>
      <c r="V27">
        <v>22</v>
      </c>
      <c r="W27" t="s">
        <v>169</v>
      </c>
      <c r="X27" s="1" t="s">
        <v>102</v>
      </c>
      <c r="Y27">
        <f t="shared" si="0"/>
        <v>121</v>
      </c>
      <c r="Z27" s="84">
        <v>0</v>
      </c>
    </row>
    <row r="28" spans="1:26">
      <c r="A28" s="3">
        <v>23</v>
      </c>
      <c r="B28" s="186" t="s">
        <v>137</v>
      </c>
      <c r="C28" s="186">
        <v>1</v>
      </c>
      <c r="D28" s="1">
        <v>22</v>
      </c>
      <c r="F28">
        <v>1023</v>
      </c>
      <c r="G28" s="272">
        <v>0</v>
      </c>
      <c r="H28" s="6">
        <v>3.5999999999999997E-2</v>
      </c>
      <c r="I28" s="6"/>
      <c r="J28" s="270">
        <v>4.7E-2</v>
      </c>
      <c r="K28" s="271">
        <v>0.05</v>
      </c>
      <c r="L28" s="6">
        <v>2.2499999999999999E-2</v>
      </c>
      <c r="M28" s="6">
        <v>0.04</v>
      </c>
      <c r="N28" s="6">
        <v>6.25E-2</v>
      </c>
      <c r="O28" s="271">
        <v>7.2499999999999995E-2</v>
      </c>
      <c r="Q28" s="10"/>
      <c r="S28" s="10"/>
      <c r="V28">
        <v>23</v>
      </c>
      <c r="W28" t="s">
        <v>170</v>
      </c>
      <c r="X28" s="1" t="s">
        <v>102</v>
      </c>
      <c r="Y28">
        <f t="shared" si="0"/>
        <v>122</v>
      </c>
      <c r="Z28" s="84">
        <v>0</v>
      </c>
    </row>
    <row r="29" spans="1:26">
      <c r="A29">
        <v>24</v>
      </c>
      <c r="B29" s="186" t="s">
        <v>137</v>
      </c>
      <c r="C29" s="186">
        <v>1</v>
      </c>
      <c r="D29" s="1" t="s">
        <v>171</v>
      </c>
      <c r="F29">
        <v>1024</v>
      </c>
      <c r="G29" s="272">
        <v>0</v>
      </c>
      <c r="H29" s="6">
        <v>3.5999999999999997E-2</v>
      </c>
      <c r="I29" s="6"/>
      <c r="J29" s="270">
        <v>4.7E-2</v>
      </c>
      <c r="K29" s="271">
        <v>0.05</v>
      </c>
      <c r="L29" s="6">
        <v>2.2499999999999999E-2</v>
      </c>
      <c r="M29" s="6">
        <v>0.04</v>
      </c>
      <c r="N29" s="6">
        <v>6.25E-2</v>
      </c>
      <c r="O29" s="271">
        <v>7.2499999999999995E-2</v>
      </c>
      <c r="Q29" s="10"/>
      <c r="S29" s="10"/>
      <c r="V29">
        <v>24</v>
      </c>
      <c r="W29" t="s">
        <v>172</v>
      </c>
      <c r="X29" s="1" t="s">
        <v>102</v>
      </c>
      <c r="Y29">
        <f t="shared" si="0"/>
        <v>123</v>
      </c>
      <c r="Z29" s="84">
        <v>0</v>
      </c>
    </row>
    <row r="30" spans="1:26">
      <c r="A30" s="3">
        <v>25</v>
      </c>
      <c r="B30" s="186" t="s">
        <v>137</v>
      </c>
      <c r="C30" s="186">
        <v>1</v>
      </c>
      <c r="D30" s="1">
        <v>23</v>
      </c>
      <c r="F30">
        <v>1025</v>
      </c>
      <c r="G30" s="272">
        <v>0</v>
      </c>
      <c r="H30" s="6">
        <v>3.5999999999999997E-2</v>
      </c>
      <c r="I30" s="6"/>
      <c r="J30" s="270">
        <v>4.7E-2</v>
      </c>
      <c r="K30" s="271">
        <v>0.05</v>
      </c>
      <c r="L30" s="6">
        <v>2.2499999999999999E-2</v>
      </c>
      <c r="M30" s="6">
        <v>0.04</v>
      </c>
      <c r="N30" s="6">
        <v>6.25E-2</v>
      </c>
      <c r="O30" s="271">
        <v>7.2499999999999995E-2</v>
      </c>
      <c r="Q30" s="10"/>
      <c r="S30" s="10"/>
      <c r="V30">
        <v>25</v>
      </c>
      <c r="W30" t="s">
        <v>173</v>
      </c>
      <c r="X30" s="1" t="s">
        <v>102</v>
      </c>
      <c r="Y30">
        <f t="shared" si="0"/>
        <v>124</v>
      </c>
      <c r="Z30" s="84">
        <v>0</v>
      </c>
    </row>
    <row r="31" spans="1:26">
      <c r="A31">
        <v>26</v>
      </c>
      <c r="B31" s="186" t="s">
        <v>137</v>
      </c>
      <c r="C31" s="186">
        <v>1</v>
      </c>
      <c r="D31" s="1" t="s">
        <v>174</v>
      </c>
      <c r="F31">
        <v>1026</v>
      </c>
      <c r="G31" s="272">
        <v>0</v>
      </c>
      <c r="H31" s="6">
        <v>3.5999999999999997E-2</v>
      </c>
      <c r="I31" s="6"/>
      <c r="J31" s="270">
        <v>4.7E-2</v>
      </c>
      <c r="K31" s="271">
        <v>0.05</v>
      </c>
      <c r="L31" s="6">
        <v>2.2499999999999999E-2</v>
      </c>
      <c r="M31" s="6">
        <v>0.04</v>
      </c>
      <c r="N31" s="6">
        <v>6.25E-2</v>
      </c>
      <c r="O31" s="271">
        <v>7.2499999999999995E-2</v>
      </c>
      <c r="Q31" s="10"/>
      <c r="S31" s="10"/>
      <c r="V31">
        <v>26</v>
      </c>
      <c r="W31" t="s">
        <v>175</v>
      </c>
      <c r="X31" s="1" t="s">
        <v>102</v>
      </c>
      <c r="Y31">
        <f t="shared" si="0"/>
        <v>125</v>
      </c>
      <c r="Z31" s="84">
        <v>0</v>
      </c>
    </row>
    <row r="32" spans="1:26">
      <c r="A32" s="3">
        <v>27</v>
      </c>
      <c r="B32" s="186" t="s">
        <v>137</v>
      </c>
      <c r="C32" s="186">
        <v>1</v>
      </c>
      <c r="D32" s="1">
        <v>24</v>
      </c>
      <c r="F32">
        <v>1027</v>
      </c>
      <c r="G32" s="272">
        <v>0</v>
      </c>
      <c r="H32" s="6">
        <v>3.5999999999999997E-2</v>
      </c>
      <c r="I32" s="6"/>
      <c r="J32" s="270">
        <v>4.7E-2</v>
      </c>
      <c r="K32" s="271">
        <v>0.05</v>
      </c>
      <c r="L32" s="6">
        <v>2.2499999999999999E-2</v>
      </c>
      <c r="M32" s="6">
        <v>0.04</v>
      </c>
      <c r="N32" s="6">
        <v>6.25E-2</v>
      </c>
      <c r="O32" s="271">
        <v>7.2499999999999995E-2</v>
      </c>
      <c r="Q32" s="10"/>
      <c r="S32" s="10"/>
      <c r="V32">
        <v>27</v>
      </c>
      <c r="W32" t="s">
        <v>176</v>
      </c>
      <c r="X32" s="1" t="s">
        <v>102</v>
      </c>
      <c r="Y32">
        <f t="shared" si="0"/>
        <v>126</v>
      </c>
      <c r="Z32" s="84">
        <v>0</v>
      </c>
    </row>
    <row r="33" spans="1:26">
      <c r="A33">
        <v>28</v>
      </c>
      <c r="B33" s="186" t="s">
        <v>137</v>
      </c>
      <c r="C33" s="186">
        <v>1</v>
      </c>
      <c r="D33" s="1" t="s">
        <v>177</v>
      </c>
      <c r="F33">
        <v>1028</v>
      </c>
      <c r="G33" s="272">
        <v>0</v>
      </c>
      <c r="H33" s="6">
        <v>3.5999999999999997E-2</v>
      </c>
      <c r="I33" s="6"/>
      <c r="J33" s="270">
        <v>4.7E-2</v>
      </c>
      <c r="K33" s="271">
        <v>0.05</v>
      </c>
      <c r="L33" s="6">
        <v>2.2499999999999999E-2</v>
      </c>
      <c r="M33" s="6">
        <v>0.04</v>
      </c>
      <c r="N33" s="6">
        <v>6.25E-2</v>
      </c>
      <c r="O33" s="271">
        <v>7.2499999999999995E-2</v>
      </c>
      <c r="Q33" s="10"/>
      <c r="S33" s="10"/>
      <c r="V33">
        <v>28</v>
      </c>
      <c r="W33" t="s">
        <v>178</v>
      </c>
      <c r="X33" s="1" t="s">
        <v>102</v>
      </c>
      <c r="Y33">
        <f t="shared" si="0"/>
        <v>127</v>
      </c>
      <c r="Z33" s="84">
        <v>0</v>
      </c>
    </row>
    <row r="34" spans="1:26">
      <c r="A34" s="3">
        <v>29</v>
      </c>
      <c r="B34" s="186" t="s">
        <v>137</v>
      </c>
      <c r="C34" s="186">
        <v>1</v>
      </c>
      <c r="D34" s="1">
        <v>25</v>
      </c>
      <c r="F34">
        <v>1029</v>
      </c>
      <c r="G34" s="272">
        <v>0</v>
      </c>
      <c r="H34" s="6">
        <v>3.5999999999999997E-2</v>
      </c>
      <c r="I34" s="6"/>
      <c r="J34" s="270">
        <v>4.7E-2</v>
      </c>
      <c r="K34" s="271">
        <v>0.05</v>
      </c>
      <c r="L34" s="6">
        <v>2.2499999999999999E-2</v>
      </c>
      <c r="M34" s="6">
        <v>0.04</v>
      </c>
      <c r="N34" s="6">
        <v>6.25E-2</v>
      </c>
      <c r="O34" s="271">
        <v>7.2499999999999995E-2</v>
      </c>
      <c r="Q34" s="10"/>
      <c r="S34" s="10"/>
      <c r="V34">
        <v>29</v>
      </c>
      <c r="W34" t="s">
        <v>179</v>
      </c>
      <c r="X34" s="1" t="s">
        <v>102</v>
      </c>
      <c r="Y34">
        <f t="shared" si="0"/>
        <v>128</v>
      </c>
      <c r="Z34" s="84">
        <v>0</v>
      </c>
    </row>
    <row r="35" spans="1:26">
      <c r="A35">
        <v>30</v>
      </c>
      <c r="B35" s="186" t="s">
        <v>137</v>
      </c>
      <c r="C35" s="186">
        <v>1</v>
      </c>
      <c r="D35" s="1" t="s">
        <v>180</v>
      </c>
      <c r="F35">
        <v>1030</v>
      </c>
      <c r="G35" s="272">
        <v>0</v>
      </c>
      <c r="H35" s="6">
        <v>3.5999999999999997E-2</v>
      </c>
      <c r="I35" s="6"/>
      <c r="J35" s="270">
        <v>4.7E-2</v>
      </c>
      <c r="K35" s="271">
        <v>0.05</v>
      </c>
      <c r="L35" s="6">
        <v>2.2499999999999999E-2</v>
      </c>
      <c r="M35" s="6">
        <v>0.04</v>
      </c>
      <c r="N35" s="6">
        <v>6.25E-2</v>
      </c>
      <c r="O35" s="271">
        <v>7.2499999999999995E-2</v>
      </c>
      <c r="Q35" s="10"/>
      <c r="S35" s="10"/>
      <c r="V35">
        <v>29</v>
      </c>
      <c r="W35" t="s">
        <v>138</v>
      </c>
      <c r="X35" s="1" t="s">
        <v>103</v>
      </c>
      <c r="Y35">
        <v>200</v>
      </c>
      <c r="Z35" s="84">
        <v>3.5999999999999997E-2</v>
      </c>
    </row>
    <row r="36" spans="1:26">
      <c r="A36" s="3">
        <v>31</v>
      </c>
      <c r="B36" s="186" t="s">
        <v>181</v>
      </c>
      <c r="C36" s="186">
        <v>2</v>
      </c>
      <c r="F36">
        <v>2001</v>
      </c>
      <c r="G36" s="272">
        <v>0</v>
      </c>
      <c r="H36" s="6">
        <v>3.5999999999999997E-2</v>
      </c>
      <c r="I36" s="6"/>
      <c r="J36" s="270">
        <v>4.7E-2</v>
      </c>
      <c r="K36" s="271">
        <v>0.05</v>
      </c>
      <c r="L36" s="6">
        <v>2.2499999999999999E-2</v>
      </c>
      <c r="M36" s="6">
        <v>0.04</v>
      </c>
      <c r="N36" s="6">
        <v>6.25E-2</v>
      </c>
      <c r="O36" s="271">
        <v>7.2499999999999995E-2</v>
      </c>
      <c r="Q36" s="10"/>
      <c r="S36" s="10"/>
      <c r="V36">
        <v>30</v>
      </c>
      <c r="W36" t="s">
        <v>139</v>
      </c>
      <c r="X36" s="1" t="s">
        <v>103</v>
      </c>
      <c r="Y36">
        <f>+Y35+1</f>
        <v>201</v>
      </c>
      <c r="Z36" s="84">
        <v>3.5999999999999997E-2</v>
      </c>
    </row>
    <row r="37" spans="1:26">
      <c r="A37">
        <v>32</v>
      </c>
      <c r="B37" s="186" t="s">
        <v>181</v>
      </c>
      <c r="C37" s="186">
        <v>2</v>
      </c>
      <c r="F37">
        <v>2002</v>
      </c>
      <c r="G37" s="272">
        <v>0</v>
      </c>
      <c r="H37" s="6">
        <v>3.5999999999999997E-2</v>
      </c>
      <c r="I37" s="6"/>
      <c r="J37" s="270">
        <v>4.7E-2</v>
      </c>
      <c r="K37" s="271">
        <v>0.05</v>
      </c>
      <c r="L37" s="6">
        <v>2.2499999999999999E-2</v>
      </c>
      <c r="M37" s="6">
        <v>0.04</v>
      </c>
      <c r="N37" s="6">
        <v>6.25E-2</v>
      </c>
      <c r="O37" s="271">
        <v>7.2499999999999995E-2</v>
      </c>
      <c r="Q37" s="10"/>
      <c r="S37" s="10"/>
      <c r="V37">
        <v>31</v>
      </c>
      <c r="W37" t="s">
        <v>140</v>
      </c>
      <c r="X37" s="1" t="s">
        <v>103</v>
      </c>
      <c r="Y37">
        <f t="shared" ref="Y37:Y63" si="1">+Y36+1</f>
        <v>202</v>
      </c>
      <c r="Z37" s="84">
        <v>3.5999999999999997E-2</v>
      </c>
    </row>
    <row r="38" spans="1:26">
      <c r="A38" s="3">
        <v>33</v>
      </c>
      <c r="B38" s="186" t="s">
        <v>181</v>
      </c>
      <c r="C38" s="186">
        <v>2</v>
      </c>
      <c r="F38">
        <v>2003</v>
      </c>
      <c r="G38" s="272">
        <v>0</v>
      </c>
      <c r="H38" s="6">
        <v>3.5999999999999997E-2</v>
      </c>
      <c r="I38" s="6"/>
      <c r="J38" s="270">
        <v>4.7E-2</v>
      </c>
      <c r="K38" s="271">
        <v>0.05</v>
      </c>
      <c r="L38" s="6">
        <v>2.2499999999999999E-2</v>
      </c>
      <c r="M38" s="6">
        <v>0.04</v>
      </c>
      <c r="N38" s="6">
        <v>6.25E-2</v>
      </c>
      <c r="O38" s="271">
        <v>7.2499999999999995E-2</v>
      </c>
      <c r="Q38" s="10"/>
      <c r="S38" s="10"/>
      <c r="V38">
        <v>32</v>
      </c>
      <c r="W38" t="s">
        <v>142</v>
      </c>
      <c r="X38" s="1" t="s">
        <v>103</v>
      </c>
      <c r="Y38">
        <f t="shared" si="1"/>
        <v>203</v>
      </c>
      <c r="Z38" s="84">
        <v>3.5999999999999997E-2</v>
      </c>
    </row>
    <row r="39" spans="1:26">
      <c r="A39">
        <v>34</v>
      </c>
      <c r="B39" s="186" t="s">
        <v>181</v>
      </c>
      <c r="C39" s="186">
        <v>2</v>
      </c>
      <c r="F39">
        <v>2004</v>
      </c>
      <c r="G39" s="272">
        <v>0</v>
      </c>
      <c r="H39" s="6">
        <v>3.5999999999999997E-2</v>
      </c>
      <c r="I39" s="6"/>
      <c r="J39" s="270">
        <v>4.7E-2</v>
      </c>
      <c r="K39" s="271">
        <v>0.05</v>
      </c>
      <c r="L39" s="6">
        <v>2.2499999999999999E-2</v>
      </c>
      <c r="M39" s="6">
        <v>0.04</v>
      </c>
      <c r="N39" s="6">
        <v>6.25E-2</v>
      </c>
      <c r="O39" s="271">
        <v>7.2499999999999995E-2</v>
      </c>
      <c r="Q39" s="10"/>
      <c r="S39" s="10"/>
      <c r="V39">
        <v>33</v>
      </c>
      <c r="W39" t="s">
        <v>143</v>
      </c>
      <c r="X39" s="1" t="s">
        <v>103</v>
      </c>
      <c r="Y39">
        <f t="shared" si="1"/>
        <v>204</v>
      </c>
      <c r="Z39" s="84">
        <v>3.5999999999999997E-2</v>
      </c>
    </row>
    <row r="40" spans="1:26">
      <c r="A40" s="3">
        <v>35</v>
      </c>
      <c r="B40" s="186" t="s">
        <v>182</v>
      </c>
      <c r="C40" s="186">
        <v>4</v>
      </c>
      <c r="F40">
        <v>4001</v>
      </c>
      <c r="G40" s="272">
        <v>0</v>
      </c>
      <c r="H40" s="6">
        <v>3.5999999999999997E-2</v>
      </c>
      <c r="I40" s="6"/>
      <c r="J40" s="270">
        <v>4.7E-2</v>
      </c>
      <c r="K40" s="271">
        <v>0.05</v>
      </c>
      <c r="L40" s="6">
        <v>2.2499999999999999E-2</v>
      </c>
      <c r="M40" s="6">
        <v>0.04</v>
      </c>
      <c r="N40" s="6">
        <v>6.25E-2</v>
      </c>
      <c r="O40" s="271">
        <v>7.2499999999999995E-2</v>
      </c>
      <c r="Q40" s="10"/>
      <c r="S40" s="10"/>
      <c r="V40">
        <v>34</v>
      </c>
      <c r="W40" t="s">
        <v>145</v>
      </c>
      <c r="X40" s="1" t="s">
        <v>103</v>
      </c>
      <c r="Y40">
        <f t="shared" si="1"/>
        <v>205</v>
      </c>
      <c r="Z40" s="84">
        <v>0</v>
      </c>
    </row>
    <row r="41" spans="1:26">
      <c r="A41">
        <v>36</v>
      </c>
      <c r="B41" s="186" t="s">
        <v>182</v>
      </c>
      <c r="C41" s="186">
        <v>4</v>
      </c>
      <c r="F41">
        <v>4002</v>
      </c>
      <c r="G41" s="272">
        <v>0</v>
      </c>
      <c r="H41" s="6">
        <v>3.5999999999999997E-2</v>
      </c>
      <c r="I41" s="6"/>
      <c r="J41" s="270">
        <v>4.7E-2</v>
      </c>
      <c r="K41" s="271">
        <v>0.05</v>
      </c>
      <c r="L41" s="6">
        <v>2.2499999999999999E-2</v>
      </c>
      <c r="M41" s="6">
        <v>0.04</v>
      </c>
      <c r="N41" s="6">
        <v>6.25E-2</v>
      </c>
      <c r="O41" s="271">
        <v>7.2499999999999995E-2</v>
      </c>
      <c r="Q41" s="10"/>
      <c r="S41" s="10"/>
      <c r="V41">
        <v>35</v>
      </c>
      <c r="W41" t="s">
        <v>146</v>
      </c>
      <c r="X41" s="1" t="s">
        <v>103</v>
      </c>
      <c r="Y41">
        <f t="shared" si="1"/>
        <v>206</v>
      </c>
      <c r="Z41" s="84">
        <v>0</v>
      </c>
    </row>
    <row r="42" spans="1:26">
      <c r="A42" s="3">
        <v>37</v>
      </c>
      <c r="B42" s="186" t="s">
        <v>182</v>
      </c>
      <c r="C42" s="186">
        <v>4</v>
      </c>
      <c r="F42">
        <v>4003</v>
      </c>
      <c r="G42" s="272">
        <v>0</v>
      </c>
      <c r="H42" s="6">
        <v>3.5999999999999997E-2</v>
      </c>
      <c r="I42" s="6"/>
      <c r="J42" s="270">
        <v>4.7E-2</v>
      </c>
      <c r="K42" s="271">
        <v>0.05</v>
      </c>
      <c r="L42" s="6">
        <v>2.2499999999999999E-2</v>
      </c>
      <c r="M42" s="6">
        <v>0.04</v>
      </c>
      <c r="N42" s="6">
        <v>6.25E-2</v>
      </c>
      <c r="O42" s="271">
        <v>7.2499999999999995E-2</v>
      </c>
      <c r="Q42" s="10"/>
      <c r="S42" s="10"/>
      <c r="V42">
        <v>36</v>
      </c>
      <c r="W42" t="s">
        <v>148</v>
      </c>
      <c r="X42" s="1" t="s">
        <v>103</v>
      </c>
      <c r="Y42">
        <f t="shared" si="1"/>
        <v>207</v>
      </c>
      <c r="Z42" s="84">
        <v>0</v>
      </c>
    </row>
    <row r="43" spans="1:26">
      <c r="A43">
        <v>38</v>
      </c>
      <c r="B43" s="186" t="s">
        <v>182</v>
      </c>
      <c r="C43" s="186">
        <v>4</v>
      </c>
      <c r="F43">
        <v>4004</v>
      </c>
      <c r="G43" s="272">
        <v>0</v>
      </c>
      <c r="H43" s="6">
        <v>3.5999999999999997E-2</v>
      </c>
      <c r="I43" s="6"/>
      <c r="J43" s="270">
        <v>4.7E-2</v>
      </c>
      <c r="K43" s="271">
        <v>0.05</v>
      </c>
      <c r="L43" s="6">
        <v>2.2499999999999999E-2</v>
      </c>
      <c r="M43" s="6">
        <v>0.04</v>
      </c>
      <c r="N43" s="6">
        <v>6.25E-2</v>
      </c>
      <c r="O43" s="271">
        <v>7.2499999999999995E-2</v>
      </c>
      <c r="Q43" s="10"/>
      <c r="S43" s="10"/>
      <c r="V43">
        <v>37</v>
      </c>
      <c r="W43" t="s">
        <v>149</v>
      </c>
      <c r="X43" s="1" t="s">
        <v>103</v>
      </c>
      <c r="Y43">
        <f t="shared" si="1"/>
        <v>208</v>
      </c>
      <c r="Z43" s="84">
        <v>0</v>
      </c>
    </row>
    <row r="44" spans="1:26">
      <c r="A44" s="3">
        <v>39</v>
      </c>
      <c r="B44" s="186" t="s">
        <v>182</v>
      </c>
      <c r="C44" s="186">
        <v>4</v>
      </c>
      <c r="F44">
        <v>4005</v>
      </c>
      <c r="G44" s="272">
        <v>0</v>
      </c>
      <c r="H44" s="6">
        <v>3.5999999999999997E-2</v>
      </c>
      <c r="I44" s="6"/>
      <c r="J44" s="270">
        <v>4.7E-2</v>
      </c>
      <c r="K44" s="271">
        <v>0.05</v>
      </c>
      <c r="L44" s="6">
        <v>2.2499999999999999E-2</v>
      </c>
      <c r="M44" s="6">
        <v>0.04</v>
      </c>
      <c r="N44" s="6">
        <v>6.25E-2</v>
      </c>
      <c r="O44" s="271">
        <v>7.2499999999999995E-2</v>
      </c>
      <c r="Q44" s="10"/>
      <c r="S44" s="10"/>
      <c r="V44">
        <v>38</v>
      </c>
      <c r="W44" t="s">
        <v>151</v>
      </c>
      <c r="X44" s="1" t="s">
        <v>103</v>
      </c>
      <c r="Y44">
        <f t="shared" si="1"/>
        <v>209</v>
      </c>
      <c r="Z44" s="84">
        <v>0</v>
      </c>
    </row>
    <row r="45" spans="1:26">
      <c r="A45">
        <v>40</v>
      </c>
      <c r="B45" s="186" t="s">
        <v>182</v>
      </c>
      <c r="C45" s="186">
        <v>4</v>
      </c>
      <c r="F45">
        <v>4006</v>
      </c>
      <c r="G45" s="272">
        <v>0</v>
      </c>
      <c r="H45" s="6">
        <v>3.5999999999999997E-2</v>
      </c>
      <c r="I45" s="6"/>
      <c r="J45" s="270">
        <v>4.7E-2</v>
      </c>
      <c r="K45" s="271">
        <v>0.05</v>
      </c>
      <c r="L45" s="6">
        <v>2.2499999999999999E-2</v>
      </c>
      <c r="M45" s="6">
        <v>0.04</v>
      </c>
      <c r="N45" s="6">
        <v>6.25E-2</v>
      </c>
      <c r="O45" s="271">
        <v>7.2499999999999995E-2</v>
      </c>
      <c r="Q45" s="10"/>
      <c r="S45" s="10"/>
      <c r="V45">
        <v>39</v>
      </c>
      <c r="W45" t="s">
        <v>152</v>
      </c>
      <c r="X45" s="1" t="s">
        <v>103</v>
      </c>
      <c r="Y45">
        <f t="shared" si="1"/>
        <v>210</v>
      </c>
      <c r="Z45" s="84">
        <v>0</v>
      </c>
    </row>
    <row r="46" spans="1:26">
      <c r="A46" s="3">
        <v>41</v>
      </c>
      <c r="B46" s="186" t="s">
        <v>183</v>
      </c>
      <c r="C46" s="186">
        <v>5</v>
      </c>
      <c r="F46">
        <v>5001</v>
      </c>
      <c r="G46" s="272">
        <v>0</v>
      </c>
      <c r="H46" s="6">
        <v>3.5999999999999997E-2</v>
      </c>
      <c r="I46" s="6"/>
      <c r="J46" s="270">
        <v>4.7E-2</v>
      </c>
      <c r="K46" s="271">
        <v>0.05</v>
      </c>
      <c r="L46" s="6">
        <v>2.2499999999999999E-2</v>
      </c>
      <c r="M46" s="6">
        <v>0.04</v>
      </c>
      <c r="N46" s="6">
        <v>6.25E-2</v>
      </c>
      <c r="O46" s="271">
        <v>7.2499999999999995E-2</v>
      </c>
      <c r="Q46" s="10"/>
      <c r="S46" s="10"/>
      <c r="V46">
        <v>40</v>
      </c>
      <c r="W46" t="s">
        <v>154</v>
      </c>
      <c r="X46" s="1" t="s">
        <v>103</v>
      </c>
      <c r="Y46">
        <f t="shared" si="1"/>
        <v>211</v>
      </c>
      <c r="Z46" s="84">
        <v>0</v>
      </c>
    </row>
    <row r="47" spans="1:26">
      <c r="A47">
        <v>42</v>
      </c>
      <c r="B47" s="186" t="s">
        <v>183</v>
      </c>
      <c r="C47" s="186">
        <v>5</v>
      </c>
      <c r="F47">
        <v>5002</v>
      </c>
      <c r="G47" s="272">
        <v>0</v>
      </c>
      <c r="H47" s="6">
        <v>3.5999999999999997E-2</v>
      </c>
      <c r="I47" s="6"/>
      <c r="J47" s="270">
        <v>4.7E-2</v>
      </c>
      <c r="K47" s="271">
        <v>0.05</v>
      </c>
      <c r="L47" s="6">
        <v>2.2499999999999999E-2</v>
      </c>
      <c r="M47" s="6">
        <v>0.04</v>
      </c>
      <c r="N47" s="6">
        <v>6.25E-2</v>
      </c>
      <c r="O47" s="271">
        <v>7.2499999999999995E-2</v>
      </c>
      <c r="Q47" s="10"/>
      <c r="S47" s="10"/>
      <c r="V47">
        <v>41</v>
      </c>
      <c r="W47" t="s">
        <v>155</v>
      </c>
      <c r="X47" s="1" t="s">
        <v>103</v>
      </c>
      <c r="Y47">
        <f t="shared" si="1"/>
        <v>212</v>
      </c>
      <c r="Z47" s="84">
        <v>0</v>
      </c>
    </row>
    <row r="48" spans="1:26">
      <c r="A48" s="3">
        <v>43</v>
      </c>
      <c r="B48" s="186" t="s">
        <v>183</v>
      </c>
      <c r="C48" s="186">
        <v>5</v>
      </c>
      <c r="F48">
        <v>5003</v>
      </c>
      <c r="G48" s="272">
        <v>0</v>
      </c>
      <c r="H48" s="6">
        <v>3.5999999999999997E-2</v>
      </c>
      <c r="I48" s="6"/>
      <c r="J48" s="270">
        <v>4.7E-2</v>
      </c>
      <c r="K48" s="271">
        <v>0.05</v>
      </c>
      <c r="L48" s="6">
        <v>2.2499999999999999E-2</v>
      </c>
      <c r="M48" s="6">
        <v>0.04</v>
      </c>
      <c r="N48" s="6">
        <v>6.25E-2</v>
      </c>
      <c r="O48" s="271">
        <v>7.2499999999999995E-2</v>
      </c>
      <c r="Q48" s="10"/>
      <c r="S48" s="10"/>
      <c r="V48">
        <v>42</v>
      </c>
      <c r="W48" t="s">
        <v>157</v>
      </c>
      <c r="X48" s="1" t="s">
        <v>103</v>
      </c>
      <c r="Y48">
        <f t="shared" si="1"/>
        <v>213</v>
      </c>
      <c r="Z48" s="84">
        <v>0</v>
      </c>
    </row>
    <row r="49" spans="1:26">
      <c r="A49">
        <v>44</v>
      </c>
      <c r="B49" s="186" t="s">
        <v>183</v>
      </c>
      <c r="C49" s="186">
        <v>5</v>
      </c>
      <c r="F49">
        <v>5004</v>
      </c>
      <c r="G49" s="272">
        <v>0</v>
      </c>
      <c r="H49" s="6">
        <v>3.5999999999999997E-2</v>
      </c>
      <c r="I49" s="6"/>
      <c r="J49" s="270">
        <v>4.7E-2</v>
      </c>
      <c r="K49" s="271">
        <v>0.05</v>
      </c>
      <c r="L49" s="6">
        <v>2.2499999999999999E-2</v>
      </c>
      <c r="M49" s="6">
        <v>0.04</v>
      </c>
      <c r="N49" s="6">
        <v>6.25E-2</v>
      </c>
      <c r="O49" s="271">
        <v>7.2499999999999995E-2</v>
      </c>
      <c r="Q49" s="10"/>
      <c r="S49" s="10"/>
      <c r="V49">
        <v>43</v>
      </c>
      <c r="W49" t="s">
        <v>158</v>
      </c>
      <c r="X49" s="1" t="s">
        <v>103</v>
      </c>
      <c r="Y49">
        <f t="shared" si="1"/>
        <v>214</v>
      </c>
      <c r="Z49" s="84">
        <v>0</v>
      </c>
    </row>
    <row r="50" spans="1:26">
      <c r="A50" s="3">
        <v>45</v>
      </c>
      <c r="B50" s="186" t="s">
        <v>183</v>
      </c>
      <c r="C50" s="186">
        <v>5</v>
      </c>
      <c r="F50">
        <v>5005</v>
      </c>
      <c r="G50" s="272">
        <v>0</v>
      </c>
      <c r="H50" s="6">
        <v>3.5999999999999997E-2</v>
      </c>
      <c r="I50" s="6"/>
      <c r="J50" s="270">
        <v>4.7E-2</v>
      </c>
      <c r="K50" s="271">
        <v>0.05</v>
      </c>
      <c r="L50" s="6">
        <v>2.2499999999999999E-2</v>
      </c>
      <c r="M50" s="6">
        <v>0.04</v>
      </c>
      <c r="N50" s="6">
        <v>6.25E-2</v>
      </c>
      <c r="O50" s="271">
        <v>7.2499999999999995E-2</v>
      </c>
      <c r="Q50" s="10"/>
      <c r="S50" s="10"/>
      <c r="V50">
        <v>44</v>
      </c>
      <c r="W50" t="s">
        <v>160</v>
      </c>
      <c r="X50" s="1" t="s">
        <v>103</v>
      </c>
      <c r="Y50">
        <f t="shared" si="1"/>
        <v>215</v>
      </c>
      <c r="Z50" s="84">
        <v>0</v>
      </c>
    </row>
    <row r="51" spans="1:26">
      <c r="A51">
        <v>46</v>
      </c>
      <c r="B51" s="186" t="s">
        <v>183</v>
      </c>
      <c r="C51" s="186">
        <v>5</v>
      </c>
      <c r="F51">
        <v>5006</v>
      </c>
      <c r="G51" s="272">
        <v>0</v>
      </c>
      <c r="H51" s="6">
        <v>3.5999999999999997E-2</v>
      </c>
      <c r="I51" s="6"/>
      <c r="J51" s="270">
        <v>4.7E-2</v>
      </c>
      <c r="K51" s="271">
        <v>0.05</v>
      </c>
      <c r="L51" s="6">
        <v>2.2499999999999999E-2</v>
      </c>
      <c r="M51" s="6">
        <v>0.04</v>
      </c>
      <c r="N51" s="6">
        <v>6.25E-2</v>
      </c>
      <c r="O51" s="271">
        <v>7.2499999999999995E-2</v>
      </c>
      <c r="Q51" s="10"/>
      <c r="S51" s="10"/>
      <c r="V51">
        <v>45</v>
      </c>
      <c r="W51" t="s">
        <v>161</v>
      </c>
      <c r="X51" s="1" t="s">
        <v>103</v>
      </c>
      <c r="Y51">
        <f t="shared" si="1"/>
        <v>216</v>
      </c>
      <c r="Z51" s="84">
        <v>0</v>
      </c>
    </row>
    <row r="52" spans="1:26">
      <c r="A52" s="3">
        <v>47</v>
      </c>
      <c r="B52" s="186" t="s">
        <v>184</v>
      </c>
      <c r="C52" s="186">
        <v>6</v>
      </c>
      <c r="F52">
        <v>6001</v>
      </c>
      <c r="G52" s="272">
        <v>0</v>
      </c>
      <c r="H52" s="6">
        <v>3.5999999999999997E-2</v>
      </c>
      <c r="I52" s="6"/>
      <c r="J52" s="270">
        <v>4.7E-2</v>
      </c>
      <c r="K52" s="271">
        <v>0.05</v>
      </c>
      <c r="L52" s="6">
        <v>2.2499999999999999E-2</v>
      </c>
      <c r="M52" s="6">
        <v>0.04</v>
      </c>
      <c r="N52" s="6">
        <v>6.25E-2</v>
      </c>
      <c r="O52" s="271">
        <v>7.2499999999999995E-2</v>
      </c>
      <c r="Q52" s="10"/>
      <c r="S52" s="10"/>
      <c r="V52">
        <v>46</v>
      </c>
      <c r="W52" t="s">
        <v>163</v>
      </c>
      <c r="X52" s="1" t="s">
        <v>103</v>
      </c>
      <c r="Y52">
        <f t="shared" si="1"/>
        <v>217</v>
      </c>
      <c r="Z52" s="84">
        <v>0</v>
      </c>
    </row>
    <row r="53" spans="1:26">
      <c r="A53">
        <v>48</v>
      </c>
      <c r="B53" s="186" t="s">
        <v>184</v>
      </c>
      <c r="C53" s="186">
        <v>6</v>
      </c>
      <c r="F53">
        <v>6002</v>
      </c>
      <c r="G53" s="272">
        <v>0</v>
      </c>
      <c r="H53" s="6">
        <v>3.5999999999999997E-2</v>
      </c>
      <c r="I53" s="6"/>
      <c r="J53" s="270">
        <v>4.7E-2</v>
      </c>
      <c r="K53" s="271">
        <v>0.05</v>
      </c>
      <c r="L53" s="6">
        <v>2.2499999999999999E-2</v>
      </c>
      <c r="M53" s="6">
        <v>0.04</v>
      </c>
      <c r="N53" s="6">
        <v>6.25E-2</v>
      </c>
      <c r="O53" s="271">
        <v>7.2499999999999995E-2</v>
      </c>
      <c r="Q53" s="10"/>
      <c r="S53" s="10"/>
      <c r="V53">
        <v>47</v>
      </c>
      <c r="W53" t="s">
        <v>164</v>
      </c>
      <c r="X53" s="1" t="s">
        <v>103</v>
      </c>
      <c r="Y53">
        <f t="shared" si="1"/>
        <v>218</v>
      </c>
      <c r="Z53" s="84">
        <v>0</v>
      </c>
    </row>
    <row r="54" spans="1:26">
      <c r="A54" s="3">
        <v>49</v>
      </c>
      <c r="B54" s="186" t="s">
        <v>184</v>
      </c>
      <c r="C54" s="186">
        <v>6</v>
      </c>
      <c r="F54">
        <v>6003</v>
      </c>
      <c r="G54" s="272">
        <v>0</v>
      </c>
      <c r="H54" s="6">
        <v>3.5999999999999997E-2</v>
      </c>
      <c r="I54" s="6"/>
      <c r="J54" s="270">
        <v>4.7E-2</v>
      </c>
      <c r="K54" s="271">
        <v>0.05</v>
      </c>
      <c r="L54" s="6">
        <v>2.2499999999999999E-2</v>
      </c>
      <c r="M54" s="6">
        <v>0.04</v>
      </c>
      <c r="N54" s="6">
        <v>6.25E-2</v>
      </c>
      <c r="O54" s="271">
        <v>7.2499999999999995E-2</v>
      </c>
      <c r="Q54" s="10"/>
      <c r="S54" s="10"/>
      <c r="V54">
        <v>48</v>
      </c>
      <c r="W54" t="s">
        <v>166</v>
      </c>
      <c r="X54" s="1" t="s">
        <v>103</v>
      </c>
      <c r="Y54">
        <f t="shared" si="1"/>
        <v>219</v>
      </c>
      <c r="Z54" s="84">
        <v>0</v>
      </c>
    </row>
    <row r="55" spans="1:26">
      <c r="A55">
        <v>50</v>
      </c>
      <c r="B55" s="186" t="s">
        <v>185</v>
      </c>
      <c r="C55" s="186">
        <v>9</v>
      </c>
      <c r="F55">
        <v>9001</v>
      </c>
      <c r="G55" s="272">
        <v>0</v>
      </c>
      <c r="H55" s="6">
        <v>3.5999999999999997E-2</v>
      </c>
      <c r="I55" s="6"/>
      <c r="J55" s="270">
        <v>4.7E-2</v>
      </c>
      <c r="K55" s="271">
        <v>0.05</v>
      </c>
      <c r="L55" s="6">
        <v>2.2499999999999999E-2</v>
      </c>
      <c r="M55" s="6">
        <v>0.04</v>
      </c>
      <c r="N55" s="6">
        <v>6.25E-2</v>
      </c>
      <c r="O55" s="271">
        <v>7.2499999999999995E-2</v>
      </c>
      <c r="Q55" s="10"/>
      <c r="S55" s="10"/>
      <c r="V55">
        <v>49</v>
      </c>
      <c r="W55" t="s">
        <v>167</v>
      </c>
      <c r="X55" s="1" t="s">
        <v>103</v>
      </c>
      <c r="Y55">
        <f t="shared" si="1"/>
        <v>220</v>
      </c>
      <c r="Z55" s="84">
        <v>0</v>
      </c>
    </row>
    <row r="56" spans="1:26">
      <c r="A56" s="3">
        <v>51</v>
      </c>
      <c r="B56" s="186" t="s">
        <v>185</v>
      </c>
      <c r="C56" s="186">
        <v>9</v>
      </c>
      <c r="F56">
        <v>9002</v>
      </c>
      <c r="G56" s="272">
        <v>0</v>
      </c>
      <c r="H56" s="6">
        <v>3.5999999999999997E-2</v>
      </c>
      <c r="I56" s="6"/>
      <c r="J56" s="270">
        <v>4.7E-2</v>
      </c>
      <c r="K56" s="271">
        <v>0.05</v>
      </c>
      <c r="L56" s="6">
        <v>2.2499999999999999E-2</v>
      </c>
      <c r="M56" s="6">
        <v>0.04</v>
      </c>
      <c r="N56" s="6">
        <v>6.25E-2</v>
      </c>
      <c r="O56" s="271">
        <v>7.2499999999999995E-2</v>
      </c>
      <c r="Q56" s="10"/>
      <c r="S56" s="10"/>
      <c r="V56">
        <v>50</v>
      </c>
      <c r="W56" t="s">
        <v>169</v>
      </c>
      <c r="X56" s="1" t="s">
        <v>103</v>
      </c>
      <c r="Y56">
        <f t="shared" si="1"/>
        <v>221</v>
      </c>
      <c r="Z56" s="84">
        <v>0</v>
      </c>
    </row>
    <row r="57" spans="1:26">
      <c r="A57">
        <v>52</v>
      </c>
      <c r="B57" s="186" t="s">
        <v>185</v>
      </c>
      <c r="C57" s="186">
        <v>9</v>
      </c>
      <c r="F57">
        <v>9003</v>
      </c>
      <c r="G57" s="272">
        <v>0</v>
      </c>
      <c r="H57" s="6">
        <v>3.5999999999999997E-2</v>
      </c>
      <c r="I57" s="6"/>
      <c r="J57" s="270">
        <v>4.7E-2</v>
      </c>
      <c r="K57" s="271">
        <v>0.05</v>
      </c>
      <c r="L57" s="6">
        <v>2.2499999999999999E-2</v>
      </c>
      <c r="M57" s="6">
        <v>0.04</v>
      </c>
      <c r="N57" s="6">
        <v>6.25E-2</v>
      </c>
      <c r="O57" s="271">
        <v>7.2499999999999995E-2</v>
      </c>
      <c r="Q57" s="10"/>
      <c r="S57" s="10"/>
      <c r="V57">
        <v>51</v>
      </c>
      <c r="W57" t="s">
        <v>170</v>
      </c>
      <c r="X57" s="1" t="s">
        <v>103</v>
      </c>
      <c r="Y57">
        <f t="shared" si="1"/>
        <v>222</v>
      </c>
      <c r="Z57" s="84">
        <v>0</v>
      </c>
    </row>
    <row r="58" spans="1:26">
      <c r="A58" s="3">
        <v>53</v>
      </c>
      <c r="B58" s="186" t="s">
        <v>185</v>
      </c>
      <c r="C58" s="186">
        <v>9</v>
      </c>
      <c r="F58">
        <v>9004</v>
      </c>
      <c r="G58" s="272">
        <v>0</v>
      </c>
      <c r="H58" s="6">
        <v>3.5999999999999997E-2</v>
      </c>
      <c r="I58" s="6"/>
      <c r="J58" s="270">
        <v>4.7E-2</v>
      </c>
      <c r="K58" s="271">
        <v>0.05</v>
      </c>
      <c r="L58" s="6">
        <v>2.2499999999999999E-2</v>
      </c>
      <c r="M58" s="6">
        <v>0.04</v>
      </c>
      <c r="N58" s="6">
        <v>6.25E-2</v>
      </c>
      <c r="O58" s="271">
        <v>7.2499999999999995E-2</v>
      </c>
      <c r="Q58" s="10"/>
      <c r="S58" s="10"/>
      <c r="V58">
        <v>52</v>
      </c>
      <c r="W58" t="s">
        <v>172</v>
      </c>
      <c r="X58" s="1" t="s">
        <v>103</v>
      </c>
      <c r="Y58">
        <f t="shared" si="1"/>
        <v>223</v>
      </c>
      <c r="Z58" s="84">
        <v>0</v>
      </c>
    </row>
    <row r="59" spans="1:26">
      <c r="A59">
        <v>54</v>
      </c>
      <c r="B59" s="186" t="s">
        <v>185</v>
      </c>
      <c r="C59" s="186">
        <v>9</v>
      </c>
      <c r="F59">
        <v>9005</v>
      </c>
      <c r="G59" s="272">
        <v>0</v>
      </c>
      <c r="H59" s="6">
        <v>3.5999999999999997E-2</v>
      </c>
      <c r="I59" s="6"/>
      <c r="J59" s="270">
        <v>4.7E-2</v>
      </c>
      <c r="K59" s="271">
        <v>0.05</v>
      </c>
      <c r="L59" s="6">
        <v>2.2499999999999999E-2</v>
      </c>
      <c r="M59" s="6">
        <v>0.04</v>
      </c>
      <c r="N59" s="6">
        <v>6.25E-2</v>
      </c>
      <c r="O59" s="271">
        <v>7.2499999999999995E-2</v>
      </c>
      <c r="Q59" s="10"/>
      <c r="S59" s="10"/>
      <c r="V59">
        <v>53</v>
      </c>
      <c r="W59" t="s">
        <v>173</v>
      </c>
      <c r="X59" s="1" t="s">
        <v>103</v>
      </c>
      <c r="Y59">
        <f t="shared" si="1"/>
        <v>224</v>
      </c>
      <c r="Z59" s="84">
        <v>0</v>
      </c>
    </row>
    <row r="60" spans="1:26">
      <c r="A60" s="3">
        <v>55</v>
      </c>
      <c r="B60" s="186" t="s">
        <v>185</v>
      </c>
      <c r="C60" s="186">
        <v>9</v>
      </c>
      <c r="F60">
        <v>9006</v>
      </c>
      <c r="G60" s="272">
        <v>0</v>
      </c>
      <c r="H60" s="6">
        <v>3.5999999999999997E-2</v>
      </c>
      <c r="I60" s="6"/>
      <c r="J60" s="270">
        <v>4.7E-2</v>
      </c>
      <c r="K60" s="271">
        <v>0.05</v>
      </c>
      <c r="L60" s="6">
        <v>2.2499999999999999E-2</v>
      </c>
      <c r="M60" s="6">
        <v>0.04</v>
      </c>
      <c r="N60" s="6">
        <v>6.25E-2</v>
      </c>
      <c r="O60" s="271">
        <v>7.2499999999999995E-2</v>
      </c>
      <c r="Q60" s="10"/>
      <c r="S60" s="10"/>
      <c r="V60">
        <v>54</v>
      </c>
      <c r="W60" t="s">
        <v>175</v>
      </c>
      <c r="X60" s="1" t="s">
        <v>103</v>
      </c>
      <c r="Y60">
        <f t="shared" si="1"/>
        <v>225</v>
      </c>
      <c r="Z60" s="84">
        <v>0</v>
      </c>
    </row>
    <row r="61" spans="1:26">
      <c r="A61">
        <v>56</v>
      </c>
      <c r="B61" s="186" t="s">
        <v>185</v>
      </c>
      <c r="C61" s="186">
        <v>9</v>
      </c>
      <c r="F61">
        <v>9007</v>
      </c>
      <c r="G61" s="272">
        <v>0</v>
      </c>
      <c r="H61" s="6">
        <v>3.5999999999999997E-2</v>
      </c>
      <c r="I61" s="6"/>
      <c r="J61" s="270">
        <v>4.7E-2</v>
      </c>
      <c r="K61" s="271">
        <v>0.05</v>
      </c>
      <c r="L61" s="6">
        <v>2.2499999999999999E-2</v>
      </c>
      <c r="M61" s="6">
        <v>0.04</v>
      </c>
      <c r="N61" s="6">
        <v>6.25E-2</v>
      </c>
      <c r="O61" s="271">
        <v>7.2499999999999995E-2</v>
      </c>
      <c r="Q61" s="10"/>
      <c r="S61" s="10"/>
      <c r="V61">
        <v>55</v>
      </c>
      <c r="W61" t="s">
        <v>176</v>
      </c>
      <c r="X61" s="1" t="s">
        <v>103</v>
      </c>
      <c r="Y61">
        <f t="shared" si="1"/>
        <v>226</v>
      </c>
      <c r="Z61" s="84">
        <v>0</v>
      </c>
    </row>
    <row r="62" spans="1:26">
      <c r="A62" s="3">
        <v>57</v>
      </c>
      <c r="B62" s="186" t="s">
        <v>185</v>
      </c>
      <c r="C62" s="186">
        <v>9</v>
      </c>
      <c r="F62">
        <v>9008</v>
      </c>
      <c r="G62" s="272">
        <v>0</v>
      </c>
      <c r="H62" s="6">
        <v>3.5999999999999997E-2</v>
      </c>
      <c r="I62" s="6"/>
      <c r="J62" s="270">
        <v>4.7E-2</v>
      </c>
      <c r="K62" s="271">
        <v>0.05</v>
      </c>
      <c r="L62" s="6">
        <v>2.2499999999999999E-2</v>
      </c>
      <c r="M62" s="6">
        <v>0.04</v>
      </c>
      <c r="N62" s="6">
        <v>6.25E-2</v>
      </c>
      <c r="O62" s="271">
        <v>7.2499999999999995E-2</v>
      </c>
      <c r="Q62" s="10"/>
      <c r="S62" s="10"/>
      <c r="V62">
        <v>56</v>
      </c>
      <c r="W62" t="s">
        <v>178</v>
      </c>
      <c r="X62" s="1" t="s">
        <v>103</v>
      </c>
      <c r="Y62">
        <f t="shared" si="1"/>
        <v>227</v>
      </c>
      <c r="Z62" s="84">
        <v>0</v>
      </c>
    </row>
    <row r="63" spans="1:26">
      <c r="A63">
        <v>58</v>
      </c>
      <c r="B63" s="186" t="s">
        <v>185</v>
      </c>
      <c r="C63" s="186">
        <v>9</v>
      </c>
      <c r="F63">
        <v>9009</v>
      </c>
      <c r="G63" s="272">
        <v>0</v>
      </c>
      <c r="H63" s="6">
        <v>3.5999999999999997E-2</v>
      </c>
      <c r="I63" s="6"/>
      <c r="J63" s="270">
        <v>4.7E-2</v>
      </c>
      <c r="K63" s="271">
        <v>0.05</v>
      </c>
      <c r="L63" s="6">
        <v>2.2499999999999999E-2</v>
      </c>
      <c r="M63" s="6">
        <v>0.04</v>
      </c>
      <c r="N63" s="6">
        <v>6.25E-2</v>
      </c>
      <c r="O63" s="271">
        <v>7.2499999999999995E-2</v>
      </c>
      <c r="Q63" s="10"/>
      <c r="S63" s="10"/>
      <c r="V63">
        <v>57</v>
      </c>
      <c r="W63" t="s">
        <v>179</v>
      </c>
      <c r="X63" s="1" t="s">
        <v>103</v>
      </c>
      <c r="Y63">
        <f t="shared" si="1"/>
        <v>228</v>
      </c>
      <c r="Z63" s="84">
        <v>0</v>
      </c>
    </row>
    <row r="64" spans="1:26">
      <c r="A64" s="3">
        <v>59</v>
      </c>
      <c r="B64" s="186" t="s">
        <v>185</v>
      </c>
      <c r="C64" s="186">
        <v>9</v>
      </c>
      <c r="F64">
        <v>9010</v>
      </c>
      <c r="G64" s="272">
        <v>0</v>
      </c>
      <c r="H64" s="6">
        <v>3.5999999999999997E-2</v>
      </c>
      <c r="I64" s="6"/>
      <c r="J64" s="270">
        <v>4.7E-2</v>
      </c>
      <c r="K64" s="271">
        <v>0.05</v>
      </c>
      <c r="L64" s="6">
        <v>2.2499999999999999E-2</v>
      </c>
      <c r="M64" s="6">
        <v>0.04</v>
      </c>
      <c r="N64" s="6">
        <v>6.25E-2</v>
      </c>
      <c r="O64" s="271">
        <v>7.2499999999999995E-2</v>
      </c>
      <c r="Q64" s="10"/>
      <c r="S64" s="10"/>
      <c r="V64">
        <v>58</v>
      </c>
      <c r="W64" t="s">
        <v>138</v>
      </c>
      <c r="X64" t="s">
        <v>104</v>
      </c>
      <c r="Y64">
        <v>300</v>
      </c>
      <c r="Z64" s="84">
        <v>3.5999999999999997E-2</v>
      </c>
    </row>
    <row r="65" spans="1:26">
      <c r="A65">
        <v>60</v>
      </c>
      <c r="B65" s="186" t="s">
        <v>186</v>
      </c>
      <c r="C65" s="186">
        <v>11</v>
      </c>
      <c r="D65" s="1">
        <v>34</v>
      </c>
      <c r="F65">
        <v>11001</v>
      </c>
      <c r="G65" s="272">
        <v>3.5999999999999997E-2</v>
      </c>
      <c r="H65" s="6">
        <v>3.5999999999999997E-2</v>
      </c>
      <c r="I65" s="6"/>
      <c r="J65" s="270">
        <v>4.7E-2</v>
      </c>
      <c r="K65" s="271">
        <v>0.05</v>
      </c>
      <c r="L65" s="6">
        <v>2.2499999999999999E-2</v>
      </c>
      <c r="M65" s="6">
        <v>0.04</v>
      </c>
      <c r="N65" s="6">
        <v>6.25E-2</v>
      </c>
      <c r="O65" s="271">
        <v>7.2499999999999995E-2</v>
      </c>
      <c r="Q65" s="10"/>
      <c r="S65" s="10"/>
      <c r="V65">
        <v>59</v>
      </c>
      <c r="W65" t="s">
        <v>139</v>
      </c>
      <c r="X65" t="s">
        <v>104</v>
      </c>
      <c r="Y65">
        <f>+Y64+1</f>
        <v>301</v>
      </c>
      <c r="Z65" s="84">
        <v>3.5999999999999997E-2</v>
      </c>
    </row>
    <row r="66" spans="1:26">
      <c r="A66" s="3">
        <v>61</v>
      </c>
      <c r="B66" s="186" t="s">
        <v>186</v>
      </c>
      <c r="C66" s="186">
        <v>11</v>
      </c>
      <c r="D66" s="1" t="s">
        <v>187</v>
      </c>
      <c r="F66">
        <v>11002</v>
      </c>
      <c r="G66" s="272">
        <v>3.5999999999999997E-2</v>
      </c>
      <c r="H66" s="6">
        <v>3.5999999999999997E-2</v>
      </c>
      <c r="I66" s="6"/>
      <c r="J66" s="270">
        <v>4.7E-2</v>
      </c>
      <c r="K66" s="271">
        <v>0.05</v>
      </c>
      <c r="L66" s="6">
        <v>2.2499999999999999E-2</v>
      </c>
      <c r="M66" s="6">
        <v>0.04</v>
      </c>
      <c r="N66" s="6">
        <v>6.25E-2</v>
      </c>
      <c r="O66" s="271">
        <v>7.2499999999999995E-2</v>
      </c>
      <c r="Q66" s="10"/>
      <c r="S66" s="10"/>
      <c r="V66">
        <v>60</v>
      </c>
      <c r="W66" t="s">
        <v>140</v>
      </c>
      <c r="X66" t="s">
        <v>104</v>
      </c>
      <c r="Y66">
        <f t="shared" ref="Y66:Y92" si="2">+Y65+1</f>
        <v>302</v>
      </c>
      <c r="Z66" s="84">
        <v>3.5999999999999997E-2</v>
      </c>
    </row>
    <row r="67" spans="1:26">
      <c r="A67">
        <v>62</v>
      </c>
      <c r="B67" s="186" t="s">
        <v>186</v>
      </c>
      <c r="C67" s="186">
        <v>11</v>
      </c>
      <c r="D67" s="1">
        <v>35</v>
      </c>
      <c r="F67">
        <v>11003</v>
      </c>
      <c r="G67" s="272">
        <v>3.5999999999999997E-2</v>
      </c>
      <c r="H67" s="6">
        <v>3.5999999999999997E-2</v>
      </c>
      <c r="I67" s="6"/>
      <c r="J67" s="270">
        <v>4.7E-2</v>
      </c>
      <c r="K67" s="271">
        <v>0.05</v>
      </c>
      <c r="L67" s="6">
        <v>2.2499999999999999E-2</v>
      </c>
      <c r="M67" s="6">
        <v>0.04</v>
      </c>
      <c r="N67" s="6">
        <v>6.25E-2</v>
      </c>
      <c r="O67" s="271">
        <v>7.2499999999999995E-2</v>
      </c>
      <c r="Q67" s="10"/>
      <c r="S67" s="10"/>
      <c r="V67">
        <v>61</v>
      </c>
      <c r="W67" t="s">
        <v>142</v>
      </c>
      <c r="X67" t="s">
        <v>104</v>
      </c>
      <c r="Y67">
        <f t="shared" si="2"/>
        <v>303</v>
      </c>
      <c r="Z67" s="84">
        <v>3.5999999999999997E-2</v>
      </c>
    </row>
    <row r="68" spans="1:26">
      <c r="A68" s="3">
        <v>63</v>
      </c>
      <c r="B68" s="186" t="s">
        <v>186</v>
      </c>
      <c r="C68" s="186">
        <v>11</v>
      </c>
      <c r="D68" s="1" t="s">
        <v>188</v>
      </c>
      <c r="F68">
        <v>11004</v>
      </c>
      <c r="G68" s="272">
        <v>3.5999999999999997E-2</v>
      </c>
      <c r="H68" s="6">
        <v>3.5999999999999997E-2</v>
      </c>
      <c r="I68" s="6"/>
      <c r="J68" s="270">
        <v>4.7E-2</v>
      </c>
      <c r="K68" s="271">
        <v>0.05</v>
      </c>
      <c r="L68" s="6">
        <v>2.2499999999999999E-2</v>
      </c>
      <c r="M68" s="6">
        <v>0.04</v>
      </c>
      <c r="N68" s="6">
        <v>6.25E-2</v>
      </c>
      <c r="O68" s="271">
        <v>7.2499999999999995E-2</v>
      </c>
      <c r="Q68" s="10"/>
      <c r="S68" s="10"/>
      <c r="V68">
        <v>62</v>
      </c>
      <c r="W68" t="s">
        <v>143</v>
      </c>
      <c r="X68" t="s">
        <v>104</v>
      </c>
      <c r="Y68">
        <f t="shared" si="2"/>
        <v>304</v>
      </c>
      <c r="Z68" s="84">
        <v>3.5999999999999997E-2</v>
      </c>
    </row>
    <row r="69" spans="1:26">
      <c r="A69">
        <v>64</v>
      </c>
      <c r="B69" s="186" t="s">
        <v>186</v>
      </c>
      <c r="C69" s="186">
        <v>11</v>
      </c>
      <c r="D69" s="1">
        <v>36</v>
      </c>
      <c r="F69">
        <v>11005</v>
      </c>
      <c r="G69" s="272">
        <v>3.5999999999999997E-2</v>
      </c>
      <c r="H69" s="6">
        <v>3.5999999999999997E-2</v>
      </c>
      <c r="I69" s="6"/>
      <c r="J69" s="270">
        <v>4.7E-2</v>
      </c>
      <c r="K69" s="271">
        <v>0.05</v>
      </c>
      <c r="L69" s="6">
        <v>2.2499999999999999E-2</v>
      </c>
      <c r="M69" s="6">
        <v>0.04</v>
      </c>
      <c r="N69" s="6">
        <v>6.25E-2</v>
      </c>
      <c r="O69" s="271">
        <v>7.2499999999999995E-2</v>
      </c>
      <c r="Q69" s="10"/>
      <c r="S69" s="10"/>
      <c r="V69">
        <v>63</v>
      </c>
      <c r="W69" t="s">
        <v>145</v>
      </c>
      <c r="X69" t="s">
        <v>104</v>
      </c>
      <c r="Y69">
        <f t="shared" si="2"/>
        <v>305</v>
      </c>
      <c r="Z69" s="84">
        <v>0</v>
      </c>
    </row>
    <row r="70" spans="1:26">
      <c r="A70" s="3">
        <v>65</v>
      </c>
      <c r="B70" s="186" t="s">
        <v>186</v>
      </c>
      <c r="C70" s="186">
        <v>11</v>
      </c>
      <c r="D70" s="1" t="s">
        <v>189</v>
      </c>
      <c r="F70">
        <v>11006</v>
      </c>
      <c r="G70" s="272">
        <v>3.5999999999999997E-2</v>
      </c>
      <c r="H70" s="6">
        <v>3.5999999999999997E-2</v>
      </c>
      <c r="I70" s="6"/>
      <c r="J70" s="270">
        <v>4.7E-2</v>
      </c>
      <c r="K70" s="271">
        <v>0.05</v>
      </c>
      <c r="L70" s="6">
        <v>2.2499999999999999E-2</v>
      </c>
      <c r="M70" s="6">
        <v>0.04</v>
      </c>
      <c r="N70" s="6">
        <v>6.25E-2</v>
      </c>
      <c r="O70" s="271">
        <v>7.2499999999999995E-2</v>
      </c>
      <c r="Q70" s="10"/>
      <c r="S70" s="10"/>
      <c r="V70">
        <v>64</v>
      </c>
      <c r="W70" t="s">
        <v>146</v>
      </c>
      <c r="X70" t="s">
        <v>104</v>
      </c>
      <c r="Y70">
        <f t="shared" si="2"/>
        <v>306</v>
      </c>
      <c r="Z70" s="84">
        <v>0</v>
      </c>
    </row>
    <row r="71" spans="1:26">
      <c r="A71">
        <v>66</v>
      </c>
      <c r="B71" s="186" t="s">
        <v>186</v>
      </c>
      <c r="C71" s="186">
        <v>11</v>
      </c>
      <c r="D71" s="1">
        <v>37</v>
      </c>
      <c r="F71">
        <v>11007</v>
      </c>
      <c r="G71" s="272">
        <v>3.5999999999999997E-2</v>
      </c>
      <c r="H71" s="6">
        <v>3.5999999999999997E-2</v>
      </c>
      <c r="I71" s="6"/>
      <c r="J71" s="270">
        <v>4.7E-2</v>
      </c>
      <c r="K71" s="271">
        <v>0.05</v>
      </c>
      <c r="L71" s="6">
        <v>2.2499999999999999E-2</v>
      </c>
      <c r="M71" s="6">
        <v>0.04</v>
      </c>
      <c r="N71" s="6">
        <v>6.25E-2</v>
      </c>
      <c r="O71" s="271">
        <v>7.2499999999999995E-2</v>
      </c>
      <c r="Q71" s="10"/>
      <c r="S71" s="10"/>
      <c r="V71">
        <v>65</v>
      </c>
      <c r="W71" t="s">
        <v>148</v>
      </c>
      <c r="X71" t="s">
        <v>104</v>
      </c>
      <c r="Y71">
        <f t="shared" si="2"/>
        <v>307</v>
      </c>
      <c r="Z71" s="84">
        <v>0</v>
      </c>
    </row>
    <row r="72" spans="1:26">
      <c r="A72" s="3">
        <v>67</v>
      </c>
      <c r="B72" s="186" t="s">
        <v>186</v>
      </c>
      <c r="C72" s="186">
        <v>11</v>
      </c>
      <c r="D72" s="1" t="s">
        <v>190</v>
      </c>
      <c r="F72">
        <v>11008</v>
      </c>
      <c r="G72" s="272">
        <v>3.5999999999999997E-2</v>
      </c>
      <c r="H72" s="6">
        <v>3.5999999999999997E-2</v>
      </c>
      <c r="I72" s="6"/>
      <c r="J72" s="270">
        <v>4.7E-2</v>
      </c>
      <c r="K72" s="271">
        <v>0.05</v>
      </c>
      <c r="L72" s="6">
        <v>2.2499999999999999E-2</v>
      </c>
      <c r="M72" s="6">
        <v>0.04</v>
      </c>
      <c r="N72" s="6">
        <v>6.25E-2</v>
      </c>
      <c r="O72" s="271">
        <v>7.2499999999999995E-2</v>
      </c>
      <c r="Q72" s="10"/>
      <c r="S72" s="10"/>
      <c r="V72">
        <v>66</v>
      </c>
      <c r="W72" t="s">
        <v>149</v>
      </c>
      <c r="X72" t="s">
        <v>104</v>
      </c>
      <c r="Y72">
        <f t="shared" si="2"/>
        <v>308</v>
      </c>
      <c r="Z72" s="84">
        <v>0</v>
      </c>
    </row>
    <row r="73" spans="1:26">
      <c r="A73">
        <v>68</v>
      </c>
      <c r="B73" s="186" t="s">
        <v>186</v>
      </c>
      <c r="C73" s="186">
        <v>11</v>
      </c>
      <c r="D73" s="1">
        <v>38</v>
      </c>
      <c r="F73">
        <v>11009</v>
      </c>
      <c r="G73" s="272">
        <v>0</v>
      </c>
      <c r="H73" s="6">
        <v>3.5999999999999997E-2</v>
      </c>
      <c r="I73" s="6"/>
      <c r="J73" s="270">
        <v>4.7E-2</v>
      </c>
      <c r="K73" s="271">
        <v>0.05</v>
      </c>
      <c r="L73" s="6">
        <v>2.2499999999999999E-2</v>
      </c>
      <c r="M73" s="6">
        <v>0.04</v>
      </c>
      <c r="N73" s="6">
        <v>6.25E-2</v>
      </c>
      <c r="O73" s="271">
        <v>7.2499999999999995E-2</v>
      </c>
      <c r="Q73" s="10"/>
      <c r="S73" s="10"/>
      <c r="V73">
        <v>67</v>
      </c>
      <c r="W73" t="s">
        <v>151</v>
      </c>
      <c r="X73" t="s">
        <v>104</v>
      </c>
      <c r="Y73">
        <f t="shared" si="2"/>
        <v>309</v>
      </c>
      <c r="Z73" s="84">
        <v>0</v>
      </c>
    </row>
    <row r="74" spans="1:26">
      <c r="A74" s="3">
        <v>69</v>
      </c>
      <c r="B74" s="186" t="s">
        <v>186</v>
      </c>
      <c r="C74" s="186">
        <v>11</v>
      </c>
      <c r="D74" s="1" t="s">
        <v>191</v>
      </c>
      <c r="F74">
        <v>11010</v>
      </c>
      <c r="G74" s="272">
        <v>0</v>
      </c>
      <c r="H74" s="6">
        <v>3.5999999999999997E-2</v>
      </c>
      <c r="I74" s="6"/>
      <c r="J74" s="270">
        <v>4.7E-2</v>
      </c>
      <c r="K74" s="271">
        <v>0.05</v>
      </c>
      <c r="L74" s="6">
        <v>2.2499999999999999E-2</v>
      </c>
      <c r="M74" s="6">
        <v>0.04</v>
      </c>
      <c r="N74" s="6">
        <v>6.25E-2</v>
      </c>
      <c r="O74" s="271">
        <v>7.2499999999999995E-2</v>
      </c>
      <c r="Q74" s="10"/>
      <c r="S74" s="10"/>
      <c r="V74">
        <v>68</v>
      </c>
      <c r="W74" t="s">
        <v>152</v>
      </c>
      <c r="X74" t="s">
        <v>104</v>
      </c>
      <c r="Y74">
        <f t="shared" si="2"/>
        <v>310</v>
      </c>
      <c r="Z74" s="84">
        <v>0</v>
      </c>
    </row>
    <row r="75" spans="1:26">
      <c r="A75">
        <v>70</v>
      </c>
      <c r="B75" s="186" t="s">
        <v>186</v>
      </c>
      <c r="C75" s="186">
        <v>11</v>
      </c>
      <c r="D75" s="1">
        <v>39</v>
      </c>
      <c r="F75">
        <v>11011</v>
      </c>
      <c r="G75" s="272">
        <v>0</v>
      </c>
      <c r="H75" s="6">
        <v>3.5999999999999997E-2</v>
      </c>
      <c r="I75" s="6"/>
      <c r="J75" s="270">
        <v>4.7E-2</v>
      </c>
      <c r="K75" s="271">
        <v>0.05</v>
      </c>
      <c r="L75" s="6">
        <v>2.2499999999999999E-2</v>
      </c>
      <c r="M75" s="6">
        <v>0.04</v>
      </c>
      <c r="N75" s="6">
        <v>6.25E-2</v>
      </c>
      <c r="O75" s="271">
        <v>7.2499999999999995E-2</v>
      </c>
      <c r="Q75" s="10"/>
      <c r="S75" s="10"/>
      <c r="V75">
        <v>69</v>
      </c>
      <c r="W75" t="s">
        <v>154</v>
      </c>
      <c r="X75" t="s">
        <v>104</v>
      </c>
      <c r="Y75">
        <f t="shared" si="2"/>
        <v>311</v>
      </c>
      <c r="Z75" s="84">
        <v>0</v>
      </c>
    </row>
    <row r="76" spans="1:26">
      <c r="A76" s="3">
        <v>71</v>
      </c>
      <c r="B76" s="186" t="s">
        <v>186</v>
      </c>
      <c r="C76" s="186">
        <v>11</v>
      </c>
      <c r="D76" s="1" t="s">
        <v>192</v>
      </c>
      <c r="F76">
        <v>11012</v>
      </c>
      <c r="G76" s="272">
        <v>0</v>
      </c>
      <c r="H76" s="6">
        <v>3.5999999999999997E-2</v>
      </c>
      <c r="I76" s="6"/>
      <c r="J76" s="270">
        <v>4.7E-2</v>
      </c>
      <c r="K76" s="271">
        <v>0.05</v>
      </c>
      <c r="L76" s="6">
        <v>2.2499999999999999E-2</v>
      </c>
      <c r="M76" s="6">
        <v>0.04</v>
      </c>
      <c r="N76" s="6">
        <v>6.25E-2</v>
      </c>
      <c r="O76" s="271">
        <v>7.2499999999999995E-2</v>
      </c>
      <c r="Q76" s="10"/>
      <c r="S76" s="10"/>
      <c r="V76">
        <v>70</v>
      </c>
      <c r="W76" t="s">
        <v>155</v>
      </c>
      <c r="X76" t="s">
        <v>104</v>
      </c>
      <c r="Y76">
        <f t="shared" si="2"/>
        <v>312</v>
      </c>
      <c r="Z76" s="84">
        <v>0</v>
      </c>
    </row>
    <row r="77" spans="1:26">
      <c r="A77">
        <v>72</v>
      </c>
      <c r="B77" s="186" t="s">
        <v>186</v>
      </c>
      <c r="C77" s="186">
        <v>11</v>
      </c>
      <c r="D77" s="1">
        <v>40</v>
      </c>
      <c r="F77">
        <v>11013</v>
      </c>
      <c r="G77" s="272">
        <v>0</v>
      </c>
      <c r="H77" s="6">
        <v>3.5999999999999997E-2</v>
      </c>
      <c r="I77" s="6"/>
      <c r="J77" s="270">
        <v>4.7E-2</v>
      </c>
      <c r="K77" s="271">
        <v>0.05</v>
      </c>
      <c r="L77" s="6">
        <v>2.2499999999999999E-2</v>
      </c>
      <c r="M77" s="6">
        <v>0.04</v>
      </c>
      <c r="N77" s="6">
        <v>6.25E-2</v>
      </c>
      <c r="O77" s="271">
        <v>7.2499999999999995E-2</v>
      </c>
      <c r="Q77" s="10"/>
      <c r="S77" s="10"/>
      <c r="V77">
        <v>71</v>
      </c>
      <c r="W77" t="s">
        <v>157</v>
      </c>
      <c r="X77" t="s">
        <v>104</v>
      </c>
      <c r="Y77">
        <f t="shared" si="2"/>
        <v>313</v>
      </c>
      <c r="Z77" s="84">
        <v>0</v>
      </c>
    </row>
    <row r="78" spans="1:26">
      <c r="A78" s="3">
        <v>73</v>
      </c>
      <c r="B78" s="186" t="s">
        <v>186</v>
      </c>
      <c r="C78" s="186">
        <v>11</v>
      </c>
      <c r="D78" s="1" t="s">
        <v>193</v>
      </c>
      <c r="F78">
        <v>11014</v>
      </c>
      <c r="G78" s="272">
        <v>0</v>
      </c>
      <c r="H78" s="6">
        <v>3.5999999999999997E-2</v>
      </c>
      <c r="I78" s="6"/>
      <c r="J78" s="270">
        <v>4.7E-2</v>
      </c>
      <c r="K78" s="271">
        <v>0.05</v>
      </c>
      <c r="L78" s="6">
        <v>2.2499999999999999E-2</v>
      </c>
      <c r="M78" s="6">
        <v>0.04</v>
      </c>
      <c r="N78" s="6">
        <v>6.25E-2</v>
      </c>
      <c r="O78" s="271">
        <v>7.2499999999999995E-2</v>
      </c>
      <c r="Q78" s="10"/>
      <c r="S78" s="10"/>
      <c r="V78">
        <v>72</v>
      </c>
      <c r="W78" t="s">
        <v>158</v>
      </c>
      <c r="X78" t="s">
        <v>104</v>
      </c>
      <c r="Y78">
        <f t="shared" si="2"/>
        <v>314</v>
      </c>
      <c r="Z78" s="84">
        <v>0</v>
      </c>
    </row>
    <row r="79" spans="1:26">
      <c r="A79">
        <v>74</v>
      </c>
      <c r="B79" s="186" t="s">
        <v>186</v>
      </c>
      <c r="C79" s="186">
        <v>11</v>
      </c>
      <c r="D79" s="1">
        <v>41</v>
      </c>
      <c r="F79">
        <v>11015</v>
      </c>
      <c r="G79" s="272">
        <v>0</v>
      </c>
      <c r="H79" s="6">
        <v>3.5999999999999997E-2</v>
      </c>
      <c r="I79" s="6"/>
      <c r="J79" s="270">
        <v>4.7E-2</v>
      </c>
      <c r="K79" s="271">
        <v>0.05</v>
      </c>
      <c r="L79" s="6">
        <v>2.2499999999999999E-2</v>
      </c>
      <c r="M79" s="6">
        <v>0.04</v>
      </c>
      <c r="N79" s="6">
        <v>6.25E-2</v>
      </c>
      <c r="O79" s="271">
        <v>7.2499999999999995E-2</v>
      </c>
      <c r="Q79" s="10"/>
      <c r="S79" s="10"/>
      <c r="V79">
        <v>73</v>
      </c>
      <c r="W79" t="s">
        <v>160</v>
      </c>
      <c r="X79" t="s">
        <v>104</v>
      </c>
      <c r="Y79">
        <f t="shared" si="2"/>
        <v>315</v>
      </c>
      <c r="Z79" s="84">
        <v>0</v>
      </c>
    </row>
    <row r="80" spans="1:26">
      <c r="A80" s="3">
        <v>75</v>
      </c>
      <c r="B80" s="186" t="s">
        <v>186</v>
      </c>
      <c r="C80" s="186">
        <v>11</v>
      </c>
      <c r="D80" s="1" t="s">
        <v>194</v>
      </c>
      <c r="F80">
        <v>11016</v>
      </c>
      <c r="G80" s="272">
        <v>0</v>
      </c>
      <c r="H80" s="6">
        <v>3.5999999999999997E-2</v>
      </c>
      <c r="I80" s="6"/>
      <c r="J80" s="270">
        <v>4.7E-2</v>
      </c>
      <c r="K80" s="271">
        <v>0.05</v>
      </c>
      <c r="L80" s="6">
        <v>2.2499999999999999E-2</v>
      </c>
      <c r="M80" s="6">
        <v>0.04</v>
      </c>
      <c r="N80" s="6">
        <v>6.25E-2</v>
      </c>
      <c r="O80" s="271">
        <v>7.2499999999999995E-2</v>
      </c>
      <c r="Q80" s="10"/>
      <c r="S80" s="10"/>
      <c r="V80">
        <v>74</v>
      </c>
      <c r="W80" t="s">
        <v>161</v>
      </c>
      <c r="X80" t="s">
        <v>104</v>
      </c>
      <c r="Y80">
        <f t="shared" si="2"/>
        <v>316</v>
      </c>
      <c r="Z80" s="84">
        <v>0</v>
      </c>
    </row>
    <row r="81" spans="1:26">
      <c r="A81">
        <v>76</v>
      </c>
      <c r="B81" s="186" t="s">
        <v>186</v>
      </c>
      <c r="C81" s="186">
        <v>11</v>
      </c>
      <c r="D81" s="1">
        <v>42</v>
      </c>
      <c r="F81">
        <v>11017</v>
      </c>
      <c r="G81" s="272">
        <v>0</v>
      </c>
      <c r="H81" s="6">
        <v>3.5999999999999997E-2</v>
      </c>
      <c r="I81" s="6"/>
      <c r="J81" s="270">
        <v>4.7E-2</v>
      </c>
      <c r="K81" s="271">
        <v>0.05</v>
      </c>
      <c r="L81" s="6">
        <v>2.2499999999999999E-2</v>
      </c>
      <c r="M81" s="6">
        <v>0.04</v>
      </c>
      <c r="N81" s="6">
        <v>6.25E-2</v>
      </c>
      <c r="O81" s="271">
        <v>7.2499999999999995E-2</v>
      </c>
      <c r="Q81" s="10"/>
      <c r="S81" s="10"/>
      <c r="V81">
        <v>75</v>
      </c>
      <c r="W81" t="s">
        <v>163</v>
      </c>
      <c r="X81" t="s">
        <v>104</v>
      </c>
      <c r="Y81">
        <f t="shared" si="2"/>
        <v>317</v>
      </c>
      <c r="Z81" s="84">
        <v>0</v>
      </c>
    </row>
    <row r="82" spans="1:26">
      <c r="A82" s="3">
        <v>77</v>
      </c>
      <c r="B82" s="186" t="s">
        <v>186</v>
      </c>
      <c r="C82" s="186">
        <v>11</v>
      </c>
      <c r="D82" s="1" t="s">
        <v>195</v>
      </c>
      <c r="F82">
        <v>11018</v>
      </c>
      <c r="G82" s="272">
        <v>0</v>
      </c>
      <c r="H82" s="6">
        <v>3.5999999999999997E-2</v>
      </c>
      <c r="I82" s="6"/>
      <c r="J82" s="270">
        <v>4.7E-2</v>
      </c>
      <c r="K82" s="271">
        <v>0.05</v>
      </c>
      <c r="L82" s="6">
        <v>2.2499999999999999E-2</v>
      </c>
      <c r="M82" s="6">
        <v>0.04</v>
      </c>
      <c r="N82" s="6">
        <v>6.25E-2</v>
      </c>
      <c r="O82" s="271">
        <v>7.2499999999999995E-2</v>
      </c>
      <c r="Q82" s="10"/>
      <c r="S82" s="10"/>
      <c r="V82">
        <v>76</v>
      </c>
      <c r="W82" t="s">
        <v>164</v>
      </c>
      <c r="X82" t="s">
        <v>104</v>
      </c>
      <c r="Y82">
        <f t="shared" si="2"/>
        <v>318</v>
      </c>
      <c r="Z82" s="84">
        <v>0</v>
      </c>
    </row>
    <row r="83" spans="1:26">
      <c r="A83">
        <v>78</v>
      </c>
      <c r="B83" s="186" t="s">
        <v>186</v>
      </c>
      <c r="C83" s="186">
        <v>11</v>
      </c>
      <c r="D83" s="1">
        <v>43</v>
      </c>
      <c r="F83">
        <v>11019</v>
      </c>
      <c r="G83" s="272">
        <v>0</v>
      </c>
      <c r="H83" s="6">
        <v>3.5999999999999997E-2</v>
      </c>
      <c r="I83" s="6"/>
      <c r="J83" s="270">
        <v>4.7E-2</v>
      </c>
      <c r="K83" s="271">
        <v>0.05</v>
      </c>
      <c r="L83" s="6">
        <v>2.2499999999999999E-2</v>
      </c>
      <c r="M83" s="6">
        <v>0.04</v>
      </c>
      <c r="N83" s="6">
        <v>6.25E-2</v>
      </c>
      <c r="O83" s="271">
        <v>7.2499999999999995E-2</v>
      </c>
      <c r="Q83" s="10"/>
      <c r="S83" s="10"/>
      <c r="V83">
        <v>77</v>
      </c>
      <c r="W83" t="s">
        <v>166</v>
      </c>
      <c r="X83" t="s">
        <v>104</v>
      </c>
      <c r="Y83">
        <f t="shared" si="2"/>
        <v>319</v>
      </c>
      <c r="Z83" s="84">
        <v>0</v>
      </c>
    </row>
    <row r="84" spans="1:26">
      <c r="A84" s="3">
        <v>79</v>
      </c>
      <c r="B84" s="186" t="s">
        <v>186</v>
      </c>
      <c r="C84" s="186">
        <v>11</v>
      </c>
      <c r="D84" s="1" t="s">
        <v>196</v>
      </c>
      <c r="F84">
        <v>11020</v>
      </c>
      <c r="G84" s="272">
        <v>0</v>
      </c>
      <c r="H84" s="6">
        <v>3.5999999999999997E-2</v>
      </c>
      <c r="I84" s="6"/>
      <c r="J84" s="270">
        <v>4.7E-2</v>
      </c>
      <c r="K84" s="271">
        <v>0.05</v>
      </c>
      <c r="L84" s="6">
        <v>2.2499999999999999E-2</v>
      </c>
      <c r="M84" s="6">
        <v>0.04</v>
      </c>
      <c r="N84" s="6">
        <v>6.25E-2</v>
      </c>
      <c r="O84" s="271">
        <v>7.2499999999999995E-2</v>
      </c>
      <c r="Q84" s="10"/>
      <c r="S84" s="10"/>
      <c r="V84">
        <v>78</v>
      </c>
      <c r="W84" t="s">
        <v>167</v>
      </c>
      <c r="X84" t="s">
        <v>104</v>
      </c>
      <c r="Y84">
        <f t="shared" si="2"/>
        <v>320</v>
      </c>
      <c r="Z84" s="84">
        <v>0</v>
      </c>
    </row>
    <row r="85" spans="1:26">
      <c r="A85">
        <v>80</v>
      </c>
      <c r="B85" s="186" t="s">
        <v>186</v>
      </c>
      <c r="C85" s="186">
        <v>11</v>
      </c>
      <c r="D85" s="1">
        <v>44</v>
      </c>
      <c r="F85">
        <v>11021</v>
      </c>
      <c r="G85" s="272">
        <v>0</v>
      </c>
      <c r="H85" s="6">
        <v>3.5999999999999997E-2</v>
      </c>
      <c r="I85" s="6"/>
      <c r="J85" s="270">
        <v>4.7E-2</v>
      </c>
      <c r="K85" s="271">
        <v>0.05</v>
      </c>
      <c r="L85" s="6">
        <v>2.2499999999999999E-2</v>
      </c>
      <c r="M85" s="6">
        <v>0.04</v>
      </c>
      <c r="N85" s="6">
        <v>6.25E-2</v>
      </c>
      <c r="O85" s="271">
        <v>7.2499999999999995E-2</v>
      </c>
      <c r="Q85" s="10"/>
      <c r="S85" s="10"/>
      <c r="V85">
        <v>79</v>
      </c>
      <c r="W85" t="s">
        <v>169</v>
      </c>
      <c r="X85" t="s">
        <v>104</v>
      </c>
      <c r="Y85">
        <f t="shared" si="2"/>
        <v>321</v>
      </c>
      <c r="Z85" s="84">
        <v>0</v>
      </c>
    </row>
    <row r="86" spans="1:26">
      <c r="A86" s="3">
        <v>81</v>
      </c>
      <c r="B86" s="186" t="s">
        <v>186</v>
      </c>
      <c r="C86" s="186">
        <v>11</v>
      </c>
      <c r="D86" s="1" t="s">
        <v>197</v>
      </c>
      <c r="F86">
        <v>11022</v>
      </c>
      <c r="G86" s="272">
        <v>0</v>
      </c>
      <c r="H86" s="6">
        <v>3.5999999999999997E-2</v>
      </c>
      <c r="I86" s="6"/>
      <c r="J86" s="270">
        <v>4.7E-2</v>
      </c>
      <c r="K86" s="271">
        <v>0.05</v>
      </c>
      <c r="L86" s="6">
        <v>2.2499999999999999E-2</v>
      </c>
      <c r="M86" s="6">
        <v>0.04</v>
      </c>
      <c r="N86" s="6">
        <v>6.25E-2</v>
      </c>
      <c r="O86" s="271">
        <v>7.2499999999999995E-2</v>
      </c>
      <c r="Q86" s="10"/>
      <c r="S86" s="10"/>
      <c r="V86">
        <v>80</v>
      </c>
      <c r="W86" t="s">
        <v>170</v>
      </c>
      <c r="X86" t="s">
        <v>104</v>
      </c>
      <c r="Y86">
        <f t="shared" si="2"/>
        <v>322</v>
      </c>
      <c r="Z86" s="84">
        <v>0</v>
      </c>
    </row>
    <row r="87" spans="1:26">
      <c r="A87">
        <v>82</v>
      </c>
      <c r="B87" s="186" t="s">
        <v>186</v>
      </c>
      <c r="C87" s="186">
        <v>11</v>
      </c>
      <c r="D87" s="1">
        <v>45</v>
      </c>
      <c r="F87">
        <v>11023</v>
      </c>
      <c r="G87" s="272">
        <v>0</v>
      </c>
      <c r="H87" s="6">
        <v>3.5999999999999997E-2</v>
      </c>
      <c r="I87" s="6"/>
      <c r="J87" s="270">
        <v>4.7E-2</v>
      </c>
      <c r="K87" s="271">
        <v>0.05</v>
      </c>
      <c r="L87" s="6">
        <v>2.2499999999999999E-2</v>
      </c>
      <c r="M87" s="6">
        <v>0.04</v>
      </c>
      <c r="N87" s="6">
        <v>6.25E-2</v>
      </c>
      <c r="O87" s="271">
        <v>7.2499999999999995E-2</v>
      </c>
      <c r="Q87" s="10"/>
      <c r="S87" s="10"/>
      <c r="V87">
        <v>81</v>
      </c>
      <c r="W87" t="s">
        <v>172</v>
      </c>
      <c r="X87" t="s">
        <v>104</v>
      </c>
      <c r="Y87">
        <f t="shared" si="2"/>
        <v>323</v>
      </c>
      <c r="Z87" s="84">
        <v>0</v>
      </c>
    </row>
    <row r="88" spans="1:26">
      <c r="A88" s="3">
        <v>83</v>
      </c>
      <c r="B88" s="186" t="s">
        <v>186</v>
      </c>
      <c r="C88" s="186">
        <v>11</v>
      </c>
      <c r="D88" s="1" t="s">
        <v>198</v>
      </c>
      <c r="F88">
        <v>11024</v>
      </c>
      <c r="G88" s="272">
        <v>0</v>
      </c>
      <c r="H88" s="6">
        <v>3.5999999999999997E-2</v>
      </c>
      <c r="I88" s="6"/>
      <c r="J88" s="270">
        <v>4.7E-2</v>
      </c>
      <c r="K88" s="271">
        <v>0.05</v>
      </c>
      <c r="L88" s="6">
        <v>2.2499999999999999E-2</v>
      </c>
      <c r="M88" s="6">
        <v>0.04</v>
      </c>
      <c r="N88" s="6">
        <v>6.25E-2</v>
      </c>
      <c r="O88" s="271">
        <v>7.2499999999999995E-2</v>
      </c>
      <c r="Q88" s="10"/>
      <c r="S88" s="10"/>
      <c r="V88">
        <v>82</v>
      </c>
      <c r="W88" t="s">
        <v>173</v>
      </c>
      <c r="X88" t="s">
        <v>104</v>
      </c>
      <c r="Y88">
        <f t="shared" si="2"/>
        <v>324</v>
      </c>
      <c r="Z88" s="84">
        <v>0</v>
      </c>
    </row>
    <row r="89" spans="1:26">
      <c r="A89">
        <v>84</v>
      </c>
      <c r="B89" s="186" t="s">
        <v>186</v>
      </c>
      <c r="C89" s="186">
        <v>11</v>
      </c>
      <c r="D89" s="1">
        <v>46</v>
      </c>
      <c r="F89">
        <v>11025</v>
      </c>
      <c r="G89" s="272">
        <v>0</v>
      </c>
      <c r="H89" s="6">
        <v>3.5999999999999997E-2</v>
      </c>
      <c r="I89" s="6"/>
      <c r="J89" s="270">
        <v>4.7E-2</v>
      </c>
      <c r="K89" s="271">
        <v>0.05</v>
      </c>
      <c r="L89" s="6">
        <v>2.2499999999999999E-2</v>
      </c>
      <c r="M89" s="6">
        <v>0.04</v>
      </c>
      <c r="N89" s="6">
        <v>6.25E-2</v>
      </c>
      <c r="O89" s="271">
        <v>7.2499999999999995E-2</v>
      </c>
      <c r="Q89" s="10"/>
      <c r="S89" s="10"/>
      <c r="V89">
        <v>83</v>
      </c>
      <c r="W89" t="s">
        <v>175</v>
      </c>
      <c r="X89" t="s">
        <v>104</v>
      </c>
      <c r="Y89">
        <f t="shared" si="2"/>
        <v>325</v>
      </c>
      <c r="Z89" s="84">
        <v>0</v>
      </c>
    </row>
    <row r="90" spans="1:26">
      <c r="A90" s="3">
        <v>85</v>
      </c>
      <c r="B90" s="186" t="s">
        <v>186</v>
      </c>
      <c r="C90" s="186">
        <v>11</v>
      </c>
      <c r="D90" s="1" t="s">
        <v>199</v>
      </c>
      <c r="F90">
        <v>11026</v>
      </c>
      <c r="G90" s="272">
        <v>0</v>
      </c>
      <c r="H90" s="6">
        <v>3.5999999999999997E-2</v>
      </c>
      <c r="I90" s="6"/>
      <c r="J90" s="270">
        <v>4.7E-2</v>
      </c>
      <c r="K90" s="271">
        <v>0.05</v>
      </c>
      <c r="L90" s="6">
        <v>2.2499999999999999E-2</v>
      </c>
      <c r="M90" s="6">
        <v>0.04</v>
      </c>
      <c r="N90" s="6">
        <v>6.25E-2</v>
      </c>
      <c r="O90" s="271">
        <v>7.2499999999999995E-2</v>
      </c>
      <c r="Q90" s="10"/>
      <c r="S90" s="10"/>
      <c r="V90">
        <v>84</v>
      </c>
      <c r="W90" t="s">
        <v>176</v>
      </c>
      <c r="X90" t="s">
        <v>104</v>
      </c>
      <c r="Y90">
        <f t="shared" si="2"/>
        <v>326</v>
      </c>
      <c r="Z90" s="84">
        <v>0</v>
      </c>
    </row>
    <row r="91" spans="1:26">
      <c r="A91">
        <v>86</v>
      </c>
      <c r="B91" s="186" t="s">
        <v>107</v>
      </c>
      <c r="C91" s="186">
        <v>12</v>
      </c>
      <c r="D91" s="1">
        <v>34</v>
      </c>
      <c r="F91">
        <v>12001</v>
      </c>
      <c r="G91" s="272">
        <v>3.5999999999999997E-2</v>
      </c>
      <c r="H91" s="6">
        <v>3.5999999999999997E-2</v>
      </c>
      <c r="I91" s="6"/>
      <c r="J91" s="270">
        <v>4.7E-2</v>
      </c>
      <c r="K91" s="271">
        <v>0.05</v>
      </c>
      <c r="L91" s="6">
        <v>2.2499999999999999E-2</v>
      </c>
      <c r="M91" s="6">
        <v>0.04</v>
      </c>
      <c r="N91" s="6">
        <v>6.25E-2</v>
      </c>
      <c r="O91" s="271">
        <v>7.2499999999999995E-2</v>
      </c>
      <c r="Q91" s="10"/>
      <c r="S91" s="10"/>
      <c r="V91">
        <v>85</v>
      </c>
      <c r="W91" t="s">
        <v>178</v>
      </c>
      <c r="X91" t="s">
        <v>104</v>
      </c>
      <c r="Y91">
        <f t="shared" si="2"/>
        <v>327</v>
      </c>
      <c r="Z91" s="84">
        <v>0</v>
      </c>
    </row>
    <row r="92" spans="1:26">
      <c r="A92" s="3">
        <v>87</v>
      </c>
      <c r="B92" s="186" t="s">
        <v>107</v>
      </c>
      <c r="C92" s="186">
        <v>12</v>
      </c>
      <c r="D92" s="1" t="s">
        <v>187</v>
      </c>
      <c r="F92">
        <v>12002</v>
      </c>
      <c r="G92" s="272">
        <v>3.5999999999999997E-2</v>
      </c>
      <c r="H92" s="6">
        <v>3.5999999999999997E-2</v>
      </c>
      <c r="I92" s="6"/>
      <c r="J92" s="270">
        <v>4.7E-2</v>
      </c>
      <c r="K92" s="271">
        <v>0.05</v>
      </c>
      <c r="L92" s="6">
        <v>2.2499999999999999E-2</v>
      </c>
      <c r="M92" s="6">
        <v>0.04</v>
      </c>
      <c r="N92" s="6">
        <v>6.25E-2</v>
      </c>
      <c r="O92" s="271">
        <v>7.2499999999999995E-2</v>
      </c>
      <c r="Q92" s="10"/>
      <c r="S92" s="10"/>
      <c r="V92">
        <v>86</v>
      </c>
      <c r="W92" t="s">
        <v>179</v>
      </c>
      <c r="X92" t="s">
        <v>104</v>
      </c>
      <c r="Y92">
        <f t="shared" si="2"/>
        <v>328</v>
      </c>
      <c r="Z92" s="84">
        <v>0</v>
      </c>
    </row>
    <row r="93" spans="1:26">
      <c r="A93">
        <v>88</v>
      </c>
      <c r="B93" s="186" t="s">
        <v>107</v>
      </c>
      <c r="C93" s="186">
        <v>12</v>
      </c>
      <c r="D93" s="1">
        <v>35</v>
      </c>
      <c r="F93">
        <v>12003</v>
      </c>
      <c r="G93" s="272">
        <v>3.5999999999999997E-2</v>
      </c>
      <c r="H93" s="6">
        <v>3.5999999999999997E-2</v>
      </c>
      <c r="I93" s="6"/>
      <c r="J93" s="270">
        <v>4.7E-2</v>
      </c>
      <c r="K93" s="271">
        <v>0.05</v>
      </c>
      <c r="L93" s="6">
        <v>2.2499999999999999E-2</v>
      </c>
      <c r="M93" s="6">
        <v>0.04</v>
      </c>
      <c r="N93" s="6">
        <v>6.25E-2</v>
      </c>
      <c r="O93" s="271">
        <v>7.2499999999999995E-2</v>
      </c>
      <c r="Q93" s="10"/>
      <c r="S93" s="10"/>
      <c r="V93">
        <v>87</v>
      </c>
      <c r="W93" t="s">
        <v>138</v>
      </c>
      <c r="X93" t="s">
        <v>105</v>
      </c>
      <c r="Y93">
        <v>400</v>
      </c>
      <c r="Z93" s="84">
        <v>3.5999999999999997E-2</v>
      </c>
    </row>
    <row r="94" spans="1:26">
      <c r="A94" s="3">
        <v>89</v>
      </c>
      <c r="B94" s="186" t="s">
        <v>107</v>
      </c>
      <c r="C94" s="186">
        <v>12</v>
      </c>
      <c r="D94" s="1" t="s">
        <v>188</v>
      </c>
      <c r="F94">
        <v>12004</v>
      </c>
      <c r="G94" s="272">
        <v>3.5999999999999997E-2</v>
      </c>
      <c r="H94" s="6">
        <v>3.5999999999999997E-2</v>
      </c>
      <c r="I94" s="6"/>
      <c r="J94" s="270">
        <v>4.7E-2</v>
      </c>
      <c r="K94" s="271">
        <v>0.05</v>
      </c>
      <c r="L94" s="6">
        <v>2.2499999999999999E-2</v>
      </c>
      <c r="M94" s="6">
        <v>0.04</v>
      </c>
      <c r="N94" s="6">
        <v>6.25E-2</v>
      </c>
      <c r="O94" s="271">
        <v>7.2499999999999995E-2</v>
      </c>
      <c r="Q94" s="10"/>
      <c r="S94" s="10"/>
      <c r="V94">
        <v>88</v>
      </c>
      <c r="W94" t="s">
        <v>139</v>
      </c>
      <c r="X94" t="s">
        <v>105</v>
      </c>
      <c r="Y94">
        <f>+Y93+1</f>
        <v>401</v>
      </c>
      <c r="Z94" s="84">
        <v>3.5999999999999997E-2</v>
      </c>
    </row>
    <row r="95" spans="1:26">
      <c r="A95">
        <v>90</v>
      </c>
      <c r="B95" s="186" t="s">
        <v>107</v>
      </c>
      <c r="C95" s="186">
        <v>12</v>
      </c>
      <c r="D95" s="1">
        <v>36</v>
      </c>
      <c r="F95">
        <v>12005</v>
      </c>
      <c r="G95" s="272">
        <v>3.5999999999999997E-2</v>
      </c>
      <c r="H95" s="6">
        <v>3.5999999999999997E-2</v>
      </c>
      <c r="I95" s="6"/>
      <c r="J95" s="270">
        <v>4.7E-2</v>
      </c>
      <c r="K95" s="271">
        <v>0.05</v>
      </c>
      <c r="L95" s="6">
        <v>2.2499999999999999E-2</v>
      </c>
      <c r="M95" s="6">
        <v>0.04</v>
      </c>
      <c r="N95" s="6">
        <v>6.25E-2</v>
      </c>
      <c r="O95" s="271">
        <v>7.2499999999999995E-2</v>
      </c>
      <c r="Q95" s="10"/>
      <c r="S95" s="10"/>
      <c r="V95">
        <v>89</v>
      </c>
      <c r="W95" t="s">
        <v>140</v>
      </c>
      <c r="X95" t="s">
        <v>105</v>
      </c>
      <c r="Y95">
        <f t="shared" ref="Y95:Y121" si="3">+Y94+1</f>
        <v>402</v>
      </c>
      <c r="Z95" s="84">
        <v>3.5999999999999997E-2</v>
      </c>
    </row>
    <row r="96" spans="1:26">
      <c r="A96" s="3">
        <v>91</v>
      </c>
      <c r="B96" s="186" t="s">
        <v>107</v>
      </c>
      <c r="C96" s="186">
        <v>12</v>
      </c>
      <c r="D96" s="1" t="s">
        <v>189</v>
      </c>
      <c r="F96">
        <v>12006</v>
      </c>
      <c r="G96" s="272">
        <v>3.5999999999999997E-2</v>
      </c>
      <c r="H96" s="6">
        <v>3.5999999999999997E-2</v>
      </c>
      <c r="I96" s="6"/>
      <c r="J96" s="270">
        <v>4.7E-2</v>
      </c>
      <c r="K96" s="271">
        <v>0.05</v>
      </c>
      <c r="L96" s="6">
        <v>2.2499999999999999E-2</v>
      </c>
      <c r="M96" s="6">
        <v>0.04</v>
      </c>
      <c r="N96" s="6">
        <v>6.25E-2</v>
      </c>
      <c r="O96" s="271">
        <v>7.2499999999999995E-2</v>
      </c>
      <c r="Q96" s="10"/>
      <c r="S96" s="10"/>
      <c r="V96">
        <v>90</v>
      </c>
      <c r="W96" t="s">
        <v>142</v>
      </c>
      <c r="X96" t="s">
        <v>105</v>
      </c>
      <c r="Y96">
        <f t="shared" si="3"/>
        <v>403</v>
      </c>
      <c r="Z96" s="84">
        <v>3.5999999999999997E-2</v>
      </c>
    </row>
    <row r="97" spans="1:26">
      <c r="A97">
        <v>92</v>
      </c>
      <c r="B97" s="186" t="s">
        <v>107</v>
      </c>
      <c r="C97" s="186">
        <v>12</v>
      </c>
      <c r="D97" s="1">
        <v>37</v>
      </c>
      <c r="F97">
        <v>12007</v>
      </c>
      <c r="G97" s="272">
        <v>3.5999999999999997E-2</v>
      </c>
      <c r="H97" s="6">
        <v>3.5999999999999997E-2</v>
      </c>
      <c r="I97" s="6"/>
      <c r="J97" s="270">
        <v>4.7E-2</v>
      </c>
      <c r="K97" s="271">
        <v>0.05</v>
      </c>
      <c r="L97" s="6">
        <v>2.2499999999999999E-2</v>
      </c>
      <c r="M97" s="6">
        <v>0.04</v>
      </c>
      <c r="N97" s="6">
        <v>6.25E-2</v>
      </c>
      <c r="O97" s="271">
        <v>7.2499999999999995E-2</v>
      </c>
      <c r="Q97" s="10"/>
      <c r="S97" s="10"/>
      <c r="V97">
        <v>91</v>
      </c>
      <c r="W97" t="s">
        <v>143</v>
      </c>
      <c r="X97" t="s">
        <v>105</v>
      </c>
      <c r="Y97">
        <f t="shared" si="3"/>
        <v>404</v>
      </c>
      <c r="Z97" s="84">
        <v>3.5999999999999997E-2</v>
      </c>
    </row>
    <row r="98" spans="1:26">
      <c r="A98" s="3">
        <v>93</v>
      </c>
      <c r="B98" s="186" t="s">
        <v>107</v>
      </c>
      <c r="C98" s="186">
        <v>12</v>
      </c>
      <c r="D98" s="1" t="s">
        <v>190</v>
      </c>
      <c r="F98">
        <v>12008</v>
      </c>
      <c r="G98" s="272">
        <v>0</v>
      </c>
      <c r="H98" s="6">
        <v>3.5999999999999997E-2</v>
      </c>
      <c r="I98" s="6"/>
      <c r="J98" s="270">
        <v>4.7E-2</v>
      </c>
      <c r="K98" s="271">
        <v>0.05</v>
      </c>
      <c r="L98" s="6">
        <v>2.2499999999999999E-2</v>
      </c>
      <c r="M98" s="6">
        <v>0.04</v>
      </c>
      <c r="N98" s="6">
        <v>6.25E-2</v>
      </c>
      <c r="O98" s="271">
        <v>7.2499999999999995E-2</v>
      </c>
      <c r="Q98" s="10"/>
      <c r="S98" s="10"/>
      <c r="V98">
        <v>92</v>
      </c>
      <c r="W98" t="s">
        <v>145</v>
      </c>
      <c r="X98" t="s">
        <v>105</v>
      </c>
      <c r="Y98">
        <f t="shared" si="3"/>
        <v>405</v>
      </c>
      <c r="Z98" s="84">
        <v>0</v>
      </c>
    </row>
    <row r="99" spans="1:26">
      <c r="A99">
        <v>94</v>
      </c>
      <c r="B99" s="186" t="s">
        <v>107</v>
      </c>
      <c r="C99" s="186">
        <v>12</v>
      </c>
      <c r="D99" s="1">
        <v>38</v>
      </c>
      <c r="F99">
        <v>12009</v>
      </c>
      <c r="G99" s="272">
        <v>0</v>
      </c>
      <c r="H99" s="6">
        <v>3.5999999999999997E-2</v>
      </c>
      <c r="I99" s="6"/>
      <c r="J99" s="270">
        <v>4.7E-2</v>
      </c>
      <c r="K99" s="271">
        <v>0.05</v>
      </c>
      <c r="L99" s="6">
        <v>2.2499999999999999E-2</v>
      </c>
      <c r="M99" s="6">
        <v>0.04</v>
      </c>
      <c r="N99" s="6">
        <v>6.25E-2</v>
      </c>
      <c r="O99" s="271">
        <v>7.2499999999999995E-2</v>
      </c>
      <c r="Q99" s="10"/>
      <c r="S99" s="10"/>
      <c r="V99">
        <v>93</v>
      </c>
      <c r="W99" t="s">
        <v>146</v>
      </c>
      <c r="X99" t="s">
        <v>105</v>
      </c>
      <c r="Y99">
        <f t="shared" si="3"/>
        <v>406</v>
      </c>
      <c r="Z99" s="84">
        <v>0</v>
      </c>
    </row>
    <row r="100" spans="1:26">
      <c r="A100" s="3">
        <v>95</v>
      </c>
      <c r="B100" s="186" t="s">
        <v>107</v>
      </c>
      <c r="C100" s="186">
        <v>12</v>
      </c>
      <c r="D100" s="1" t="s">
        <v>191</v>
      </c>
      <c r="F100">
        <v>12010</v>
      </c>
      <c r="G100" s="272">
        <v>0</v>
      </c>
      <c r="H100" s="6">
        <v>3.5999999999999997E-2</v>
      </c>
      <c r="I100" s="6"/>
      <c r="J100" s="270">
        <v>4.7E-2</v>
      </c>
      <c r="K100" s="271">
        <v>0.05</v>
      </c>
      <c r="L100" s="6">
        <v>2.2499999999999999E-2</v>
      </c>
      <c r="M100" s="6">
        <v>0.04</v>
      </c>
      <c r="N100" s="6">
        <v>6.25E-2</v>
      </c>
      <c r="O100" s="271">
        <v>7.2499999999999995E-2</v>
      </c>
      <c r="Q100" s="10"/>
      <c r="S100" s="10"/>
      <c r="V100">
        <v>94</v>
      </c>
      <c r="W100" t="s">
        <v>148</v>
      </c>
      <c r="X100" t="s">
        <v>105</v>
      </c>
      <c r="Y100">
        <f t="shared" si="3"/>
        <v>407</v>
      </c>
      <c r="Z100" s="84">
        <v>0</v>
      </c>
    </row>
    <row r="101" spans="1:26">
      <c r="A101">
        <v>96</v>
      </c>
      <c r="B101" s="186" t="s">
        <v>107</v>
      </c>
      <c r="C101" s="186">
        <v>12</v>
      </c>
      <c r="D101" s="1">
        <v>39</v>
      </c>
      <c r="F101">
        <v>12011</v>
      </c>
      <c r="G101" s="272">
        <v>0</v>
      </c>
      <c r="H101" s="6">
        <v>3.5999999999999997E-2</v>
      </c>
      <c r="I101" s="6"/>
      <c r="J101" s="270">
        <v>4.7E-2</v>
      </c>
      <c r="K101" s="271">
        <v>0.05</v>
      </c>
      <c r="L101" s="6">
        <v>2.2499999999999999E-2</v>
      </c>
      <c r="M101" s="6">
        <v>0.04</v>
      </c>
      <c r="N101" s="6">
        <v>6.25E-2</v>
      </c>
      <c r="O101" s="271">
        <v>7.2499999999999995E-2</v>
      </c>
      <c r="Q101" s="10"/>
      <c r="S101" s="10"/>
      <c r="V101">
        <v>95</v>
      </c>
      <c r="W101" t="s">
        <v>149</v>
      </c>
      <c r="X101" t="s">
        <v>105</v>
      </c>
      <c r="Y101">
        <f t="shared" si="3"/>
        <v>408</v>
      </c>
      <c r="Z101" s="84">
        <v>0</v>
      </c>
    </row>
    <row r="102" spans="1:26">
      <c r="A102" s="3">
        <v>97</v>
      </c>
      <c r="B102" s="186" t="s">
        <v>107</v>
      </c>
      <c r="C102" s="186">
        <v>12</v>
      </c>
      <c r="D102" s="1" t="s">
        <v>192</v>
      </c>
      <c r="F102">
        <v>12012</v>
      </c>
      <c r="G102" s="272">
        <v>0</v>
      </c>
      <c r="H102" s="6">
        <v>3.5999999999999997E-2</v>
      </c>
      <c r="I102" s="6"/>
      <c r="J102" s="270">
        <v>4.7E-2</v>
      </c>
      <c r="K102" s="271">
        <v>0.05</v>
      </c>
      <c r="L102" s="6">
        <v>2.2499999999999999E-2</v>
      </c>
      <c r="M102" s="6">
        <v>0.04</v>
      </c>
      <c r="N102" s="6">
        <v>6.25E-2</v>
      </c>
      <c r="O102" s="271">
        <v>7.2499999999999995E-2</v>
      </c>
      <c r="Q102" s="10"/>
      <c r="S102" s="10"/>
      <c r="V102">
        <v>96</v>
      </c>
      <c r="W102" t="s">
        <v>151</v>
      </c>
      <c r="X102" t="s">
        <v>105</v>
      </c>
      <c r="Y102">
        <f t="shared" si="3"/>
        <v>409</v>
      </c>
      <c r="Z102" s="84">
        <v>0</v>
      </c>
    </row>
    <row r="103" spans="1:26">
      <c r="A103">
        <v>98</v>
      </c>
      <c r="B103" s="186" t="s">
        <v>107</v>
      </c>
      <c r="C103" s="186">
        <v>12</v>
      </c>
      <c r="D103" s="1">
        <v>40</v>
      </c>
      <c r="F103">
        <v>12013</v>
      </c>
      <c r="G103" s="272">
        <v>0</v>
      </c>
      <c r="H103" s="6">
        <v>3.5999999999999997E-2</v>
      </c>
      <c r="I103" s="6"/>
      <c r="J103" s="270">
        <v>4.7E-2</v>
      </c>
      <c r="K103" s="271">
        <v>0.05</v>
      </c>
      <c r="L103" s="6">
        <v>2.2499999999999999E-2</v>
      </c>
      <c r="M103" s="6">
        <v>0.04</v>
      </c>
      <c r="N103" s="6">
        <v>6.25E-2</v>
      </c>
      <c r="O103" s="271">
        <v>7.2499999999999995E-2</v>
      </c>
      <c r="Q103" s="10"/>
      <c r="S103" s="10"/>
      <c r="V103">
        <v>97</v>
      </c>
      <c r="W103" t="s">
        <v>152</v>
      </c>
      <c r="X103" t="s">
        <v>105</v>
      </c>
      <c r="Y103">
        <f t="shared" si="3"/>
        <v>410</v>
      </c>
      <c r="Z103" s="84">
        <v>0</v>
      </c>
    </row>
    <row r="104" spans="1:26">
      <c r="A104" s="3">
        <v>99</v>
      </c>
      <c r="B104" s="186" t="s">
        <v>107</v>
      </c>
      <c r="C104" s="186">
        <v>12</v>
      </c>
      <c r="D104" s="1" t="s">
        <v>193</v>
      </c>
      <c r="F104">
        <v>12014</v>
      </c>
      <c r="G104" s="272">
        <v>0</v>
      </c>
      <c r="H104" s="6">
        <v>3.5999999999999997E-2</v>
      </c>
      <c r="I104" s="6"/>
      <c r="J104" s="270">
        <v>4.7E-2</v>
      </c>
      <c r="K104" s="271">
        <v>0.05</v>
      </c>
      <c r="L104" s="6">
        <v>2.2499999999999999E-2</v>
      </c>
      <c r="M104" s="6">
        <v>0.04</v>
      </c>
      <c r="N104" s="6">
        <v>6.25E-2</v>
      </c>
      <c r="O104" s="271">
        <v>7.2499999999999995E-2</v>
      </c>
      <c r="Q104" s="10"/>
      <c r="S104" s="10"/>
      <c r="V104">
        <v>98</v>
      </c>
      <c r="W104" t="s">
        <v>154</v>
      </c>
      <c r="X104" t="s">
        <v>105</v>
      </c>
      <c r="Y104">
        <f t="shared" si="3"/>
        <v>411</v>
      </c>
      <c r="Z104" s="84">
        <v>0</v>
      </c>
    </row>
    <row r="105" spans="1:26">
      <c r="A105">
        <v>100</v>
      </c>
      <c r="B105" s="186" t="s">
        <v>107</v>
      </c>
      <c r="C105" s="186">
        <v>12</v>
      </c>
      <c r="D105" s="1">
        <v>41</v>
      </c>
      <c r="F105">
        <v>12015</v>
      </c>
      <c r="G105" s="272">
        <v>0</v>
      </c>
      <c r="H105" s="6">
        <v>3.5999999999999997E-2</v>
      </c>
      <c r="I105" s="6"/>
      <c r="J105" s="270">
        <v>4.7E-2</v>
      </c>
      <c r="K105" s="271">
        <v>0.05</v>
      </c>
      <c r="L105" s="6">
        <v>2.2499999999999999E-2</v>
      </c>
      <c r="M105" s="6">
        <v>0.04</v>
      </c>
      <c r="N105" s="6">
        <v>6.25E-2</v>
      </c>
      <c r="O105" s="271">
        <v>7.2499999999999995E-2</v>
      </c>
      <c r="Q105" s="10"/>
      <c r="S105" s="10"/>
      <c r="V105">
        <v>99</v>
      </c>
      <c r="W105" t="s">
        <v>155</v>
      </c>
      <c r="X105" t="s">
        <v>105</v>
      </c>
      <c r="Y105">
        <f t="shared" si="3"/>
        <v>412</v>
      </c>
      <c r="Z105" s="84">
        <v>0</v>
      </c>
    </row>
    <row r="106" spans="1:26">
      <c r="A106" s="3">
        <v>101</v>
      </c>
      <c r="B106" s="186" t="s">
        <v>107</v>
      </c>
      <c r="C106" s="186">
        <v>12</v>
      </c>
      <c r="D106" s="1" t="s">
        <v>194</v>
      </c>
      <c r="F106">
        <v>12016</v>
      </c>
      <c r="G106" s="272">
        <v>0</v>
      </c>
      <c r="H106" s="6">
        <v>3.5999999999999997E-2</v>
      </c>
      <c r="I106" s="6"/>
      <c r="J106" s="270">
        <v>4.7E-2</v>
      </c>
      <c r="K106" s="271">
        <v>0.05</v>
      </c>
      <c r="L106" s="6">
        <v>2.2499999999999999E-2</v>
      </c>
      <c r="M106" s="6">
        <v>0.04</v>
      </c>
      <c r="N106" s="6">
        <v>6.25E-2</v>
      </c>
      <c r="O106" s="271">
        <v>7.2499999999999995E-2</v>
      </c>
      <c r="Q106" s="10"/>
      <c r="S106" s="10"/>
      <c r="V106">
        <v>100</v>
      </c>
      <c r="W106" t="s">
        <v>157</v>
      </c>
      <c r="X106" t="s">
        <v>105</v>
      </c>
      <c r="Y106">
        <f t="shared" si="3"/>
        <v>413</v>
      </c>
      <c r="Z106" s="84">
        <v>0</v>
      </c>
    </row>
    <row r="107" spans="1:26">
      <c r="A107">
        <v>102</v>
      </c>
      <c r="B107" s="186" t="s">
        <v>107</v>
      </c>
      <c r="C107" s="186">
        <v>12</v>
      </c>
      <c r="D107" s="1">
        <v>42</v>
      </c>
      <c r="F107">
        <v>12017</v>
      </c>
      <c r="G107" s="272">
        <v>0</v>
      </c>
      <c r="H107" s="6">
        <v>3.5999999999999997E-2</v>
      </c>
      <c r="I107" s="6"/>
      <c r="J107" s="270">
        <v>4.7E-2</v>
      </c>
      <c r="K107" s="271">
        <v>0.05</v>
      </c>
      <c r="L107" s="6">
        <v>2.2499999999999999E-2</v>
      </c>
      <c r="M107" s="6">
        <v>0.04</v>
      </c>
      <c r="N107" s="6">
        <v>6.25E-2</v>
      </c>
      <c r="O107" s="271">
        <v>7.2499999999999995E-2</v>
      </c>
      <c r="Q107" s="10"/>
      <c r="S107" s="10"/>
      <c r="V107">
        <v>101</v>
      </c>
      <c r="W107" t="s">
        <v>158</v>
      </c>
      <c r="X107" t="s">
        <v>105</v>
      </c>
      <c r="Y107">
        <f t="shared" si="3"/>
        <v>414</v>
      </c>
      <c r="Z107" s="84">
        <v>0</v>
      </c>
    </row>
    <row r="108" spans="1:26">
      <c r="A108" s="3">
        <v>103</v>
      </c>
      <c r="B108" s="186" t="s">
        <v>107</v>
      </c>
      <c r="C108" s="186">
        <v>12</v>
      </c>
      <c r="D108" s="1" t="s">
        <v>195</v>
      </c>
      <c r="F108">
        <v>12018</v>
      </c>
      <c r="G108" s="272">
        <v>0</v>
      </c>
      <c r="H108" s="6">
        <v>3.5999999999999997E-2</v>
      </c>
      <c r="I108" s="6"/>
      <c r="J108" s="270">
        <v>4.7E-2</v>
      </c>
      <c r="K108" s="271">
        <v>0.05</v>
      </c>
      <c r="L108" s="6">
        <v>2.2499999999999999E-2</v>
      </c>
      <c r="M108" s="6">
        <v>0.04</v>
      </c>
      <c r="N108" s="6">
        <v>6.25E-2</v>
      </c>
      <c r="O108" s="271">
        <v>7.2499999999999995E-2</v>
      </c>
      <c r="Q108" s="10"/>
      <c r="S108" s="10"/>
      <c r="V108">
        <v>102</v>
      </c>
      <c r="W108" t="s">
        <v>160</v>
      </c>
      <c r="X108" t="s">
        <v>105</v>
      </c>
      <c r="Y108">
        <f t="shared" si="3"/>
        <v>415</v>
      </c>
      <c r="Z108" s="84">
        <v>0</v>
      </c>
    </row>
    <row r="109" spans="1:26">
      <c r="A109">
        <v>104</v>
      </c>
      <c r="B109" s="186" t="s">
        <v>107</v>
      </c>
      <c r="C109" s="186">
        <v>12</v>
      </c>
      <c r="D109" s="1">
        <v>43</v>
      </c>
      <c r="F109">
        <v>12019</v>
      </c>
      <c r="G109" s="272">
        <v>0</v>
      </c>
      <c r="H109" s="6">
        <v>3.5999999999999997E-2</v>
      </c>
      <c r="I109" s="6"/>
      <c r="J109" s="270">
        <v>4.7E-2</v>
      </c>
      <c r="K109" s="271">
        <v>0.05</v>
      </c>
      <c r="L109" s="6">
        <v>2.2499999999999999E-2</v>
      </c>
      <c r="M109" s="6">
        <v>0.04</v>
      </c>
      <c r="N109" s="6">
        <v>6.25E-2</v>
      </c>
      <c r="O109" s="271">
        <v>7.2499999999999995E-2</v>
      </c>
      <c r="Q109" s="10"/>
      <c r="S109" s="10"/>
      <c r="V109">
        <v>103</v>
      </c>
      <c r="W109" t="s">
        <v>161</v>
      </c>
      <c r="X109" t="s">
        <v>105</v>
      </c>
      <c r="Y109">
        <f t="shared" si="3"/>
        <v>416</v>
      </c>
      <c r="Z109" s="84">
        <v>0</v>
      </c>
    </row>
    <row r="110" spans="1:26">
      <c r="A110" s="3">
        <v>105</v>
      </c>
      <c r="B110" s="186" t="s">
        <v>107</v>
      </c>
      <c r="C110" s="186">
        <v>12</v>
      </c>
      <c r="D110" s="1" t="s">
        <v>196</v>
      </c>
      <c r="F110">
        <v>12020</v>
      </c>
      <c r="G110" s="272">
        <v>0</v>
      </c>
      <c r="H110" s="6">
        <v>3.5999999999999997E-2</v>
      </c>
      <c r="I110" s="6"/>
      <c r="J110" s="270">
        <v>4.7E-2</v>
      </c>
      <c r="K110" s="271">
        <v>0.05</v>
      </c>
      <c r="L110" s="6">
        <v>2.2499999999999999E-2</v>
      </c>
      <c r="M110" s="6">
        <v>0.04</v>
      </c>
      <c r="N110" s="6">
        <v>6.25E-2</v>
      </c>
      <c r="O110" s="271">
        <v>7.2499999999999995E-2</v>
      </c>
      <c r="Q110" s="10"/>
      <c r="S110" s="10"/>
      <c r="V110">
        <v>104</v>
      </c>
      <c r="W110" t="s">
        <v>163</v>
      </c>
      <c r="X110" t="s">
        <v>105</v>
      </c>
      <c r="Y110">
        <f t="shared" si="3"/>
        <v>417</v>
      </c>
      <c r="Z110" s="84">
        <v>0</v>
      </c>
    </row>
    <row r="111" spans="1:26">
      <c r="A111">
        <v>106</v>
      </c>
      <c r="B111" s="186" t="s">
        <v>107</v>
      </c>
      <c r="C111" s="186">
        <v>12</v>
      </c>
      <c r="D111" s="1">
        <v>44</v>
      </c>
      <c r="F111">
        <v>12021</v>
      </c>
      <c r="G111" s="272">
        <v>0</v>
      </c>
      <c r="H111" s="6">
        <v>3.5999999999999997E-2</v>
      </c>
      <c r="I111" s="6"/>
      <c r="J111" s="270">
        <v>4.7E-2</v>
      </c>
      <c r="K111" s="271">
        <v>0.05</v>
      </c>
      <c r="L111" s="6">
        <v>2.2499999999999999E-2</v>
      </c>
      <c r="M111" s="6">
        <v>0.04</v>
      </c>
      <c r="N111" s="6">
        <v>6.25E-2</v>
      </c>
      <c r="O111" s="271">
        <v>7.2499999999999995E-2</v>
      </c>
      <c r="Q111" s="10"/>
      <c r="S111" s="10"/>
      <c r="V111">
        <v>105</v>
      </c>
      <c r="W111" t="s">
        <v>164</v>
      </c>
      <c r="X111" t="s">
        <v>105</v>
      </c>
      <c r="Y111">
        <f t="shared" si="3"/>
        <v>418</v>
      </c>
      <c r="Z111" s="84">
        <v>0</v>
      </c>
    </row>
    <row r="112" spans="1:26">
      <c r="A112" s="3">
        <v>107</v>
      </c>
      <c r="B112" s="186" t="s">
        <v>107</v>
      </c>
      <c r="C112" s="186">
        <v>12</v>
      </c>
      <c r="D112" s="1" t="s">
        <v>197</v>
      </c>
      <c r="F112">
        <v>12022</v>
      </c>
      <c r="G112" s="272">
        <v>0</v>
      </c>
      <c r="H112" s="6">
        <v>3.5999999999999997E-2</v>
      </c>
      <c r="I112" s="6"/>
      <c r="J112" s="270">
        <v>4.7E-2</v>
      </c>
      <c r="K112" s="271">
        <v>0.05</v>
      </c>
      <c r="L112" s="6">
        <v>2.2499999999999999E-2</v>
      </c>
      <c r="M112" s="6">
        <v>0.04</v>
      </c>
      <c r="N112" s="6">
        <v>6.25E-2</v>
      </c>
      <c r="O112" s="271">
        <v>7.2499999999999995E-2</v>
      </c>
      <c r="Q112" s="10"/>
      <c r="S112" s="10"/>
      <c r="V112">
        <v>106</v>
      </c>
      <c r="W112" t="s">
        <v>166</v>
      </c>
      <c r="X112" t="s">
        <v>105</v>
      </c>
      <c r="Y112">
        <f t="shared" si="3"/>
        <v>419</v>
      </c>
      <c r="Z112" s="84">
        <v>0</v>
      </c>
    </row>
    <row r="113" spans="1:26">
      <c r="A113">
        <v>108</v>
      </c>
      <c r="B113" s="186" t="s">
        <v>107</v>
      </c>
      <c r="C113" s="186">
        <v>12</v>
      </c>
      <c r="D113" s="1">
        <v>45</v>
      </c>
      <c r="F113">
        <v>12023</v>
      </c>
      <c r="G113" s="272">
        <v>0</v>
      </c>
      <c r="H113" s="6">
        <v>3.5999999999999997E-2</v>
      </c>
      <c r="I113" s="6"/>
      <c r="J113" s="270">
        <v>4.7E-2</v>
      </c>
      <c r="K113" s="271">
        <v>0.05</v>
      </c>
      <c r="L113" s="6">
        <v>2.2499999999999999E-2</v>
      </c>
      <c r="M113" s="6">
        <v>0.04</v>
      </c>
      <c r="N113" s="6">
        <v>6.25E-2</v>
      </c>
      <c r="O113" s="271">
        <v>7.2499999999999995E-2</v>
      </c>
      <c r="Q113" s="10"/>
      <c r="S113" s="10"/>
      <c r="V113">
        <v>107</v>
      </c>
      <c r="W113" t="s">
        <v>167</v>
      </c>
      <c r="X113" t="s">
        <v>105</v>
      </c>
      <c r="Y113">
        <f t="shared" si="3"/>
        <v>420</v>
      </c>
      <c r="Z113" s="84">
        <v>0</v>
      </c>
    </row>
    <row r="114" spans="1:26">
      <c r="A114" s="3">
        <v>109</v>
      </c>
      <c r="B114" s="186" t="s">
        <v>107</v>
      </c>
      <c r="C114" s="186">
        <v>12</v>
      </c>
      <c r="D114" s="1" t="s">
        <v>198</v>
      </c>
      <c r="F114">
        <v>12024</v>
      </c>
      <c r="G114" s="272">
        <v>0</v>
      </c>
      <c r="H114" s="6">
        <v>3.5999999999999997E-2</v>
      </c>
      <c r="I114" s="6"/>
      <c r="J114" s="270">
        <v>4.7E-2</v>
      </c>
      <c r="K114" s="271">
        <v>0.05</v>
      </c>
      <c r="L114" s="6">
        <v>2.2499999999999999E-2</v>
      </c>
      <c r="M114" s="6">
        <v>0.04</v>
      </c>
      <c r="N114" s="6">
        <v>6.25E-2</v>
      </c>
      <c r="O114" s="271">
        <v>7.2499999999999995E-2</v>
      </c>
      <c r="Q114" s="10"/>
      <c r="S114" s="10"/>
      <c r="V114">
        <v>108</v>
      </c>
      <c r="W114" t="s">
        <v>169</v>
      </c>
      <c r="X114" t="s">
        <v>105</v>
      </c>
      <c r="Y114">
        <f t="shared" si="3"/>
        <v>421</v>
      </c>
      <c r="Z114" s="84">
        <v>0</v>
      </c>
    </row>
    <row r="115" spans="1:26">
      <c r="A115">
        <v>110</v>
      </c>
      <c r="B115" s="186" t="s">
        <v>107</v>
      </c>
      <c r="C115" s="186">
        <v>12</v>
      </c>
      <c r="D115" s="1">
        <v>46</v>
      </c>
      <c r="F115">
        <v>12025</v>
      </c>
      <c r="G115" s="272">
        <v>0</v>
      </c>
      <c r="H115" s="6">
        <v>3.5999999999999997E-2</v>
      </c>
      <c r="I115" s="6"/>
      <c r="J115" s="270">
        <v>4.7E-2</v>
      </c>
      <c r="K115" s="271">
        <v>0.05</v>
      </c>
      <c r="L115" s="6">
        <v>2.2499999999999999E-2</v>
      </c>
      <c r="M115" s="6">
        <v>0.04</v>
      </c>
      <c r="N115" s="6">
        <v>6.25E-2</v>
      </c>
      <c r="O115" s="271">
        <v>7.2499999999999995E-2</v>
      </c>
      <c r="Q115" s="10"/>
      <c r="S115" s="10"/>
      <c r="V115">
        <v>109</v>
      </c>
      <c r="W115" t="s">
        <v>170</v>
      </c>
      <c r="X115" t="s">
        <v>105</v>
      </c>
      <c r="Y115">
        <f t="shared" si="3"/>
        <v>422</v>
      </c>
      <c r="Z115" s="84">
        <v>0</v>
      </c>
    </row>
    <row r="116" spans="1:26">
      <c r="A116" s="3">
        <v>111</v>
      </c>
      <c r="B116" s="186" t="s">
        <v>107</v>
      </c>
      <c r="C116" s="186">
        <v>12</v>
      </c>
      <c r="D116" s="1" t="s">
        <v>199</v>
      </c>
      <c r="F116">
        <v>12026</v>
      </c>
      <c r="G116" s="272">
        <v>0</v>
      </c>
      <c r="H116" s="6">
        <v>3.5999999999999997E-2</v>
      </c>
      <c r="I116" s="6"/>
      <c r="J116" s="270">
        <v>4.7E-2</v>
      </c>
      <c r="K116" s="271">
        <v>0.05</v>
      </c>
      <c r="L116" s="6">
        <v>2.2499999999999999E-2</v>
      </c>
      <c r="M116" s="6">
        <v>0.04</v>
      </c>
      <c r="N116" s="6">
        <v>6.25E-2</v>
      </c>
      <c r="O116" s="271">
        <v>7.2499999999999995E-2</v>
      </c>
      <c r="Q116" s="10"/>
      <c r="S116" s="10"/>
      <c r="V116">
        <v>110</v>
      </c>
      <c r="W116" t="s">
        <v>172</v>
      </c>
      <c r="X116" t="s">
        <v>105</v>
      </c>
      <c r="Y116">
        <f t="shared" si="3"/>
        <v>423</v>
      </c>
      <c r="Z116" s="84">
        <v>0</v>
      </c>
    </row>
    <row r="117" spans="1:26">
      <c r="A117">
        <v>112</v>
      </c>
      <c r="B117" s="186" t="s">
        <v>200</v>
      </c>
      <c r="C117" s="186">
        <v>13</v>
      </c>
      <c r="D117" s="1">
        <v>34</v>
      </c>
      <c r="F117">
        <v>13001</v>
      </c>
      <c r="G117" s="272">
        <v>3.5999999999999997E-2</v>
      </c>
      <c r="H117" s="6">
        <v>3.5999999999999997E-2</v>
      </c>
      <c r="I117" s="6"/>
      <c r="J117" s="270">
        <v>4.7E-2</v>
      </c>
      <c r="K117" s="271">
        <v>0.05</v>
      </c>
      <c r="L117" s="6">
        <v>2.2499999999999999E-2</v>
      </c>
      <c r="M117" s="6">
        <v>0.04</v>
      </c>
      <c r="N117" s="6">
        <v>6.25E-2</v>
      </c>
      <c r="O117" s="271">
        <v>7.2499999999999995E-2</v>
      </c>
      <c r="Q117" s="10"/>
      <c r="S117" s="10"/>
      <c r="V117">
        <v>111</v>
      </c>
      <c r="W117" t="s">
        <v>173</v>
      </c>
      <c r="X117" t="s">
        <v>105</v>
      </c>
      <c r="Y117">
        <f t="shared" si="3"/>
        <v>424</v>
      </c>
      <c r="Z117" s="84">
        <v>0</v>
      </c>
    </row>
    <row r="118" spans="1:26">
      <c r="A118" s="3">
        <v>113</v>
      </c>
      <c r="B118" s="186" t="s">
        <v>200</v>
      </c>
      <c r="C118" s="186">
        <v>13</v>
      </c>
      <c r="D118" s="1" t="s">
        <v>187</v>
      </c>
      <c r="F118">
        <v>13002</v>
      </c>
      <c r="G118" s="272">
        <v>3.5999999999999997E-2</v>
      </c>
      <c r="H118" s="6">
        <v>3.5999999999999997E-2</v>
      </c>
      <c r="I118" s="6"/>
      <c r="J118" s="270">
        <v>4.7E-2</v>
      </c>
      <c r="K118" s="271">
        <v>0.05</v>
      </c>
      <c r="L118" s="6">
        <v>2.2499999999999999E-2</v>
      </c>
      <c r="M118" s="6">
        <v>0.04</v>
      </c>
      <c r="N118" s="6">
        <v>6.25E-2</v>
      </c>
      <c r="O118" s="271">
        <v>7.2499999999999995E-2</v>
      </c>
      <c r="Q118" s="10"/>
      <c r="S118" s="10"/>
      <c r="V118">
        <v>112</v>
      </c>
      <c r="W118" t="s">
        <v>175</v>
      </c>
      <c r="X118" t="s">
        <v>105</v>
      </c>
      <c r="Y118">
        <f t="shared" si="3"/>
        <v>425</v>
      </c>
      <c r="Z118" s="84">
        <v>0</v>
      </c>
    </row>
    <row r="119" spans="1:26">
      <c r="A119">
        <v>114</v>
      </c>
      <c r="B119" s="186" t="s">
        <v>200</v>
      </c>
      <c r="C119" s="186">
        <v>13</v>
      </c>
      <c r="D119" s="1">
        <v>35</v>
      </c>
      <c r="F119">
        <v>13003</v>
      </c>
      <c r="G119" s="272">
        <v>3.5999999999999997E-2</v>
      </c>
      <c r="H119" s="6">
        <v>3.5999999999999997E-2</v>
      </c>
      <c r="I119" s="6"/>
      <c r="J119" s="270">
        <v>4.7E-2</v>
      </c>
      <c r="K119" s="271">
        <v>0.05</v>
      </c>
      <c r="L119" s="6">
        <v>2.2499999999999999E-2</v>
      </c>
      <c r="M119" s="6">
        <v>0.04</v>
      </c>
      <c r="N119" s="6">
        <v>6.25E-2</v>
      </c>
      <c r="O119" s="271">
        <v>7.2499999999999995E-2</v>
      </c>
      <c r="Q119" s="10"/>
      <c r="S119" s="10"/>
      <c r="V119">
        <v>113</v>
      </c>
      <c r="W119" t="s">
        <v>176</v>
      </c>
      <c r="X119" t="s">
        <v>105</v>
      </c>
      <c r="Y119">
        <f t="shared" si="3"/>
        <v>426</v>
      </c>
      <c r="Z119" s="84">
        <v>0</v>
      </c>
    </row>
    <row r="120" spans="1:26">
      <c r="A120" s="3">
        <v>115</v>
      </c>
      <c r="B120" s="186" t="s">
        <v>200</v>
      </c>
      <c r="C120" s="186">
        <v>13</v>
      </c>
      <c r="D120" s="1" t="s">
        <v>188</v>
      </c>
      <c r="F120">
        <v>13004</v>
      </c>
      <c r="G120" s="272">
        <v>3.5999999999999997E-2</v>
      </c>
      <c r="H120" s="6">
        <v>3.5999999999999997E-2</v>
      </c>
      <c r="I120" s="6"/>
      <c r="J120" s="270">
        <v>4.7E-2</v>
      </c>
      <c r="K120" s="271">
        <v>0.05</v>
      </c>
      <c r="L120" s="6">
        <v>2.2499999999999999E-2</v>
      </c>
      <c r="M120" s="6">
        <v>0.04</v>
      </c>
      <c r="N120" s="6">
        <v>6.25E-2</v>
      </c>
      <c r="O120" s="271">
        <v>7.2499999999999995E-2</v>
      </c>
      <c r="Q120" s="10"/>
      <c r="S120" s="10"/>
      <c r="V120">
        <v>114</v>
      </c>
      <c r="W120" t="s">
        <v>178</v>
      </c>
      <c r="X120" t="s">
        <v>105</v>
      </c>
      <c r="Y120">
        <f t="shared" si="3"/>
        <v>427</v>
      </c>
      <c r="Z120" s="84">
        <v>0</v>
      </c>
    </row>
    <row r="121" spans="1:26">
      <c r="A121">
        <v>116</v>
      </c>
      <c r="B121" s="186" t="s">
        <v>200</v>
      </c>
      <c r="C121" s="186">
        <v>13</v>
      </c>
      <c r="D121" s="1">
        <v>36</v>
      </c>
      <c r="F121">
        <v>13005</v>
      </c>
      <c r="G121" s="272">
        <v>3.5999999999999997E-2</v>
      </c>
      <c r="H121" s="6">
        <v>3.5999999999999997E-2</v>
      </c>
      <c r="I121" s="6"/>
      <c r="J121" s="270">
        <v>4.7E-2</v>
      </c>
      <c r="K121" s="271">
        <v>0.05</v>
      </c>
      <c r="L121" s="6">
        <v>2.2499999999999999E-2</v>
      </c>
      <c r="M121" s="6">
        <v>0.04</v>
      </c>
      <c r="N121" s="6">
        <v>6.25E-2</v>
      </c>
      <c r="O121" s="271">
        <v>7.2499999999999995E-2</v>
      </c>
      <c r="Q121" s="10"/>
      <c r="S121" s="10"/>
      <c r="V121">
        <v>115</v>
      </c>
      <c r="W121" t="s">
        <v>179</v>
      </c>
      <c r="X121" t="s">
        <v>105</v>
      </c>
      <c r="Y121">
        <f t="shared" si="3"/>
        <v>428</v>
      </c>
      <c r="Z121" s="84">
        <v>0</v>
      </c>
    </row>
    <row r="122" spans="1:26">
      <c r="A122" s="3">
        <v>117</v>
      </c>
      <c r="B122" s="186" t="s">
        <v>200</v>
      </c>
      <c r="C122" s="186">
        <v>13</v>
      </c>
      <c r="D122" s="1" t="s">
        <v>189</v>
      </c>
      <c r="F122">
        <v>13006</v>
      </c>
      <c r="G122" s="272">
        <v>3.5999999999999997E-2</v>
      </c>
      <c r="H122" s="6">
        <v>3.5999999999999997E-2</v>
      </c>
      <c r="I122" s="6"/>
      <c r="J122" s="270">
        <v>4.7E-2</v>
      </c>
      <c r="K122" s="271">
        <v>0.05</v>
      </c>
      <c r="L122" s="6">
        <v>2.2499999999999999E-2</v>
      </c>
      <c r="M122" s="6">
        <v>0.04</v>
      </c>
      <c r="N122" s="6">
        <v>6.25E-2</v>
      </c>
      <c r="O122" s="271">
        <v>7.2499999999999995E-2</v>
      </c>
      <c r="Q122" s="10"/>
      <c r="S122" s="10"/>
      <c r="V122">
        <v>116</v>
      </c>
      <c r="W122" t="s">
        <v>138</v>
      </c>
      <c r="X122" t="s">
        <v>106</v>
      </c>
      <c r="Y122">
        <v>500</v>
      </c>
      <c r="Z122" s="84">
        <v>3.5999999999999997E-2</v>
      </c>
    </row>
    <row r="123" spans="1:26">
      <c r="A123">
        <v>118</v>
      </c>
      <c r="B123" s="186" t="s">
        <v>200</v>
      </c>
      <c r="C123" s="186">
        <v>13</v>
      </c>
      <c r="D123" s="1">
        <v>37</v>
      </c>
      <c r="F123">
        <v>13007</v>
      </c>
      <c r="G123" s="272">
        <v>3.5999999999999997E-2</v>
      </c>
      <c r="H123" s="6">
        <v>3.5999999999999997E-2</v>
      </c>
      <c r="I123" s="6"/>
      <c r="J123" s="270">
        <v>4.7E-2</v>
      </c>
      <c r="K123" s="271">
        <v>0.05</v>
      </c>
      <c r="L123" s="6">
        <v>2.2499999999999999E-2</v>
      </c>
      <c r="M123" s="6">
        <v>0.04</v>
      </c>
      <c r="N123" s="6">
        <v>6.25E-2</v>
      </c>
      <c r="O123" s="271">
        <v>7.2499999999999995E-2</v>
      </c>
      <c r="Q123" s="10"/>
      <c r="S123" s="10"/>
      <c r="V123">
        <v>117</v>
      </c>
      <c r="W123" t="s">
        <v>139</v>
      </c>
      <c r="X123" t="s">
        <v>106</v>
      </c>
      <c r="Y123">
        <f>+Y122+1</f>
        <v>501</v>
      </c>
      <c r="Z123" s="84">
        <v>3.5999999999999997E-2</v>
      </c>
    </row>
    <row r="124" spans="1:26">
      <c r="A124" s="3">
        <v>119</v>
      </c>
      <c r="B124" s="186" t="s">
        <v>200</v>
      </c>
      <c r="C124" s="186">
        <v>13</v>
      </c>
      <c r="D124" s="1" t="s">
        <v>190</v>
      </c>
      <c r="F124">
        <v>13008</v>
      </c>
      <c r="G124" s="272">
        <v>0</v>
      </c>
      <c r="H124" s="6">
        <v>3.5999999999999997E-2</v>
      </c>
      <c r="I124" s="6"/>
      <c r="J124" s="270">
        <v>4.7E-2</v>
      </c>
      <c r="K124" s="271">
        <v>0.05</v>
      </c>
      <c r="L124" s="6">
        <v>2.2499999999999999E-2</v>
      </c>
      <c r="M124" s="6">
        <v>0.04</v>
      </c>
      <c r="N124" s="6">
        <v>6.25E-2</v>
      </c>
      <c r="O124" s="271">
        <v>7.2499999999999995E-2</v>
      </c>
      <c r="Q124" s="10"/>
      <c r="S124" s="10"/>
      <c r="V124">
        <v>118</v>
      </c>
      <c r="W124" t="s">
        <v>140</v>
      </c>
      <c r="X124" t="s">
        <v>106</v>
      </c>
      <c r="Y124">
        <f t="shared" ref="Y124:Y150" si="4">+Y123+1</f>
        <v>502</v>
      </c>
      <c r="Z124" s="84">
        <v>3.5999999999999997E-2</v>
      </c>
    </row>
    <row r="125" spans="1:26">
      <c r="A125">
        <v>120</v>
      </c>
      <c r="B125" s="186" t="s">
        <v>200</v>
      </c>
      <c r="C125" s="186">
        <v>13</v>
      </c>
      <c r="D125" s="1">
        <v>38</v>
      </c>
      <c r="F125">
        <v>13009</v>
      </c>
      <c r="G125" s="272">
        <v>0</v>
      </c>
      <c r="H125" s="6">
        <v>3.5999999999999997E-2</v>
      </c>
      <c r="I125" s="6"/>
      <c r="J125" s="270">
        <v>4.7E-2</v>
      </c>
      <c r="K125" s="271">
        <v>0.05</v>
      </c>
      <c r="L125" s="6">
        <v>2.2499999999999999E-2</v>
      </c>
      <c r="M125" s="6">
        <v>0.04</v>
      </c>
      <c r="N125" s="6">
        <v>6.25E-2</v>
      </c>
      <c r="O125" s="271">
        <v>7.2499999999999995E-2</v>
      </c>
      <c r="Q125" s="10"/>
      <c r="S125" s="10"/>
      <c r="V125">
        <v>119</v>
      </c>
      <c r="W125" t="s">
        <v>142</v>
      </c>
      <c r="X125" t="s">
        <v>106</v>
      </c>
      <c r="Y125">
        <f t="shared" si="4"/>
        <v>503</v>
      </c>
      <c r="Z125" s="84">
        <v>3.5999999999999997E-2</v>
      </c>
    </row>
    <row r="126" spans="1:26">
      <c r="A126" s="3">
        <v>121</v>
      </c>
      <c r="B126" s="186" t="s">
        <v>200</v>
      </c>
      <c r="C126" s="186">
        <v>13</v>
      </c>
      <c r="D126" s="1" t="s">
        <v>191</v>
      </c>
      <c r="F126">
        <v>13010</v>
      </c>
      <c r="G126" s="272">
        <v>0</v>
      </c>
      <c r="H126" s="6">
        <v>3.5999999999999997E-2</v>
      </c>
      <c r="I126" s="6"/>
      <c r="J126" s="270">
        <v>4.7E-2</v>
      </c>
      <c r="K126" s="271">
        <v>0.05</v>
      </c>
      <c r="L126" s="6">
        <v>2.2499999999999999E-2</v>
      </c>
      <c r="M126" s="6">
        <v>0.04</v>
      </c>
      <c r="N126" s="6">
        <v>6.25E-2</v>
      </c>
      <c r="O126" s="271">
        <v>7.2499999999999995E-2</v>
      </c>
      <c r="Q126" s="10"/>
      <c r="S126" s="10"/>
      <c r="V126">
        <v>120</v>
      </c>
      <c r="W126" t="s">
        <v>143</v>
      </c>
      <c r="X126" t="s">
        <v>106</v>
      </c>
      <c r="Y126">
        <f t="shared" si="4"/>
        <v>504</v>
      </c>
      <c r="Z126" s="84">
        <v>3.5999999999999997E-2</v>
      </c>
    </row>
    <row r="127" spans="1:26">
      <c r="A127">
        <v>122</v>
      </c>
      <c r="B127" s="186" t="s">
        <v>200</v>
      </c>
      <c r="C127" s="186">
        <v>13</v>
      </c>
      <c r="D127" s="1">
        <v>39</v>
      </c>
      <c r="F127">
        <v>13011</v>
      </c>
      <c r="G127" s="272">
        <v>0</v>
      </c>
      <c r="H127" s="6">
        <v>3.5999999999999997E-2</v>
      </c>
      <c r="I127" s="6"/>
      <c r="J127" s="270">
        <v>4.7E-2</v>
      </c>
      <c r="K127" s="271">
        <v>0.05</v>
      </c>
      <c r="L127" s="6">
        <v>2.2499999999999999E-2</v>
      </c>
      <c r="M127" s="6">
        <v>0.04</v>
      </c>
      <c r="N127" s="6">
        <v>6.25E-2</v>
      </c>
      <c r="O127" s="271">
        <v>7.2499999999999995E-2</v>
      </c>
      <c r="Q127" s="10"/>
      <c r="S127" s="10"/>
      <c r="V127">
        <v>121</v>
      </c>
      <c r="W127" t="s">
        <v>145</v>
      </c>
      <c r="X127" t="s">
        <v>106</v>
      </c>
      <c r="Y127">
        <f t="shared" si="4"/>
        <v>505</v>
      </c>
      <c r="Z127" s="84">
        <v>0</v>
      </c>
    </row>
    <row r="128" spans="1:26">
      <c r="A128" s="3">
        <v>123</v>
      </c>
      <c r="B128" s="186" t="s">
        <v>200</v>
      </c>
      <c r="C128" s="186">
        <v>13</v>
      </c>
      <c r="D128" s="1" t="s">
        <v>192</v>
      </c>
      <c r="F128">
        <v>13012</v>
      </c>
      <c r="G128" s="272">
        <v>0</v>
      </c>
      <c r="H128" s="6">
        <v>3.5999999999999997E-2</v>
      </c>
      <c r="I128" s="6"/>
      <c r="J128" s="270">
        <v>4.7E-2</v>
      </c>
      <c r="K128" s="271">
        <v>0.05</v>
      </c>
      <c r="L128" s="6">
        <v>2.2499999999999999E-2</v>
      </c>
      <c r="M128" s="6">
        <v>0.04</v>
      </c>
      <c r="N128" s="6">
        <v>6.25E-2</v>
      </c>
      <c r="O128" s="271">
        <v>7.2499999999999995E-2</v>
      </c>
      <c r="Q128" s="10"/>
      <c r="S128" s="10"/>
      <c r="V128">
        <v>122</v>
      </c>
      <c r="W128" t="s">
        <v>146</v>
      </c>
      <c r="X128" t="s">
        <v>106</v>
      </c>
      <c r="Y128">
        <f t="shared" si="4"/>
        <v>506</v>
      </c>
      <c r="Z128" s="84">
        <v>0</v>
      </c>
    </row>
    <row r="129" spans="1:26">
      <c r="A129">
        <v>124</v>
      </c>
      <c r="B129" s="186" t="s">
        <v>200</v>
      </c>
      <c r="C129" s="186">
        <v>13</v>
      </c>
      <c r="D129" s="1">
        <v>40</v>
      </c>
      <c r="F129">
        <v>13013</v>
      </c>
      <c r="G129" s="272">
        <v>0</v>
      </c>
      <c r="H129" s="6">
        <v>3.5999999999999997E-2</v>
      </c>
      <c r="I129" s="6"/>
      <c r="J129" s="270">
        <v>4.7E-2</v>
      </c>
      <c r="K129" s="271">
        <v>0.05</v>
      </c>
      <c r="L129" s="6">
        <v>2.2499999999999999E-2</v>
      </c>
      <c r="M129" s="6">
        <v>0.04</v>
      </c>
      <c r="N129" s="6">
        <v>6.25E-2</v>
      </c>
      <c r="O129" s="271">
        <v>7.2499999999999995E-2</v>
      </c>
      <c r="Q129" s="10"/>
      <c r="S129" s="10"/>
      <c r="V129">
        <v>123</v>
      </c>
      <c r="W129" t="s">
        <v>148</v>
      </c>
      <c r="X129" t="s">
        <v>106</v>
      </c>
      <c r="Y129">
        <f t="shared" si="4"/>
        <v>507</v>
      </c>
      <c r="Z129" s="84">
        <v>0</v>
      </c>
    </row>
    <row r="130" spans="1:26">
      <c r="A130" s="3">
        <v>125</v>
      </c>
      <c r="B130" s="186" t="s">
        <v>200</v>
      </c>
      <c r="C130" s="186">
        <v>13</v>
      </c>
      <c r="D130" s="1" t="s">
        <v>193</v>
      </c>
      <c r="F130">
        <v>13014</v>
      </c>
      <c r="G130" s="272">
        <v>0</v>
      </c>
      <c r="H130" s="6">
        <v>3.5999999999999997E-2</v>
      </c>
      <c r="I130" s="6"/>
      <c r="J130" s="270">
        <v>4.7E-2</v>
      </c>
      <c r="K130" s="271">
        <v>0.05</v>
      </c>
      <c r="L130" s="6">
        <v>2.2499999999999999E-2</v>
      </c>
      <c r="M130" s="6">
        <v>0.04</v>
      </c>
      <c r="N130" s="6">
        <v>6.25E-2</v>
      </c>
      <c r="O130" s="271">
        <v>7.2499999999999995E-2</v>
      </c>
      <c r="Q130" s="10"/>
      <c r="S130" s="10"/>
      <c r="V130">
        <v>124</v>
      </c>
      <c r="W130" t="s">
        <v>149</v>
      </c>
      <c r="X130" t="s">
        <v>106</v>
      </c>
      <c r="Y130">
        <f t="shared" si="4"/>
        <v>508</v>
      </c>
      <c r="Z130" s="84">
        <v>0</v>
      </c>
    </row>
    <row r="131" spans="1:26">
      <c r="A131">
        <v>126</v>
      </c>
      <c r="B131" s="186" t="s">
        <v>200</v>
      </c>
      <c r="C131" s="186">
        <v>13</v>
      </c>
      <c r="D131" s="1">
        <v>41</v>
      </c>
      <c r="F131">
        <v>13015</v>
      </c>
      <c r="G131" s="272">
        <v>0</v>
      </c>
      <c r="H131" s="6">
        <v>3.5999999999999997E-2</v>
      </c>
      <c r="I131" s="6"/>
      <c r="J131" s="270">
        <v>4.7E-2</v>
      </c>
      <c r="K131" s="271">
        <v>0.05</v>
      </c>
      <c r="L131" s="6">
        <v>2.2499999999999999E-2</v>
      </c>
      <c r="M131" s="6">
        <v>0.04</v>
      </c>
      <c r="N131" s="6">
        <v>6.25E-2</v>
      </c>
      <c r="O131" s="271">
        <v>7.2499999999999995E-2</v>
      </c>
      <c r="Q131" s="10"/>
      <c r="S131" s="10"/>
      <c r="V131">
        <v>125</v>
      </c>
      <c r="W131" t="s">
        <v>151</v>
      </c>
      <c r="X131" t="s">
        <v>106</v>
      </c>
      <c r="Y131">
        <f t="shared" si="4"/>
        <v>509</v>
      </c>
      <c r="Z131" s="84">
        <v>0</v>
      </c>
    </row>
    <row r="132" spans="1:26">
      <c r="A132" s="3">
        <v>127</v>
      </c>
      <c r="B132" s="186" t="s">
        <v>200</v>
      </c>
      <c r="C132" s="186">
        <v>13</v>
      </c>
      <c r="D132" s="1" t="s">
        <v>194</v>
      </c>
      <c r="F132">
        <v>13016</v>
      </c>
      <c r="G132" s="272">
        <v>0</v>
      </c>
      <c r="H132" s="6">
        <v>3.5999999999999997E-2</v>
      </c>
      <c r="I132" s="6"/>
      <c r="J132" s="270">
        <v>4.7E-2</v>
      </c>
      <c r="K132" s="271">
        <v>0.05</v>
      </c>
      <c r="L132" s="6">
        <v>2.2499999999999999E-2</v>
      </c>
      <c r="M132" s="6">
        <v>0.04</v>
      </c>
      <c r="N132" s="6">
        <v>6.25E-2</v>
      </c>
      <c r="O132" s="271">
        <v>7.2499999999999995E-2</v>
      </c>
      <c r="Q132" s="10"/>
      <c r="S132" s="10"/>
      <c r="V132">
        <v>126</v>
      </c>
      <c r="W132" t="s">
        <v>152</v>
      </c>
      <c r="X132" t="s">
        <v>106</v>
      </c>
      <c r="Y132">
        <f t="shared" si="4"/>
        <v>510</v>
      </c>
      <c r="Z132" s="84">
        <v>0</v>
      </c>
    </row>
    <row r="133" spans="1:26">
      <c r="A133">
        <v>128</v>
      </c>
      <c r="B133" s="186" t="s">
        <v>200</v>
      </c>
      <c r="C133" s="186">
        <v>13</v>
      </c>
      <c r="D133" s="1">
        <v>42</v>
      </c>
      <c r="F133">
        <v>13017</v>
      </c>
      <c r="G133" s="272">
        <v>0</v>
      </c>
      <c r="H133" s="6">
        <v>3.5999999999999997E-2</v>
      </c>
      <c r="I133" s="6"/>
      <c r="J133" s="270">
        <v>4.7E-2</v>
      </c>
      <c r="K133" s="271">
        <v>0.05</v>
      </c>
      <c r="L133" s="6">
        <v>2.2499999999999999E-2</v>
      </c>
      <c r="M133" s="6">
        <v>0.04</v>
      </c>
      <c r="N133" s="6">
        <v>6.25E-2</v>
      </c>
      <c r="O133" s="271">
        <v>7.2499999999999995E-2</v>
      </c>
      <c r="Q133" s="10"/>
      <c r="S133" s="10"/>
      <c r="V133">
        <v>127</v>
      </c>
      <c r="W133" t="s">
        <v>154</v>
      </c>
      <c r="X133" t="s">
        <v>106</v>
      </c>
      <c r="Y133">
        <f t="shared" si="4"/>
        <v>511</v>
      </c>
      <c r="Z133" s="84">
        <v>0</v>
      </c>
    </row>
    <row r="134" spans="1:26">
      <c r="A134" s="3">
        <v>129</v>
      </c>
      <c r="B134" s="186" t="s">
        <v>200</v>
      </c>
      <c r="C134" s="186">
        <v>13</v>
      </c>
      <c r="D134" s="1" t="s">
        <v>195</v>
      </c>
      <c r="F134">
        <v>13018</v>
      </c>
      <c r="G134" s="272">
        <v>0</v>
      </c>
      <c r="H134" s="6">
        <v>3.5999999999999997E-2</v>
      </c>
      <c r="I134" s="6"/>
      <c r="J134" s="270">
        <v>4.7E-2</v>
      </c>
      <c r="K134" s="271">
        <v>0.05</v>
      </c>
      <c r="L134" s="6">
        <v>2.2499999999999999E-2</v>
      </c>
      <c r="M134" s="6">
        <v>0.04</v>
      </c>
      <c r="N134" s="6">
        <v>6.25E-2</v>
      </c>
      <c r="O134" s="271">
        <v>7.2499999999999995E-2</v>
      </c>
      <c r="Q134" s="10"/>
      <c r="S134" s="10"/>
      <c r="V134">
        <v>128</v>
      </c>
      <c r="W134" t="s">
        <v>155</v>
      </c>
      <c r="X134" t="s">
        <v>106</v>
      </c>
      <c r="Y134">
        <f t="shared" si="4"/>
        <v>512</v>
      </c>
      <c r="Z134" s="84">
        <v>0</v>
      </c>
    </row>
    <row r="135" spans="1:26">
      <c r="A135">
        <v>130</v>
      </c>
      <c r="B135" s="186" t="s">
        <v>200</v>
      </c>
      <c r="C135" s="186">
        <v>13</v>
      </c>
      <c r="D135" s="1">
        <v>43</v>
      </c>
      <c r="F135">
        <v>13019</v>
      </c>
      <c r="G135" s="272">
        <v>0</v>
      </c>
      <c r="H135" s="6">
        <v>3.5999999999999997E-2</v>
      </c>
      <c r="I135" s="6"/>
      <c r="J135" s="270">
        <v>4.7E-2</v>
      </c>
      <c r="K135" s="271">
        <v>0.05</v>
      </c>
      <c r="L135" s="6">
        <v>2.2499999999999999E-2</v>
      </c>
      <c r="M135" s="6">
        <v>0.04</v>
      </c>
      <c r="N135" s="6">
        <v>6.25E-2</v>
      </c>
      <c r="O135" s="271">
        <v>7.2499999999999995E-2</v>
      </c>
      <c r="Q135" s="10"/>
      <c r="S135" s="10"/>
      <c r="V135">
        <v>129</v>
      </c>
      <c r="W135" t="s">
        <v>157</v>
      </c>
      <c r="X135" t="s">
        <v>106</v>
      </c>
      <c r="Y135">
        <f t="shared" si="4"/>
        <v>513</v>
      </c>
      <c r="Z135" s="84">
        <v>0</v>
      </c>
    </row>
    <row r="136" spans="1:26">
      <c r="A136" s="3">
        <v>131</v>
      </c>
      <c r="B136" s="186" t="s">
        <v>200</v>
      </c>
      <c r="C136" s="186">
        <v>13</v>
      </c>
      <c r="D136" s="1" t="s">
        <v>196</v>
      </c>
      <c r="F136">
        <v>13020</v>
      </c>
      <c r="G136" s="272">
        <v>0</v>
      </c>
      <c r="H136" s="6">
        <v>3.5999999999999997E-2</v>
      </c>
      <c r="I136" s="6"/>
      <c r="J136" s="270">
        <v>4.7E-2</v>
      </c>
      <c r="K136" s="271">
        <v>0.05</v>
      </c>
      <c r="L136" s="6">
        <v>2.2499999999999999E-2</v>
      </c>
      <c r="M136" s="6">
        <v>0.04</v>
      </c>
      <c r="N136" s="6">
        <v>6.25E-2</v>
      </c>
      <c r="O136" s="271">
        <v>7.2499999999999995E-2</v>
      </c>
      <c r="Q136" s="10"/>
      <c r="S136" s="10"/>
      <c r="V136">
        <v>130</v>
      </c>
      <c r="W136" t="s">
        <v>158</v>
      </c>
      <c r="X136" t="s">
        <v>106</v>
      </c>
      <c r="Y136">
        <f t="shared" si="4"/>
        <v>514</v>
      </c>
      <c r="Z136" s="84">
        <v>0</v>
      </c>
    </row>
    <row r="137" spans="1:26">
      <c r="A137">
        <v>132</v>
      </c>
      <c r="B137" s="186" t="s">
        <v>200</v>
      </c>
      <c r="C137" s="186">
        <v>13</v>
      </c>
      <c r="D137" s="1">
        <v>44</v>
      </c>
      <c r="F137">
        <v>13021</v>
      </c>
      <c r="G137" s="272">
        <v>0</v>
      </c>
      <c r="H137" s="6">
        <v>3.5999999999999997E-2</v>
      </c>
      <c r="I137" s="6"/>
      <c r="J137" s="270">
        <v>4.7E-2</v>
      </c>
      <c r="K137" s="271">
        <v>0.05</v>
      </c>
      <c r="L137" s="6">
        <v>2.2499999999999999E-2</v>
      </c>
      <c r="M137" s="6">
        <v>0.04</v>
      </c>
      <c r="N137" s="6">
        <v>6.25E-2</v>
      </c>
      <c r="O137" s="271">
        <v>7.2499999999999995E-2</v>
      </c>
      <c r="Q137" s="10"/>
      <c r="S137" s="10"/>
      <c r="V137">
        <v>131</v>
      </c>
      <c r="W137" t="s">
        <v>160</v>
      </c>
      <c r="X137" t="s">
        <v>106</v>
      </c>
      <c r="Y137">
        <f t="shared" si="4"/>
        <v>515</v>
      </c>
      <c r="Z137" s="84">
        <v>0</v>
      </c>
    </row>
    <row r="138" spans="1:26">
      <c r="A138" s="3">
        <v>133</v>
      </c>
      <c r="B138" s="186" t="s">
        <v>200</v>
      </c>
      <c r="C138" s="186">
        <v>13</v>
      </c>
      <c r="D138" s="1" t="s">
        <v>197</v>
      </c>
      <c r="F138">
        <v>13022</v>
      </c>
      <c r="G138" s="272">
        <v>0</v>
      </c>
      <c r="H138" s="6">
        <v>3.5999999999999997E-2</v>
      </c>
      <c r="I138" s="6"/>
      <c r="J138" s="270">
        <v>4.7E-2</v>
      </c>
      <c r="K138" s="271">
        <v>0.05</v>
      </c>
      <c r="L138" s="6">
        <v>2.2499999999999999E-2</v>
      </c>
      <c r="M138" s="6">
        <v>0.04</v>
      </c>
      <c r="N138" s="6">
        <v>6.25E-2</v>
      </c>
      <c r="O138" s="271">
        <v>7.2499999999999995E-2</v>
      </c>
      <c r="Q138" s="10"/>
      <c r="S138" s="10"/>
      <c r="V138">
        <v>132</v>
      </c>
      <c r="W138" t="s">
        <v>161</v>
      </c>
      <c r="X138" t="s">
        <v>106</v>
      </c>
      <c r="Y138">
        <f t="shared" si="4"/>
        <v>516</v>
      </c>
      <c r="Z138" s="84">
        <v>0</v>
      </c>
    </row>
    <row r="139" spans="1:26">
      <c r="A139">
        <v>134</v>
      </c>
      <c r="B139" s="186" t="s">
        <v>200</v>
      </c>
      <c r="C139" s="186">
        <v>13</v>
      </c>
      <c r="D139" s="1">
        <v>45</v>
      </c>
      <c r="F139">
        <v>13023</v>
      </c>
      <c r="G139" s="272">
        <v>0</v>
      </c>
      <c r="H139" s="6">
        <v>3.5999999999999997E-2</v>
      </c>
      <c r="I139" s="6"/>
      <c r="J139" s="270">
        <v>4.7E-2</v>
      </c>
      <c r="K139" s="271">
        <v>0.05</v>
      </c>
      <c r="L139" s="6">
        <v>2.2499999999999999E-2</v>
      </c>
      <c r="M139" s="6">
        <v>0.04</v>
      </c>
      <c r="N139" s="6">
        <v>6.25E-2</v>
      </c>
      <c r="O139" s="271">
        <v>7.2499999999999995E-2</v>
      </c>
      <c r="Q139" s="10"/>
      <c r="S139" s="10"/>
      <c r="V139">
        <v>133</v>
      </c>
      <c r="W139" t="s">
        <v>163</v>
      </c>
      <c r="X139" t="s">
        <v>106</v>
      </c>
      <c r="Y139">
        <f t="shared" si="4"/>
        <v>517</v>
      </c>
      <c r="Z139" s="84">
        <v>0</v>
      </c>
    </row>
    <row r="140" spans="1:26">
      <c r="A140" s="3">
        <v>135</v>
      </c>
      <c r="B140" s="186" t="s">
        <v>200</v>
      </c>
      <c r="C140" s="186">
        <v>13</v>
      </c>
      <c r="D140" s="1" t="s">
        <v>198</v>
      </c>
      <c r="F140">
        <v>13024</v>
      </c>
      <c r="G140" s="272">
        <v>0</v>
      </c>
      <c r="H140" s="6">
        <v>3.5999999999999997E-2</v>
      </c>
      <c r="I140" s="6"/>
      <c r="J140" s="270">
        <v>4.7E-2</v>
      </c>
      <c r="K140" s="271">
        <v>0.05</v>
      </c>
      <c r="L140" s="6">
        <v>2.2499999999999999E-2</v>
      </c>
      <c r="M140" s="6">
        <v>0.04</v>
      </c>
      <c r="N140" s="6">
        <v>6.25E-2</v>
      </c>
      <c r="O140" s="271">
        <v>7.2499999999999995E-2</v>
      </c>
      <c r="Q140" s="10"/>
      <c r="S140" s="10"/>
      <c r="V140">
        <v>134</v>
      </c>
      <c r="W140" t="s">
        <v>164</v>
      </c>
      <c r="X140" t="s">
        <v>106</v>
      </c>
      <c r="Y140">
        <f t="shared" si="4"/>
        <v>518</v>
      </c>
      <c r="Z140" s="84">
        <v>0</v>
      </c>
    </row>
    <row r="141" spans="1:26">
      <c r="A141">
        <v>136</v>
      </c>
      <c r="B141" s="186" t="s">
        <v>200</v>
      </c>
      <c r="C141" s="186">
        <v>13</v>
      </c>
      <c r="D141" s="1">
        <v>46</v>
      </c>
      <c r="F141">
        <v>13025</v>
      </c>
      <c r="G141" s="272">
        <v>0</v>
      </c>
      <c r="H141" s="6">
        <v>3.5999999999999997E-2</v>
      </c>
      <c r="I141" s="6"/>
      <c r="J141" s="270">
        <v>4.7E-2</v>
      </c>
      <c r="K141" s="271">
        <v>0.05</v>
      </c>
      <c r="L141" s="6">
        <v>2.2499999999999999E-2</v>
      </c>
      <c r="M141" s="6">
        <v>0.04</v>
      </c>
      <c r="N141" s="6">
        <v>6.25E-2</v>
      </c>
      <c r="O141" s="271">
        <v>7.2499999999999995E-2</v>
      </c>
      <c r="Q141" s="10"/>
      <c r="S141" s="10"/>
      <c r="V141">
        <v>135</v>
      </c>
      <c r="W141" t="s">
        <v>166</v>
      </c>
      <c r="X141" t="s">
        <v>106</v>
      </c>
      <c r="Y141">
        <f t="shared" si="4"/>
        <v>519</v>
      </c>
      <c r="Z141" s="84">
        <v>0</v>
      </c>
    </row>
    <row r="142" spans="1:26">
      <c r="A142" s="3">
        <v>137</v>
      </c>
      <c r="B142" s="186" t="s">
        <v>200</v>
      </c>
      <c r="C142" s="186">
        <v>13</v>
      </c>
      <c r="D142" s="1" t="s">
        <v>199</v>
      </c>
      <c r="F142">
        <v>13026</v>
      </c>
      <c r="G142" s="272">
        <v>0</v>
      </c>
      <c r="H142" s="6">
        <v>3.5999999999999997E-2</v>
      </c>
      <c r="I142" s="6"/>
      <c r="J142" s="270">
        <v>4.7E-2</v>
      </c>
      <c r="K142" s="271">
        <v>0.05</v>
      </c>
      <c r="L142" s="6">
        <v>2.2499999999999999E-2</v>
      </c>
      <c r="M142" s="6">
        <v>0.04</v>
      </c>
      <c r="N142" s="6">
        <v>6.25E-2</v>
      </c>
      <c r="O142" s="271">
        <v>7.2499999999999995E-2</v>
      </c>
      <c r="Q142" s="10"/>
      <c r="S142" s="10"/>
      <c r="V142">
        <v>136</v>
      </c>
      <c r="W142" t="s">
        <v>167</v>
      </c>
      <c r="X142" t="s">
        <v>106</v>
      </c>
      <c r="Y142">
        <f t="shared" si="4"/>
        <v>520</v>
      </c>
      <c r="Z142" s="84">
        <v>0</v>
      </c>
    </row>
    <row r="143" spans="1:26">
      <c r="A143">
        <v>138</v>
      </c>
      <c r="B143" s="186" t="s">
        <v>201</v>
      </c>
      <c r="C143" s="186">
        <v>15</v>
      </c>
      <c r="G143" s="272">
        <v>0</v>
      </c>
      <c r="H143" s="6">
        <v>3.5999999999999997E-2</v>
      </c>
      <c r="I143" s="6"/>
      <c r="J143" s="270">
        <v>4.7E-2</v>
      </c>
      <c r="K143" s="271">
        <v>0.05</v>
      </c>
      <c r="L143" s="6">
        <v>2.2499999999999999E-2</v>
      </c>
      <c r="M143" s="6">
        <v>0.04</v>
      </c>
      <c r="N143" s="6">
        <v>6.25E-2</v>
      </c>
      <c r="O143" s="271">
        <v>7.2499999999999995E-2</v>
      </c>
      <c r="Q143" s="10"/>
      <c r="S143" s="10"/>
      <c r="V143">
        <v>137</v>
      </c>
      <c r="W143" t="s">
        <v>169</v>
      </c>
      <c r="X143" t="s">
        <v>106</v>
      </c>
      <c r="Y143">
        <f t="shared" si="4"/>
        <v>521</v>
      </c>
      <c r="Z143" s="84">
        <v>0</v>
      </c>
    </row>
    <row r="144" spans="1:26">
      <c r="A144" s="3">
        <v>139</v>
      </c>
      <c r="B144" s="186" t="s">
        <v>202</v>
      </c>
      <c r="C144" s="186">
        <v>16</v>
      </c>
      <c r="G144" s="272">
        <v>0</v>
      </c>
      <c r="H144" s="6">
        <v>3.5999999999999997E-2</v>
      </c>
      <c r="I144" s="6"/>
      <c r="J144" s="270">
        <v>4.7E-2</v>
      </c>
      <c r="K144" s="271">
        <v>0.05</v>
      </c>
      <c r="L144" s="6">
        <v>2.2499999999999999E-2</v>
      </c>
      <c r="M144" s="6">
        <v>0.04</v>
      </c>
      <c r="N144" s="6">
        <v>6.25E-2</v>
      </c>
      <c r="O144" s="271">
        <v>7.2499999999999995E-2</v>
      </c>
      <c r="Q144" s="10"/>
      <c r="S144" s="10"/>
      <c r="V144">
        <v>138</v>
      </c>
      <c r="W144" t="s">
        <v>170</v>
      </c>
      <c r="X144" t="s">
        <v>106</v>
      </c>
      <c r="Y144">
        <f t="shared" si="4"/>
        <v>522</v>
      </c>
      <c r="Z144" s="84">
        <v>0</v>
      </c>
    </row>
    <row r="145" spans="1:26">
      <c r="A145">
        <v>140</v>
      </c>
      <c r="B145" s="186" t="s">
        <v>203</v>
      </c>
      <c r="C145" s="186">
        <v>17</v>
      </c>
      <c r="G145" s="272">
        <v>0</v>
      </c>
      <c r="H145" s="6">
        <v>3.5999999999999997E-2</v>
      </c>
      <c r="I145" s="6"/>
      <c r="J145" s="270">
        <v>4.7E-2</v>
      </c>
      <c r="K145" s="271">
        <v>0.05</v>
      </c>
      <c r="L145" s="6">
        <v>2.2499999999999999E-2</v>
      </c>
      <c r="M145" s="6">
        <v>0.04</v>
      </c>
      <c r="N145" s="6">
        <v>6.25E-2</v>
      </c>
      <c r="O145" s="271">
        <v>7.2499999999999995E-2</v>
      </c>
      <c r="Q145" s="10"/>
      <c r="S145" s="10"/>
      <c r="V145">
        <v>139</v>
      </c>
      <c r="W145" t="s">
        <v>172</v>
      </c>
      <c r="X145" t="s">
        <v>106</v>
      </c>
      <c r="Y145">
        <f t="shared" si="4"/>
        <v>523</v>
      </c>
      <c r="Z145" s="84">
        <v>0</v>
      </c>
    </row>
    <row r="146" spans="1:26">
      <c r="A146" s="3">
        <v>141</v>
      </c>
      <c r="B146" s="186" t="s">
        <v>204</v>
      </c>
      <c r="C146" s="186">
        <v>18</v>
      </c>
      <c r="G146" s="272">
        <v>0</v>
      </c>
      <c r="H146" s="6">
        <v>3.5999999999999997E-2</v>
      </c>
      <c r="I146" s="6"/>
      <c r="J146" s="270">
        <v>4.7E-2</v>
      </c>
      <c r="K146" s="271">
        <v>0.05</v>
      </c>
      <c r="L146" s="6">
        <v>2.2499999999999999E-2</v>
      </c>
      <c r="M146" s="6">
        <v>0.04</v>
      </c>
      <c r="N146" s="6">
        <v>6.25E-2</v>
      </c>
      <c r="O146" s="271">
        <v>7.2499999999999995E-2</v>
      </c>
      <c r="Q146" s="10"/>
      <c r="S146" s="10"/>
      <c r="V146">
        <v>140</v>
      </c>
      <c r="W146" t="s">
        <v>173</v>
      </c>
      <c r="X146" t="s">
        <v>106</v>
      </c>
      <c r="Y146">
        <f t="shared" si="4"/>
        <v>524</v>
      </c>
      <c r="Z146" s="84">
        <v>0</v>
      </c>
    </row>
    <row r="147" spans="1:26">
      <c r="A147">
        <v>142</v>
      </c>
      <c r="B147" s="186" t="s">
        <v>205</v>
      </c>
      <c r="C147" s="186">
        <v>21</v>
      </c>
      <c r="G147" s="272">
        <v>0</v>
      </c>
      <c r="H147" s="6">
        <v>3.5999999999999997E-2</v>
      </c>
      <c r="I147" s="6"/>
      <c r="J147" s="270">
        <v>4.7E-2</v>
      </c>
      <c r="K147" s="271">
        <v>0.05</v>
      </c>
      <c r="L147" s="6">
        <v>2.2499999999999999E-2</v>
      </c>
      <c r="M147" s="6">
        <v>0.04</v>
      </c>
      <c r="N147" s="6">
        <v>6.25E-2</v>
      </c>
      <c r="O147" s="271">
        <v>7.2499999999999995E-2</v>
      </c>
      <c r="Q147" s="10"/>
      <c r="S147" s="10"/>
      <c r="V147">
        <v>141</v>
      </c>
      <c r="W147" t="s">
        <v>175</v>
      </c>
      <c r="X147" t="s">
        <v>106</v>
      </c>
      <c r="Y147">
        <f t="shared" si="4"/>
        <v>525</v>
      </c>
      <c r="Z147" s="84">
        <v>0</v>
      </c>
    </row>
    <row r="148" spans="1:26">
      <c r="A148" s="3">
        <v>143</v>
      </c>
      <c r="B148" s="186" t="s">
        <v>206</v>
      </c>
      <c r="C148" s="186">
        <v>22</v>
      </c>
      <c r="G148" s="272">
        <v>0</v>
      </c>
      <c r="H148" s="6">
        <v>3.5999999999999997E-2</v>
      </c>
      <c r="I148" s="6"/>
      <c r="J148" s="270">
        <v>4.7E-2</v>
      </c>
      <c r="K148" s="271">
        <v>0.05</v>
      </c>
      <c r="L148" s="6">
        <v>2.2499999999999999E-2</v>
      </c>
      <c r="M148" s="6">
        <v>0.04</v>
      </c>
      <c r="N148" s="6">
        <v>6.25E-2</v>
      </c>
      <c r="O148" s="271">
        <v>7.2499999999999995E-2</v>
      </c>
      <c r="Q148" s="10"/>
      <c r="S148" s="10"/>
      <c r="V148">
        <v>142</v>
      </c>
      <c r="W148" t="s">
        <v>176</v>
      </c>
      <c r="X148" t="s">
        <v>106</v>
      </c>
      <c r="Y148">
        <f t="shared" si="4"/>
        <v>526</v>
      </c>
      <c r="Z148" s="84">
        <v>0</v>
      </c>
    </row>
    <row r="149" spans="1:26">
      <c r="A149">
        <v>144</v>
      </c>
      <c r="B149" s="186" t="s">
        <v>207</v>
      </c>
      <c r="C149" s="186">
        <v>23</v>
      </c>
      <c r="G149" s="272">
        <v>0</v>
      </c>
      <c r="H149" s="6">
        <v>3.5999999999999997E-2</v>
      </c>
      <c r="I149" s="6"/>
      <c r="J149" s="270">
        <v>4.7E-2</v>
      </c>
      <c r="K149" s="271">
        <v>0.05</v>
      </c>
      <c r="L149" s="6">
        <v>2.2499999999999999E-2</v>
      </c>
      <c r="M149" s="6">
        <v>0.04</v>
      </c>
      <c r="N149" s="6">
        <v>6.25E-2</v>
      </c>
      <c r="O149" s="271">
        <v>7.2499999999999995E-2</v>
      </c>
      <c r="Q149" s="10"/>
      <c r="S149" s="10"/>
      <c r="V149">
        <v>143</v>
      </c>
      <c r="W149" t="s">
        <v>178</v>
      </c>
      <c r="X149" t="s">
        <v>106</v>
      </c>
      <c r="Y149">
        <f t="shared" si="4"/>
        <v>527</v>
      </c>
      <c r="Z149" s="84">
        <v>0</v>
      </c>
    </row>
    <row r="150" spans="1:26">
      <c r="A150" s="3">
        <v>145</v>
      </c>
      <c r="B150" s="186" t="s">
        <v>208</v>
      </c>
      <c r="C150" s="186">
        <v>24</v>
      </c>
      <c r="G150" s="272">
        <v>0</v>
      </c>
      <c r="H150" s="6">
        <v>3.5999999999999997E-2</v>
      </c>
      <c r="I150" s="6"/>
      <c r="J150" s="270">
        <v>4.7E-2</v>
      </c>
      <c r="K150" s="271">
        <v>0.05</v>
      </c>
      <c r="L150" s="6">
        <v>2.2499999999999999E-2</v>
      </c>
      <c r="M150" s="6">
        <v>0.04</v>
      </c>
      <c r="N150" s="6">
        <v>6.25E-2</v>
      </c>
      <c r="O150" s="271">
        <v>7.2499999999999995E-2</v>
      </c>
      <c r="Q150" s="10"/>
      <c r="S150" s="10"/>
      <c r="V150">
        <v>144</v>
      </c>
      <c r="W150" t="s">
        <v>179</v>
      </c>
      <c r="X150" t="s">
        <v>106</v>
      </c>
      <c r="Y150">
        <f t="shared" si="4"/>
        <v>528</v>
      </c>
      <c r="Z150" s="84">
        <v>0</v>
      </c>
    </row>
    <row r="151" spans="1:26">
      <c r="A151">
        <v>146</v>
      </c>
      <c r="B151" s="186" t="s">
        <v>209</v>
      </c>
      <c r="C151" s="186">
        <v>25</v>
      </c>
      <c r="G151" s="272">
        <v>0</v>
      </c>
      <c r="H151" s="6">
        <v>3.5999999999999997E-2</v>
      </c>
      <c r="I151" s="6"/>
      <c r="J151" s="270">
        <v>4.7E-2</v>
      </c>
      <c r="K151" s="271">
        <v>0.05</v>
      </c>
      <c r="L151" s="6">
        <v>2.2499999999999999E-2</v>
      </c>
      <c r="M151" s="6">
        <v>0.04</v>
      </c>
      <c r="N151" s="6">
        <v>6.25E-2</v>
      </c>
      <c r="O151" s="271">
        <v>7.2499999999999995E-2</v>
      </c>
      <c r="Q151" s="10"/>
      <c r="S151" s="10"/>
      <c r="V151">
        <v>145</v>
      </c>
      <c r="W151" t="s">
        <v>138</v>
      </c>
      <c r="X151" t="s">
        <v>107</v>
      </c>
      <c r="Y151">
        <v>600</v>
      </c>
      <c r="Z151" s="84">
        <v>3.5999999999999997E-2</v>
      </c>
    </row>
    <row r="152" spans="1:26">
      <c r="A152" s="3">
        <v>147</v>
      </c>
      <c r="B152" s="186" t="s">
        <v>210</v>
      </c>
      <c r="C152" s="186">
        <v>27</v>
      </c>
      <c r="G152" s="272">
        <v>0</v>
      </c>
      <c r="H152" s="6">
        <v>3.5999999999999997E-2</v>
      </c>
      <c r="I152" s="6"/>
      <c r="J152" s="270">
        <v>4.7E-2</v>
      </c>
      <c r="K152" s="271">
        <v>0.05</v>
      </c>
      <c r="L152" s="6">
        <v>2.2499999999999999E-2</v>
      </c>
      <c r="M152" s="6">
        <v>0.04</v>
      </c>
      <c r="N152" s="6">
        <v>6.25E-2</v>
      </c>
      <c r="O152" s="271">
        <v>7.2499999999999995E-2</v>
      </c>
      <c r="Q152" s="10"/>
      <c r="S152" s="10"/>
      <c r="V152">
        <v>146</v>
      </c>
      <c r="W152" t="s">
        <v>139</v>
      </c>
      <c r="X152" t="s">
        <v>107</v>
      </c>
      <c r="Y152">
        <f>+Y151+1</f>
        <v>601</v>
      </c>
      <c r="Z152" s="84">
        <v>3.5999999999999997E-2</v>
      </c>
    </row>
    <row r="153" spans="1:26">
      <c r="A153">
        <v>148</v>
      </c>
      <c r="B153" s="186" t="s">
        <v>211</v>
      </c>
      <c r="C153" s="186">
        <v>28</v>
      </c>
      <c r="G153" s="272">
        <v>0</v>
      </c>
      <c r="H153" s="6">
        <v>3.5999999999999997E-2</v>
      </c>
      <c r="I153" s="6"/>
      <c r="J153" s="270">
        <v>4.7E-2</v>
      </c>
      <c r="K153" s="271">
        <v>0.05</v>
      </c>
      <c r="L153" s="6">
        <v>2.2499999999999999E-2</v>
      </c>
      <c r="M153" s="6">
        <v>0.04</v>
      </c>
      <c r="N153" s="6">
        <v>6.25E-2</v>
      </c>
      <c r="O153" s="271">
        <v>7.2499999999999995E-2</v>
      </c>
      <c r="Q153" s="10"/>
      <c r="S153" s="10"/>
      <c r="V153">
        <v>147</v>
      </c>
      <c r="W153" t="s">
        <v>140</v>
      </c>
      <c r="X153" t="s">
        <v>107</v>
      </c>
      <c r="Y153">
        <f t="shared" ref="Y153:Y179" si="5">+Y152+1</f>
        <v>602</v>
      </c>
      <c r="Z153" s="84">
        <v>3.5999999999999997E-2</v>
      </c>
    </row>
    <row r="154" spans="1:26">
      <c r="A154" s="3">
        <v>149</v>
      </c>
      <c r="B154" s="186" t="s">
        <v>110</v>
      </c>
      <c r="C154" s="186">
        <v>31</v>
      </c>
      <c r="G154" s="272">
        <v>0</v>
      </c>
      <c r="H154" s="6">
        <v>3.5999999999999997E-2</v>
      </c>
      <c r="I154" s="6"/>
      <c r="J154" s="270">
        <v>4.7E-2</v>
      </c>
      <c r="K154" s="271">
        <v>0.05</v>
      </c>
      <c r="L154" s="6">
        <v>2.2499999999999999E-2</v>
      </c>
      <c r="M154" s="6">
        <v>0.04</v>
      </c>
      <c r="N154" s="6">
        <v>6.25E-2</v>
      </c>
      <c r="O154" s="271">
        <v>7.2499999999999995E-2</v>
      </c>
      <c r="Q154" s="10"/>
      <c r="S154" s="10"/>
      <c r="V154">
        <v>148</v>
      </c>
      <c r="W154" t="s">
        <v>142</v>
      </c>
      <c r="X154" t="s">
        <v>107</v>
      </c>
      <c r="Y154">
        <f t="shared" si="5"/>
        <v>603</v>
      </c>
      <c r="Z154" s="84">
        <v>3.5999999999999997E-2</v>
      </c>
    </row>
    <row r="155" spans="1:26">
      <c r="A155">
        <v>150</v>
      </c>
      <c r="B155" s="186" t="s">
        <v>212</v>
      </c>
      <c r="C155" s="186">
        <v>32</v>
      </c>
      <c r="G155" s="272">
        <v>0</v>
      </c>
      <c r="H155" s="6">
        <v>3.5999999999999997E-2</v>
      </c>
      <c r="I155" s="6"/>
      <c r="J155" s="270">
        <v>4.7E-2</v>
      </c>
      <c r="K155" s="271">
        <v>0.05</v>
      </c>
      <c r="L155" s="6">
        <v>2.2499999999999999E-2</v>
      </c>
      <c r="M155" s="6">
        <v>0.04</v>
      </c>
      <c r="N155" s="6">
        <v>6.25E-2</v>
      </c>
      <c r="O155" s="271">
        <v>7.2499999999999995E-2</v>
      </c>
      <c r="Q155" s="10"/>
      <c r="S155" s="10"/>
      <c r="V155">
        <v>149</v>
      </c>
      <c r="W155" t="s">
        <v>143</v>
      </c>
      <c r="X155" t="s">
        <v>107</v>
      </c>
      <c r="Y155">
        <f t="shared" si="5"/>
        <v>604</v>
      </c>
      <c r="Z155" s="84">
        <v>3.5999999999999997E-2</v>
      </c>
    </row>
    <row r="156" spans="1:26">
      <c r="A156" s="3">
        <v>151</v>
      </c>
      <c r="B156" s="186" t="s">
        <v>213</v>
      </c>
      <c r="C156" s="186">
        <v>33</v>
      </c>
      <c r="G156" s="272">
        <v>0</v>
      </c>
      <c r="H156" s="6">
        <v>3.5999999999999997E-2</v>
      </c>
      <c r="I156" s="6"/>
      <c r="J156" s="270">
        <v>4.7E-2</v>
      </c>
      <c r="K156" s="271">
        <v>0.05</v>
      </c>
      <c r="L156" s="6">
        <v>2.2499999999999999E-2</v>
      </c>
      <c r="M156" s="6">
        <v>0.04</v>
      </c>
      <c r="N156" s="6">
        <v>6.25E-2</v>
      </c>
      <c r="O156" s="271">
        <v>7.2499999999999995E-2</v>
      </c>
      <c r="Q156" s="10"/>
      <c r="S156" s="10"/>
      <c r="V156">
        <v>150</v>
      </c>
      <c r="W156" t="s">
        <v>145</v>
      </c>
      <c r="X156" t="s">
        <v>107</v>
      </c>
      <c r="Y156">
        <f t="shared" si="5"/>
        <v>605</v>
      </c>
      <c r="Z156" s="84">
        <v>0</v>
      </c>
    </row>
    <row r="157" spans="1:26">
      <c r="A157">
        <v>152</v>
      </c>
      <c r="B157" s="186" t="s">
        <v>214</v>
      </c>
      <c r="C157" s="186">
        <v>35</v>
      </c>
      <c r="G157" s="272">
        <v>0</v>
      </c>
      <c r="H157" s="6">
        <v>3.5999999999999997E-2</v>
      </c>
      <c r="I157" s="6"/>
      <c r="J157" s="270">
        <v>4.7E-2</v>
      </c>
      <c r="K157" s="271">
        <v>0.05</v>
      </c>
      <c r="L157" s="6">
        <v>2.2499999999999999E-2</v>
      </c>
      <c r="M157" s="6">
        <v>0.04</v>
      </c>
      <c r="N157" s="6">
        <v>6.25E-2</v>
      </c>
      <c r="O157" s="271">
        <v>7.2499999999999995E-2</v>
      </c>
      <c r="Q157" s="10"/>
      <c r="S157" s="10"/>
      <c r="V157">
        <v>151</v>
      </c>
      <c r="W157" t="s">
        <v>146</v>
      </c>
      <c r="X157" t="s">
        <v>107</v>
      </c>
      <c r="Y157">
        <f t="shared" si="5"/>
        <v>606</v>
      </c>
      <c r="Z157" s="84">
        <v>0</v>
      </c>
    </row>
    <row r="158" spans="1:26">
      <c r="A158" s="3">
        <v>153</v>
      </c>
      <c r="B158" s="186" t="s">
        <v>215</v>
      </c>
      <c r="C158" s="186">
        <v>36</v>
      </c>
      <c r="G158" s="272">
        <v>0</v>
      </c>
      <c r="H158" s="6">
        <v>3.5999999999999997E-2</v>
      </c>
      <c r="I158" s="6"/>
      <c r="J158" s="270">
        <v>4.7E-2</v>
      </c>
      <c r="K158" s="271">
        <v>0.05</v>
      </c>
      <c r="L158" s="6">
        <v>2.2499999999999999E-2</v>
      </c>
      <c r="M158" s="6">
        <v>0.04</v>
      </c>
      <c r="N158" s="6">
        <v>6.25E-2</v>
      </c>
      <c r="O158" s="271">
        <v>7.2499999999999995E-2</v>
      </c>
      <c r="Q158" s="10"/>
      <c r="S158" s="10"/>
      <c r="V158">
        <v>152</v>
      </c>
      <c r="W158" t="s">
        <v>148</v>
      </c>
      <c r="X158" t="s">
        <v>107</v>
      </c>
      <c r="Y158">
        <f t="shared" si="5"/>
        <v>607</v>
      </c>
      <c r="Z158" s="84">
        <v>0</v>
      </c>
    </row>
    <row r="159" spans="1:26">
      <c r="A159">
        <v>154</v>
      </c>
      <c r="B159" s="186" t="s">
        <v>216</v>
      </c>
      <c r="C159" s="186">
        <v>37</v>
      </c>
      <c r="G159" s="272">
        <v>0</v>
      </c>
      <c r="H159" s="6">
        <v>3.5999999999999997E-2</v>
      </c>
      <c r="I159" s="6"/>
      <c r="J159" s="270">
        <v>4.7E-2</v>
      </c>
      <c r="K159" s="271">
        <v>0.05</v>
      </c>
      <c r="L159" s="6">
        <v>2.2499999999999999E-2</v>
      </c>
      <c r="M159" s="6">
        <v>0.04</v>
      </c>
      <c r="N159" s="6">
        <v>6.25E-2</v>
      </c>
      <c r="O159" s="271">
        <v>7.2499999999999995E-2</v>
      </c>
      <c r="Q159" s="10"/>
      <c r="S159" s="10"/>
      <c r="V159">
        <v>153</v>
      </c>
      <c r="W159" t="s">
        <v>149</v>
      </c>
      <c r="X159" t="s">
        <v>107</v>
      </c>
      <c r="Y159">
        <f t="shared" si="5"/>
        <v>608</v>
      </c>
      <c r="Z159" s="84">
        <v>0</v>
      </c>
    </row>
    <row r="160" spans="1:26">
      <c r="A160" s="3">
        <v>155</v>
      </c>
      <c r="B160" s="186" t="s">
        <v>217</v>
      </c>
      <c r="C160" s="186">
        <v>38</v>
      </c>
      <c r="G160" s="272">
        <v>0</v>
      </c>
      <c r="H160" s="6">
        <v>3.5999999999999997E-2</v>
      </c>
      <c r="I160" s="6"/>
      <c r="J160" s="270">
        <v>4.7E-2</v>
      </c>
      <c r="K160" s="271">
        <v>0.05</v>
      </c>
      <c r="L160" s="6">
        <v>2.2499999999999999E-2</v>
      </c>
      <c r="M160" s="6">
        <v>0.04</v>
      </c>
      <c r="N160" s="6">
        <v>6.25E-2</v>
      </c>
      <c r="O160" s="271">
        <v>7.2499999999999995E-2</v>
      </c>
      <c r="Q160" s="10"/>
      <c r="S160" s="10"/>
      <c r="V160">
        <v>154</v>
      </c>
      <c r="W160" t="s">
        <v>151</v>
      </c>
      <c r="X160" t="s">
        <v>107</v>
      </c>
      <c r="Y160">
        <f t="shared" si="5"/>
        <v>609</v>
      </c>
      <c r="Z160" s="84">
        <v>0</v>
      </c>
    </row>
    <row r="161" spans="1:26">
      <c r="A161">
        <v>156</v>
      </c>
      <c r="B161" s="186" t="s">
        <v>218</v>
      </c>
      <c r="C161" s="186">
        <v>39</v>
      </c>
      <c r="G161" s="272">
        <v>0</v>
      </c>
      <c r="H161" s="6">
        <v>3.5999999999999997E-2</v>
      </c>
      <c r="I161" s="6"/>
      <c r="J161" s="270">
        <v>4.7E-2</v>
      </c>
      <c r="K161" s="271">
        <v>0.05</v>
      </c>
      <c r="L161" s="6">
        <v>2.2499999999999999E-2</v>
      </c>
      <c r="M161" s="6">
        <v>0.04</v>
      </c>
      <c r="N161" s="6">
        <v>6.25E-2</v>
      </c>
      <c r="O161" s="271">
        <v>7.2499999999999995E-2</v>
      </c>
      <c r="Q161" s="10"/>
      <c r="S161" s="10"/>
      <c r="V161">
        <v>155</v>
      </c>
      <c r="W161" t="s">
        <v>152</v>
      </c>
      <c r="X161" t="s">
        <v>107</v>
      </c>
      <c r="Y161">
        <f t="shared" si="5"/>
        <v>610</v>
      </c>
      <c r="Z161" s="84">
        <v>0</v>
      </c>
    </row>
    <row r="162" spans="1:26">
      <c r="A162" s="3">
        <v>157</v>
      </c>
      <c r="B162" s="186" t="s">
        <v>219</v>
      </c>
      <c r="C162" s="186">
        <v>41</v>
      </c>
      <c r="G162" s="272">
        <v>0</v>
      </c>
      <c r="H162" s="6">
        <v>3.5999999999999997E-2</v>
      </c>
      <c r="I162" s="6"/>
      <c r="J162" s="270">
        <v>4.7E-2</v>
      </c>
      <c r="K162" s="271">
        <v>0.05</v>
      </c>
      <c r="L162" s="6">
        <v>2.2499999999999999E-2</v>
      </c>
      <c r="M162" s="6">
        <v>0.04</v>
      </c>
      <c r="N162" s="6">
        <v>6.25E-2</v>
      </c>
      <c r="O162" s="271">
        <v>7.2499999999999995E-2</v>
      </c>
      <c r="Q162" s="10"/>
      <c r="S162" s="10"/>
      <c r="V162">
        <v>156</v>
      </c>
      <c r="W162" t="s">
        <v>154</v>
      </c>
      <c r="X162" t="s">
        <v>107</v>
      </c>
      <c r="Y162">
        <f t="shared" si="5"/>
        <v>611</v>
      </c>
      <c r="Z162" s="84">
        <v>0</v>
      </c>
    </row>
    <row r="163" spans="1:26">
      <c r="A163">
        <v>158</v>
      </c>
      <c r="B163" s="186" t="s">
        <v>220</v>
      </c>
      <c r="C163" s="186">
        <v>42</v>
      </c>
      <c r="G163" s="272">
        <v>0</v>
      </c>
      <c r="H163" s="6">
        <v>3.5999999999999997E-2</v>
      </c>
      <c r="I163" s="6"/>
      <c r="J163" s="270">
        <v>4.7E-2</v>
      </c>
      <c r="K163" s="271">
        <v>0.05</v>
      </c>
      <c r="L163" s="6">
        <v>2.2499999999999999E-2</v>
      </c>
      <c r="M163" s="6">
        <v>0.04</v>
      </c>
      <c r="N163" s="6">
        <v>6.25E-2</v>
      </c>
      <c r="O163" s="271">
        <v>7.2499999999999995E-2</v>
      </c>
      <c r="Q163" s="10"/>
      <c r="S163" s="10"/>
      <c r="V163">
        <v>157</v>
      </c>
      <c r="W163" t="s">
        <v>155</v>
      </c>
      <c r="X163" t="s">
        <v>107</v>
      </c>
      <c r="Y163">
        <f t="shared" si="5"/>
        <v>612</v>
      </c>
      <c r="Z163" s="84">
        <v>0</v>
      </c>
    </row>
    <row r="164" spans="1:26">
      <c r="A164" s="3">
        <v>159</v>
      </c>
      <c r="B164" s="186" t="s">
        <v>221</v>
      </c>
      <c r="C164" s="186">
        <v>43</v>
      </c>
      <c r="G164" s="272">
        <v>0</v>
      </c>
      <c r="H164" s="6">
        <v>3.5999999999999997E-2</v>
      </c>
      <c r="I164" s="6"/>
      <c r="J164" s="270">
        <v>4.7E-2</v>
      </c>
      <c r="K164" s="271">
        <v>0.05</v>
      </c>
      <c r="L164" s="6">
        <v>2.2499999999999999E-2</v>
      </c>
      <c r="M164" s="6">
        <v>0.04</v>
      </c>
      <c r="N164" s="6">
        <v>6.25E-2</v>
      </c>
      <c r="O164" s="271">
        <v>7.2499999999999995E-2</v>
      </c>
      <c r="Q164" s="10"/>
      <c r="S164" s="10"/>
      <c r="V164">
        <v>158</v>
      </c>
      <c r="W164" t="s">
        <v>157</v>
      </c>
      <c r="X164" t="s">
        <v>107</v>
      </c>
      <c r="Y164">
        <f t="shared" si="5"/>
        <v>613</v>
      </c>
      <c r="Z164" s="84">
        <v>0</v>
      </c>
    </row>
    <row r="165" spans="1:26">
      <c r="A165">
        <v>160</v>
      </c>
      <c r="B165" s="186" t="s">
        <v>222</v>
      </c>
      <c r="C165" s="186">
        <v>44</v>
      </c>
      <c r="G165" s="272">
        <v>0</v>
      </c>
      <c r="H165" s="6">
        <v>3.5999999999999997E-2</v>
      </c>
      <c r="I165" s="6"/>
      <c r="J165" s="270">
        <v>4.7E-2</v>
      </c>
      <c r="K165" s="271">
        <v>0.05</v>
      </c>
      <c r="L165" s="6">
        <v>2.2499999999999999E-2</v>
      </c>
      <c r="M165" s="6">
        <v>0.04</v>
      </c>
      <c r="N165" s="6">
        <v>6.25E-2</v>
      </c>
      <c r="O165" s="271">
        <v>7.2499999999999995E-2</v>
      </c>
      <c r="Q165" s="10"/>
      <c r="S165" s="10"/>
      <c r="V165">
        <v>159</v>
      </c>
      <c r="W165" t="s">
        <v>158</v>
      </c>
      <c r="X165" t="s">
        <v>107</v>
      </c>
      <c r="Y165">
        <f t="shared" si="5"/>
        <v>614</v>
      </c>
      <c r="Z165" s="84">
        <v>0</v>
      </c>
    </row>
    <row r="166" spans="1:26">
      <c r="A166" s="3">
        <v>161</v>
      </c>
      <c r="B166" s="186" t="s">
        <v>223</v>
      </c>
      <c r="C166" s="186">
        <v>45</v>
      </c>
      <c r="G166" s="272">
        <v>0</v>
      </c>
      <c r="H166" s="6">
        <v>3.5999999999999997E-2</v>
      </c>
      <c r="I166" s="6"/>
      <c r="J166" s="270">
        <v>4.7E-2</v>
      </c>
      <c r="K166" s="271">
        <v>0.05</v>
      </c>
      <c r="L166" s="6">
        <v>2.2499999999999999E-2</v>
      </c>
      <c r="M166" s="6">
        <v>0.04</v>
      </c>
      <c r="N166" s="6">
        <v>6.25E-2</v>
      </c>
      <c r="O166" s="271">
        <v>7.2499999999999995E-2</v>
      </c>
      <c r="Q166" s="10"/>
      <c r="S166" s="10"/>
      <c r="V166">
        <v>160</v>
      </c>
      <c r="W166" t="s">
        <v>160</v>
      </c>
      <c r="X166" t="s">
        <v>107</v>
      </c>
      <c r="Y166">
        <f t="shared" si="5"/>
        <v>615</v>
      </c>
      <c r="Z166" s="84">
        <v>0</v>
      </c>
    </row>
    <row r="167" spans="1:26">
      <c r="A167">
        <v>162</v>
      </c>
      <c r="B167" s="186" t="s">
        <v>224</v>
      </c>
      <c r="C167" s="186">
        <v>50</v>
      </c>
      <c r="G167" s="272">
        <v>0</v>
      </c>
      <c r="H167" s="6">
        <v>3.5999999999999997E-2</v>
      </c>
      <c r="I167" s="6"/>
      <c r="J167" s="270">
        <v>4.7E-2</v>
      </c>
      <c r="K167" s="271">
        <v>0.05</v>
      </c>
      <c r="L167" s="6">
        <v>2.2499999999999999E-2</v>
      </c>
      <c r="M167" s="6">
        <v>0.04</v>
      </c>
      <c r="N167" s="6">
        <v>6.25E-2</v>
      </c>
      <c r="O167" s="271">
        <v>7.2499999999999995E-2</v>
      </c>
      <c r="Q167" s="10"/>
      <c r="S167" s="10"/>
      <c r="V167">
        <v>161</v>
      </c>
      <c r="W167" t="s">
        <v>161</v>
      </c>
      <c r="X167" t="s">
        <v>107</v>
      </c>
      <c r="Y167">
        <f t="shared" si="5"/>
        <v>616</v>
      </c>
      <c r="Z167" s="84">
        <v>0</v>
      </c>
    </row>
    <row r="168" spans="1:26">
      <c r="A168" s="3">
        <v>163</v>
      </c>
      <c r="B168" s="186" t="s">
        <v>225</v>
      </c>
      <c r="C168" s="186">
        <v>51</v>
      </c>
      <c r="G168" s="272">
        <v>0</v>
      </c>
      <c r="H168" s="6">
        <v>3.5999999999999997E-2</v>
      </c>
      <c r="I168" s="6"/>
      <c r="J168" s="270">
        <v>4.7E-2</v>
      </c>
      <c r="K168" s="271">
        <v>0.05</v>
      </c>
      <c r="L168" s="6">
        <v>2.2499999999999999E-2</v>
      </c>
      <c r="M168" s="6">
        <v>0.04</v>
      </c>
      <c r="N168" s="6">
        <v>6.25E-2</v>
      </c>
      <c r="O168" s="271">
        <v>7.2499999999999995E-2</v>
      </c>
      <c r="Q168" s="10"/>
      <c r="S168" s="10"/>
      <c r="V168">
        <v>162</v>
      </c>
      <c r="W168" t="s">
        <v>163</v>
      </c>
      <c r="X168" t="s">
        <v>107</v>
      </c>
      <c r="Y168">
        <f t="shared" si="5"/>
        <v>617</v>
      </c>
      <c r="Z168" s="84">
        <v>0</v>
      </c>
    </row>
    <row r="169" spans="1:26">
      <c r="A169">
        <v>164</v>
      </c>
      <c r="B169" s="186" t="s">
        <v>183</v>
      </c>
      <c r="C169" s="186">
        <v>57</v>
      </c>
      <c r="G169" s="272">
        <v>0</v>
      </c>
      <c r="H169" s="6">
        <v>3.5999999999999997E-2</v>
      </c>
      <c r="I169" s="6"/>
      <c r="J169" s="270">
        <v>4.7E-2</v>
      </c>
      <c r="K169" s="271">
        <v>0.05</v>
      </c>
      <c r="L169" s="6">
        <v>2.2499999999999999E-2</v>
      </c>
      <c r="M169" s="6">
        <v>0.04</v>
      </c>
      <c r="N169" s="6">
        <v>6.25E-2</v>
      </c>
      <c r="O169" s="271">
        <v>7.2499999999999995E-2</v>
      </c>
      <c r="Q169" s="10"/>
      <c r="S169" s="10"/>
      <c r="V169">
        <v>163</v>
      </c>
      <c r="W169" t="s">
        <v>164</v>
      </c>
      <c r="X169" t="s">
        <v>107</v>
      </c>
      <c r="Y169">
        <f t="shared" si="5"/>
        <v>618</v>
      </c>
      <c r="Z169" s="84">
        <v>0</v>
      </c>
    </row>
    <row r="170" spans="1:26">
      <c r="A170" s="3">
        <v>165</v>
      </c>
      <c r="B170" s="186" t="s">
        <v>226</v>
      </c>
      <c r="C170" s="186">
        <v>58</v>
      </c>
      <c r="G170" s="272">
        <v>0</v>
      </c>
      <c r="H170" s="6">
        <v>3.5999999999999997E-2</v>
      </c>
      <c r="I170" s="6"/>
      <c r="J170" s="270">
        <v>4.7E-2</v>
      </c>
      <c r="K170" s="271">
        <v>0.05</v>
      </c>
      <c r="L170" s="6">
        <v>2.2499999999999999E-2</v>
      </c>
      <c r="M170" s="6">
        <v>0.04</v>
      </c>
      <c r="N170" s="6">
        <v>6.25E-2</v>
      </c>
      <c r="O170" s="271">
        <v>7.2499999999999995E-2</v>
      </c>
      <c r="Q170" s="10"/>
      <c r="S170" s="10"/>
      <c r="V170">
        <v>164</v>
      </c>
      <c r="W170" t="s">
        <v>166</v>
      </c>
      <c r="X170" t="s">
        <v>107</v>
      </c>
      <c r="Y170">
        <f t="shared" si="5"/>
        <v>619</v>
      </c>
      <c r="Z170" s="84">
        <v>0</v>
      </c>
    </row>
    <row r="171" spans="1:26">
      <c r="A171">
        <v>166</v>
      </c>
      <c r="B171" s="186" t="s">
        <v>227</v>
      </c>
      <c r="C171" s="186">
        <v>59</v>
      </c>
      <c r="G171" s="272">
        <v>0</v>
      </c>
      <c r="H171" s="6">
        <v>3.5999999999999997E-2</v>
      </c>
      <c r="I171" s="6"/>
      <c r="J171" s="270">
        <v>4.7E-2</v>
      </c>
      <c r="K171" s="271">
        <v>0.05</v>
      </c>
      <c r="L171" s="6">
        <v>2.2499999999999999E-2</v>
      </c>
      <c r="M171" s="6">
        <v>0.04</v>
      </c>
      <c r="N171" s="6">
        <v>6.25E-2</v>
      </c>
      <c r="O171" s="271">
        <v>7.2499999999999995E-2</v>
      </c>
      <c r="Q171" s="10"/>
      <c r="S171" s="10"/>
      <c r="V171">
        <v>165</v>
      </c>
      <c r="W171" t="s">
        <v>167</v>
      </c>
      <c r="X171" t="s">
        <v>107</v>
      </c>
      <c r="Y171">
        <f t="shared" si="5"/>
        <v>620</v>
      </c>
      <c r="Z171" s="84">
        <v>0</v>
      </c>
    </row>
    <row r="172" spans="1:26">
      <c r="A172" s="3">
        <v>167</v>
      </c>
      <c r="B172" s="186" t="s">
        <v>228</v>
      </c>
      <c r="C172" s="186">
        <v>61</v>
      </c>
      <c r="G172" s="272">
        <v>0</v>
      </c>
      <c r="H172" s="6">
        <v>3.5999999999999997E-2</v>
      </c>
      <c r="I172" s="6"/>
      <c r="J172" s="270">
        <v>4.7E-2</v>
      </c>
      <c r="K172" s="271">
        <v>0.05</v>
      </c>
      <c r="L172" s="6">
        <v>2.2499999999999999E-2</v>
      </c>
      <c r="M172" s="6">
        <v>0.04</v>
      </c>
      <c r="N172" s="6">
        <v>6.25E-2</v>
      </c>
      <c r="O172" s="271">
        <v>7.2499999999999995E-2</v>
      </c>
      <c r="Q172" s="10"/>
      <c r="S172" s="10"/>
      <c r="V172">
        <v>166</v>
      </c>
      <c r="W172" t="s">
        <v>169</v>
      </c>
      <c r="X172" t="s">
        <v>107</v>
      </c>
      <c r="Y172">
        <f t="shared" si="5"/>
        <v>621</v>
      </c>
      <c r="Z172" s="84">
        <v>0</v>
      </c>
    </row>
    <row r="173" spans="1:26">
      <c r="A173">
        <v>168</v>
      </c>
      <c r="B173" s="186" t="s">
        <v>229</v>
      </c>
      <c r="C173" s="186">
        <v>63</v>
      </c>
      <c r="G173" s="272">
        <v>0</v>
      </c>
      <c r="H173" s="6">
        <v>3.5999999999999997E-2</v>
      </c>
      <c r="I173" s="6"/>
      <c r="J173" s="270">
        <v>4.7E-2</v>
      </c>
      <c r="K173" s="271">
        <v>0.05</v>
      </c>
      <c r="L173" s="6">
        <v>2.2499999999999999E-2</v>
      </c>
      <c r="M173" s="6">
        <v>0.04</v>
      </c>
      <c r="N173" s="6">
        <v>6.25E-2</v>
      </c>
      <c r="O173" s="271">
        <v>7.2499999999999995E-2</v>
      </c>
      <c r="Q173" s="10"/>
      <c r="S173" s="10"/>
      <c r="V173">
        <v>167</v>
      </c>
      <c r="W173" t="s">
        <v>170</v>
      </c>
      <c r="X173" t="s">
        <v>107</v>
      </c>
      <c r="Y173">
        <f t="shared" si="5"/>
        <v>622</v>
      </c>
      <c r="Z173" s="84">
        <v>0</v>
      </c>
    </row>
    <row r="174" spans="1:26">
      <c r="A174" s="3">
        <v>169</v>
      </c>
      <c r="B174" s="186" t="s">
        <v>230</v>
      </c>
      <c r="C174" s="186">
        <v>64</v>
      </c>
      <c r="G174" s="272">
        <v>0</v>
      </c>
      <c r="H174" s="6">
        <v>3.5999999999999997E-2</v>
      </c>
      <c r="I174" s="6"/>
      <c r="J174" s="270">
        <v>4.7E-2</v>
      </c>
      <c r="K174" s="271">
        <v>0.05</v>
      </c>
      <c r="L174" s="6">
        <v>2.2499999999999999E-2</v>
      </c>
      <c r="M174" s="6">
        <v>0.04</v>
      </c>
      <c r="N174" s="6">
        <v>6.25E-2</v>
      </c>
      <c r="O174" s="271">
        <v>7.2499999999999995E-2</v>
      </c>
      <c r="Q174" s="10"/>
      <c r="S174" s="10"/>
      <c r="V174">
        <v>168</v>
      </c>
      <c r="W174" t="s">
        <v>172</v>
      </c>
      <c r="X174" t="s">
        <v>107</v>
      </c>
      <c r="Y174">
        <f t="shared" si="5"/>
        <v>623</v>
      </c>
      <c r="Z174" s="84">
        <v>0</v>
      </c>
    </row>
    <row r="175" spans="1:26">
      <c r="A175">
        <v>170</v>
      </c>
      <c r="B175" s="186" t="s">
        <v>231</v>
      </c>
      <c r="C175" s="186">
        <v>65</v>
      </c>
      <c r="G175" s="272">
        <v>0</v>
      </c>
      <c r="H175" s="6">
        <v>3.5999999999999997E-2</v>
      </c>
      <c r="I175" s="6"/>
      <c r="J175" s="270">
        <v>4.7E-2</v>
      </c>
      <c r="K175" s="271">
        <v>0.05</v>
      </c>
      <c r="L175" s="6">
        <v>2.2499999999999999E-2</v>
      </c>
      <c r="M175" s="6">
        <v>0.04</v>
      </c>
      <c r="N175" s="6">
        <v>6.25E-2</v>
      </c>
      <c r="O175" s="271">
        <v>7.2499999999999995E-2</v>
      </c>
      <c r="Q175" s="10"/>
      <c r="S175" s="10"/>
      <c r="V175">
        <v>169</v>
      </c>
      <c r="W175" t="s">
        <v>173</v>
      </c>
      <c r="X175" t="s">
        <v>107</v>
      </c>
      <c r="Y175">
        <f t="shared" si="5"/>
        <v>624</v>
      </c>
      <c r="Z175" s="84">
        <v>0</v>
      </c>
    </row>
    <row r="176" spans="1:26">
      <c r="A176" s="3">
        <v>171</v>
      </c>
      <c r="B176" s="186" t="s">
        <v>232</v>
      </c>
      <c r="C176" s="186">
        <v>67</v>
      </c>
      <c r="G176" s="272">
        <v>0</v>
      </c>
      <c r="H176" s="6">
        <v>3.5999999999999997E-2</v>
      </c>
      <c r="I176" s="6"/>
      <c r="J176" s="270">
        <v>4.7E-2</v>
      </c>
      <c r="K176" s="271">
        <v>0.05</v>
      </c>
      <c r="L176" s="6">
        <v>2.2499999999999999E-2</v>
      </c>
      <c r="M176" s="6">
        <v>0.04</v>
      </c>
      <c r="N176" s="6">
        <v>6.25E-2</v>
      </c>
      <c r="O176" s="271">
        <v>7.2499999999999995E-2</v>
      </c>
      <c r="Q176" s="10"/>
      <c r="S176" s="10"/>
      <c r="V176">
        <v>170</v>
      </c>
      <c r="W176" t="s">
        <v>175</v>
      </c>
      <c r="X176" t="s">
        <v>107</v>
      </c>
      <c r="Y176">
        <f t="shared" si="5"/>
        <v>625</v>
      </c>
      <c r="Z176" s="84">
        <v>0</v>
      </c>
    </row>
    <row r="177" spans="1:26">
      <c r="A177">
        <v>172</v>
      </c>
      <c r="B177" s="186" t="s">
        <v>233</v>
      </c>
      <c r="C177" s="186">
        <v>68</v>
      </c>
      <c r="G177" s="272">
        <v>0</v>
      </c>
      <c r="H177" s="6">
        <v>3.5999999999999997E-2</v>
      </c>
      <c r="I177" s="6"/>
      <c r="J177" s="270">
        <v>4.7E-2</v>
      </c>
      <c r="K177" s="271">
        <v>0.05</v>
      </c>
      <c r="L177" s="6">
        <v>2.2499999999999999E-2</v>
      </c>
      <c r="M177" s="6">
        <v>0.04</v>
      </c>
      <c r="N177" s="6">
        <v>6.25E-2</v>
      </c>
      <c r="O177" s="271">
        <v>7.2499999999999995E-2</v>
      </c>
      <c r="Q177" s="10"/>
      <c r="S177" s="10"/>
      <c r="V177">
        <v>171</v>
      </c>
      <c r="W177" t="s">
        <v>176</v>
      </c>
      <c r="X177" t="s">
        <v>107</v>
      </c>
      <c r="Y177">
        <f t="shared" si="5"/>
        <v>626</v>
      </c>
      <c r="Z177" s="84">
        <v>0</v>
      </c>
    </row>
    <row r="178" spans="1:26">
      <c r="A178" s="3">
        <v>173</v>
      </c>
      <c r="B178" s="186" t="s">
        <v>234</v>
      </c>
      <c r="C178" s="186">
        <v>72</v>
      </c>
      <c r="G178" s="272">
        <v>0</v>
      </c>
      <c r="H178" s="6">
        <v>3.5999999999999997E-2</v>
      </c>
      <c r="I178" s="6"/>
      <c r="J178" s="270">
        <v>4.7E-2</v>
      </c>
      <c r="K178" s="271">
        <v>0.05</v>
      </c>
      <c r="L178" s="6">
        <v>2.2499999999999999E-2</v>
      </c>
      <c r="M178" s="6">
        <v>0.04</v>
      </c>
      <c r="N178" s="6">
        <v>6.25E-2</v>
      </c>
      <c r="O178" s="271">
        <v>7.2499999999999995E-2</v>
      </c>
      <c r="Q178" s="10"/>
      <c r="S178" s="10"/>
      <c r="V178">
        <v>172</v>
      </c>
      <c r="W178" t="s">
        <v>178</v>
      </c>
      <c r="X178" t="s">
        <v>107</v>
      </c>
      <c r="Y178">
        <f t="shared" si="5"/>
        <v>627</v>
      </c>
      <c r="Z178" s="84">
        <v>0</v>
      </c>
    </row>
    <row r="179" spans="1:26">
      <c r="A179">
        <v>174</v>
      </c>
      <c r="B179" s="186" t="s">
        <v>235</v>
      </c>
      <c r="C179" s="186">
        <v>74</v>
      </c>
      <c r="G179" s="272">
        <v>0</v>
      </c>
      <c r="H179" s="6">
        <v>3.5999999999999997E-2</v>
      </c>
      <c r="I179" s="6"/>
      <c r="J179" s="270">
        <v>4.7E-2</v>
      </c>
      <c r="K179" s="271">
        <v>0.05</v>
      </c>
      <c r="L179" s="6">
        <v>2.2499999999999999E-2</v>
      </c>
      <c r="M179" s="6">
        <v>0.04</v>
      </c>
      <c r="N179" s="6">
        <v>6.25E-2</v>
      </c>
      <c r="O179" s="271">
        <v>7.2499999999999995E-2</v>
      </c>
      <c r="Q179" s="10"/>
      <c r="S179" s="10"/>
      <c r="V179">
        <v>173</v>
      </c>
      <c r="W179" t="s">
        <v>179</v>
      </c>
      <c r="X179" t="s">
        <v>107</v>
      </c>
      <c r="Y179">
        <f t="shared" si="5"/>
        <v>628</v>
      </c>
      <c r="Z179" s="84">
        <v>0</v>
      </c>
    </row>
    <row r="180" spans="1:26">
      <c r="A180" s="3">
        <v>175</v>
      </c>
      <c r="B180" s="186" t="s">
        <v>236</v>
      </c>
      <c r="C180" s="186">
        <v>77</v>
      </c>
      <c r="G180" s="272">
        <v>0</v>
      </c>
      <c r="H180" s="6">
        <v>3.5999999999999997E-2</v>
      </c>
      <c r="I180" s="6"/>
      <c r="J180" s="270">
        <v>4.7E-2</v>
      </c>
      <c r="K180" s="271">
        <v>0.05</v>
      </c>
      <c r="L180" s="6">
        <v>2.2499999999999999E-2</v>
      </c>
      <c r="M180" s="6">
        <v>0.04</v>
      </c>
      <c r="N180" s="6">
        <v>6.25E-2</v>
      </c>
      <c r="O180" s="271">
        <v>7.2499999999999995E-2</v>
      </c>
      <c r="Q180" s="10"/>
      <c r="S180" s="10"/>
      <c r="V180">
        <v>174</v>
      </c>
      <c r="W180" t="s">
        <v>138</v>
      </c>
      <c r="X180" t="s">
        <v>108</v>
      </c>
      <c r="Y180">
        <v>700</v>
      </c>
      <c r="Z180" s="84">
        <v>3.5999999999999997E-2</v>
      </c>
    </row>
    <row r="181" spans="1:26">
      <c r="A181">
        <v>176</v>
      </c>
      <c r="B181" s="186" t="s">
        <v>237</v>
      </c>
      <c r="C181" s="186">
        <v>78</v>
      </c>
      <c r="G181" s="272">
        <v>0</v>
      </c>
      <c r="H181" s="6">
        <v>3.5999999999999997E-2</v>
      </c>
      <c r="I181" s="6"/>
      <c r="J181" s="270">
        <v>4.7E-2</v>
      </c>
      <c r="K181" s="271">
        <v>0.05</v>
      </c>
      <c r="L181" s="6">
        <v>2.2499999999999999E-2</v>
      </c>
      <c r="M181" s="6">
        <v>0.04</v>
      </c>
      <c r="N181" s="6">
        <v>6.25E-2</v>
      </c>
      <c r="O181" s="271">
        <v>7.2499999999999995E-2</v>
      </c>
      <c r="Q181" s="10"/>
      <c r="S181" s="10"/>
      <c r="V181">
        <v>175</v>
      </c>
      <c r="W181" t="s">
        <v>139</v>
      </c>
      <c r="X181" t="s">
        <v>108</v>
      </c>
      <c r="Y181">
        <f>+Y180+1</f>
        <v>701</v>
      </c>
      <c r="Z181" s="84">
        <v>3.5999999999999997E-2</v>
      </c>
    </row>
    <row r="182" spans="1:26">
      <c r="A182" s="3">
        <v>177</v>
      </c>
      <c r="B182" s="186" t="s">
        <v>238</v>
      </c>
      <c r="C182" s="186">
        <v>80</v>
      </c>
      <c r="G182" s="272">
        <v>0</v>
      </c>
      <c r="H182" s="6">
        <v>3.5999999999999997E-2</v>
      </c>
      <c r="I182" s="6"/>
      <c r="J182" s="270">
        <v>4.7E-2</v>
      </c>
      <c r="K182" s="271">
        <v>0.05</v>
      </c>
      <c r="L182" s="6">
        <v>2.2499999999999999E-2</v>
      </c>
      <c r="M182" s="6">
        <v>0.04</v>
      </c>
      <c r="N182" s="6">
        <v>6.25E-2</v>
      </c>
      <c r="O182" s="271">
        <v>7.2499999999999995E-2</v>
      </c>
      <c r="Q182" s="10"/>
      <c r="S182" s="10"/>
      <c r="V182">
        <v>176</v>
      </c>
      <c r="W182" t="s">
        <v>140</v>
      </c>
      <c r="X182" t="s">
        <v>108</v>
      </c>
      <c r="Y182">
        <f t="shared" ref="Y182:Y208" si="6">+Y181+1</f>
        <v>702</v>
      </c>
      <c r="Z182" s="84">
        <v>3.5999999999999997E-2</v>
      </c>
    </row>
    <row r="183" spans="1:26">
      <c r="A183">
        <v>178</v>
      </c>
      <c r="B183" s="186" t="s">
        <v>239</v>
      </c>
      <c r="C183" s="186">
        <v>82</v>
      </c>
      <c r="G183" s="272">
        <v>0</v>
      </c>
      <c r="H183" s="6">
        <v>3.5999999999999997E-2</v>
      </c>
      <c r="I183" s="6"/>
      <c r="J183" s="270">
        <v>4.7E-2</v>
      </c>
      <c r="K183" s="271">
        <v>0.05</v>
      </c>
      <c r="L183" s="6">
        <v>2.2499999999999999E-2</v>
      </c>
      <c r="M183" s="6">
        <v>0.04</v>
      </c>
      <c r="N183" s="6">
        <v>6.25E-2</v>
      </c>
      <c r="O183" s="271">
        <v>7.2499999999999995E-2</v>
      </c>
      <c r="Q183" s="10"/>
      <c r="S183" s="10"/>
      <c r="V183">
        <v>177</v>
      </c>
      <c r="W183" t="s">
        <v>142</v>
      </c>
      <c r="X183" t="s">
        <v>108</v>
      </c>
      <c r="Y183">
        <f t="shared" si="6"/>
        <v>703</v>
      </c>
      <c r="Z183" s="84">
        <v>3.5999999999999997E-2</v>
      </c>
    </row>
    <row r="184" spans="1:26">
      <c r="A184" s="3">
        <v>179</v>
      </c>
      <c r="B184" s="186" t="s">
        <v>240</v>
      </c>
      <c r="C184" s="186">
        <v>83</v>
      </c>
      <c r="G184" s="272">
        <v>0</v>
      </c>
      <c r="H184" s="6">
        <v>3.5999999999999997E-2</v>
      </c>
      <c r="I184" s="6"/>
      <c r="J184" s="270">
        <v>4.7E-2</v>
      </c>
      <c r="K184" s="271">
        <v>0.05</v>
      </c>
      <c r="L184" s="6">
        <v>2.2499999999999999E-2</v>
      </c>
      <c r="M184" s="6">
        <v>0.04</v>
      </c>
      <c r="N184" s="6">
        <v>6.25E-2</v>
      </c>
      <c r="O184" s="271">
        <v>7.2499999999999995E-2</v>
      </c>
      <c r="Q184" s="10"/>
      <c r="S184" s="10"/>
      <c r="V184">
        <v>178</v>
      </c>
      <c r="W184" t="s">
        <v>143</v>
      </c>
      <c r="X184" t="s">
        <v>108</v>
      </c>
      <c r="Y184">
        <f t="shared" si="6"/>
        <v>704</v>
      </c>
      <c r="Z184" s="84">
        <v>3.5999999999999997E-2</v>
      </c>
    </row>
    <row r="185" spans="1:26">
      <c r="A185">
        <v>180</v>
      </c>
      <c r="B185" s="186" t="s">
        <v>241</v>
      </c>
      <c r="C185" s="186">
        <v>84</v>
      </c>
      <c r="G185" s="272">
        <v>0</v>
      </c>
      <c r="H185" s="6">
        <v>3.5999999999999997E-2</v>
      </c>
      <c r="I185" s="6"/>
      <c r="J185" s="270">
        <v>4.7E-2</v>
      </c>
      <c r="K185" s="271">
        <v>0.05</v>
      </c>
      <c r="L185" s="6">
        <v>2.2499999999999999E-2</v>
      </c>
      <c r="M185" s="6">
        <v>0.04</v>
      </c>
      <c r="N185" s="6">
        <v>6.25E-2</v>
      </c>
      <c r="O185" s="271">
        <v>7.2499999999999995E-2</v>
      </c>
      <c r="Q185" s="10"/>
      <c r="S185" s="10"/>
      <c r="V185">
        <v>179</v>
      </c>
      <c r="W185" t="s">
        <v>145</v>
      </c>
      <c r="X185" t="s">
        <v>108</v>
      </c>
      <c r="Y185">
        <f t="shared" si="6"/>
        <v>705</v>
      </c>
      <c r="Z185" s="84">
        <v>0</v>
      </c>
    </row>
    <row r="186" spans="1:26">
      <c r="A186" s="3">
        <v>181</v>
      </c>
      <c r="B186" s="186" t="s">
        <v>242</v>
      </c>
      <c r="C186" s="186">
        <v>85</v>
      </c>
      <c r="G186" s="272">
        <v>0</v>
      </c>
      <c r="H186" s="6">
        <v>3.5999999999999997E-2</v>
      </c>
      <c r="I186" s="6"/>
      <c r="J186" s="270">
        <v>4.7E-2</v>
      </c>
      <c r="K186" s="271">
        <v>0.05</v>
      </c>
      <c r="L186" s="6">
        <v>2.2499999999999999E-2</v>
      </c>
      <c r="M186" s="6">
        <v>0.04</v>
      </c>
      <c r="N186" s="6">
        <v>6.25E-2</v>
      </c>
      <c r="O186" s="271">
        <v>7.2499999999999995E-2</v>
      </c>
      <c r="Q186" s="10"/>
      <c r="S186" s="10"/>
      <c r="V186">
        <v>180</v>
      </c>
      <c r="W186" t="s">
        <v>146</v>
      </c>
      <c r="X186" t="s">
        <v>108</v>
      </c>
      <c r="Y186">
        <f t="shared" si="6"/>
        <v>706</v>
      </c>
      <c r="Z186" s="84">
        <v>0</v>
      </c>
    </row>
    <row r="187" spans="1:26">
      <c r="A187">
        <v>182</v>
      </c>
      <c r="B187" s="186" t="s">
        <v>243</v>
      </c>
      <c r="C187" s="186">
        <v>86</v>
      </c>
      <c r="G187" s="272">
        <v>0</v>
      </c>
      <c r="H187" s="6">
        <v>3.5999999999999997E-2</v>
      </c>
      <c r="I187" s="6"/>
      <c r="J187" s="270">
        <v>4.7E-2</v>
      </c>
      <c r="K187" s="271">
        <v>0.05</v>
      </c>
      <c r="L187" s="6">
        <v>2.2499999999999999E-2</v>
      </c>
      <c r="M187" s="6">
        <v>0.04</v>
      </c>
      <c r="N187" s="6">
        <v>6.25E-2</v>
      </c>
      <c r="O187" s="271">
        <v>7.2499999999999995E-2</v>
      </c>
      <c r="Q187" s="10"/>
      <c r="S187" s="10"/>
      <c r="V187">
        <v>181</v>
      </c>
      <c r="W187" t="s">
        <v>148</v>
      </c>
      <c r="X187" t="s">
        <v>108</v>
      </c>
      <c r="Y187">
        <f t="shared" si="6"/>
        <v>707</v>
      </c>
      <c r="Z187" s="84">
        <v>0</v>
      </c>
    </row>
    <row r="188" spans="1:26">
      <c r="A188" s="3">
        <v>183</v>
      </c>
      <c r="B188" s="186" t="s">
        <v>244</v>
      </c>
      <c r="C188" s="186">
        <v>90</v>
      </c>
      <c r="G188" s="272">
        <v>0</v>
      </c>
      <c r="H188" s="6">
        <v>3.5999999999999997E-2</v>
      </c>
      <c r="I188" s="6"/>
      <c r="J188" s="270">
        <v>4.7E-2</v>
      </c>
      <c r="K188" s="271">
        <v>0.05</v>
      </c>
      <c r="L188" s="6">
        <v>2.2499999999999999E-2</v>
      </c>
      <c r="M188" s="6">
        <v>0.04</v>
      </c>
      <c r="N188" s="6">
        <v>6.25E-2</v>
      </c>
      <c r="O188" s="271">
        <v>7.2499999999999995E-2</v>
      </c>
      <c r="Q188" s="10"/>
      <c r="S188" s="10"/>
      <c r="V188">
        <v>182</v>
      </c>
      <c r="W188" t="s">
        <v>149</v>
      </c>
      <c r="X188" t="s">
        <v>108</v>
      </c>
      <c r="Y188">
        <f t="shared" si="6"/>
        <v>708</v>
      </c>
      <c r="Z188" s="84">
        <v>0</v>
      </c>
    </row>
    <row r="189" spans="1:26">
      <c r="A189">
        <v>184</v>
      </c>
      <c r="B189" s="186" t="s">
        <v>245</v>
      </c>
      <c r="C189" s="186">
        <v>91</v>
      </c>
      <c r="G189" s="272">
        <v>0</v>
      </c>
      <c r="H189" s="6">
        <v>3.5999999999999997E-2</v>
      </c>
      <c r="I189" s="6"/>
      <c r="J189" s="270">
        <v>4.7E-2</v>
      </c>
      <c r="K189" s="271">
        <v>0.05</v>
      </c>
      <c r="L189" s="6">
        <v>2.2499999999999999E-2</v>
      </c>
      <c r="M189" s="6">
        <v>0.04</v>
      </c>
      <c r="N189" s="6">
        <v>6.25E-2</v>
      </c>
      <c r="O189" s="271">
        <v>7.2499999999999995E-2</v>
      </c>
      <c r="Q189" s="10"/>
      <c r="S189" s="10"/>
      <c r="V189">
        <v>183</v>
      </c>
      <c r="W189" t="s">
        <v>151</v>
      </c>
      <c r="X189" t="s">
        <v>108</v>
      </c>
      <c r="Y189">
        <f t="shared" si="6"/>
        <v>709</v>
      </c>
      <c r="Z189" s="84">
        <v>0</v>
      </c>
    </row>
    <row r="190" spans="1:26">
      <c r="A190" s="3">
        <v>185</v>
      </c>
      <c r="B190" s="186" t="s">
        <v>246</v>
      </c>
      <c r="C190" s="186">
        <v>92</v>
      </c>
      <c r="G190" s="272">
        <v>0</v>
      </c>
      <c r="H190" s="6">
        <v>3.5999999999999997E-2</v>
      </c>
      <c r="I190" s="6"/>
      <c r="J190" s="270">
        <v>4.7E-2</v>
      </c>
      <c r="K190" s="271">
        <v>0.05</v>
      </c>
      <c r="L190" s="6">
        <v>2.2499999999999999E-2</v>
      </c>
      <c r="M190" s="6">
        <v>0.04</v>
      </c>
      <c r="N190" s="6">
        <v>6.25E-2</v>
      </c>
      <c r="O190" s="271">
        <v>7.2499999999999995E-2</v>
      </c>
      <c r="Q190" s="10"/>
      <c r="S190" s="10"/>
      <c r="V190">
        <v>184</v>
      </c>
      <c r="W190" t="s">
        <v>152</v>
      </c>
      <c r="X190" t="s">
        <v>108</v>
      </c>
      <c r="Y190">
        <f t="shared" si="6"/>
        <v>710</v>
      </c>
      <c r="Z190" s="84">
        <v>0</v>
      </c>
    </row>
    <row r="191" spans="1:26">
      <c r="A191">
        <v>186</v>
      </c>
      <c r="B191" s="186" t="s">
        <v>247</v>
      </c>
      <c r="C191" s="186">
        <v>93</v>
      </c>
      <c r="G191" s="272">
        <v>0</v>
      </c>
      <c r="H191" s="6">
        <v>3.5999999999999997E-2</v>
      </c>
      <c r="I191" s="6"/>
      <c r="J191" s="270">
        <v>4.7E-2</v>
      </c>
      <c r="K191" s="271">
        <v>0.05</v>
      </c>
      <c r="L191" s="6">
        <v>2.2499999999999999E-2</v>
      </c>
      <c r="M191" s="6">
        <v>0.04</v>
      </c>
      <c r="N191" s="6">
        <v>6.25E-2</v>
      </c>
      <c r="O191" s="271">
        <v>7.2499999999999995E-2</v>
      </c>
      <c r="Q191" s="10"/>
      <c r="S191" s="10"/>
      <c r="V191">
        <v>185</v>
      </c>
      <c r="W191" t="s">
        <v>154</v>
      </c>
      <c r="X191" t="s">
        <v>108</v>
      </c>
      <c r="Y191">
        <f t="shared" si="6"/>
        <v>711</v>
      </c>
      <c r="Z191" s="84">
        <v>0</v>
      </c>
    </row>
    <row r="192" spans="1:26">
      <c r="A192" s="3">
        <v>187</v>
      </c>
      <c r="B192" s="186" t="s">
        <v>248</v>
      </c>
      <c r="C192" s="186">
        <v>95</v>
      </c>
      <c r="G192" s="272">
        <v>0</v>
      </c>
      <c r="H192" s="6">
        <v>3.5999999999999997E-2</v>
      </c>
      <c r="I192" s="6"/>
      <c r="J192" s="270">
        <v>4.7E-2</v>
      </c>
      <c r="K192" s="271">
        <v>0.05</v>
      </c>
      <c r="L192" s="6">
        <v>2.2499999999999999E-2</v>
      </c>
      <c r="M192" s="6">
        <v>0.04</v>
      </c>
      <c r="N192" s="6">
        <v>6.25E-2</v>
      </c>
      <c r="O192" s="271">
        <v>7.2499999999999995E-2</v>
      </c>
      <c r="Q192" s="10"/>
      <c r="S192" s="10"/>
      <c r="V192">
        <v>186</v>
      </c>
      <c r="W192" t="s">
        <v>155</v>
      </c>
      <c r="X192" t="s">
        <v>108</v>
      </c>
      <c r="Y192">
        <f t="shared" si="6"/>
        <v>712</v>
      </c>
      <c r="Z192" s="84">
        <v>0</v>
      </c>
    </row>
    <row r="193" spans="1:26">
      <c r="A193">
        <v>188</v>
      </c>
      <c r="B193" s="186" t="s">
        <v>249</v>
      </c>
      <c r="C193" s="186">
        <v>96</v>
      </c>
      <c r="G193" s="272">
        <v>0</v>
      </c>
      <c r="H193" s="6">
        <v>3.5999999999999997E-2</v>
      </c>
      <c r="I193" s="6"/>
      <c r="J193" s="270">
        <v>4.7E-2</v>
      </c>
      <c r="K193" s="271">
        <v>0.05</v>
      </c>
      <c r="L193" s="6">
        <v>2.2499999999999999E-2</v>
      </c>
      <c r="M193" s="6">
        <v>0.04</v>
      </c>
      <c r="N193" s="6">
        <v>6.25E-2</v>
      </c>
      <c r="O193" s="271">
        <v>7.2499999999999995E-2</v>
      </c>
      <c r="Q193" s="10"/>
      <c r="S193" s="10"/>
      <c r="V193">
        <v>187</v>
      </c>
      <c r="W193" t="s">
        <v>157</v>
      </c>
      <c r="X193" t="s">
        <v>108</v>
      </c>
      <c r="Y193">
        <f t="shared" si="6"/>
        <v>713</v>
      </c>
      <c r="Z193" s="84">
        <v>0</v>
      </c>
    </row>
    <row r="194" spans="1:26">
      <c r="A194" s="3">
        <v>189</v>
      </c>
      <c r="B194" s="186" t="s">
        <v>250</v>
      </c>
      <c r="C194" s="186">
        <v>98</v>
      </c>
      <c r="G194" s="272">
        <v>0</v>
      </c>
      <c r="H194" s="6">
        <v>3.5999999999999997E-2</v>
      </c>
      <c r="I194" s="6"/>
      <c r="J194" s="270">
        <v>4.7E-2</v>
      </c>
      <c r="K194" s="271">
        <v>0.05</v>
      </c>
      <c r="L194" s="6">
        <v>2.2499999999999999E-2</v>
      </c>
      <c r="M194" s="6">
        <v>0.04</v>
      </c>
      <c r="N194" s="6">
        <v>6.25E-2</v>
      </c>
      <c r="O194" s="271">
        <v>7.2499999999999995E-2</v>
      </c>
      <c r="Q194" s="10"/>
      <c r="S194" s="10"/>
      <c r="V194">
        <v>188</v>
      </c>
      <c r="W194" t="s">
        <v>158</v>
      </c>
      <c r="X194" t="s">
        <v>108</v>
      </c>
      <c r="Y194">
        <f t="shared" si="6"/>
        <v>714</v>
      </c>
      <c r="Z194" s="84">
        <v>0</v>
      </c>
    </row>
    <row r="195" spans="1:26">
      <c r="A195">
        <v>190</v>
      </c>
      <c r="B195" s="187" t="s">
        <v>251</v>
      </c>
      <c r="C195" s="187">
        <v>99</v>
      </c>
      <c r="G195" s="272">
        <v>0</v>
      </c>
      <c r="H195" s="6">
        <v>3.5999999999999997E-2</v>
      </c>
      <c r="I195" s="6"/>
      <c r="J195" s="270">
        <v>4.7E-2</v>
      </c>
      <c r="K195" s="271">
        <v>0.05</v>
      </c>
      <c r="L195" s="6">
        <v>2.2499999999999999E-2</v>
      </c>
      <c r="M195" s="6">
        <v>0.04</v>
      </c>
      <c r="N195" s="6">
        <v>6.25E-2</v>
      </c>
      <c r="O195" s="271">
        <v>7.2499999999999995E-2</v>
      </c>
      <c r="Q195" s="10"/>
      <c r="S195" s="10"/>
      <c r="V195">
        <v>189</v>
      </c>
      <c r="W195" t="s">
        <v>160</v>
      </c>
      <c r="X195" t="s">
        <v>108</v>
      </c>
      <c r="Y195">
        <f t="shared" si="6"/>
        <v>715</v>
      </c>
      <c r="Z195" s="84">
        <v>0</v>
      </c>
    </row>
    <row r="196" spans="1:26">
      <c r="Q196" s="10"/>
      <c r="S196" s="10"/>
      <c r="V196">
        <v>190</v>
      </c>
      <c r="W196" t="s">
        <v>161</v>
      </c>
      <c r="X196" t="s">
        <v>108</v>
      </c>
      <c r="Y196">
        <f t="shared" si="6"/>
        <v>716</v>
      </c>
      <c r="Z196" s="84">
        <v>0</v>
      </c>
    </row>
    <row r="197" spans="1:26">
      <c r="Q197" s="10"/>
      <c r="S197" s="10"/>
      <c r="V197">
        <v>191</v>
      </c>
      <c r="W197" t="s">
        <v>163</v>
      </c>
      <c r="X197" t="s">
        <v>108</v>
      </c>
      <c r="Y197">
        <f t="shared" si="6"/>
        <v>717</v>
      </c>
      <c r="Z197" s="84">
        <v>0</v>
      </c>
    </row>
    <row r="198" spans="1:26">
      <c r="Q198" s="10"/>
      <c r="S198" s="10"/>
      <c r="V198">
        <v>192</v>
      </c>
      <c r="W198" t="s">
        <v>164</v>
      </c>
      <c r="X198" t="s">
        <v>108</v>
      </c>
      <c r="Y198">
        <f t="shared" si="6"/>
        <v>718</v>
      </c>
      <c r="Z198" s="84">
        <v>0</v>
      </c>
    </row>
    <row r="199" spans="1:26">
      <c r="Q199" s="10"/>
      <c r="S199" s="10"/>
      <c r="V199">
        <v>193</v>
      </c>
      <c r="W199" t="s">
        <v>166</v>
      </c>
      <c r="X199" t="s">
        <v>108</v>
      </c>
      <c r="Y199">
        <f t="shared" si="6"/>
        <v>719</v>
      </c>
      <c r="Z199" s="84">
        <v>0</v>
      </c>
    </row>
    <row r="200" spans="1:26">
      <c r="Q200" s="10"/>
      <c r="S200" s="10"/>
      <c r="V200">
        <v>194</v>
      </c>
      <c r="W200" t="s">
        <v>167</v>
      </c>
      <c r="X200" t="s">
        <v>108</v>
      </c>
      <c r="Y200">
        <f t="shared" si="6"/>
        <v>720</v>
      </c>
      <c r="Z200" s="84">
        <v>0</v>
      </c>
    </row>
    <row r="201" spans="1:26">
      <c r="Q201" s="10"/>
      <c r="S201" s="10"/>
      <c r="V201">
        <v>195</v>
      </c>
      <c r="W201" t="s">
        <v>169</v>
      </c>
      <c r="X201" t="s">
        <v>108</v>
      </c>
      <c r="Y201">
        <f t="shared" si="6"/>
        <v>721</v>
      </c>
      <c r="Z201" s="84">
        <v>0</v>
      </c>
    </row>
    <row r="202" spans="1:26">
      <c r="Q202" s="10"/>
      <c r="S202" s="10"/>
      <c r="V202">
        <v>196</v>
      </c>
      <c r="W202" t="s">
        <v>170</v>
      </c>
      <c r="X202" t="s">
        <v>108</v>
      </c>
      <c r="Y202">
        <f t="shared" si="6"/>
        <v>722</v>
      </c>
      <c r="Z202" s="84">
        <v>0</v>
      </c>
    </row>
    <row r="203" spans="1:26">
      <c r="Q203" s="10"/>
      <c r="S203" s="10"/>
      <c r="V203">
        <v>197</v>
      </c>
      <c r="W203" t="s">
        <v>172</v>
      </c>
      <c r="X203" t="s">
        <v>108</v>
      </c>
      <c r="Y203">
        <f t="shared" si="6"/>
        <v>723</v>
      </c>
      <c r="Z203" s="84">
        <v>0</v>
      </c>
    </row>
    <row r="204" spans="1:26">
      <c r="Q204" s="10"/>
      <c r="S204" s="10"/>
      <c r="V204">
        <v>198</v>
      </c>
      <c r="W204" t="s">
        <v>173</v>
      </c>
      <c r="X204" t="s">
        <v>108</v>
      </c>
      <c r="Y204">
        <f t="shared" si="6"/>
        <v>724</v>
      </c>
      <c r="Z204" s="84">
        <v>0</v>
      </c>
    </row>
    <row r="205" spans="1:26">
      <c r="Q205" s="10"/>
      <c r="S205" s="10"/>
      <c r="V205">
        <v>199</v>
      </c>
      <c r="W205" t="s">
        <v>175</v>
      </c>
      <c r="X205" t="s">
        <v>108</v>
      </c>
      <c r="Y205">
        <f t="shared" si="6"/>
        <v>725</v>
      </c>
      <c r="Z205" s="84">
        <v>0</v>
      </c>
    </row>
    <row r="206" spans="1:26">
      <c r="Q206" s="10"/>
      <c r="S206" s="10"/>
      <c r="V206">
        <v>200</v>
      </c>
      <c r="W206" t="s">
        <v>176</v>
      </c>
      <c r="X206" t="s">
        <v>108</v>
      </c>
      <c r="Y206">
        <f t="shared" si="6"/>
        <v>726</v>
      </c>
      <c r="Z206" s="84">
        <v>0</v>
      </c>
    </row>
    <row r="207" spans="1:26">
      <c r="Q207" s="10"/>
      <c r="S207" s="10"/>
      <c r="V207">
        <v>201</v>
      </c>
      <c r="W207" t="s">
        <v>178</v>
      </c>
      <c r="X207" t="s">
        <v>108</v>
      </c>
      <c r="Y207">
        <f t="shared" si="6"/>
        <v>727</v>
      </c>
      <c r="Z207" s="84">
        <v>0</v>
      </c>
    </row>
    <row r="208" spans="1:26">
      <c r="Q208" s="10"/>
      <c r="S208" s="10"/>
      <c r="V208">
        <v>202</v>
      </c>
      <c r="W208" t="s">
        <v>179</v>
      </c>
      <c r="X208" t="s">
        <v>108</v>
      </c>
      <c r="Y208">
        <f t="shared" si="6"/>
        <v>728</v>
      </c>
      <c r="Z208" s="84">
        <v>0</v>
      </c>
    </row>
    <row r="209" spans="17:26">
      <c r="Q209" s="10"/>
      <c r="S209" s="10"/>
      <c r="V209">
        <v>203</v>
      </c>
      <c r="W209" t="s">
        <v>138</v>
      </c>
      <c r="X209" s="1" t="s">
        <v>109</v>
      </c>
      <c r="Y209">
        <v>800</v>
      </c>
      <c r="Z209" s="84">
        <v>0</v>
      </c>
    </row>
    <row r="210" spans="17:26">
      <c r="Q210" s="10"/>
      <c r="S210" s="10"/>
      <c r="V210">
        <v>204</v>
      </c>
      <c r="W210" t="s">
        <v>139</v>
      </c>
      <c r="X210" s="1" t="s">
        <v>109</v>
      </c>
      <c r="Y210">
        <f>+Y209+1</f>
        <v>801</v>
      </c>
      <c r="Z210" s="84">
        <v>0</v>
      </c>
    </row>
    <row r="211" spans="17:26">
      <c r="Q211" s="10"/>
      <c r="S211" s="10"/>
      <c r="V211">
        <v>205</v>
      </c>
      <c r="W211" t="s">
        <v>140</v>
      </c>
      <c r="X211" s="1" t="s">
        <v>109</v>
      </c>
      <c r="Y211">
        <f t="shared" ref="Y211:Y237" si="7">+Y210+1</f>
        <v>802</v>
      </c>
      <c r="Z211" s="84">
        <v>0</v>
      </c>
    </row>
    <row r="212" spans="17:26">
      <c r="Q212" s="10"/>
      <c r="S212" s="10"/>
      <c r="V212">
        <v>206</v>
      </c>
      <c r="W212" t="s">
        <v>142</v>
      </c>
      <c r="X212" s="1" t="s">
        <v>109</v>
      </c>
      <c r="Y212">
        <f t="shared" si="7"/>
        <v>803</v>
      </c>
      <c r="Z212" s="84">
        <v>0</v>
      </c>
    </row>
    <row r="213" spans="17:26">
      <c r="Q213" s="10"/>
      <c r="S213" s="10"/>
      <c r="V213">
        <v>207</v>
      </c>
      <c r="W213" t="s">
        <v>143</v>
      </c>
      <c r="X213" s="1" t="s">
        <v>109</v>
      </c>
      <c r="Y213">
        <f t="shared" si="7"/>
        <v>804</v>
      </c>
      <c r="Z213" s="84">
        <v>0</v>
      </c>
    </row>
    <row r="214" spans="17:26">
      <c r="Q214" s="10"/>
      <c r="S214" s="10"/>
      <c r="V214">
        <v>208</v>
      </c>
      <c r="W214" t="s">
        <v>145</v>
      </c>
      <c r="X214" s="1" t="s">
        <v>109</v>
      </c>
      <c r="Y214">
        <f t="shared" si="7"/>
        <v>805</v>
      </c>
      <c r="Z214" s="84">
        <v>0</v>
      </c>
    </row>
    <row r="215" spans="17:26">
      <c r="Q215" s="10"/>
      <c r="S215" s="10"/>
      <c r="V215">
        <v>209</v>
      </c>
      <c r="W215" t="s">
        <v>146</v>
      </c>
      <c r="X215" s="1" t="s">
        <v>109</v>
      </c>
      <c r="Y215">
        <f t="shared" si="7"/>
        <v>806</v>
      </c>
      <c r="Z215" s="84">
        <v>0</v>
      </c>
    </row>
    <row r="216" spans="17:26">
      <c r="Q216" s="10"/>
      <c r="S216" s="10"/>
      <c r="V216">
        <v>210</v>
      </c>
      <c r="W216" t="s">
        <v>148</v>
      </c>
      <c r="X216" s="1" t="s">
        <v>109</v>
      </c>
      <c r="Y216">
        <f t="shared" si="7"/>
        <v>807</v>
      </c>
      <c r="Z216" s="84">
        <v>0</v>
      </c>
    </row>
    <row r="217" spans="17:26">
      <c r="Q217" s="10"/>
      <c r="S217" s="10"/>
      <c r="V217">
        <v>211</v>
      </c>
      <c r="W217" t="s">
        <v>149</v>
      </c>
      <c r="X217" s="1" t="s">
        <v>109</v>
      </c>
      <c r="Y217">
        <f t="shared" si="7"/>
        <v>808</v>
      </c>
      <c r="Z217" s="84">
        <v>0</v>
      </c>
    </row>
    <row r="218" spans="17:26">
      <c r="Q218" s="10"/>
      <c r="S218" s="10"/>
      <c r="V218">
        <v>212</v>
      </c>
      <c r="W218" t="s">
        <v>151</v>
      </c>
      <c r="X218" s="1" t="s">
        <v>109</v>
      </c>
      <c r="Y218">
        <f t="shared" si="7"/>
        <v>809</v>
      </c>
      <c r="Z218" s="84">
        <v>0</v>
      </c>
    </row>
    <row r="219" spans="17:26">
      <c r="Q219" s="10"/>
      <c r="S219" s="10"/>
      <c r="V219">
        <v>213</v>
      </c>
      <c r="W219" t="s">
        <v>152</v>
      </c>
      <c r="X219" s="1" t="s">
        <v>109</v>
      </c>
      <c r="Y219">
        <f t="shared" si="7"/>
        <v>810</v>
      </c>
      <c r="Z219" s="84">
        <v>0</v>
      </c>
    </row>
    <row r="220" spans="17:26">
      <c r="Q220" s="10"/>
      <c r="S220" s="10"/>
      <c r="V220">
        <v>214</v>
      </c>
      <c r="W220" t="s">
        <v>154</v>
      </c>
      <c r="X220" s="1" t="s">
        <v>109</v>
      </c>
      <c r="Y220">
        <f t="shared" si="7"/>
        <v>811</v>
      </c>
      <c r="Z220" s="84">
        <v>0</v>
      </c>
    </row>
    <row r="221" spans="17:26">
      <c r="Q221" s="10"/>
      <c r="S221" s="10"/>
      <c r="V221">
        <v>215</v>
      </c>
      <c r="W221" t="s">
        <v>155</v>
      </c>
      <c r="X221" s="1" t="s">
        <v>109</v>
      </c>
      <c r="Y221">
        <f t="shared" si="7"/>
        <v>812</v>
      </c>
      <c r="Z221" s="84">
        <v>0</v>
      </c>
    </row>
    <row r="222" spans="17:26">
      <c r="Q222" s="10"/>
      <c r="S222" s="10"/>
      <c r="V222">
        <v>216</v>
      </c>
      <c r="W222" t="s">
        <v>157</v>
      </c>
      <c r="X222" s="1" t="s">
        <v>109</v>
      </c>
      <c r="Y222">
        <f t="shared" si="7"/>
        <v>813</v>
      </c>
      <c r="Z222" s="84">
        <v>0</v>
      </c>
    </row>
    <row r="223" spans="17:26">
      <c r="Q223" s="10"/>
      <c r="S223" s="10"/>
      <c r="V223">
        <v>217</v>
      </c>
      <c r="W223" t="s">
        <v>158</v>
      </c>
      <c r="X223" s="1" t="s">
        <v>109</v>
      </c>
      <c r="Y223">
        <f t="shared" si="7"/>
        <v>814</v>
      </c>
      <c r="Z223" s="84">
        <v>0</v>
      </c>
    </row>
    <row r="224" spans="17:26">
      <c r="Q224" s="10"/>
      <c r="S224" s="10"/>
      <c r="V224">
        <v>218</v>
      </c>
      <c r="W224" t="s">
        <v>160</v>
      </c>
      <c r="X224" s="1" t="s">
        <v>109</v>
      </c>
      <c r="Y224">
        <f t="shared" si="7"/>
        <v>815</v>
      </c>
      <c r="Z224" s="84">
        <v>0</v>
      </c>
    </row>
    <row r="225" spans="17:26">
      <c r="Q225" s="10"/>
      <c r="S225" s="10"/>
      <c r="V225">
        <v>219</v>
      </c>
      <c r="W225" t="s">
        <v>161</v>
      </c>
      <c r="X225" s="1" t="s">
        <v>109</v>
      </c>
      <c r="Y225">
        <f t="shared" si="7"/>
        <v>816</v>
      </c>
      <c r="Z225" s="84">
        <v>0</v>
      </c>
    </row>
    <row r="226" spans="17:26">
      <c r="Q226" s="10"/>
      <c r="S226" s="10"/>
      <c r="V226">
        <v>220</v>
      </c>
      <c r="W226" t="s">
        <v>163</v>
      </c>
      <c r="X226" s="1" t="s">
        <v>109</v>
      </c>
      <c r="Y226">
        <f t="shared" si="7"/>
        <v>817</v>
      </c>
      <c r="Z226" s="84">
        <v>0</v>
      </c>
    </row>
    <row r="227" spans="17:26">
      <c r="Q227" s="10"/>
      <c r="S227" s="10"/>
      <c r="V227">
        <v>221</v>
      </c>
      <c r="W227" t="s">
        <v>164</v>
      </c>
      <c r="X227" s="1" t="s">
        <v>109</v>
      </c>
      <c r="Y227">
        <f t="shared" si="7"/>
        <v>818</v>
      </c>
      <c r="Z227" s="84">
        <v>0</v>
      </c>
    </row>
    <row r="228" spans="17:26">
      <c r="Q228" s="10"/>
      <c r="S228" s="10"/>
      <c r="V228">
        <v>222</v>
      </c>
      <c r="W228" t="s">
        <v>166</v>
      </c>
      <c r="X228" s="1" t="s">
        <v>109</v>
      </c>
      <c r="Y228">
        <f t="shared" si="7"/>
        <v>819</v>
      </c>
      <c r="Z228" s="84">
        <v>0</v>
      </c>
    </row>
    <row r="229" spans="17:26">
      <c r="Q229" s="10"/>
      <c r="S229" s="10"/>
      <c r="V229">
        <v>223</v>
      </c>
      <c r="W229" t="s">
        <v>167</v>
      </c>
      <c r="X229" s="1" t="s">
        <v>109</v>
      </c>
      <c r="Y229">
        <f t="shared" si="7"/>
        <v>820</v>
      </c>
      <c r="Z229" s="84">
        <v>0</v>
      </c>
    </row>
    <row r="230" spans="17:26">
      <c r="Q230" s="10"/>
      <c r="S230" s="10"/>
      <c r="V230">
        <v>224</v>
      </c>
      <c r="W230" t="s">
        <v>169</v>
      </c>
      <c r="X230" s="1" t="s">
        <v>109</v>
      </c>
      <c r="Y230">
        <f t="shared" si="7"/>
        <v>821</v>
      </c>
      <c r="Z230" s="84">
        <v>0</v>
      </c>
    </row>
    <row r="231" spans="17:26">
      <c r="Q231" s="10"/>
      <c r="S231" s="10"/>
      <c r="V231">
        <v>225</v>
      </c>
      <c r="W231" t="s">
        <v>170</v>
      </c>
      <c r="X231" s="1" t="s">
        <v>109</v>
      </c>
      <c r="Y231">
        <f t="shared" si="7"/>
        <v>822</v>
      </c>
      <c r="Z231" s="84">
        <v>0</v>
      </c>
    </row>
    <row r="232" spans="17:26">
      <c r="Q232" s="10"/>
      <c r="S232" s="10"/>
      <c r="V232">
        <v>226</v>
      </c>
      <c r="W232" t="s">
        <v>172</v>
      </c>
      <c r="X232" s="1" t="s">
        <v>109</v>
      </c>
      <c r="Y232">
        <f t="shared" si="7"/>
        <v>823</v>
      </c>
      <c r="Z232" s="84">
        <v>0</v>
      </c>
    </row>
    <row r="233" spans="17:26">
      <c r="Q233" s="10"/>
      <c r="S233" s="10"/>
      <c r="V233">
        <v>227</v>
      </c>
      <c r="W233" t="s">
        <v>173</v>
      </c>
      <c r="X233" s="1" t="s">
        <v>109</v>
      </c>
      <c r="Y233">
        <f t="shared" si="7"/>
        <v>824</v>
      </c>
      <c r="Z233" s="84">
        <v>0</v>
      </c>
    </row>
    <row r="234" spans="17:26">
      <c r="Q234" s="10"/>
      <c r="S234" s="10"/>
      <c r="V234">
        <v>228</v>
      </c>
      <c r="W234" t="s">
        <v>175</v>
      </c>
      <c r="X234" s="1" t="s">
        <v>109</v>
      </c>
      <c r="Y234">
        <f t="shared" si="7"/>
        <v>825</v>
      </c>
      <c r="Z234" s="84">
        <v>0</v>
      </c>
    </row>
    <row r="235" spans="17:26">
      <c r="Q235" s="10"/>
      <c r="S235" s="10"/>
      <c r="V235">
        <v>229</v>
      </c>
      <c r="W235" t="s">
        <v>176</v>
      </c>
      <c r="X235" s="1" t="s">
        <v>109</v>
      </c>
      <c r="Y235">
        <f t="shared" si="7"/>
        <v>826</v>
      </c>
      <c r="Z235" s="84">
        <v>0</v>
      </c>
    </row>
    <row r="236" spans="17:26">
      <c r="Q236" s="10"/>
      <c r="S236" s="10"/>
      <c r="V236">
        <v>230</v>
      </c>
      <c r="W236" t="s">
        <v>178</v>
      </c>
      <c r="X236" s="1" t="s">
        <v>109</v>
      </c>
      <c r="Y236">
        <f t="shared" si="7"/>
        <v>827</v>
      </c>
      <c r="Z236" s="84">
        <v>0</v>
      </c>
    </row>
    <row r="237" spans="17:26">
      <c r="Q237" s="10"/>
      <c r="S237" s="10"/>
      <c r="V237">
        <v>231</v>
      </c>
      <c r="W237" t="s">
        <v>179</v>
      </c>
      <c r="X237" s="1" t="s">
        <v>109</v>
      </c>
      <c r="Y237">
        <f t="shared" si="7"/>
        <v>828</v>
      </c>
      <c r="Z237" s="84">
        <v>0</v>
      </c>
    </row>
    <row r="238" spans="17:26">
      <c r="Q238" s="10"/>
      <c r="S238" s="10"/>
      <c r="V238">
        <v>232</v>
      </c>
      <c r="W238" t="s">
        <v>138</v>
      </c>
      <c r="X238" t="s">
        <v>110</v>
      </c>
      <c r="Y238">
        <v>900</v>
      </c>
      <c r="Z238" s="84">
        <v>0</v>
      </c>
    </row>
    <row r="239" spans="17:26">
      <c r="Q239" s="10"/>
      <c r="S239" s="10"/>
      <c r="V239">
        <v>233</v>
      </c>
      <c r="W239" t="s">
        <v>139</v>
      </c>
      <c r="X239" t="s">
        <v>110</v>
      </c>
      <c r="Y239">
        <f>+Y238+1</f>
        <v>901</v>
      </c>
      <c r="Z239" s="84">
        <v>0</v>
      </c>
    </row>
    <row r="240" spans="17:26">
      <c r="Q240" s="10"/>
      <c r="S240" s="10"/>
      <c r="V240">
        <v>234</v>
      </c>
      <c r="W240" t="s">
        <v>140</v>
      </c>
      <c r="X240" t="s">
        <v>110</v>
      </c>
      <c r="Y240">
        <f t="shared" ref="Y240:Y266" si="8">+Y239+1</f>
        <v>902</v>
      </c>
      <c r="Z240" s="84">
        <v>0</v>
      </c>
    </row>
    <row r="241" spans="17:26">
      <c r="Q241" s="10"/>
      <c r="S241" s="10"/>
      <c r="V241">
        <v>235</v>
      </c>
      <c r="W241" t="s">
        <v>142</v>
      </c>
      <c r="X241" t="s">
        <v>110</v>
      </c>
      <c r="Y241">
        <f t="shared" si="8"/>
        <v>903</v>
      </c>
      <c r="Z241" s="84">
        <v>0</v>
      </c>
    </row>
    <row r="242" spans="17:26">
      <c r="Q242" s="10"/>
      <c r="S242" s="10"/>
      <c r="V242">
        <v>236</v>
      </c>
      <c r="W242" t="s">
        <v>143</v>
      </c>
      <c r="X242" t="s">
        <v>110</v>
      </c>
      <c r="Y242">
        <f t="shared" si="8"/>
        <v>904</v>
      </c>
      <c r="Z242" s="84">
        <v>0</v>
      </c>
    </row>
    <row r="243" spans="17:26">
      <c r="Q243" s="10"/>
      <c r="S243" s="10"/>
      <c r="V243">
        <v>237</v>
      </c>
      <c r="W243" t="s">
        <v>145</v>
      </c>
      <c r="X243" t="s">
        <v>110</v>
      </c>
      <c r="Z243" s="84">
        <v>0</v>
      </c>
    </row>
    <row r="244" spans="17:26">
      <c r="Q244" s="10"/>
      <c r="S244" s="10"/>
      <c r="V244">
        <v>238</v>
      </c>
      <c r="W244" t="s">
        <v>146</v>
      </c>
      <c r="X244" t="s">
        <v>110</v>
      </c>
      <c r="Y244">
        <f>+Y242+1</f>
        <v>905</v>
      </c>
      <c r="Z244" s="84">
        <v>0</v>
      </c>
    </row>
    <row r="245" spans="17:26">
      <c r="Q245" s="10"/>
      <c r="S245" s="10"/>
      <c r="V245">
        <v>239</v>
      </c>
      <c r="W245" t="s">
        <v>148</v>
      </c>
      <c r="X245" t="s">
        <v>110</v>
      </c>
      <c r="Y245">
        <f t="shared" si="8"/>
        <v>906</v>
      </c>
      <c r="Z245" s="84">
        <v>0</v>
      </c>
    </row>
    <row r="246" spans="17:26">
      <c r="Q246" s="10"/>
      <c r="S246" s="10"/>
      <c r="V246">
        <v>240</v>
      </c>
      <c r="W246" t="s">
        <v>149</v>
      </c>
      <c r="X246" t="s">
        <v>110</v>
      </c>
      <c r="Y246">
        <f t="shared" si="8"/>
        <v>907</v>
      </c>
      <c r="Z246" s="84">
        <v>0</v>
      </c>
    </row>
    <row r="247" spans="17:26">
      <c r="Q247" s="10"/>
      <c r="S247" s="10"/>
      <c r="V247">
        <v>241</v>
      </c>
      <c r="W247" t="s">
        <v>151</v>
      </c>
      <c r="X247" t="s">
        <v>110</v>
      </c>
      <c r="Y247">
        <f t="shared" si="8"/>
        <v>908</v>
      </c>
      <c r="Z247" s="84">
        <v>0</v>
      </c>
    </row>
    <row r="248" spans="17:26">
      <c r="Q248" s="10"/>
      <c r="S248" s="10"/>
      <c r="V248">
        <v>242</v>
      </c>
      <c r="W248" t="s">
        <v>152</v>
      </c>
      <c r="X248" t="s">
        <v>110</v>
      </c>
      <c r="Y248">
        <f t="shared" si="8"/>
        <v>909</v>
      </c>
      <c r="Z248" s="84">
        <v>0</v>
      </c>
    </row>
    <row r="249" spans="17:26">
      <c r="Q249" s="10"/>
      <c r="S249" s="10"/>
      <c r="V249">
        <v>243</v>
      </c>
      <c r="W249" t="s">
        <v>154</v>
      </c>
      <c r="X249" t="s">
        <v>110</v>
      </c>
      <c r="Y249">
        <f t="shared" si="8"/>
        <v>910</v>
      </c>
      <c r="Z249" s="84">
        <v>0</v>
      </c>
    </row>
    <row r="250" spans="17:26">
      <c r="Q250" s="10"/>
      <c r="S250" s="10"/>
      <c r="V250">
        <v>244</v>
      </c>
      <c r="W250" t="s">
        <v>155</v>
      </c>
      <c r="X250" t="s">
        <v>110</v>
      </c>
      <c r="Y250">
        <f t="shared" si="8"/>
        <v>911</v>
      </c>
      <c r="Z250" s="84">
        <v>0</v>
      </c>
    </row>
    <row r="251" spans="17:26">
      <c r="Q251" s="10"/>
      <c r="S251" s="10"/>
      <c r="V251">
        <v>245</v>
      </c>
      <c r="W251" t="s">
        <v>157</v>
      </c>
      <c r="X251" t="s">
        <v>110</v>
      </c>
      <c r="Y251">
        <f t="shared" si="8"/>
        <v>912</v>
      </c>
      <c r="Z251" s="84">
        <v>0</v>
      </c>
    </row>
    <row r="252" spans="17:26">
      <c r="Q252" s="10"/>
      <c r="S252" s="10"/>
      <c r="V252">
        <v>246</v>
      </c>
      <c r="W252" t="s">
        <v>158</v>
      </c>
      <c r="X252" t="s">
        <v>110</v>
      </c>
      <c r="Y252">
        <f t="shared" si="8"/>
        <v>913</v>
      </c>
      <c r="Z252" s="84">
        <v>0</v>
      </c>
    </row>
    <row r="253" spans="17:26">
      <c r="Q253" s="10"/>
      <c r="S253" s="10"/>
      <c r="V253">
        <v>247</v>
      </c>
      <c r="W253" t="s">
        <v>160</v>
      </c>
      <c r="X253" t="s">
        <v>110</v>
      </c>
      <c r="Y253">
        <f t="shared" si="8"/>
        <v>914</v>
      </c>
      <c r="Z253" s="84">
        <v>0</v>
      </c>
    </row>
    <row r="254" spans="17:26">
      <c r="Q254" s="10"/>
      <c r="S254" s="10"/>
      <c r="V254">
        <v>248</v>
      </c>
      <c r="W254" t="s">
        <v>161</v>
      </c>
      <c r="X254" t="s">
        <v>110</v>
      </c>
      <c r="Y254">
        <f t="shared" si="8"/>
        <v>915</v>
      </c>
      <c r="Z254" s="84">
        <v>0</v>
      </c>
    </row>
    <row r="255" spans="17:26">
      <c r="Q255" s="10"/>
      <c r="S255" s="10"/>
      <c r="V255">
        <v>249</v>
      </c>
      <c r="W255" t="s">
        <v>163</v>
      </c>
      <c r="X255" t="s">
        <v>110</v>
      </c>
      <c r="Y255">
        <f t="shared" si="8"/>
        <v>916</v>
      </c>
      <c r="Z255" s="84">
        <v>0</v>
      </c>
    </row>
    <row r="256" spans="17:26">
      <c r="Q256" s="10"/>
      <c r="S256" s="10"/>
      <c r="V256">
        <v>250</v>
      </c>
      <c r="W256" t="s">
        <v>164</v>
      </c>
      <c r="X256" t="s">
        <v>110</v>
      </c>
      <c r="Y256">
        <f t="shared" si="8"/>
        <v>917</v>
      </c>
      <c r="Z256" s="84">
        <v>0</v>
      </c>
    </row>
    <row r="257" spans="17:26">
      <c r="Q257" s="10"/>
      <c r="S257" s="10"/>
      <c r="V257">
        <v>251</v>
      </c>
      <c r="W257" t="s">
        <v>166</v>
      </c>
      <c r="X257" t="s">
        <v>110</v>
      </c>
      <c r="Y257">
        <f t="shared" si="8"/>
        <v>918</v>
      </c>
      <c r="Z257" s="84">
        <v>0</v>
      </c>
    </row>
    <row r="258" spans="17:26">
      <c r="Q258" s="10"/>
      <c r="S258" s="10"/>
      <c r="V258">
        <v>252</v>
      </c>
      <c r="W258" t="s">
        <v>167</v>
      </c>
      <c r="X258" t="s">
        <v>110</v>
      </c>
      <c r="Y258">
        <f t="shared" si="8"/>
        <v>919</v>
      </c>
      <c r="Z258" s="84">
        <v>0</v>
      </c>
    </row>
    <row r="259" spans="17:26">
      <c r="Q259" s="10"/>
      <c r="S259" s="10"/>
      <c r="V259">
        <v>253</v>
      </c>
      <c r="W259" t="s">
        <v>169</v>
      </c>
      <c r="X259" t="s">
        <v>110</v>
      </c>
      <c r="Y259">
        <f t="shared" si="8"/>
        <v>920</v>
      </c>
      <c r="Z259" s="84">
        <v>0</v>
      </c>
    </row>
    <row r="260" spans="17:26">
      <c r="Q260" s="10"/>
      <c r="S260" s="10"/>
      <c r="V260">
        <v>254</v>
      </c>
      <c r="W260" t="s">
        <v>170</v>
      </c>
      <c r="X260" t="s">
        <v>110</v>
      </c>
      <c r="Y260">
        <f t="shared" si="8"/>
        <v>921</v>
      </c>
      <c r="Z260" s="84">
        <v>0</v>
      </c>
    </row>
    <row r="261" spans="17:26">
      <c r="Q261" s="10"/>
      <c r="S261" s="10"/>
      <c r="V261">
        <v>255</v>
      </c>
      <c r="W261" t="s">
        <v>172</v>
      </c>
      <c r="X261" t="s">
        <v>110</v>
      </c>
      <c r="Y261">
        <f t="shared" si="8"/>
        <v>922</v>
      </c>
      <c r="Z261" s="84">
        <v>0</v>
      </c>
    </row>
    <row r="262" spans="17:26">
      <c r="Q262" s="10"/>
      <c r="S262" s="10"/>
      <c r="V262">
        <v>256</v>
      </c>
      <c r="W262" t="s">
        <v>173</v>
      </c>
      <c r="X262" t="s">
        <v>110</v>
      </c>
      <c r="Y262">
        <f t="shared" si="8"/>
        <v>923</v>
      </c>
      <c r="Z262" s="84">
        <v>0</v>
      </c>
    </row>
    <row r="263" spans="17:26">
      <c r="Q263" s="10"/>
      <c r="S263" s="10"/>
      <c r="V263">
        <v>257</v>
      </c>
      <c r="W263" t="s">
        <v>175</v>
      </c>
      <c r="X263" t="s">
        <v>110</v>
      </c>
      <c r="Y263">
        <f t="shared" si="8"/>
        <v>924</v>
      </c>
      <c r="Z263" s="84">
        <v>0</v>
      </c>
    </row>
    <row r="264" spans="17:26">
      <c r="Q264" s="10"/>
      <c r="S264" s="10"/>
      <c r="V264">
        <v>258</v>
      </c>
      <c r="W264" t="s">
        <v>176</v>
      </c>
      <c r="X264" t="s">
        <v>110</v>
      </c>
      <c r="Y264">
        <f t="shared" si="8"/>
        <v>925</v>
      </c>
      <c r="Z264" s="84">
        <v>0</v>
      </c>
    </row>
    <row r="265" spans="17:26">
      <c r="Q265" s="10"/>
      <c r="S265" s="10"/>
      <c r="V265">
        <v>259</v>
      </c>
      <c r="W265" t="s">
        <v>178</v>
      </c>
      <c r="X265" t="s">
        <v>110</v>
      </c>
      <c r="Y265">
        <f t="shared" si="8"/>
        <v>926</v>
      </c>
      <c r="Z265" s="84">
        <v>0</v>
      </c>
    </row>
    <row r="266" spans="17:26">
      <c r="Q266" s="10"/>
      <c r="S266" s="10"/>
      <c r="V266">
        <v>260</v>
      </c>
      <c r="W266" t="s">
        <v>179</v>
      </c>
      <c r="X266" t="s">
        <v>110</v>
      </c>
      <c r="Y266">
        <f t="shared" si="8"/>
        <v>927</v>
      </c>
      <c r="Z266" s="84">
        <v>0</v>
      </c>
    </row>
    <row r="267" spans="17:26">
      <c r="Q267" s="10"/>
      <c r="S267" s="10"/>
      <c r="V267">
        <v>261</v>
      </c>
      <c r="W267" t="s">
        <v>138</v>
      </c>
      <c r="X267" t="s">
        <v>111</v>
      </c>
      <c r="Y267">
        <v>1000</v>
      </c>
      <c r="Z267" s="84">
        <v>0</v>
      </c>
    </row>
    <row r="268" spans="17:26">
      <c r="Q268" s="10"/>
      <c r="S268" s="10"/>
      <c r="V268">
        <v>262</v>
      </c>
      <c r="W268" t="s">
        <v>139</v>
      </c>
      <c r="X268" t="s">
        <v>111</v>
      </c>
      <c r="Y268">
        <f>+Y267+1</f>
        <v>1001</v>
      </c>
      <c r="Z268" s="84">
        <v>0</v>
      </c>
    </row>
    <row r="269" spans="17:26">
      <c r="Q269" s="10"/>
      <c r="S269" s="10"/>
      <c r="V269">
        <v>263</v>
      </c>
      <c r="W269" t="s">
        <v>140</v>
      </c>
      <c r="X269" t="s">
        <v>111</v>
      </c>
      <c r="Y269">
        <f t="shared" ref="Y269:Y295" si="9">+Y268+1</f>
        <v>1002</v>
      </c>
      <c r="Z269" s="84">
        <v>0</v>
      </c>
    </row>
    <row r="270" spans="17:26">
      <c r="Q270" s="10"/>
      <c r="S270" s="10"/>
      <c r="V270">
        <v>264</v>
      </c>
      <c r="W270" t="s">
        <v>142</v>
      </c>
      <c r="X270" t="s">
        <v>111</v>
      </c>
      <c r="Y270">
        <f t="shared" si="9"/>
        <v>1003</v>
      </c>
      <c r="Z270" s="84">
        <v>0</v>
      </c>
    </row>
    <row r="271" spans="17:26">
      <c r="Q271" s="10"/>
      <c r="S271" s="10"/>
      <c r="V271">
        <v>265</v>
      </c>
      <c r="W271" t="s">
        <v>143</v>
      </c>
      <c r="X271" t="s">
        <v>111</v>
      </c>
      <c r="Y271">
        <f t="shared" si="9"/>
        <v>1004</v>
      </c>
      <c r="Z271" s="84">
        <v>0</v>
      </c>
    </row>
    <row r="272" spans="17:26">
      <c r="Q272" s="10"/>
      <c r="S272" s="10"/>
      <c r="V272">
        <v>266</v>
      </c>
      <c r="W272" t="s">
        <v>145</v>
      </c>
      <c r="X272" t="s">
        <v>111</v>
      </c>
      <c r="Y272">
        <f t="shared" si="9"/>
        <v>1005</v>
      </c>
      <c r="Z272" s="84">
        <v>0</v>
      </c>
    </row>
    <row r="273" spans="17:26">
      <c r="Q273" s="10"/>
      <c r="S273" s="10"/>
      <c r="V273">
        <v>267</v>
      </c>
      <c r="W273" t="s">
        <v>146</v>
      </c>
      <c r="X273" t="s">
        <v>111</v>
      </c>
      <c r="Y273">
        <f t="shared" si="9"/>
        <v>1006</v>
      </c>
      <c r="Z273" s="84">
        <v>0</v>
      </c>
    </row>
    <row r="274" spans="17:26">
      <c r="Q274" s="10"/>
      <c r="S274" s="10"/>
      <c r="V274">
        <v>268</v>
      </c>
      <c r="W274" t="s">
        <v>148</v>
      </c>
      <c r="X274" t="s">
        <v>111</v>
      </c>
      <c r="Y274">
        <f t="shared" si="9"/>
        <v>1007</v>
      </c>
      <c r="Z274" s="84">
        <v>0</v>
      </c>
    </row>
    <row r="275" spans="17:26">
      <c r="Q275" s="10"/>
      <c r="S275" s="10"/>
      <c r="V275">
        <v>269</v>
      </c>
      <c r="W275" t="s">
        <v>149</v>
      </c>
      <c r="X275" t="s">
        <v>111</v>
      </c>
      <c r="Y275">
        <f t="shared" si="9"/>
        <v>1008</v>
      </c>
      <c r="Z275" s="84">
        <v>0</v>
      </c>
    </row>
    <row r="276" spans="17:26">
      <c r="Q276" s="10"/>
      <c r="S276" s="10"/>
      <c r="V276">
        <v>270</v>
      </c>
      <c r="W276" t="s">
        <v>151</v>
      </c>
      <c r="X276" t="s">
        <v>111</v>
      </c>
      <c r="Y276">
        <f t="shared" si="9"/>
        <v>1009</v>
      </c>
      <c r="Z276" s="84">
        <v>0</v>
      </c>
    </row>
    <row r="277" spans="17:26">
      <c r="Q277" s="10"/>
      <c r="S277" s="10"/>
      <c r="V277">
        <v>271</v>
      </c>
      <c r="W277" t="s">
        <v>152</v>
      </c>
      <c r="X277" t="s">
        <v>111</v>
      </c>
      <c r="Y277">
        <f t="shared" si="9"/>
        <v>1010</v>
      </c>
      <c r="Z277" s="84">
        <v>0</v>
      </c>
    </row>
    <row r="278" spans="17:26">
      <c r="Q278" s="10"/>
      <c r="S278" s="10"/>
      <c r="V278">
        <v>272</v>
      </c>
      <c r="W278" t="s">
        <v>154</v>
      </c>
      <c r="X278" t="s">
        <v>111</v>
      </c>
      <c r="Y278">
        <f t="shared" si="9"/>
        <v>1011</v>
      </c>
      <c r="Z278" s="84">
        <v>0</v>
      </c>
    </row>
    <row r="279" spans="17:26">
      <c r="Q279" s="10"/>
      <c r="S279" s="10"/>
      <c r="V279">
        <v>273</v>
      </c>
      <c r="W279" t="s">
        <v>155</v>
      </c>
      <c r="X279" t="s">
        <v>111</v>
      </c>
      <c r="Y279">
        <f t="shared" si="9"/>
        <v>1012</v>
      </c>
      <c r="Z279" s="84">
        <v>0</v>
      </c>
    </row>
    <row r="280" spans="17:26">
      <c r="Q280" s="10"/>
      <c r="S280" s="10"/>
      <c r="V280">
        <v>274</v>
      </c>
      <c r="W280" t="s">
        <v>157</v>
      </c>
      <c r="X280" t="s">
        <v>111</v>
      </c>
      <c r="Y280">
        <f t="shared" si="9"/>
        <v>1013</v>
      </c>
      <c r="Z280" s="84">
        <v>0</v>
      </c>
    </row>
    <row r="281" spans="17:26">
      <c r="Q281" s="10"/>
      <c r="S281" s="10"/>
      <c r="V281">
        <v>275</v>
      </c>
      <c r="W281" t="s">
        <v>158</v>
      </c>
      <c r="X281" t="s">
        <v>111</v>
      </c>
      <c r="Y281">
        <f t="shared" si="9"/>
        <v>1014</v>
      </c>
      <c r="Z281" s="84">
        <v>0</v>
      </c>
    </row>
    <row r="282" spans="17:26">
      <c r="Q282" s="10"/>
      <c r="S282" s="10"/>
      <c r="V282">
        <v>276</v>
      </c>
      <c r="W282" t="s">
        <v>160</v>
      </c>
      <c r="X282" t="s">
        <v>111</v>
      </c>
      <c r="Y282">
        <f t="shared" si="9"/>
        <v>1015</v>
      </c>
      <c r="Z282" s="84">
        <v>0</v>
      </c>
    </row>
    <row r="283" spans="17:26">
      <c r="Q283" s="10"/>
      <c r="S283" s="10"/>
      <c r="V283">
        <v>277</v>
      </c>
      <c r="W283" t="s">
        <v>161</v>
      </c>
      <c r="X283" t="s">
        <v>111</v>
      </c>
      <c r="Y283">
        <f t="shared" si="9"/>
        <v>1016</v>
      </c>
      <c r="Z283" s="84">
        <v>0</v>
      </c>
    </row>
    <row r="284" spans="17:26">
      <c r="Q284" s="10"/>
      <c r="S284" s="10"/>
      <c r="V284">
        <v>278</v>
      </c>
      <c r="W284" t="s">
        <v>163</v>
      </c>
      <c r="X284" t="s">
        <v>111</v>
      </c>
      <c r="Y284">
        <f t="shared" si="9"/>
        <v>1017</v>
      </c>
      <c r="Z284" s="84">
        <v>0</v>
      </c>
    </row>
    <row r="285" spans="17:26">
      <c r="Q285" s="10"/>
      <c r="S285" s="10"/>
      <c r="V285">
        <v>279</v>
      </c>
      <c r="W285" t="s">
        <v>164</v>
      </c>
      <c r="X285" t="s">
        <v>111</v>
      </c>
      <c r="Y285">
        <f t="shared" si="9"/>
        <v>1018</v>
      </c>
      <c r="Z285" s="84">
        <v>0</v>
      </c>
    </row>
    <row r="286" spans="17:26">
      <c r="Q286" s="10"/>
      <c r="S286" s="10"/>
      <c r="V286">
        <v>280</v>
      </c>
      <c r="W286" t="s">
        <v>166</v>
      </c>
      <c r="X286" t="s">
        <v>111</v>
      </c>
      <c r="Y286">
        <f t="shared" si="9"/>
        <v>1019</v>
      </c>
      <c r="Z286" s="84">
        <v>0</v>
      </c>
    </row>
    <row r="287" spans="17:26">
      <c r="Q287" s="10"/>
      <c r="S287" s="10"/>
      <c r="V287">
        <v>281</v>
      </c>
      <c r="W287" t="s">
        <v>167</v>
      </c>
      <c r="X287" t="s">
        <v>111</v>
      </c>
      <c r="Y287">
        <f t="shared" si="9"/>
        <v>1020</v>
      </c>
      <c r="Z287" s="84">
        <v>0</v>
      </c>
    </row>
    <row r="288" spans="17:26">
      <c r="Q288" s="10"/>
      <c r="S288" s="10"/>
      <c r="V288">
        <v>282</v>
      </c>
      <c r="W288" t="s">
        <v>169</v>
      </c>
      <c r="X288" t="s">
        <v>111</v>
      </c>
      <c r="Y288">
        <f t="shared" si="9"/>
        <v>1021</v>
      </c>
      <c r="Z288" s="84">
        <v>0</v>
      </c>
    </row>
    <row r="289" spans="17:26">
      <c r="Q289" s="10"/>
      <c r="S289" s="10"/>
      <c r="V289">
        <v>283</v>
      </c>
      <c r="W289" t="s">
        <v>170</v>
      </c>
      <c r="X289" t="s">
        <v>111</v>
      </c>
      <c r="Y289">
        <f t="shared" si="9"/>
        <v>1022</v>
      </c>
      <c r="Z289" s="84">
        <v>0</v>
      </c>
    </row>
    <row r="290" spans="17:26">
      <c r="Q290" s="10"/>
      <c r="S290" s="10"/>
      <c r="V290">
        <v>284</v>
      </c>
      <c r="W290" t="s">
        <v>172</v>
      </c>
      <c r="X290" t="s">
        <v>111</v>
      </c>
      <c r="Y290">
        <f t="shared" si="9"/>
        <v>1023</v>
      </c>
      <c r="Z290" s="84">
        <v>0</v>
      </c>
    </row>
    <row r="291" spans="17:26">
      <c r="Q291" s="10"/>
      <c r="S291" s="10"/>
      <c r="V291">
        <v>285</v>
      </c>
      <c r="W291" t="s">
        <v>173</v>
      </c>
      <c r="X291" t="s">
        <v>111</v>
      </c>
      <c r="Y291">
        <f t="shared" si="9"/>
        <v>1024</v>
      </c>
      <c r="Z291" s="84">
        <v>0</v>
      </c>
    </row>
    <row r="292" spans="17:26">
      <c r="Q292" s="10"/>
      <c r="S292" s="10"/>
      <c r="V292">
        <v>286</v>
      </c>
      <c r="W292" t="s">
        <v>175</v>
      </c>
      <c r="X292" t="s">
        <v>111</v>
      </c>
      <c r="Y292">
        <f t="shared" si="9"/>
        <v>1025</v>
      </c>
      <c r="Z292" s="84">
        <v>0</v>
      </c>
    </row>
    <row r="293" spans="17:26">
      <c r="Q293" s="10"/>
      <c r="S293" s="10"/>
      <c r="V293">
        <v>287</v>
      </c>
      <c r="W293" t="s">
        <v>176</v>
      </c>
      <c r="X293" t="s">
        <v>111</v>
      </c>
      <c r="Y293">
        <f t="shared" si="9"/>
        <v>1026</v>
      </c>
      <c r="Z293" s="84">
        <v>0</v>
      </c>
    </row>
    <row r="294" spans="17:26">
      <c r="Q294" s="10"/>
      <c r="S294" s="10"/>
      <c r="V294">
        <v>288</v>
      </c>
      <c r="W294" t="s">
        <v>178</v>
      </c>
      <c r="X294" t="s">
        <v>111</v>
      </c>
      <c r="Y294">
        <f t="shared" si="9"/>
        <v>1027</v>
      </c>
      <c r="Z294" s="84">
        <v>0</v>
      </c>
    </row>
    <row r="295" spans="17:26">
      <c r="Q295" s="10"/>
      <c r="S295" s="10"/>
      <c r="V295">
        <v>289</v>
      </c>
      <c r="W295" t="s">
        <v>179</v>
      </c>
      <c r="X295" t="s">
        <v>111</v>
      </c>
      <c r="Y295">
        <f t="shared" si="9"/>
        <v>1028</v>
      </c>
      <c r="Z295" s="84">
        <v>0</v>
      </c>
    </row>
  </sheetData>
  <phoneticPr fontId="37"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E58A5-5B28-4A1C-9533-230903F236BF}">
  <sheetPr codeName="גיליון40"/>
  <dimension ref="A1:S244"/>
  <sheetViews>
    <sheetView rightToLeft="1" workbookViewId="0">
      <pane ySplit="4320" topLeftCell="A231" activePane="bottomLeft"/>
      <selection activeCell="C2" sqref="C2"/>
      <selection pane="bottomLeft" activeCell="E7" sqref="E7:G234"/>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1" customWidth="1"/>
    <col min="18" max="18" width="11.77734375" customWidth="1"/>
  </cols>
  <sheetData>
    <row r="1" spans="1:19">
      <c r="B1" s="1" t="s">
        <v>1196</v>
      </c>
      <c r="C1" t="b">
        <f>'Netunei Gimlai'!G19</f>
        <v>0</v>
      </c>
    </row>
    <row r="2" spans="1:19">
      <c r="B2" s="1" t="s">
        <v>9</v>
      </c>
      <c r="C2">
        <f>+SACHAR!C9</f>
        <v>1.2008000000000001</v>
      </c>
      <c r="F2" s="2" cm="1">
        <f t="array" ref="F2:R2">INDEX(H7:T232,C3,C1)</f>
        <v>576</v>
      </c>
      <c r="G2">
        <v>734</v>
      </c>
      <c r="H2">
        <v>838</v>
      </c>
      <c r="I2">
        <v>942</v>
      </c>
      <c r="J2">
        <v>0</v>
      </c>
      <c r="K2">
        <v>0</v>
      </c>
      <c r="L2">
        <v>0</v>
      </c>
      <c r="M2">
        <v>0</v>
      </c>
      <c r="N2">
        <v>0</v>
      </c>
      <c r="O2">
        <v>0</v>
      </c>
      <c r="P2">
        <v>0</v>
      </c>
      <c r="Q2" s="311">
        <v>0</v>
      </c>
      <c r="R2">
        <v>0</v>
      </c>
    </row>
    <row r="3" spans="1:19">
      <c r="B3" s="1" t="s">
        <v>252</v>
      </c>
      <c r="C3">
        <f>+'Netunei Gimlai'!B6</f>
        <v>1</v>
      </c>
    </row>
    <row r="4" spans="1:19" ht="15" thickBot="1"/>
    <row r="5" spans="1:19" ht="186" thickTop="1" thickBot="1">
      <c r="B5" s="342" t="s">
        <v>1739</v>
      </c>
      <c r="C5" s="344">
        <v>4147</v>
      </c>
      <c r="D5" s="348"/>
      <c r="E5" s="87" t="s">
        <v>651</v>
      </c>
      <c r="F5" s="87" t="s">
        <v>9</v>
      </c>
      <c r="G5" s="87" t="s">
        <v>651</v>
      </c>
      <c r="H5" s="349" t="s">
        <v>1752</v>
      </c>
      <c r="I5" s="345" t="s">
        <v>5186</v>
      </c>
      <c r="J5" s="346" t="s">
        <v>5187</v>
      </c>
      <c r="K5" s="346" t="s">
        <v>5188</v>
      </c>
      <c r="L5" s="390" t="s">
        <v>5189</v>
      </c>
      <c r="M5" s="346" t="s">
        <v>5190</v>
      </c>
      <c r="N5" s="346" t="s">
        <v>5191</v>
      </c>
      <c r="O5" s="346" t="s">
        <v>5192</v>
      </c>
      <c r="P5" s="346" t="s">
        <v>5193</v>
      </c>
      <c r="Q5" s="346"/>
      <c r="R5" s="346"/>
      <c r="S5" s="346"/>
    </row>
    <row r="6" spans="1: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1:19" ht="18" thickTop="1" thickBot="1">
      <c r="B7"/>
      <c r="D7" s="348"/>
      <c r="E7" s="110">
        <v>1</v>
      </c>
      <c r="F7" s="110">
        <v>1.2008000000000001</v>
      </c>
      <c r="G7" s="110">
        <v>1</v>
      </c>
      <c r="H7" s="192">
        <v>576</v>
      </c>
      <c r="I7" s="192">
        <v>734</v>
      </c>
      <c r="J7" s="192">
        <v>838</v>
      </c>
      <c r="K7" s="192">
        <v>942</v>
      </c>
      <c r="S7" s="2">
        <v>0</v>
      </c>
    </row>
    <row r="8" spans="1:19" ht="19.2" customHeight="1" thickTop="1" thickBot="1">
      <c r="A8" s="559" t="s">
        <v>5177</v>
      </c>
      <c r="B8" s="344">
        <v>1</v>
      </c>
      <c r="D8" s="348"/>
      <c r="E8" s="110">
        <v>2</v>
      </c>
      <c r="F8" s="110">
        <v>2.2008000000000001</v>
      </c>
      <c r="G8" s="110">
        <v>2</v>
      </c>
      <c r="H8" s="192">
        <v>576</v>
      </c>
      <c r="I8" s="192">
        <v>734</v>
      </c>
      <c r="J8" s="192">
        <v>838</v>
      </c>
      <c r="K8" s="192">
        <v>942</v>
      </c>
      <c r="S8" s="2">
        <v>0</v>
      </c>
    </row>
    <row r="9" spans="1:19" ht="25.2" customHeight="1" thickTop="1" thickBot="1">
      <c r="A9" s="343" t="s">
        <v>5178</v>
      </c>
      <c r="B9" s="344">
        <v>2</v>
      </c>
      <c r="D9" s="348"/>
      <c r="E9" s="110">
        <v>3</v>
      </c>
      <c r="F9" s="110">
        <v>3.2008000000000001</v>
      </c>
      <c r="G9" s="110">
        <v>3</v>
      </c>
      <c r="H9" s="192">
        <v>576</v>
      </c>
      <c r="I9" s="192">
        <v>734</v>
      </c>
      <c r="J9" s="192">
        <v>838</v>
      </c>
      <c r="K9" s="192">
        <v>942</v>
      </c>
      <c r="S9" s="2">
        <v>0</v>
      </c>
    </row>
    <row r="10" spans="1:19" ht="24" customHeight="1" thickTop="1" thickBot="1">
      <c r="A10" s="343" t="s">
        <v>5179</v>
      </c>
      <c r="B10" s="344">
        <v>3</v>
      </c>
      <c r="D10" s="348"/>
      <c r="E10" s="110">
        <v>4</v>
      </c>
      <c r="F10" s="110">
        <v>4.2008000000000001</v>
      </c>
      <c r="G10" s="110">
        <v>4</v>
      </c>
      <c r="H10" s="192">
        <v>576</v>
      </c>
      <c r="I10" s="192">
        <v>734</v>
      </c>
      <c r="J10" s="192">
        <v>838</v>
      </c>
      <c r="K10" s="192">
        <v>942</v>
      </c>
      <c r="S10" s="2">
        <v>0</v>
      </c>
    </row>
    <row r="11" spans="1:19" ht="28.2" customHeight="1" thickTop="1" thickBot="1">
      <c r="A11" s="343" t="s">
        <v>5180</v>
      </c>
      <c r="B11" s="344">
        <v>4</v>
      </c>
      <c r="D11" s="348"/>
      <c r="E11" s="110">
        <v>5</v>
      </c>
      <c r="F11" s="110">
        <v>5.2008000000000001</v>
      </c>
      <c r="G11" s="110">
        <v>5</v>
      </c>
      <c r="H11" s="192">
        <v>576</v>
      </c>
      <c r="I11" s="192">
        <v>734</v>
      </c>
      <c r="J11" s="192">
        <v>838</v>
      </c>
      <c r="K11" s="192">
        <v>942</v>
      </c>
      <c r="S11" s="2">
        <v>0</v>
      </c>
    </row>
    <row r="12" spans="1:19" ht="18" thickTop="1" thickBot="1">
      <c r="A12" s="343" t="s">
        <v>5181</v>
      </c>
      <c r="B12" s="344">
        <v>5</v>
      </c>
      <c r="D12" s="348"/>
      <c r="E12" s="110">
        <v>6</v>
      </c>
      <c r="F12" s="110">
        <v>6.2008000000000001</v>
      </c>
      <c r="G12" s="110">
        <v>6</v>
      </c>
      <c r="H12" s="192">
        <v>576</v>
      </c>
      <c r="I12" s="192">
        <v>734</v>
      </c>
      <c r="J12" s="192">
        <v>838</v>
      </c>
      <c r="K12" s="192">
        <v>942</v>
      </c>
      <c r="S12" s="2">
        <v>0</v>
      </c>
    </row>
    <row r="13" spans="1:19" ht="18" thickTop="1" thickBot="1">
      <c r="A13" s="343" t="s">
        <v>5182</v>
      </c>
      <c r="B13" s="344">
        <v>6</v>
      </c>
      <c r="D13" s="348"/>
      <c r="E13" s="110">
        <v>7</v>
      </c>
      <c r="F13" s="110">
        <v>7.2008000000000001</v>
      </c>
      <c r="G13" s="110">
        <v>7</v>
      </c>
      <c r="H13" s="192">
        <v>576</v>
      </c>
      <c r="I13" s="192">
        <v>734</v>
      </c>
      <c r="J13" s="192">
        <v>838</v>
      </c>
      <c r="K13" s="192">
        <v>942</v>
      </c>
      <c r="S13" s="2">
        <v>0</v>
      </c>
    </row>
    <row r="14" spans="1:19" ht="18" thickTop="1" thickBot="1">
      <c r="A14" s="343" t="s">
        <v>5183</v>
      </c>
      <c r="B14" s="344">
        <v>7</v>
      </c>
      <c r="D14" s="348"/>
      <c r="E14" s="110">
        <v>8</v>
      </c>
      <c r="F14" s="110">
        <v>8.2007999999999992</v>
      </c>
      <c r="G14" s="110">
        <v>8</v>
      </c>
      <c r="H14" s="192">
        <v>576</v>
      </c>
      <c r="I14" s="192">
        <v>734</v>
      </c>
      <c r="J14" s="192">
        <v>838</v>
      </c>
      <c r="K14" s="192">
        <v>942</v>
      </c>
      <c r="S14" s="2">
        <v>0</v>
      </c>
    </row>
    <row r="15" spans="1:19" ht="18" thickTop="1" thickBot="1">
      <c r="A15" s="343" t="s">
        <v>5184</v>
      </c>
      <c r="B15" s="344">
        <v>8</v>
      </c>
      <c r="D15" s="348"/>
      <c r="E15" s="110">
        <v>9</v>
      </c>
      <c r="F15" s="110">
        <v>9.2007999999999992</v>
      </c>
      <c r="G15" s="110">
        <v>9</v>
      </c>
      <c r="H15" s="192">
        <v>576</v>
      </c>
      <c r="I15" s="192">
        <v>734</v>
      </c>
      <c r="J15" s="192">
        <v>838</v>
      </c>
      <c r="K15" s="192">
        <v>942</v>
      </c>
      <c r="S15" s="2">
        <v>0</v>
      </c>
    </row>
    <row r="16" spans="1:19" ht="18" thickTop="1" thickBot="1">
      <c r="A16" s="343" t="s">
        <v>5185</v>
      </c>
      <c r="B16" s="344">
        <v>9</v>
      </c>
      <c r="D16" s="348"/>
      <c r="E16" s="110">
        <v>10</v>
      </c>
      <c r="F16" s="110">
        <v>10.200799999999999</v>
      </c>
      <c r="G16" s="110">
        <v>10</v>
      </c>
      <c r="H16" s="192">
        <v>576</v>
      </c>
      <c r="I16" s="192">
        <v>734</v>
      </c>
      <c r="J16" s="192">
        <v>838</v>
      </c>
      <c r="K16" s="192">
        <v>942</v>
      </c>
      <c r="S16" s="2">
        <v>0</v>
      </c>
    </row>
    <row r="17" spans="2:19" ht="18" thickTop="1" thickBot="1">
      <c r="B17"/>
      <c r="D17" s="348"/>
      <c r="E17" s="110">
        <v>11</v>
      </c>
      <c r="F17" s="110">
        <v>11.200799999999999</v>
      </c>
      <c r="G17" s="110">
        <v>11</v>
      </c>
      <c r="H17" s="192">
        <v>576</v>
      </c>
      <c r="I17" s="192">
        <v>734</v>
      </c>
      <c r="J17" s="192">
        <v>838</v>
      </c>
      <c r="K17" s="192">
        <v>942</v>
      </c>
      <c r="S17" s="2">
        <v>0</v>
      </c>
    </row>
    <row r="18" spans="2:19" ht="18" thickTop="1" thickBot="1">
      <c r="B18"/>
      <c r="D18" s="348"/>
      <c r="E18" s="110">
        <v>12</v>
      </c>
      <c r="F18" s="110">
        <v>12.200799999999999</v>
      </c>
      <c r="G18" s="110">
        <v>12</v>
      </c>
      <c r="H18" s="192">
        <v>576</v>
      </c>
      <c r="I18" s="192">
        <v>734</v>
      </c>
      <c r="J18" s="192">
        <v>838</v>
      </c>
      <c r="K18" s="192">
        <v>942</v>
      </c>
      <c r="S18" s="2">
        <v>0</v>
      </c>
    </row>
    <row r="19" spans="2:19" ht="18" thickTop="1" thickBot="1">
      <c r="B19"/>
      <c r="D19" s="348"/>
      <c r="E19" s="110">
        <v>13</v>
      </c>
      <c r="F19" s="110">
        <v>1.2009000000000001</v>
      </c>
      <c r="G19" s="110">
        <v>13</v>
      </c>
      <c r="H19" s="192">
        <v>598</v>
      </c>
      <c r="I19" s="192">
        <v>762</v>
      </c>
      <c r="J19" s="192">
        <v>870</v>
      </c>
      <c r="K19" s="192">
        <v>978</v>
      </c>
      <c r="S19" s="2">
        <v>0</v>
      </c>
    </row>
    <row r="20" spans="2:19" ht="15.6" thickTop="1" thickBot="1">
      <c r="E20" s="110">
        <v>14</v>
      </c>
      <c r="F20" s="110">
        <v>2.2008999999999999</v>
      </c>
      <c r="G20" s="110">
        <v>14</v>
      </c>
      <c r="H20" s="192">
        <v>598</v>
      </c>
      <c r="I20" s="192">
        <v>762</v>
      </c>
      <c r="J20" s="192">
        <v>870</v>
      </c>
      <c r="K20" s="192">
        <v>978</v>
      </c>
      <c r="S20" s="2">
        <v>0</v>
      </c>
    </row>
    <row r="21" spans="2:19" ht="15.6" thickTop="1" thickBot="1">
      <c r="E21" s="110">
        <v>15</v>
      </c>
      <c r="F21" s="110">
        <v>3.2008999999999999</v>
      </c>
      <c r="G21" s="110">
        <v>15</v>
      </c>
      <c r="H21" s="192">
        <v>598</v>
      </c>
      <c r="I21" s="192">
        <v>762</v>
      </c>
      <c r="J21" s="192">
        <v>870</v>
      </c>
      <c r="K21" s="192">
        <v>978</v>
      </c>
      <c r="S21" s="2">
        <v>0</v>
      </c>
    </row>
    <row r="22" spans="2:19" ht="15.6" thickTop="1" thickBot="1">
      <c r="E22" s="110">
        <v>16</v>
      </c>
      <c r="F22" s="110">
        <v>4.2008999999999999</v>
      </c>
      <c r="G22" s="110">
        <v>16</v>
      </c>
      <c r="H22" s="192">
        <v>598</v>
      </c>
      <c r="I22" s="192">
        <v>762</v>
      </c>
      <c r="J22" s="192">
        <v>870</v>
      </c>
      <c r="K22" s="192">
        <v>978</v>
      </c>
      <c r="S22" s="2">
        <v>0</v>
      </c>
    </row>
    <row r="23" spans="2:19" ht="15.6" thickTop="1" thickBot="1">
      <c r="E23" s="110">
        <v>17</v>
      </c>
      <c r="F23" s="110">
        <v>5.2008999999999999</v>
      </c>
      <c r="G23" s="110">
        <v>17</v>
      </c>
      <c r="H23" s="192">
        <v>598</v>
      </c>
      <c r="I23" s="192">
        <v>762</v>
      </c>
      <c r="J23" s="192">
        <v>870</v>
      </c>
      <c r="K23" s="192">
        <v>978</v>
      </c>
      <c r="S23" s="2">
        <v>0</v>
      </c>
    </row>
    <row r="24" spans="2:19" ht="15.6" thickTop="1" thickBot="1">
      <c r="E24" s="110">
        <v>18</v>
      </c>
      <c r="F24" s="110">
        <v>6.2008999999999999</v>
      </c>
      <c r="G24" s="110">
        <v>18</v>
      </c>
      <c r="H24" s="192">
        <v>598</v>
      </c>
      <c r="I24" s="192">
        <v>762</v>
      </c>
      <c r="J24" s="192">
        <v>870</v>
      </c>
      <c r="K24" s="192">
        <v>978</v>
      </c>
      <c r="S24" s="2">
        <v>0</v>
      </c>
    </row>
    <row r="25" spans="2:19" ht="15.6" thickTop="1" thickBot="1">
      <c r="E25" s="110">
        <v>19</v>
      </c>
      <c r="F25" s="110">
        <v>7.2008999999999999</v>
      </c>
      <c r="G25" s="110">
        <v>19</v>
      </c>
      <c r="H25" s="192">
        <v>598</v>
      </c>
      <c r="I25" s="192">
        <v>762</v>
      </c>
      <c r="J25" s="192">
        <v>870</v>
      </c>
      <c r="K25" s="192">
        <v>978</v>
      </c>
      <c r="S25" s="2">
        <v>0</v>
      </c>
    </row>
    <row r="26" spans="2:19" ht="15.6" thickTop="1" thickBot="1">
      <c r="E26" s="110">
        <v>20</v>
      </c>
      <c r="F26" s="110">
        <v>8.2009000000000007</v>
      </c>
      <c r="G26" s="110">
        <v>20</v>
      </c>
      <c r="H26" s="192">
        <v>598</v>
      </c>
      <c r="I26" s="192">
        <v>762</v>
      </c>
      <c r="J26" s="192">
        <v>870</v>
      </c>
      <c r="K26" s="192">
        <v>978</v>
      </c>
      <c r="S26" s="2">
        <v>0</v>
      </c>
    </row>
    <row r="27" spans="2:19" ht="15.6" thickTop="1" thickBot="1">
      <c r="E27" s="110">
        <v>21</v>
      </c>
      <c r="F27" s="110">
        <v>9.2009000000000007</v>
      </c>
      <c r="G27" s="110">
        <v>21</v>
      </c>
      <c r="H27" s="192">
        <v>598</v>
      </c>
      <c r="I27" s="192">
        <v>762</v>
      </c>
      <c r="J27" s="192">
        <v>870</v>
      </c>
      <c r="K27" s="192">
        <v>978</v>
      </c>
      <c r="S27" s="2">
        <v>0</v>
      </c>
    </row>
    <row r="28" spans="2:19" ht="15.6" thickTop="1" thickBot="1">
      <c r="E28" s="110">
        <v>22</v>
      </c>
      <c r="F28" s="110">
        <v>10.200900000000001</v>
      </c>
      <c r="G28" s="110">
        <v>22</v>
      </c>
      <c r="H28" s="192">
        <v>598</v>
      </c>
      <c r="I28" s="192">
        <v>762</v>
      </c>
      <c r="J28" s="192">
        <v>870</v>
      </c>
      <c r="K28" s="192">
        <v>978</v>
      </c>
      <c r="S28" s="2">
        <v>0</v>
      </c>
    </row>
    <row r="29" spans="2:19" ht="15.6" thickTop="1" thickBot="1">
      <c r="E29" s="110">
        <v>23</v>
      </c>
      <c r="F29" s="110">
        <v>11.200900000000001</v>
      </c>
      <c r="G29" s="110">
        <v>23</v>
      </c>
      <c r="H29" s="192">
        <v>598</v>
      </c>
      <c r="I29" s="192">
        <v>762</v>
      </c>
      <c r="J29" s="192">
        <v>870</v>
      </c>
      <c r="K29" s="192">
        <v>978</v>
      </c>
      <c r="S29" s="2">
        <v>0</v>
      </c>
    </row>
    <row r="30" spans="2:19" ht="15.6" thickTop="1" thickBot="1">
      <c r="E30" s="110">
        <v>24</v>
      </c>
      <c r="F30" s="110">
        <v>12.200900000000001</v>
      </c>
      <c r="G30" s="110">
        <v>24</v>
      </c>
      <c r="H30" s="192">
        <v>598</v>
      </c>
      <c r="I30" s="192">
        <v>762</v>
      </c>
      <c r="J30" s="192">
        <v>870</v>
      </c>
      <c r="K30" s="192">
        <v>978</v>
      </c>
      <c r="S30" s="2">
        <v>0</v>
      </c>
    </row>
    <row r="31" spans="2:19" ht="15.6" thickTop="1" thickBot="1">
      <c r="E31" s="110">
        <v>25</v>
      </c>
      <c r="F31" s="352">
        <v>1.2010000000000001</v>
      </c>
      <c r="G31" s="110">
        <v>25</v>
      </c>
      <c r="H31" s="192">
        <v>621</v>
      </c>
      <c r="I31" s="192">
        <v>792</v>
      </c>
      <c r="J31" s="192">
        <v>904</v>
      </c>
      <c r="K31" s="192">
        <v>1016</v>
      </c>
      <c r="S31" s="2">
        <v>0</v>
      </c>
    </row>
    <row r="32" spans="2:19" ht="15.6" thickTop="1" thickBot="1">
      <c r="E32" s="110">
        <v>26</v>
      </c>
      <c r="F32" s="352">
        <v>2.2010000000000001</v>
      </c>
      <c r="G32" s="110">
        <v>26</v>
      </c>
      <c r="H32" s="192">
        <v>621</v>
      </c>
      <c r="I32" s="192">
        <v>792</v>
      </c>
      <c r="J32" s="192">
        <v>904</v>
      </c>
      <c r="K32" s="192">
        <v>1016</v>
      </c>
      <c r="S32" s="2">
        <v>0</v>
      </c>
    </row>
    <row r="33" spans="5:19" ht="15.6" thickTop="1" thickBot="1">
      <c r="E33" s="110">
        <v>27</v>
      </c>
      <c r="F33" s="352">
        <v>3.2010000000000001</v>
      </c>
      <c r="G33" s="110">
        <v>27</v>
      </c>
      <c r="H33" s="192">
        <v>621</v>
      </c>
      <c r="I33" s="192">
        <v>792</v>
      </c>
      <c r="J33" s="192">
        <v>904</v>
      </c>
      <c r="K33" s="192">
        <v>1016</v>
      </c>
      <c r="S33" s="2">
        <v>0</v>
      </c>
    </row>
    <row r="34" spans="5:19" ht="15.6" thickTop="1" thickBot="1">
      <c r="E34" s="110">
        <v>28</v>
      </c>
      <c r="F34" s="352">
        <v>4.2009999999999996</v>
      </c>
      <c r="G34" s="110">
        <v>28</v>
      </c>
      <c r="H34" s="192">
        <v>621</v>
      </c>
      <c r="I34" s="192">
        <v>792</v>
      </c>
      <c r="J34" s="192">
        <v>904</v>
      </c>
      <c r="K34" s="192">
        <v>1016</v>
      </c>
      <c r="S34" s="2">
        <v>0</v>
      </c>
    </row>
    <row r="35" spans="5:19" ht="15.6" thickTop="1" thickBot="1">
      <c r="E35" s="110">
        <v>29</v>
      </c>
      <c r="F35" s="352">
        <v>5.2009999999999996</v>
      </c>
      <c r="G35" s="110">
        <v>29</v>
      </c>
      <c r="H35" s="192">
        <v>621</v>
      </c>
      <c r="I35" s="192">
        <v>792</v>
      </c>
      <c r="J35" s="192">
        <v>904</v>
      </c>
      <c r="K35" s="192">
        <v>1016</v>
      </c>
      <c r="S35" s="2">
        <v>0</v>
      </c>
    </row>
    <row r="36" spans="5:19" ht="15.6" thickTop="1" thickBot="1">
      <c r="E36" s="110">
        <v>30</v>
      </c>
      <c r="F36" s="352">
        <v>6.2009999999999996</v>
      </c>
      <c r="G36" s="110">
        <v>30</v>
      </c>
      <c r="H36" s="192">
        <v>621</v>
      </c>
      <c r="I36" s="192">
        <v>792</v>
      </c>
      <c r="J36" s="192">
        <v>904</v>
      </c>
      <c r="K36" s="192">
        <v>1016</v>
      </c>
      <c r="S36" s="2">
        <v>0</v>
      </c>
    </row>
    <row r="37" spans="5:19" ht="15.6" thickTop="1" thickBot="1">
      <c r="E37" s="110">
        <v>31</v>
      </c>
      <c r="F37" s="352">
        <v>7.2009999999999996</v>
      </c>
      <c r="G37" s="110">
        <v>31</v>
      </c>
      <c r="H37" s="192">
        <v>621</v>
      </c>
      <c r="I37" s="192">
        <v>792</v>
      </c>
      <c r="J37" s="192">
        <v>904</v>
      </c>
      <c r="K37" s="192">
        <v>1016</v>
      </c>
      <c r="S37" s="2">
        <v>0</v>
      </c>
    </row>
    <row r="38" spans="5:19" ht="15.6" thickTop="1" thickBot="1">
      <c r="E38" s="110">
        <v>32</v>
      </c>
      <c r="F38" s="352">
        <v>8.2010000000000005</v>
      </c>
      <c r="G38" s="110">
        <v>32</v>
      </c>
      <c r="H38" s="192">
        <v>621</v>
      </c>
      <c r="I38" s="192">
        <v>792</v>
      </c>
      <c r="J38" s="192">
        <v>904</v>
      </c>
      <c r="K38" s="192">
        <v>1016</v>
      </c>
      <c r="S38" s="2">
        <v>0</v>
      </c>
    </row>
    <row r="39" spans="5:19" ht="15.6" thickTop="1" thickBot="1">
      <c r="E39" s="110">
        <v>33</v>
      </c>
      <c r="F39" s="352">
        <v>9.2010000000000005</v>
      </c>
      <c r="G39" s="110">
        <v>33</v>
      </c>
      <c r="H39" s="192">
        <v>621</v>
      </c>
      <c r="I39" s="192">
        <v>792</v>
      </c>
      <c r="J39" s="192">
        <v>904</v>
      </c>
      <c r="K39" s="192">
        <v>1016</v>
      </c>
      <c r="S39" s="2">
        <v>0</v>
      </c>
    </row>
    <row r="40" spans="5:19" ht="15.6" thickTop="1" thickBot="1">
      <c r="E40" s="110">
        <v>34</v>
      </c>
      <c r="F40" s="352">
        <v>10.201000000000001</v>
      </c>
      <c r="G40" s="110">
        <v>34</v>
      </c>
      <c r="H40" s="192">
        <v>621</v>
      </c>
      <c r="I40" s="192">
        <v>792</v>
      </c>
      <c r="J40" s="192">
        <v>904</v>
      </c>
      <c r="K40" s="192">
        <v>1016</v>
      </c>
      <c r="S40" s="2">
        <v>0</v>
      </c>
    </row>
    <row r="41" spans="5:19" ht="15.6" thickTop="1" thickBot="1">
      <c r="E41" s="110">
        <v>35</v>
      </c>
      <c r="F41" s="352">
        <v>11.201000000000001</v>
      </c>
      <c r="G41" s="110">
        <v>35</v>
      </c>
      <c r="H41" s="192">
        <v>621</v>
      </c>
      <c r="I41" s="192">
        <v>792</v>
      </c>
      <c r="J41" s="192">
        <v>904</v>
      </c>
      <c r="K41" s="192">
        <v>1016</v>
      </c>
      <c r="S41" s="2">
        <v>0</v>
      </c>
    </row>
    <row r="42" spans="5:19" ht="15.6" thickTop="1" thickBot="1">
      <c r="E42" s="110">
        <v>36</v>
      </c>
      <c r="F42" s="352">
        <v>12.201000000000001</v>
      </c>
      <c r="G42" s="110">
        <v>36</v>
      </c>
      <c r="H42" s="192">
        <v>621</v>
      </c>
      <c r="I42" s="192">
        <v>792</v>
      </c>
      <c r="J42" s="192">
        <v>904</v>
      </c>
      <c r="K42" s="192">
        <v>1016</v>
      </c>
      <c r="S42" s="2">
        <v>0</v>
      </c>
    </row>
    <row r="43" spans="5:19" ht="15.6" thickTop="1" thickBot="1">
      <c r="E43" s="110">
        <v>37</v>
      </c>
      <c r="F43" s="352">
        <v>1.2011000000000001</v>
      </c>
      <c r="G43" s="110">
        <v>37</v>
      </c>
      <c r="H43" s="192">
        <v>638</v>
      </c>
      <c r="I43" s="192">
        <v>813</v>
      </c>
      <c r="J43" s="192">
        <v>928</v>
      </c>
      <c r="K43" s="192">
        <v>1043</v>
      </c>
      <c r="L43" s="192">
        <v>205</v>
      </c>
      <c r="M43" s="192">
        <v>308</v>
      </c>
      <c r="N43" s="192">
        <v>411</v>
      </c>
      <c r="O43" s="192">
        <v>782</v>
      </c>
      <c r="P43" s="192">
        <v>893</v>
      </c>
      <c r="S43" s="2">
        <v>0</v>
      </c>
    </row>
    <row r="44" spans="5:19" ht="15.6" thickTop="1" thickBot="1">
      <c r="E44" s="110">
        <v>38</v>
      </c>
      <c r="F44" s="352">
        <v>2.2010999999999998</v>
      </c>
      <c r="G44" s="110">
        <v>38</v>
      </c>
      <c r="H44" s="192">
        <v>638</v>
      </c>
      <c r="I44" s="192">
        <v>813</v>
      </c>
      <c r="J44" s="192">
        <v>928</v>
      </c>
      <c r="K44" s="192">
        <v>1043</v>
      </c>
      <c r="L44" s="192">
        <v>205</v>
      </c>
      <c r="M44" s="192">
        <v>308</v>
      </c>
      <c r="N44" s="192">
        <v>411</v>
      </c>
      <c r="O44" s="192">
        <v>782</v>
      </c>
      <c r="P44" s="192">
        <v>893</v>
      </c>
      <c r="S44" s="2">
        <v>0</v>
      </c>
    </row>
    <row r="45" spans="5:19" ht="15.6" thickTop="1" thickBot="1">
      <c r="E45" s="110">
        <v>39</v>
      </c>
      <c r="F45" s="352">
        <v>3.2010999999999998</v>
      </c>
      <c r="G45" s="110">
        <v>39</v>
      </c>
      <c r="H45" s="192">
        <v>638</v>
      </c>
      <c r="I45" s="192">
        <v>813</v>
      </c>
      <c r="J45" s="192">
        <v>928</v>
      </c>
      <c r="K45" s="192">
        <v>1043</v>
      </c>
      <c r="L45" s="192">
        <v>205</v>
      </c>
      <c r="M45" s="192">
        <v>308</v>
      </c>
      <c r="N45" s="192">
        <v>411</v>
      </c>
      <c r="O45" s="192">
        <v>782</v>
      </c>
      <c r="P45" s="192">
        <v>893</v>
      </c>
      <c r="S45" s="2">
        <v>0</v>
      </c>
    </row>
    <row r="46" spans="5:19" ht="15.6" thickTop="1" thickBot="1">
      <c r="E46" s="110">
        <v>40</v>
      </c>
      <c r="F46" s="352">
        <v>4.2011000000000003</v>
      </c>
      <c r="G46" s="110">
        <v>40</v>
      </c>
      <c r="H46" s="192">
        <v>638</v>
      </c>
      <c r="I46" s="192">
        <v>813</v>
      </c>
      <c r="J46" s="192">
        <v>928</v>
      </c>
      <c r="K46" s="192">
        <v>1043</v>
      </c>
      <c r="L46" s="192">
        <v>205</v>
      </c>
      <c r="M46" s="192">
        <v>308</v>
      </c>
      <c r="N46" s="192">
        <v>411</v>
      </c>
      <c r="O46" s="192">
        <v>782</v>
      </c>
      <c r="P46" s="192">
        <v>893</v>
      </c>
      <c r="S46" s="2">
        <v>0</v>
      </c>
    </row>
    <row r="47" spans="5:19" ht="15.6" thickTop="1" thickBot="1">
      <c r="E47" s="110">
        <v>41</v>
      </c>
      <c r="F47" s="352">
        <v>5.2011000000000003</v>
      </c>
      <c r="G47" s="110">
        <v>41</v>
      </c>
      <c r="H47" s="192">
        <v>638</v>
      </c>
      <c r="I47" s="192">
        <v>813</v>
      </c>
      <c r="J47" s="192">
        <v>928</v>
      </c>
      <c r="K47" s="192">
        <v>1043</v>
      </c>
      <c r="L47" s="192">
        <v>205</v>
      </c>
      <c r="M47" s="192">
        <v>308</v>
      </c>
      <c r="N47" s="192">
        <v>411</v>
      </c>
      <c r="O47" s="192">
        <v>782</v>
      </c>
      <c r="P47" s="192">
        <v>893</v>
      </c>
      <c r="S47" s="2">
        <v>0</v>
      </c>
    </row>
    <row r="48" spans="5:19" ht="15.6" thickTop="1" thickBot="1">
      <c r="E48" s="110">
        <v>42</v>
      </c>
      <c r="F48" s="352">
        <v>6.2011000000000003</v>
      </c>
      <c r="G48" s="110">
        <v>42</v>
      </c>
      <c r="H48" s="192">
        <v>638</v>
      </c>
      <c r="I48" s="192">
        <v>813</v>
      </c>
      <c r="J48" s="192">
        <v>928</v>
      </c>
      <c r="K48" s="192">
        <v>1043</v>
      </c>
      <c r="L48" s="192">
        <v>205</v>
      </c>
      <c r="M48" s="192">
        <v>308</v>
      </c>
      <c r="N48" s="192">
        <v>411</v>
      </c>
      <c r="O48" s="192">
        <v>782</v>
      </c>
      <c r="P48" s="192">
        <v>893</v>
      </c>
      <c r="S48" s="2">
        <v>0</v>
      </c>
    </row>
    <row r="49" spans="5:19" ht="15.6" thickTop="1" thickBot="1">
      <c r="E49" s="110">
        <v>43</v>
      </c>
      <c r="F49" s="352">
        <v>7.2011000000000003</v>
      </c>
      <c r="G49" s="110">
        <v>43</v>
      </c>
      <c r="H49" s="192">
        <v>638</v>
      </c>
      <c r="I49" s="192">
        <v>813</v>
      </c>
      <c r="J49" s="192">
        <v>928</v>
      </c>
      <c r="K49" s="192">
        <v>1043</v>
      </c>
      <c r="L49" s="192">
        <v>205</v>
      </c>
      <c r="M49" s="192">
        <v>308</v>
      </c>
      <c r="N49" s="192">
        <v>411</v>
      </c>
      <c r="O49" s="192">
        <v>782</v>
      </c>
      <c r="P49" s="192">
        <v>893</v>
      </c>
      <c r="S49" s="2">
        <v>0</v>
      </c>
    </row>
    <row r="50" spans="5:19" ht="15.6" thickTop="1" thickBot="1">
      <c r="E50" s="110">
        <v>44</v>
      </c>
      <c r="F50" s="352">
        <v>8.2011000000000003</v>
      </c>
      <c r="G50" s="110">
        <v>44</v>
      </c>
      <c r="H50" s="192">
        <v>638</v>
      </c>
      <c r="I50" s="192">
        <v>813</v>
      </c>
      <c r="J50" s="192">
        <v>928</v>
      </c>
      <c r="K50" s="192">
        <v>1043</v>
      </c>
      <c r="L50" s="192">
        <v>205</v>
      </c>
      <c r="M50" s="192">
        <v>308</v>
      </c>
      <c r="N50" s="192">
        <v>411</v>
      </c>
      <c r="O50" s="192">
        <v>782</v>
      </c>
      <c r="P50" s="192">
        <v>893</v>
      </c>
      <c r="S50" s="2">
        <v>0</v>
      </c>
    </row>
    <row r="51" spans="5:19" ht="15.6" thickTop="1" thickBot="1">
      <c r="E51" s="110">
        <v>45</v>
      </c>
      <c r="F51" s="352">
        <v>9.2011000000000003</v>
      </c>
      <c r="G51" s="110">
        <v>45</v>
      </c>
      <c r="H51" s="192">
        <v>638</v>
      </c>
      <c r="I51" s="192">
        <v>813</v>
      </c>
      <c r="J51" s="192">
        <v>928</v>
      </c>
      <c r="K51" s="192">
        <v>1043</v>
      </c>
      <c r="L51" s="192">
        <v>205</v>
      </c>
      <c r="M51" s="192">
        <v>308</v>
      </c>
      <c r="N51" s="192">
        <v>411</v>
      </c>
      <c r="O51" s="192">
        <v>782</v>
      </c>
      <c r="P51" s="192">
        <v>893</v>
      </c>
      <c r="S51" s="2">
        <v>0</v>
      </c>
    </row>
    <row r="52" spans="5:19" ht="15.6" thickTop="1" thickBot="1">
      <c r="E52" s="110">
        <v>46</v>
      </c>
      <c r="F52" s="352">
        <v>10.2011</v>
      </c>
      <c r="G52" s="110">
        <v>46</v>
      </c>
      <c r="H52" s="192">
        <v>638</v>
      </c>
      <c r="I52" s="192">
        <v>813</v>
      </c>
      <c r="J52" s="192">
        <v>928</v>
      </c>
      <c r="K52" s="192">
        <v>1043</v>
      </c>
      <c r="L52" s="192">
        <v>205</v>
      </c>
      <c r="M52" s="192">
        <v>308</v>
      </c>
      <c r="N52" s="192">
        <v>411</v>
      </c>
      <c r="O52" s="192">
        <v>782</v>
      </c>
      <c r="P52" s="192">
        <v>893</v>
      </c>
      <c r="S52" s="2">
        <v>0</v>
      </c>
    </row>
    <row r="53" spans="5:19" ht="15.6" thickTop="1" thickBot="1">
      <c r="E53" s="110">
        <v>47</v>
      </c>
      <c r="F53" s="352">
        <v>11.2011</v>
      </c>
      <c r="G53" s="110">
        <v>47</v>
      </c>
      <c r="H53" s="192">
        <v>638</v>
      </c>
      <c r="I53" s="192">
        <v>813</v>
      </c>
      <c r="J53" s="192">
        <v>928</v>
      </c>
      <c r="K53" s="192">
        <v>1043</v>
      </c>
      <c r="L53" s="192">
        <v>205</v>
      </c>
      <c r="M53" s="192">
        <v>308</v>
      </c>
      <c r="N53" s="192">
        <v>411</v>
      </c>
      <c r="O53" s="192">
        <v>782</v>
      </c>
      <c r="P53" s="192">
        <v>893</v>
      </c>
      <c r="S53" s="2">
        <v>0</v>
      </c>
    </row>
    <row r="54" spans="5:19" ht="15.6" thickTop="1" thickBot="1">
      <c r="E54" s="110">
        <v>48</v>
      </c>
      <c r="F54" s="352">
        <v>12.2011</v>
      </c>
      <c r="G54" s="110">
        <v>48</v>
      </c>
      <c r="H54" s="192">
        <v>638</v>
      </c>
      <c r="I54" s="192">
        <v>813</v>
      </c>
      <c r="J54" s="192">
        <v>928</v>
      </c>
      <c r="K54" s="192">
        <v>1043</v>
      </c>
      <c r="L54" s="192">
        <v>205</v>
      </c>
      <c r="M54" s="192">
        <v>308</v>
      </c>
      <c r="N54" s="192">
        <v>411</v>
      </c>
      <c r="O54" s="192">
        <v>782</v>
      </c>
      <c r="P54" s="192">
        <v>893</v>
      </c>
      <c r="S54" s="2">
        <v>0</v>
      </c>
    </row>
    <row r="55" spans="5:19" ht="15.6" thickTop="1" thickBot="1">
      <c r="E55" s="110">
        <v>49</v>
      </c>
      <c r="F55" s="352">
        <v>1.2012</v>
      </c>
      <c r="G55" s="110">
        <v>49</v>
      </c>
      <c r="H55" s="192">
        <v>651</v>
      </c>
      <c r="I55" s="192">
        <v>831</v>
      </c>
      <c r="J55" s="192">
        <v>948</v>
      </c>
      <c r="K55" s="192">
        <v>1066</v>
      </c>
      <c r="L55" s="192">
        <v>209</v>
      </c>
      <c r="M55" s="192">
        <v>315</v>
      </c>
      <c r="N55" s="192">
        <v>420</v>
      </c>
      <c r="O55" s="192">
        <v>799</v>
      </c>
      <c r="P55" s="192">
        <v>912</v>
      </c>
      <c r="S55" s="2">
        <v>0</v>
      </c>
    </row>
    <row r="56" spans="5:19" ht="15.6" thickTop="1" thickBot="1">
      <c r="E56" s="110">
        <v>50</v>
      </c>
      <c r="F56" s="352">
        <v>2.2012</v>
      </c>
      <c r="G56" s="110">
        <v>50</v>
      </c>
      <c r="H56" s="192">
        <v>651</v>
      </c>
      <c r="I56" s="192">
        <v>831</v>
      </c>
      <c r="J56" s="192">
        <v>948</v>
      </c>
      <c r="K56" s="192">
        <v>1066</v>
      </c>
      <c r="L56" s="192">
        <v>209</v>
      </c>
      <c r="M56" s="192">
        <v>315</v>
      </c>
      <c r="N56" s="192">
        <v>420</v>
      </c>
      <c r="O56" s="192">
        <v>799</v>
      </c>
      <c r="P56" s="192">
        <v>912</v>
      </c>
      <c r="S56" s="2">
        <v>0</v>
      </c>
    </row>
    <row r="57" spans="5:19" ht="15.6" thickTop="1" thickBot="1">
      <c r="E57" s="110">
        <v>51</v>
      </c>
      <c r="F57" s="352">
        <v>3.2012</v>
      </c>
      <c r="G57" s="110">
        <v>51</v>
      </c>
      <c r="H57" s="192">
        <v>651</v>
      </c>
      <c r="I57" s="192">
        <v>831</v>
      </c>
      <c r="J57" s="192">
        <v>948</v>
      </c>
      <c r="K57" s="192">
        <v>1066</v>
      </c>
      <c r="L57" s="192">
        <v>209</v>
      </c>
      <c r="M57" s="192">
        <v>315</v>
      </c>
      <c r="N57" s="192">
        <v>420</v>
      </c>
      <c r="O57" s="192">
        <v>799</v>
      </c>
      <c r="P57" s="192">
        <v>912</v>
      </c>
      <c r="S57" s="2">
        <v>0</v>
      </c>
    </row>
    <row r="58" spans="5:19" ht="15.6" thickTop="1" thickBot="1">
      <c r="E58" s="110">
        <v>52</v>
      </c>
      <c r="F58" s="352">
        <v>4.2012</v>
      </c>
      <c r="G58" s="110">
        <v>52</v>
      </c>
      <c r="H58" s="192">
        <v>651</v>
      </c>
      <c r="I58" s="192">
        <v>831</v>
      </c>
      <c r="J58" s="192">
        <v>948</v>
      </c>
      <c r="K58" s="192">
        <v>1066</v>
      </c>
      <c r="L58" s="192">
        <v>209</v>
      </c>
      <c r="M58" s="192">
        <v>315</v>
      </c>
      <c r="N58" s="192">
        <v>420</v>
      </c>
      <c r="O58" s="192">
        <v>799</v>
      </c>
      <c r="P58" s="192">
        <v>912</v>
      </c>
      <c r="S58" s="2">
        <v>0</v>
      </c>
    </row>
    <row r="59" spans="5:19" ht="15.6" thickTop="1" thickBot="1">
      <c r="E59" s="110">
        <v>53</v>
      </c>
      <c r="F59" s="352">
        <v>5.2012</v>
      </c>
      <c r="G59" s="110">
        <v>53</v>
      </c>
      <c r="H59" s="192">
        <v>651</v>
      </c>
      <c r="I59" s="192">
        <v>831</v>
      </c>
      <c r="J59" s="192">
        <v>948</v>
      </c>
      <c r="K59" s="192">
        <v>1066</v>
      </c>
      <c r="L59" s="192">
        <v>209</v>
      </c>
      <c r="M59" s="192">
        <v>315</v>
      </c>
      <c r="N59" s="192">
        <v>420</v>
      </c>
      <c r="O59" s="192">
        <v>799</v>
      </c>
      <c r="P59" s="192">
        <v>912</v>
      </c>
      <c r="S59" s="2">
        <v>0</v>
      </c>
    </row>
    <row r="60" spans="5:19" ht="15.6" thickTop="1" thickBot="1">
      <c r="E60" s="110">
        <v>54</v>
      </c>
      <c r="F60" s="352">
        <v>6.2012</v>
      </c>
      <c r="G60" s="110">
        <v>54</v>
      </c>
      <c r="H60" s="192">
        <v>651</v>
      </c>
      <c r="I60" s="192">
        <v>831</v>
      </c>
      <c r="J60" s="192">
        <v>948</v>
      </c>
      <c r="K60" s="192">
        <v>1066</v>
      </c>
      <c r="L60" s="192">
        <v>209</v>
      </c>
      <c r="M60" s="192">
        <v>315</v>
      </c>
      <c r="N60" s="192">
        <v>420</v>
      </c>
      <c r="O60" s="192">
        <v>799</v>
      </c>
      <c r="P60" s="192">
        <v>912</v>
      </c>
      <c r="S60" s="2">
        <v>0</v>
      </c>
    </row>
    <row r="61" spans="5:19" ht="15.6" thickTop="1" thickBot="1">
      <c r="E61" s="110">
        <v>55</v>
      </c>
      <c r="F61" s="352">
        <v>7.2012</v>
      </c>
      <c r="G61" s="110">
        <v>55</v>
      </c>
      <c r="H61" s="192">
        <v>651</v>
      </c>
      <c r="I61" s="192">
        <v>831</v>
      </c>
      <c r="J61" s="192">
        <v>948</v>
      </c>
      <c r="K61" s="192">
        <v>1066</v>
      </c>
      <c r="L61" s="192">
        <v>209</v>
      </c>
      <c r="M61" s="192">
        <v>315</v>
      </c>
      <c r="N61" s="192">
        <v>420</v>
      </c>
      <c r="O61" s="192">
        <v>799</v>
      </c>
      <c r="P61" s="192">
        <v>912</v>
      </c>
      <c r="S61" s="2">
        <v>0</v>
      </c>
    </row>
    <row r="62" spans="5:19" ht="15.6" thickTop="1" thickBot="1">
      <c r="E62" s="110">
        <v>56</v>
      </c>
      <c r="F62" s="352">
        <v>8.2012</v>
      </c>
      <c r="G62" s="110">
        <v>56</v>
      </c>
      <c r="H62" s="192">
        <v>651</v>
      </c>
      <c r="I62" s="192">
        <v>831</v>
      </c>
      <c r="J62" s="192">
        <v>948</v>
      </c>
      <c r="K62" s="192">
        <v>1066</v>
      </c>
      <c r="L62" s="192">
        <v>209</v>
      </c>
      <c r="M62" s="192">
        <v>315</v>
      </c>
      <c r="N62" s="192">
        <v>420</v>
      </c>
      <c r="O62" s="192">
        <v>799</v>
      </c>
      <c r="P62" s="192">
        <v>912</v>
      </c>
      <c r="S62" s="2">
        <v>0</v>
      </c>
    </row>
    <row r="63" spans="5:19" ht="15.6" thickTop="1" thickBot="1">
      <c r="E63" s="110">
        <v>57</v>
      </c>
      <c r="F63" s="352">
        <v>9.2012</v>
      </c>
      <c r="G63" s="110">
        <v>57</v>
      </c>
      <c r="H63" s="192">
        <v>651</v>
      </c>
      <c r="I63" s="192">
        <v>831</v>
      </c>
      <c r="J63" s="192">
        <v>948</v>
      </c>
      <c r="K63" s="192">
        <v>1066</v>
      </c>
      <c r="L63" s="192">
        <v>209</v>
      </c>
      <c r="M63" s="192">
        <v>315</v>
      </c>
      <c r="N63" s="192">
        <v>420</v>
      </c>
      <c r="O63" s="192">
        <v>799</v>
      </c>
      <c r="P63" s="192">
        <v>912</v>
      </c>
      <c r="S63" s="2">
        <v>0</v>
      </c>
    </row>
    <row r="64" spans="5:19" ht="15.6" thickTop="1" thickBot="1">
      <c r="E64" s="110">
        <v>58</v>
      </c>
      <c r="F64" s="352">
        <v>10.2012</v>
      </c>
      <c r="G64" s="110">
        <v>58</v>
      </c>
      <c r="H64" s="192">
        <v>651</v>
      </c>
      <c r="I64" s="192">
        <v>831</v>
      </c>
      <c r="J64" s="192">
        <v>948</v>
      </c>
      <c r="K64" s="192">
        <v>1066</v>
      </c>
      <c r="L64" s="192">
        <v>209</v>
      </c>
      <c r="M64" s="192">
        <v>315</v>
      </c>
      <c r="N64" s="192">
        <v>420</v>
      </c>
      <c r="O64" s="192">
        <v>799</v>
      </c>
      <c r="P64" s="192">
        <v>912</v>
      </c>
      <c r="S64" s="2">
        <v>0</v>
      </c>
    </row>
    <row r="65" spans="5:19" ht="15.6" thickTop="1" thickBot="1">
      <c r="E65" s="110">
        <v>59</v>
      </c>
      <c r="F65" s="352">
        <v>11.2012</v>
      </c>
      <c r="G65" s="110">
        <v>59</v>
      </c>
      <c r="H65" s="192">
        <v>651</v>
      </c>
      <c r="I65" s="192">
        <v>831</v>
      </c>
      <c r="J65" s="192">
        <v>948</v>
      </c>
      <c r="K65" s="192">
        <v>1066</v>
      </c>
      <c r="L65" s="192">
        <v>209</v>
      </c>
      <c r="M65" s="192">
        <v>315</v>
      </c>
      <c r="N65" s="192">
        <v>420</v>
      </c>
      <c r="O65" s="192">
        <v>799</v>
      </c>
      <c r="P65" s="192">
        <v>912</v>
      </c>
      <c r="S65" s="2">
        <v>0</v>
      </c>
    </row>
    <row r="66" spans="5:19" ht="15.6" thickTop="1" thickBot="1">
      <c r="E66" s="110">
        <v>60</v>
      </c>
      <c r="F66" s="352">
        <v>12.2012</v>
      </c>
      <c r="G66" s="110">
        <v>60</v>
      </c>
      <c r="H66" s="192">
        <v>651</v>
      </c>
      <c r="I66" s="192">
        <v>831</v>
      </c>
      <c r="J66" s="192">
        <v>948</v>
      </c>
      <c r="K66" s="192">
        <v>1066</v>
      </c>
      <c r="L66" s="192">
        <v>209</v>
      </c>
      <c r="M66" s="192">
        <v>315</v>
      </c>
      <c r="N66" s="192">
        <v>420</v>
      </c>
      <c r="O66" s="192">
        <v>799</v>
      </c>
      <c r="P66" s="192">
        <v>912</v>
      </c>
      <c r="S66" s="2">
        <v>0</v>
      </c>
    </row>
    <row r="67" spans="5:19" ht="15.6" thickTop="1" thickBot="1">
      <c r="E67" s="110">
        <v>61</v>
      </c>
      <c r="F67" s="352">
        <v>1.2013</v>
      </c>
      <c r="G67" s="110">
        <v>61</v>
      </c>
      <c r="H67" s="192">
        <v>662</v>
      </c>
      <c r="I67" s="192">
        <v>845</v>
      </c>
      <c r="J67" s="192">
        <v>964</v>
      </c>
      <c r="K67" s="192">
        <v>1084</v>
      </c>
      <c r="L67" s="192">
        <v>213</v>
      </c>
      <c r="M67" s="192">
        <v>321</v>
      </c>
      <c r="N67" s="192">
        <v>427</v>
      </c>
      <c r="O67" s="192">
        <v>812</v>
      </c>
      <c r="P67" s="192">
        <v>927</v>
      </c>
      <c r="S67" s="2">
        <v>0</v>
      </c>
    </row>
    <row r="68" spans="5:19" ht="15.6" thickTop="1" thickBot="1">
      <c r="E68" s="110">
        <v>62</v>
      </c>
      <c r="F68" s="352">
        <v>2.2012999999999998</v>
      </c>
      <c r="G68" s="110">
        <v>62</v>
      </c>
      <c r="H68" s="192">
        <v>662</v>
      </c>
      <c r="I68" s="192">
        <v>845</v>
      </c>
      <c r="J68" s="192">
        <v>964</v>
      </c>
      <c r="K68" s="192">
        <v>1084</v>
      </c>
      <c r="L68" s="192">
        <v>213</v>
      </c>
      <c r="M68" s="192">
        <v>321</v>
      </c>
      <c r="N68" s="192">
        <v>427</v>
      </c>
      <c r="O68" s="192">
        <v>812</v>
      </c>
      <c r="P68" s="192">
        <v>927</v>
      </c>
      <c r="S68" s="2">
        <v>0</v>
      </c>
    </row>
    <row r="69" spans="5:19" ht="15.6" thickTop="1" thickBot="1">
      <c r="E69" s="110">
        <v>63</v>
      </c>
      <c r="F69" s="352">
        <v>3.2012999999999998</v>
      </c>
      <c r="G69" s="110">
        <v>63</v>
      </c>
      <c r="H69" s="192">
        <v>662</v>
      </c>
      <c r="I69" s="192">
        <v>845</v>
      </c>
      <c r="J69" s="192">
        <v>964</v>
      </c>
      <c r="K69" s="192">
        <v>1084</v>
      </c>
      <c r="L69" s="192">
        <v>213</v>
      </c>
      <c r="M69" s="192">
        <v>321</v>
      </c>
      <c r="N69" s="192">
        <v>427</v>
      </c>
      <c r="O69" s="192">
        <v>812</v>
      </c>
      <c r="P69" s="192">
        <v>927</v>
      </c>
      <c r="S69" s="2">
        <v>0</v>
      </c>
    </row>
    <row r="70" spans="5:19" ht="15.6" thickTop="1" thickBot="1">
      <c r="E70" s="110">
        <v>64</v>
      </c>
      <c r="F70" s="352">
        <v>4.2012999999999998</v>
      </c>
      <c r="G70" s="110">
        <v>64</v>
      </c>
      <c r="H70" s="192">
        <v>662</v>
      </c>
      <c r="I70" s="192">
        <v>845</v>
      </c>
      <c r="J70" s="192">
        <v>964</v>
      </c>
      <c r="K70" s="192">
        <v>1084</v>
      </c>
      <c r="L70" s="192">
        <v>213</v>
      </c>
      <c r="M70" s="192">
        <v>321</v>
      </c>
      <c r="N70" s="192">
        <v>427</v>
      </c>
      <c r="O70" s="192">
        <v>812</v>
      </c>
      <c r="P70" s="192">
        <v>927</v>
      </c>
      <c r="S70" s="2">
        <v>0</v>
      </c>
    </row>
    <row r="71" spans="5:19" ht="15.6" thickTop="1" thickBot="1">
      <c r="E71" s="110">
        <v>65</v>
      </c>
      <c r="F71" s="352">
        <v>5.2012999999999998</v>
      </c>
      <c r="G71" s="110">
        <v>65</v>
      </c>
      <c r="H71" s="192">
        <v>662</v>
      </c>
      <c r="I71" s="192">
        <v>845</v>
      </c>
      <c r="J71" s="192">
        <v>964</v>
      </c>
      <c r="K71" s="192">
        <v>1084</v>
      </c>
      <c r="L71" s="192">
        <v>213</v>
      </c>
      <c r="M71" s="192">
        <v>321</v>
      </c>
      <c r="N71" s="192">
        <v>427</v>
      </c>
      <c r="O71" s="192">
        <v>812</v>
      </c>
      <c r="P71" s="192">
        <v>927</v>
      </c>
      <c r="S71" s="2">
        <v>0</v>
      </c>
    </row>
    <row r="72" spans="5:19" ht="15.6" thickTop="1" thickBot="1">
      <c r="E72" s="110">
        <v>66</v>
      </c>
      <c r="F72" s="352">
        <v>6.2012999999999998</v>
      </c>
      <c r="G72" s="110">
        <v>66</v>
      </c>
      <c r="H72" s="192">
        <v>662</v>
      </c>
      <c r="I72" s="192">
        <v>845</v>
      </c>
      <c r="J72" s="192">
        <v>964</v>
      </c>
      <c r="K72" s="192">
        <v>1084</v>
      </c>
      <c r="L72" s="192">
        <v>213</v>
      </c>
      <c r="M72" s="192">
        <v>321</v>
      </c>
      <c r="N72" s="192">
        <v>427</v>
      </c>
      <c r="O72" s="192">
        <v>812</v>
      </c>
      <c r="P72" s="192">
        <v>927</v>
      </c>
      <c r="S72" s="2">
        <v>0</v>
      </c>
    </row>
    <row r="73" spans="5:19" ht="15.6" thickTop="1" thickBot="1">
      <c r="E73" s="110">
        <v>67</v>
      </c>
      <c r="F73" s="352">
        <v>7.2012999999999998</v>
      </c>
      <c r="G73" s="110">
        <v>67</v>
      </c>
      <c r="H73" s="192">
        <v>662</v>
      </c>
      <c r="I73" s="192">
        <v>845</v>
      </c>
      <c r="J73" s="192">
        <v>964</v>
      </c>
      <c r="K73" s="192">
        <v>1084</v>
      </c>
      <c r="L73" s="192">
        <v>213</v>
      </c>
      <c r="M73" s="192">
        <v>321</v>
      </c>
      <c r="N73" s="192">
        <v>427</v>
      </c>
      <c r="O73" s="192">
        <v>812</v>
      </c>
      <c r="P73" s="192">
        <v>927</v>
      </c>
      <c r="S73" s="2">
        <v>0</v>
      </c>
    </row>
    <row r="74" spans="5:19" ht="15.6" thickTop="1" thickBot="1">
      <c r="E74" s="110">
        <v>68</v>
      </c>
      <c r="F74" s="352">
        <v>8.2012999999999998</v>
      </c>
      <c r="G74" s="110">
        <v>68</v>
      </c>
      <c r="H74" s="192">
        <v>662</v>
      </c>
      <c r="I74" s="192">
        <v>845</v>
      </c>
      <c r="J74" s="192">
        <v>964</v>
      </c>
      <c r="K74" s="192">
        <v>1084</v>
      </c>
      <c r="L74" s="192">
        <v>213</v>
      </c>
      <c r="M74" s="192">
        <v>321</v>
      </c>
      <c r="N74" s="192">
        <v>427</v>
      </c>
      <c r="O74" s="192">
        <v>812</v>
      </c>
      <c r="P74" s="192">
        <v>927</v>
      </c>
      <c r="S74" s="2">
        <v>0</v>
      </c>
    </row>
    <row r="75" spans="5:19" ht="15.6" thickTop="1" thickBot="1">
      <c r="E75" s="110">
        <v>69</v>
      </c>
      <c r="F75" s="352">
        <v>9.2012999999999998</v>
      </c>
      <c r="G75" s="110">
        <v>69</v>
      </c>
      <c r="H75" s="192">
        <v>662</v>
      </c>
      <c r="I75" s="192">
        <v>845</v>
      </c>
      <c r="J75" s="192">
        <v>964</v>
      </c>
      <c r="K75" s="192">
        <v>1084</v>
      </c>
      <c r="L75" s="192">
        <v>213</v>
      </c>
      <c r="M75" s="192">
        <v>321</v>
      </c>
      <c r="N75" s="192">
        <v>427</v>
      </c>
      <c r="O75" s="192">
        <v>812</v>
      </c>
      <c r="P75" s="192">
        <v>927</v>
      </c>
      <c r="S75" s="2">
        <v>0</v>
      </c>
    </row>
    <row r="76" spans="5:19" ht="15.6" thickTop="1" thickBot="1">
      <c r="E76" s="110">
        <v>70</v>
      </c>
      <c r="F76" s="352">
        <v>10.2013</v>
      </c>
      <c r="G76" s="110">
        <v>70</v>
      </c>
      <c r="H76" s="192">
        <v>662</v>
      </c>
      <c r="I76" s="192">
        <v>845</v>
      </c>
      <c r="J76" s="192">
        <v>964</v>
      </c>
      <c r="K76" s="192">
        <v>1084</v>
      </c>
      <c r="L76" s="192">
        <v>213</v>
      </c>
      <c r="M76" s="192">
        <v>321</v>
      </c>
      <c r="N76" s="192">
        <v>427</v>
      </c>
      <c r="O76" s="192">
        <v>812</v>
      </c>
      <c r="P76" s="192">
        <v>927</v>
      </c>
      <c r="S76" s="2">
        <v>0</v>
      </c>
    </row>
    <row r="77" spans="5:19" ht="15.6" thickTop="1" thickBot="1">
      <c r="E77" s="110">
        <v>71</v>
      </c>
      <c r="F77" s="352">
        <v>11.2013</v>
      </c>
      <c r="G77" s="110">
        <v>71</v>
      </c>
      <c r="H77" s="192">
        <v>662</v>
      </c>
      <c r="I77" s="192">
        <v>845</v>
      </c>
      <c r="J77" s="192">
        <v>964</v>
      </c>
      <c r="K77" s="192">
        <v>1084</v>
      </c>
      <c r="L77" s="192">
        <v>213</v>
      </c>
      <c r="M77" s="192">
        <v>321</v>
      </c>
      <c r="N77" s="192">
        <v>427</v>
      </c>
      <c r="O77" s="192">
        <v>812</v>
      </c>
      <c r="P77" s="192">
        <v>927</v>
      </c>
      <c r="S77" s="2">
        <v>0</v>
      </c>
    </row>
    <row r="78" spans="5:19" ht="15.6" thickTop="1" thickBot="1">
      <c r="E78" s="110">
        <v>72</v>
      </c>
      <c r="F78" s="352">
        <v>12.2013</v>
      </c>
      <c r="G78" s="110">
        <v>72</v>
      </c>
      <c r="H78" s="192">
        <v>662</v>
      </c>
      <c r="I78" s="192">
        <v>845</v>
      </c>
      <c r="J78" s="192">
        <v>964</v>
      </c>
      <c r="K78" s="192">
        <v>1084</v>
      </c>
      <c r="L78" s="192">
        <v>213</v>
      </c>
      <c r="M78" s="192">
        <v>321</v>
      </c>
      <c r="N78" s="192">
        <v>427</v>
      </c>
      <c r="O78" s="192">
        <v>812</v>
      </c>
      <c r="P78" s="192">
        <v>927</v>
      </c>
      <c r="S78" s="2">
        <v>0</v>
      </c>
    </row>
    <row r="79" spans="5:19" ht="15.6" thickTop="1" thickBot="1">
      <c r="E79" s="110">
        <v>73</v>
      </c>
      <c r="F79" s="352">
        <v>1.2014</v>
      </c>
      <c r="G79" s="110">
        <v>73</v>
      </c>
      <c r="H79" s="192">
        <v>674</v>
      </c>
      <c r="I79" s="192">
        <v>860</v>
      </c>
      <c r="J79" s="192">
        <v>982</v>
      </c>
      <c r="K79" s="192">
        <v>1104</v>
      </c>
      <c r="L79" s="192">
        <v>217</v>
      </c>
      <c r="M79" s="192">
        <v>327</v>
      </c>
      <c r="N79" s="192">
        <v>435</v>
      </c>
      <c r="O79" s="192">
        <v>827</v>
      </c>
      <c r="P79" s="192">
        <v>944</v>
      </c>
      <c r="S79" s="2">
        <v>0</v>
      </c>
    </row>
    <row r="80" spans="5:19" ht="15.6" thickTop="1" thickBot="1">
      <c r="E80" s="110">
        <v>74</v>
      </c>
      <c r="F80" s="352">
        <v>2.2014</v>
      </c>
      <c r="G80" s="110">
        <v>74</v>
      </c>
      <c r="H80" s="192">
        <v>674</v>
      </c>
      <c r="I80" s="192">
        <v>860</v>
      </c>
      <c r="J80" s="192">
        <v>982</v>
      </c>
      <c r="K80" s="192">
        <v>1104</v>
      </c>
      <c r="L80" s="192">
        <v>217</v>
      </c>
      <c r="M80" s="192">
        <v>327</v>
      </c>
      <c r="N80" s="192">
        <v>435</v>
      </c>
      <c r="O80" s="192">
        <v>827</v>
      </c>
      <c r="P80" s="192">
        <v>944</v>
      </c>
      <c r="S80" s="2">
        <v>0</v>
      </c>
    </row>
    <row r="81" spans="5:19" ht="15.6" thickTop="1" thickBot="1">
      <c r="E81" s="110">
        <v>75</v>
      </c>
      <c r="F81" s="352">
        <v>3.2014</v>
      </c>
      <c r="G81" s="110">
        <v>75</v>
      </c>
      <c r="H81" s="192">
        <v>674</v>
      </c>
      <c r="I81" s="192">
        <v>860</v>
      </c>
      <c r="J81" s="192">
        <v>982</v>
      </c>
      <c r="K81" s="192">
        <v>1104</v>
      </c>
      <c r="L81" s="192">
        <v>217</v>
      </c>
      <c r="M81" s="192">
        <v>327</v>
      </c>
      <c r="N81" s="192">
        <v>435</v>
      </c>
      <c r="O81" s="192">
        <v>827</v>
      </c>
      <c r="P81" s="192">
        <v>944</v>
      </c>
      <c r="S81" s="2">
        <v>0</v>
      </c>
    </row>
    <row r="82" spans="5:19" ht="15.6" thickTop="1" thickBot="1">
      <c r="E82" s="110">
        <v>76</v>
      </c>
      <c r="F82" s="352">
        <v>4.2013999999999996</v>
      </c>
      <c r="G82" s="110">
        <v>76</v>
      </c>
      <c r="H82" s="192">
        <v>674</v>
      </c>
      <c r="I82" s="192">
        <v>860</v>
      </c>
      <c r="J82" s="192">
        <v>982</v>
      </c>
      <c r="K82" s="192">
        <v>1104</v>
      </c>
      <c r="L82" s="192">
        <v>217</v>
      </c>
      <c r="M82" s="192">
        <v>327</v>
      </c>
      <c r="N82" s="192">
        <v>435</v>
      </c>
      <c r="O82" s="192">
        <v>827</v>
      </c>
      <c r="P82" s="192">
        <v>944</v>
      </c>
      <c r="S82" s="2">
        <v>0</v>
      </c>
    </row>
    <row r="83" spans="5:19" ht="15.6" thickTop="1" thickBot="1">
      <c r="E83" s="110">
        <v>77</v>
      </c>
      <c r="F83" s="352">
        <v>5.2013999999999996</v>
      </c>
      <c r="G83" s="110">
        <v>77</v>
      </c>
      <c r="H83" s="192">
        <v>674</v>
      </c>
      <c r="I83" s="192">
        <v>860</v>
      </c>
      <c r="J83" s="192">
        <v>982</v>
      </c>
      <c r="K83" s="192">
        <v>1104</v>
      </c>
      <c r="L83" s="192">
        <v>217</v>
      </c>
      <c r="M83" s="192">
        <v>327</v>
      </c>
      <c r="N83" s="192">
        <v>435</v>
      </c>
      <c r="O83" s="192">
        <v>827</v>
      </c>
      <c r="P83" s="192">
        <v>944</v>
      </c>
      <c r="S83" s="2">
        <v>0</v>
      </c>
    </row>
    <row r="84" spans="5:19" ht="15.6" thickTop="1" thickBot="1">
      <c r="E84" s="110">
        <v>78</v>
      </c>
      <c r="F84" s="352">
        <v>6.2013999999999996</v>
      </c>
      <c r="G84" s="110">
        <v>78</v>
      </c>
      <c r="H84" s="192">
        <v>674</v>
      </c>
      <c r="I84" s="192">
        <v>860</v>
      </c>
      <c r="J84" s="192">
        <v>982</v>
      </c>
      <c r="K84" s="192">
        <v>1104</v>
      </c>
      <c r="L84" s="192">
        <v>217</v>
      </c>
      <c r="M84" s="192">
        <v>327</v>
      </c>
      <c r="N84" s="192">
        <v>435</v>
      </c>
      <c r="O84" s="192">
        <v>827</v>
      </c>
      <c r="P84" s="192">
        <v>944</v>
      </c>
      <c r="S84" s="2">
        <v>0</v>
      </c>
    </row>
    <row r="85" spans="5:19" ht="15.6" thickTop="1" thickBot="1">
      <c r="E85" s="110">
        <v>79</v>
      </c>
      <c r="F85" s="352">
        <v>7.2013999999999996</v>
      </c>
      <c r="G85" s="110">
        <v>79</v>
      </c>
      <c r="H85" s="192">
        <v>674</v>
      </c>
      <c r="I85" s="192">
        <v>860</v>
      </c>
      <c r="J85" s="192">
        <v>982</v>
      </c>
      <c r="K85" s="192">
        <v>1104</v>
      </c>
      <c r="L85" s="192">
        <v>217</v>
      </c>
      <c r="M85" s="192">
        <v>327</v>
      </c>
      <c r="N85" s="192">
        <v>435</v>
      </c>
      <c r="O85" s="192">
        <v>827</v>
      </c>
      <c r="P85" s="192">
        <v>944</v>
      </c>
      <c r="S85" s="2">
        <v>0</v>
      </c>
    </row>
    <row r="86" spans="5:19" ht="15.6" thickTop="1" thickBot="1">
      <c r="E86" s="110">
        <v>80</v>
      </c>
      <c r="F86" s="352">
        <v>8.2013999999999996</v>
      </c>
      <c r="G86" s="110">
        <v>80</v>
      </c>
      <c r="H86" s="192">
        <v>674</v>
      </c>
      <c r="I86" s="192">
        <v>860</v>
      </c>
      <c r="J86" s="192">
        <v>982</v>
      </c>
      <c r="K86" s="192">
        <v>1104</v>
      </c>
      <c r="L86" s="192">
        <v>217</v>
      </c>
      <c r="M86" s="192">
        <v>327</v>
      </c>
      <c r="N86" s="192">
        <v>435</v>
      </c>
      <c r="O86" s="192">
        <v>827</v>
      </c>
      <c r="P86" s="192">
        <v>944</v>
      </c>
      <c r="S86" s="2">
        <v>0</v>
      </c>
    </row>
    <row r="87" spans="5:19" ht="15.6" thickTop="1" thickBot="1">
      <c r="E87" s="110">
        <v>81</v>
      </c>
      <c r="F87" s="352">
        <v>9.2013999999999996</v>
      </c>
      <c r="G87" s="110">
        <v>81</v>
      </c>
      <c r="H87" s="192">
        <v>674</v>
      </c>
      <c r="I87" s="192">
        <v>860</v>
      </c>
      <c r="J87" s="192">
        <v>982</v>
      </c>
      <c r="K87" s="192">
        <v>1104</v>
      </c>
      <c r="L87" s="192">
        <v>217</v>
      </c>
      <c r="M87" s="192">
        <v>327</v>
      </c>
      <c r="N87" s="192">
        <v>435</v>
      </c>
      <c r="O87" s="192">
        <v>827</v>
      </c>
      <c r="P87" s="192">
        <v>944</v>
      </c>
      <c r="S87" s="2">
        <v>0</v>
      </c>
    </row>
    <row r="88" spans="5:19" ht="15.6" thickTop="1" thickBot="1">
      <c r="E88" s="110">
        <v>82</v>
      </c>
      <c r="F88" s="352">
        <v>10.2014</v>
      </c>
      <c r="G88" s="110">
        <v>82</v>
      </c>
      <c r="H88" s="192">
        <v>674</v>
      </c>
      <c r="I88" s="192">
        <v>860</v>
      </c>
      <c r="J88" s="192">
        <v>982</v>
      </c>
      <c r="K88" s="192">
        <v>1104</v>
      </c>
      <c r="L88" s="192">
        <v>217</v>
      </c>
      <c r="M88" s="192">
        <v>327</v>
      </c>
      <c r="N88" s="192">
        <v>435</v>
      </c>
      <c r="O88" s="192">
        <v>827</v>
      </c>
      <c r="P88" s="192">
        <v>944</v>
      </c>
      <c r="S88" s="2">
        <v>0</v>
      </c>
    </row>
    <row r="89" spans="5:19" ht="15.6" thickTop="1" thickBot="1">
      <c r="E89" s="110">
        <v>83</v>
      </c>
      <c r="F89" s="352">
        <v>11.2014</v>
      </c>
      <c r="G89" s="110">
        <v>83</v>
      </c>
      <c r="H89" s="192">
        <v>674</v>
      </c>
      <c r="I89" s="192">
        <v>860</v>
      </c>
      <c r="J89" s="192">
        <v>982</v>
      </c>
      <c r="K89" s="192">
        <v>1104</v>
      </c>
      <c r="L89" s="192">
        <v>217</v>
      </c>
      <c r="M89" s="192">
        <v>327</v>
      </c>
      <c r="N89" s="192">
        <v>435</v>
      </c>
      <c r="O89" s="192">
        <v>827</v>
      </c>
      <c r="P89" s="192">
        <v>944</v>
      </c>
      <c r="S89" s="2">
        <v>0</v>
      </c>
    </row>
    <row r="90" spans="5:19" ht="15.6" thickTop="1" thickBot="1">
      <c r="E90" s="110">
        <v>84</v>
      </c>
      <c r="F90" s="352">
        <v>12.2014</v>
      </c>
      <c r="G90" s="110">
        <v>84</v>
      </c>
      <c r="H90" s="192">
        <v>674</v>
      </c>
      <c r="I90" s="192">
        <v>860</v>
      </c>
      <c r="J90" s="192">
        <v>982</v>
      </c>
      <c r="K90" s="192">
        <v>1104</v>
      </c>
      <c r="L90" s="192">
        <v>217</v>
      </c>
      <c r="M90" s="192">
        <v>327</v>
      </c>
      <c r="N90" s="192">
        <v>435</v>
      </c>
      <c r="O90" s="192">
        <v>827</v>
      </c>
      <c r="P90" s="192">
        <v>944</v>
      </c>
      <c r="S90" s="2">
        <v>0</v>
      </c>
    </row>
    <row r="91" spans="5:19" ht="15.6" thickTop="1" thickBot="1">
      <c r="E91" s="110">
        <v>85</v>
      </c>
      <c r="F91" s="352">
        <v>1.2015</v>
      </c>
      <c r="G91" s="110">
        <v>85</v>
      </c>
      <c r="H91" s="192">
        <v>673</v>
      </c>
      <c r="I91" s="192">
        <v>858</v>
      </c>
      <c r="J91" s="192">
        <v>980</v>
      </c>
      <c r="K91" s="192">
        <v>1102</v>
      </c>
      <c r="L91" s="192">
        <v>217</v>
      </c>
      <c r="M91" s="192">
        <v>326</v>
      </c>
      <c r="N91" s="192">
        <v>434</v>
      </c>
      <c r="O91" s="192">
        <v>825</v>
      </c>
      <c r="P91" s="192">
        <v>942</v>
      </c>
      <c r="S91" s="2">
        <v>0</v>
      </c>
    </row>
    <row r="92" spans="5:19" ht="15.6" thickTop="1" thickBot="1">
      <c r="E92" s="110">
        <v>86</v>
      </c>
      <c r="F92" s="352">
        <v>2.2014999999999998</v>
      </c>
      <c r="G92" s="110">
        <v>86</v>
      </c>
      <c r="H92" s="192">
        <v>673</v>
      </c>
      <c r="I92" s="192">
        <v>858</v>
      </c>
      <c r="J92" s="192">
        <v>980</v>
      </c>
      <c r="K92" s="192">
        <v>1102</v>
      </c>
      <c r="L92" s="192">
        <v>217</v>
      </c>
      <c r="M92" s="192">
        <v>326</v>
      </c>
      <c r="N92" s="192">
        <v>434</v>
      </c>
      <c r="O92" s="192">
        <v>825</v>
      </c>
      <c r="P92" s="192">
        <v>942</v>
      </c>
      <c r="S92" s="2">
        <v>0</v>
      </c>
    </row>
    <row r="93" spans="5:19" ht="15.6" thickTop="1" thickBot="1">
      <c r="E93" s="110">
        <v>87</v>
      </c>
      <c r="F93" s="352">
        <v>3.2014999999999998</v>
      </c>
      <c r="G93" s="110">
        <v>87</v>
      </c>
      <c r="H93" s="192">
        <v>673</v>
      </c>
      <c r="I93" s="192">
        <v>858</v>
      </c>
      <c r="J93" s="192">
        <v>980</v>
      </c>
      <c r="K93" s="192">
        <v>1102</v>
      </c>
      <c r="L93" s="192">
        <v>217</v>
      </c>
      <c r="M93" s="192">
        <v>326</v>
      </c>
      <c r="N93" s="192">
        <v>434</v>
      </c>
      <c r="O93" s="192">
        <v>825</v>
      </c>
      <c r="P93" s="192">
        <v>942</v>
      </c>
      <c r="S93" s="2">
        <v>0</v>
      </c>
    </row>
    <row r="94" spans="5:19" ht="15.6" thickTop="1" thickBot="1">
      <c r="E94" s="110">
        <v>88</v>
      </c>
      <c r="F94" s="352">
        <v>4.2015000000000002</v>
      </c>
      <c r="G94" s="110">
        <v>88</v>
      </c>
      <c r="H94" s="192">
        <v>673</v>
      </c>
      <c r="I94" s="192">
        <v>858</v>
      </c>
      <c r="J94" s="192">
        <v>980</v>
      </c>
      <c r="K94" s="192">
        <v>1102</v>
      </c>
      <c r="L94" s="192">
        <v>217</v>
      </c>
      <c r="M94" s="192">
        <v>326</v>
      </c>
      <c r="N94" s="192">
        <v>434</v>
      </c>
      <c r="O94" s="192">
        <v>825</v>
      </c>
      <c r="P94" s="192">
        <v>942</v>
      </c>
      <c r="S94" s="2">
        <v>0</v>
      </c>
    </row>
    <row r="95" spans="5:19" ht="15.6" thickTop="1" thickBot="1">
      <c r="E95" s="110">
        <v>89</v>
      </c>
      <c r="F95" s="352">
        <v>5.2015000000000002</v>
      </c>
      <c r="G95" s="110">
        <v>89</v>
      </c>
      <c r="H95" s="192">
        <v>673</v>
      </c>
      <c r="I95" s="192">
        <v>858</v>
      </c>
      <c r="J95" s="192">
        <v>980</v>
      </c>
      <c r="K95" s="192">
        <v>1102</v>
      </c>
      <c r="L95" s="192">
        <v>217</v>
      </c>
      <c r="M95" s="192">
        <v>326</v>
      </c>
      <c r="N95" s="192">
        <v>434</v>
      </c>
      <c r="O95" s="192">
        <v>825</v>
      </c>
      <c r="P95" s="192">
        <v>942</v>
      </c>
      <c r="S95" s="2">
        <v>0</v>
      </c>
    </row>
    <row r="96" spans="5:19" ht="15.6" thickTop="1" thickBot="1">
      <c r="E96" s="110">
        <v>90</v>
      </c>
      <c r="F96" s="352">
        <v>6.2015000000000002</v>
      </c>
      <c r="G96" s="110">
        <v>90</v>
      </c>
      <c r="H96" s="192">
        <v>673</v>
      </c>
      <c r="I96" s="192">
        <v>858</v>
      </c>
      <c r="J96" s="192">
        <v>980</v>
      </c>
      <c r="K96" s="192">
        <v>1102</v>
      </c>
      <c r="L96" s="192">
        <v>217</v>
      </c>
      <c r="M96" s="192">
        <v>326</v>
      </c>
      <c r="N96" s="192">
        <v>434</v>
      </c>
      <c r="O96" s="192">
        <v>825</v>
      </c>
      <c r="P96" s="192">
        <v>942</v>
      </c>
      <c r="S96" s="2">
        <v>0</v>
      </c>
    </row>
    <row r="97" spans="5:19" ht="15.6" thickTop="1" thickBot="1">
      <c r="E97" s="110">
        <v>91</v>
      </c>
      <c r="F97" s="352">
        <v>7.2015000000000002</v>
      </c>
      <c r="G97" s="110">
        <v>91</v>
      </c>
      <c r="H97" s="192">
        <v>673</v>
      </c>
      <c r="I97" s="192">
        <v>858</v>
      </c>
      <c r="J97" s="192">
        <v>980</v>
      </c>
      <c r="K97" s="192">
        <v>1102</v>
      </c>
      <c r="L97" s="192">
        <v>217</v>
      </c>
      <c r="M97" s="192">
        <v>326</v>
      </c>
      <c r="N97" s="192">
        <v>434</v>
      </c>
      <c r="O97" s="192">
        <v>825</v>
      </c>
      <c r="P97" s="192">
        <v>942</v>
      </c>
      <c r="S97" s="2">
        <v>0</v>
      </c>
    </row>
    <row r="98" spans="5:19" ht="15.6" thickTop="1" thickBot="1">
      <c r="E98" s="110">
        <v>92</v>
      </c>
      <c r="F98" s="352">
        <v>8.2014999999999993</v>
      </c>
      <c r="G98" s="110">
        <v>92</v>
      </c>
      <c r="H98" s="192">
        <v>673</v>
      </c>
      <c r="I98" s="192">
        <v>858</v>
      </c>
      <c r="J98" s="192">
        <v>980</v>
      </c>
      <c r="K98" s="192">
        <v>1102</v>
      </c>
      <c r="L98" s="192">
        <v>217</v>
      </c>
      <c r="M98" s="192">
        <v>326</v>
      </c>
      <c r="N98" s="192">
        <v>434</v>
      </c>
      <c r="O98" s="192">
        <v>825</v>
      </c>
      <c r="P98" s="192">
        <v>942</v>
      </c>
      <c r="S98" s="2">
        <v>0</v>
      </c>
    </row>
    <row r="99" spans="5:19" ht="15.6" thickTop="1" thickBot="1">
      <c r="E99" s="110">
        <v>93</v>
      </c>
      <c r="F99" s="352">
        <v>9.2014999999999993</v>
      </c>
      <c r="G99" s="110">
        <v>93</v>
      </c>
      <c r="H99" s="192">
        <v>673</v>
      </c>
      <c r="I99" s="192">
        <v>858</v>
      </c>
      <c r="J99" s="192">
        <v>980</v>
      </c>
      <c r="K99" s="192">
        <v>1102</v>
      </c>
      <c r="L99" s="192">
        <v>217</v>
      </c>
      <c r="M99" s="192">
        <v>326</v>
      </c>
      <c r="N99" s="192">
        <v>434</v>
      </c>
      <c r="O99" s="192">
        <v>825</v>
      </c>
      <c r="P99" s="192">
        <v>942</v>
      </c>
      <c r="S99" s="2">
        <v>0</v>
      </c>
    </row>
    <row r="100" spans="5:19" ht="15.6" thickTop="1" thickBot="1">
      <c r="E100" s="110">
        <v>94</v>
      </c>
      <c r="F100" s="352">
        <v>10.201499999999999</v>
      </c>
      <c r="G100" s="110">
        <v>94</v>
      </c>
      <c r="H100" s="192">
        <v>673</v>
      </c>
      <c r="I100" s="192">
        <v>858</v>
      </c>
      <c r="J100" s="192">
        <v>980</v>
      </c>
      <c r="K100" s="192">
        <v>1102</v>
      </c>
      <c r="L100" s="192">
        <v>217</v>
      </c>
      <c r="M100" s="192">
        <v>326</v>
      </c>
      <c r="N100" s="192">
        <v>434</v>
      </c>
      <c r="O100" s="192">
        <v>825</v>
      </c>
      <c r="P100" s="192">
        <v>942</v>
      </c>
      <c r="S100" s="2">
        <v>0</v>
      </c>
    </row>
    <row r="101" spans="5:19" ht="15.6" thickTop="1" thickBot="1">
      <c r="E101" s="110">
        <v>95</v>
      </c>
      <c r="F101" s="352">
        <v>11.201499999999999</v>
      </c>
      <c r="G101" s="110">
        <v>95</v>
      </c>
      <c r="H101" s="192">
        <v>673</v>
      </c>
      <c r="I101" s="192">
        <v>858</v>
      </c>
      <c r="J101" s="192">
        <v>980</v>
      </c>
      <c r="K101" s="192">
        <v>1102</v>
      </c>
      <c r="L101" s="192">
        <v>217</v>
      </c>
      <c r="M101" s="192">
        <v>326</v>
      </c>
      <c r="N101" s="192">
        <v>434</v>
      </c>
      <c r="O101" s="192">
        <v>825</v>
      </c>
      <c r="P101" s="192">
        <v>942</v>
      </c>
      <c r="S101" s="2">
        <v>0</v>
      </c>
    </row>
    <row r="102" spans="5:19" ht="15.6" thickTop="1" thickBot="1">
      <c r="E102" s="110">
        <v>96</v>
      </c>
      <c r="F102" s="352">
        <v>12.201499999999999</v>
      </c>
      <c r="G102" s="110">
        <v>96</v>
      </c>
      <c r="H102" s="192">
        <v>673</v>
      </c>
      <c r="I102" s="192">
        <v>858</v>
      </c>
      <c r="J102" s="192">
        <v>980</v>
      </c>
      <c r="K102" s="192">
        <v>1102</v>
      </c>
      <c r="L102" s="192">
        <v>217</v>
      </c>
      <c r="M102" s="192">
        <v>326</v>
      </c>
      <c r="N102" s="192">
        <v>434</v>
      </c>
      <c r="O102" s="192">
        <v>825</v>
      </c>
      <c r="P102" s="192">
        <v>942</v>
      </c>
      <c r="S102" s="2">
        <v>0</v>
      </c>
    </row>
    <row r="103" spans="5:19" ht="15.6" thickTop="1" thickBot="1">
      <c r="E103" s="110">
        <v>97</v>
      </c>
      <c r="F103" s="352">
        <v>1.2016</v>
      </c>
      <c r="G103" s="110">
        <v>97</v>
      </c>
      <c r="H103" s="192">
        <v>666</v>
      </c>
      <c r="I103" s="192">
        <v>850</v>
      </c>
      <c r="J103" s="192">
        <v>970</v>
      </c>
      <c r="K103" s="192">
        <v>1091</v>
      </c>
      <c r="L103" s="192">
        <v>214</v>
      </c>
      <c r="M103" s="192">
        <v>323</v>
      </c>
      <c r="N103" s="192">
        <v>430</v>
      </c>
      <c r="O103" s="192">
        <v>817</v>
      </c>
      <c r="P103" s="192">
        <v>933</v>
      </c>
      <c r="S103" s="2">
        <v>0</v>
      </c>
    </row>
    <row r="104" spans="5:19" ht="15.6" thickTop="1" thickBot="1">
      <c r="E104" s="110">
        <v>98</v>
      </c>
      <c r="F104" s="352">
        <v>2.2016</v>
      </c>
      <c r="G104" s="110">
        <v>98</v>
      </c>
      <c r="H104" s="192">
        <v>666</v>
      </c>
      <c r="I104" s="192">
        <v>850</v>
      </c>
      <c r="J104" s="192">
        <v>970</v>
      </c>
      <c r="K104" s="192">
        <v>1091</v>
      </c>
      <c r="L104" s="192">
        <v>214</v>
      </c>
      <c r="M104" s="192">
        <v>323</v>
      </c>
      <c r="N104" s="192">
        <v>430</v>
      </c>
      <c r="O104" s="192">
        <v>817</v>
      </c>
      <c r="P104" s="192">
        <v>933</v>
      </c>
      <c r="S104" s="2">
        <v>0</v>
      </c>
    </row>
    <row r="105" spans="5:19" ht="15.6" thickTop="1" thickBot="1">
      <c r="E105" s="110">
        <v>99</v>
      </c>
      <c r="F105" s="352">
        <v>3.2016</v>
      </c>
      <c r="G105" s="110">
        <v>99</v>
      </c>
      <c r="H105" s="192">
        <v>666</v>
      </c>
      <c r="I105" s="192">
        <v>850</v>
      </c>
      <c r="J105" s="192">
        <v>970</v>
      </c>
      <c r="K105" s="192">
        <v>1091</v>
      </c>
      <c r="L105" s="192">
        <v>214</v>
      </c>
      <c r="M105" s="192">
        <v>323</v>
      </c>
      <c r="N105" s="192">
        <v>430</v>
      </c>
      <c r="O105" s="192">
        <v>817</v>
      </c>
      <c r="P105" s="192">
        <v>933</v>
      </c>
      <c r="S105" s="2">
        <v>0</v>
      </c>
    </row>
    <row r="106" spans="5:19" ht="15.6" thickTop="1" thickBot="1">
      <c r="E106" s="110">
        <v>100</v>
      </c>
      <c r="F106" s="352">
        <v>4.2016</v>
      </c>
      <c r="G106" s="110">
        <v>100</v>
      </c>
      <c r="H106" s="192">
        <v>666</v>
      </c>
      <c r="I106" s="192">
        <v>850</v>
      </c>
      <c r="J106" s="192">
        <v>970</v>
      </c>
      <c r="K106" s="192">
        <v>1091</v>
      </c>
      <c r="L106" s="192">
        <v>214</v>
      </c>
      <c r="M106" s="192">
        <v>323</v>
      </c>
      <c r="N106" s="192">
        <v>430</v>
      </c>
      <c r="O106" s="192">
        <v>817</v>
      </c>
      <c r="P106" s="192">
        <v>933</v>
      </c>
      <c r="S106" s="2">
        <v>0</v>
      </c>
    </row>
    <row r="107" spans="5:19" ht="15.6" thickTop="1" thickBot="1">
      <c r="E107" s="110">
        <v>101</v>
      </c>
      <c r="F107" s="352">
        <v>5.2016</v>
      </c>
      <c r="G107" s="110">
        <v>101</v>
      </c>
      <c r="H107" s="192">
        <v>666</v>
      </c>
      <c r="I107" s="192">
        <v>850</v>
      </c>
      <c r="J107" s="192">
        <v>970</v>
      </c>
      <c r="K107" s="192">
        <v>1091</v>
      </c>
      <c r="L107" s="192">
        <v>214</v>
      </c>
      <c r="M107" s="192">
        <v>323</v>
      </c>
      <c r="N107" s="192">
        <v>430</v>
      </c>
      <c r="O107" s="192">
        <v>817</v>
      </c>
      <c r="P107" s="192">
        <v>933</v>
      </c>
      <c r="S107" s="2">
        <v>0</v>
      </c>
    </row>
    <row r="108" spans="5:19" ht="15.6" thickTop="1" thickBot="1">
      <c r="E108" s="110">
        <v>102</v>
      </c>
      <c r="F108" s="352">
        <v>6.2016</v>
      </c>
      <c r="G108" s="110">
        <v>102</v>
      </c>
      <c r="H108" s="192">
        <v>666</v>
      </c>
      <c r="I108" s="192">
        <v>850</v>
      </c>
      <c r="J108" s="192">
        <v>970</v>
      </c>
      <c r="K108" s="192">
        <v>1091</v>
      </c>
      <c r="L108" s="192">
        <v>214</v>
      </c>
      <c r="M108" s="192">
        <v>323</v>
      </c>
      <c r="N108" s="192">
        <v>430</v>
      </c>
      <c r="O108" s="192">
        <v>817</v>
      </c>
      <c r="P108" s="192">
        <v>933</v>
      </c>
      <c r="S108" s="2">
        <v>0</v>
      </c>
    </row>
    <row r="109" spans="5:19" ht="15.6" thickTop="1" thickBot="1">
      <c r="E109" s="110">
        <v>103</v>
      </c>
      <c r="F109" s="352">
        <v>7.2016</v>
      </c>
      <c r="G109" s="110">
        <v>103</v>
      </c>
      <c r="H109" s="192">
        <v>666</v>
      </c>
      <c r="I109" s="192">
        <v>850</v>
      </c>
      <c r="J109" s="192">
        <v>970</v>
      </c>
      <c r="K109" s="192">
        <v>1091</v>
      </c>
      <c r="L109" s="192">
        <v>214</v>
      </c>
      <c r="M109" s="192">
        <v>323</v>
      </c>
      <c r="N109" s="192">
        <v>430</v>
      </c>
      <c r="O109" s="192">
        <v>817</v>
      </c>
      <c r="P109" s="192">
        <v>933</v>
      </c>
      <c r="S109" s="2">
        <v>0</v>
      </c>
    </row>
    <row r="110" spans="5:19" ht="15.6" thickTop="1" thickBot="1">
      <c r="E110" s="110">
        <v>104</v>
      </c>
      <c r="F110" s="352">
        <v>8.2015999999999991</v>
      </c>
      <c r="G110" s="110">
        <v>104</v>
      </c>
      <c r="H110" s="192">
        <v>666</v>
      </c>
      <c r="I110" s="192">
        <v>850</v>
      </c>
      <c r="J110" s="192">
        <v>970</v>
      </c>
      <c r="K110" s="192">
        <v>1091</v>
      </c>
      <c r="L110" s="192">
        <v>214</v>
      </c>
      <c r="M110" s="192">
        <v>323</v>
      </c>
      <c r="N110" s="192">
        <v>430</v>
      </c>
      <c r="O110" s="192">
        <v>817</v>
      </c>
      <c r="P110" s="192">
        <v>933</v>
      </c>
      <c r="S110" s="2">
        <v>0</v>
      </c>
    </row>
    <row r="111" spans="5:19" ht="15.6" thickTop="1" thickBot="1">
      <c r="E111" s="110">
        <v>105</v>
      </c>
      <c r="F111" s="352">
        <v>9.2015999999999991</v>
      </c>
      <c r="G111" s="110">
        <v>105</v>
      </c>
      <c r="H111" s="192">
        <v>666</v>
      </c>
      <c r="I111" s="192">
        <v>850</v>
      </c>
      <c r="J111" s="192">
        <v>970</v>
      </c>
      <c r="K111" s="192">
        <v>1091</v>
      </c>
      <c r="L111" s="192">
        <v>214</v>
      </c>
      <c r="M111" s="192">
        <v>323</v>
      </c>
      <c r="N111" s="192">
        <v>430</v>
      </c>
      <c r="O111" s="192">
        <v>817</v>
      </c>
      <c r="P111" s="192">
        <v>933</v>
      </c>
      <c r="S111" s="2">
        <v>0</v>
      </c>
    </row>
    <row r="112" spans="5:19" ht="15.6" thickTop="1" thickBot="1">
      <c r="E112" s="110">
        <v>106</v>
      </c>
      <c r="F112" s="352">
        <v>10.201599999999999</v>
      </c>
      <c r="G112" s="110">
        <v>106</v>
      </c>
      <c r="H112" s="192">
        <v>666</v>
      </c>
      <c r="I112" s="192">
        <v>850</v>
      </c>
      <c r="J112" s="192">
        <v>970</v>
      </c>
      <c r="K112" s="192">
        <v>1091</v>
      </c>
      <c r="L112" s="192">
        <v>214</v>
      </c>
      <c r="M112" s="192">
        <v>323</v>
      </c>
      <c r="N112" s="192">
        <v>430</v>
      </c>
      <c r="O112" s="192">
        <v>817</v>
      </c>
      <c r="P112" s="192">
        <v>933</v>
      </c>
      <c r="S112" s="2">
        <v>0</v>
      </c>
    </row>
    <row r="113" spans="5:19" ht="15.6" thickTop="1" thickBot="1">
      <c r="E113" s="110">
        <v>107</v>
      </c>
      <c r="F113" s="352">
        <v>11.201599999999999</v>
      </c>
      <c r="G113" s="110">
        <v>107</v>
      </c>
      <c r="H113" s="192">
        <v>666</v>
      </c>
      <c r="I113" s="192">
        <v>850</v>
      </c>
      <c r="J113" s="192">
        <v>970</v>
      </c>
      <c r="K113" s="192">
        <v>1091</v>
      </c>
      <c r="L113" s="192">
        <v>214</v>
      </c>
      <c r="M113" s="192">
        <v>323</v>
      </c>
      <c r="N113" s="192">
        <v>430</v>
      </c>
      <c r="O113" s="192">
        <v>817</v>
      </c>
      <c r="P113" s="192">
        <v>933</v>
      </c>
      <c r="S113" s="2">
        <v>0</v>
      </c>
    </row>
    <row r="114" spans="5:19" ht="15.6" thickTop="1" thickBot="1">
      <c r="E114" s="110">
        <v>108</v>
      </c>
      <c r="F114" s="352">
        <v>12.201599999999999</v>
      </c>
      <c r="G114" s="110">
        <v>108</v>
      </c>
      <c r="H114" s="192">
        <v>666</v>
      </c>
      <c r="I114" s="192">
        <v>850</v>
      </c>
      <c r="J114" s="192">
        <v>970</v>
      </c>
      <c r="K114" s="192">
        <v>1091</v>
      </c>
      <c r="L114" s="192">
        <v>214</v>
      </c>
      <c r="M114" s="192">
        <v>323</v>
      </c>
      <c r="N114" s="192">
        <v>430</v>
      </c>
      <c r="O114" s="192">
        <v>817</v>
      </c>
      <c r="P114" s="192">
        <v>933</v>
      </c>
      <c r="S114" s="2">
        <v>0</v>
      </c>
    </row>
    <row r="115" spans="5:19" ht="15.6" thickTop="1" thickBot="1">
      <c r="E115" s="110">
        <v>109</v>
      </c>
      <c r="F115" s="352">
        <v>1.2017</v>
      </c>
      <c r="G115" s="110">
        <v>109</v>
      </c>
      <c r="H115" s="192">
        <v>665</v>
      </c>
      <c r="I115" s="192">
        <v>848</v>
      </c>
      <c r="J115" s="192">
        <v>968</v>
      </c>
      <c r="K115" s="192">
        <v>1089</v>
      </c>
      <c r="L115" s="192">
        <v>214</v>
      </c>
      <c r="M115" s="192">
        <v>322</v>
      </c>
      <c r="N115" s="192">
        <v>429</v>
      </c>
      <c r="O115" s="192">
        <v>815</v>
      </c>
      <c r="P115" s="192">
        <v>931</v>
      </c>
      <c r="S115" s="2">
        <v>0</v>
      </c>
    </row>
    <row r="116" spans="5:19" ht="15.6" thickTop="1" thickBot="1">
      <c r="E116" s="110">
        <v>110</v>
      </c>
      <c r="F116" s="352">
        <v>2.2017000000000002</v>
      </c>
      <c r="G116" s="110">
        <v>110</v>
      </c>
      <c r="H116" s="192">
        <v>665</v>
      </c>
      <c r="I116" s="192">
        <v>848</v>
      </c>
      <c r="J116" s="192">
        <v>968</v>
      </c>
      <c r="K116" s="192">
        <v>1089</v>
      </c>
      <c r="L116" s="192">
        <v>214</v>
      </c>
      <c r="M116" s="192">
        <v>322</v>
      </c>
      <c r="N116" s="192">
        <v>429</v>
      </c>
      <c r="O116" s="192">
        <v>815</v>
      </c>
      <c r="P116" s="192">
        <v>931</v>
      </c>
      <c r="S116" s="2">
        <v>0</v>
      </c>
    </row>
    <row r="117" spans="5:19" ht="15.6" thickTop="1" thickBot="1">
      <c r="E117" s="110">
        <v>111</v>
      </c>
      <c r="F117" s="352">
        <v>3.2017000000000002</v>
      </c>
      <c r="G117" s="110">
        <v>111</v>
      </c>
      <c r="H117" s="192">
        <v>665</v>
      </c>
      <c r="I117" s="192">
        <v>848</v>
      </c>
      <c r="J117" s="192">
        <v>968</v>
      </c>
      <c r="K117" s="192">
        <v>1089</v>
      </c>
      <c r="L117" s="192">
        <v>214</v>
      </c>
      <c r="M117" s="192">
        <v>322</v>
      </c>
      <c r="N117" s="192">
        <v>429</v>
      </c>
      <c r="O117" s="192">
        <v>815</v>
      </c>
      <c r="P117" s="192">
        <v>931</v>
      </c>
      <c r="S117" s="2">
        <v>0</v>
      </c>
    </row>
    <row r="118" spans="5:19" ht="15.6" thickTop="1" thickBot="1">
      <c r="E118" s="110">
        <v>112</v>
      </c>
      <c r="F118" s="352">
        <v>4.2016999999999998</v>
      </c>
      <c r="G118" s="110">
        <v>112</v>
      </c>
      <c r="H118" s="192">
        <v>665</v>
      </c>
      <c r="I118" s="192">
        <v>848</v>
      </c>
      <c r="J118" s="192">
        <v>968</v>
      </c>
      <c r="K118" s="192">
        <v>1089</v>
      </c>
      <c r="L118" s="192">
        <v>214</v>
      </c>
      <c r="M118" s="192">
        <v>322</v>
      </c>
      <c r="N118" s="192">
        <v>429</v>
      </c>
      <c r="O118" s="192">
        <v>815</v>
      </c>
      <c r="P118" s="192">
        <v>931</v>
      </c>
      <c r="S118" s="2">
        <v>0</v>
      </c>
    </row>
    <row r="119" spans="5:19" ht="15.6" thickTop="1" thickBot="1">
      <c r="E119" s="110">
        <v>113</v>
      </c>
      <c r="F119" s="352">
        <v>5.2016999999999998</v>
      </c>
      <c r="G119" s="110">
        <v>113</v>
      </c>
      <c r="H119" s="192">
        <v>665</v>
      </c>
      <c r="I119" s="192">
        <v>848</v>
      </c>
      <c r="J119" s="192">
        <v>968</v>
      </c>
      <c r="K119" s="192">
        <v>1089</v>
      </c>
      <c r="L119" s="192">
        <v>214</v>
      </c>
      <c r="M119" s="192">
        <v>322</v>
      </c>
      <c r="N119" s="192">
        <v>429</v>
      </c>
      <c r="O119" s="192">
        <v>815</v>
      </c>
      <c r="P119" s="192">
        <v>931</v>
      </c>
      <c r="S119" s="2">
        <v>0</v>
      </c>
    </row>
    <row r="120" spans="5:19" ht="15.6" thickTop="1" thickBot="1">
      <c r="E120" s="110">
        <v>114</v>
      </c>
      <c r="F120" s="352">
        <v>6.2016999999999998</v>
      </c>
      <c r="G120" s="110">
        <v>114</v>
      </c>
      <c r="H120" s="192">
        <v>665</v>
      </c>
      <c r="I120" s="192">
        <v>848</v>
      </c>
      <c r="J120" s="192">
        <v>968</v>
      </c>
      <c r="K120" s="192">
        <v>1089</v>
      </c>
      <c r="L120" s="192">
        <v>214</v>
      </c>
      <c r="M120" s="192">
        <v>322</v>
      </c>
      <c r="N120" s="192">
        <v>429</v>
      </c>
      <c r="O120" s="192">
        <v>815</v>
      </c>
      <c r="P120" s="192">
        <v>931</v>
      </c>
      <c r="S120" s="2">
        <v>0</v>
      </c>
    </row>
    <row r="121" spans="5:19" ht="15.6" thickTop="1" thickBot="1">
      <c r="E121" s="110">
        <v>115</v>
      </c>
      <c r="F121" s="352">
        <v>7.2016999999999998</v>
      </c>
      <c r="G121" s="110">
        <v>115</v>
      </c>
      <c r="H121" s="192">
        <v>665</v>
      </c>
      <c r="I121" s="192">
        <v>848</v>
      </c>
      <c r="J121" s="192">
        <v>968</v>
      </c>
      <c r="K121" s="192">
        <v>1089</v>
      </c>
      <c r="L121" s="192">
        <v>214</v>
      </c>
      <c r="M121" s="192">
        <v>322</v>
      </c>
      <c r="N121" s="192">
        <v>429</v>
      </c>
      <c r="O121" s="192">
        <v>815</v>
      </c>
      <c r="P121" s="192">
        <v>931</v>
      </c>
      <c r="S121" s="2">
        <v>0</v>
      </c>
    </row>
    <row r="122" spans="5:19" ht="15.6" thickTop="1" thickBot="1">
      <c r="E122" s="110">
        <v>116</v>
      </c>
      <c r="F122" s="352">
        <v>8.2017000000000007</v>
      </c>
      <c r="G122" s="110">
        <v>116</v>
      </c>
      <c r="H122" s="192">
        <v>665</v>
      </c>
      <c r="I122" s="192">
        <v>848</v>
      </c>
      <c r="J122" s="192">
        <v>968</v>
      </c>
      <c r="K122" s="192">
        <v>1089</v>
      </c>
      <c r="L122" s="192">
        <v>214</v>
      </c>
      <c r="M122" s="192">
        <v>322</v>
      </c>
      <c r="N122" s="192">
        <v>429</v>
      </c>
      <c r="O122" s="192">
        <v>815</v>
      </c>
      <c r="P122" s="192">
        <v>931</v>
      </c>
      <c r="S122" s="2">
        <v>0</v>
      </c>
    </row>
    <row r="123" spans="5:19" ht="15.6" thickTop="1" thickBot="1">
      <c r="E123" s="110">
        <v>117</v>
      </c>
      <c r="F123" s="352">
        <v>9.2017000000000007</v>
      </c>
      <c r="G123" s="110">
        <v>117</v>
      </c>
      <c r="H123" s="192">
        <v>665</v>
      </c>
      <c r="I123" s="192">
        <v>848</v>
      </c>
      <c r="J123" s="192">
        <v>968</v>
      </c>
      <c r="K123" s="192">
        <v>1089</v>
      </c>
      <c r="L123" s="192">
        <v>214</v>
      </c>
      <c r="M123" s="192">
        <v>322</v>
      </c>
      <c r="N123" s="192">
        <v>429</v>
      </c>
      <c r="O123" s="192">
        <v>815</v>
      </c>
      <c r="P123" s="192">
        <v>931</v>
      </c>
      <c r="S123" s="2">
        <v>0</v>
      </c>
    </row>
    <row r="124" spans="5:19" ht="15.6" thickTop="1" thickBot="1">
      <c r="E124" s="110">
        <v>118</v>
      </c>
      <c r="F124" s="352">
        <v>10.201700000000001</v>
      </c>
      <c r="G124" s="110">
        <v>118</v>
      </c>
      <c r="H124" s="192">
        <v>665</v>
      </c>
      <c r="I124" s="192">
        <v>848</v>
      </c>
      <c r="J124" s="192">
        <v>968</v>
      </c>
      <c r="K124" s="192">
        <v>1089</v>
      </c>
      <c r="L124" s="192">
        <v>214</v>
      </c>
      <c r="M124" s="192">
        <v>322</v>
      </c>
      <c r="N124" s="192">
        <v>429</v>
      </c>
      <c r="O124" s="192">
        <v>815</v>
      </c>
      <c r="P124" s="192">
        <v>931</v>
      </c>
      <c r="S124" s="2">
        <v>0</v>
      </c>
    </row>
    <row r="125" spans="5:19" ht="15.6" thickTop="1" thickBot="1">
      <c r="E125" s="110">
        <v>119</v>
      </c>
      <c r="F125" s="352">
        <v>11.201700000000001</v>
      </c>
      <c r="G125" s="110">
        <v>119</v>
      </c>
      <c r="H125" s="192">
        <v>665</v>
      </c>
      <c r="I125" s="192">
        <v>848</v>
      </c>
      <c r="J125" s="192">
        <v>968</v>
      </c>
      <c r="K125" s="192">
        <v>1089</v>
      </c>
      <c r="L125" s="192">
        <v>214</v>
      </c>
      <c r="M125" s="192">
        <v>322</v>
      </c>
      <c r="N125" s="192">
        <v>429</v>
      </c>
      <c r="O125" s="192">
        <v>815</v>
      </c>
      <c r="P125" s="192">
        <v>931</v>
      </c>
      <c r="S125" s="2">
        <v>0</v>
      </c>
    </row>
    <row r="126" spans="5:19" ht="15.6" thickTop="1" thickBot="1">
      <c r="E126" s="110">
        <v>120</v>
      </c>
      <c r="F126" s="352">
        <v>12.201700000000001</v>
      </c>
      <c r="G126" s="110">
        <v>120</v>
      </c>
      <c r="H126" s="192">
        <v>665</v>
      </c>
      <c r="I126" s="192">
        <v>848</v>
      </c>
      <c r="J126" s="192">
        <v>968</v>
      </c>
      <c r="K126" s="192">
        <v>1089</v>
      </c>
      <c r="L126" s="192">
        <v>214</v>
      </c>
      <c r="M126" s="192">
        <v>322</v>
      </c>
      <c r="N126" s="192">
        <v>429</v>
      </c>
      <c r="O126" s="192">
        <v>815</v>
      </c>
      <c r="P126" s="192">
        <v>931</v>
      </c>
      <c r="S126" s="2">
        <v>0</v>
      </c>
    </row>
    <row r="127" spans="5:19" ht="15.6" thickTop="1" thickBot="1">
      <c r="E127" s="110">
        <v>121</v>
      </c>
      <c r="F127" s="352">
        <v>1.2018</v>
      </c>
      <c r="G127" s="110">
        <v>121</v>
      </c>
      <c r="H127" s="192">
        <v>665</v>
      </c>
      <c r="I127" s="192">
        <v>848</v>
      </c>
      <c r="J127" s="192">
        <v>968</v>
      </c>
      <c r="K127" s="192">
        <v>1089</v>
      </c>
      <c r="L127" s="192">
        <v>214</v>
      </c>
      <c r="M127" s="192">
        <v>322</v>
      </c>
      <c r="N127" s="192">
        <v>429</v>
      </c>
      <c r="O127" s="192">
        <v>815</v>
      </c>
      <c r="P127" s="192">
        <v>931</v>
      </c>
      <c r="S127" s="2">
        <v>0</v>
      </c>
    </row>
    <row r="128" spans="5:19" ht="15.6" thickTop="1" thickBot="1">
      <c r="E128" s="110">
        <v>122</v>
      </c>
      <c r="F128" s="352">
        <v>2.2018</v>
      </c>
      <c r="G128" s="110">
        <v>122</v>
      </c>
      <c r="H128" s="192">
        <v>667.3</v>
      </c>
      <c r="I128" s="192">
        <v>851.7</v>
      </c>
      <c r="J128" s="192">
        <v>971.9</v>
      </c>
      <c r="K128" s="192">
        <v>1093.2</v>
      </c>
      <c r="L128" s="192">
        <v>214.4</v>
      </c>
      <c r="M128" s="192">
        <v>323.60000000000002</v>
      </c>
      <c r="N128" s="192">
        <v>430.8</v>
      </c>
      <c r="O128" s="192">
        <v>818.6</v>
      </c>
      <c r="P128" s="192">
        <v>934.8</v>
      </c>
      <c r="S128" s="2">
        <v>0</v>
      </c>
    </row>
    <row r="129" spans="5:19" ht="15.6" thickTop="1" thickBot="1">
      <c r="E129" s="110">
        <v>123</v>
      </c>
      <c r="F129" s="352">
        <v>3.2018</v>
      </c>
      <c r="G129" s="110">
        <v>123</v>
      </c>
      <c r="H129" s="192">
        <v>667.3</v>
      </c>
      <c r="I129" s="192">
        <v>851.7</v>
      </c>
      <c r="J129" s="192">
        <v>971.9</v>
      </c>
      <c r="K129" s="192">
        <v>1093.2</v>
      </c>
      <c r="L129" s="192">
        <v>214.4</v>
      </c>
      <c r="M129" s="192">
        <v>323.60000000000002</v>
      </c>
      <c r="N129" s="192">
        <v>430.8</v>
      </c>
      <c r="O129" s="192">
        <v>818.6</v>
      </c>
      <c r="P129" s="192">
        <v>934.8</v>
      </c>
      <c r="S129" s="2">
        <v>0</v>
      </c>
    </row>
    <row r="130" spans="5:19" ht="15.6" thickTop="1" thickBot="1">
      <c r="E130" s="110">
        <v>124</v>
      </c>
      <c r="F130" s="352">
        <v>4.2018000000000004</v>
      </c>
      <c r="G130" s="110">
        <v>124</v>
      </c>
      <c r="H130" s="192">
        <v>667.3</v>
      </c>
      <c r="I130" s="192">
        <v>851.7</v>
      </c>
      <c r="J130" s="192">
        <v>971.9</v>
      </c>
      <c r="K130" s="192">
        <v>1093.2</v>
      </c>
      <c r="L130" s="192">
        <v>214.4</v>
      </c>
      <c r="M130" s="192">
        <v>323.60000000000002</v>
      </c>
      <c r="N130" s="192">
        <v>430.8</v>
      </c>
      <c r="O130" s="192">
        <v>818.6</v>
      </c>
      <c r="P130" s="192">
        <v>934.8</v>
      </c>
      <c r="S130" s="2">
        <v>0</v>
      </c>
    </row>
    <row r="131" spans="5:19" ht="15.6" thickTop="1" thickBot="1">
      <c r="E131" s="110">
        <v>125</v>
      </c>
      <c r="F131" s="352">
        <v>5.2018000000000004</v>
      </c>
      <c r="G131" s="110">
        <v>125</v>
      </c>
      <c r="H131" s="192">
        <v>667.3</v>
      </c>
      <c r="I131" s="192">
        <v>851.7</v>
      </c>
      <c r="J131" s="192">
        <v>971.9</v>
      </c>
      <c r="K131" s="192">
        <v>1093.2</v>
      </c>
      <c r="L131" s="192">
        <v>214.4</v>
      </c>
      <c r="M131" s="192">
        <v>323.60000000000002</v>
      </c>
      <c r="N131" s="192">
        <v>430.8</v>
      </c>
      <c r="O131" s="192">
        <v>818.6</v>
      </c>
      <c r="P131" s="192">
        <v>934.8</v>
      </c>
      <c r="S131" s="2">
        <v>0</v>
      </c>
    </row>
    <row r="132" spans="5:19" ht="15.6" thickTop="1" thickBot="1">
      <c r="E132" s="110">
        <v>126</v>
      </c>
      <c r="F132" s="352">
        <v>6.2018000000000004</v>
      </c>
      <c r="G132" s="110">
        <v>126</v>
      </c>
      <c r="H132" s="192">
        <v>667.3</v>
      </c>
      <c r="I132" s="192">
        <v>851.7</v>
      </c>
      <c r="J132" s="192">
        <v>971.9</v>
      </c>
      <c r="K132" s="192">
        <v>1093.2</v>
      </c>
      <c r="L132" s="192">
        <v>214.4</v>
      </c>
      <c r="M132" s="192">
        <v>323.60000000000002</v>
      </c>
      <c r="N132" s="192">
        <v>430.8</v>
      </c>
      <c r="O132" s="192">
        <v>818.6</v>
      </c>
      <c r="P132" s="192">
        <v>934.8</v>
      </c>
      <c r="S132" s="2">
        <v>0</v>
      </c>
    </row>
    <row r="133" spans="5:19" ht="15.6" thickTop="1" thickBot="1">
      <c r="E133" s="110">
        <v>127</v>
      </c>
      <c r="F133" s="352">
        <v>7.2018000000000004</v>
      </c>
      <c r="G133" s="110">
        <v>127</v>
      </c>
      <c r="H133" s="192">
        <v>667.3</v>
      </c>
      <c r="I133" s="192">
        <v>851.7</v>
      </c>
      <c r="J133" s="192">
        <v>971.9</v>
      </c>
      <c r="K133" s="192">
        <v>1093.2</v>
      </c>
      <c r="L133" s="192">
        <v>214.4</v>
      </c>
      <c r="M133" s="192">
        <v>323.60000000000002</v>
      </c>
      <c r="N133" s="192">
        <v>430.8</v>
      </c>
      <c r="O133" s="192">
        <v>818.6</v>
      </c>
      <c r="P133" s="192">
        <v>934.8</v>
      </c>
      <c r="S133" s="2">
        <v>0</v>
      </c>
    </row>
    <row r="134" spans="5:19" ht="15.6" thickTop="1" thickBot="1">
      <c r="E134" s="110">
        <v>128</v>
      </c>
      <c r="F134" s="352">
        <v>8.2018000000000004</v>
      </c>
      <c r="G134" s="110">
        <v>128</v>
      </c>
      <c r="H134" s="192">
        <v>667.3</v>
      </c>
      <c r="I134" s="192">
        <v>851.7</v>
      </c>
      <c r="J134" s="192">
        <v>971.9</v>
      </c>
      <c r="K134" s="192">
        <v>1093.2</v>
      </c>
      <c r="L134" s="192">
        <v>214.4</v>
      </c>
      <c r="M134" s="192">
        <v>323.60000000000002</v>
      </c>
      <c r="N134" s="192">
        <v>430.8</v>
      </c>
      <c r="O134" s="192">
        <v>818.6</v>
      </c>
      <c r="P134" s="192">
        <v>934.8</v>
      </c>
      <c r="S134" s="2">
        <v>0</v>
      </c>
    </row>
    <row r="135" spans="5:19" ht="15.6" thickTop="1" thickBot="1">
      <c r="E135" s="110">
        <v>129</v>
      </c>
      <c r="F135" s="352">
        <v>9.2018000000000004</v>
      </c>
      <c r="G135" s="110">
        <v>129</v>
      </c>
      <c r="H135" s="192">
        <v>667.3</v>
      </c>
      <c r="I135" s="192">
        <v>851.7</v>
      </c>
      <c r="J135" s="192">
        <v>971.9</v>
      </c>
      <c r="K135" s="192">
        <v>1093.2</v>
      </c>
      <c r="L135" s="192">
        <v>214.4</v>
      </c>
      <c r="M135" s="192">
        <v>323.60000000000002</v>
      </c>
      <c r="N135" s="192">
        <v>430.8</v>
      </c>
      <c r="O135" s="192">
        <v>818.6</v>
      </c>
      <c r="P135" s="192">
        <v>934.8</v>
      </c>
      <c r="S135" s="2">
        <v>0</v>
      </c>
    </row>
    <row r="136" spans="5:19" ht="15.6" thickTop="1" thickBot="1">
      <c r="E136" s="110">
        <v>130</v>
      </c>
      <c r="F136" s="352">
        <v>10.2018</v>
      </c>
      <c r="G136" s="110">
        <v>130</v>
      </c>
      <c r="H136" s="192">
        <v>667.3</v>
      </c>
      <c r="I136" s="192">
        <v>851.7</v>
      </c>
      <c r="J136" s="192">
        <v>971.9</v>
      </c>
      <c r="K136" s="192">
        <v>1093.2</v>
      </c>
      <c r="L136" s="192">
        <v>214.4</v>
      </c>
      <c r="M136" s="192">
        <v>323.60000000000002</v>
      </c>
      <c r="N136" s="192">
        <v>430.8</v>
      </c>
      <c r="O136" s="192">
        <v>818.6</v>
      </c>
      <c r="P136" s="192">
        <v>934.8</v>
      </c>
      <c r="S136" s="2">
        <v>0</v>
      </c>
    </row>
    <row r="137" spans="5:19" ht="15.6" thickTop="1" thickBot="1">
      <c r="E137" s="110">
        <v>131</v>
      </c>
      <c r="F137" s="352">
        <v>11.2018</v>
      </c>
      <c r="G137" s="110">
        <v>131</v>
      </c>
      <c r="H137" s="192">
        <v>667.3</v>
      </c>
      <c r="I137" s="192">
        <v>851.7</v>
      </c>
      <c r="J137" s="192">
        <v>971.9</v>
      </c>
      <c r="K137" s="192">
        <v>1093.2</v>
      </c>
      <c r="L137" s="192">
        <v>214.4</v>
      </c>
      <c r="M137" s="192">
        <v>323.60000000000002</v>
      </c>
      <c r="N137" s="192">
        <v>430.8</v>
      </c>
      <c r="O137" s="192">
        <v>818.6</v>
      </c>
      <c r="P137" s="192">
        <v>934.8</v>
      </c>
      <c r="S137" s="2">
        <v>0</v>
      </c>
    </row>
    <row r="138" spans="5:19" ht="15.6" thickTop="1" thickBot="1">
      <c r="E138" s="110">
        <v>132</v>
      </c>
      <c r="F138" s="352">
        <v>12.2018</v>
      </c>
      <c r="G138" s="110">
        <v>132</v>
      </c>
      <c r="H138" s="192">
        <v>667.3</v>
      </c>
      <c r="I138" s="192">
        <v>851.7</v>
      </c>
      <c r="J138" s="192">
        <v>971.9</v>
      </c>
      <c r="K138" s="192">
        <v>1093.2</v>
      </c>
      <c r="L138" s="192">
        <v>214.4</v>
      </c>
      <c r="M138" s="192">
        <v>323.60000000000002</v>
      </c>
      <c r="N138" s="192">
        <v>430.8</v>
      </c>
      <c r="O138" s="192">
        <v>818.6</v>
      </c>
      <c r="P138" s="192">
        <v>934.8</v>
      </c>
      <c r="S138" s="2">
        <v>0</v>
      </c>
    </row>
    <row r="139" spans="5:19" ht="15.6" thickTop="1" thickBot="1">
      <c r="E139" s="110">
        <v>133</v>
      </c>
      <c r="F139" s="352">
        <v>1.2019</v>
      </c>
      <c r="G139" s="110">
        <v>133</v>
      </c>
      <c r="H139" s="192">
        <v>672.6</v>
      </c>
      <c r="I139" s="192">
        <v>858.5</v>
      </c>
      <c r="J139" s="192">
        <v>979.7</v>
      </c>
      <c r="K139" s="192">
        <v>1101.9000000000001</v>
      </c>
      <c r="L139" s="192">
        <v>216.1</v>
      </c>
      <c r="M139" s="192">
        <v>326.2</v>
      </c>
      <c r="N139" s="192">
        <v>434.3</v>
      </c>
      <c r="O139" s="192">
        <v>825.1</v>
      </c>
      <c r="P139" s="192">
        <v>942.3</v>
      </c>
      <c r="S139" s="2">
        <v>0</v>
      </c>
    </row>
    <row r="140" spans="5:19" ht="15.6" thickTop="1" thickBot="1">
      <c r="E140" s="110">
        <v>134</v>
      </c>
      <c r="F140" s="352">
        <v>2.2019000000000002</v>
      </c>
      <c r="G140" s="110">
        <v>134</v>
      </c>
      <c r="H140" s="192">
        <v>672.6</v>
      </c>
      <c r="I140" s="192">
        <v>858.5</v>
      </c>
      <c r="J140" s="192">
        <v>979.7</v>
      </c>
      <c r="K140" s="192">
        <v>1101.9000000000001</v>
      </c>
      <c r="L140" s="192">
        <v>216.1</v>
      </c>
      <c r="M140" s="192">
        <v>326.2</v>
      </c>
      <c r="N140" s="192">
        <v>434.3</v>
      </c>
      <c r="O140" s="192">
        <v>825.1</v>
      </c>
      <c r="P140" s="192">
        <v>942.3</v>
      </c>
      <c r="S140" s="2">
        <v>0</v>
      </c>
    </row>
    <row r="141" spans="5:19" ht="15.6" thickTop="1" thickBot="1">
      <c r="E141" s="110">
        <v>135</v>
      </c>
      <c r="F141" s="352">
        <v>3.2019000000000002</v>
      </c>
      <c r="G141" s="110">
        <v>135</v>
      </c>
      <c r="H141" s="192">
        <v>672.6</v>
      </c>
      <c r="I141" s="192">
        <v>858.5</v>
      </c>
      <c r="J141" s="192">
        <v>979.7</v>
      </c>
      <c r="K141" s="192">
        <v>1101.9000000000001</v>
      </c>
      <c r="L141" s="192">
        <v>216.1</v>
      </c>
      <c r="M141" s="192">
        <v>326.2</v>
      </c>
      <c r="N141" s="192">
        <v>434.3</v>
      </c>
      <c r="O141" s="192">
        <v>825.1</v>
      </c>
      <c r="P141" s="192">
        <v>942.3</v>
      </c>
      <c r="S141" s="2">
        <v>0</v>
      </c>
    </row>
    <row r="142" spans="5:19" ht="15.6" thickTop="1" thickBot="1">
      <c r="E142" s="110">
        <v>136</v>
      </c>
      <c r="F142" s="352">
        <v>4.2019000000000002</v>
      </c>
      <c r="G142" s="110">
        <v>136</v>
      </c>
      <c r="H142" s="192">
        <v>672.6</v>
      </c>
      <c r="I142" s="192">
        <v>858.5</v>
      </c>
      <c r="J142" s="192">
        <v>979.7</v>
      </c>
      <c r="K142" s="192">
        <v>1101.9000000000001</v>
      </c>
      <c r="L142" s="192">
        <v>216.1</v>
      </c>
      <c r="M142" s="192">
        <v>326.2</v>
      </c>
      <c r="N142" s="192">
        <v>434.3</v>
      </c>
      <c r="O142" s="192">
        <v>825.1</v>
      </c>
      <c r="P142" s="192">
        <v>942.3</v>
      </c>
      <c r="S142" s="2">
        <v>0</v>
      </c>
    </row>
    <row r="143" spans="5:19" ht="15.6" thickTop="1" thickBot="1">
      <c r="E143" s="110">
        <v>137</v>
      </c>
      <c r="F143" s="352">
        <v>5.2019000000000002</v>
      </c>
      <c r="G143" s="110">
        <v>137</v>
      </c>
      <c r="H143" s="192">
        <v>672.6</v>
      </c>
      <c r="I143" s="192">
        <v>858.5</v>
      </c>
      <c r="J143" s="192">
        <v>979.7</v>
      </c>
      <c r="K143" s="192">
        <v>1101.9000000000001</v>
      </c>
      <c r="L143" s="192">
        <v>216.1</v>
      </c>
      <c r="M143" s="192">
        <v>326.2</v>
      </c>
      <c r="N143" s="192">
        <v>434.3</v>
      </c>
      <c r="O143" s="192">
        <v>825.1</v>
      </c>
      <c r="P143" s="192">
        <v>942.3</v>
      </c>
      <c r="S143" s="2">
        <v>0</v>
      </c>
    </row>
    <row r="144" spans="5:19" ht="15.6" thickTop="1" thickBot="1">
      <c r="E144" s="110">
        <v>138</v>
      </c>
      <c r="F144" s="352">
        <v>6.2019000000000002</v>
      </c>
      <c r="G144" s="110">
        <v>138</v>
      </c>
      <c r="H144" s="192">
        <v>672.6</v>
      </c>
      <c r="I144" s="192">
        <v>858.5</v>
      </c>
      <c r="J144" s="192">
        <v>979.7</v>
      </c>
      <c r="K144" s="192">
        <v>1101.9000000000001</v>
      </c>
      <c r="L144" s="192">
        <v>216.1</v>
      </c>
      <c r="M144" s="192">
        <v>326.2</v>
      </c>
      <c r="N144" s="192">
        <v>434.3</v>
      </c>
      <c r="O144" s="192">
        <v>825.1</v>
      </c>
      <c r="P144" s="192">
        <v>942.3</v>
      </c>
      <c r="S144" s="2">
        <v>0</v>
      </c>
    </row>
    <row r="145" spans="5:19" ht="15.6" thickTop="1" thickBot="1">
      <c r="E145" s="110">
        <v>139</v>
      </c>
      <c r="F145" s="352">
        <v>7.2019000000000002</v>
      </c>
      <c r="G145" s="110">
        <v>139</v>
      </c>
      <c r="H145" s="192">
        <v>672.6</v>
      </c>
      <c r="I145" s="192">
        <v>858.5</v>
      </c>
      <c r="J145" s="192">
        <v>979.7</v>
      </c>
      <c r="K145" s="192">
        <v>1101.9000000000001</v>
      </c>
      <c r="L145" s="192">
        <v>216.1</v>
      </c>
      <c r="M145" s="192">
        <v>326.2</v>
      </c>
      <c r="N145" s="192">
        <v>434.3</v>
      </c>
      <c r="O145" s="192">
        <v>825.1</v>
      </c>
      <c r="P145" s="192">
        <v>942.3</v>
      </c>
      <c r="S145" s="2">
        <v>0</v>
      </c>
    </row>
    <row r="146" spans="5:19" ht="15.6" thickTop="1" thickBot="1">
      <c r="E146" s="110">
        <v>140</v>
      </c>
      <c r="F146" s="352">
        <v>8.2019000000000002</v>
      </c>
      <c r="G146" s="110">
        <v>140</v>
      </c>
      <c r="H146" s="192">
        <v>672.6</v>
      </c>
      <c r="I146" s="192">
        <v>858.5</v>
      </c>
      <c r="J146" s="192">
        <v>979.7</v>
      </c>
      <c r="K146" s="192">
        <v>1101.9000000000001</v>
      </c>
      <c r="L146" s="192">
        <v>216.1</v>
      </c>
      <c r="M146" s="192">
        <v>326.2</v>
      </c>
      <c r="N146" s="192">
        <v>434.3</v>
      </c>
      <c r="O146" s="192">
        <v>825.1</v>
      </c>
      <c r="P146" s="192">
        <v>942.3</v>
      </c>
      <c r="S146" s="2">
        <v>0</v>
      </c>
    </row>
    <row r="147" spans="5:19" ht="15.6" thickTop="1" thickBot="1">
      <c r="E147" s="110">
        <v>141</v>
      </c>
      <c r="F147" s="352">
        <v>9.2019000000000002</v>
      </c>
      <c r="G147" s="110">
        <v>141</v>
      </c>
      <c r="H147" s="192">
        <v>672.6</v>
      </c>
      <c r="I147" s="192">
        <v>858.5</v>
      </c>
      <c r="J147" s="192">
        <v>979.7</v>
      </c>
      <c r="K147" s="192">
        <v>1101.9000000000001</v>
      </c>
      <c r="L147" s="192">
        <v>216.1</v>
      </c>
      <c r="M147" s="192">
        <v>326.2</v>
      </c>
      <c r="N147" s="192">
        <v>434.3</v>
      </c>
      <c r="O147" s="192">
        <v>825.1</v>
      </c>
      <c r="P147" s="192">
        <v>942.3</v>
      </c>
      <c r="S147" s="2">
        <v>0</v>
      </c>
    </row>
    <row r="148" spans="5:19" ht="15.6" thickTop="1" thickBot="1">
      <c r="E148" s="110">
        <v>142</v>
      </c>
      <c r="F148" s="352">
        <v>10.2019</v>
      </c>
      <c r="G148" s="110">
        <v>142</v>
      </c>
      <c r="H148" s="192">
        <v>672.6</v>
      </c>
      <c r="I148" s="192">
        <v>858.5</v>
      </c>
      <c r="J148" s="192">
        <v>979.7</v>
      </c>
      <c r="K148" s="192">
        <v>1101.9000000000001</v>
      </c>
      <c r="L148" s="192">
        <v>216.1</v>
      </c>
      <c r="M148" s="192">
        <v>326.2</v>
      </c>
      <c r="N148" s="192">
        <v>434.3</v>
      </c>
      <c r="O148" s="192">
        <v>825.1</v>
      </c>
      <c r="P148" s="192">
        <v>942.3</v>
      </c>
      <c r="S148" s="2">
        <v>0</v>
      </c>
    </row>
    <row r="149" spans="5:19" ht="15.6" thickTop="1" thickBot="1">
      <c r="E149" s="110">
        <v>143</v>
      </c>
      <c r="F149" s="352">
        <v>11.2019</v>
      </c>
      <c r="G149" s="110">
        <v>143</v>
      </c>
      <c r="H149" s="192">
        <v>672.6</v>
      </c>
      <c r="I149" s="192">
        <v>858.5</v>
      </c>
      <c r="J149" s="192">
        <v>979.7</v>
      </c>
      <c r="K149" s="192">
        <v>1101.9000000000001</v>
      </c>
      <c r="L149" s="192">
        <v>216.1</v>
      </c>
      <c r="M149" s="192">
        <v>326.2</v>
      </c>
      <c r="N149" s="192">
        <v>434.3</v>
      </c>
      <c r="O149" s="192">
        <v>825.1</v>
      </c>
      <c r="P149" s="192">
        <v>942.3</v>
      </c>
      <c r="S149" s="2">
        <v>0</v>
      </c>
    </row>
    <row r="150" spans="5:19" ht="15.6" thickTop="1" thickBot="1">
      <c r="E150" s="110">
        <v>144</v>
      </c>
      <c r="F150" s="352">
        <v>12.2019</v>
      </c>
      <c r="G150" s="110">
        <v>144</v>
      </c>
      <c r="H150" s="192">
        <v>672.6</v>
      </c>
      <c r="I150" s="192">
        <v>858.5</v>
      </c>
      <c r="J150" s="192">
        <v>979.7</v>
      </c>
      <c r="K150" s="192">
        <v>1101.9000000000001</v>
      </c>
      <c r="L150" s="192">
        <v>216.1</v>
      </c>
      <c r="M150" s="192">
        <v>326.2</v>
      </c>
      <c r="N150" s="192">
        <v>434.3</v>
      </c>
      <c r="O150" s="192">
        <v>825.1</v>
      </c>
      <c r="P150" s="192">
        <v>942.3</v>
      </c>
      <c r="S150" s="2">
        <v>0</v>
      </c>
    </row>
    <row r="151" spans="5:19" ht="15.6" thickTop="1" thickBot="1">
      <c r="E151" s="110">
        <v>145</v>
      </c>
      <c r="F151" s="352">
        <v>1.202</v>
      </c>
      <c r="G151" s="110">
        <v>145</v>
      </c>
      <c r="H151" s="192">
        <v>676.64</v>
      </c>
      <c r="I151" s="192">
        <v>863.65</v>
      </c>
      <c r="J151" s="192">
        <v>985.58</v>
      </c>
      <c r="K151" s="192">
        <v>1108.51</v>
      </c>
      <c r="L151" s="192">
        <v>217.4</v>
      </c>
      <c r="M151" s="192">
        <v>328.16</v>
      </c>
      <c r="N151" s="192">
        <v>436.91</v>
      </c>
      <c r="O151" s="192">
        <v>830.05</v>
      </c>
      <c r="P151" s="192">
        <v>947.95</v>
      </c>
      <c r="S151" s="2">
        <v>0</v>
      </c>
    </row>
    <row r="152" spans="5:19" ht="15.6" thickTop="1" thickBot="1">
      <c r="E152" s="110">
        <v>146</v>
      </c>
      <c r="F152" s="352">
        <v>2.202</v>
      </c>
      <c r="G152" s="110">
        <v>146</v>
      </c>
      <c r="H152" s="192">
        <v>676.64</v>
      </c>
      <c r="I152" s="192">
        <v>863.65</v>
      </c>
      <c r="J152" s="192">
        <v>985.58</v>
      </c>
      <c r="K152" s="192">
        <v>1108.51</v>
      </c>
      <c r="L152" s="192">
        <v>217.4</v>
      </c>
      <c r="M152" s="192">
        <v>328.16</v>
      </c>
      <c r="N152" s="192">
        <v>436.91</v>
      </c>
      <c r="O152" s="192">
        <v>830.05</v>
      </c>
      <c r="P152" s="192">
        <v>947.95</v>
      </c>
      <c r="S152" s="2">
        <v>0</v>
      </c>
    </row>
    <row r="153" spans="5:19" ht="15.6" thickTop="1" thickBot="1">
      <c r="E153" s="110">
        <v>147</v>
      </c>
      <c r="F153" s="352">
        <v>3.202</v>
      </c>
      <c r="G153" s="110">
        <v>147</v>
      </c>
      <c r="H153" s="192">
        <v>676.64</v>
      </c>
      <c r="I153" s="192">
        <v>863.65</v>
      </c>
      <c r="J153" s="192">
        <v>985.58</v>
      </c>
      <c r="K153" s="192">
        <v>1108.51</v>
      </c>
      <c r="L153" s="192">
        <v>217.4</v>
      </c>
      <c r="M153" s="192">
        <v>328.16</v>
      </c>
      <c r="N153" s="192">
        <v>436.91</v>
      </c>
      <c r="O153" s="192">
        <v>830.05</v>
      </c>
      <c r="P153" s="192">
        <v>947.95</v>
      </c>
      <c r="S153" s="2">
        <v>0</v>
      </c>
    </row>
    <row r="154" spans="5:19" ht="15.6" thickTop="1" thickBot="1">
      <c r="E154" s="110">
        <v>148</v>
      </c>
      <c r="F154" s="352">
        <v>4.202</v>
      </c>
      <c r="G154" s="110">
        <v>148</v>
      </c>
      <c r="H154" s="192">
        <v>676.64</v>
      </c>
      <c r="I154" s="192">
        <v>863.65</v>
      </c>
      <c r="J154" s="192">
        <v>985.58</v>
      </c>
      <c r="K154" s="192">
        <v>1108.51</v>
      </c>
      <c r="L154" s="192">
        <v>217.4</v>
      </c>
      <c r="M154" s="192">
        <v>328.16</v>
      </c>
      <c r="N154" s="192">
        <v>436.91</v>
      </c>
      <c r="O154" s="192">
        <v>830.05</v>
      </c>
      <c r="P154" s="192">
        <v>947.95</v>
      </c>
      <c r="S154" s="2">
        <v>0</v>
      </c>
    </row>
    <row r="155" spans="5:19" ht="15.6" thickTop="1" thickBot="1">
      <c r="E155" s="110">
        <v>149</v>
      </c>
      <c r="F155" s="352">
        <v>5.202</v>
      </c>
      <c r="G155" s="110">
        <v>149</v>
      </c>
      <c r="H155" s="192">
        <v>676.64</v>
      </c>
      <c r="I155" s="192">
        <v>863.65</v>
      </c>
      <c r="J155" s="192">
        <v>985.58</v>
      </c>
      <c r="K155" s="192">
        <v>1108.51</v>
      </c>
      <c r="L155" s="192">
        <v>217.4</v>
      </c>
      <c r="M155" s="192">
        <v>328.16</v>
      </c>
      <c r="N155" s="192">
        <v>436.91</v>
      </c>
      <c r="O155" s="192">
        <v>830.05</v>
      </c>
      <c r="P155" s="192">
        <v>947.95</v>
      </c>
      <c r="S155" s="2">
        <v>0</v>
      </c>
    </row>
    <row r="156" spans="5:19" ht="15.6" thickTop="1" thickBot="1">
      <c r="E156" s="110">
        <v>150</v>
      </c>
      <c r="F156" s="352">
        <v>6.202</v>
      </c>
      <c r="G156" s="110">
        <v>150</v>
      </c>
      <c r="H156" s="192">
        <v>676.64</v>
      </c>
      <c r="I156" s="192">
        <v>863.65</v>
      </c>
      <c r="J156" s="192">
        <v>985.58</v>
      </c>
      <c r="K156" s="192">
        <v>1108.51</v>
      </c>
      <c r="L156" s="192">
        <v>217.4</v>
      </c>
      <c r="M156" s="192">
        <v>328.16</v>
      </c>
      <c r="N156" s="192">
        <v>436.91</v>
      </c>
      <c r="O156" s="192">
        <v>830.05</v>
      </c>
      <c r="P156" s="192">
        <v>947.95</v>
      </c>
      <c r="S156" s="2">
        <v>0</v>
      </c>
    </row>
    <row r="157" spans="5:19" ht="15.6" thickTop="1" thickBot="1">
      <c r="E157" s="110">
        <v>151</v>
      </c>
      <c r="F157" s="352">
        <v>7.202</v>
      </c>
      <c r="G157" s="110">
        <v>151</v>
      </c>
      <c r="H157" s="192">
        <v>676.64</v>
      </c>
      <c r="I157" s="192">
        <v>863.65</v>
      </c>
      <c r="J157" s="192">
        <v>985.58</v>
      </c>
      <c r="K157" s="192">
        <v>1108.51</v>
      </c>
      <c r="L157" s="192">
        <v>217.4</v>
      </c>
      <c r="M157" s="192">
        <v>328.16</v>
      </c>
      <c r="N157" s="192">
        <v>436.91</v>
      </c>
      <c r="O157" s="192">
        <v>830.05</v>
      </c>
      <c r="P157" s="192">
        <v>947.95</v>
      </c>
      <c r="S157" s="2">
        <v>0</v>
      </c>
    </row>
    <row r="158" spans="5:19" ht="15.6" thickTop="1" thickBot="1">
      <c r="E158" s="110">
        <v>152</v>
      </c>
      <c r="F158" s="352">
        <v>8.202</v>
      </c>
      <c r="G158" s="110">
        <v>152</v>
      </c>
      <c r="H158" s="192">
        <v>676.64</v>
      </c>
      <c r="I158" s="192">
        <v>863.65</v>
      </c>
      <c r="J158" s="192">
        <v>985.58</v>
      </c>
      <c r="K158" s="192">
        <v>1108.51</v>
      </c>
      <c r="L158" s="192">
        <v>217.4</v>
      </c>
      <c r="M158" s="192">
        <v>328.16</v>
      </c>
      <c r="N158" s="192">
        <v>436.91</v>
      </c>
      <c r="O158" s="192">
        <v>830.05</v>
      </c>
      <c r="P158" s="192">
        <v>947.95</v>
      </c>
      <c r="S158" s="2">
        <v>0</v>
      </c>
    </row>
    <row r="159" spans="5:19" ht="15.6" thickTop="1" thickBot="1">
      <c r="E159" s="110">
        <v>153</v>
      </c>
      <c r="F159" s="352">
        <v>9.202</v>
      </c>
      <c r="G159" s="110">
        <v>153</v>
      </c>
      <c r="H159" s="192">
        <v>676.64</v>
      </c>
      <c r="I159" s="192">
        <v>863.65</v>
      </c>
      <c r="J159" s="192">
        <v>985.58</v>
      </c>
      <c r="K159" s="192">
        <v>1108.51</v>
      </c>
      <c r="L159" s="192">
        <v>217.4</v>
      </c>
      <c r="M159" s="192">
        <v>328.16</v>
      </c>
      <c r="N159" s="192">
        <v>436.91</v>
      </c>
      <c r="O159" s="192">
        <v>830.05</v>
      </c>
      <c r="P159" s="192">
        <v>947.95</v>
      </c>
      <c r="S159" s="2">
        <v>0</v>
      </c>
    </row>
    <row r="160" spans="5:19" ht="15.6" thickTop="1" thickBot="1">
      <c r="E160" s="110">
        <v>154</v>
      </c>
      <c r="F160" s="352">
        <v>10.202</v>
      </c>
      <c r="G160" s="110">
        <v>154</v>
      </c>
      <c r="H160" s="192">
        <v>676.64</v>
      </c>
      <c r="I160" s="192">
        <v>863.65</v>
      </c>
      <c r="J160" s="192">
        <v>985.58</v>
      </c>
      <c r="K160" s="192">
        <v>1108.51</v>
      </c>
      <c r="L160" s="192">
        <v>217.4</v>
      </c>
      <c r="M160" s="192">
        <v>328.16</v>
      </c>
      <c r="N160" s="192">
        <v>436.91</v>
      </c>
      <c r="O160" s="192">
        <v>830.05</v>
      </c>
      <c r="P160" s="192">
        <v>947.95</v>
      </c>
      <c r="S160" s="2">
        <v>0</v>
      </c>
    </row>
    <row r="161" spans="5:19" ht="15.6" thickTop="1" thickBot="1">
      <c r="E161" s="110">
        <v>155</v>
      </c>
      <c r="F161" s="352">
        <v>11.202</v>
      </c>
      <c r="G161" s="110">
        <v>155</v>
      </c>
      <c r="H161" s="192">
        <v>676.64</v>
      </c>
      <c r="I161" s="192">
        <v>863.65</v>
      </c>
      <c r="J161" s="192">
        <v>985.58</v>
      </c>
      <c r="K161" s="192">
        <v>1108.51</v>
      </c>
      <c r="L161" s="192">
        <v>217.4</v>
      </c>
      <c r="M161" s="192">
        <v>328.16</v>
      </c>
      <c r="N161" s="192">
        <v>436.91</v>
      </c>
      <c r="O161" s="192">
        <v>830.05</v>
      </c>
      <c r="P161" s="192">
        <v>947.95</v>
      </c>
      <c r="S161" s="2">
        <v>0</v>
      </c>
    </row>
    <row r="162" spans="5:19" ht="15.6" thickTop="1" thickBot="1">
      <c r="E162" s="110">
        <v>156</v>
      </c>
      <c r="F162" s="352">
        <v>12.202</v>
      </c>
      <c r="G162" s="110">
        <v>156</v>
      </c>
      <c r="H162" s="192">
        <v>676.64</v>
      </c>
      <c r="I162" s="192">
        <v>863.65</v>
      </c>
      <c r="J162" s="192">
        <v>985.58</v>
      </c>
      <c r="K162" s="192">
        <v>1108.51</v>
      </c>
      <c r="L162" s="192">
        <v>217.4</v>
      </c>
      <c r="M162" s="192">
        <v>328.16</v>
      </c>
      <c r="N162" s="192">
        <v>436.91</v>
      </c>
      <c r="O162" s="192">
        <v>830.05</v>
      </c>
      <c r="P162" s="192">
        <v>947.95</v>
      </c>
      <c r="S162" s="2">
        <v>0</v>
      </c>
    </row>
    <row r="163" spans="5:19" ht="15.6" thickTop="1" thickBot="1">
      <c r="E163" s="110">
        <v>157</v>
      </c>
      <c r="F163" s="352">
        <v>1.2020999999999999</v>
      </c>
      <c r="G163" s="110">
        <v>157</v>
      </c>
      <c r="H163" s="192">
        <v>676.64</v>
      </c>
      <c r="I163" s="192">
        <v>863.65</v>
      </c>
      <c r="J163" s="192">
        <v>985.58</v>
      </c>
      <c r="K163" s="192">
        <v>1108.51</v>
      </c>
      <c r="L163" s="192">
        <v>217.4</v>
      </c>
      <c r="M163" s="192">
        <v>328.16</v>
      </c>
      <c r="N163" s="192">
        <v>436.91</v>
      </c>
      <c r="O163" s="192">
        <v>830.05</v>
      </c>
      <c r="P163" s="192">
        <v>947.95</v>
      </c>
      <c r="S163" s="2">
        <v>0</v>
      </c>
    </row>
    <row r="164" spans="5:19" ht="15.6" thickTop="1" thickBot="1">
      <c r="E164" s="110">
        <v>158</v>
      </c>
      <c r="F164" s="352">
        <v>2.2021000000000002</v>
      </c>
      <c r="G164" s="110">
        <v>158</v>
      </c>
      <c r="H164" s="192">
        <v>676.64</v>
      </c>
      <c r="I164" s="192">
        <v>863.65</v>
      </c>
      <c r="J164" s="192">
        <v>985.58</v>
      </c>
      <c r="K164" s="192">
        <v>1108.51</v>
      </c>
      <c r="L164" s="192">
        <v>217.4</v>
      </c>
      <c r="M164" s="192">
        <v>328.16</v>
      </c>
      <c r="N164" s="192">
        <v>436.91</v>
      </c>
      <c r="O164" s="192">
        <v>830.05</v>
      </c>
      <c r="P164" s="192">
        <v>947.95</v>
      </c>
      <c r="S164" s="2">
        <v>0</v>
      </c>
    </row>
    <row r="165" spans="5:19" ht="15.6" thickTop="1" thickBot="1">
      <c r="E165" s="110">
        <v>159</v>
      </c>
      <c r="F165" s="352">
        <v>3.2021000000000002</v>
      </c>
      <c r="G165" s="110">
        <v>159</v>
      </c>
      <c r="H165" s="192">
        <v>676.64</v>
      </c>
      <c r="I165" s="192">
        <v>863.65</v>
      </c>
      <c r="J165" s="192">
        <v>985.58</v>
      </c>
      <c r="K165" s="192">
        <v>1108.51</v>
      </c>
      <c r="L165" s="192">
        <v>217.4</v>
      </c>
      <c r="M165" s="192">
        <v>328.16</v>
      </c>
      <c r="N165" s="192">
        <v>436.91</v>
      </c>
      <c r="O165" s="192">
        <v>830.05</v>
      </c>
      <c r="P165" s="192">
        <v>947.95</v>
      </c>
      <c r="S165" s="2">
        <v>0</v>
      </c>
    </row>
    <row r="166" spans="5:19" ht="15.6" thickTop="1" thickBot="1">
      <c r="E166" s="110">
        <v>160</v>
      </c>
      <c r="F166" s="352">
        <v>4.2020999999999997</v>
      </c>
      <c r="G166" s="110">
        <v>160</v>
      </c>
      <c r="H166" s="192">
        <v>676.64</v>
      </c>
      <c r="I166" s="192">
        <v>863.65</v>
      </c>
      <c r="J166" s="192">
        <v>985.58</v>
      </c>
      <c r="K166" s="192">
        <v>1108.51</v>
      </c>
      <c r="L166" s="192">
        <v>217.4</v>
      </c>
      <c r="M166" s="192">
        <v>328.16</v>
      </c>
      <c r="N166" s="192">
        <v>436.91</v>
      </c>
      <c r="O166" s="192">
        <v>830.05</v>
      </c>
      <c r="P166" s="192">
        <v>947.95</v>
      </c>
      <c r="S166" s="2">
        <v>0</v>
      </c>
    </row>
    <row r="167" spans="5:19" ht="15.6" thickTop="1" thickBot="1">
      <c r="E167" s="110">
        <v>161</v>
      </c>
      <c r="F167" s="352">
        <v>5.2020999999999997</v>
      </c>
      <c r="G167" s="110">
        <v>161</v>
      </c>
      <c r="H167" s="192">
        <v>676.64</v>
      </c>
      <c r="I167" s="192">
        <v>863.65</v>
      </c>
      <c r="J167" s="192">
        <v>985.58</v>
      </c>
      <c r="K167" s="192">
        <v>1108.51</v>
      </c>
      <c r="L167" s="192">
        <v>217.4</v>
      </c>
      <c r="M167" s="192">
        <v>328.16</v>
      </c>
      <c r="N167" s="192">
        <v>436.91</v>
      </c>
      <c r="O167" s="192">
        <v>830.05</v>
      </c>
      <c r="P167" s="192">
        <v>947.95</v>
      </c>
      <c r="S167" s="2">
        <v>0</v>
      </c>
    </row>
    <row r="168" spans="5:19" ht="15.6" thickTop="1" thickBot="1">
      <c r="E168" s="110">
        <v>162</v>
      </c>
      <c r="F168" s="352">
        <v>6.2020999999999997</v>
      </c>
      <c r="G168" s="110">
        <v>162</v>
      </c>
      <c r="H168" s="192">
        <v>676.64</v>
      </c>
      <c r="I168" s="192">
        <v>863.65</v>
      </c>
      <c r="J168" s="192">
        <v>985.58</v>
      </c>
      <c r="K168" s="192">
        <v>1108.51</v>
      </c>
      <c r="L168" s="192">
        <v>217.4</v>
      </c>
      <c r="M168" s="192">
        <v>328.16</v>
      </c>
      <c r="N168" s="192">
        <v>436.91</v>
      </c>
      <c r="O168" s="192">
        <v>830.05</v>
      </c>
      <c r="P168" s="192">
        <v>947.95</v>
      </c>
      <c r="S168" s="2">
        <v>0</v>
      </c>
    </row>
    <row r="169" spans="5:19" ht="15.6" thickTop="1" thickBot="1">
      <c r="E169" s="110">
        <v>163</v>
      </c>
      <c r="F169" s="352">
        <v>7.2020999999999997</v>
      </c>
      <c r="G169" s="110">
        <v>163</v>
      </c>
      <c r="H169" s="192">
        <v>676.64</v>
      </c>
      <c r="I169" s="192">
        <v>863.65</v>
      </c>
      <c r="J169" s="192">
        <v>985.58</v>
      </c>
      <c r="K169" s="192">
        <v>1108.51</v>
      </c>
      <c r="L169" s="192">
        <v>217.4</v>
      </c>
      <c r="M169" s="192">
        <v>328.16</v>
      </c>
      <c r="N169" s="192">
        <v>436.91</v>
      </c>
      <c r="O169" s="192">
        <v>830.05</v>
      </c>
      <c r="P169" s="192">
        <v>947.95</v>
      </c>
      <c r="S169" s="2">
        <v>0</v>
      </c>
    </row>
    <row r="170" spans="5:19" ht="15.6" thickTop="1" thickBot="1">
      <c r="E170" s="110">
        <v>164</v>
      </c>
      <c r="F170" s="352">
        <v>8.2020999999999997</v>
      </c>
      <c r="G170" s="110">
        <v>164</v>
      </c>
      <c r="H170" s="192">
        <v>676.64</v>
      </c>
      <c r="I170" s="192">
        <v>863.65</v>
      </c>
      <c r="J170" s="192">
        <v>985.58</v>
      </c>
      <c r="K170" s="192">
        <v>1108.51</v>
      </c>
      <c r="L170" s="192">
        <v>217.4</v>
      </c>
      <c r="M170" s="192">
        <v>328.16</v>
      </c>
      <c r="N170" s="192">
        <v>436.91</v>
      </c>
      <c r="O170" s="192">
        <v>830.05</v>
      </c>
      <c r="P170" s="192">
        <v>947.95</v>
      </c>
      <c r="S170" s="2">
        <v>0</v>
      </c>
    </row>
    <row r="171" spans="5:19" ht="15.6" thickTop="1" thickBot="1">
      <c r="E171" s="110">
        <v>165</v>
      </c>
      <c r="F171" s="352">
        <v>9.2020999999999997</v>
      </c>
      <c r="G171" s="110">
        <v>165</v>
      </c>
      <c r="H171" s="192">
        <v>676.64</v>
      </c>
      <c r="I171" s="192">
        <v>863.65</v>
      </c>
      <c r="J171" s="192">
        <v>985.58</v>
      </c>
      <c r="K171" s="192">
        <v>1108.51</v>
      </c>
      <c r="L171" s="192">
        <v>217.4</v>
      </c>
      <c r="M171" s="192">
        <v>328.16</v>
      </c>
      <c r="N171" s="192">
        <v>436.91</v>
      </c>
      <c r="O171" s="192">
        <v>830.05</v>
      </c>
      <c r="P171" s="192">
        <v>947.95</v>
      </c>
      <c r="S171" s="2">
        <v>0</v>
      </c>
    </row>
    <row r="172" spans="5:19" ht="15.6" thickTop="1" thickBot="1">
      <c r="E172" s="110">
        <v>166</v>
      </c>
      <c r="F172" s="352">
        <v>10.2021</v>
      </c>
      <c r="G172" s="110">
        <v>166</v>
      </c>
      <c r="H172" s="192">
        <v>676.64</v>
      </c>
      <c r="I172" s="192">
        <v>863.65</v>
      </c>
      <c r="J172" s="192">
        <v>985.58</v>
      </c>
      <c r="K172" s="192">
        <v>1108.51</v>
      </c>
      <c r="L172" s="192">
        <v>217.4</v>
      </c>
      <c r="M172" s="192">
        <v>328.16</v>
      </c>
      <c r="N172" s="192">
        <v>436.91</v>
      </c>
      <c r="O172" s="192">
        <v>830.05</v>
      </c>
      <c r="P172" s="192">
        <v>947.95</v>
      </c>
      <c r="S172" s="2">
        <v>0</v>
      </c>
    </row>
    <row r="173" spans="5:19" ht="15.6" thickTop="1" thickBot="1">
      <c r="E173" s="110">
        <v>167</v>
      </c>
      <c r="F173" s="352">
        <v>11.2021</v>
      </c>
      <c r="G173" s="110">
        <v>167</v>
      </c>
      <c r="H173" s="192">
        <v>676.64</v>
      </c>
      <c r="I173" s="192">
        <v>863.65</v>
      </c>
      <c r="J173" s="192">
        <v>985.58</v>
      </c>
      <c r="K173" s="192">
        <v>1108.51</v>
      </c>
      <c r="L173" s="192">
        <v>217.4</v>
      </c>
      <c r="M173" s="192">
        <v>328.16</v>
      </c>
      <c r="N173" s="192">
        <v>436.91</v>
      </c>
      <c r="O173" s="192">
        <v>830.05</v>
      </c>
      <c r="P173" s="192">
        <v>947.95</v>
      </c>
      <c r="S173" s="2">
        <v>0</v>
      </c>
    </row>
    <row r="174" spans="5:19" ht="15.6" thickTop="1" thickBot="1">
      <c r="E174" s="110">
        <v>168</v>
      </c>
      <c r="F174" s="352">
        <v>12.2021</v>
      </c>
      <c r="G174" s="110">
        <v>168</v>
      </c>
      <c r="H174" s="192">
        <v>676.64</v>
      </c>
      <c r="I174" s="192">
        <v>863.65</v>
      </c>
      <c r="J174" s="192">
        <v>985.58</v>
      </c>
      <c r="K174" s="192">
        <v>1108.51</v>
      </c>
      <c r="L174" s="192">
        <v>217.4</v>
      </c>
      <c r="M174" s="192">
        <v>328.16</v>
      </c>
      <c r="N174" s="192">
        <v>436.91</v>
      </c>
      <c r="O174" s="192">
        <v>830.05</v>
      </c>
      <c r="P174" s="192">
        <v>947.95</v>
      </c>
      <c r="S174" s="2">
        <v>0</v>
      </c>
    </row>
    <row r="175" spans="5:19" ht="15.6" thickTop="1" thickBot="1">
      <c r="E175" s="110">
        <v>169</v>
      </c>
      <c r="F175" s="352">
        <v>1.2021999999999999</v>
      </c>
      <c r="G175" s="110">
        <v>169</v>
      </c>
      <c r="H175" s="192">
        <v>690.84</v>
      </c>
      <c r="I175" s="192">
        <v>881.79</v>
      </c>
      <c r="J175" s="192">
        <v>1006.28</v>
      </c>
      <c r="K175" s="192">
        <v>1131.79</v>
      </c>
      <c r="L175" s="192">
        <v>221.96</v>
      </c>
      <c r="M175" s="192">
        <v>335.05</v>
      </c>
      <c r="N175" s="192">
        <v>446.08</v>
      </c>
      <c r="O175" s="192">
        <v>847.48</v>
      </c>
      <c r="P175" s="192">
        <v>967.86</v>
      </c>
      <c r="S175" s="2">
        <v>0</v>
      </c>
    </row>
    <row r="176" spans="5:19" ht="15.6" thickTop="1" thickBot="1">
      <c r="E176" s="110">
        <v>170</v>
      </c>
      <c r="F176" s="352">
        <v>2.2021999999999999</v>
      </c>
      <c r="G176" s="110">
        <v>170</v>
      </c>
      <c r="H176" s="192">
        <v>690.84</v>
      </c>
      <c r="I176" s="192">
        <v>881.79</v>
      </c>
      <c r="J176" s="192">
        <v>1006.28</v>
      </c>
      <c r="K176" s="192">
        <v>1131.79</v>
      </c>
      <c r="L176" s="192">
        <v>221.96</v>
      </c>
      <c r="M176" s="192">
        <v>335.05</v>
      </c>
      <c r="N176" s="192">
        <v>446.08</v>
      </c>
      <c r="O176" s="192">
        <v>847.48</v>
      </c>
      <c r="P176" s="192">
        <v>967.86</v>
      </c>
      <c r="S176" s="2">
        <v>0</v>
      </c>
    </row>
    <row r="177" spans="5:19" ht="15.6" thickTop="1" thickBot="1">
      <c r="E177" s="110">
        <v>171</v>
      </c>
      <c r="F177" s="352">
        <v>3.2021999999999999</v>
      </c>
      <c r="G177" s="110">
        <v>171</v>
      </c>
      <c r="H177" s="192">
        <v>690.84</v>
      </c>
      <c r="I177" s="192">
        <v>881.79</v>
      </c>
      <c r="J177" s="192">
        <v>1006.28</v>
      </c>
      <c r="K177" s="192">
        <v>1131.79</v>
      </c>
      <c r="L177" s="192">
        <v>221.96</v>
      </c>
      <c r="M177" s="192">
        <v>335.05</v>
      </c>
      <c r="N177" s="192">
        <v>446.08</v>
      </c>
      <c r="O177" s="192">
        <v>847.48</v>
      </c>
      <c r="P177" s="192">
        <v>967.86</v>
      </c>
      <c r="S177" s="2">
        <v>0</v>
      </c>
    </row>
    <row r="178" spans="5:19" ht="15.6" thickTop="1" thickBot="1">
      <c r="E178" s="110">
        <v>172</v>
      </c>
      <c r="F178" s="352">
        <v>4.2022000000000004</v>
      </c>
      <c r="G178" s="110">
        <v>172</v>
      </c>
      <c r="H178" s="192">
        <v>690.84</v>
      </c>
      <c r="I178" s="192">
        <v>881.79</v>
      </c>
      <c r="J178" s="192">
        <v>1006.28</v>
      </c>
      <c r="K178" s="192">
        <v>1131.79</v>
      </c>
      <c r="L178" s="192">
        <v>221.96</v>
      </c>
      <c r="M178" s="192">
        <v>335.05</v>
      </c>
      <c r="N178" s="192">
        <v>446.08</v>
      </c>
      <c r="O178" s="192">
        <v>847.48</v>
      </c>
      <c r="P178" s="192">
        <v>967.86</v>
      </c>
      <c r="S178" s="2">
        <v>0</v>
      </c>
    </row>
    <row r="179" spans="5:19" ht="15.6" thickTop="1" thickBot="1">
      <c r="E179" s="110">
        <v>173</v>
      </c>
      <c r="F179" s="352">
        <v>5.2022000000000004</v>
      </c>
      <c r="G179" s="110">
        <v>173</v>
      </c>
      <c r="H179" s="192">
        <v>690.84</v>
      </c>
      <c r="I179" s="192">
        <v>881.79</v>
      </c>
      <c r="J179" s="192">
        <v>1006.28</v>
      </c>
      <c r="K179" s="192">
        <v>1131.79</v>
      </c>
      <c r="L179" s="192">
        <v>221.96</v>
      </c>
      <c r="M179" s="192">
        <v>335.05</v>
      </c>
      <c r="N179" s="192">
        <v>446.08</v>
      </c>
      <c r="O179" s="192">
        <v>847.48</v>
      </c>
      <c r="P179" s="192">
        <v>967.86</v>
      </c>
      <c r="S179" s="2">
        <v>0</v>
      </c>
    </row>
    <row r="180" spans="5:19" ht="15.6" thickTop="1" thickBot="1">
      <c r="E180" s="110">
        <v>174</v>
      </c>
      <c r="F180" s="352">
        <v>6.2022000000000004</v>
      </c>
      <c r="G180" s="110">
        <v>174</v>
      </c>
      <c r="H180" s="192">
        <v>690.84</v>
      </c>
      <c r="I180" s="192">
        <v>881.79</v>
      </c>
      <c r="J180" s="192">
        <v>1006.28</v>
      </c>
      <c r="K180" s="192">
        <v>1131.79</v>
      </c>
      <c r="L180" s="192">
        <v>221.96</v>
      </c>
      <c r="M180" s="192">
        <v>335.05</v>
      </c>
      <c r="N180" s="192">
        <v>446.08</v>
      </c>
      <c r="O180" s="192">
        <v>847.48</v>
      </c>
      <c r="P180" s="192">
        <v>967.86</v>
      </c>
      <c r="S180" s="2">
        <v>0</v>
      </c>
    </row>
    <row r="181" spans="5:19" ht="15.6" thickTop="1" thickBot="1">
      <c r="E181" s="110">
        <v>175</v>
      </c>
      <c r="F181" s="352">
        <v>7.2022000000000004</v>
      </c>
      <c r="G181" s="110">
        <v>175</v>
      </c>
      <c r="H181" s="192">
        <v>690.84</v>
      </c>
      <c r="I181" s="192">
        <v>881.79</v>
      </c>
      <c r="J181" s="192">
        <v>1006.28</v>
      </c>
      <c r="K181" s="192">
        <v>1131.79</v>
      </c>
      <c r="L181" s="192">
        <v>221.96</v>
      </c>
      <c r="M181" s="192">
        <v>335.05</v>
      </c>
      <c r="N181" s="192">
        <v>446.08</v>
      </c>
      <c r="O181" s="192">
        <v>847.48</v>
      </c>
      <c r="P181" s="192">
        <v>967.86</v>
      </c>
      <c r="S181" s="2">
        <v>0</v>
      </c>
    </row>
    <row r="182" spans="5:19" ht="15.6" thickTop="1" thickBot="1">
      <c r="E182" s="110">
        <v>176</v>
      </c>
      <c r="F182" s="352">
        <v>8.2021999999999995</v>
      </c>
      <c r="G182" s="110">
        <v>176</v>
      </c>
      <c r="H182" s="192">
        <v>690.84</v>
      </c>
      <c r="I182" s="192">
        <v>881.79</v>
      </c>
      <c r="J182" s="192">
        <v>1006.28</v>
      </c>
      <c r="K182" s="192">
        <v>1131.79</v>
      </c>
      <c r="L182" s="192">
        <v>221.96</v>
      </c>
      <c r="M182" s="192">
        <v>335.05</v>
      </c>
      <c r="N182" s="192">
        <v>446.08</v>
      </c>
      <c r="O182" s="192">
        <v>847.48</v>
      </c>
      <c r="P182" s="192">
        <v>967.86</v>
      </c>
      <c r="S182" s="2">
        <v>0</v>
      </c>
    </row>
    <row r="183" spans="5:19" ht="15.6" thickTop="1" thickBot="1">
      <c r="E183" s="110">
        <v>177</v>
      </c>
      <c r="F183" s="352">
        <v>9.2021999999999995</v>
      </c>
      <c r="G183" s="110">
        <v>177</v>
      </c>
      <c r="H183" s="192">
        <v>690.84</v>
      </c>
      <c r="I183" s="192">
        <v>881.79</v>
      </c>
      <c r="J183" s="192">
        <v>1006.28</v>
      </c>
      <c r="K183" s="192">
        <v>1131.79</v>
      </c>
      <c r="L183" s="192">
        <v>221.96</v>
      </c>
      <c r="M183" s="192">
        <v>335.05</v>
      </c>
      <c r="N183" s="192">
        <v>446.08</v>
      </c>
      <c r="O183" s="192">
        <v>847.48</v>
      </c>
      <c r="P183" s="192">
        <v>967.86</v>
      </c>
      <c r="S183" s="2">
        <v>0</v>
      </c>
    </row>
    <row r="184" spans="5:19" ht="15.6" thickTop="1" thickBot="1">
      <c r="E184" s="110">
        <v>178</v>
      </c>
      <c r="F184" s="352">
        <v>10.202199999999999</v>
      </c>
      <c r="G184" s="110">
        <v>178</v>
      </c>
      <c r="H184" s="192">
        <v>690.84</v>
      </c>
      <c r="I184" s="192">
        <v>881.79</v>
      </c>
      <c r="J184" s="192">
        <v>1006.28</v>
      </c>
      <c r="K184" s="192">
        <v>1131.79</v>
      </c>
      <c r="L184" s="192">
        <v>221.96</v>
      </c>
      <c r="M184" s="192">
        <v>335.05</v>
      </c>
      <c r="N184" s="192">
        <v>446.08</v>
      </c>
      <c r="O184" s="192">
        <v>847.48</v>
      </c>
      <c r="P184" s="192">
        <v>967.86</v>
      </c>
      <c r="S184" s="2">
        <v>0</v>
      </c>
    </row>
    <row r="185" spans="5:19" ht="15.6" thickTop="1" thickBot="1">
      <c r="E185" s="110">
        <v>179</v>
      </c>
      <c r="F185" s="352">
        <v>11.202199999999999</v>
      </c>
      <c r="G185" s="110">
        <v>179</v>
      </c>
      <c r="H185" s="192">
        <v>690.84</v>
      </c>
      <c r="I185" s="192">
        <v>881.79</v>
      </c>
      <c r="J185" s="192">
        <v>1006.28</v>
      </c>
      <c r="K185" s="192">
        <v>1131.79</v>
      </c>
      <c r="L185" s="192">
        <v>221.96</v>
      </c>
      <c r="M185" s="192">
        <v>335.05</v>
      </c>
      <c r="N185" s="192">
        <v>446.08</v>
      </c>
      <c r="O185" s="192">
        <v>847.48</v>
      </c>
      <c r="P185" s="192">
        <v>967.86</v>
      </c>
      <c r="S185" s="2">
        <v>0</v>
      </c>
    </row>
    <row r="186" spans="5:19" ht="15.6" thickTop="1" thickBot="1">
      <c r="E186" s="110">
        <v>180</v>
      </c>
      <c r="F186" s="352">
        <v>12.202199999999999</v>
      </c>
      <c r="G186" s="110">
        <v>180</v>
      </c>
      <c r="H186" s="192">
        <v>690.84</v>
      </c>
      <c r="I186" s="192">
        <v>881.79</v>
      </c>
      <c r="J186" s="192">
        <v>1006.28</v>
      </c>
      <c r="K186" s="192">
        <v>1131.79</v>
      </c>
      <c r="L186" s="192">
        <v>221.96</v>
      </c>
      <c r="M186" s="192">
        <v>335.05</v>
      </c>
      <c r="N186" s="192">
        <v>446.08</v>
      </c>
      <c r="O186" s="192">
        <v>847.48</v>
      </c>
      <c r="P186" s="192">
        <v>967.86</v>
      </c>
      <c r="S186" s="2">
        <v>0</v>
      </c>
    </row>
    <row r="187" spans="5:19" ht="15.6" thickTop="1" thickBot="1">
      <c r="E187" s="110">
        <v>181</v>
      </c>
      <c r="F187" s="352">
        <v>1.2022999999999999</v>
      </c>
      <c r="G187" s="110">
        <v>181</v>
      </c>
      <c r="H187" s="192">
        <v>727.17</v>
      </c>
      <c r="I187" s="192">
        <v>928.17</v>
      </c>
      <c r="J187" s="192">
        <v>1059.21</v>
      </c>
      <c r="K187" s="192">
        <v>1191.32</v>
      </c>
      <c r="L187" s="192">
        <v>233.63</v>
      </c>
      <c r="M187" s="192">
        <v>352.67</v>
      </c>
      <c r="N187" s="192">
        <v>469.54</v>
      </c>
      <c r="O187" s="192">
        <v>892.05</v>
      </c>
      <c r="P187" s="192">
        <v>1018.76</v>
      </c>
      <c r="S187" s="2">
        <v>0</v>
      </c>
    </row>
    <row r="188" spans="5:19" ht="15.6" thickTop="1" thickBot="1">
      <c r="E188" s="110">
        <v>182</v>
      </c>
      <c r="F188" s="352">
        <v>2.2023000000000001</v>
      </c>
      <c r="G188" s="110">
        <v>182</v>
      </c>
      <c r="H188" s="192">
        <v>727.17</v>
      </c>
      <c r="I188" s="192">
        <v>928.17</v>
      </c>
      <c r="J188" s="192">
        <v>1059.21</v>
      </c>
      <c r="K188" s="192">
        <v>1191.32</v>
      </c>
      <c r="L188" s="192">
        <v>233.63</v>
      </c>
      <c r="M188" s="192">
        <v>352.67</v>
      </c>
      <c r="N188" s="192">
        <v>469.54</v>
      </c>
      <c r="O188" s="192">
        <v>892.05</v>
      </c>
      <c r="P188" s="192">
        <v>1018.76</v>
      </c>
      <c r="S188" s="2">
        <v>0</v>
      </c>
    </row>
    <row r="189" spans="5:19" ht="15.6" thickTop="1" thickBot="1">
      <c r="E189" s="110">
        <v>183</v>
      </c>
      <c r="F189" s="352">
        <v>3.2023000000000001</v>
      </c>
      <c r="G189" s="110">
        <v>183</v>
      </c>
      <c r="H189" s="192">
        <v>727.17</v>
      </c>
      <c r="I189" s="192">
        <v>928.17</v>
      </c>
      <c r="J189" s="192">
        <v>1059.21</v>
      </c>
      <c r="K189" s="192">
        <v>1191.32</v>
      </c>
      <c r="L189" s="192">
        <v>233.63</v>
      </c>
      <c r="M189" s="192">
        <v>352.67</v>
      </c>
      <c r="N189" s="192">
        <v>469.54</v>
      </c>
      <c r="O189" s="192">
        <v>892.05</v>
      </c>
      <c r="P189" s="192">
        <v>1018.76</v>
      </c>
      <c r="S189" s="2">
        <v>0</v>
      </c>
    </row>
    <row r="190" spans="5:19" ht="15.6" thickTop="1" thickBot="1">
      <c r="E190" s="110">
        <v>184</v>
      </c>
      <c r="F190" s="352">
        <v>4.2023000000000001</v>
      </c>
      <c r="G190" s="110">
        <v>184</v>
      </c>
      <c r="H190" s="192">
        <v>727.17</v>
      </c>
      <c r="I190" s="192">
        <v>928.17</v>
      </c>
      <c r="J190" s="192">
        <v>1059.21</v>
      </c>
      <c r="K190" s="192">
        <v>1191.32</v>
      </c>
      <c r="L190" s="192">
        <v>233.63</v>
      </c>
      <c r="M190" s="192">
        <v>352.67</v>
      </c>
      <c r="N190" s="192">
        <v>469.54</v>
      </c>
      <c r="O190" s="192">
        <v>892.05</v>
      </c>
      <c r="P190" s="192">
        <v>1018.76</v>
      </c>
      <c r="S190" s="2">
        <v>0</v>
      </c>
    </row>
    <row r="191" spans="5:19" ht="15.6" thickTop="1" thickBot="1">
      <c r="E191" s="110">
        <v>185</v>
      </c>
      <c r="F191" s="352">
        <v>5.2023000000000001</v>
      </c>
      <c r="G191" s="110">
        <v>185</v>
      </c>
      <c r="H191" s="192">
        <v>727.17</v>
      </c>
      <c r="I191" s="192">
        <v>928.17</v>
      </c>
      <c r="J191" s="192">
        <v>1059.21</v>
      </c>
      <c r="K191" s="192">
        <v>1191.32</v>
      </c>
      <c r="L191" s="192">
        <v>233.63</v>
      </c>
      <c r="M191" s="192">
        <v>352.67</v>
      </c>
      <c r="N191" s="192">
        <v>469.54</v>
      </c>
      <c r="O191" s="192">
        <v>892.05</v>
      </c>
      <c r="P191" s="192">
        <v>1018.76</v>
      </c>
      <c r="S191" s="2">
        <v>0</v>
      </c>
    </row>
    <row r="192" spans="5:19" ht="15.6" thickTop="1" thickBot="1">
      <c r="E192" s="110">
        <v>186</v>
      </c>
      <c r="F192" s="352">
        <v>6.2023000000000001</v>
      </c>
      <c r="G192" s="110">
        <v>186</v>
      </c>
      <c r="H192" s="192">
        <v>727.17</v>
      </c>
      <c r="I192" s="192">
        <v>928.17</v>
      </c>
      <c r="J192" s="192">
        <v>1059.21</v>
      </c>
      <c r="K192" s="192">
        <v>1191.32</v>
      </c>
      <c r="L192" s="192">
        <v>233.63</v>
      </c>
      <c r="M192" s="192">
        <v>352.67</v>
      </c>
      <c r="N192" s="192">
        <v>469.54</v>
      </c>
      <c r="O192" s="192">
        <v>892.05</v>
      </c>
      <c r="P192" s="192">
        <v>1018.76</v>
      </c>
      <c r="S192" s="2">
        <v>0</v>
      </c>
    </row>
    <row r="193" spans="5:19" ht="15.6" thickTop="1" thickBot="1">
      <c r="E193" s="110">
        <v>187</v>
      </c>
      <c r="F193" s="352">
        <v>7.2023000000000001</v>
      </c>
      <c r="G193" s="110">
        <v>187</v>
      </c>
      <c r="H193" s="192">
        <v>727.17</v>
      </c>
      <c r="I193" s="192">
        <v>928.17</v>
      </c>
      <c r="J193" s="192">
        <v>1059.21</v>
      </c>
      <c r="K193" s="192">
        <v>1191.32</v>
      </c>
      <c r="L193" s="192">
        <v>233.63</v>
      </c>
      <c r="M193" s="192">
        <v>352.67</v>
      </c>
      <c r="N193" s="192">
        <v>469.54</v>
      </c>
      <c r="O193" s="192">
        <v>892.05</v>
      </c>
      <c r="P193" s="192">
        <v>1018.76</v>
      </c>
      <c r="S193" s="2">
        <v>0</v>
      </c>
    </row>
    <row r="194" spans="5:19" ht="15.6" thickTop="1" thickBot="1">
      <c r="E194" s="110">
        <v>188</v>
      </c>
      <c r="F194" s="352">
        <v>8.2022999999999993</v>
      </c>
      <c r="G194" s="110">
        <v>188</v>
      </c>
      <c r="H194" s="192">
        <v>727.17</v>
      </c>
      <c r="I194" s="192">
        <v>928.17</v>
      </c>
      <c r="J194" s="192">
        <v>1059.21</v>
      </c>
      <c r="K194" s="192">
        <v>1191.32</v>
      </c>
      <c r="L194" s="192">
        <v>233.63</v>
      </c>
      <c r="M194" s="192">
        <v>352.67</v>
      </c>
      <c r="N194" s="192">
        <v>469.54</v>
      </c>
      <c r="O194" s="192">
        <v>892.05</v>
      </c>
      <c r="P194" s="192">
        <v>1018.76</v>
      </c>
      <c r="S194" s="2">
        <v>0</v>
      </c>
    </row>
    <row r="195" spans="5:19" ht="15.6" thickTop="1" thickBot="1">
      <c r="E195" s="110">
        <v>189</v>
      </c>
      <c r="F195" s="352">
        <v>9.2022999999999993</v>
      </c>
      <c r="G195" s="110">
        <v>189</v>
      </c>
      <c r="H195" s="192">
        <v>727.17</v>
      </c>
      <c r="I195" s="192">
        <v>928.17</v>
      </c>
      <c r="J195" s="192">
        <v>1059.21</v>
      </c>
      <c r="K195" s="192">
        <v>1191.32</v>
      </c>
      <c r="L195" s="192">
        <v>233.63</v>
      </c>
      <c r="M195" s="192">
        <v>352.67</v>
      </c>
      <c r="N195" s="192">
        <v>469.54</v>
      </c>
      <c r="O195" s="192">
        <v>892.05</v>
      </c>
      <c r="P195" s="192">
        <v>1018.76</v>
      </c>
      <c r="S195" s="2">
        <v>0</v>
      </c>
    </row>
    <row r="196" spans="5:19" ht="15.6" thickTop="1" thickBot="1">
      <c r="E196" s="110">
        <v>190</v>
      </c>
      <c r="F196" s="352">
        <v>10.202299999999999</v>
      </c>
      <c r="G196" s="110">
        <v>190</v>
      </c>
      <c r="H196" s="192">
        <v>727.17</v>
      </c>
      <c r="I196" s="192">
        <v>928.17</v>
      </c>
      <c r="J196" s="192">
        <v>1059.21</v>
      </c>
      <c r="K196" s="192">
        <v>1191.32</v>
      </c>
      <c r="L196" s="192">
        <v>233.63</v>
      </c>
      <c r="M196" s="192">
        <v>352.67</v>
      </c>
      <c r="N196" s="192">
        <v>469.54</v>
      </c>
      <c r="O196" s="192">
        <v>892.05</v>
      </c>
      <c r="P196" s="192">
        <v>1018.76</v>
      </c>
      <c r="S196" s="2">
        <v>0</v>
      </c>
    </row>
    <row r="197" spans="5:19" ht="15.6" thickTop="1" thickBot="1">
      <c r="E197" s="110">
        <v>191</v>
      </c>
      <c r="F197" s="352">
        <v>11.202299999999999</v>
      </c>
      <c r="G197" s="110">
        <v>191</v>
      </c>
      <c r="H197" s="192">
        <v>727.17</v>
      </c>
      <c r="I197" s="192">
        <v>928.17</v>
      </c>
      <c r="J197" s="192">
        <v>1059.21</v>
      </c>
      <c r="K197" s="192">
        <v>1191.32</v>
      </c>
      <c r="L197" s="192">
        <v>233.63</v>
      </c>
      <c r="M197" s="192">
        <v>352.67</v>
      </c>
      <c r="N197" s="192">
        <v>469.54</v>
      </c>
      <c r="O197" s="192">
        <v>892.05</v>
      </c>
      <c r="P197" s="192">
        <v>1018.76</v>
      </c>
      <c r="S197" s="2">
        <v>0</v>
      </c>
    </row>
    <row r="198" spans="5:19" ht="15.6" thickTop="1" thickBot="1">
      <c r="E198" s="110">
        <v>192</v>
      </c>
      <c r="F198" s="352">
        <v>12.202299999999999</v>
      </c>
      <c r="G198" s="110">
        <v>192</v>
      </c>
      <c r="H198" s="192">
        <v>727.17</v>
      </c>
      <c r="I198" s="192">
        <v>928.17</v>
      </c>
      <c r="J198" s="192">
        <v>1059.21</v>
      </c>
      <c r="K198" s="192">
        <v>1191.32</v>
      </c>
      <c r="L198" s="192">
        <v>233.63</v>
      </c>
      <c r="M198" s="192">
        <v>352.67</v>
      </c>
      <c r="N198" s="192">
        <v>469.54</v>
      </c>
      <c r="O198" s="192">
        <v>892.05</v>
      </c>
      <c r="P198" s="192">
        <v>1018.76</v>
      </c>
      <c r="S198" s="2">
        <v>0</v>
      </c>
    </row>
    <row r="199" spans="5:19" ht="15.6" thickTop="1" thickBot="1">
      <c r="E199" s="110">
        <v>193</v>
      </c>
      <c r="F199" s="352">
        <v>1.2023999999999999</v>
      </c>
      <c r="G199" s="110">
        <v>193</v>
      </c>
      <c r="H199" s="192">
        <v>748.69</v>
      </c>
      <c r="I199" s="192">
        <v>955.64</v>
      </c>
      <c r="J199" s="192">
        <v>1090.56</v>
      </c>
      <c r="K199" s="192">
        <v>1226.5899999999999</v>
      </c>
      <c r="L199" s="192">
        <v>240.55</v>
      </c>
      <c r="M199" s="192">
        <v>363.11</v>
      </c>
      <c r="N199" s="192">
        <v>483.44</v>
      </c>
      <c r="O199" s="192">
        <v>918.45</v>
      </c>
      <c r="P199" s="192">
        <v>1048.92</v>
      </c>
      <c r="S199" s="2">
        <v>1</v>
      </c>
    </row>
    <row r="200" spans="5:19" ht="15.6" thickTop="1" thickBot="1">
      <c r="E200" s="110">
        <v>194</v>
      </c>
      <c r="F200" s="352">
        <v>2.2023999999999999</v>
      </c>
      <c r="G200" s="110">
        <v>194</v>
      </c>
      <c r="H200" s="192">
        <v>748.69</v>
      </c>
      <c r="I200" s="192">
        <v>955.64</v>
      </c>
      <c r="J200" s="192">
        <v>1090.56</v>
      </c>
      <c r="K200" s="192">
        <v>1226.5899999999999</v>
      </c>
      <c r="L200" s="192">
        <v>240.55</v>
      </c>
      <c r="M200" s="192">
        <v>363.11</v>
      </c>
      <c r="N200" s="192">
        <v>483.44</v>
      </c>
      <c r="O200" s="192">
        <v>918.45</v>
      </c>
      <c r="P200" s="192">
        <v>1048.92</v>
      </c>
      <c r="S200" s="2">
        <v>0</v>
      </c>
    </row>
    <row r="201" spans="5:19" ht="15.6" thickTop="1" thickBot="1">
      <c r="E201" s="110">
        <v>195</v>
      </c>
      <c r="F201" s="352">
        <v>3.2023999999999999</v>
      </c>
      <c r="G201" s="110">
        <v>195</v>
      </c>
      <c r="H201" s="192">
        <v>748.69</v>
      </c>
      <c r="I201" s="192">
        <v>955.64</v>
      </c>
      <c r="J201" s="192">
        <v>1090.56</v>
      </c>
      <c r="K201" s="192">
        <v>1226.5899999999999</v>
      </c>
      <c r="L201" s="192">
        <v>240.55</v>
      </c>
      <c r="M201" s="192">
        <v>363.11</v>
      </c>
      <c r="N201" s="192">
        <v>483.44</v>
      </c>
      <c r="O201" s="192">
        <v>918.45</v>
      </c>
      <c r="P201" s="192">
        <v>1048.92</v>
      </c>
      <c r="S201" s="2">
        <v>0</v>
      </c>
    </row>
    <row r="202" spans="5:19" ht="15.6" thickTop="1" thickBot="1">
      <c r="E202" s="110">
        <v>196</v>
      </c>
      <c r="F202" s="352">
        <v>4.2023999999999999</v>
      </c>
      <c r="G202" s="110">
        <v>196</v>
      </c>
      <c r="H202" s="192">
        <v>748.69</v>
      </c>
      <c r="I202" s="192">
        <v>955.64</v>
      </c>
      <c r="J202" s="192">
        <v>1090.56</v>
      </c>
      <c r="K202" s="192">
        <v>1226.5899999999999</v>
      </c>
      <c r="L202" s="192">
        <v>240.55</v>
      </c>
      <c r="M202" s="192">
        <v>363.11</v>
      </c>
      <c r="N202" s="192">
        <v>483.44</v>
      </c>
      <c r="O202" s="192">
        <v>918.45</v>
      </c>
      <c r="P202" s="192">
        <v>1048.92</v>
      </c>
      <c r="S202" s="2">
        <v>0</v>
      </c>
    </row>
    <row r="203" spans="5:19" ht="15.6" thickTop="1" thickBot="1">
      <c r="E203" s="110">
        <v>197</v>
      </c>
      <c r="F203" s="352">
        <v>5.2023999999999999</v>
      </c>
      <c r="G203" s="110">
        <v>197</v>
      </c>
      <c r="H203" s="192">
        <v>748.69</v>
      </c>
      <c r="I203" s="192">
        <v>955.64</v>
      </c>
      <c r="J203" s="192">
        <v>1090.56</v>
      </c>
      <c r="K203" s="192">
        <v>1226.5899999999999</v>
      </c>
      <c r="L203" s="192">
        <v>240.55</v>
      </c>
      <c r="M203" s="192">
        <v>363.11</v>
      </c>
      <c r="N203" s="192">
        <v>483.44</v>
      </c>
      <c r="O203" s="192">
        <v>918.45</v>
      </c>
      <c r="P203" s="192">
        <v>1048.92</v>
      </c>
      <c r="S203" s="2">
        <v>0</v>
      </c>
    </row>
    <row r="204" spans="5:19" ht="15.6" thickTop="1" thickBot="1">
      <c r="E204" s="110">
        <v>198</v>
      </c>
      <c r="F204" s="352">
        <v>6.2023999999999999</v>
      </c>
      <c r="G204" s="110">
        <v>198</v>
      </c>
      <c r="H204" s="192">
        <v>748.69</v>
      </c>
      <c r="I204" s="192">
        <v>955.64</v>
      </c>
      <c r="J204" s="192">
        <v>1090.56</v>
      </c>
      <c r="K204" s="192">
        <v>1226.5899999999999</v>
      </c>
      <c r="L204" s="192">
        <v>240.55</v>
      </c>
      <c r="M204" s="192">
        <v>363.11</v>
      </c>
      <c r="N204" s="192">
        <v>483.44</v>
      </c>
      <c r="O204" s="192">
        <v>918.45</v>
      </c>
      <c r="P204" s="192">
        <v>1048.92</v>
      </c>
      <c r="S204" s="2">
        <v>0</v>
      </c>
    </row>
    <row r="205" spans="5:19" ht="15.6" thickTop="1" thickBot="1">
      <c r="E205" s="110">
        <v>199</v>
      </c>
      <c r="F205" s="352">
        <v>7.2023999999999999</v>
      </c>
      <c r="G205" s="110">
        <v>199</v>
      </c>
      <c r="H205" s="192">
        <v>748.69</v>
      </c>
      <c r="I205" s="192">
        <v>955.64</v>
      </c>
      <c r="J205" s="192">
        <v>1090.56</v>
      </c>
      <c r="K205" s="192">
        <v>1226.5899999999999</v>
      </c>
      <c r="L205" s="192">
        <v>240.55</v>
      </c>
      <c r="M205" s="192">
        <v>363.11</v>
      </c>
      <c r="N205" s="192">
        <v>483.44</v>
      </c>
      <c r="O205" s="192">
        <v>918.45</v>
      </c>
      <c r="P205" s="192">
        <v>1048.92</v>
      </c>
      <c r="S205" s="2">
        <v>0</v>
      </c>
    </row>
    <row r="206" spans="5:19" ht="15.6" thickTop="1" thickBot="1">
      <c r="E206" s="110">
        <v>200</v>
      </c>
      <c r="F206" s="352">
        <v>8.2024000000000008</v>
      </c>
      <c r="G206" s="110">
        <v>200</v>
      </c>
      <c r="H206" s="192">
        <v>748.69</v>
      </c>
      <c r="I206" s="192">
        <v>955.64</v>
      </c>
      <c r="J206" s="192">
        <v>1090.56</v>
      </c>
      <c r="K206" s="192">
        <v>1226.5899999999999</v>
      </c>
      <c r="L206" s="192">
        <v>240.55</v>
      </c>
      <c r="M206" s="192">
        <v>363.11</v>
      </c>
      <c r="N206" s="192">
        <v>483.44</v>
      </c>
      <c r="O206" s="192">
        <v>918.45</v>
      </c>
      <c r="P206" s="192">
        <v>1048.92</v>
      </c>
    </row>
    <row r="207" spans="5:19" ht="15.6" thickTop="1" thickBot="1">
      <c r="E207" s="110">
        <v>201</v>
      </c>
      <c r="F207" s="352">
        <v>9.2024000000000008</v>
      </c>
      <c r="G207" s="110">
        <v>201</v>
      </c>
      <c r="H207" s="192">
        <v>748.69</v>
      </c>
      <c r="I207" s="192">
        <v>955.64</v>
      </c>
      <c r="J207" s="192">
        <v>1090.56</v>
      </c>
      <c r="K207" s="192">
        <v>1226.5899999999999</v>
      </c>
      <c r="L207" s="192">
        <v>240.55</v>
      </c>
      <c r="M207" s="192">
        <v>363.11</v>
      </c>
      <c r="N207" s="192">
        <v>483.44</v>
      </c>
      <c r="O207" s="192">
        <v>918.45</v>
      </c>
      <c r="P207" s="192">
        <v>1048.92</v>
      </c>
    </row>
    <row r="208" spans="5:19" ht="15.6" thickTop="1" thickBot="1">
      <c r="E208" s="110">
        <v>202</v>
      </c>
      <c r="F208" s="352">
        <v>10.202400000000001</v>
      </c>
      <c r="G208" s="110">
        <v>202</v>
      </c>
      <c r="H208" s="192">
        <v>748.69</v>
      </c>
      <c r="I208" s="192">
        <v>955.64</v>
      </c>
      <c r="J208" s="192">
        <v>1090.56</v>
      </c>
      <c r="K208" s="192">
        <v>1226.5899999999999</v>
      </c>
      <c r="L208" s="192">
        <v>240.55</v>
      </c>
      <c r="M208" s="192">
        <v>363.11</v>
      </c>
      <c r="N208" s="192">
        <v>483.44</v>
      </c>
      <c r="O208" s="192">
        <v>918.45</v>
      </c>
      <c r="P208" s="192">
        <v>1048.92</v>
      </c>
    </row>
    <row r="209" spans="5:18" ht="15.6" thickTop="1" thickBot="1">
      <c r="E209" s="110">
        <v>203</v>
      </c>
      <c r="F209" s="352">
        <v>11.202400000000001</v>
      </c>
      <c r="G209" s="110">
        <v>203</v>
      </c>
      <c r="H209" s="192">
        <v>748.69</v>
      </c>
      <c r="I209" s="192">
        <v>955.64</v>
      </c>
      <c r="J209" s="192">
        <v>1090.56</v>
      </c>
      <c r="K209" s="192">
        <v>1226.5899999999999</v>
      </c>
      <c r="L209" s="192">
        <v>240.55</v>
      </c>
      <c r="M209" s="192">
        <v>363.11</v>
      </c>
      <c r="N209" s="192">
        <v>483.44</v>
      </c>
      <c r="O209" s="192">
        <v>918.45</v>
      </c>
      <c r="P209" s="192">
        <v>1048.92</v>
      </c>
    </row>
    <row r="210" spans="5:18" ht="15.6" thickTop="1" thickBot="1">
      <c r="E210" s="110">
        <v>204</v>
      </c>
      <c r="F210" s="352">
        <v>12.202400000000001</v>
      </c>
      <c r="G210" s="110">
        <v>204</v>
      </c>
      <c r="H210" s="192">
        <v>748.69</v>
      </c>
      <c r="I210" s="192">
        <v>955.64</v>
      </c>
      <c r="J210" s="192">
        <v>1090.56</v>
      </c>
      <c r="K210" s="192">
        <v>1226.5899999999999</v>
      </c>
      <c r="L210" s="192">
        <v>240.55</v>
      </c>
      <c r="M210" s="192">
        <v>363.11</v>
      </c>
      <c r="N210" s="192">
        <v>483.44</v>
      </c>
      <c r="O210" s="192">
        <v>918.45</v>
      </c>
      <c r="P210" s="192">
        <v>1048.92</v>
      </c>
    </row>
    <row r="211" spans="5:18" ht="18" thickTop="1" thickBot="1">
      <c r="E211" s="110">
        <v>205</v>
      </c>
      <c r="F211" s="352">
        <v>1.2024999999999999</v>
      </c>
      <c r="G211" s="110">
        <v>205</v>
      </c>
      <c r="H211" s="192">
        <v>772.93</v>
      </c>
      <c r="I211" s="192">
        <v>986.58</v>
      </c>
      <c r="J211" s="192">
        <v>1125.8699999999999</v>
      </c>
      <c r="K211" s="192">
        <v>1266.31</v>
      </c>
      <c r="L211" s="192">
        <v>248.34</v>
      </c>
      <c r="M211" s="192">
        <v>374.87</v>
      </c>
      <c r="N211" s="192">
        <v>499.09</v>
      </c>
      <c r="O211" s="192">
        <v>948.19</v>
      </c>
      <c r="P211" s="192">
        <v>1082.8800000000001</v>
      </c>
      <c r="Q211" s="341"/>
      <c r="R211" s="341"/>
    </row>
    <row r="212" spans="5:18" ht="18" thickTop="1" thickBot="1">
      <c r="E212" s="110">
        <v>206</v>
      </c>
      <c r="F212" s="352">
        <v>2.2025000000000001</v>
      </c>
      <c r="G212" s="110">
        <v>206</v>
      </c>
      <c r="H212" s="192">
        <v>772.93</v>
      </c>
      <c r="I212" s="192">
        <v>986.58</v>
      </c>
      <c r="J212" s="192">
        <v>1125.8699999999999</v>
      </c>
      <c r="K212" s="192">
        <v>1266.31</v>
      </c>
      <c r="L212" s="192">
        <v>248.34</v>
      </c>
      <c r="M212" s="192">
        <v>374.87</v>
      </c>
      <c r="N212" s="192">
        <v>499.09</v>
      </c>
      <c r="O212" s="192">
        <v>948.19</v>
      </c>
      <c r="P212" s="192">
        <v>1082.8800000000001</v>
      </c>
      <c r="Q212" s="341"/>
      <c r="R212" s="341"/>
    </row>
    <row r="213" spans="5:18" ht="18" thickTop="1" thickBot="1">
      <c r="E213" s="110">
        <v>207</v>
      </c>
      <c r="F213" s="352">
        <v>3.2025000000000001</v>
      </c>
      <c r="G213" s="110">
        <v>207</v>
      </c>
      <c r="H213" s="192">
        <v>772.93</v>
      </c>
      <c r="I213" s="192">
        <v>986.58</v>
      </c>
      <c r="J213" s="192">
        <v>1125.8699999999999</v>
      </c>
      <c r="K213" s="192">
        <v>1266.31</v>
      </c>
      <c r="L213" s="192">
        <v>248.34</v>
      </c>
      <c r="M213" s="192">
        <v>374.87</v>
      </c>
      <c r="N213" s="192">
        <v>499.09</v>
      </c>
      <c r="O213" s="192">
        <v>948.19</v>
      </c>
      <c r="P213" s="192">
        <v>1082.8800000000001</v>
      </c>
      <c r="Q213" s="341"/>
      <c r="R213" s="341"/>
    </row>
    <row r="214" spans="5:18" ht="18" thickTop="1" thickBot="1">
      <c r="E214" s="110">
        <v>208</v>
      </c>
      <c r="F214" s="352">
        <v>4.2024999999999997</v>
      </c>
      <c r="G214" s="110">
        <v>208</v>
      </c>
      <c r="H214" s="192">
        <v>772.93</v>
      </c>
      <c r="I214" s="192">
        <v>986.58</v>
      </c>
      <c r="J214" s="192">
        <v>1125.8699999999999</v>
      </c>
      <c r="K214" s="192">
        <v>1266.31</v>
      </c>
      <c r="L214" s="192">
        <v>248.34</v>
      </c>
      <c r="M214" s="192">
        <v>374.87</v>
      </c>
      <c r="N214" s="192">
        <v>499.09</v>
      </c>
      <c r="O214" s="192">
        <v>948.19</v>
      </c>
      <c r="P214" s="192">
        <v>1082.8800000000001</v>
      </c>
      <c r="Q214" s="341"/>
      <c r="R214" s="341"/>
    </row>
    <row r="215" spans="5:18" ht="18" thickTop="1" thickBot="1">
      <c r="E215" s="110">
        <v>209</v>
      </c>
      <c r="F215" s="352">
        <v>5.2024999999999997</v>
      </c>
      <c r="G215" s="110">
        <v>209</v>
      </c>
      <c r="H215" s="192">
        <v>772.93</v>
      </c>
      <c r="I215" s="192">
        <v>986.58</v>
      </c>
      <c r="J215" s="192">
        <v>1125.8699999999999</v>
      </c>
      <c r="K215" s="192">
        <v>1266.31</v>
      </c>
      <c r="L215" s="192">
        <v>248.34</v>
      </c>
      <c r="M215" s="192">
        <v>374.87</v>
      </c>
      <c r="N215" s="192">
        <v>499.09</v>
      </c>
      <c r="O215" s="192">
        <v>948.19</v>
      </c>
      <c r="P215" s="192">
        <v>1082.8800000000001</v>
      </c>
      <c r="Q215" s="341"/>
      <c r="R215" s="341"/>
    </row>
    <row r="216" spans="5:18" ht="18" thickTop="1" thickBot="1">
      <c r="E216" s="110">
        <v>210</v>
      </c>
      <c r="F216" s="352">
        <v>6.2024999999999997</v>
      </c>
      <c r="G216" s="110">
        <v>210</v>
      </c>
      <c r="H216" s="192">
        <v>772.93</v>
      </c>
      <c r="I216" s="192">
        <v>986.58</v>
      </c>
      <c r="J216" s="192">
        <v>1125.8699999999999</v>
      </c>
      <c r="K216" s="192">
        <v>1266.31</v>
      </c>
      <c r="L216" s="192">
        <v>248.34</v>
      </c>
      <c r="M216" s="192">
        <v>374.87</v>
      </c>
      <c r="N216" s="192">
        <v>499.09</v>
      </c>
      <c r="O216" s="192">
        <v>948.19</v>
      </c>
      <c r="P216" s="192">
        <v>1082.8800000000001</v>
      </c>
      <c r="Q216" s="341"/>
      <c r="R216" s="341"/>
    </row>
    <row r="217" spans="5:18" ht="18" thickTop="1" thickBot="1">
      <c r="E217" s="110">
        <v>211</v>
      </c>
      <c r="F217" s="352">
        <v>7.2024999999999997</v>
      </c>
      <c r="G217" s="110">
        <v>211</v>
      </c>
      <c r="H217" s="192">
        <v>772.93</v>
      </c>
      <c r="I217" s="192">
        <v>986.58</v>
      </c>
      <c r="J217" s="192">
        <v>1125.8699999999999</v>
      </c>
      <c r="K217" s="192">
        <v>1266.31</v>
      </c>
      <c r="L217" s="192">
        <v>248.34</v>
      </c>
      <c r="M217" s="192">
        <v>374.87</v>
      </c>
      <c r="N217" s="192">
        <v>499.09</v>
      </c>
      <c r="O217" s="192">
        <v>948.19</v>
      </c>
      <c r="P217" s="192">
        <v>1082.8800000000001</v>
      </c>
      <c r="Q217" s="341"/>
      <c r="R217" s="341"/>
    </row>
    <row r="218" spans="5:18" ht="18" thickTop="1" thickBot="1">
      <c r="E218" s="110">
        <v>212</v>
      </c>
      <c r="F218" s="352">
        <v>8.2025000000000006</v>
      </c>
      <c r="G218" s="110">
        <v>212</v>
      </c>
      <c r="H218" s="192">
        <v>772.93</v>
      </c>
      <c r="I218" s="192">
        <v>986.58</v>
      </c>
      <c r="J218" s="192">
        <v>1125.8699999999999</v>
      </c>
      <c r="K218" s="192">
        <v>1266.31</v>
      </c>
      <c r="L218" s="192">
        <v>248.34</v>
      </c>
      <c r="M218" s="192">
        <v>374.87</v>
      </c>
      <c r="N218" s="192">
        <v>499.09</v>
      </c>
      <c r="O218" s="192">
        <v>948.19</v>
      </c>
      <c r="P218" s="192">
        <v>1082.8800000000001</v>
      </c>
      <c r="Q218" s="341"/>
      <c r="R218" s="341"/>
    </row>
    <row r="219" spans="5:18" ht="18" thickTop="1" thickBot="1">
      <c r="E219" s="110">
        <v>213</v>
      </c>
      <c r="F219" s="352">
        <v>9.2025000000000006</v>
      </c>
      <c r="G219" s="110">
        <v>213</v>
      </c>
      <c r="H219" s="192">
        <v>772.93</v>
      </c>
      <c r="I219" s="192">
        <v>986.58</v>
      </c>
      <c r="J219" s="192">
        <v>1125.8699999999999</v>
      </c>
      <c r="K219" s="192">
        <v>1266.31</v>
      </c>
      <c r="L219" s="192">
        <v>248.34</v>
      </c>
      <c r="M219" s="192">
        <v>374.87</v>
      </c>
      <c r="N219" s="192">
        <v>499.09</v>
      </c>
      <c r="O219" s="192">
        <v>948.19</v>
      </c>
      <c r="P219" s="192">
        <v>1082.8800000000001</v>
      </c>
      <c r="Q219" s="341"/>
      <c r="R219" s="341"/>
    </row>
    <row r="220" spans="5:18" ht="18" thickTop="1" thickBot="1">
      <c r="E220" s="110">
        <v>214</v>
      </c>
      <c r="F220" s="352">
        <v>10.202500000000001</v>
      </c>
      <c r="G220" s="110">
        <v>214</v>
      </c>
      <c r="H220" s="192">
        <v>772.93</v>
      </c>
      <c r="I220" s="192">
        <v>986.58</v>
      </c>
      <c r="J220" s="192">
        <v>1125.8699999999999</v>
      </c>
      <c r="K220" s="192">
        <v>1266.31</v>
      </c>
      <c r="L220" s="192">
        <v>248.34</v>
      </c>
      <c r="M220" s="192">
        <v>374.87</v>
      </c>
      <c r="N220" s="192">
        <v>499.09</v>
      </c>
      <c r="O220" s="192">
        <v>948.19</v>
      </c>
      <c r="P220" s="192">
        <v>1082.8800000000001</v>
      </c>
      <c r="Q220" s="341"/>
      <c r="R220" s="341"/>
    </row>
    <row r="221" spans="5:18" ht="18" thickTop="1" thickBot="1">
      <c r="E221" s="110">
        <v>215</v>
      </c>
      <c r="F221" s="352">
        <v>11.202500000000001</v>
      </c>
      <c r="G221" s="110">
        <v>215</v>
      </c>
      <c r="H221" s="192">
        <v>772.93</v>
      </c>
      <c r="I221" s="192">
        <v>986.58</v>
      </c>
      <c r="J221" s="192">
        <v>1125.8699999999999</v>
      </c>
      <c r="K221" s="192">
        <v>1266.31</v>
      </c>
      <c r="L221" s="192">
        <v>248.34</v>
      </c>
      <c r="M221" s="192">
        <v>374.87</v>
      </c>
      <c r="N221" s="192">
        <v>499.09</v>
      </c>
      <c r="O221" s="192">
        <v>948.19</v>
      </c>
      <c r="P221" s="192">
        <v>1082.8800000000001</v>
      </c>
      <c r="Q221" s="341"/>
      <c r="R221" s="341"/>
    </row>
    <row r="222" spans="5:18" ht="18" thickTop="1" thickBot="1">
      <c r="E222" s="110">
        <v>216</v>
      </c>
      <c r="F222" s="352">
        <v>12.202500000000001</v>
      </c>
      <c r="G222" s="110">
        <v>216</v>
      </c>
      <c r="H222" s="192">
        <v>772.93</v>
      </c>
      <c r="I222" s="192">
        <v>986.58</v>
      </c>
      <c r="J222" s="192">
        <v>1125.8699999999999</v>
      </c>
      <c r="K222" s="192">
        <v>1266.31</v>
      </c>
      <c r="L222" s="192">
        <v>248.34</v>
      </c>
      <c r="M222" s="192">
        <v>374.87</v>
      </c>
      <c r="N222" s="192">
        <v>499.09</v>
      </c>
      <c r="O222" s="192">
        <v>948.19</v>
      </c>
      <c r="P222" s="192">
        <v>1082.8800000000001</v>
      </c>
      <c r="Q222" s="341"/>
      <c r="R222" s="341"/>
    </row>
    <row r="223" spans="5:18" ht="15.6" thickTop="1" thickBot="1">
      <c r="E223" s="110">
        <v>217</v>
      </c>
      <c r="F223" s="352">
        <v>1.2025999999999999</v>
      </c>
      <c r="G223" s="110">
        <v>217</v>
      </c>
      <c r="H223" s="192">
        <v>793.37</v>
      </c>
      <c r="I223" s="192">
        <v>1012.67</v>
      </c>
      <c r="J223" s="192">
        <v>1155.6400000000001</v>
      </c>
      <c r="K223" s="192">
        <v>1299.79</v>
      </c>
      <c r="L223" s="192">
        <v>254.91</v>
      </c>
      <c r="M223" s="192">
        <v>384.78</v>
      </c>
      <c r="N223" s="192">
        <v>512.29</v>
      </c>
      <c r="O223" s="192">
        <v>973.26</v>
      </c>
      <c r="P223" s="192">
        <v>1111.51</v>
      </c>
    </row>
    <row r="224" spans="5:18" ht="15.6" thickTop="1" thickBot="1">
      <c r="E224" s="110">
        <v>218</v>
      </c>
      <c r="F224" s="352">
        <v>2.2025999999999999</v>
      </c>
      <c r="G224" s="110">
        <v>218</v>
      </c>
      <c r="H224" s="192">
        <v>793.37</v>
      </c>
      <c r="I224" s="192">
        <v>1012.67</v>
      </c>
      <c r="J224" s="192">
        <v>1155.6400000000001</v>
      </c>
      <c r="K224" s="192">
        <v>1299.79</v>
      </c>
      <c r="L224" s="192">
        <v>254.91</v>
      </c>
      <c r="M224" s="192">
        <v>384.78</v>
      </c>
      <c r="N224" s="192">
        <v>512.29</v>
      </c>
      <c r="O224" s="192">
        <v>973.26</v>
      </c>
      <c r="P224" s="192">
        <v>1111.51</v>
      </c>
    </row>
    <row r="225" spans="5:16" ht="15.6" thickTop="1" thickBot="1">
      <c r="E225" s="110">
        <v>219</v>
      </c>
      <c r="F225" s="352">
        <v>3.2025999999999999</v>
      </c>
      <c r="G225" s="110">
        <v>219</v>
      </c>
      <c r="H225" s="192">
        <v>793.37</v>
      </c>
      <c r="I225" s="192">
        <v>1012.67</v>
      </c>
      <c r="J225" s="192">
        <v>1155.6400000000001</v>
      </c>
      <c r="K225" s="192">
        <v>1299.79</v>
      </c>
      <c r="L225" s="192">
        <v>254.91</v>
      </c>
      <c r="M225" s="192">
        <v>384.78</v>
      </c>
      <c r="N225" s="192">
        <v>512.29</v>
      </c>
      <c r="O225" s="192">
        <v>973.26</v>
      </c>
      <c r="P225" s="192">
        <v>1111.51</v>
      </c>
    </row>
    <row r="226" spans="5:16" ht="15.6" thickTop="1" thickBot="1">
      <c r="E226" s="110">
        <v>220</v>
      </c>
      <c r="F226" s="352">
        <v>4.2026000000000003</v>
      </c>
      <c r="G226" s="110">
        <v>220</v>
      </c>
      <c r="H226" s="192">
        <v>793.37</v>
      </c>
      <c r="I226" s="192">
        <v>1012.67</v>
      </c>
      <c r="J226" s="192">
        <v>1155.6400000000001</v>
      </c>
      <c r="K226" s="192">
        <v>1299.79</v>
      </c>
      <c r="L226" s="192">
        <v>254.91</v>
      </c>
      <c r="M226" s="192">
        <v>384.78</v>
      </c>
      <c r="N226" s="192">
        <v>512.29</v>
      </c>
      <c r="O226" s="192">
        <v>973.26</v>
      </c>
      <c r="P226" s="192">
        <v>1111.51</v>
      </c>
    </row>
    <row r="227" spans="5:16" ht="15.6" thickTop="1" thickBot="1">
      <c r="E227" s="110">
        <v>221</v>
      </c>
      <c r="F227" s="352">
        <v>5.2026000000000003</v>
      </c>
      <c r="G227" s="110">
        <v>221</v>
      </c>
      <c r="H227" s="192">
        <v>793.37</v>
      </c>
      <c r="I227" s="192">
        <v>1012.67</v>
      </c>
      <c r="J227" s="192">
        <v>1155.6400000000001</v>
      </c>
      <c r="K227" s="192">
        <v>1299.79</v>
      </c>
      <c r="L227" s="192">
        <v>254.91</v>
      </c>
      <c r="M227" s="192">
        <v>384.78</v>
      </c>
      <c r="N227" s="192">
        <v>512.29</v>
      </c>
      <c r="O227" s="192">
        <v>973.26</v>
      </c>
      <c r="P227" s="192">
        <v>1111.51</v>
      </c>
    </row>
    <row r="228" spans="5:16" ht="15.6" thickTop="1" thickBot="1">
      <c r="E228" s="110">
        <v>222</v>
      </c>
      <c r="F228" s="352">
        <v>6.2026000000000003</v>
      </c>
      <c r="G228" s="110">
        <v>222</v>
      </c>
      <c r="H228" s="192">
        <v>793.37</v>
      </c>
      <c r="I228" s="192">
        <v>1012.67</v>
      </c>
      <c r="J228" s="192">
        <v>1155.6400000000001</v>
      </c>
      <c r="K228" s="192">
        <v>1299.79</v>
      </c>
      <c r="L228" s="192">
        <v>254.91</v>
      </c>
      <c r="M228" s="192">
        <v>384.78</v>
      </c>
      <c r="N228" s="192">
        <v>512.29</v>
      </c>
      <c r="O228" s="192">
        <v>973.26</v>
      </c>
      <c r="P228" s="192">
        <v>1111.51</v>
      </c>
    </row>
    <row r="229" spans="5:16" ht="15.6" thickTop="1" thickBot="1">
      <c r="E229" s="110">
        <v>223</v>
      </c>
      <c r="F229" s="352">
        <v>7.2026000000000003</v>
      </c>
      <c r="G229" s="110">
        <v>223</v>
      </c>
      <c r="H229" s="192">
        <v>793.37</v>
      </c>
      <c r="I229" s="192">
        <v>1012.67</v>
      </c>
      <c r="J229" s="192">
        <v>1155.6400000000001</v>
      </c>
      <c r="K229" s="192">
        <v>1299.79</v>
      </c>
      <c r="L229" s="192">
        <v>254.91</v>
      </c>
      <c r="M229" s="192">
        <v>384.78</v>
      </c>
      <c r="N229" s="192">
        <v>512.29</v>
      </c>
      <c r="O229" s="192">
        <v>973.26</v>
      </c>
      <c r="P229" s="192">
        <v>1111.51</v>
      </c>
    </row>
    <row r="230" spans="5:16" ht="15.6" thickTop="1" thickBot="1">
      <c r="E230" s="110">
        <v>224</v>
      </c>
      <c r="F230" s="352">
        <v>8.2026000000000003</v>
      </c>
      <c r="G230" s="110">
        <v>224</v>
      </c>
      <c r="H230" s="192">
        <v>793.37</v>
      </c>
      <c r="I230" s="192">
        <v>1012.67</v>
      </c>
      <c r="J230" s="192">
        <v>1155.6400000000001</v>
      </c>
      <c r="K230" s="192">
        <v>1299.79</v>
      </c>
      <c r="L230" s="192">
        <v>254.91</v>
      </c>
      <c r="M230" s="192">
        <v>384.78</v>
      </c>
      <c r="N230" s="192">
        <v>512.29</v>
      </c>
      <c r="O230" s="192">
        <v>973.26</v>
      </c>
      <c r="P230" s="192">
        <v>1111.51</v>
      </c>
    </row>
    <row r="231" spans="5:16" ht="15.6" thickTop="1" thickBot="1">
      <c r="E231" s="110">
        <v>225</v>
      </c>
      <c r="F231" s="352">
        <v>9.2026000000000003</v>
      </c>
      <c r="G231" s="110">
        <v>225</v>
      </c>
      <c r="H231" s="192">
        <v>793.37</v>
      </c>
      <c r="I231" s="192">
        <v>1012.67</v>
      </c>
      <c r="J231" s="192">
        <v>1155.6400000000001</v>
      </c>
      <c r="K231" s="192">
        <v>1299.79</v>
      </c>
      <c r="L231" s="192">
        <v>254.91</v>
      </c>
      <c r="M231" s="192">
        <v>384.78</v>
      </c>
      <c r="N231" s="192">
        <v>512.29</v>
      </c>
      <c r="O231" s="192">
        <v>973.26</v>
      </c>
      <c r="P231" s="192">
        <v>1111.51</v>
      </c>
    </row>
    <row r="232" spans="5:16" ht="15.6" thickTop="1" thickBot="1">
      <c r="E232" s="110">
        <v>226</v>
      </c>
      <c r="F232" s="352">
        <v>10.2026</v>
      </c>
      <c r="G232" s="110">
        <v>226</v>
      </c>
      <c r="H232" s="192">
        <v>793.37</v>
      </c>
      <c r="I232" s="192">
        <v>1012.67</v>
      </c>
      <c r="J232" s="192">
        <v>1155.6400000000001</v>
      </c>
      <c r="K232" s="192">
        <v>1299.79</v>
      </c>
      <c r="L232" s="192">
        <v>254.91</v>
      </c>
      <c r="M232" s="192">
        <v>384.78</v>
      </c>
      <c r="N232" s="192">
        <v>512.29</v>
      </c>
      <c r="O232" s="192">
        <v>973.26</v>
      </c>
      <c r="P232" s="192">
        <v>1111.51</v>
      </c>
    </row>
    <row r="233" spans="5:16" ht="15.6" thickTop="1" thickBot="1">
      <c r="E233" s="110">
        <v>227</v>
      </c>
      <c r="F233" s="352">
        <v>11.2026</v>
      </c>
      <c r="G233" s="110">
        <v>227</v>
      </c>
      <c r="H233" s="192">
        <v>793.37</v>
      </c>
      <c r="I233" s="192">
        <v>1012.67</v>
      </c>
      <c r="J233" s="192">
        <v>1155.6400000000001</v>
      </c>
      <c r="K233" s="192">
        <v>1299.79</v>
      </c>
      <c r="L233" s="192">
        <v>254.91</v>
      </c>
      <c r="M233" s="192">
        <v>384.78</v>
      </c>
      <c r="N233" s="192">
        <v>512.29</v>
      </c>
      <c r="O233" s="192">
        <v>973.26</v>
      </c>
      <c r="P233" s="192">
        <v>1111.51</v>
      </c>
    </row>
    <row r="234" spans="5:16" ht="15.6" thickTop="1" thickBot="1">
      <c r="E234" s="110">
        <v>228</v>
      </c>
      <c r="F234" s="352">
        <v>12.2026</v>
      </c>
      <c r="G234" s="110">
        <v>228</v>
      </c>
      <c r="H234" s="192">
        <v>793.37</v>
      </c>
      <c r="I234" s="192">
        <v>1012.67</v>
      </c>
      <c r="J234" s="192">
        <v>1155.6400000000001</v>
      </c>
      <c r="K234" s="192">
        <v>1299.79</v>
      </c>
      <c r="L234" s="192">
        <v>254.91</v>
      </c>
      <c r="M234" s="192">
        <v>384.78</v>
      </c>
      <c r="N234" s="192">
        <v>512.29</v>
      </c>
      <c r="O234" s="192">
        <v>973.26</v>
      </c>
      <c r="P234" s="192">
        <v>1111.51</v>
      </c>
    </row>
    <row r="235" spans="5:16" ht="15" thickTop="1">
      <c r="G235" s="1"/>
    </row>
    <row r="236" spans="5:16">
      <c r="G236" s="1"/>
    </row>
    <row r="237" spans="5:16">
      <c r="G237" s="1"/>
    </row>
    <row r="238" spans="5:16">
      <c r="G238" s="1"/>
    </row>
    <row r="239" spans="5:16">
      <c r="G239" s="1"/>
    </row>
    <row r="240" spans="5:16">
      <c r="G240" s="1"/>
    </row>
    <row r="241" spans="7:7">
      <c r="G241" s="1"/>
    </row>
    <row r="242" spans="7:7">
      <c r="G242" s="1"/>
    </row>
    <row r="243" spans="7:7">
      <c r="G243" s="1"/>
    </row>
    <row r="244" spans="7:7">
      <c r="G244" s="1"/>
    </row>
  </sheetData>
  <phoneticPr fontId="37"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EF177-F984-4E7F-AE48-CDCAB0853124}">
  <sheetPr codeName="גיליון42"/>
  <dimension ref="A1:S28"/>
  <sheetViews>
    <sheetView rightToLeft="1" workbookViewId="0">
      <selection activeCell="S4" sqref="S4:S13"/>
    </sheetView>
  </sheetViews>
  <sheetFormatPr defaultRowHeight="14.4"/>
  <cols>
    <col min="9" max="9" width="12" style="1" bestFit="1" customWidth="1"/>
    <col min="10" max="10" width="19.88671875" bestFit="1" customWidth="1"/>
    <col min="12" max="12" width="10.77734375" bestFit="1" customWidth="1"/>
    <col min="16" max="16" width="10.6640625" bestFit="1" customWidth="1"/>
    <col min="17" max="17" width="19.88671875" bestFit="1" customWidth="1"/>
    <col min="19" max="19" width="10.77734375" bestFit="1" customWidth="1"/>
  </cols>
  <sheetData>
    <row r="1" spans="1:19" s="403" customFormat="1">
      <c r="A1" s="18" t="s">
        <v>53</v>
      </c>
      <c r="B1" s="189">
        <f>VLOOKUP('Netunei Gimlai'!$B$9,DERUG!$C$3:$D$64,2,0)</f>
        <v>1</v>
      </c>
      <c r="I1" s="404"/>
      <c r="J1" s="403" t="s">
        <v>5308</v>
      </c>
      <c r="Q1" s="403" t="s">
        <v>5309</v>
      </c>
    </row>
    <row r="2" spans="1:19" ht="15" thickBot="1">
      <c r="A2" t="s">
        <v>58</v>
      </c>
      <c r="B2">
        <f>VLOOKUP(B1,B4:E5,4,0)</f>
        <v>1012</v>
      </c>
    </row>
    <row r="3" spans="1:19" ht="58.2" thickTop="1">
      <c r="A3" s="414" t="s">
        <v>16</v>
      </c>
      <c r="B3" s="415" t="s">
        <v>5304</v>
      </c>
      <c r="C3" s="415" t="s">
        <v>5306</v>
      </c>
      <c r="D3" s="415" t="s">
        <v>5303</v>
      </c>
      <c r="E3" s="416" t="s">
        <v>58</v>
      </c>
      <c r="H3" s="330" t="s">
        <v>5</v>
      </c>
      <c r="I3" s="405" t="s">
        <v>6</v>
      </c>
      <c r="J3" s="234"/>
      <c r="K3" s="234"/>
      <c r="L3" s="331"/>
      <c r="O3" s="330" t="s">
        <v>5</v>
      </c>
      <c r="P3" s="405" t="s">
        <v>6</v>
      </c>
      <c r="Q3" s="234"/>
      <c r="R3" s="234"/>
      <c r="S3" s="331"/>
    </row>
    <row r="4" spans="1:19">
      <c r="A4" s="9" t="s">
        <v>1403</v>
      </c>
      <c r="B4">
        <v>1</v>
      </c>
      <c r="C4">
        <v>12</v>
      </c>
      <c r="D4" s="1" t="s">
        <v>156</v>
      </c>
      <c r="E4" s="189" cm="1">
        <f t="array" ref="E4">INDEX(kodderugdarga!$AJ$3:$AT$112,$C$4,$B$4)</f>
        <v>1012</v>
      </c>
      <c r="H4" s="406">
        <f>+'Netunei Gimlai'!L3</f>
        <v>1</v>
      </c>
      <c r="I4" s="407">
        <f>+'Netunei Gimlai'!M3</f>
        <v>10002</v>
      </c>
      <c r="J4" s="407" t="str">
        <f>+'Netunei Gimlai'!O3</f>
        <v>שכר משולב</v>
      </c>
      <c r="K4" s="408" t="str">
        <f>+'Netunei Gimlai'!P3</f>
        <v xml:space="preserve"> </v>
      </c>
      <c r="L4" s="409">
        <f>+'Netunei Gimlai'!Q3</f>
        <v>2940.3864564429573</v>
      </c>
      <c r="O4" s="406">
        <v>1</v>
      </c>
      <c r="P4" s="1">
        <f>IF(O4=" "," ",HLOOKUP(O4,SACHAR4643!$AA$3:$DK$11,7,0))</f>
        <v>10002</v>
      </c>
      <c r="Q4" t="str">
        <f>IF(O4=" "," ",HLOOKUP(O4,SACHAR4643!$AA$3:$DK$11,8,0))</f>
        <v>שכר משולב</v>
      </c>
      <c r="R4" s="333" t="str">
        <f>IF(O4=" "," ",HLOOKUP(O4,SACHAR4643!$AA$3:$DK$11,4,0))</f>
        <v xml:space="preserve"> </v>
      </c>
      <c r="S4" s="239">
        <f>IF(O4=" "," ",HLOOKUP(O4,SACHAR4643!$AA$3:$DK$11,9,0))</f>
        <v>3058.0039211826415</v>
      </c>
    </row>
    <row r="5" spans="1:19">
      <c r="A5" s="9" t="s">
        <v>186</v>
      </c>
      <c r="B5">
        <v>11</v>
      </c>
      <c r="C5">
        <v>40</v>
      </c>
      <c r="D5" s="1" t="s">
        <v>190</v>
      </c>
      <c r="E5" s="189" cm="1">
        <f t="array" ref="E5">INDEX(kodderugdarga!$AJ$3:$AT$112,$C$5,$B$5)</f>
        <v>11008</v>
      </c>
      <c r="H5" s="406">
        <f>+'Netunei Gimlai'!L4</f>
        <v>2</v>
      </c>
      <c r="I5" s="407">
        <f>+'Netunei Gimlai'!M4</f>
        <v>600</v>
      </c>
      <c r="J5" s="407" t="str">
        <f>+'Netunei Gimlai'!O4</f>
        <v>תוספת בית חולים</v>
      </c>
      <c r="K5" s="408" t="str">
        <f>+'Netunei Gimlai'!P4</f>
        <v xml:space="preserve"> </v>
      </c>
      <c r="L5" s="409">
        <f>+'Netunei Gimlai'!Q4</f>
        <v>75.260000000000005</v>
      </c>
      <c r="O5" s="332">
        <f t="shared" ref="O5:O17" si="0">IF(O4=" "," ",IF(P4=99999," ",+O4+1))</f>
        <v>2</v>
      </c>
      <c r="P5" s="1">
        <f>IF(O5=" "," ",HLOOKUP(O5,SACHAR4643!$AA$3:$DK$11,7,0))</f>
        <v>4624</v>
      </c>
      <c r="Q5" t="str">
        <f>IF(O5=" "," ",HLOOKUP(O5,SACHAR4643!$AA$3:$DK$11,8,0))</f>
        <v>הסכם 1999</v>
      </c>
      <c r="R5" s="333">
        <f>IF(O5=" "," ",HLOOKUP(O5,SACHAR4643!$AA$3:$DK$11,4,0))</f>
        <v>0.04</v>
      </c>
      <c r="S5" s="239">
        <f>IF(O5=" "," ",HLOOKUP(O5,SACHAR4643!$AA$3:$DK$11,9,0))</f>
        <v>139.48055684730568</v>
      </c>
    </row>
    <row r="6" spans="1:19">
      <c r="H6" s="406">
        <f>+'Netunei Gimlai'!L5</f>
        <v>3</v>
      </c>
      <c r="I6" s="407">
        <f>+'Netunei Gimlai'!M5</f>
        <v>733</v>
      </c>
      <c r="J6" s="407" t="str">
        <f>+'Netunei Gimlai'!O5</f>
        <v>ס. ניק כלים</v>
      </c>
      <c r="K6" s="408" t="str">
        <f>+'Netunei Gimlai'!P5</f>
        <v xml:space="preserve"> </v>
      </c>
      <c r="L6" s="409">
        <f>+'Netunei Gimlai'!Q5</f>
        <v>10.26</v>
      </c>
      <c r="O6" s="332">
        <f t="shared" si="0"/>
        <v>3</v>
      </c>
      <c r="P6" s="1">
        <f>IF(O6=" "," ",HLOOKUP(O6,SACHAR4643!$AA$3:$DK$11,7,0))</f>
        <v>600</v>
      </c>
      <c r="Q6" t="str">
        <f>IF(O6=" "," ",HLOOKUP(O6,SACHAR4643!$AA$3:$DK$11,8,0))</f>
        <v>תוספת בית חולים</v>
      </c>
      <c r="R6" s="333" t="str">
        <f>IF(O6=" "," ",HLOOKUP(O6,SACHAR4643!$AA$3:$DK$11,4,0))</f>
        <v xml:space="preserve"> </v>
      </c>
      <c r="S6" s="239">
        <f>IF(O6=" "," ",HLOOKUP(O6,SACHAR4643!$AA$3:$DK$11,9,0))</f>
        <v>75.260000000000005</v>
      </c>
    </row>
    <row r="7" spans="1:19">
      <c r="H7" s="406">
        <f>+'Netunei Gimlai'!L6</f>
        <v>4</v>
      </c>
      <c r="I7" s="407">
        <f>+'Netunei Gimlai'!M6</f>
        <v>764</v>
      </c>
      <c r="J7" s="407" t="str">
        <f>+'Netunei Gimlai'!O6</f>
        <v>מנמ"ש</v>
      </c>
      <c r="K7" s="408" t="str">
        <f>+'Netunei Gimlai'!P6</f>
        <v xml:space="preserve"> </v>
      </c>
      <c r="L7" s="409">
        <f>+'Netunei Gimlai'!Q6</f>
        <v>353.75</v>
      </c>
      <c r="O7" s="332">
        <f t="shared" si="0"/>
        <v>4</v>
      </c>
      <c r="P7" s="1">
        <f>IF(O7=" "," ",HLOOKUP(O7,SACHAR4643!$AA$3:$DK$11,7,0))</f>
        <v>764</v>
      </c>
      <c r="Q7" t="str">
        <f>IF(O7=" "," ",HLOOKUP(O7,SACHAR4643!$AA$3:$DK$11,8,0))</f>
        <v>מנמ"ש</v>
      </c>
      <c r="R7" s="333" t="str">
        <f>IF(O7=" "," ",HLOOKUP(O7,SACHAR4643!$AA$3:$DK$11,4,0))</f>
        <v xml:space="preserve"> </v>
      </c>
      <c r="S7" s="239">
        <f>IF(O7=" "," ",HLOOKUP(O7,SACHAR4643!$AA$3:$DK$11,9,0))</f>
        <v>353.75</v>
      </c>
    </row>
    <row r="8" spans="1:19">
      <c r="H8" s="406">
        <f>+'Netunei Gimlai'!L7</f>
        <v>5</v>
      </c>
      <c r="I8" s="407">
        <f>+'Netunei Gimlai'!M7</f>
        <v>798</v>
      </c>
      <c r="J8" s="407" t="str">
        <f>+'Netunei Gimlai'!O7</f>
        <v>דריכות בית חולים</v>
      </c>
      <c r="K8" s="408">
        <f>+'Netunei Gimlai'!P7</f>
        <v>0.3</v>
      </c>
      <c r="L8" s="409">
        <f>+'Netunei Gimlai'!Q7</f>
        <v>917.40057441020269</v>
      </c>
      <c r="O8" s="332">
        <f t="shared" si="0"/>
        <v>5</v>
      </c>
      <c r="P8" s="1" t="str">
        <f>IF(O8=" "," ",HLOOKUP(O8,SACHAR4643!$AA$3:$DK$11,7,0))</f>
        <v>105 / 798</v>
      </c>
      <c r="Q8" t="str">
        <f>IF(O8=" "," ",HLOOKUP(O8,SACHAR4643!$AA$3:$DK$11,8,0))</f>
        <v>דריכות בית חולים</v>
      </c>
      <c r="R8" s="333">
        <f>IF(O8=" "," ",HLOOKUP(O8,SACHAR4643!$AA$3:$DK$11,4,0))</f>
        <v>0.3</v>
      </c>
      <c r="S8" s="239">
        <f>IF(O8=" "," ",HLOOKUP(O8,SACHAR4643!$AA$3:$DK$11,9,0))</f>
        <v>959.24534340898413</v>
      </c>
    </row>
    <row r="9" spans="1:19">
      <c r="H9" s="406">
        <f>+'Netunei Gimlai'!L8</f>
        <v>6</v>
      </c>
      <c r="I9" s="407">
        <f>+'Netunei Gimlai'!M8</f>
        <v>4544</v>
      </c>
      <c r="J9" s="407" t="str">
        <f>+'Netunei Gimlai'!O8</f>
        <v>הסכם 2001 / תוספת 3.6</v>
      </c>
      <c r="K9" s="408">
        <f>+'Netunei Gimlai'!P8</f>
        <v>3.5999999999999997E-2</v>
      </c>
      <c r="L9" s="409">
        <f>+'Netunei Gimlai'!Q8</f>
        <v>158.55884960799162</v>
      </c>
      <c r="O9" s="332">
        <f t="shared" si="0"/>
        <v>6</v>
      </c>
      <c r="P9" s="1" t="str">
        <f>IF(O9=" "," ",HLOOKUP(O9,SACHAR4643!$AA$3:$DK$11,7,0))</f>
        <v>1037 / 4544</v>
      </c>
      <c r="Q9" t="str">
        <f>IF(O9=" "," ",HLOOKUP(O9,SACHAR4643!$AA$3:$DK$11,8,0))</f>
        <v>הסכם 2001 / תוספת 3.6</v>
      </c>
      <c r="R9" s="333">
        <f>IF(O9=" "," ",HLOOKUP(O9,SACHAR4643!$AA$3:$DK$11,4,0))</f>
        <v>3.5999999999999997E-2</v>
      </c>
      <c r="S9" s="239">
        <f>IF(O9=" "," ",HLOOKUP(O9,SACHAR4643!$AA$3:$DK$11,9,0))</f>
        <v>165.08663357180151</v>
      </c>
    </row>
    <row r="10" spans="1:19">
      <c r="H10" s="406">
        <f>+'Netunei Gimlai'!L9</f>
        <v>7</v>
      </c>
      <c r="I10" s="407">
        <f>+'Netunei Gimlai'!M9</f>
        <v>4624</v>
      </c>
      <c r="J10" s="407" t="str">
        <f>+'Netunei Gimlai'!O9</f>
        <v>הסכם 1999</v>
      </c>
      <c r="K10" s="408">
        <f>+'Netunei Gimlai'!P9</f>
        <v>0.04</v>
      </c>
      <c r="L10" s="409">
        <f>+'Netunei Gimlai'!Q9</f>
        <v>117.61545825771829</v>
      </c>
      <c r="O10" s="332">
        <f t="shared" si="0"/>
        <v>7</v>
      </c>
      <c r="P10" s="1">
        <f>IF(O10=" "," ",HLOOKUP(O10,SACHAR4643!$AA$3:$DK$11,7,0))</f>
        <v>99998</v>
      </c>
      <c r="Q10" t="str">
        <f>IF(O10=" "," ",HLOOKUP(O10,SACHAR4643!$AA$3:$DK$11,8,0))</f>
        <v>עיגול לחישוב מינימום</v>
      </c>
      <c r="R10" s="333" t="str">
        <f>IF(O10=" "," ",HLOOKUP(O10,SACHAR4643!$AA$3:$DK$11,4,0))</f>
        <v xml:space="preserve"> </v>
      </c>
      <c r="S10" s="239">
        <f>IF(O10=" "," ",HLOOKUP(O10,SACHAR4643!$AA$3:$DK$11,9,0))</f>
        <v>1E-3</v>
      </c>
    </row>
    <row r="11" spans="1:19">
      <c r="H11" s="406">
        <f>+'Netunei Gimlai'!L10</f>
        <v>8</v>
      </c>
      <c r="I11" s="407">
        <f>+'Netunei Gimlai'!M10</f>
        <v>99998</v>
      </c>
      <c r="J11" s="407" t="str">
        <f>+'Netunei Gimlai'!O10</f>
        <v>עיגול לחישוב מינימום</v>
      </c>
      <c r="K11" s="408" t="str">
        <f>+'Netunei Gimlai'!P10</f>
        <v xml:space="preserve"> </v>
      </c>
      <c r="L11" s="409">
        <f>+'Netunei Gimlai'!Q10</f>
        <v>1E-3</v>
      </c>
      <c r="O11" s="332">
        <f t="shared" si="0"/>
        <v>8</v>
      </c>
      <c r="P11" s="1">
        <f>IF(O11=" "," ",HLOOKUP(O11,SACHAR4643!$AA$3:$DK$11,7,0))</f>
        <v>1699</v>
      </c>
      <c r="Q11" t="str">
        <f>IF(O11=" "," ",HLOOKUP(O11,SACHAR4643!$AA$3:$DK$11,8,0))</f>
        <v>תוספת חוק מינימום</v>
      </c>
      <c r="R11" s="333" t="str">
        <f>IF(O11=" "," ",HLOOKUP(O11,SACHAR4643!$AA$3:$DK$11,4,0))</f>
        <v xml:space="preserve"> </v>
      </c>
      <c r="S11" s="239">
        <f>IF(O11=" "," ",HLOOKUP(O11,SACHAR4643!$AA$3:$DK$11,9,0))</f>
        <v>8.6194255897967196</v>
      </c>
    </row>
    <row r="12" spans="1:19">
      <c r="H12" s="406">
        <f>+'Netunei Gimlai'!L11</f>
        <v>9</v>
      </c>
      <c r="I12" s="407">
        <f>+'Netunei Gimlai'!M11</f>
        <v>1699</v>
      </c>
      <c r="J12" s="407" t="str">
        <f>+'Netunei Gimlai'!O11</f>
        <v>תוספת חוק מינימום</v>
      </c>
      <c r="K12" s="408" t="str">
        <f>+'Netunei Gimlai'!P11</f>
        <v xml:space="preserve"> </v>
      </c>
      <c r="L12" s="409">
        <f>+'Netunei Gimlai'!Q11</f>
        <v>8.6194255897967196</v>
      </c>
      <c r="O12" s="332">
        <f t="shared" si="0"/>
        <v>9</v>
      </c>
      <c r="P12" s="1">
        <f>IF(O12=" "," ",HLOOKUP(O12,SACHAR4643!$AA$3:$DK$11,7,0))</f>
        <v>99999</v>
      </c>
      <c r="Q12" t="str">
        <f>IF(O12=" "," ",HLOOKUP(O12,SACHAR4643!$AA$3:$DK$11,8,0))</f>
        <v>ברוטו פנסיוני</v>
      </c>
      <c r="R12" s="333" t="str">
        <f>IF(O12=" "," ",HLOOKUP(O12,SACHAR4643!$AA$3:$DK$11,4,0))</f>
        <v xml:space="preserve"> </v>
      </c>
      <c r="S12" s="239">
        <f>IF(O12=" "," ",HLOOKUP(O12,SACHAR4643!$AA$3:$DK$11,9,0))</f>
        <v>4759.4468806005298</v>
      </c>
    </row>
    <row r="13" spans="1:19">
      <c r="H13" s="406">
        <f>+'Netunei Gimlai'!L12</f>
        <v>10</v>
      </c>
      <c r="I13" s="407">
        <f>+'Netunei Gimlai'!M12</f>
        <v>99999</v>
      </c>
      <c r="J13" s="407" t="str">
        <f>+'Netunei Gimlai'!O12</f>
        <v>סה"כ מרכיבי שכר שוטף</v>
      </c>
      <c r="K13" s="408" t="str">
        <f>+'Netunei Gimlai'!P12</f>
        <v xml:space="preserve"> </v>
      </c>
      <c r="L13" s="409">
        <f>+'Netunei Gimlai'!Q12</f>
        <v>4581.851764308667</v>
      </c>
      <c r="O13" s="332" t="str">
        <f t="shared" si="0"/>
        <v xml:space="preserve"> </v>
      </c>
      <c r="P13" s="1" t="str">
        <f>IF(O13=" "," ",HLOOKUP(O13,SACHAR4643!$AA$3:$DK$11,7,0))</f>
        <v xml:space="preserve"> </v>
      </c>
      <c r="Q13" t="str">
        <f>IF(O13=" "," ",HLOOKUP(O13,SACHAR4643!$AA$3:$DK$11,8,0))</f>
        <v xml:space="preserve"> </v>
      </c>
      <c r="R13" s="333" t="str">
        <f>IF(O13=" "," ",HLOOKUP(O13,SACHAR4643!$AA$3:$DK$11,4,0))</f>
        <v xml:space="preserve"> </v>
      </c>
      <c r="S13" s="239" t="str">
        <f>IF(O13=" "," ",HLOOKUP(O13,SACHAR4643!$AA$3:$DK$11,9,0))</f>
        <v xml:space="preserve"> </v>
      </c>
    </row>
    <row r="14" spans="1:19">
      <c r="H14" s="406" t="str">
        <f>+'Netunei Gimlai'!L13</f>
        <v xml:space="preserve"> </v>
      </c>
      <c r="I14" s="407" t="str">
        <f>+'Netunei Gimlai'!M13</f>
        <v xml:space="preserve"> </v>
      </c>
      <c r="J14" s="407" t="str">
        <f>+'Netunei Gimlai'!O13</f>
        <v xml:space="preserve"> </v>
      </c>
      <c r="K14" s="408" t="str">
        <f>+'Netunei Gimlai'!P13</f>
        <v xml:space="preserve"> </v>
      </c>
      <c r="L14" s="409" t="str">
        <f>+'Netunei Gimlai'!Q13</f>
        <v xml:space="preserve"> </v>
      </c>
      <c r="O14" s="332" t="str">
        <f t="shared" si="0"/>
        <v xml:space="preserve"> </v>
      </c>
      <c r="P14" s="1" t="str">
        <f>IF(O14=" "," ",HLOOKUP(O14,SACHAR4643!$AA$3:$DK$11,7,0))</f>
        <v xml:space="preserve"> </v>
      </c>
      <c r="Q14" t="str">
        <f>IF(O14=" "," ",HLOOKUP(O14,SACHAR4643!$AA$3:$DK$11,8,0))</f>
        <v xml:space="preserve"> </v>
      </c>
      <c r="R14" s="333" t="str">
        <f>IF(O14=" "," ",HLOOKUP(O14,SACHAR4643!$AA$3:$DK$11,4,0))</f>
        <v xml:space="preserve"> </v>
      </c>
      <c r="S14" s="239" t="str">
        <f>IF(O14=" "," ",HLOOKUP(O14,SACHAR4643!$AA$3:$DK$11,9,0))</f>
        <v xml:space="preserve"> </v>
      </c>
    </row>
    <row r="15" spans="1:19">
      <c r="H15" s="406" t="str">
        <f>+'Netunei Gimlai'!L14</f>
        <v xml:space="preserve"> </v>
      </c>
      <c r="I15" s="407" t="str">
        <f>+'Netunei Gimlai'!M14</f>
        <v xml:space="preserve"> </v>
      </c>
      <c r="J15" s="407" t="str">
        <f>+'Netunei Gimlai'!O14</f>
        <v xml:space="preserve"> </v>
      </c>
      <c r="K15" s="408" t="str">
        <f>+'Netunei Gimlai'!P14</f>
        <v xml:space="preserve"> </v>
      </c>
      <c r="L15" s="409" t="str">
        <f>+'Netunei Gimlai'!Q14</f>
        <v xml:space="preserve"> </v>
      </c>
      <c r="O15" s="332" t="str">
        <f t="shared" si="0"/>
        <v xml:space="preserve"> </v>
      </c>
      <c r="P15" s="1" t="str">
        <f>IF(O15=" "," ",HLOOKUP(O15,SACHAR4643!$AA$3:$DK$11,7,0))</f>
        <v xml:space="preserve"> </v>
      </c>
      <c r="Q15" t="str">
        <f>IF(O15=" "," ",HLOOKUP(O15,SACHAR4643!$AA$3:$DK$11,8,0))</f>
        <v xml:space="preserve"> </v>
      </c>
      <c r="R15" s="333" t="str">
        <f>IF(O15=" "," ",HLOOKUP(O15,SACHAR4643!$AA$3:$DK$11,4,0))</f>
        <v xml:space="preserve"> </v>
      </c>
      <c r="S15" s="239" t="str">
        <f>IF(O15=" "," ",HLOOKUP(O15,SACHAR4643!$AA$3:$DK$11,9,0))</f>
        <v xml:space="preserve"> </v>
      </c>
    </row>
    <row r="16" spans="1:19">
      <c r="H16" s="406" t="str">
        <f>+'Netunei Gimlai'!L15</f>
        <v xml:space="preserve"> </v>
      </c>
      <c r="I16" s="407" t="str">
        <f>+'Netunei Gimlai'!M15</f>
        <v xml:space="preserve"> </v>
      </c>
      <c r="J16" s="407" t="str">
        <f>+'Netunei Gimlai'!O15</f>
        <v xml:space="preserve"> </v>
      </c>
      <c r="K16" s="408" t="str">
        <f>+'Netunei Gimlai'!P15</f>
        <v xml:space="preserve"> </v>
      </c>
      <c r="L16" s="409" t="str">
        <f>+'Netunei Gimlai'!Q15</f>
        <v xml:space="preserve"> </v>
      </c>
      <c r="O16" s="332" t="str">
        <f t="shared" si="0"/>
        <v xml:space="preserve"> </v>
      </c>
      <c r="P16" s="1" t="str">
        <f>IF(O16=" "," ",HLOOKUP(O16,SACHAR4643!$AA$3:$DK$11,7,0))</f>
        <v xml:space="preserve"> </v>
      </c>
      <c r="Q16" t="str">
        <f>IF(O16=" "," ",HLOOKUP(O16,SACHAR4643!$AA$3:$DK$11,8,0))</f>
        <v xml:space="preserve"> </v>
      </c>
      <c r="R16" s="333" t="str">
        <f>IF(O16=" "," ",HLOOKUP(O16,SACHAR4643!$AA$3:$DK$11,4,0))</f>
        <v xml:space="preserve"> </v>
      </c>
      <c r="S16" s="239" t="str">
        <f>IF(O16=" "," ",HLOOKUP(O16,SACHAR4643!$AA$3:$DK$11,9,0))</f>
        <v xml:space="preserve"> </v>
      </c>
    </row>
    <row r="17" spans="8:19">
      <c r="H17" s="406" t="str">
        <f>+'Netunei Gimlai'!L16</f>
        <v xml:space="preserve"> </v>
      </c>
      <c r="I17" s="407" t="str">
        <f>+'Netunei Gimlai'!M16</f>
        <v xml:space="preserve"> </v>
      </c>
      <c r="J17" s="407" t="str">
        <f>+'Netunei Gimlai'!O16</f>
        <v xml:space="preserve"> </v>
      </c>
      <c r="K17" s="408" t="str">
        <f>+'Netunei Gimlai'!P16</f>
        <v xml:space="preserve"> </v>
      </c>
      <c r="L17" s="409" t="str">
        <f>+'Netunei Gimlai'!Q16</f>
        <v xml:space="preserve"> </v>
      </c>
      <c r="O17" s="332" t="str">
        <f t="shared" si="0"/>
        <v xml:space="preserve"> </v>
      </c>
      <c r="P17" s="1" t="str">
        <f>IF(O17=" "," ",HLOOKUP(O17,SACHAR4643!$AA$3:$DK$11,7,0))</f>
        <v xml:space="preserve"> </v>
      </c>
      <c r="Q17" t="str">
        <f>IF(O17=" "," ",HLOOKUP(O17,SACHAR4643!$AA$3:$DK$11,8,0))</f>
        <v xml:space="preserve"> </v>
      </c>
      <c r="R17" s="333" t="str">
        <f>IF(O17=" "," ",HLOOKUP(O17,SACHAR4643!$AA$3:$DK$11,4,0))</f>
        <v xml:space="preserve"> </v>
      </c>
      <c r="S17" s="239" t="str">
        <f>IF(O17=" "," ",HLOOKUP(O17,SACHAR4643!$AA$3:$DK$11,9,0))</f>
        <v xml:space="preserve"> </v>
      </c>
    </row>
    <row r="18" spans="8:19">
      <c r="H18" s="406" t="str">
        <f>+'Netunei Gimlai'!L17</f>
        <v xml:space="preserve"> </v>
      </c>
      <c r="I18" s="407" t="str">
        <f>+'Netunei Gimlai'!M17</f>
        <v xml:space="preserve"> </v>
      </c>
      <c r="J18" s="407" t="str">
        <f>+'Netunei Gimlai'!O17</f>
        <v xml:space="preserve"> </v>
      </c>
      <c r="K18" s="408" t="str">
        <f>+'Netunei Gimlai'!P17</f>
        <v xml:space="preserve"> </v>
      </c>
      <c r="L18" s="409" t="str">
        <f>+'Netunei Gimlai'!Q17</f>
        <v xml:space="preserve"> </v>
      </c>
      <c r="O18" s="332" t="str">
        <f t="shared" ref="O18:O27" si="1">IF(O17=" "," ",IF(P17=99999," ",+O17+1))</f>
        <v xml:space="preserve"> </v>
      </c>
      <c r="P18" s="1" t="str">
        <f>IF(O18=" "," ",HLOOKUP(O18,SACHAR4643!$AA$3:$DK$11,7,0))</f>
        <v xml:space="preserve"> </v>
      </c>
      <c r="Q18" t="str">
        <f>IF(O18=" "," ",HLOOKUP(O18,SACHAR4643!$AA$3:$DK$11,8,0))</f>
        <v xml:space="preserve"> </v>
      </c>
      <c r="R18" s="333" t="str">
        <f>IF(O18=" "," ",HLOOKUP(O18,SACHAR4643!$AA$3:$DK$11,4,0))</f>
        <v xml:space="preserve"> </v>
      </c>
      <c r="S18" s="239" t="str">
        <f>IF(O18=" "," ",HLOOKUP(O18,SACHAR4643!$AA$3:$DK$11,9,0))</f>
        <v xml:space="preserve"> </v>
      </c>
    </row>
    <row r="19" spans="8:19">
      <c r="H19" s="406" t="str">
        <f>+'Netunei Gimlai'!L18</f>
        <v xml:space="preserve"> </v>
      </c>
      <c r="I19" s="407" t="str">
        <f>+'Netunei Gimlai'!M18</f>
        <v xml:space="preserve"> </v>
      </c>
      <c r="J19" s="407" t="str">
        <f>+'Netunei Gimlai'!O18</f>
        <v xml:space="preserve"> </v>
      </c>
      <c r="K19" s="408" t="str">
        <f>+'Netunei Gimlai'!P18</f>
        <v xml:space="preserve"> </v>
      </c>
      <c r="L19" s="409" t="str">
        <f>+'Netunei Gimlai'!Q18</f>
        <v xml:space="preserve"> </v>
      </c>
      <c r="O19" s="332" t="str">
        <f t="shared" si="1"/>
        <v xml:space="preserve"> </v>
      </c>
      <c r="P19" s="1" t="str">
        <f>IF(O19=" "," ",HLOOKUP(O19,SACHAR4643!$AA$3:$DK$11,7,0))</f>
        <v xml:space="preserve"> </v>
      </c>
      <c r="Q19" t="str">
        <f>IF(O19=" "," ",HLOOKUP(O19,SACHAR4643!$AA$3:$DK$11,8,0))</f>
        <v xml:space="preserve"> </v>
      </c>
      <c r="R19" s="333" t="str">
        <f>IF(O19=" "," ",HLOOKUP(O19,SACHAR4643!$AA$3:$DK$11,4,0))</f>
        <v xml:space="preserve"> </v>
      </c>
      <c r="S19" s="239" t="str">
        <f>IF(O19=" "," ",HLOOKUP(O19,SACHAR4643!$AA$3:$DK$11,9,0))</f>
        <v xml:space="preserve"> </v>
      </c>
    </row>
    <row r="20" spans="8:19">
      <c r="H20" s="406" t="str">
        <f>+'Netunei Gimlai'!L19</f>
        <v xml:space="preserve"> </v>
      </c>
      <c r="I20" s="407" t="str">
        <f>+'Netunei Gimlai'!M19</f>
        <v xml:space="preserve"> </v>
      </c>
      <c r="J20" s="407" t="str">
        <f>+'Netunei Gimlai'!O19</f>
        <v xml:space="preserve"> </v>
      </c>
      <c r="K20" s="408" t="str">
        <f>+'Netunei Gimlai'!P19</f>
        <v xml:space="preserve"> </v>
      </c>
      <c r="L20" s="409" t="str">
        <f>+'Netunei Gimlai'!Q19</f>
        <v xml:space="preserve"> </v>
      </c>
      <c r="O20" s="332" t="str">
        <f t="shared" si="1"/>
        <v xml:space="preserve"> </v>
      </c>
      <c r="P20" s="1" t="str">
        <f>IF(O20=" "," ",HLOOKUP(O20,SACHAR4643!$AA$3:$DK$11,7,0))</f>
        <v xml:space="preserve"> </v>
      </c>
      <c r="Q20" t="str">
        <f>IF(O20=" "," ",HLOOKUP(O20,SACHAR4643!$AA$3:$DK$11,8,0))</f>
        <v xml:space="preserve"> </v>
      </c>
      <c r="R20" s="333" t="str">
        <f>IF(O20=" "," ",HLOOKUP(O20,SACHAR4643!$AA$3:$DK$11,4,0))</f>
        <v xml:space="preserve"> </v>
      </c>
      <c r="S20" s="239" t="str">
        <f>IF(O20=" "," ",HLOOKUP(O20,SACHAR4643!$AA$3:$DK$11,9,0))</f>
        <v xml:space="preserve"> </v>
      </c>
    </row>
    <row r="21" spans="8:19">
      <c r="H21" s="406" t="str">
        <f>+'Netunei Gimlai'!L20</f>
        <v xml:space="preserve"> </v>
      </c>
      <c r="I21" s="407" t="str">
        <f>+'Netunei Gimlai'!M20</f>
        <v xml:space="preserve"> </v>
      </c>
      <c r="J21" s="407" t="str">
        <f>+'Netunei Gimlai'!O20</f>
        <v xml:space="preserve"> </v>
      </c>
      <c r="K21" s="408" t="str">
        <f>+'Netunei Gimlai'!P20</f>
        <v xml:space="preserve"> </v>
      </c>
      <c r="L21" s="409" t="str">
        <f>+'Netunei Gimlai'!Q20</f>
        <v xml:space="preserve"> </v>
      </c>
      <c r="O21" s="332" t="str">
        <f t="shared" si="1"/>
        <v xml:space="preserve"> </v>
      </c>
      <c r="P21" s="1" t="str">
        <f>IF(O21=" "," ",HLOOKUP(O21,SACHAR4643!$AA$3:$DK$11,7,0))</f>
        <v xml:space="preserve"> </v>
      </c>
      <c r="Q21" t="str">
        <f>IF(O21=" "," ",HLOOKUP(O21,SACHAR4643!$AA$3:$DK$11,8,0))</f>
        <v xml:space="preserve"> </v>
      </c>
      <c r="R21" s="333" t="str">
        <f>IF(O21=" "," ",HLOOKUP(O21,SACHAR4643!$AA$3:$DK$11,4,0))</f>
        <v xml:space="preserve"> </v>
      </c>
      <c r="S21" s="239" t="str">
        <f>IF(O21=" "," ",HLOOKUP(O21,SACHAR4643!$AA$3:$DK$11,9,0))</f>
        <v xml:space="preserve"> </v>
      </c>
    </row>
    <row r="22" spans="8:19">
      <c r="H22" s="406" t="str">
        <f>+'Netunei Gimlai'!L21</f>
        <v xml:space="preserve"> </v>
      </c>
      <c r="I22" s="407" t="str">
        <f>+'Netunei Gimlai'!M21</f>
        <v xml:space="preserve"> </v>
      </c>
      <c r="J22" s="407" t="str">
        <f>+'Netunei Gimlai'!O21</f>
        <v xml:space="preserve"> </v>
      </c>
      <c r="K22" s="408" t="str">
        <f>+'Netunei Gimlai'!P21</f>
        <v xml:space="preserve"> </v>
      </c>
      <c r="L22" s="409" t="str">
        <f>+'Netunei Gimlai'!Q21</f>
        <v xml:space="preserve"> </v>
      </c>
      <c r="O22" s="332" t="str">
        <f t="shared" si="1"/>
        <v xml:space="preserve"> </v>
      </c>
      <c r="P22" s="1" t="str">
        <f>IF(O22=" "," ",HLOOKUP(O22,SACHAR4643!$AA$3:$DK$11,7,0))</f>
        <v xml:space="preserve"> </v>
      </c>
      <c r="Q22" t="str">
        <f>IF(O22=" "," ",HLOOKUP(O22,SACHAR4643!$AA$3:$DK$11,8,0))</f>
        <v xml:space="preserve"> </v>
      </c>
      <c r="R22" s="333" t="str">
        <f>IF(O22=" "," ",HLOOKUP(O22,SACHAR4643!$AA$3:$DK$11,4,0))</f>
        <v xml:space="preserve"> </v>
      </c>
      <c r="S22" s="239" t="str">
        <f>IF(O22=" "," ",HLOOKUP(O22,SACHAR4643!$AA$3:$DK$11,9,0))</f>
        <v xml:space="preserve"> </v>
      </c>
    </row>
    <row r="23" spans="8:19">
      <c r="H23" s="406" t="str">
        <f>+'Netunei Gimlai'!L22</f>
        <v xml:space="preserve"> </v>
      </c>
      <c r="I23" s="407" t="str">
        <f>+'Netunei Gimlai'!M22</f>
        <v xml:space="preserve"> </v>
      </c>
      <c r="J23" s="407" t="str">
        <f>+'Netunei Gimlai'!O22</f>
        <v xml:space="preserve"> </v>
      </c>
      <c r="K23" s="408" t="str">
        <f>+'Netunei Gimlai'!P22</f>
        <v xml:space="preserve"> </v>
      </c>
      <c r="L23" s="409" t="str">
        <f>+'Netunei Gimlai'!Q22</f>
        <v xml:space="preserve"> </v>
      </c>
      <c r="O23" s="332" t="str">
        <f t="shared" si="1"/>
        <v xml:space="preserve"> </v>
      </c>
      <c r="P23" s="1" t="str">
        <f>IF(O23=" "," ",HLOOKUP(O23,SACHAR4643!$AA$3:$DK$11,7,0))</f>
        <v xml:space="preserve"> </v>
      </c>
      <c r="Q23" t="str">
        <f>IF(O23=" "," ",HLOOKUP(O23,SACHAR4643!$AA$3:$DK$11,8,0))</f>
        <v xml:space="preserve"> </v>
      </c>
      <c r="R23" s="333" t="str">
        <f>IF(O23=" "," ",HLOOKUP(O23,SACHAR4643!$AA$3:$DK$11,4,0))</f>
        <v xml:space="preserve"> </v>
      </c>
      <c r="S23" s="239" t="str">
        <f>IF(O23=" "," ",HLOOKUP(O23,SACHAR4643!$AA$3:$DK$11,9,0))</f>
        <v xml:space="preserve"> </v>
      </c>
    </row>
    <row r="24" spans="8:19">
      <c r="H24" s="406" t="str">
        <f>+'Netunei Gimlai'!L23</f>
        <v xml:space="preserve"> </v>
      </c>
      <c r="I24" s="407" t="str">
        <f>+'Netunei Gimlai'!M23</f>
        <v xml:space="preserve"> </v>
      </c>
      <c r="J24" s="407" t="str">
        <f>+'Netunei Gimlai'!O23</f>
        <v xml:space="preserve"> </v>
      </c>
      <c r="K24" s="408" t="str">
        <f>+'Netunei Gimlai'!P23</f>
        <v xml:space="preserve"> </v>
      </c>
      <c r="L24" s="409" t="str">
        <f>+'Netunei Gimlai'!Q23</f>
        <v xml:space="preserve"> </v>
      </c>
      <c r="O24" s="332" t="str">
        <f t="shared" si="1"/>
        <v xml:space="preserve"> </v>
      </c>
      <c r="P24" s="1" t="str">
        <f>IF(O24=" "," ",HLOOKUP(O24,SACHAR4643!$AA$3:$DK$11,7,0))</f>
        <v xml:space="preserve"> </v>
      </c>
      <c r="Q24" t="str">
        <f>IF(O24=" "," ",HLOOKUP(O24,SACHAR4643!$AA$3:$DK$11,8,0))</f>
        <v xml:space="preserve"> </v>
      </c>
      <c r="R24" s="333" t="str">
        <f>IF(O24=" "," ",HLOOKUP(O24,SACHAR4643!$AA$3:$DK$11,4,0))</f>
        <v xml:space="preserve"> </v>
      </c>
      <c r="S24" s="239" t="str">
        <f>IF(O24=" "," ",HLOOKUP(O24,SACHAR4643!$AA$3:$DK$11,9,0))</f>
        <v xml:space="preserve"> </v>
      </c>
    </row>
    <row r="25" spans="8:19">
      <c r="H25" s="406" t="str">
        <f>+'Netunei Gimlai'!L24</f>
        <v xml:space="preserve"> </v>
      </c>
      <c r="I25" s="407" t="str">
        <f>+'Netunei Gimlai'!M24</f>
        <v xml:space="preserve"> </v>
      </c>
      <c r="J25" s="407" t="str">
        <f>+'Netunei Gimlai'!O24</f>
        <v xml:space="preserve"> </v>
      </c>
      <c r="K25" s="408" t="str">
        <f>+'Netunei Gimlai'!P24</f>
        <v xml:space="preserve"> </v>
      </c>
      <c r="L25" s="409" t="str">
        <f>+'Netunei Gimlai'!Q24</f>
        <v xml:space="preserve"> </v>
      </c>
      <c r="O25" s="332" t="str">
        <f t="shared" si="1"/>
        <v xml:space="preserve"> </v>
      </c>
      <c r="P25" s="1" t="str">
        <f>IF(O25=" "," ",HLOOKUP(O25,SACHAR4643!$AA$3:$DK$11,7,0))</f>
        <v xml:space="preserve"> </v>
      </c>
      <c r="Q25" t="str">
        <f>IF(O25=" "," ",HLOOKUP(O25,SACHAR4643!$AA$3:$DK$11,8,0))</f>
        <v xml:space="preserve"> </v>
      </c>
      <c r="R25" s="333" t="str">
        <f>IF(O25=" "," ",HLOOKUP(O25,SACHAR4643!$AA$3:$DK$11,4,0))</f>
        <v xml:space="preserve"> </v>
      </c>
      <c r="S25" s="239" t="str">
        <f>IF(O25=" "," ",HLOOKUP(O25,SACHAR4643!$AA$3:$DK$11,9,0))</f>
        <v xml:space="preserve"> </v>
      </c>
    </row>
    <row r="26" spans="8:19">
      <c r="H26" s="406" t="str">
        <f>+'Netunei Gimlai'!L25</f>
        <v xml:space="preserve"> </v>
      </c>
      <c r="I26" s="407" t="str">
        <f>+'Netunei Gimlai'!M25</f>
        <v xml:space="preserve"> </v>
      </c>
      <c r="J26" s="407" t="str">
        <f>+'Netunei Gimlai'!O25</f>
        <v xml:space="preserve"> </v>
      </c>
      <c r="K26" s="408" t="str">
        <f>+'Netunei Gimlai'!P25</f>
        <v xml:space="preserve"> </v>
      </c>
      <c r="L26" s="409" t="str">
        <f>+'Netunei Gimlai'!Q25</f>
        <v xml:space="preserve"> </v>
      </c>
      <c r="O26" s="332" t="str">
        <f t="shared" si="1"/>
        <v xml:space="preserve"> </v>
      </c>
      <c r="P26" s="1" t="str">
        <f>IF(O26=" "," ",HLOOKUP(O26,SACHAR4643!$AA$3:$DK$11,7,0))</f>
        <v xml:space="preserve"> </v>
      </c>
      <c r="Q26" t="str">
        <f>IF(O26=" "," ",HLOOKUP(O26,SACHAR4643!$AA$3:$DK$11,8,0))</f>
        <v xml:space="preserve"> </v>
      </c>
      <c r="R26" s="333" t="str">
        <f>IF(O26=" "," ",HLOOKUP(O26,SACHAR4643!$AA$3:$DK$11,4,0))</f>
        <v xml:space="preserve"> </v>
      </c>
      <c r="S26" s="239" t="str">
        <f>IF(O26=" "," ",HLOOKUP(O26,SACHAR4643!$AA$3:$DK$11,9,0))</f>
        <v xml:space="preserve"> </v>
      </c>
    </row>
    <row r="27" spans="8:19" ht="15" thickBot="1">
      <c r="H27" s="410" t="str">
        <f>+'Netunei Gimlai'!L26</f>
        <v xml:space="preserve"> </v>
      </c>
      <c r="I27" s="411" t="str">
        <f>+'Netunei Gimlai'!M26</f>
        <v xml:space="preserve"> </v>
      </c>
      <c r="J27" s="411" t="str">
        <f>+'Netunei Gimlai'!O26</f>
        <v xml:space="preserve"> </v>
      </c>
      <c r="K27" s="412" t="str">
        <f>+'Netunei Gimlai'!P26</f>
        <v xml:space="preserve"> </v>
      </c>
      <c r="L27" s="413" t="str">
        <f>+'Netunei Gimlai'!Q26</f>
        <v xml:space="preserve"> </v>
      </c>
      <c r="O27" s="334" t="str">
        <f t="shared" si="1"/>
        <v xml:space="preserve"> </v>
      </c>
      <c r="P27" s="338" t="str">
        <f>IF(O27=" "," ",HLOOKUP(O27,SACHAR4643!$AA$3:$DK$11,7,0))</f>
        <v xml:space="preserve"> </v>
      </c>
      <c r="Q27" s="237" t="str">
        <f>IF(O27=" "," ",HLOOKUP(O27,SACHAR4643!$AA$3:$DK$11,8,0))</f>
        <v xml:space="preserve"> </v>
      </c>
      <c r="R27" s="335" t="str">
        <f>IF(O27=" "," ",HLOOKUP(O27,SACHAR4643!$AA$3:$DK$11,4,0))</f>
        <v xml:space="preserve"> </v>
      </c>
      <c r="S27" s="238" t="str">
        <f>IF(O27=" "," ",HLOOKUP(O27,SACHAR4643!$AA$3:$DK$11,9,0))</f>
        <v xml:space="preserve"> </v>
      </c>
    </row>
    <row r="28" spans="8:19" ht="15" thickTop="1"/>
  </sheetData>
  <conditionalFormatting sqref="S4:S27">
    <cfRule type="notContainsBlanks" dxfId="0" priority="1">
      <formula>LEN(TRIM(S4))&gt;0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BC349-EE5E-43AE-A69E-D62EE452CEF6}">
  <sheetPr codeName="גיליון41"/>
  <dimension ref="A1:DQ226"/>
  <sheetViews>
    <sheetView rightToLeft="1" topLeftCell="O1" zoomScaleNormal="100" workbookViewId="0">
      <selection activeCell="Z11" sqref="Z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29" width="9.44140625" bestFit="1" customWidth="1"/>
    <col min="30" max="31" width="10.33203125" bestFit="1" customWidth="1"/>
    <col min="32" max="42" width="10.33203125" customWidth="1"/>
    <col min="43" max="43" width="11" bestFit="1" customWidth="1"/>
    <col min="44" max="46" width="10.33203125" customWidth="1"/>
    <col min="47" max="47" width="11" bestFit="1" customWidth="1"/>
    <col min="48" max="48" width="11" customWidth="1"/>
    <col min="49" max="50" width="10.33203125" customWidth="1"/>
    <col min="51" max="79" width="11" customWidth="1"/>
    <col min="80" max="80" width="12" customWidth="1"/>
    <col min="81" max="81" width="11" customWidth="1"/>
    <col min="82" max="82" width="12" bestFit="1" customWidth="1"/>
    <col min="83" max="83" width="10.33203125" customWidth="1"/>
    <col min="84" max="84" width="12" bestFit="1" customWidth="1"/>
    <col min="85" max="86" width="12" customWidth="1"/>
    <col min="87" max="88" width="11" customWidth="1"/>
    <col min="89" max="105" width="12" customWidth="1"/>
    <col min="106" max="106" width="11.88671875" bestFit="1" customWidth="1"/>
    <col min="107" max="108" width="10.33203125" bestFit="1" customWidth="1"/>
    <col min="109" max="110" width="10.33203125" customWidth="1"/>
    <col min="111" max="114" width="11.21875" customWidth="1"/>
    <col min="115" max="116" width="13.109375" bestFit="1" customWidth="1"/>
    <col min="117" max="117" width="13.109375" customWidth="1"/>
    <col min="118" max="118" width="13.109375" bestFit="1" customWidth="1"/>
    <col min="119" max="119" width="12" bestFit="1" customWidth="1"/>
    <col min="120" max="120" width="14.6640625" bestFit="1" customWidth="1"/>
    <col min="121" max="125" width="13.109375" bestFit="1" customWidth="1"/>
    <col min="126" max="126" width="12" customWidth="1"/>
    <col min="127" max="127" width="11" bestFit="1" customWidth="1"/>
    <col min="128" max="128" width="12.109375" bestFit="1" customWidth="1"/>
    <col min="129" max="130" width="9.88671875" bestFit="1" customWidth="1"/>
    <col min="131" max="133" width="11" bestFit="1" customWidth="1"/>
    <col min="134" max="134" width="8.109375" bestFit="1" customWidth="1"/>
    <col min="135" max="135" width="4.88671875" bestFit="1" customWidth="1"/>
    <col min="136" max="136" width="6" bestFit="1" customWidth="1"/>
    <col min="137" max="137" width="12" bestFit="1" customWidth="1"/>
    <col min="138" max="138" width="9.88671875" bestFit="1" customWidth="1"/>
    <col min="139" max="139" width="8.6640625" bestFit="1" customWidth="1"/>
    <col min="140" max="140" width="9.88671875" bestFit="1" customWidth="1"/>
    <col min="141" max="142" width="11" bestFit="1" customWidth="1"/>
    <col min="143" max="143" width="7.109375" bestFit="1" customWidth="1"/>
    <col min="144" max="145" width="9.88671875" bestFit="1" customWidth="1"/>
    <col min="146" max="146" width="11" bestFit="1" customWidth="1"/>
    <col min="147" max="147" width="8.33203125" bestFit="1" customWidth="1"/>
    <col min="148" max="149" width="9.88671875" bestFit="1" customWidth="1"/>
    <col min="150" max="151" width="11" bestFit="1" customWidth="1"/>
    <col min="154" max="154" width="11.88671875" bestFit="1" customWidth="1"/>
    <col min="155" max="155" width="11" bestFit="1" customWidth="1"/>
    <col min="156" max="156" width="12.109375" bestFit="1" customWidth="1"/>
    <col min="157" max="158" width="9.88671875" bestFit="1" customWidth="1"/>
    <col min="159" max="161" width="11" bestFit="1" customWidth="1"/>
    <col min="162" max="162" width="8.109375" bestFit="1" customWidth="1"/>
    <col min="163" max="163" width="4.88671875" bestFit="1" customWidth="1"/>
    <col min="164" max="164" width="6" bestFit="1" customWidth="1"/>
    <col min="165" max="165" width="11" bestFit="1" customWidth="1"/>
    <col min="166" max="166" width="9.88671875" bestFit="1" customWidth="1"/>
    <col min="167" max="167" width="8.6640625" bestFit="1" customWidth="1"/>
    <col min="168" max="168" width="9.88671875" bestFit="1" customWidth="1"/>
    <col min="169" max="170" width="11" bestFit="1" customWidth="1"/>
    <col min="172" max="172" width="9.44140625" bestFit="1" customWidth="1"/>
    <col min="173" max="173" width="7.109375" bestFit="1" customWidth="1"/>
    <col min="174" max="174" width="8.6640625" bestFit="1" customWidth="1"/>
    <col min="175" max="175" width="6" bestFit="1" customWidth="1"/>
    <col min="176" max="176" width="7.109375" bestFit="1" customWidth="1"/>
    <col min="177" max="177" width="6.6640625" bestFit="1" customWidth="1"/>
    <col min="178" max="178" width="5" bestFit="1" customWidth="1"/>
    <col min="179" max="179" width="12.109375" bestFit="1" customWidth="1"/>
    <col min="180" max="180" width="7.6640625" bestFit="1" customWidth="1"/>
    <col min="181" max="181" width="13.109375" bestFit="1" customWidth="1"/>
    <col min="182" max="182" width="12" bestFit="1" customWidth="1"/>
    <col min="183" max="183" width="8.6640625" bestFit="1" customWidth="1"/>
    <col min="184" max="184" width="13.109375" bestFit="1" customWidth="1"/>
    <col min="185" max="185" width="14.33203125" bestFit="1" customWidth="1"/>
    <col min="186" max="187" width="9.88671875" bestFit="1" customWidth="1"/>
    <col min="188" max="190" width="11" bestFit="1" customWidth="1"/>
    <col min="191" max="191" width="8.109375" bestFit="1" customWidth="1"/>
    <col min="192" max="192" width="4.88671875" bestFit="1" customWidth="1"/>
    <col min="193" max="193" width="6" bestFit="1" customWidth="1"/>
    <col min="194" max="194" width="11" bestFit="1" customWidth="1"/>
    <col min="195" max="195" width="9.88671875" bestFit="1" customWidth="1"/>
    <col min="196" max="196" width="11.88671875" bestFit="1" customWidth="1"/>
    <col min="197" max="197" width="9.88671875" bestFit="1" customWidth="1"/>
    <col min="198" max="199" width="11" bestFit="1" customWidth="1"/>
    <col min="200" max="200" width="7.109375" bestFit="1" customWidth="1"/>
    <col min="201" max="202" width="9.88671875" bestFit="1" customWidth="1"/>
    <col min="203" max="203" width="11" bestFit="1" customWidth="1"/>
    <col min="204" max="204" width="8.33203125" bestFit="1" customWidth="1"/>
    <col min="205" max="206" width="9.88671875" bestFit="1" customWidth="1"/>
    <col min="207" max="207" width="11" bestFit="1" customWidth="1"/>
    <col min="208" max="208" width="12.109375" bestFit="1" customWidth="1"/>
    <col min="209" max="209" width="11" bestFit="1" customWidth="1"/>
  </cols>
  <sheetData>
    <row r="1" spans="1:121">
      <c r="A1" s="18" t="s">
        <v>0</v>
      </c>
      <c r="B1" s="18" t="str">
        <f>+'Netunei Gimlai'!B1</f>
        <v>ישראל ישראלי</v>
      </c>
      <c r="AQ1" s="319"/>
    </row>
    <row r="2" spans="1:121">
      <c r="A2" s="18" t="s">
        <v>3</v>
      </c>
      <c r="B2" s="18">
        <f>+'Netunei Gimlai'!B2</f>
        <v>11111111</v>
      </c>
    </row>
    <row r="3" spans="1:121">
      <c r="Y3" t="s">
        <v>42</v>
      </c>
      <c r="AA3">
        <f>IF(AA5=1,1,0)</f>
        <v>1</v>
      </c>
      <c r="AB3">
        <f>IF(AB5=1,AA4+1,0)</f>
        <v>0</v>
      </c>
      <c r="AC3">
        <f t="shared" ref="AC3:CN3" si="0">IF(AC5=1,AB4+1,0)</f>
        <v>2</v>
      </c>
      <c r="AD3">
        <f t="shared" si="0"/>
        <v>0</v>
      </c>
      <c r="AE3">
        <f t="shared" si="0"/>
        <v>0</v>
      </c>
      <c r="AF3">
        <f t="shared" si="0"/>
        <v>3</v>
      </c>
      <c r="AG3">
        <f t="shared" si="0"/>
        <v>0</v>
      </c>
      <c r="AH3">
        <f t="shared" si="0"/>
        <v>0</v>
      </c>
      <c r="AI3">
        <f t="shared" si="0"/>
        <v>0</v>
      </c>
      <c r="AJ3">
        <f t="shared" si="0"/>
        <v>0</v>
      </c>
      <c r="AK3">
        <f t="shared" si="0"/>
        <v>0</v>
      </c>
      <c r="AL3">
        <f t="shared" si="0"/>
        <v>0</v>
      </c>
      <c r="AM3">
        <f t="shared" si="0"/>
        <v>0</v>
      </c>
      <c r="AN3">
        <f t="shared" si="0"/>
        <v>0</v>
      </c>
      <c r="AO3">
        <f t="shared" si="0"/>
        <v>0</v>
      </c>
      <c r="AP3">
        <f t="shared" si="0"/>
        <v>0</v>
      </c>
      <c r="AQ3">
        <f t="shared" si="0"/>
        <v>0</v>
      </c>
      <c r="AR3">
        <f t="shared" si="0"/>
        <v>0</v>
      </c>
      <c r="AS3">
        <f t="shared" si="0"/>
        <v>0</v>
      </c>
      <c r="AT3">
        <f t="shared" si="0"/>
        <v>0</v>
      </c>
      <c r="AU3">
        <f t="shared" si="0"/>
        <v>0</v>
      </c>
      <c r="AV3">
        <f t="shared" si="0"/>
        <v>0</v>
      </c>
      <c r="AW3">
        <f t="shared" si="0"/>
        <v>4</v>
      </c>
      <c r="AX3">
        <f t="shared" si="0"/>
        <v>0</v>
      </c>
      <c r="AY3">
        <f t="shared" si="0"/>
        <v>5</v>
      </c>
      <c r="AZ3">
        <f t="shared" si="0"/>
        <v>0</v>
      </c>
      <c r="BA3">
        <f t="shared" si="0"/>
        <v>0</v>
      </c>
      <c r="BB3">
        <f t="shared" si="0"/>
        <v>0</v>
      </c>
      <c r="BC3">
        <f t="shared" si="0"/>
        <v>0</v>
      </c>
      <c r="BD3">
        <f t="shared" si="0"/>
        <v>0</v>
      </c>
      <c r="BE3">
        <f t="shared" si="0"/>
        <v>0</v>
      </c>
      <c r="BF3">
        <f t="shared" si="0"/>
        <v>0</v>
      </c>
      <c r="BG3">
        <f t="shared" si="0"/>
        <v>0</v>
      </c>
      <c r="BH3">
        <f t="shared" si="0"/>
        <v>0</v>
      </c>
      <c r="BI3">
        <f t="shared" si="0"/>
        <v>0</v>
      </c>
      <c r="BJ3">
        <f t="shared" si="0"/>
        <v>0</v>
      </c>
      <c r="BK3">
        <f t="shared" si="0"/>
        <v>0</v>
      </c>
      <c r="BL3">
        <f t="shared" si="0"/>
        <v>0</v>
      </c>
      <c r="BM3">
        <f t="shared" si="0"/>
        <v>0</v>
      </c>
      <c r="BN3">
        <f t="shared" si="0"/>
        <v>0</v>
      </c>
      <c r="BO3">
        <f t="shared" si="0"/>
        <v>0</v>
      </c>
      <c r="BP3">
        <f t="shared" si="0"/>
        <v>0</v>
      </c>
      <c r="BQ3">
        <f t="shared" si="0"/>
        <v>0</v>
      </c>
      <c r="BR3">
        <f t="shared" si="0"/>
        <v>0</v>
      </c>
      <c r="BS3">
        <f t="shared" si="0"/>
        <v>0</v>
      </c>
      <c r="BT3">
        <f t="shared" si="0"/>
        <v>0</v>
      </c>
      <c r="BU3">
        <f t="shared" si="0"/>
        <v>0</v>
      </c>
      <c r="BV3">
        <f t="shared" si="0"/>
        <v>0</v>
      </c>
      <c r="BW3">
        <f t="shared" si="0"/>
        <v>0</v>
      </c>
      <c r="BX3">
        <f t="shared" si="0"/>
        <v>0</v>
      </c>
      <c r="BY3">
        <f t="shared" si="0"/>
        <v>0</v>
      </c>
      <c r="BZ3">
        <f t="shared" si="0"/>
        <v>0</v>
      </c>
      <c r="CA3">
        <f t="shared" si="0"/>
        <v>0</v>
      </c>
      <c r="CB3">
        <f t="shared" si="0"/>
        <v>6</v>
      </c>
      <c r="CC3">
        <f t="shared" si="0"/>
        <v>0</v>
      </c>
      <c r="CD3">
        <f t="shared" si="0"/>
        <v>0</v>
      </c>
      <c r="CE3">
        <f t="shared" si="0"/>
        <v>0</v>
      </c>
      <c r="CF3">
        <f t="shared" si="0"/>
        <v>0</v>
      </c>
      <c r="CG3">
        <f t="shared" si="0"/>
        <v>0</v>
      </c>
      <c r="CH3">
        <f t="shared" si="0"/>
        <v>0</v>
      </c>
      <c r="CI3">
        <f t="shared" si="0"/>
        <v>0</v>
      </c>
      <c r="CJ3">
        <f t="shared" si="0"/>
        <v>0</v>
      </c>
      <c r="CK3">
        <f t="shared" si="0"/>
        <v>0</v>
      </c>
      <c r="CL3">
        <f t="shared" si="0"/>
        <v>0</v>
      </c>
      <c r="CM3">
        <f t="shared" si="0"/>
        <v>0</v>
      </c>
      <c r="CN3">
        <f t="shared" si="0"/>
        <v>0</v>
      </c>
      <c r="CO3">
        <f t="shared" ref="CO3:DO3" si="1">IF(CO5=1,CN4+1,0)</f>
        <v>0</v>
      </c>
      <c r="CP3">
        <f t="shared" si="1"/>
        <v>0</v>
      </c>
      <c r="CQ3">
        <f t="shared" si="1"/>
        <v>0</v>
      </c>
      <c r="CR3">
        <f t="shared" si="1"/>
        <v>0</v>
      </c>
      <c r="CS3">
        <f t="shared" si="1"/>
        <v>0</v>
      </c>
      <c r="CT3">
        <f t="shared" si="1"/>
        <v>0</v>
      </c>
      <c r="CU3">
        <f t="shared" si="1"/>
        <v>0</v>
      </c>
      <c r="CV3">
        <f t="shared" si="1"/>
        <v>0</v>
      </c>
      <c r="CW3">
        <f t="shared" si="1"/>
        <v>0</v>
      </c>
      <c r="CX3">
        <f t="shared" si="1"/>
        <v>0</v>
      </c>
      <c r="CY3">
        <f t="shared" si="1"/>
        <v>0</v>
      </c>
      <c r="CZ3">
        <f t="shared" si="1"/>
        <v>0</v>
      </c>
      <c r="DA3">
        <f t="shared" si="1"/>
        <v>0</v>
      </c>
      <c r="DB3">
        <f t="shared" si="1"/>
        <v>0</v>
      </c>
      <c r="DC3">
        <f t="shared" si="1"/>
        <v>0</v>
      </c>
      <c r="DD3">
        <f t="shared" si="1"/>
        <v>0</v>
      </c>
      <c r="DE3">
        <f t="shared" si="1"/>
        <v>0</v>
      </c>
      <c r="DF3">
        <f t="shared" si="1"/>
        <v>0</v>
      </c>
      <c r="DG3">
        <f t="shared" si="1"/>
        <v>0</v>
      </c>
      <c r="DH3">
        <f t="shared" si="1"/>
        <v>7</v>
      </c>
      <c r="DI3">
        <f t="shared" si="1"/>
        <v>8</v>
      </c>
      <c r="DJ3">
        <f t="shared" si="1"/>
        <v>0</v>
      </c>
      <c r="DK3">
        <f t="shared" si="1"/>
        <v>9</v>
      </c>
      <c r="DL3" t="e">
        <f t="shared" si="1"/>
        <v>#REF!</v>
      </c>
      <c r="DM3" t="e">
        <f t="shared" si="1"/>
        <v>#REF!</v>
      </c>
      <c r="DN3">
        <f t="shared" si="1"/>
        <v>0</v>
      </c>
      <c r="DO3">
        <f t="shared" si="1"/>
        <v>0</v>
      </c>
    </row>
    <row r="4" spans="1:121">
      <c r="Y4" t="s">
        <v>43</v>
      </c>
      <c r="AA4">
        <f>IF(AA5=1,1,0)</f>
        <v>1</v>
      </c>
      <c r="AB4">
        <f>IF(AB5=1,AA4+1,AA4)</f>
        <v>1</v>
      </c>
      <c r="AC4">
        <f t="shared" ref="AC4:CN4" si="2">IF(AC5=1,AB4+1,AB4)</f>
        <v>2</v>
      </c>
      <c r="AD4">
        <f t="shared" si="2"/>
        <v>2</v>
      </c>
      <c r="AE4">
        <f t="shared" si="2"/>
        <v>2</v>
      </c>
      <c r="AF4">
        <f t="shared" si="2"/>
        <v>3</v>
      </c>
      <c r="AG4">
        <f t="shared" si="2"/>
        <v>3</v>
      </c>
      <c r="AH4">
        <f t="shared" si="2"/>
        <v>3</v>
      </c>
      <c r="AI4">
        <f t="shared" si="2"/>
        <v>3</v>
      </c>
      <c r="AJ4">
        <f t="shared" si="2"/>
        <v>3</v>
      </c>
      <c r="AK4">
        <f t="shared" si="2"/>
        <v>3</v>
      </c>
      <c r="AL4">
        <f t="shared" si="2"/>
        <v>3</v>
      </c>
      <c r="AM4">
        <f t="shared" si="2"/>
        <v>3</v>
      </c>
      <c r="AN4">
        <f t="shared" si="2"/>
        <v>3</v>
      </c>
      <c r="AO4">
        <f t="shared" si="2"/>
        <v>3</v>
      </c>
      <c r="AP4">
        <f t="shared" si="2"/>
        <v>3</v>
      </c>
      <c r="AQ4">
        <f t="shared" si="2"/>
        <v>3</v>
      </c>
      <c r="AR4">
        <f t="shared" si="2"/>
        <v>3</v>
      </c>
      <c r="AS4">
        <f t="shared" si="2"/>
        <v>3</v>
      </c>
      <c r="AT4">
        <f t="shared" si="2"/>
        <v>3</v>
      </c>
      <c r="AU4">
        <f t="shared" si="2"/>
        <v>3</v>
      </c>
      <c r="AV4">
        <f t="shared" si="2"/>
        <v>3</v>
      </c>
      <c r="AW4">
        <f t="shared" si="2"/>
        <v>4</v>
      </c>
      <c r="AX4">
        <f t="shared" si="2"/>
        <v>4</v>
      </c>
      <c r="AY4">
        <f t="shared" si="2"/>
        <v>5</v>
      </c>
      <c r="AZ4">
        <f t="shared" si="2"/>
        <v>5</v>
      </c>
      <c r="BA4">
        <f t="shared" si="2"/>
        <v>5</v>
      </c>
      <c r="BB4">
        <f t="shared" si="2"/>
        <v>5</v>
      </c>
      <c r="BC4">
        <f t="shared" si="2"/>
        <v>5</v>
      </c>
      <c r="BD4">
        <f t="shared" si="2"/>
        <v>5</v>
      </c>
      <c r="BE4">
        <f t="shared" si="2"/>
        <v>5</v>
      </c>
      <c r="BF4">
        <f t="shared" si="2"/>
        <v>5</v>
      </c>
      <c r="BG4">
        <f t="shared" si="2"/>
        <v>5</v>
      </c>
      <c r="BH4">
        <f t="shared" si="2"/>
        <v>5</v>
      </c>
      <c r="BI4">
        <f t="shared" si="2"/>
        <v>5</v>
      </c>
      <c r="BJ4">
        <f t="shared" si="2"/>
        <v>5</v>
      </c>
      <c r="BK4">
        <f t="shared" si="2"/>
        <v>5</v>
      </c>
      <c r="BL4">
        <f t="shared" si="2"/>
        <v>5</v>
      </c>
      <c r="BM4">
        <f t="shared" si="2"/>
        <v>5</v>
      </c>
      <c r="BN4">
        <f t="shared" si="2"/>
        <v>5</v>
      </c>
      <c r="BO4">
        <f t="shared" si="2"/>
        <v>5</v>
      </c>
      <c r="BP4">
        <f t="shared" si="2"/>
        <v>5</v>
      </c>
      <c r="BQ4">
        <f t="shared" si="2"/>
        <v>5</v>
      </c>
      <c r="BR4">
        <f t="shared" si="2"/>
        <v>5</v>
      </c>
      <c r="BS4">
        <f t="shared" si="2"/>
        <v>5</v>
      </c>
      <c r="BT4">
        <f t="shared" si="2"/>
        <v>5</v>
      </c>
      <c r="BU4">
        <f t="shared" si="2"/>
        <v>5</v>
      </c>
      <c r="BV4">
        <f t="shared" si="2"/>
        <v>5</v>
      </c>
      <c r="BW4">
        <f t="shared" si="2"/>
        <v>5</v>
      </c>
      <c r="BX4">
        <f t="shared" si="2"/>
        <v>5</v>
      </c>
      <c r="BY4">
        <f t="shared" si="2"/>
        <v>5</v>
      </c>
      <c r="BZ4">
        <f t="shared" si="2"/>
        <v>5</v>
      </c>
      <c r="CA4">
        <f t="shared" si="2"/>
        <v>5</v>
      </c>
      <c r="CB4">
        <f t="shared" si="2"/>
        <v>6</v>
      </c>
      <c r="CC4">
        <f t="shared" si="2"/>
        <v>6</v>
      </c>
      <c r="CD4">
        <f t="shared" si="2"/>
        <v>6</v>
      </c>
      <c r="CE4">
        <f t="shared" si="2"/>
        <v>6</v>
      </c>
      <c r="CF4">
        <f t="shared" si="2"/>
        <v>6</v>
      </c>
      <c r="CG4">
        <f t="shared" si="2"/>
        <v>6</v>
      </c>
      <c r="CH4">
        <f t="shared" si="2"/>
        <v>6</v>
      </c>
      <c r="CI4">
        <f t="shared" si="2"/>
        <v>6</v>
      </c>
      <c r="CJ4">
        <f t="shared" si="2"/>
        <v>6</v>
      </c>
      <c r="CK4">
        <f t="shared" si="2"/>
        <v>6</v>
      </c>
      <c r="CL4">
        <f t="shared" si="2"/>
        <v>6</v>
      </c>
      <c r="CM4">
        <f t="shared" si="2"/>
        <v>6</v>
      </c>
      <c r="CN4">
        <f t="shared" si="2"/>
        <v>6</v>
      </c>
      <c r="CO4">
        <f t="shared" ref="CO4:DM4" si="3">IF(CO5=1,CN4+1,CN4)</f>
        <v>6</v>
      </c>
      <c r="CP4">
        <f t="shared" si="3"/>
        <v>6</v>
      </c>
      <c r="CQ4">
        <f t="shared" si="3"/>
        <v>6</v>
      </c>
      <c r="CR4">
        <f t="shared" si="3"/>
        <v>6</v>
      </c>
      <c r="CS4">
        <f t="shared" si="3"/>
        <v>6</v>
      </c>
      <c r="CT4">
        <f t="shared" si="3"/>
        <v>6</v>
      </c>
      <c r="CU4">
        <f t="shared" si="3"/>
        <v>6</v>
      </c>
      <c r="CV4">
        <f t="shared" si="3"/>
        <v>6</v>
      </c>
      <c r="CW4">
        <f t="shared" si="3"/>
        <v>6</v>
      </c>
      <c r="CX4">
        <f t="shared" si="3"/>
        <v>6</v>
      </c>
      <c r="CY4">
        <f t="shared" si="3"/>
        <v>6</v>
      </c>
      <c r="CZ4">
        <f t="shared" si="3"/>
        <v>6</v>
      </c>
      <c r="DA4">
        <f t="shared" si="3"/>
        <v>6</v>
      </c>
      <c r="DB4">
        <f t="shared" si="3"/>
        <v>6</v>
      </c>
      <c r="DC4">
        <f t="shared" si="3"/>
        <v>6</v>
      </c>
      <c r="DD4">
        <f t="shared" si="3"/>
        <v>6</v>
      </c>
      <c r="DE4">
        <f t="shared" si="3"/>
        <v>6</v>
      </c>
      <c r="DF4">
        <f t="shared" si="3"/>
        <v>6</v>
      </c>
      <c r="DG4">
        <f t="shared" si="3"/>
        <v>6</v>
      </c>
      <c r="DH4">
        <f t="shared" si="3"/>
        <v>7</v>
      </c>
      <c r="DI4">
        <f t="shared" si="3"/>
        <v>8</v>
      </c>
      <c r="DJ4">
        <f t="shared" si="3"/>
        <v>8</v>
      </c>
      <c r="DK4">
        <f t="shared" si="3"/>
        <v>9</v>
      </c>
      <c r="DL4" t="e">
        <f t="shared" si="3"/>
        <v>#REF!</v>
      </c>
      <c r="DM4" t="e">
        <f t="shared" si="3"/>
        <v>#REF!</v>
      </c>
    </row>
    <row r="5" spans="1:121">
      <c r="Y5" t="s">
        <v>44</v>
      </c>
      <c r="AA5">
        <f>IF(AA11&gt;0,1,0)</f>
        <v>1</v>
      </c>
      <c r="AB5">
        <f>IF(AB11&gt;0,1,0)</f>
        <v>0</v>
      </c>
      <c r="AC5">
        <f t="shared" ref="AC5:CN5" si="4">IF(AC11&gt;0,1,0)</f>
        <v>1</v>
      </c>
      <c r="AD5">
        <f t="shared" si="4"/>
        <v>0</v>
      </c>
      <c r="AE5">
        <f t="shared" si="4"/>
        <v>0</v>
      </c>
      <c r="AF5">
        <f t="shared" si="4"/>
        <v>1</v>
      </c>
      <c r="AG5">
        <f t="shared" si="4"/>
        <v>0</v>
      </c>
      <c r="AH5">
        <f t="shared" si="4"/>
        <v>0</v>
      </c>
      <c r="AI5">
        <f t="shared" si="4"/>
        <v>0</v>
      </c>
      <c r="AJ5">
        <f t="shared" si="4"/>
        <v>0</v>
      </c>
      <c r="AK5">
        <f t="shared" si="4"/>
        <v>0</v>
      </c>
      <c r="AL5">
        <f t="shared" si="4"/>
        <v>0</v>
      </c>
      <c r="AM5">
        <f t="shared" si="4"/>
        <v>0</v>
      </c>
      <c r="AN5">
        <f t="shared" si="4"/>
        <v>0</v>
      </c>
      <c r="AO5">
        <f t="shared" si="4"/>
        <v>0</v>
      </c>
      <c r="AP5">
        <f t="shared" si="4"/>
        <v>0</v>
      </c>
      <c r="AQ5">
        <f t="shared" si="4"/>
        <v>0</v>
      </c>
      <c r="AR5">
        <f t="shared" si="4"/>
        <v>0</v>
      </c>
      <c r="AS5">
        <f t="shared" si="4"/>
        <v>0</v>
      </c>
      <c r="AT5">
        <f t="shared" si="4"/>
        <v>0</v>
      </c>
      <c r="AU5">
        <f t="shared" si="4"/>
        <v>0</v>
      </c>
      <c r="AV5">
        <f t="shared" si="4"/>
        <v>0</v>
      </c>
      <c r="AW5">
        <f t="shared" si="4"/>
        <v>1</v>
      </c>
      <c r="AX5">
        <f t="shared" si="4"/>
        <v>0</v>
      </c>
      <c r="AY5">
        <f t="shared" si="4"/>
        <v>1</v>
      </c>
      <c r="AZ5">
        <f t="shared" si="4"/>
        <v>0</v>
      </c>
      <c r="BA5">
        <f t="shared" si="4"/>
        <v>0</v>
      </c>
      <c r="BB5">
        <f t="shared" si="4"/>
        <v>0</v>
      </c>
      <c r="BC5">
        <f t="shared" si="4"/>
        <v>0</v>
      </c>
      <c r="BD5">
        <f t="shared" si="4"/>
        <v>0</v>
      </c>
      <c r="BE5">
        <f t="shared" si="4"/>
        <v>0</v>
      </c>
      <c r="BF5">
        <f t="shared" si="4"/>
        <v>0</v>
      </c>
      <c r="BG5">
        <f t="shared" si="4"/>
        <v>0</v>
      </c>
      <c r="BH5">
        <f t="shared" si="4"/>
        <v>0</v>
      </c>
      <c r="BI5">
        <f t="shared" si="4"/>
        <v>0</v>
      </c>
      <c r="BJ5">
        <f t="shared" si="4"/>
        <v>0</v>
      </c>
      <c r="BK5">
        <f t="shared" si="4"/>
        <v>0</v>
      </c>
      <c r="BL5">
        <f t="shared" si="4"/>
        <v>0</v>
      </c>
      <c r="BM5">
        <f t="shared" si="4"/>
        <v>0</v>
      </c>
      <c r="BN5">
        <f t="shared" si="4"/>
        <v>0</v>
      </c>
      <c r="BO5">
        <f t="shared" si="4"/>
        <v>0</v>
      </c>
      <c r="BP5">
        <f t="shared" si="4"/>
        <v>0</v>
      </c>
      <c r="BQ5">
        <f t="shared" si="4"/>
        <v>0</v>
      </c>
      <c r="BR5">
        <f t="shared" si="4"/>
        <v>0</v>
      </c>
      <c r="BS5">
        <f t="shared" si="4"/>
        <v>0</v>
      </c>
      <c r="BT5">
        <f t="shared" si="4"/>
        <v>0</v>
      </c>
      <c r="BU5">
        <f t="shared" si="4"/>
        <v>0</v>
      </c>
      <c r="BV5">
        <f t="shared" si="4"/>
        <v>0</v>
      </c>
      <c r="BW5">
        <f t="shared" si="4"/>
        <v>0</v>
      </c>
      <c r="BX5">
        <f t="shared" si="4"/>
        <v>0</v>
      </c>
      <c r="BY5">
        <f t="shared" si="4"/>
        <v>0</v>
      </c>
      <c r="BZ5">
        <f t="shared" si="4"/>
        <v>0</v>
      </c>
      <c r="CA5">
        <f t="shared" si="4"/>
        <v>0</v>
      </c>
      <c r="CB5">
        <f t="shared" si="4"/>
        <v>1</v>
      </c>
      <c r="CC5">
        <f t="shared" si="4"/>
        <v>0</v>
      </c>
      <c r="CD5">
        <f t="shared" si="4"/>
        <v>0</v>
      </c>
      <c r="CE5">
        <f t="shared" si="4"/>
        <v>0</v>
      </c>
      <c r="CF5">
        <f t="shared" si="4"/>
        <v>0</v>
      </c>
      <c r="CG5">
        <f t="shared" si="4"/>
        <v>0</v>
      </c>
      <c r="CH5">
        <f t="shared" si="4"/>
        <v>0</v>
      </c>
      <c r="CI5">
        <f t="shared" si="4"/>
        <v>0</v>
      </c>
      <c r="CJ5">
        <f t="shared" si="4"/>
        <v>0</v>
      </c>
      <c r="CK5">
        <f t="shared" si="4"/>
        <v>0</v>
      </c>
      <c r="CL5">
        <f t="shared" si="4"/>
        <v>0</v>
      </c>
      <c r="CM5">
        <f t="shared" si="4"/>
        <v>0</v>
      </c>
      <c r="CN5">
        <f t="shared" si="4"/>
        <v>0</v>
      </c>
      <c r="CO5">
        <f t="shared" ref="CO5:DM5" si="5">IF(CO11&gt;0,1,0)</f>
        <v>0</v>
      </c>
      <c r="CP5">
        <f t="shared" si="5"/>
        <v>0</v>
      </c>
      <c r="CQ5">
        <f t="shared" si="5"/>
        <v>0</v>
      </c>
      <c r="CR5">
        <f t="shared" si="5"/>
        <v>0</v>
      </c>
      <c r="CS5">
        <f t="shared" si="5"/>
        <v>0</v>
      </c>
      <c r="CT5">
        <f t="shared" si="5"/>
        <v>0</v>
      </c>
      <c r="CU5">
        <f>IF(CU11&lt;&gt;0,1,0)</f>
        <v>0</v>
      </c>
      <c r="CV5">
        <f t="shared" ref="CV5:CZ5" si="6">IF(CV11&gt;0,1,0)</f>
        <v>0</v>
      </c>
      <c r="CW5">
        <f t="shared" si="6"/>
        <v>0</v>
      </c>
      <c r="CX5">
        <f t="shared" si="6"/>
        <v>0</v>
      </c>
      <c r="CY5">
        <f t="shared" si="6"/>
        <v>0</v>
      </c>
      <c r="CZ5">
        <f t="shared" si="6"/>
        <v>0</v>
      </c>
      <c r="DA5">
        <f t="shared" si="5"/>
        <v>0</v>
      </c>
      <c r="DB5">
        <f t="shared" si="5"/>
        <v>0</v>
      </c>
      <c r="DC5">
        <f t="shared" si="5"/>
        <v>0</v>
      </c>
      <c r="DD5">
        <f t="shared" si="5"/>
        <v>0</v>
      </c>
      <c r="DE5">
        <f t="shared" si="5"/>
        <v>0</v>
      </c>
      <c r="DF5">
        <f t="shared" si="5"/>
        <v>0</v>
      </c>
      <c r="DG5">
        <f t="shared" si="5"/>
        <v>0</v>
      </c>
      <c r="DH5">
        <f t="shared" si="5"/>
        <v>1</v>
      </c>
      <c r="DI5">
        <f t="shared" si="5"/>
        <v>1</v>
      </c>
      <c r="DJ5">
        <f t="shared" si="5"/>
        <v>0</v>
      </c>
      <c r="DK5">
        <f t="shared" si="5"/>
        <v>1</v>
      </c>
      <c r="DL5" t="e">
        <f t="shared" si="5"/>
        <v>#REF!</v>
      </c>
      <c r="DM5" t="e">
        <f t="shared" si="5"/>
        <v>#REF!</v>
      </c>
    </row>
    <row r="6" spans="1:121">
      <c r="X6" s="79"/>
      <c r="Y6" t="s">
        <v>45</v>
      </c>
      <c r="AA6" s="84" t="str">
        <f t="shared" ref="AA6:AB6" si="7">IF(AA7=0," ",AA7)</f>
        <v xml:space="preserve"> </v>
      </c>
      <c r="AB6" s="84" t="str">
        <f t="shared" si="7"/>
        <v xml:space="preserve"> </v>
      </c>
      <c r="AC6" s="84">
        <f>IF(AC7=0," ",AC7)</f>
        <v>0.04</v>
      </c>
      <c r="AD6" s="84" t="str">
        <f t="shared" ref="AD6:AT6" si="8">IF(AD7=0," ",AD7)</f>
        <v xml:space="preserve"> </v>
      </c>
      <c r="AE6" s="84" t="str">
        <f t="shared" si="8"/>
        <v xml:space="preserve"> </v>
      </c>
      <c r="AF6" s="84" t="str">
        <f t="shared" si="8"/>
        <v xml:space="preserve"> </v>
      </c>
      <c r="AG6" s="84" t="str">
        <f t="shared" si="8"/>
        <v xml:space="preserve"> </v>
      </c>
      <c r="AH6" s="84" t="str">
        <f t="shared" si="8"/>
        <v xml:space="preserve"> </v>
      </c>
      <c r="AI6" s="84" t="str">
        <f t="shared" si="8"/>
        <v xml:space="preserve"> </v>
      </c>
      <c r="AJ6" s="84" t="str">
        <f t="shared" si="8"/>
        <v xml:space="preserve"> </v>
      </c>
      <c r="AK6" s="84" t="str">
        <f t="shared" si="8"/>
        <v xml:space="preserve"> </v>
      </c>
      <c r="AL6" s="84" t="str">
        <f t="shared" si="8"/>
        <v xml:space="preserve"> </v>
      </c>
      <c r="AM6" s="84"/>
      <c r="AN6" s="84" t="str">
        <f t="shared" si="8"/>
        <v xml:space="preserve"> </v>
      </c>
      <c r="AO6" s="84" t="str">
        <f t="shared" si="8"/>
        <v xml:space="preserve"> </v>
      </c>
      <c r="AP6" s="84" t="str">
        <f t="shared" si="8"/>
        <v xml:space="preserve"> </v>
      </c>
      <c r="AQ6" s="84" t="str">
        <f t="shared" si="8"/>
        <v xml:space="preserve"> </v>
      </c>
      <c r="AR6" s="84" t="str">
        <f>IF(AR7=0," ",AR7)</f>
        <v xml:space="preserve"> </v>
      </c>
      <c r="AS6" s="84"/>
      <c r="AT6" s="84" t="str">
        <f t="shared" si="8"/>
        <v xml:space="preserve"> </v>
      </c>
      <c r="AU6" s="84" t="str">
        <f>IF(AU7=0," ",AU7)</f>
        <v xml:space="preserve"> </v>
      </c>
      <c r="AV6" s="84" t="str">
        <f t="shared" ref="AV6:AW6" si="9">IF(AV7=0," ",AV7)</f>
        <v xml:space="preserve"> </v>
      </c>
      <c r="AW6" s="84" t="str">
        <f t="shared" si="9"/>
        <v xml:space="preserve"> </v>
      </c>
      <c r="AX6" s="84"/>
      <c r="AY6" s="84">
        <f>IF(AY7=0," ",AY7)</f>
        <v>0.3</v>
      </c>
      <c r="AZ6" s="84" t="str">
        <f>IF(AZ7=0," "," ")</f>
        <v xml:space="preserve"> </v>
      </c>
      <c r="BA6" s="84"/>
      <c r="BB6" s="84" t="str">
        <f>IF(BB7=0," "," ")</f>
        <v xml:space="preserve"> </v>
      </c>
      <c r="BC6" s="84"/>
      <c r="BD6" s="84" t="str">
        <f>IF(BD7=0," ",BD7)</f>
        <v xml:space="preserve"> </v>
      </c>
      <c r="BE6" s="84"/>
      <c r="BF6" s="84"/>
      <c r="BG6" s="84"/>
      <c r="BH6" s="84" t="str">
        <f>IF(BH7=0," "," ")</f>
        <v xml:space="preserve"> </v>
      </c>
      <c r="BI6" s="84" t="str">
        <f>IF(BI7=0," "," ")</f>
        <v xml:space="preserve"> </v>
      </c>
      <c r="BJ6" s="84"/>
      <c r="BK6" s="84"/>
      <c r="BL6" s="84" t="str">
        <f>IF(BL7=0," ",BL7)</f>
        <v xml:space="preserve"> </v>
      </c>
      <c r="BM6" s="84" t="str">
        <f>IF(BM7=0," "," ")</f>
        <v xml:space="preserve"> </v>
      </c>
      <c r="BN6" s="84"/>
      <c r="BO6" s="84" t="str">
        <f>IF(BO7=0," "," ")</f>
        <v xml:space="preserve"> </v>
      </c>
      <c r="BP6" s="84"/>
      <c r="BQ6" s="84" t="str">
        <f>IF(BQ7=0," "," ")</f>
        <v xml:space="preserve"> </v>
      </c>
      <c r="BR6" s="84"/>
      <c r="BS6" s="84" t="str">
        <f t="shared" ref="BS6:CB6" si="10">IF(BS7=0," ",BS7)</f>
        <v xml:space="preserve"> </v>
      </c>
      <c r="BT6" s="84" t="str">
        <f t="shared" si="10"/>
        <v xml:space="preserve"> </v>
      </c>
      <c r="BU6" s="209" t="str">
        <f>IF(BU7=0," "," ")</f>
        <v xml:space="preserve"> </v>
      </c>
      <c r="BV6" s="84" t="str">
        <f>IF(BV7=0," ",BV7)</f>
        <v xml:space="preserve"> </v>
      </c>
      <c r="BW6" s="84" t="str">
        <f t="shared" si="10"/>
        <v xml:space="preserve"> </v>
      </c>
      <c r="BX6" s="84" t="str">
        <f>IF(BX7=0," "," ")</f>
        <v xml:space="preserve"> </v>
      </c>
      <c r="BY6" s="84" t="str">
        <f t="shared" si="10"/>
        <v xml:space="preserve"> </v>
      </c>
      <c r="BZ6" s="84" t="str">
        <f t="shared" si="10"/>
        <v xml:space="preserve"> </v>
      </c>
      <c r="CA6" s="84" t="str">
        <f>IF(CA7=0," ",CA7)</f>
        <v xml:space="preserve"> </v>
      </c>
      <c r="CB6" s="84">
        <f t="shared" si="10"/>
        <v>3.5999999999999997E-2</v>
      </c>
      <c r="CC6" s="84" t="str">
        <f>IF(CC7=0," ",CC7)</f>
        <v xml:space="preserve"> </v>
      </c>
      <c r="CD6" s="84" t="str">
        <f>IF(CD7=0," ",CD7)</f>
        <v xml:space="preserve"> </v>
      </c>
      <c r="CE6" s="84" t="str">
        <f t="shared" ref="CE6" si="11">IF(CE7=0," ",CE7)</f>
        <v xml:space="preserve"> </v>
      </c>
      <c r="CF6" s="84" t="str">
        <f>IF(CF7=0," ",CF7)</f>
        <v xml:space="preserve"> </v>
      </c>
      <c r="CG6" s="84" t="str">
        <f>IF(CG7=0," "," ")</f>
        <v xml:space="preserve"> </v>
      </c>
      <c r="CH6" s="84" t="str">
        <f>IF(CH7=0," ",CH7)</f>
        <v xml:space="preserve"> </v>
      </c>
      <c r="CI6" s="84" t="str">
        <f>IF(CI7=0," ",CI7)</f>
        <v xml:space="preserve"> </v>
      </c>
      <c r="CJ6" s="84" t="str">
        <f>IF(CJ7=0," ",CJ7)</f>
        <v xml:space="preserve"> </v>
      </c>
      <c r="CK6" s="84" t="str">
        <f t="shared" ref="CK6:DM6" si="12">IF(CK7=0," ",CK7)</f>
        <v xml:space="preserve"> </v>
      </c>
      <c r="CL6" s="224" t="str">
        <f t="shared" si="12"/>
        <v xml:space="preserve"> </v>
      </c>
      <c r="CM6" s="224" t="str">
        <f t="shared" si="12"/>
        <v xml:space="preserve"> </v>
      </c>
      <c r="CN6" s="224" t="str">
        <f t="shared" si="12"/>
        <v xml:space="preserve"> </v>
      </c>
      <c r="CO6" s="224" t="str">
        <f t="shared" si="12"/>
        <v xml:space="preserve"> </v>
      </c>
      <c r="CP6" s="224" t="str">
        <f t="shared" si="12"/>
        <v xml:space="preserve"> </v>
      </c>
      <c r="CQ6" s="224" t="str">
        <f t="shared" si="12"/>
        <v xml:space="preserve"> </v>
      </c>
      <c r="CR6" s="224" t="str">
        <f t="shared" si="12"/>
        <v xml:space="preserve"> </v>
      </c>
      <c r="CS6" s="224" t="str">
        <f t="shared" si="12"/>
        <v xml:space="preserve"> </v>
      </c>
      <c r="CT6" s="224" t="str">
        <f t="shared" si="12"/>
        <v xml:space="preserve"> </v>
      </c>
      <c r="CU6" s="224" t="str">
        <f>IF(CU7=0," "," ")</f>
        <v xml:space="preserve"> </v>
      </c>
      <c r="CV6" s="224"/>
      <c r="CW6" s="224" t="str">
        <f t="shared" si="12"/>
        <v xml:space="preserve"> </v>
      </c>
      <c r="CX6" s="224" t="str">
        <f t="shared" si="12"/>
        <v xml:space="preserve"> </v>
      </c>
      <c r="CY6" s="84" t="str">
        <f>IF(CY7=0," "," ")</f>
        <v xml:space="preserve"> </v>
      </c>
      <c r="CZ6" s="224" t="str">
        <f t="shared" si="12"/>
        <v xml:space="preserve"> </v>
      </c>
      <c r="DA6" s="224" t="str">
        <f t="shared" si="12"/>
        <v xml:space="preserve"> </v>
      </c>
      <c r="DB6" s="224" t="str">
        <f t="shared" si="12"/>
        <v xml:space="preserve"> </v>
      </c>
      <c r="DC6" s="84" t="str">
        <f t="shared" si="12"/>
        <v xml:space="preserve"> </v>
      </c>
      <c r="DD6" s="84" t="str">
        <f t="shared" si="12"/>
        <v xml:space="preserve"> </v>
      </c>
      <c r="DE6" s="84" t="str">
        <f t="shared" si="12"/>
        <v xml:space="preserve"> </v>
      </c>
      <c r="DF6" s="84" t="str">
        <f t="shared" si="12"/>
        <v xml:space="preserve"> </v>
      </c>
      <c r="DG6" s="224" t="str">
        <f t="shared" si="12"/>
        <v xml:space="preserve"> </v>
      </c>
      <c r="DH6" s="2" t="str">
        <f t="shared" si="12"/>
        <v xml:space="preserve"> </v>
      </c>
      <c r="DI6" s="2" t="str">
        <f t="shared" si="12"/>
        <v xml:space="preserve"> </v>
      </c>
      <c r="DJ6" s="2" t="str">
        <f t="shared" si="12"/>
        <v xml:space="preserve"> </v>
      </c>
      <c r="DK6" s="2" t="str">
        <f t="shared" si="12"/>
        <v xml:space="preserve"> </v>
      </c>
      <c r="DL6" s="2" t="str">
        <f t="shared" si="12"/>
        <v xml:space="preserve"> </v>
      </c>
      <c r="DM6" s="2" t="str">
        <f t="shared" si="12"/>
        <v xml:space="preserve"> </v>
      </c>
    </row>
    <row r="7" spans="1:121">
      <c r="Y7" t="s">
        <v>46</v>
      </c>
      <c r="AC7" s="134">
        <f>IF(A11=0," ",'tosafot '!N2)</f>
        <v>0.04</v>
      </c>
      <c r="AE7" s="243" t="str">
        <f>IF('tosafot '!Q2=9%,9%," ")</f>
        <v xml:space="preserve"> </v>
      </c>
      <c r="AF7" s="243"/>
      <c r="AG7" s="243"/>
      <c r="AH7" s="243"/>
      <c r="AI7" s="243"/>
      <c r="AJ7" s="243"/>
      <c r="AK7" s="243"/>
      <c r="AL7" s="243"/>
      <c r="AM7" s="243"/>
      <c r="AN7" s="217">
        <f>IF(A11=0," ",'tosafot '!Y2)</f>
        <v>0</v>
      </c>
      <c r="AP7" s="243"/>
      <c r="AQ7" s="217">
        <f>IF(A11=0," ",'tosafot '!BW2)</f>
        <v>0</v>
      </c>
      <c r="AT7" s="217">
        <f>IF(A11=0," ",'tosafot '!BY2)</f>
        <v>0</v>
      </c>
      <c r="AU7" s="217">
        <f>IF(A11=0," ",'tosafot '!CA2)</f>
        <v>0</v>
      </c>
      <c r="AV7" s="217">
        <f>+'tosafot '!AZ2</f>
        <v>0</v>
      </c>
      <c r="AW7" s="317"/>
      <c r="AX7" s="317"/>
      <c r="AY7" s="243">
        <f>IF(A11=0," ",'tosafot '!AD2)</f>
        <v>0.3</v>
      </c>
      <c r="AZ7" s="243"/>
      <c r="BA7" s="243"/>
      <c r="BB7" s="243" t="str">
        <f>IF(A11=0," "," ")</f>
        <v xml:space="preserve"> </v>
      </c>
      <c r="BC7" s="243">
        <f>IF(A11=0," ",'tosafot '!BE2)</f>
        <v>0</v>
      </c>
      <c r="BD7" s="243">
        <f>IF(A11=0," ",'tosafot '!BF2)</f>
        <v>0</v>
      </c>
      <c r="BE7" s="243"/>
      <c r="BF7" s="243"/>
      <c r="BG7" s="243"/>
      <c r="BH7" s="243"/>
      <c r="BI7" s="243"/>
      <c r="BJ7" s="243"/>
      <c r="BK7" s="243"/>
      <c r="BL7" s="399">
        <f>+'tosafot '!CQ2</f>
        <v>0</v>
      </c>
      <c r="BM7" s="401">
        <f>+'tosafot '!CR2</f>
        <v>0</v>
      </c>
      <c r="BN7" s="243"/>
      <c r="BO7" s="191">
        <f>+'tosafot '!CT2</f>
        <v>0</v>
      </c>
      <c r="BP7" s="134">
        <f>+'tosafot '!BM2</f>
        <v>0</v>
      </c>
      <c r="BQ7" s="191">
        <f>+'tosafot '!CY2</f>
        <v>0</v>
      </c>
      <c r="BR7" s="191">
        <f>+'tosafot '!CZ3</f>
        <v>0</v>
      </c>
      <c r="BS7" s="134">
        <f>+'tosafot '!DA2</f>
        <v>0</v>
      </c>
      <c r="BT7" s="134">
        <f>+'tosafot '!DB2</f>
        <v>0</v>
      </c>
      <c r="BU7" s="191">
        <f>+'tosafot '!DC2</f>
        <v>0</v>
      </c>
      <c r="BV7" s="6">
        <f>+'tosafot '!DD2</f>
        <v>0</v>
      </c>
      <c r="BW7" s="6">
        <f>+'tosafot '!BO2</f>
        <v>0</v>
      </c>
      <c r="BX7" s="243" t="str">
        <f>IF(A11=0," "," ")</f>
        <v xml:space="preserve"> </v>
      </c>
      <c r="BY7" s="243">
        <f>+'tosafot '!DE2</f>
        <v>0</v>
      </c>
      <c r="BZ7" s="243">
        <f>+'tosafot '!BR2</f>
        <v>0</v>
      </c>
      <c r="CA7" s="243">
        <f>+'tosafot '!CJ2</f>
        <v>0</v>
      </c>
      <c r="CB7" s="134">
        <f>+'tosafot '!CN3</f>
        <v>3.5999999999999997E-2</v>
      </c>
      <c r="CC7" s="243">
        <f>IF(A11=0," ",'tosafot '!CO2)</f>
        <v>0</v>
      </c>
      <c r="CD7" s="134">
        <f>+'tosafot '!CP3</f>
        <v>0</v>
      </c>
      <c r="CF7" s="134">
        <f>+'tos kibutzi'!M1</f>
        <v>0</v>
      </c>
      <c r="CG7" s="134"/>
      <c r="CH7" s="134">
        <f>+'tosafot '!DI2</f>
        <v>0</v>
      </c>
      <c r="CI7" s="243"/>
      <c r="CJ7" s="243"/>
      <c r="CK7" s="134"/>
      <c r="CL7" s="243"/>
      <c r="CM7" s="243"/>
      <c r="CN7" s="243">
        <f>+'tosafot '!AM2</f>
        <v>0</v>
      </c>
      <c r="CS7" s="6">
        <f>+'tosafot '!CH2</f>
        <v>0</v>
      </c>
      <c r="CT7" s="6">
        <f>+'tosafot '!CI2</f>
        <v>0</v>
      </c>
      <c r="CU7" s="6"/>
      <c r="DB7" s="244">
        <f>+'heskem 2016'!B5</f>
        <v>0</v>
      </c>
      <c r="DE7" s="245">
        <f>+'tosafot '!DZ2</f>
        <v>0</v>
      </c>
      <c r="DG7" s="245">
        <f>+'heskem 2023'!C5</f>
        <v>0</v>
      </c>
      <c r="DH7" s="131"/>
      <c r="DI7" s="245"/>
      <c r="DJ7" s="245"/>
    </row>
    <row r="8" spans="1:121">
      <c r="Y8" t="s">
        <v>92</v>
      </c>
      <c r="AC8" s="134"/>
      <c r="AE8" s="243"/>
      <c r="AF8" s="243"/>
      <c r="AG8" s="243"/>
      <c r="AH8" s="243"/>
      <c r="AI8" s="243"/>
      <c r="AJ8" s="243"/>
      <c r="AK8" s="243"/>
      <c r="AL8" s="243"/>
      <c r="AM8" s="243"/>
      <c r="AN8" s="243"/>
      <c r="AP8" s="243"/>
      <c r="AQ8" s="243"/>
      <c r="AT8" s="243"/>
      <c r="AU8" s="217"/>
      <c r="AV8" s="217"/>
      <c r="AW8" s="243"/>
      <c r="AX8" s="243"/>
      <c r="AY8" s="243"/>
      <c r="AZ8" s="243"/>
      <c r="BA8" s="243"/>
      <c r="BB8" s="243"/>
      <c r="BC8" s="243"/>
      <c r="BD8" s="243"/>
      <c r="BE8" s="243"/>
      <c r="BF8" s="243"/>
      <c r="BG8" s="243"/>
      <c r="BH8" s="243"/>
      <c r="BI8" s="243"/>
      <c r="BJ8" s="191">
        <f>+'tosafot '!BL2</f>
        <v>0</v>
      </c>
      <c r="BK8" s="243"/>
      <c r="BL8" s="243"/>
      <c r="BM8" s="243"/>
      <c r="BN8" s="243"/>
      <c r="BO8" s="243"/>
      <c r="BP8" s="243"/>
      <c r="BQ8" s="243"/>
      <c r="BR8" s="243"/>
      <c r="BS8" s="243"/>
      <c r="BT8" s="243"/>
      <c r="BU8" s="243"/>
      <c r="BV8" s="191"/>
      <c r="BW8" s="191"/>
      <c r="BX8" s="191">
        <f>+'tosafot '!BP2</f>
        <v>0</v>
      </c>
      <c r="BY8" s="191"/>
      <c r="BZ8" s="191"/>
      <c r="CA8" s="131"/>
      <c r="CB8" s="134"/>
      <c r="CC8" s="243"/>
      <c r="CD8" s="134"/>
      <c r="CE8">
        <f>+'tosafot '!BS2</f>
        <v>0</v>
      </c>
      <c r="CF8" s="134"/>
      <c r="CG8" s="191">
        <f>+'tosafot '!DG2</f>
        <v>0</v>
      </c>
      <c r="CH8" s="243"/>
      <c r="CI8" s="131">
        <f>+'tosafot '!AP2</f>
        <v>0</v>
      </c>
      <c r="CJ8" s="131">
        <f>+'tosafot '!DK2</f>
        <v>0</v>
      </c>
      <c r="CK8" s="191">
        <f>+'tosafot '!DL2</f>
        <v>0</v>
      </c>
      <c r="CL8" s="131">
        <f>+'4550'!D13</f>
        <v>0</v>
      </c>
      <c r="CM8" s="337">
        <f>+'tosafot '!DF2</f>
        <v>0</v>
      </c>
      <c r="CN8" s="243"/>
      <c r="CO8" s="131">
        <f>+'tosafot '!DQ2</f>
        <v>0</v>
      </c>
      <c r="CP8" s="131">
        <f>+'tosafot '!CG2</f>
        <v>0</v>
      </c>
      <c r="CQ8" s="131">
        <f>+'tosafot '!CE2</f>
        <v>0</v>
      </c>
      <c r="CR8" s="131">
        <f>+'tosafot '!CF2</f>
        <v>0</v>
      </c>
      <c r="CS8" s="131"/>
      <c r="CT8" s="131"/>
      <c r="CU8" s="131">
        <f>+'tosafot '!DU2</f>
        <v>0</v>
      </c>
      <c r="CV8" s="131">
        <f>+'tosafot '!CK2</f>
        <v>0</v>
      </c>
      <c r="CW8" s="131">
        <f>+'tosafot '!CL2</f>
        <v>0</v>
      </c>
      <c r="CX8" s="131">
        <f>+'tosafot '!DH2</f>
        <v>0</v>
      </c>
      <c r="CY8" s="131">
        <f>+'tosafot '!BT2</f>
        <v>0</v>
      </c>
      <c r="CZ8" s="131">
        <f>+'tosafot '!CU2</f>
        <v>0</v>
      </c>
      <c r="DA8" s="131">
        <f>+'tosafot '!DV2</f>
        <v>0</v>
      </c>
      <c r="DB8" s="244"/>
      <c r="DD8" s="18">
        <f>+'tosafot '!DY2</f>
        <v>0</v>
      </c>
      <c r="DE8" s="245"/>
      <c r="DF8" s="131">
        <f>+'tosafot '!EA3</f>
        <v>0</v>
      </c>
      <c r="DI8" s="131">
        <f>+sminimum!M6</f>
        <v>8.6194255897967196</v>
      </c>
      <c r="DJ8" s="131">
        <f>+'Netunei Gimlai'!B18</f>
        <v>0</v>
      </c>
    </row>
    <row r="9" spans="1:121" ht="15" thickBot="1">
      <c r="B9" s="18">
        <f>+'Netunei Gimlai'!B6</f>
        <v>1</v>
      </c>
      <c r="C9" s="18">
        <f>VLOOKUP(B9,'tosafot '!$A$7:$B$234,2,0)</f>
        <v>1.2008000000000001</v>
      </c>
      <c r="D9" s="18">
        <f>+'Netunei Gimlai'!B7</f>
        <v>228</v>
      </c>
      <c r="E9" s="18">
        <f>VLOOKUP(D9,'tosafot '!$A$7:$B$234,2,0)</f>
        <v>12.2026</v>
      </c>
      <c r="Y9" t="s">
        <v>47</v>
      </c>
      <c r="AA9">
        <v>10002</v>
      </c>
      <c r="AB9">
        <v>31</v>
      </c>
      <c r="AC9">
        <v>4624</v>
      </c>
      <c r="AD9" t="s">
        <v>5302</v>
      </c>
      <c r="AE9">
        <v>897</v>
      </c>
      <c r="AF9">
        <v>600</v>
      </c>
      <c r="AG9">
        <v>626</v>
      </c>
      <c r="AH9">
        <v>628</v>
      </c>
      <c r="AI9">
        <v>630</v>
      </c>
      <c r="AJ9">
        <v>636</v>
      </c>
      <c r="AK9">
        <v>657</v>
      </c>
      <c r="AL9">
        <v>669</v>
      </c>
      <c r="AM9">
        <v>681</v>
      </c>
      <c r="AN9">
        <v>697</v>
      </c>
      <c r="AO9">
        <v>705</v>
      </c>
      <c r="AP9">
        <v>728</v>
      </c>
      <c r="AQ9">
        <v>735</v>
      </c>
      <c r="AR9">
        <v>737</v>
      </c>
      <c r="AS9">
        <v>739</v>
      </c>
      <c r="AT9">
        <v>738</v>
      </c>
      <c r="AU9">
        <v>741</v>
      </c>
      <c r="AV9">
        <v>756</v>
      </c>
      <c r="AW9">
        <v>764</v>
      </c>
      <c r="AX9">
        <v>768</v>
      </c>
      <c r="AY9" s="1" t="s">
        <v>5214</v>
      </c>
      <c r="AZ9" s="372">
        <v>805</v>
      </c>
      <c r="BA9" s="372">
        <v>809</v>
      </c>
      <c r="BB9" s="372">
        <v>853</v>
      </c>
      <c r="BC9" s="372">
        <v>858</v>
      </c>
      <c r="BD9">
        <v>875</v>
      </c>
      <c r="BE9">
        <v>883</v>
      </c>
      <c r="BF9" s="372">
        <v>907</v>
      </c>
      <c r="BG9" s="372">
        <v>918</v>
      </c>
      <c r="BH9" s="372">
        <v>955</v>
      </c>
      <c r="BI9" s="372">
        <v>959</v>
      </c>
      <c r="BJ9" s="372">
        <v>1358</v>
      </c>
      <c r="BK9" s="372">
        <v>1389</v>
      </c>
      <c r="BL9" s="372">
        <v>1615</v>
      </c>
      <c r="BM9" s="372">
        <v>1619</v>
      </c>
      <c r="BN9" s="372">
        <v>1657</v>
      </c>
      <c r="BO9" s="372">
        <v>1951</v>
      </c>
      <c r="BP9" s="372">
        <v>4169</v>
      </c>
      <c r="BQ9" s="372">
        <v>4244</v>
      </c>
      <c r="BR9" s="372">
        <v>4318</v>
      </c>
      <c r="BS9" s="372">
        <v>4319</v>
      </c>
      <c r="BT9" s="372">
        <v>4427</v>
      </c>
      <c r="BU9" s="372">
        <v>4428</v>
      </c>
      <c r="BV9" s="372">
        <v>4374</v>
      </c>
      <c r="BW9" s="372">
        <v>4406</v>
      </c>
      <c r="BX9" s="372">
        <v>4453</v>
      </c>
      <c r="BY9" s="372">
        <v>4658</v>
      </c>
      <c r="BZ9" s="372">
        <v>4687</v>
      </c>
      <c r="CA9">
        <v>4932</v>
      </c>
      <c r="CB9" s="394" t="s">
        <v>1434</v>
      </c>
      <c r="CC9">
        <v>1053</v>
      </c>
      <c r="CD9" t="s">
        <v>5230</v>
      </c>
      <c r="CE9">
        <v>4935</v>
      </c>
      <c r="CF9" t="s">
        <v>1427</v>
      </c>
      <c r="CG9">
        <v>5244</v>
      </c>
      <c r="CH9">
        <v>5287</v>
      </c>
      <c r="CI9" s="372" t="s">
        <v>5088</v>
      </c>
      <c r="CJ9" s="372">
        <v>5536</v>
      </c>
      <c r="CK9">
        <v>5548</v>
      </c>
      <c r="CL9" t="s">
        <v>5202</v>
      </c>
      <c r="CM9" t="s">
        <v>5203</v>
      </c>
      <c r="CN9" t="s">
        <v>5087</v>
      </c>
      <c r="CO9">
        <v>927</v>
      </c>
      <c r="CP9">
        <v>4147</v>
      </c>
      <c r="CQ9">
        <v>1961</v>
      </c>
      <c r="CR9">
        <v>1967</v>
      </c>
      <c r="CS9" s="372" t="s">
        <v>5093</v>
      </c>
      <c r="CT9">
        <v>4221</v>
      </c>
      <c r="CU9">
        <v>4643</v>
      </c>
      <c r="CV9" s="1">
        <v>5251</v>
      </c>
      <c r="CW9" s="1" t="s">
        <v>1433</v>
      </c>
      <c r="CX9">
        <v>5254</v>
      </c>
      <c r="CY9">
        <v>5268</v>
      </c>
      <c r="CZ9">
        <v>5270</v>
      </c>
      <c r="DA9">
        <v>2086</v>
      </c>
      <c r="DB9" s="372" t="s">
        <v>5231</v>
      </c>
      <c r="DC9" t="s">
        <v>1436</v>
      </c>
      <c r="DD9">
        <v>2028</v>
      </c>
      <c r="DE9">
        <v>2029</v>
      </c>
      <c r="DF9" t="s">
        <v>1428</v>
      </c>
      <c r="DG9">
        <v>5533</v>
      </c>
      <c r="DH9">
        <v>99998</v>
      </c>
      <c r="DI9">
        <v>1699</v>
      </c>
      <c r="DJ9">
        <v>4643</v>
      </c>
      <c r="DK9">
        <v>99999</v>
      </c>
      <c r="DO9">
        <v>220</v>
      </c>
    </row>
    <row r="10" spans="1:121" s="142" customFormat="1" ht="58.8" thickTop="1" thickBot="1">
      <c r="A10" s="141" t="s">
        <v>48</v>
      </c>
      <c r="B10" s="140" t="s">
        <v>49</v>
      </c>
      <c r="C10" s="140" t="s">
        <v>9</v>
      </c>
      <c r="D10" s="140" t="s">
        <v>50</v>
      </c>
      <c r="E10" s="140" t="s">
        <v>12</v>
      </c>
      <c r="F10" s="138" t="s">
        <v>51</v>
      </c>
      <c r="G10" s="140" t="s">
        <v>7</v>
      </c>
      <c r="H10" s="139" t="s">
        <v>52</v>
      </c>
      <c r="I10" s="140" t="s">
        <v>53</v>
      </c>
      <c r="J10" s="140" t="s">
        <v>54</v>
      </c>
      <c r="K10" s="139" t="s">
        <v>55</v>
      </c>
      <c r="L10" s="140" t="s">
        <v>5305</v>
      </c>
      <c r="M10" s="140" t="s">
        <v>5307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70</v>
      </c>
      <c r="AD10" s="140" t="s">
        <v>71</v>
      </c>
      <c r="AE10" s="140" t="s">
        <v>72</v>
      </c>
      <c r="AF10" s="140" t="s">
        <v>803</v>
      </c>
      <c r="AG10" s="140" t="s">
        <v>1202</v>
      </c>
      <c r="AH10" s="140" t="s">
        <v>807</v>
      </c>
      <c r="AI10" s="140" t="s">
        <v>1408</v>
      </c>
      <c r="AJ10" s="140" t="s">
        <v>20</v>
      </c>
      <c r="AK10" s="140" t="s">
        <v>5161</v>
      </c>
      <c r="AL10" s="140" t="s">
        <v>1199</v>
      </c>
      <c r="AM10" s="140" t="s">
        <v>5164</v>
      </c>
      <c r="AN10" s="140" t="s">
        <v>1420</v>
      </c>
      <c r="AO10" s="140" t="s">
        <v>25</v>
      </c>
      <c r="AP10" s="140" t="s">
        <v>1201</v>
      </c>
      <c r="AQ10" s="140" t="s">
        <v>5086</v>
      </c>
      <c r="AR10" s="140" t="s">
        <v>1364</v>
      </c>
      <c r="AS10" s="140" t="s">
        <v>1332</v>
      </c>
      <c r="AT10" s="140" t="s">
        <v>1376</v>
      </c>
      <c r="AU10" s="140" t="s">
        <v>27</v>
      </c>
      <c r="AV10" s="140" t="s">
        <v>855</v>
      </c>
      <c r="AW10" s="140" t="s">
        <v>20</v>
      </c>
      <c r="AX10" s="140" t="s">
        <v>3398</v>
      </c>
      <c r="AY10" s="140" t="s">
        <v>11</v>
      </c>
      <c r="AZ10" s="140" t="s">
        <v>868</v>
      </c>
      <c r="BA10" s="140" t="s">
        <v>5167</v>
      </c>
      <c r="BB10" s="140" t="s">
        <v>5173</v>
      </c>
      <c r="BC10" s="140" t="s">
        <v>855</v>
      </c>
      <c r="BD10" s="140" t="s">
        <v>879</v>
      </c>
      <c r="BE10" s="140" t="s">
        <v>1536</v>
      </c>
      <c r="BF10" s="140" t="s">
        <v>5176</v>
      </c>
      <c r="BG10" s="140" t="s">
        <v>1332</v>
      </c>
      <c r="BH10" s="140" t="s">
        <v>5275</v>
      </c>
      <c r="BI10" s="140" t="s">
        <v>2013</v>
      </c>
      <c r="BJ10" s="140" t="s">
        <v>5226</v>
      </c>
      <c r="BK10" s="140" t="s">
        <v>1588</v>
      </c>
      <c r="BL10" s="140" t="s">
        <v>2380</v>
      </c>
      <c r="BM10" s="140" t="s">
        <v>931</v>
      </c>
      <c r="BN10" s="140" t="s">
        <v>985</v>
      </c>
      <c r="BO10" s="140" t="s">
        <v>5276</v>
      </c>
      <c r="BP10" s="140" t="s">
        <v>5206</v>
      </c>
      <c r="BQ10" s="140" t="s">
        <v>5274</v>
      </c>
      <c r="BR10" s="140" t="s">
        <v>968</v>
      </c>
      <c r="BS10" s="140" t="s">
        <v>5263</v>
      </c>
      <c r="BT10" s="140" t="s">
        <v>5269</v>
      </c>
      <c r="BU10" s="140" t="s">
        <v>988</v>
      </c>
      <c r="BV10" s="140" t="s">
        <v>973</v>
      </c>
      <c r="BW10" s="140" t="s">
        <v>5209</v>
      </c>
      <c r="BX10" s="140" t="s">
        <v>989</v>
      </c>
      <c r="BY10" s="140" t="s">
        <v>1661</v>
      </c>
      <c r="BZ10" s="140" t="s">
        <v>954</v>
      </c>
      <c r="CA10" s="140" t="s">
        <v>5213</v>
      </c>
      <c r="CB10" s="140" t="s">
        <v>75</v>
      </c>
      <c r="CC10" s="140" t="s">
        <v>38</v>
      </c>
      <c r="CD10" s="140" t="s">
        <v>76</v>
      </c>
      <c r="CE10" s="140" t="s">
        <v>1030</v>
      </c>
      <c r="CF10" s="140" t="s">
        <v>77</v>
      </c>
      <c r="CG10" s="140" t="s">
        <v>1717</v>
      </c>
      <c r="CH10" s="140" t="s">
        <v>1724</v>
      </c>
      <c r="CI10" s="140" t="s">
        <v>73</v>
      </c>
      <c r="CJ10" s="140" t="s">
        <v>5153</v>
      </c>
      <c r="CK10" s="140" t="s">
        <v>5155</v>
      </c>
      <c r="CL10" s="140" t="s">
        <v>1426</v>
      </c>
      <c r="CM10" s="140" t="s">
        <v>41</v>
      </c>
      <c r="CN10" s="140" t="s">
        <v>20</v>
      </c>
      <c r="CO10" s="140" t="s">
        <v>34</v>
      </c>
      <c r="CP10" s="140" t="s">
        <v>35</v>
      </c>
      <c r="CQ10" s="140" t="s">
        <v>36</v>
      </c>
      <c r="CR10" s="140" t="s">
        <v>36</v>
      </c>
      <c r="CS10" s="140" t="s">
        <v>5068</v>
      </c>
      <c r="CT10" s="140" t="s">
        <v>5069</v>
      </c>
      <c r="CU10" s="140" t="s">
        <v>1016</v>
      </c>
      <c r="CV10" s="140" t="s">
        <v>1718</v>
      </c>
      <c r="CW10" s="140" t="s">
        <v>78</v>
      </c>
      <c r="CX10" s="140" t="s">
        <v>78</v>
      </c>
      <c r="CY10" s="140" t="s">
        <v>5149</v>
      </c>
      <c r="CZ10" s="140" t="s">
        <v>32</v>
      </c>
      <c r="DA10" s="140" t="s">
        <v>23</v>
      </c>
      <c r="DB10" s="140" t="s">
        <v>79</v>
      </c>
      <c r="DC10" s="140" t="s">
        <v>80</v>
      </c>
      <c r="DD10" s="140" t="s">
        <v>30</v>
      </c>
      <c r="DE10" s="140" t="s">
        <v>81</v>
      </c>
      <c r="DF10" s="139" t="s">
        <v>82</v>
      </c>
      <c r="DG10" s="139" t="s">
        <v>1369</v>
      </c>
      <c r="DH10" s="139" t="s">
        <v>1431</v>
      </c>
      <c r="DI10" s="139" t="s">
        <v>1400</v>
      </c>
      <c r="DJ10" s="139" t="s">
        <v>1269</v>
      </c>
      <c r="DK10" s="141" t="s">
        <v>83</v>
      </c>
      <c r="DL10" s="141" t="s">
        <v>4</v>
      </c>
      <c r="DM10" s="141" t="s">
        <v>2</v>
      </c>
      <c r="DN10" s="141" t="s">
        <v>84</v>
      </c>
      <c r="DO10" s="141" t="s">
        <v>85</v>
      </c>
      <c r="DP10" s="141" t="s">
        <v>86</v>
      </c>
      <c r="DQ10" s="141" t="s">
        <v>87</v>
      </c>
    </row>
    <row r="11" spans="1:121" s="18" customFormat="1" ht="15" thickTop="1">
      <c r="A11" s="132">
        <f>IF(B9&gt;D9,0,1)</f>
        <v>1</v>
      </c>
      <c r="B11" s="18">
        <f>IF(A11=0," ",B9)</f>
        <v>1</v>
      </c>
      <c r="C11" s="18">
        <f>IF(A11=0," ",VLOOKUP(B11,'tosafot '!$A$7:$B$234,2,0))</f>
        <v>1.2008000000000001</v>
      </c>
      <c r="D11" s="220">
        <f>IF(A11=0," ",+'Netunei Gimlai'!B7)</f>
        <v>228</v>
      </c>
      <c r="E11" s="130">
        <f>IF(A11=0," ",VLOOKUP(D11,'tosafot '!$A$7:$B$234,2,0))</f>
        <v>12.2026</v>
      </c>
      <c r="F11" s="126">
        <f>IF(A11=0," ",+'Netunei Gimlai'!B4)</f>
        <v>9</v>
      </c>
      <c r="G11" s="18" t="str">
        <f>IF(A11=0," ",VLOOKUP(F11,MISRAD!$A$5:$B$81,2,0))</f>
        <v>הבריאות</v>
      </c>
      <c r="H11" s="189">
        <f>IF(A11=0," ",VLOOKUP(F11,MISRAD!$A$5:$D$81,4,0))</f>
        <v>107</v>
      </c>
      <c r="I11" s="18">
        <f>IF(A11=0," ",+'Netunei Gimlai'!B9)</f>
        <v>1</v>
      </c>
      <c r="J11" s="18" t="str">
        <f>IF(A11=0," ",VLOOKUP('Netunei Gimlai'!B9,DERUG!$A$3:$B$64,2,0))</f>
        <v>מינהלי - עובדי מדינה</v>
      </c>
      <c r="K11" s="190">
        <f>IF(A11=0," ",VLOOKUP(I11,DERUG!$A$3:$D$64,4,0))</f>
        <v>1</v>
      </c>
      <c r="L11" s="18">
        <f>IF(A11=0," ",VLOOKUP(K11,'hashlamat sachar 4643'!B4:C5,2,0))</f>
        <v>12</v>
      </c>
      <c r="M11" s="129" t="str">
        <f>IF(A11=0," ",VLOOKUP(L11,'hashlamat sachar 4643'!C4:D5,2,0))</f>
        <v>17+</v>
      </c>
      <c r="N11" s="189"/>
      <c r="O11" s="132" cm="1">
        <f t="array" ref="O11">IF(A11=0," ",INDEX(kodderugdarga!$AJ$3:$AT$112,L11,K11))</f>
        <v>1012</v>
      </c>
      <c r="P11" s="127">
        <f>IF(A11=0," ",VLOOKUP(I11,DERUG!A3:E64,5,0))</f>
        <v>37</v>
      </c>
      <c r="Q11" s="127">
        <f>IF(A11=0," ",MIN(+'Netunei Gimlai'!B15,P11))</f>
        <v>22.75</v>
      </c>
      <c r="R11" s="18">
        <f>IF(A11=0," ",VLOOKUP(Q11,vetek!$A$3:$B$163,2,1))</f>
        <v>92</v>
      </c>
      <c r="S11" s="130">
        <f>IF(A11=0," ",vetek!T10)</f>
        <v>1.2540512286990533</v>
      </c>
      <c r="T11" s="135">
        <f>IF(A11=0," ",+'heskem 2016'!B5)</f>
        <v>0</v>
      </c>
      <c r="U11" s="127">
        <f>IF(A11=0," ",+'heskem 2016'!B6)</f>
        <v>0</v>
      </c>
      <c r="V11" s="216">
        <v>0</v>
      </c>
      <c r="W11" s="218">
        <v>0</v>
      </c>
      <c r="X11" s="219">
        <v>0</v>
      </c>
      <c r="Y11" s="131">
        <f>IF(A11=0," ",VLOOKUP(L11,DARGA!C2:D111,2,0))</f>
        <v>2438.5</v>
      </c>
      <c r="Z11" s="131">
        <f>IF(A11=0," ",+Y11*(S11-1))</f>
        <v>619.50392118264142</v>
      </c>
      <c r="AA11" s="242">
        <f>+Y11+Z11</f>
        <v>3058.0039211826415</v>
      </c>
      <c r="AB11" s="131">
        <f>IF(A11=0," ",'tosafot '!L2)</f>
        <v>0</v>
      </c>
      <c r="AC11" s="136">
        <f>IF(A11=0," ",(+AA11+AF11+AL11+AP11+AW11)*AC7)</f>
        <v>139.48055684730568</v>
      </c>
      <c r="AD11" s="136">
        <f>IF(A11=0," ",'tosafot '!O2)</f>
        <v>0</v>
      </c>
      <c r="AE11" s="131">
        <f>IF('tosafot '!Q2=0.09,SUM(Y11:Z11)*9%,'tosafot '!Q2)</f>
        <v>0</v>
      </c>
      <c r="AF11" s="191">
        <f>IF(A11=0," ",'tosafot '!T2)</f>
        <v>75.260000000000005</v>
      </c>
      <c r="AG11" s="191">
        <f>IF(A11=0," ",'tosafot '!U2)</f>
        <v>0</v>
      </c>
      <c r="AH11" s="191">
        <f>IF(A11=0," ",'tosafot '!AS2)</f>
        <v>0</v>
      </c>
      <c r="AI11" s="191">
        <f>IF(A11=0," ",'tosafot '!AT2)</f>
        <v>0</v>
      </c>
      <c r="AJ11" s="191">
        <f>IF(A11=0," ",'tosafot '!V2)</f>
        <v>0</v>
      </c>
      <c r="AK11" s="191">
        <f>IF(A11=0," ",'tosafot '!AV2)</f>
        <v>0</v>
      </c>
      <c r="AL11" s="191">
        <f>IF(A11=0," ",'tosafot '!X2)</f>
        <v>0</v>
      </c>
      <c r="AM11" s="191">
        <f>IF(A11=0," ",'tosafot '!AY2)</f>
        <v>0</v>
      </c>
      <c r="AN11" s="131">
        <f>AA11*AN7</f>
        <v>0</v>
      </c>
      <c r="AO11" s="131">
        <f>IF(A11=0," ",'tosafot '!BV2)</f>
        <v>0</v>
      </c>
      <c r="AP11" s="191">
        <f>IF(A11=0," ",'tosafot '!Z2)</f>
        <v>0</v>
      </c>
      <c r="AQ11" s="191">
        <f>(AA11+AD11+AE11+AU11+CB11+CD11+CF11+CL11+AO11+AV11+CM11)*AQ7</f>
        <v>0</v>
      </c>
      <c r="AR11" s="131">
        <f>IF(A11=0," ",'tosafot '!BX2)</f>
        <v>0</v>
      </c>
      <c r="AS11" s="131">
        <f>IF(A11=0," ",'tosafot '!BZ2)</f>
        <v>0</v>
      </c>
      <c r="AT11" s="131">
        <f>+(AA11+AC11+AD11+AE11+AF11+AG11+AO11+AU11+BF11+BK11+BN11+CA11+CB11+CD11+CF11+CL11+CM11)*AT7</f>
        <v>0</v>
      </c>
      <c r="AU11" s="223">
        <f>(AA11+AB11+AC11+AD11+AE11+AF11+AG11+AL11+AW11+AP11+AO11+BF11+BN11)*AU7</f>
        <v>0</v>
      </c>
      <c r="AV11" s="223">
        <f>+(AA11+AC11)*AV7</f>
        <v>0</v>
      </c>
      <c r="AW11" s="191">
        <f>IF(A11=0," ",'tosafot '!AC2)</f>
        <v>353.75</v>
      </c>
      <c r="AX11" s="191">
        <f>IF(A11=0," ",'tosafot '!BA2)</f>
        <v>0</v>
      </c>
      <c r="AY11" s="191">
        <f>+(AA11+AC11)*AY7</f>
        <v>959.24534340898413</v>
      </c>
      <c r="AZ11" s="191">
        <f>IF(A11=0," ",'tosafot '!BB2)</f>
        <v>0</v>
      </c>
      <c r="BA11" s="191">
        <f>IF(A11=0," ",'tosafot '!BC2)</f>
        <v>0</v>
      </c>
      <c r="BB11" s="191">
        <f>IF(A11=0," ",'tosafot '!BD2)</f>
        <v>0</v>
      </c>
      <c r="BC11" s="191">
        <f>+AA11*BC7</f>
        <v>0</v>
      </c>
      <c r="BD11" s="191">
        <f>(+AA11+AC11)*BD7</f>
        <v>0</v>
      </c>
      <c r="BE11" s="191">
        <f>IF(A11=0," ",'tosafot '!BG2)</f>
        <v>0</v>
      </c>
      <c r="BF11" s="191">
        <f>IF(A11=0," ",'tosafot '!BH2)</f>
        <v>0</v>
      </c>
      <c r="BG11" s="191">
        <f>IF(A11=0," ",'tosafot '!BI2)</f>
        <v>0</v>
      </c>
      <c r="BH11" s="191">
        <f>IF(A11=0," ",'tosafot '!CM2)</f>
        <v>0</v>
      </c>
      <c r="BI11" s="191">
        <f>IF(A11=0," ",'tosafot '!AG2)</f>
        <v>0</v>
      </c>
      <c r="BJ11" s="191">
        <f>IF(A11=0," ",'tosafot '!BL2)</f>
        <v>0</v>
      </c>
      <c r="BK11" s="191">
        <f>IF(A11=0," ",'tosafot '!CC2)</f>
        <v>0</v>
      </c>
      <c r="BL11" s="191">
        <f>+(AA11+AD11+AE11+BM11+BQ11)*BL7</f>
        <v>0</v>
      </c>
      <c r="BM11" s="191">
        <f>+BM7</f>
        <v>0</v>
      </c>
      <c r="BN11" s="191">
        <f>IF(A11=0," ",'tosafot '!CS2)</f>
        <v>0</v>
      </c>
      <c r="BO11" s="191">
        <f>+BO7</f>
        <v>0</v>
      </c>
      <c r="BP11" s="191">
        <f>+BP7*AA11</f>
        <v>0</v>
      </c>
      <c r="BQ11" s="191">
        <f>+BQ7</f>
        <v>0</v>
      </c>
      <c r="BR11" s="191">
        <f>+BR7</f>
        <v>0</v>
      </c>
      <c r="BS11" s="191">
        <f>+(AA11+AD11+AE11)*BS7</f>
        <v>0</v>
      </c>
      <c r="BT11" s="191">
        <f>+(AA11+AD11+AE11+BR11+BS11)*BT7</f>
        <v>0</v>
      </c>
      <c r="BU11" s="191">
        <f>+BU7</f>
        <v>0</v>
      </c>
      <c r="BV11" s="191">
        <f>+BV7*AA11</f>
        <v>0</v>
      </c>
      <c r="BW11" s="191">
        <f>+BW7*(+AA11+AC11)</f>
        <v>0</v>
      </c>
      <c r="BX11" s="191">
        <f>IF(A11=0," ",'tosafot '!BP2)</f>
        <v>0</v>
      </c>
      <c r="BY11" s="191">
        <f>+AA11*BY7</f>
        <v>0</v>
      </c>
      <c r="BZ11" s="191">
        <f>+AA11*BZ7</f>
        <v>0</v>
      </c>
      <c r="CA11" s="136">
        <f>+AA11*CA7</f>
        <v>0</v>
      </c>
      <c r="CB11" s="131">
        <f>+(AA11+AB11+AC11+AD11+AE11+AF11+AG11+AH11+AI11+AL11+AN11+AM11+AO11+AP11+AU11+AV11+AW11+AX11+BA11+BC11+BH11+BO11+BQ11+BY11+BR11+BS11+BT11+BU11+CC11+AY11+BB11+BD11+BE11+BF11+BJ11+BK11+BL11+BM11+BN11+BP11+BV11+BW11+BX11+BZ11+CA11+CG11+CI11+CK11+CL11+CM11+CY11)*CB7</f>
        <v>165.08663357180151</v>
      </c>
      <c r="CC11" s="191">
        <f>+AA11*CC7</f>
        <v>0</v>
      </c>
      <c r="CD11" s="136">
        <f>IF(A11=0," ",+(AA11+AB11+AC11+AD11+AE11+AF11+AG11+AH11+AI11+AJ11+AL11+AM11+AN11+AO11+AP11+AU11+AV11+AW11+AX11+AY11+BA11+BC11+BB11+BD11+BE11+BF11+BH11+BJ11+BK11+BL11+BM11+BO11+BQ11+BY11+BN11+BP11+BR11+BS11+BT11+BU11+BV11+BW11+BX11+BZ11+CA11+CB11+CC11+CE11+CG11+CI11+CK11+CL11+CM11+CY11)*CD7)</f>
        <v>0</v>
      </c>
      <c r="CE11" s="191">
        <f>IF(A11=0," ",'tosafot '!BS2)</f>
        <v>0</v>
      </c>
      <c r="CF11" s="136">
        <f>IF(A11=0," ",+(AA11+AB11+AC11+AD11+AE11+AF11+AG11+AH11+AI11+AJ11+AL11+AM11+AN11+AO11+AP11+AU11+AV11+AW11+AX11+AY11+BA11+BB11+BC11+BD11+BE11+BF11+BJ11+BK11++BL11+BM11+BQ11+BY11+BN11+BP11+BR11+BS11+BT11+BU11+BV11+BW11+BX11+BZ11+CA11+CB11+CC11+CD11+CE11+CI11+CK11+CL11+CM11+CY11)*CF7)</f>
        <v>0</v>
      </c>
      <c r="CG11" s="191">
        <f>IF(A11=0," ",CG8)</f>
        <v>0</v>
      </c>
      <c r="CH11" s="136">
        <f>+AA11*CH7</f>
        <v>0</v>
      </c>
      <c r="CI11" s="191">
        <f>IF(A11=0," ",CI8)</f>
        <v>0</v>
      </c>
      <c r="CJ11" s="191">
        <f>IF(A11=0," ",CJ8)</f>
        <v>0</v>
      </c>
      <c r="CK11" s="131">
        <f>IF(A11=0," ",CK8)</f>
        <v>0</v>
      </c>
      <c r="CL11" s="136">
        <f>IF(A11=0," ",+CL8)</f>
        <v>0</v>
      </c>
      <c r="CM11" s="131">
        <f>IF(A11=0," ",'tosafot '!DF2)</f>
        <v>0</v>
      </c>
      <c r="CN11" s="136">
        <f>+(AA11+AC11+AD11+AE11+AF11+AG11+AL11+AW11+AP11+AY11+CB11+CD11+CM11)*CN7</f>
        <v>0</v>
      </c>
      <c r="CO11" s="131">
        <f>IF(A11=0," ",CO8)</f>
        <v>0</v>
      </c>
      <c r="CP11" s="131">
        <f>IF(A11=0," ",CP8)</f>
        <v>0</v>
      </c>
      <c r="CQ11" s="131">
        <f>IF(A11=0," ",CQ8)</f>
        <v>0</v>
      </c>
      <c r="CR11" s="131">
        <f>IF(A11=0," ",CR8)</f>
        <v>0</v>
      </c>
      <c r="CS11" s="131">
        <f>IF(A11=0," ",+(AA11+AD11+AE11+AO11+AQ11+AU11+AV11+CB11+CD11+CF11+CL11+CM11+CU11+CX11+DB11+DG11)*CS7)</f>
        <v>0</v>
      </c>
      <c r="CT11" s="131">
        <f>IF(A11=0," ",+(AA11+AD11+AE11+AO11+AQ11+AU11+AV11+CB11+CD11+CF11+CM11+CX11+DB11+DG11)*CT7)</f>
        <v>0</v>
      </c>
      <c r="CU11" s="131">
        <f>IF(A11=0," ",CU8)</f>
        <v>0</v>
      </c>
      <c r="CV11" s="131">
        <f>IF(A11=0," ",CV8)</f>
        <v>0</v>
      </c>
      <c r="CW11" s="131">
        <f>IF(A11=0," ",CW8)</f>
        <v>0</v>
      </c>
      <c r="CX11" s="131">
        <f>IF(A11=0," ",CX8)</f>
        <v>0</v>
      </c>
      <c r="CY11" s="131">
        <f>IF(A11=0," ",CY8)</f>
        <v>0</v>
      </c>
      <c r="CZ11" s="131">
        <f>IF(A11=0," ",CZ8)</f>
        <v>0</v>
      </c>
      <c r="DA11" s="136">
        <f>IF(A11=0," ",DA8)</f>
        <v>0</v>
      </c>
      <c r="DB11" s="136">
        <f>IF(A11=0," ",(+AA11+AB11+AC11+AD11+AE11+AF11+AG11+AH11+AI11+AJ11+AL11+AM11+AN11+AO11+AP11+AU11+AV11+AW11+AX11+AY11+BA11+BB11+BC11+BD11+BE11+BF11+BJ11+BK11+BL11+BM11+BQ11+BY11+BN11+BP11+BR11+BS11+BT11+BU11+BV11+BW11+BX11+BZ11+CA11+CB11+CC11+CD11+CF11+CK11+CL11+CM11+CN11+CO11+CY11+CZ11+DA11-CE11*(CD7+CF7))*T11)</f>
        <v>0</v>
      </c>
      <c r="DC11" s="131">
        <f t="shared" ref="DC11:DC74" si="13">IF(A11=0," ",+U11)</f>
        <v>0</v>
      </c>
      <c r="DD11" s="131">
        <f>IF(A11=0," ",DD8)</f>
        <v>0</v>
      </c>
      <c r="DE11" s="131">
        <f>+(AA11+AB11+AC11+AD11+AE11+AO11+AU11+CC11+AY11+BA11+BE11+CI11+CB11+CK11+CD11)*DE7</f>
        <v>0</v>
      </c>
      <c r="DF11" s="136">
        <f>IF(A11=0," ",DF8)</f>
        <v>0</v>
      </c>
      <c r="DG11" s="136">
        <f>IF(A11=0," ",(AA11+AB11+AC11+AD11+AE11+AF11+AG11+AH11+AI11+AJ11+AL11+AM11+AN11+AO11+AP11+AU11+AV11+AW11+AX11+AY11+BA11+BB11+BC11+BD11+BE11+BF11+BJ11+BK11+BL11+BM11+BQ11+BY11+BN11+BP11+BR11+BS11+BT11+BU11+BV11+BW11+BX11+BZ11+CA11+CB11+CC11+CD11+CF11+CI11+CK11+CL11+CM11+CN11+CO11+CR11+CY11+CZ11+DA11+DB11-CE11*(CD7+CF7))*DG7)</f>
        <v>0</v>
      </c>
      <c r="DH11" s="136">
        <v>1E-3</v>
      </c>
      <c r="DI11" s="136">
        <f>IF(A11=0," ",+DI8)</f>
        <v>8.6194255897967196</v>
      </c>
      <c r="DJ11" s="136">
        <f>IF(A11=0," ",+DJ8)</f>
        <v>0</v>
      </c>
      <c r="DK11" s="137">
        <f>IF(A11=0," ",SUM(AA11:DJ11))</f>
        <v>4759.4468806005298</v>
      </c>
      <c r="DL11" s="225" t="e">
        <f>IF(A11=0," ",+'Netunei Gimlai'!#REF!)</f>
        <v>#REF!</v>
      </c>
      <c r="DM11" s="225" t="e">
        <f>IF(A11=0," ",'Netunei Gimlai'!#REF!)</f>
        <v>#REF!</v>
      </c>
      <c r="DN11" s="226" t="e">
        <f t="shared" ref="DN11:DN74" si="14">IF(A11=0," ",+DK11*DL11*DM11)</f>
        <v>#REF!</v>
      </c>
      <c r="DO11" s="226">
        <f>IF(A11=0," ",+DK11*3.82%)</f>
        <v>181.81087083894022</v>
      </c>
      <c r="DP11" s="226" t="e">
        <f>IF(A11=0," ",+DO11*DL11*DM11)</f>
        <v>#REF!</v>
      </c>
      <c r="DQ11" s="226" t="e">
        <f>IF(A11=0," ",+DN11+DP11)</f>
        <v>#REF!</v>
      </c>
    </row>
    <row r="12" spans="1:121" s="18" customFormat="1">
      <c r="A12" s="132">
        <f t="shared" ref="A12:A75" si="15">IF(A11=0,0,IF(B11+1&gt;$D$9,0,A11+1))</f>
        <v>2</v>
      </c>
      <c r="B12" s="18">
        <f>IF(A12=0," ",B11+1)</f>
        <v>2</v>
      </c>
      <c r="C12" s="18">
        <f>IF(A12=0," ",VLOOKUP(B12,'tosafot '!$A$7:$B$234,2,0))</f>
        <v>2.2008000000000001</v>
      </c>
      <c r="D12" s="220">
        <f>IF(A12=0," ",+D11)</f>
        <v>228</v>
      </c>
      <c r="E12" s="130">
        <f>IF(A12=0," ",+E11)</f>
        <v>12.2026</v>
      </c>
      <c r="F12" s="126">
        <f>IF(A12=0," ",+F11)</f>
        <v>9</v>
      </c>
      <c r="G12" s="18" t="str">
        <f>IF(A12=0," ",+G11)</f>
        <v>הבריאות</v>
      </c>
      <c r="H12" s="189">
        <f>IF(A12=0," ",+H11)</f>
        <v>107</v>
      </c>
      <c r="I12" s="18">
        <f>IF(A12=0," ",+I11)</f>
        <v>1</v>
      </c>
      <c r="J12" s="18" t="str">
        <f>IF(A12=0," ",+J11)</f>
        <v>מינהלי - עובדי מדינה</v>
      </c>
      <c r="K12" s="189">
        <f>IF(A12=0," ",+K11)</f>
        <v>1</v>
      </c>
      <c r="L12" s="18">
        <f>IF(A12=0," ",+L11)</f>
        <v>12</v>
      </c>
      <c r="M12" s="129" t="str">
        <f>IF(A12=0," ",+M11)</f>
        <v>17+</v>
      </c>
      <c r="N12" s="189"/>
      <c r="O12" s="132">
        <f>IF(A12=0," ",+O11)</f>
        <v>1012</v>
      </c>
      <c r="P12" s="127">
        <f>IF(A12=0," ",P11)</f>
        <v>37</v>
      </c>
      <c r="Q12" s="127">
        <f>IF(A12=0," ",+Q11)</f>
        <v>22.75</v>
      </c>
      <c r="R12" s="128">
        <f>IF(A12=0," ",+R11)</f>
        <v>92</v>
      </c>
      <c r="S12" s="130">
        <f>IF(A12=0," ",+S11)</f>
        <v>1.2540512286990533</v>
      </c>
      <c r="T12" s="135">
        <f t="shared" ref="T12:T75" si="16">IF(A12=0," ",+T11)</f>
        <v>0</v>
      </c>
      <c r="U12" s="127">
        <f t="shared" ref="U12:U75" si="17">IF(A12=0," ",+U11)</f>
        <v>0</v>
      </c>
      <c r="V12" s="217">
        <v>0</v>
      </c>
      <c r="W12" s="191">
        <v>0</v>
      </c>
      <c r="X12" s="133">
        <v>0</v>
      </c>
      <c r="Y12" s="131">
        <f t="shared" ref="Y12:Y75" si="18">IF(A12=0," ",+Y11)</f>
        <v>2438.5</v>
      </c>
      <c r="Z12" s="131">
        <f t="shared" ref="Z12:Z75" si="19">IF(A12=0," ",+Z11)</f>
        <v>619.50392118264142</v>
      </c>
      <c r="AA12" s="242">
        <f t="shared" ref="AA12:AA75" si="20">IF(A12=0," ",AA11)</f>
        <v>3058.0039211826415</v>
      </c>
      <c r="AB12" s="131">
        <f t="shared" ref="AB12:AB75" si="21">IF(A12=0," ",AB11)</f>
        <v>0</v>
      </c>
      <c r="AC12" s="131">
        <f t="shared" ref="AC12:AC75" si="22">IF(A12=0," ",AC11)</f>
        <v>139.48055684730568</v>
      </c>
      <c r="AD12" s="131">
        <f t="shared" ref="AD12:AD75" si="23">IF(A12=0," ",AD11)</f>
        <v>0</v>
      </c>
      <c r="AE12" s="131">
        <f t="shared" ref="AE12:AE75" si="24">IF(A12=0," ",AE11)</f>
        <v>0</v>
      </c>
      <c r="AF12" s="131">
        <f t="shared" ref="AF12:AF75" si="25">IF(A12=0," ",AF11)</f>
        <v>75.260000000000005</v>
      </c>
      <c r="AG12" s="131">
        <f t="shared" ref="AG12:AG75" si="26">IF(A12=0," ",AG11)</f>
        <v>0</v>
      </c>
      <c r="AH12" s="131">
        <f t="shared" ref="AH12:AH75" si="27">IF(A12=0," ",AH11)</f>
        <v>0</v>
      </c>
      <c r="AI12" s="131">
        <f t="shared" ref="AI12:AI75" si="28">IF(A12=0," ",AI11)</f>
        <v>0</v>
      </c>
      <c r="AJ12" s="131">
        <f t="shared" ref="AJ12:AJ75" si="29">IF(A12=0," ",AJ11)</f>
        <v>0</v>
      </c>
      <c r="AK12" s="191">
        <f>IF(A12=0," ",AK11)</f>
        <v>0</v>
      </c>
      <c r="AL12" s="131">
        <f t="shared" ref="AL12:AL75" si="30">IF(A12=0," ",AL11)</f>
        <v>0</v>
      </c>
      <c r="AM12" s="131">
        <f>IF(A11=0," ",AM11)</f>
        <v>0</v>
      </c>
      <c r="AN12" s="131">
        <f t="shared" ref="AN12:AN75" si="31">IF(A12=0," ",AN11)</f>
        <v>0</v>
      </c>
      <c r="AO12" s="131">
        <f t="shared" ref="AO12:AO75" si="32">IF(A12=0," ",AO11)</f>
        <v>0</v>
      </c>
      <c r="AP12" s="131">
        <f t="shared" ref="AP12:AP75" si="33">IF(A12=0," ",AP11)</f>
        <v>0</v>
      </c>
      <c r="AQ12" s="131">
        <f>IF(A12=0," ",AQ11)</f>
        <v>0</v>
      </c>
      <c r="AR12" s="131">
        <f t="shared" ref="AR12:AR75" si="34">IF(A12=0," ",AR11)</f>
        <v>0</v>
      </c>
      <c r="AS12" s="131">
        <f>IF(A12=0," ",AS11)</f>
        <v>0</v>
      </c>
      <c r="AT12" s="131">
        <f t="shared" ref="AT12:AT75" si="35">IF(A12=0," ",AT11)</f>
        <v>0</v>
      </c>
      <c r="AU12" s="131">
        <f t="shared" ref="AU12:AU75" si="36">IF(A12=0," ",AU11)</f>
        <v>0</v>
      </c>
      <c r="AV12" s="131">
        <f>IF(A12=0," ",AV11)</f>
        <v>0</v>
      </c>
      <c r="AW12" s="131">
        <f t="shared" ref="AW12:AW75" si="37">IF(A12=0," ",AW11)</f>
        <v>353.75</v>
      </c>
      <c r="AX12" s="131">
        <f>IF(A12=0," ",AX11)</f>
        <v>0</v>
      </c>
      <c r="AY12" s="131">
        <f t="shared" ref="AY12:AY75" si="38">IF(A12=0," ",AY11)</f>
        <v>959.24534340898413</v>
      </c>
      <c r="AZ12" s="131">
        <f>IF(A12=0," ",AZ11)</f>
        <v>0</v>
      </c>
      <c r="BA12" s="131">
        <f>IF(A12=0," ",BA11)</f>
        <v>0</v>
      </c>
      <c r="BB12" s="131">
        <f>IF(A12=0," ",BB11)</f>
        <v>0</v>
      </c>
      <c r="BC12" s="131">
        <f>IF(A12=0," ",BC11)</f>
        <v>0</v>
      </c>
      <c r="BD12" s="131">
        <f t="shared" ref="BD12:BD75" si="39">IF(A12=0," ",BD11)</f>
        <v>0</v>
      </c>
      <c r="BE12" s="131">
        <f>IF(A12=0," ",BE11)</f>
        <v>0</v>
      </c>
      <c r="BF12" s="131">
        <f>IF(A12=0," ",BF11)</f>
        <v>0</v>
      </c>
      <c r="BG12" s="131">
        <f>IF(A12=0," ",BG11)</f>
        <v>0</v>
      </c>
      <c r="BH12" s="131"/>
      <c r="BI12" s="131">
        <f>IF(A12=0," ",BI11)</f>
        <v>0</v>
      </c>
      <c r="BJ12" s="131">
        <f>IF(A12=0," ",BJ11)</f>
        <v>0</v>
      </c>
      <c r="BK12" s="131">
        <f>IF(A12=0," ",BK11)</f>
        <v>0</v>
      </c>
      <c r="BL12" s="131"/>
      <c r="BM12" s="131"/>
      <c r="BN12" s="131">
        <f>IF(A12=0," ",BN11)</f>
        <v>0</v>
      </c>
      <c r="BO12" s="131"/>
      <c r="BP12" s="131">
        <f>IF(A12=0," ",BP11)</f>
        <v>0</v>
      </c>
      <c r="BQ12" s="131"/>
      <c r="BR12" s="131"/>
      <c r="BS12" s="131"/>
      <c r="BT12" s="131"/>
      <c r="BU12" s="131"/>
      <c r="BV12" s="131">
        <f>IF(A11=0," ",BV11)</f>
        <v>0</v>
      </c>
      <c r="BW12" s="131">
        <f>IF(A11=0," ",BW11)</f>
        <v>0</v>
      </c>
      <c r="BX12" s="131">
        <f>IF(A11=0," ",BX11)</f>
        <v>0</v>
      </c>
      <c r="BY12" s="131"/>
      <c r="BZ12" s="131">
        <f>IF(A12=0," ",BZ11)</f>
        <v>0</v>
      </c>
      <c r="CA12" s="136">
        <f>IF(A12=0," ",+CA11)</f>
        <v>0</v>
      </c>
      <c r="CB12" s="136">
        <f t="shared" ref="CB12:CB75" si="40">IF(A12=0," ",+CB11)</f>
        <v>165.08663357180151</v>
      </c>
      <c r="CC12" s="131">
        <f t="shared" ref="CC12:CC75" si="41">IF(A12=0," ",CC11)</f>
        <v>0</v>
      </c>
      <c r="CD12" s="136">
        <f t="shared" ref="CD12:CD75" si="42">IF(A12=0," ",CD11)</f>
        <v>0</v>
      </c>
      <c r="CE12" s="131"/>
      <c r="CF12" s="136">
        <f t="shared" ref="CF12:CF75" si="43">IF(A12=0," ",+CF11)</f>
        <v>0</v>
      </c>
      <c r="CG12" s="136"/>
      <c r="CH12" s="136"/>
      <c r="CI12" s="131">
        <f t="shared" ref="CI12:CI75" si="44">IF(A12=0," ",CI11)</f>
        <v>0</v>
      </c>
      <c r="CJ12" s="131"/>
      <c r="CK12" s="136">
        <f t="shared" ref="CK12:CK75" si="45">IF(A12=0," ",+CK11)</f>
        <v>0</v>
      </c>
      <c r="CL12" s="136">
        <f t="shared" ref="CL12:CL75" si="46">IF(A12=0," ",+CL11)</f>
        <v>0</v>
      </c>
      <c r="CM12" s="131">
        <f t="shared" ref="CM12:CM75" si="47">IF(A12=0," ",CM11)</f>
        <v>0</v>
      </c>
      <c r="CN12" s="136">
        <f t="shared" ref="CN12:CN75" si="48">IF(A12=0," ",+CN11)</f>
        <v>0</v>
      </c>
      <c r="CO12" s="136">
        <f t="shared" ref="CO12:CO75" si="49">IF(A12=0," ",+CO11)</f>
        <v>0</v>
      </c>
      <c r="CP12" s="136">
        <f t="shared" ref="CP12:CP75" si="50">IF(A12=0," ",+CP11)</f>
        <v>0</v>
      </c>
      <c r="CQ12" s="136">
        <f>IF(A12=0," ",+CQ11)</f>
        <v>0</v>
      </c>
      <c r="CR12" s="136">
        <f t="shared" ref="CR12:CR75" si="51">IF(A12=0," ",+CR11)</f>
        <v>0</v>
      </c>
      <c r="CS12" s="136">
        <f>IF(A12=0," ",+CS11)</f>
        <v>0</v>
      </c>
      <c r="CT12" s="136">
        <f>IF(A12=0," ",+CT11)</f>
        <v>0</v>
      </c>
      <c r="CU12" s="136"/>
      <c r="CV12" s="136"/>
      <c r="CW12" s="136">
        <f>IF(A12=0," ",+CW11)</f>
        <v>0</v>
      </c>
      <c r="CX12" s="136">
        <f>IF(A12=0," ",+CX11)</f>
        <v>0</v>
      </c>
      <c r="CY12" s="136"/>
      <c r="CZ12" s="136">
        <f t="shared" ref="CZ12:CZ75" si="52">IF(A12=0," ",+CZ11)</f>
        <v>0</v>
      </c>
      <c r="DA12" s="136">
        <f t="shared" ref="DA12:DA75" si="53">IF(A12=0," ",+DA11)</f>
        <v>0</v>
      </c>
      <c r="DB12" s="136">
        <f t="shared" ref="DB12:DB75" si="54">IF(A12=0," ",+DB11)</f>
        <v>0</v>
      </c>
      <c r="DC12" s="131">
        <f t="shared" si="13"/>
        <v>0</v>
      </c>
      <c r="DD12" s="131">
        <f t="shared" ref="DD12:DD75" si="55">IF(A12=0," ",DD11)</f>
        <v>0</v>
      </c>
      <c r="DE12" s="131">
        <f t="shared" ref="DE12:DE75" si="56">IF(A12=0," ",DE11)</f>
        <v>0</v>
      </c>
      <c r="DF12" s="131">
        <f t="shared" ref="DF12:DF75" si="57">IF(A12=0," ",DF11)</f>
        <v>0</v>
      </c>
      <c r="DG12" s="131">
        <f t="shared" ref="DG12:DG75" si="58">IF(A12=0," ",DG11)</f>
        <v>0</v>
      </c>
      <c r="DH12" s="131">
        <f>IF(A12=0," ",DH11)</f>
        <v>1E-3</v>
      </c>
      <c r="DI12" s="131">
        <f>IF(A12=0," ",DI11)</f>
        <v>8.6194255897967196</v>
      </c>
      <c r="DJ12" s="131">
        <f>IF(A12=0," ",DJ11)</f>
        <v>0</v>
      </c>
      <c r="DK12" s="137">
        <f>IF(A12=0," ",SUM(AA12:DJ12))</f>
        <v>4759.4468806005298</v>
      </c>
      <c r="DL12" s="227" t="e">
        <f t="shared" ref="DL12:DL75" si="59">IF(A12=0," ",DL11)</f>
        <v>#REF!</v>
      </c>
      <c r="DM12" s="227" t="e">
        <f t="shared" ref="DM12:DM75" si="60">IF(A12=0," ",DM11)</f>
        <v>#REF!</v>
      </c>
      <c r="DN12" s="228" t="e">
        <f t="shared" si="14"/>
        <v>#REF!</v>
      </c>
      <c r="DO12" s="228">
        <f t="shared" ref="DO12:DO75" si="61">IF(A12=0," ",DO11)</f>
        <v>181.81087083894022</v>
      </c>
      <c r="DP12" s="228" t="e">
        <f t="shared" ref="DP12:DP75" si="62">IF(A11=0," ",DP11)</f>
        <v>#REF!</v>
      </c>
      <c r="DQ12" s="228" t="e">
        <f t="shared" ref="DQ12:DQ75" si="63">IF(A11=0," ",DQ11)</f>
        <v>#REF!</v>
      </c>
    </row>
    <row r="13" spans="1:121" s="18" customFormat="1">
      <c r="A13" s="132">
        <f t="shared" si="15"/>
        <v>3</v>
      </c>
      <c r="B13" s="18">
        <f t="shared" ref="B13:B76" si="64">IF(A13=0," ",B12+1)</f>
        <v>3</v>
      </c>
      <c r="C13" s="18">
        <f>IF(A13=0," ",VLOOKUP(B13,'tosafot '!$A$7:$B$234,2,0))</f>
        <v>3.2008000000000001</v>
      </c>
      <c r="D13" s="220">
        <f t="shared" ref="D13:D76" si="65">IF(A13=0," ",+D12)</f>
        <v>228</v>
      </c>
      <c r="E13" s="130">
        <f t="shared" ref="E13:E76" si="66">IF(A13=0," ",+E12)</f>
        <v>12.2026</v>
      </c>
      <c r="F13" s="126">
        <f t="shared" ref="F13:F76" si="67">IF(A13=0," ",+F12)</f>
        <v>9</v>
      </c>
      <c r="G13" s="18" t="str">
        <f t="shared" ref="G13:G76" si="68">IF(A13=0," ",+G12)</f>
        <v>הבריאות</v>
      </c>
      <c r="H13" s="189">
        <f t="shared" ref="H13:H76" si="69">IF(A13=0," ",+H12)</f>
        <v>107</v>
      </c>
      <c r="I13" s="18">
        <f t="shared" ref="I13:I76" si="70">IF(A13=0," ",+I12)</f>
        <v>1</v>
      </c>
      <c r="J13" s="18" t="str">
        <f t="shared" ref="J13:J76" si="71">IF(A13=0," ",+J12)</f>
        <v>מינהלי - עובדי מדינה</v>
      </c>
      <c r="K13" s="189">
        <f t="shared" ref="K13:K76" si="72">IF(A13=0," ",+K12)</f>
        <v>1</v>
      </c>
      <c r="L13" s="18">
        <f t="shared" ref="L13:L76" si="73">IF(A13=0," ",+L12)</f>
        <v>12</v>
      </c>
      <c r="M13" s="129" t="str">
        <f t="shared" ref="M13:M76" si="74">IF(A13=0," ",+M12)</f>
        <v>17+</v>
      </c>
      <c r="N13" s="189"/>
      <c r="O13" s="132">
        <f t="shared" ref="O13:O76" si="75">IF(A13=0," ",+O12)</f>
        <v>1012</v>
      </c>
      <c r="P13" s="127">
        <f t="shared" ref="P13:P76" si="76">IF(A13=0," ",P12)</f>
        <v>37</v>
      </c>
      <c r="Q13" s="127">
        <f t="shared" ref="Q13:Q76" si="77">IF(A13=0," ",+Q12)</f>
        <v>22.75</v>
      </c>
      <c r="R13" s="128">
        <f t="shared" ref="R13:R76" si="78">IF(A13=0," ",+R12)</f>
        <v>92</v>
      </c>
      <c r="S13" s="130">
        <f t="shared" ref="S13:S76" si="79">IF(A13=0," ",+S12)</f>
        <v>1.2540512286990533</v>
      </c>
      <c r="T13" s="135">
        <f t="shared" si="16"/>
        <v>0</v>
      </c>
      <c r="U13" s="127">
        <f t="shared" si="17"/>
        <v>0</v>
      </c>
      <c r="V13" s="217">
        <v>0</v>
      </c>
      <c r="W13" s="191">
        <v>0</v>
      </c>
      <c r="X13" s="133">
        <v>0</v>
      </c>
      <c r="Y13" s="131">
        <f t="shared" si="18"/>
        <v>2438.5</v>
      </c>
      <c r="Z13" s="131">
        <f t="shared" si="19"/>
        <v>619.50392118264142</v>
      </c>
      <c r="AA13" s="242">
        <f t="shared" si="20"/>
        <v>3058.0039211826415</v>
      </c>
      <c r="AB13" s="131">
        <f t="shared" si="21"/>
        <v>0</v>
      </c>
      <c r="AC13" s="131">
        <f t="shared" si="22"/>
        <v>139.48055684730568</v>
      </c>
      <c r="AD13" s="131">
        <f t="shared" si="23"/>
        <v>0</v>
      </c>
      <c r="AE13" s="131">
        <f t="shared" si="24"/>
        <v>0</v>
      </c>
      <c r="AF13" s="131">
        <f t="shared" si="25"/>
        <v>75.260000000000005</v>
      </c>
      <c r="AG13" s="131">
        <f t="shared" si="26"/>
        <v>0</v>
      </c>
      <c r="AH13" s="131">
        <f t="shared" si="27"/>
        <v>0</v>
      </c>
      <c r="AI13" s="131">
        <f t="shared" si="28"/>
        <v>0</v>
      </c>
      <c r="AJ13" s="131">
        <f t="shared" si="29"/>
        <v>0</v>
      </c>
      <c r="AK13" s="191">
        <f t="shared" ref="AK13:AK15" si="80">IF(A13=0," ",AK12)</f>
        <v>0</v>
      </c>
      <c r="AL13" s="131">
        <f t="shared" si="30"/>
        <v>0</v>
      </c>
      <c r="AM13" s="131">
        <f t="shared" ref="AM13:AM17" si="81">IF(A12=0," ",AM12)</f>
        <v>0</v>
      </c>
      <c r="AN13" s="131">
        <f t="shared" si="31"/>
        <v>0</v>
      </c>
      <c r="AO13" s="131">
        <f t="shared" si="32"/>
        <v>0</v>
      </c>
      <c r="AP13" s="131">
        <f t="shared" si="33"/>
        <v>0</v>
      </c>
      <c r="AQ13" s="131">
        <f>IF(A13=0," ",AQ12)</f>
        <v>0</v>
      </c>
      <c r="AR13" s="131">
        <f t="shared" si="34"/>
        <v>0</v>
      </c>
      <c r="AS13" s="131">
        <f t="shared" ref="AS13:AS76" si="82">IF(A13=0," ",AS12)</f>
        <v>0</v>
      </c>
      <c r="AT13" s="131">
        <f t="shared" si="35"/>
        <v>0</v>
      </c>
      <c r="AU13" s="131">
        <f t="shared" si="36"/>
        <v>0</v>
      </c>
      <c r="AV13" s="131">
        <f>IF(A13=0," ",AV12)</f>
        <v>0</v>
      </c>
      <c r="AW13" s="131">
        <f t="shared" si="37"/>
        <v>353.75</v>
      </c>
      <c r="AX13" s="131">
        <f t="shared" ref="AX13:AX17" si="83">IF(A13=0," ",AX12)</f>
        <v>0</v>
      </c>
      <c r="AY13" s="131">
        <f t="shared" si="38"/>
        <v>959.24534340898413</v>
      </c>
      <c r="AZ13" s="131">
        <f t="shared" ref="AZ13:AZ19" si="84">IF(A13=0," ",AZ12)</f>
        <v>0</v>
      </c>
      <c r="BA13" s="131">
        <f t="shared" ref="BA13:BA16" si="85">IF(A13=0," ",BA12)</f>
        <v>0</v>
      </c>
      <c r="BB13" s="131">
        <f t="shared" ref="BB13:BB16" si="86">IF(A13=0," ",BB12)</f>
        <v>0</v>
      </c>
      <c r="BC13" s="131">
        <f t="shared" ref="BC13:BC16" si="87">IF(A13=0," ",BC12)</f>
        <v>0</v>
      </c>
      <c r="BD13" s="131">
        <f t="shared" si="39"/>
        <v>0</v>
      </c>
      <c r="BE13" s="131">
        <f t="shared" ref="BE13:BE19" si="88">IF(A13=0," ",BE12)</f>
        <v>0</v>
      </c>
      <c r="BF13" s="131">
        <f t="shared" ref="BF13:BF76" si="89">IF(A13=0," ",BF12)</f>
        <v>0</v>
      </c>
      <c r="BG13" s="131">
        <f t="shared" ref="BG13:BG76" si="90">IF(A13=0," ",BG12)</f>
        <v>0</v>
      </c>
      <c r="BH13" s="131"/>
      <c r="BI13" s="131">
        <f t="shared" ref="BI13:BI16" si="91">IF(A13=0," ",BI12)</f>
        <v>0</v>
      </c>
      <c r="BJ13" s="131"/>
      <c r="BK13" s="131">
        <f t="shared" ref="BK13:BK76" si="92">IF(A13=0," ",BK12)</f>
        <v>0</v>
      </c>
      <c r="BL13" s="131"/>
      <c r="BM13" s="131"/>
      <c r="BN13" s="131">
        <f t="shared" ref="BN13:BN76" si="93">IF(A13=0," ",BN12)</f>
        <v>0</v>
      </c>
      <c r="BO13" s="131"/>
      <c r="BP13" s="131">
        <f t="shared" ref="BP13:BP76" si="94">IF(A13=0," ",BP12)</f>
        <v>0</v>
      </c>
      <c r="BQ13" s="131"/>
      <c r="BR13" s="131"/>
      <c r="BS13" s="131"/>
      <c r="BT13" s="131"/>
      <c r="BU13" s="131"/>
      <c r="BV13" s="131">
        <f t="shared" ref="BV13:BV76" si="95">IF(A12=0," ",BV12)</f>
        <v>0</v>
      </c>
      <c r="BW13" s="131">
        <f t="shared" ref="BW13:BW16" si="96">IF(A12=0," ",BW12)</f>
        <v>0</v>
      </c>
      <c r="BX13" s="131">
        <f t="shared" ref="BX13:BX16" si="97">IF(A12=0," ",BX12)</f>
        <v>0</v>
      </c>
      <c r="BY13" s="131"/>
      <c r="BZ13" s="131">
        <f t="shared" ref="BZ13:BZ76" si="98">IF(A13=0," ",BZ12)</f>
        <v>0</v>
      </c>
      <c r="CA13" s="136">
        <f>IF(A13=0," ",+CA12)</f>
        <v>0</v>
      </c>
      <c r="CB13" s="136">
        <f t="shared" si="40"/>
        <v>165.08663357180151</v>
      </c>
      <c r="CC13" s="131">
        <f t="shared" si="41"/>
        <v>0</v>
      </c>
      <c r="CD13" s="136">
        <f t="shared" si="42"/>
        <v>0</v>
      </c>
      <c r="CE13" s="131"/>
      <c r="CF13" s="136">
        <f t="shared" si="43"/>
        <v>0</v>
      </c>
      <c r="CG13" s="136"/>
      <c r="CH13" s="136"/>
      <c r="CI13" s="131">
        <f t="shared" si="44"/>
        <v>0</v>
      </c>
      <c r="CJ13" s="131"/>
      <c r="CK13" s="136">
        <f t="shared" si="45"/>
        <v>0</v>
      </c>
      <c r="CL13" s="136">
        <f t="shared" si="46"/>
        <v>0</v>
      </c>
      <c r="CM13" s="131">
        <f t="shared" si="47"/>
        <v>0</v>
      </c>
      <c r="CN13" s="136">
        <f t="shared" si="48"/>
        <v>0</v>
      </c>
      <c r="CO13" s="136">
        <f t="shared" si="49"/>
        <v>0</v>
      </c>
      <c r="CP13" s="136">
        <f t="shared" si="50"/>
        <v>0</v>
      </c>
      <c r="CQ13" s="136">
        <f>IF(A13=0," ",+CQ12)</f>
        <v>0</v>
      </c>
      <c r="CR13" s="136">
        <f t="shared" si="51"/>
        <v>0</v>
      </c>
      <c r="CS13" s="136">
        <f>IF(A13=0," ",+CS12)</f>
        <v>0</v>
      </c>
      <c r="CT13" s="136">
        <f>IF(A13=0," ",+CT12)</f>
        <v>0</v>
      </c>
      <c r="CU13" s="136"/>
      <c r="CV13" s="136"/>
      <c r="CW13" s="136">
        <f>IF(A13=0," ",+CW12)</f>
        <v>0</v>
      </c>
      <c r="CX13" s="136">
        <f>IF(A13=0," ",+CX12)</f>
        <v>0</v>
      </c>
      <c r="CY13" s="136"/>
      <c r="CZ13" s="136">
        <f t="shared" si="52"/>
        <v>0</v>
      </c>
      <c r="DA13" s="136">
        <f t="shared" si="53"/>
        <v>0</v>
      </c>
      <c r="DB13" s="136">
        <f t="shared" si="54"/>
        <v>0</v>
      </c>
      <c r="DC13" s="131">
        <f t="shared" si="13"/>
        <v>0</v>
      </c>
      <c r="DD13" s="131">
        <f t="shared" si="55"/>
        <v>0</v>
      </c>
      <c r="DE13" s="131">
        <f t="shared" si="56"/>
        <v>0</v>
      </c>
      <c r="DF13" s="131">
        <f t="shared" si="57"/>
        <v>0</v>
      </c>
      <c r="DG13" s="131">
        <f t="shared" si="58"/>
        <v>0</v>
      </c>
      <c r="DH13" s="131">
        <f>IF(A13=0," ",DH12)</f>
        <v>1E-3</v>
      </c>
      <c r="DI13" s="131">
        <f>IF(A13=0," ",DI12)</f>
        <v>8.6194255897967196</v>
      </c>
      <c r="DJ13" s="131">
        <f>IF(A13=0," ",DJ12)</f>
        <v>0</v>
      </c>
      <c r="DK13" s="137">
        <f t="shared" ref="DK13:DK76" si="99">IF(A13=0," ",SUM(AA13:DG13))</f>
        <v>4750.8264550107333</v>
      </c>
      <c r="DL13" s="227" t="e">
        <f t="shared" si="59"/>
        <v>#REF!</v>
      </c>
      <c r="DM13" s="227" t="e">
        <f t="shared" si="60"/>
        <v>#REF!</v>
      </c>
      <c r="DN13" s="228" t="e">
        <f t="shared" si="14"/>
        <v>#REF!</v>
      </c>
      <c r="DO13" s="228">
        <f t="shared" si="61"/>
        <v>181.81087083894022</v>
      </c>
      <c r="DP13" s="228" t="e">
        <f t="shared" si="62"/>
        <v>#REF!</v>
      </c>
      <c r="DQ13" s="228" t="e">
        <f t="shared" si="63"/>
        <v>#REF!</v>
      </c>
    </row>
    <row r="14" spans="1:121" s="18" customFormat="1">
      <c r="A14" s="132">
        <f t="shared" si="15"/>
        <v>4</v>
      </c>
      <c r="B14" s="18">
        <f t="shared" si="64"/>
        <v>4</v>
      </c>
      <c r="C14" s="18">
        <f>IF(A14=0," ",VLOOKUP(B14,'tosafot '!$A$7:$B$234,2,0))</f>
        <v>4.2008000000000001</v>
      </c>
      <c r="D14" s="220">
        <f t="shared" si="65"/>
        <v>228</v>
      </c>
      <c r="E14" s="130">
        <f t="shared" si="66"/>
        <v>12.2026</v>
      </c>
      <c r="F14" s="126">
        <f t="shared" si="67"/>
        <v>9</v>
      </c>
      <c r="G14" s="18" t="str">
        <f t="shared" si="68"/>
        <v>הבריאות</v>
      </c>
      <c r="H14" s="189">
        <f t="shared" si="69"/>
        <v>107</v>
      </c>
      <c r="I14" s="18">
        <f t="shared" si="70"/>
        <v>1</v>
      </c>
      <c r="J14" s="18" t="str">
        <f t="shared" si="71"/>
        <v>מינהלי - עובדי מדינה</v>
      </c>
      <c r="K14" s="189">
        <f t="shared" si="72"/>
        <v>1</v>
      </c>
      <c r="L14" s="18">
        <f t="shared" si="73"/>
        <v>12</v>
      </c>
      <c r="M14" s="129" t="str">
        <f t="shared" si="74"/>
        <v>17+</v>
      </c>
      <c r="N14" s="189"/>
      <c r="O14" s="132">
        <f t="shared" si="75"/>
        <v>1012</v>
      </c>
      <c r="P14" s="127">
        <f t="shared" si="76"/>
        <v>37</v>
      </c>
      <c r="Q14" s="127">
        <f t="shared" si="77"/>
        <v>22.75</v>
      </c>
      <c r="R14" s="128">
        <f t="shared" si="78"/>
        <v>92</v>
      </c>
      <c r="S14" s="130">
        <f t="shared" si="79"/>
        <v>1.2540512286990533</v>
      </c>
      <c r="T14" s="135">
        <f t="shared" si="16"/>
        <v>0</v>
      </c>
      <c r="U14" s="127">
        <f t="shared" si="17"/>
        <v>0</v>
      </c>
      <c r="V14" s="217">
        <v>0</v>
      </c>
      <c r="W14" s="191">
        <v>0</v>
      </c>
      <c r="X14" s="133">
        <v>0</v>
      </c>
      <c r="Y14" s="131">
        <f t="shared" si="18"/>
        <v>2438.5</v>
      </c>
      <c r="Z14" s="131">
        <f t="shared" si="19"/>
        <v>619.50392118264142</v>
      </c>
      <c r="AA14" s="242">
        <f t="shared" si="20"/>
        <v>3058.0039211826415</v>
      </c>
      <c r="AB14" s="131">
        <f t="shared" si="21"/>
        <v>0</v>
      </c>
      <c r="AC14" s="131">
        <f t="shared" si="22"/>
        <v>139.48055684730568</v>
      </c>
      <c r="AD14" s="131">
        <f t="shared" si="23"/>
        <v>0</v>
      </c>
      <c r="AE14" s="131">
        <f t="shared" si="24"/>
        <v>0</v>
      </c>
      <c r="AF14" s="131">
        <f t="shared" si="25"/>
        <v>75.260000000000005</v>
      </c>
      <c r="AG14" s="131">
        <f t="shared" si="26"/>
        <v>0</v>
      </c>
      <c r="AH14" s="131">
        <f t="shared" si="27"/>
        <v>0</v>
      </c>
      <c r="AI14" s="131">
        <f t="shared" si="28"/>
        <v>0</v>
      </c>
      <c r="AJ14" s="131">
        <f t="shared" si="29"/>
        <v>0</v>
      </c>
      <c r="AK14" s="191">
        <f t="shared" si="80"/>
        <v>0</v>
      </c>
      <c r="AL14" s="131">
        <f t="shared" si="30"/>
        <v>0</v>
      </c>
      <c r="AM14" s="131">
        <f t="shared" si="81"/>
        <v>0</v>
      </c>
      <c r="AN14" s="131">
        <f t="shared" si="31"/>
        <v>0</v>
      </c>
      <c r="AO14" s="131">
        <f t="shared" si="32"/>
        <v>0</v>
      </c>
      <c r="AP14" s="131">
        <f t="shared" si="33"/>
        <v>0</v>
      </c>
      <c r="AQ14" s="131"/>
      <c r="AR14" s="131">
        <f t="shared" si="34"/>
        <v>0</v>
      </c>
      <c r="AS14" s="131">
        <f t="shared" si="82"/>
        <v>0</v>
      </c>
      <c r="AT14" s="131">
        <f t="shared" si="35"/>
        <v>0</v>
      </c>
      <c r="AU14" s="131">
        <f t="shared" si="36"/>
        <v>0</v>
      </c>
      <c r="AV14" s="131">
        <f t="shared" ref="AV14:AV16" si="100">IF(A14=0," ",AV13)</f>
        <v>0</v>
      </c>
      <c r="AW14" s="131">
        <f t="shared" si="37"/>
        <v>353.75</v>
      </c>
      <c r="AX14" s="131">
        <f t="shared" si="83"/>
        <v>0</v>
      </c>
      <c r="AY14" s="131">
        <f t="shared" si="38"/>
        <v>959.24534340898413</v>
      </c>
      <c r="AZ14" s="131">
        <f t="shared" si="84"/>
        <v>0</v>
      </c>
      <c r="BA14" s="131">
        <f t="shared" si="85"/>
        <v>0</v>
      </c>
      <c r="BB14" s="131">
        <f t="shared" si="86"/>
        <v>0</v>
      </c>
      <c r="BC14" s="131">
        <f t="shared" si="87"/>
        <v>0</v>
      </c>
      <c r="BD14" s="131">
        <f t="shared" si="39"/>
        <v>0</v>
      </c>
      <c r="BE14" s="131">
        <f t="shared" si="88"/>
        <v>0</v>
      </c>
      <c r="BF14" s="131">
        <f t="shared" si="89"/>
        <v>0</v>
      </c>
      <c r="BG14" s="131">
        <f t="shared" si="90"/>
        <v>0</v>
      </c>
      <c r="BH14" s="131"/>
      <c r="BI14" s="131">
        <f t="shared" si="91"/>
        <v>0</v>
      </c>
      <c r="BJ14" s="131"/>
      <c r="BK14" s="131">
        <f t="shared" si="92"/>
        <v>0</v>
      </c>
      <c r="BL14" s="131"/>
      <c r="BM14" s="131"/>
      <c r="BN14" s="131">
        <f t="shared" si="93"/>
        <v>0</v>
      </c>
      <c r="BO14" s="131"/>
      <c r="BP14" s="131">
        <f t="shared" si="94"/>
        <v>0</v>
      </c>
      <c r="BQ14" s="131"/>
      <c r="BR14" s="131"/>
      <c r="BS14" s="131"/>
      <c r="BT14" s="131"/>
      <c r="BU14" s="131"/>
      <c r="BV14" s="131">
        <f t="shared" si="95"/>
        <v>0</v>
      </c>
      <c r="BW14" s="131">
        <f t="shared" si="96"/>
        <v>0</v>
      </c>
      <c r="BX14" s="131">
        <f t="shared" si="97"/>
        <v>0</v>
      </c>
      <c r="BY14" s="131"/>
      <c r="BZ14" s="131">
        <f t="shared" si="98"/>
        <v>0</v>
      </c>
      <c r="CA14" s="136">
        <f>IF(A14=0," ",+CA13)</f>
        <v>0</v>
      </c>
      <c r="CB14" s="136">
        <f t="shared" si="40"/>
        <v>165.08663357180151</v>
      </c>
      <c r="CC14" s="131">
        <f t="shared" si="41"/>
        <v>0</v>
      </c>
      <c r="CD14" s="136">
        <f t="shared" si="42"/>
        <v>0</v>
      </c>
      <c r="CE14" s="131"/>
      <c r="CF14" s="136">
        <f t="shared" si="43"/>
        <v>0</v>
      </c>
      <c r="CG14" s="136"/>
      <c r="CH14" s="136">
        <f t="shared" ref="CH14:CH77" si="101">IF(A14=0," ",+CH13)</f>
        <v>0</v>
      </c>
      <c r="CI14" s="131">
        <f t="shared" si="44"/>
        <v>0</v>
      </c>
      <c r="CJ14" s="131"/>
      <c r="CK14" s="136">
        <f t="shared" si="45"/>
        <v>0</v>
      </c>
      <c r="CL14" s="136">
        <f t="shared" si="46"/>
        <v>0</v>
      </c>
      <c r="CM14" s="131">
        <f t="shared" si="47"/>
        <v>0</v>
      </c>
      <c r="CN14" s="136">
        <f t="shared" si="48"/>
        <v>0</v>
      </c>
      <c r="CO14" s="136">
        <f t="shared" si="49"/>
        <v>0</v>
      </c>
      <c r="CP14" s="136">
        <f t="shared" si="50"/>
        <v>0</v>
      </c>
      <c r="CQ14" s="136"/>
      <c r="CR14" s="136">
        <f t="shared" si="51"/>
        <v>0</v>
      </c>
      <c r="CS14" s="136"/>
      <c r="CT14" s="136"/>
      <c r="CU14" s="136"/>
      <c r="CV14" s="136"/>
      <c r="CW14" s="136"/>
      <c r="CX14" s="136"/>
      <c r="CY14" s="136"/>
      <c r="CZ14" s="136">
        <f t="shared" si="52"/>
        <v>0</v>
      </c>
      <c r="DA14" s="136">
        <f t="shared" si="53"/>
        <v>0</v>
      </c>
      <c r="DB14" s="136">
        <f t="shared" si="54"/>
        <v>0</v>
      </c>
      <c r="DC14" s="131">
        <f t="shared" si="13"/>
        <v>0</v>
      </c>
      <c r="DD14" s="131">
        <f t="shared" si="55"/>
        <v>0</v>
      </c>
      <c r="DE14" s="131">
        <f t="shared" si="56"/>
        <v>0</v>
      </c>
      <c r="DF14" s="131">
        <f t="shared" si="57"/>
        <v>0</v>
      </c>
      <c r="DG14" s="131">
        <f t="shared" si="58"/>
        <v>0</v>
      </c>
      <c r="DH14" s="131"/>
      <c r="DI14" s="131"/>
      <c r="DJ14" s="131"/>
      <c r="DK14" s="137">
        <f t="shared" si="99"/>
        <v>4750.8264550107333</v>
      </c>
      <c r="DL14" s="227" t="e">
        <f t="shared" si="59"/>
        <v>#REF!</v>
      </c>
      <c r="DM14" s="227" t="e">
        <f t="shared" si="60"/>
        <v>#REF!</v>
      </c>
      <c r="DN14" s="228" t="e">
        <f t="shared" si="14"/>
        <v>#REF!</v>
      </c>
      <c r="DO14" s="228">
        <f t="shared" si="61"/>
        <v>181.81087083894022</v>
      </c>
      <c r="DP14" s="228" t="e">
        <f t="shared" si="62"/>
        <v>#REF!</v>
      </c>
      <c r="DQ14" s="228" t="e">
        <f t="shared" si="63"/>
        <v>#REF!</v>
      </c>
    </row>
    <row r="15" spans="1:121" s="18" customFormat="1">
      <c r="A15" s="132">
        <f t="shared" si="15"/>
        <v>5</v>
      </c>
      <c r="B15" s="18">
        <f t="shared" si="64"/>
        <v>5</v>
      </c>
      <c r="C15" s="18">
        <f>IF(A15=0," ",VLOOKUP(B15,'tosafot '!$A$7:$B$234,2,0))</f>
        <v>5.2008000000000001</v>
      </c>
      <c r="D15" s="220">
        <f t="shared" si="65"/>
        <v>228</v>
      </c>
      <c r="E15" s="130">
        <f t="shared" si="66"/>
        <v>12.2026</v>
      </c>
      <c r="F15" s="126">
        <f t="shared" si="67"/>
        <v>9</v>
      </c>
      <c r="G15" s="18" t="str">
        <f t="shared" si="68"/>
        <v>הבריאות</v>
      </c>
      <c r="H15" s="189">
        <f t="shared" si="69"/>
        <v>107</v>
      </c>
      <c r="I15" s="18">
        <f t="shared" si="70"/>
        <v>1</v>
      </c>
      <c r="J15" s="18" t="str">
        <f t="shared" si="71"/>
        <v>מינהלי - עובדי מדינה</v>
      </c>
      <c r="K15" s="189">
        <f t="shared" si="72"/>
        <v>1</v>
      </c>
      <c r="L15" s="18">
        <f t="shared" si="73"/>
        <v>12</v>
      </c>
      <c r="M15" s="129" t="str">
        <f t="shared" si="74"/>
        <v>17+</v>
      </c>
      <c r="N15" s="189"/>
      <c r="O15" s="132">
        <f t="shared" si="75"/>
        <v>1012</v>
      </c>
      <c r="P15" s="127">
        <f t="shared" si="76"/>
        <v>37</v>
      </c>
      <c r="Q15" s="127">
        <f t="shared" si="77"/>
        <v>22.75</v>
      </c>
      <c r="R15" s="128">
        <f t="shared" si="78"/>
        <v>92</v>
      </c>
      <c r="S15" s="130">
        <f t="shared" si="79"/>
        <v>1.2540512286990533</v>
      </c>
      <c r="T15" s="135">
        <f t="shared" si="16"/>
        <v>0</v>
      </c>
      <c r="U15" s="127">
        <f t="shared" si="17"/>
        <v>0</v>
      </c>
      <c r="V15" s="217">
        <v>0</v>
      </c>
      <c r="W15" s="191">
        <v>0</v>
      </c>
      <c r="X15" s="133">
        <v>0</v>
      </c>
      <c r="Y15" s="131">
        <f t="shared" si="18"/>
        <v>2438.5</v>
      </c>
      <c r="Z15" s="131">
        <f t="shared" si="19"/>
        <v>619.50392118264142</v>
      </c>
      <c r="AA15" s="242">
        <f t="shared" si="20"/>
        <v>3058.0039211826415</v>
      </c>
      <c r="AB15" s="131">
        <f t="shared" si="21"/>
        <v>0</v>
      </c>
      <c r="AC15" s="131">
        <f t="shared" si="22"/>
        <v>139.48055684730568</v>
      </c>
      <c r="AD15" s="131">
        <f t="shared" si="23"/>
        <v>0</v>
      </c>
      <c r="AE15" s="131">
        <f t="shared" si="24"/>
        <v>0</v>
      </c>
      <c r="AF15" s="131">
        <f t="shared" si="25"/>
        <v>75.260000000000005</v>
      </c>
      <c r="AG15" s="131">
        <f t="shared" si="26"/>
        <v>0</v>
      </c>
      <c r="AH15" s="131">
        <f t="shared" si="27"/>
        <v>0</v>
      </c>
      <c r="AI15" s="131">
        <f t="shared" si="28"/>
        <v>0</v>
      </c>
      <c r="AJ15" s="131">
        <f t="shared" si="29"/>
        <v>0</v>
      </c>
      <c r="AK15" s="191">
        <f t="shared" si="80"/>
        <v>0</v>
      </c>
      <c r="AL15" s="131">
        <f t="shared" si="30"/>
        <v>0</v>
      </c>
      <c r="AM15" s="131">
        <f t="shared" si="81"/>
        <v>0</v>
      </c>
      <c r="AN15" s="131">
        <f t="shared" si="31"/>
        <v>0</v>
      </c>
      <c r="AO15" s="131">
        <f t="shared" si="32"/>
        <v>0</v>
      </c>
      <c r="AP15" s="131">
        <f t="shared" si="33"/>
        <v>0</v>
      </c>
      <c r="AQ15" s="131"/>
      <c r="AR15" s="131">
        <f t="shared" si="34"/>
        <v>0</v>
      </c>
      <c r="AS15" s="131">
        <f t="shared" si="82"/>
        <v>0</v>
      </c>
      <c r="AT15" s="131">
        <f t="shared" si="35"/>
        <v>0</v>
      </c>
      <c r="AU15" s="131">
        <f t="shared" si="36"/>
        <v>0</v>
      </c>
      <c r="AV15" s="131">
        <f t="shared" si="100"/>
        <v>0</v>
      </c>
      <c r="AW15" s="131">
        <f t="shared" si="37"/>
        <v>353.75</v>
      </c>
      <c r="AX15" s="131">
        <f t="shared" si="83"/>
        <v>0</v>
      </c>
      <c r="AY15" s="131">
        <f t="shared" si="38"/>
        <v>959.24534340898413</v>
      </c>
      <c r="AZ15" s="131">
        <f t="shared" si="84"/>
        <v>0</v>
      </c>
      <c r="BA15" s="131">
        <f t="shared" si="85"/>
        <v>0</v>
      </c>
      <c r="BB15" s="131">
        <f t="shared" si="86"/>
        <v>0</v>
      </c>
      <c r="BC15" s="131">
        <f t="shared" si="87"/>
        <v>0</v>
      </c>
      <c r="BD15" s="131">
        <f t="shared" si="39"/>
        <v>0</v>
      </c>
      <c r="BE15" s="131">
        <f t="shared" si="88"/>
        <v>0</v>
      </c>
      <c r="BF15" s="131">
        <f t="shared" si="89"/>
        <v>0</v>
      </c>
      <c r="BG15" s="131">
        <f t="shared" si="90"/>
        <v>0</v>
      </c>
      <c r="BH15" s="131"/>
      <c r="BI15" s="131">
        <f t="shared" si="91"/>
        <v>0</v>
      </c>
      <c r="BJ15" s="131"/>
      <c r="BK15" s="131">
        <f t="shared" si="92"/>
        <v>0</v>
      </c>
      <c r="BL15" s="131"/>
      <c r="BM15" s="131"/>
      <c r="BN15" s="131">
        <f t="shared" si="93"/>
        <v>0</v>
      </c>
      <c r="BO15" s="131"/>
      <c r="BP15" s="131">
        <f t="shared" si="94"/>
        <v>0</v>
      </c>
      <c r="BQ15" s="131"/>
      <c r="BR15" s="131"/>
      <c r="BS15" s="131"/>
      <c r="BT15" s="131"/>
      <c r="BU15" s="131"/>
      <c r="BV15" s="131">
        <f t="shared" si="95"/>
        <v>0</v>
      </c>
      <c r="BW15" s="131">
        <f t="shared" si="96"/>
        <v>0</v>
      </c>
      <c r="BX15" s="131">
        <f t="shared" si="97"/>
        <v>0</v>
      </c>
      <c r="BY15" s="131"/>
      <c r="BZ15" s="131">
        <f t="shared" si="98"/>
        <v>0</v>
      </c>
      <c r="CA15" s="136">
        <f>IF(A15=0," ",+CA14)</f>
        <v>0</v>
      </c>
      <c r="CB15" s="136">
        <f t="shared" si="40"/>
        <v>165.08663357180151</v>
      </c>
      <c r="CC15" s="131">
        <f t="shared" si="41"/>
        <v>0</v>
      </c>
      <c r="CD15" s="136">
        <f t="shared" si="42"/>
        <v>0</v>
      </c>
      <c r="CE15" s="131"/>
      <c r="CF15" s="136">
        <f t="shared" si="43"/>
        <v>0</v>
      </c>
      <c r="CG15" s="136"/>
      <c r="CH15" s="136">
        <f t="shared" si="101"/>
        <v>0</v>
      </c>
      <c r="CI15" s="131">
        <f t="shared" si="44"/>
        <v>0</v>
      </c>
      <c r="CJ15" s="131"/>
      <c r="CK15" s="136">
        <f t="shared" si="45"/>
        <v>0</v>
      </c>
      <c r="CL15" s="136">
        <f t="shared" si="46"/>
        <v>0</v>
      </c>
      <c r="CM15" s="131">
        <f t="shared" si="47"/>
        <v>0</v>
      </c>
      <c r="CN15" s="136">
        <f t="shared" si="48"/>
        <v>0</v>
      </c>
      <c r="CO15" s="136">
        <f t="shared" si="49"/>
        <v>0</v>
      </c>
      <c r="CP15" s="136">
        <f t="shared" si="50"/>
        <v>0</v>
      </c>
      <c r="CQ15" s="136"/>
      <c r="CR15" s="136">
        <f t="shared" si="51"/>
        <v>0</v>
      </c>
      <c r="CS15" s="136"/>
      <c r="CT15" s="136"/>
      <c r="CU15" s="136"/>
      <c r="CV15" s="136"/>
      <c r="CW15" s="136"/>
      <c r="CX15" s="136"/>
      <c r="CY15" s="136"/>
      <c r="CZ15" s="136">
        <f t="shared" si="52"/>
        <v>0</v>
      </c>
      <c r="DA15" s="136">
        <f t="shared" si="53"/>
        <v>0</v>
      </c>
      <c r="DB15" s="136">
        <f t="shared" si="54"/>
        <v>0</v>
      </c>
      <c r="DC15" s="131">
        <f t="shared" si="13"/>
        <v>0</v>
      </c>
      <c r="DD15" s="131">
        <f t="shared" si="55"/>
        <v>0</v>
      </c>
      <c r="DE15" s="131">
        <f t="shared" si="56"/>
        <v>0</v>
      </c>
      <c r="DF15" s="131">
        <f t="shared" si="57"/>
        <v>0</v>
      </c>
      <c r="DG15" s="131">
        <f t="shared" si="58"/>
        <v>0</v>
      </c>
      <c r="DH15" s="131"/>
      <c r="DI15" s="131"/>
      <c r="DJ15" s="131"/>
      <c r="DK15" s="137">
        <f t="shared" si="99"/>
        <v>4750.8264550107333</v>
      </c>
      <c r="DL15" s="227" t="e">
        <f t="shared" si="59"/>
        <v>#REF!</v>
      </c>
      <c r="DM15" s="227" t="e">
        <f t="shared" si="60"/>
        <v>#REF!</v>
      </c>
      <c r="DN15" s="228" t="e">
        <f t="shared" si="14"/>
        <v>#REF!</v>
      </c>
      <c r="DO15" s="228">
        <f t="shared" si="61"/>
        <v>181.81087083894022</v>
      </c>
      <c r="DP15" s="228" t="e">
        <f t="shared" si="62"/>
        <v>#REF!</v>
      </c>
      <c r="DQ15" s="228" t="e">
        <f t="shared" si="63"/>
        <v>#REF!</v>
      </c>
    </row>
    <row r="16" spans="1:121" s="18" customFormat="1">
      <c r="A16" s="132">
        <f t="shared" si="15"/>
        <v>6</v>
      </c>
      <c r="B16" s="18">
        <f t="shared" si="64"/>
        <v>6</v>
      </c>
      <c r="C16" s="18">
        <f>IF(A16=0," ",VLOOKUP(B16,'tosafot '!$A$7:$B$234,2,0))</f>
        <v>6.2008000000000001</v>
      </c>
      <c r="D16" s="220">
        <f t="shared" si="65"/>
        <v>228</v>
      </c>
      <c r="E16" s="130">
        <f t="shared" si="66"/>
        <v>12.2026</v>
      </c>
      <c r="F16" s="126">
        <f t="shared" si="67"/>
        <v>9</v>
      </c>
      <c r="G16" s="18" t="str">
        <f t="shared" si="68"/>
        <v>הבריאות</v>
      </c>
      <c r="H16" s="189">
        <f t="shared" si="69"/>
        <v>107</v>
      </c>
      <c r="I16" s="18">
        <f t="shared" si="70"/>
        <v>1</v>
      </c>
      <c r="J16" s="18" t="str">
        <f t="shared" si="71"/>
        <v>מינהלי - עובדי מדינה</v>
      </c>
      <c r="K16" s="189">
        <f t="shared" si="72"/>
        <v>1</v>
      </c>
      <c r="L16" s="18">
        <f t="shared" si="73"/>
        <v>12</v>
      </c>
      <c r="M16" s="129" t="str">
        <f t="shared" si="74"/>
        <v>17+</v>
      </c>
      <c r="N16" s="189"/>
      <c r="O16" s="132">
        <f t="shared" si="75"/>
        <v>1012</v>
      </c>
      <c r="P16" s="127">
        <f t="shared" si="76"/>
        <v>37</v>
      </c>
      <c r="Q16" s="127">
        <f t="shared" si="77"/>
        <v>22.75</v>
      </c>
      <c r="R16" s="128">
        <f t="shared" si="78"/>
        <v>92</v>
      </c>
      <c r="S16" s="130">
        <f t="shared" si="79"/>
        <v>1.2540512286990533</v>
      </c>
      <c r="T16" s="135">
        <f t="shared" si="16"/>
        <v>0</v>
      </c>
      <c r="U16" s="127">
        <f t="shared" si="17"/>
        <v>0</v>
      </c>
      <c r="V16" s="217">
        <v>0</v>
      </c>
      <c r="W16" s="191">
        <v>0</v>
      </c>
      <c r="X16" s="133">
        <v>0</v>
      </c>
      <c r="Y16" s="131">
        <f t="shared" si="18"/>
        <v>2438.5</v>
      </c>
      <c r="Z16" s="131">
        <f t="shared" si="19"/>
        <v>619.50392118264142</v>
      </c>
      <c r="AA16" s="242">
        <f t="shared" si="20"/>
        <v>3058.0039211826415</v>
      </c>
      <c r="AB16" s="131">
        <f t="shared" si="21"/>
        <v>0</v>
      </c>
      <c r="AC16" s="131">
        <f t="shared" si="22"/>
        <v>139.48055684730568</v>
      </c>
      <c r="AD16" s="131">
        <f t="shared" si="23"/>
        <v>0</v>
      </c>
      <c r="AE16" s="131">
        <f t="shared" si="24"/>
        <v>0</v>
      </c>
      <c r="AF16" s="131">
        <f t="shared" si="25"/>
        <v>75.260000000000005</v>
      </c>
      <c r="AG16" s="131">
        <f t="shared" si="26"/>
        <v>0</v>
      </c>
      <c r="AH16" s="131">
        <f t="shared" si="27"/>
        <v>0</v>
      </c>
      <c r="AI16" s="131">
        <f t="shared" si="28"/>
        <v>0</v>
      </c>
      <c r="AJ16" s="131">
        <f t="shared" si="29"/>
        <v>0</v>
      </c>
      <c r="AK16" s="131"/>
      <c r="AL16" s="131">
        <f t="shared" si="30"/>
        <v>0</v>
      </c>
      <c r="AM16" s="131">
        <f t="shared" si="81"/>
        <v>0</v>
      </c>
      <c r="AN16" s="131">
        <f t="shared" si="31"/>
        <v>0</v>
      </c>
      <c r="AO16" s="131">
        <f t="shared" si="32"/>
        <v>0</v>
      </c>
      <c r="AP16" s="131">
        <f t="shared" si="33"/>
        <v>0</v>
      </c>
      <c r="AQ16" s="131"/>
      <c r="AR16" s="131">
        <f t="shared" si="34"/>
        <v>0</v>
      </c>
      <c r="AS16" s="131">
        <f t="shared" si="82"/>
        <v>0</v>
      </c>
      <c r="AT16" s="131">
        <f t="shared" si="35"/>
        <v>0</v>
      </c>
      <c r="AU16" s="131">
        <f t="shared" si="36"/>
        <v>0</v>
      </c>
      <c r="AV16" s="131">
        <f t="shared" si="100"/>
        <v>0</v>
      </c>
      <c r="AW16" s="131">
        <f t="shared" si="37"/>
        <v>353.75</v>
      </c>
      <c r="AX16" s="131">
        <f t="shared" si="83"/>
        <v>0</v>
      </c>
      <c r="AY16" s="131">
        <f t="shared" si="38"/>
        <v>959.24534340898413</v>
      </c>
      <c r="AZ16" s="131">
        <f t="shared" si="84"/>
        <v>0</v>
      </c>
      <c r="BA16" s="131">
        <f t="shared" si="85"/>
        <v>0</v>
      </c>
      <c r="BB16" s="131">
        <f t="shared" si="86"/>
        <v>0</v>
      </c>
      <c r="BC16" s="131">
        <f t="shared" si="87"/>
        <v>0</v>
      </c>
      <c r="BD16" s="131">
        <f t="shared" si="39"/>
        <v>0</v>
      </c>
      <c r="BE16" s="131">
        <f t="shared" si="88"/>
        <v>0</v>
      </c>
      <c r="BF16" s="131">
        <f t="shared" si="89"/>
        <v>0</v>
      </c>
      <c r="BG16" s="131">
        <f t="shared" si="90"/>
        <v>0</v>
      </c>
      <c r="BH16" s="131"/>
      <c r="BI16" s="131">
        <f t="shared" si="91"/>
        <v>0</v>
      </c>
      <c r="BJ16" s="131"/>
      <c r="BK16" s="131">
        <f t="shared" si="92"/>
        <v>0</v>
      </c>
      <c r="BL16" s="131"/>
      <c r="BM16" s="131"/>
      <c r="BN16" s="131">
        <f t="shared" si="93"/>
        <v>0</v>
      </c>
      <c r="BO16" s="131"/>
      <c r="BP16" s="131">
        <f t="shared" si="94"/>
        <v>0</v>
      </c>
      <c r="BQ16" s="131"/>
      <c r="BR16" s="131"/>
      <c r="BS16" s="131"/>
      <c r="BT16" s="131"/>
      <c r="BU16" s="131"/>
      <c r="BV16" s="131">
        <f t="shared" si="95"/>
        <v>0</v>
      </c>
      <c r="BW16" s="131">
        <f t="shared" si="96"/>
        <v>0</v>
      </c>
      <c r="BX16" s="131">
        <f t="shared" si="97"/>
        <v>0</v>
      </c>
      <c r="BY16" s="131"/>
      <c r="BZ16" s="131">
        <f t="shared" si="98"/>
        <v>0</v>
      </c>
      <c r="CA16" s="136">
        <f>IF(A16=0," ",+CA15)</f>
        <v>0</v>
      </c>
      <c r="CB16" s="136">
        <f t="shared" si="40"/>
        <v>165.08663357180151</v>
      </c>
      <c r="CC16" s="131">
        <f t="shared" si="41"/>
        <v>0</v>
      </c>
      <c r="CD16" s="136">
        <f t="shared" si="42"/>
        <v>0</v>
      </c>
      <c r="CE16" s="131"/>
      <c r="CF16" s="136">
        <f t="shared" si="43"/>
        <v>0</v>
      </c>
      <c r="CG16" s="136"/>
      <c r="CH16" s="136">
        <f t="shared" si="101"/>
        <v>0</v>
      </c>
      <c r="CI16" s="131">
        <f t="shared" si="44"/>
        <v>0</v>
      </c>
      <c r="CJ16" s="131"/>
      <c r="CK16" s="136">
        <f t="shared" si="45"/>
        <v>0</v>
      </c>
      <c r="CL16" s="136">
        <f t="shared" si="46"/>
        <v>0</v>
      </c>
      <c r="CM16" s="131">
        <f t="shared" si="47"/>
        <v>0</v>
      </c>
      <c r="CN16" s="136">
        <f t="shared" si="48"/>
        <v>0</v>
      </c>
      <c r="CO16" s="136">
        <f t="shared" si="49"/>
        <v>0</v>
      </c>
      <c r="CP16" s="136">
        <f t="shared" si="50"/>
        <v>0</v>
      </c>
      <c r="CQ16" s="136"/>
      <c r="CR16" s="136">
        <f t="shared" si="51"/>
        <v>0</v>
      </c>
      <c r="CS16" s="136"/>
      <c r="CT16" s="136"/>
      <c r="CU16" s="136"/>
      <c r="CV16" s="136"/>
      <c r="CW16" s="136"/>
      <c r="CX16" s="136"/>
      <c r="CY16" s="136"/>
      <c r="CZ16" s="136">
        <f t="shared" si="52"/>
        <v>0</v>
      </c>
      <c r="DA16" s="136">
        <f t="shared" si="53"/>
        <v>0</v>
      </c>
      <c r="DB16" s="136">
        <f t="shared" si="54"/>
        <v>0</v>
      </c>
      <c r="DC16" s="131">
        <f t="shared" si="13"/>
        <v>0</v>
      </c>
      <c r="DD16" s="131">
        <f t="shared" si="55"/>
        <v>0</v>
      </c>
      <c r="DE16" s="131">
        <f t="shared" si="56"/>
        <v>0</v>
      </c>
      <c r="DF16" s="131">
        <f t="shared" si="57"/>
        <v>0</v>
      </c>
      <c r="DG16" s="131">
        <f t="shared" si="58"/>
        <v>0</v>
      </c>
      <c r="DH16" s="131"/>
      <c r="DI16" s="131"/>
      <c r="DJ16" s="131"/>
      <c r="DK16" s="137">
        <f t="shared" si="99"/>
        <v>4750.8264550107333</v>
      </c>
      <c r="DL16" s="227" t="e">
        <f t="shared" si="59"/>
        <v>#REF!</v>
      </c>
      <c r="DM16" s="227" t="e">
        <f t="shared" si="60"/>
        <v>#REF!</v>
      </c>
      <c r="DN16" s="228" t="e">
        <f t="shared" si="14"/>
        <v>#REF!</v>
      </c>
      <c r="DO16" s="228">
        <f t="shared" si="61"/>
        <v>181.81087083894022</v>
      </c>
      <c r="DP16" s="228" t="e">
        <f t="shared" si="62"/>
        <v>#REF!</v>
      </c>
      <c r="DQ16" s="228" t="e">
        <f t="shared" si="63"/>
        <v>#REF!</v>
      </c>
    </row>
    <row r="17" spans="1:121" s="18" customFormat="1">
      <c r="A17" s="132">
        <f t="shared" si="15"/>
        <v>7</v>
      </c>
      <c r="B17" s="18">
        <f t="shared" si="64"/>
        <v>7</v>
      </c>
      <c r="C17" s="18">
        <f>IF(A17=0," ",VLOOKUP(B17,'tosafot '!$A$7:$B$234,2,0))</f>
        <v>7.2008000000000001</v>
      </c>
      <c r="D17" s="220">
        <f t="shared" si="65"/>
        <v>228</v>
      </c>
      <c r="E17" s="130">
        <f t="shared" si="66"/>
        <v>12.2026</v>
      </c>
      <c r="F17" s="126">
        <f t="shared" si="67"/>
        <v>9</v>
      </c>
      <c r="G17" s="18" t="str">
        <f t="shared" si="68"/>
        <v>הבריאות</v>
      </c>
      <c r="H17" s="189">
        <f t="shared" si="69"/>
        <v>107</v>
      </c>
      <c r="I17" s="18">
        <f t="shared" si="70"/>
        <v>1</v>
      </c>
      <c r="J17" s="18" t="str">
        <f t="shared" si="71"/>
        <v>מינהלי - עובדי מדינה</v>
      </c>
      <c r="K17" s="189">
        <f t="shared" si="72"/>
        <v>1</v>
      </c>
      <c r="L17" s="18">
        <f t="shared" si="73"/>
        <v>12</v>
      </c>
      <c r="M17" s="129" t="str">
        <f t="shared" si="74"/>
        <v>17+</v>
      </c>
      <c r="N17" s="189"/>
      <c r="O17" s="132">
        <f t="shared" si="75"/>
        <v>1012</v>
      </c>
      <c r="P17" s="127">
        <f t="shared" si="76"/>
        <v>37</v>
      </c>
      <c r="Q17" s="127">
        <f t="shared" si="77"/>
        <v>22.75</v>
      </c>
      <c r="R17" s="128">
        <f t="shared" si="78"/>
        <v>92</v>
      </c>
      <c r="S17" s="130">
        <f t="shared" si="79"/>
        <v>1.2540512286990533</v>
      </c>
      <c r="T17" s="135">
        <f t="shared" si="16"/>
        <v>0</v>
      </c>
      <c r="U17" s="127">
        <f t="shared" si="17"/>
        <v>0</v>
      </c>
      <c r="V17" s="217">
        <v>0</v>
      </c>
      <c r="W17" s="191">
        <v>0</v>
      </c>
      <c r="X17" s="133">
        <v>0</v>
      </c>
      <c r="Y17" s="131">
        <f t="shared" si="18"/>
        <v>2438.5</v>
      </c>
      <c r="Z17" s="131">
        <f t="shared" si="19"/>
        <v>619.50392118264142</v>
      </c>
      <c r="AA17" s="242">
        <f t="shared" si="20"/>
        <v>3058.0039211826415</v>
      </c>
      <c r="AB17" s="131">
        <f t="shared" si="21"/>
        <v>0</v>
      </c>
      <c r="AC17" s="131">
        <f t="shared" si="22"/>
        <v>139.48055684730568</v>
      </c>
      <c r="AD17" s="131">
        <f t="shared" si="23"/>
        <v>0</v>
      </c>
      <c r="AE17" s="131">
        <f t="shared" si="24"/>
        <v>0</v>
      </c>
      <c r="AF17" s="131">
        <f t="shared" si="25"/>
        <v>75.260000000000005</v>
      </c>
      <c r="AG17" s="131">
        <f t="shared" si="26"/>
        <v>0</v>
      </c>
      <c r="AH17" s="131">
        <f t="shared" si="27"/>
        <v>0</v>
      </c>
      <c r="AI17" s="131">
        <f t="shared" si="28"/>
        <v>0</v>
      </c>
      <c r="AJ17" s="131">
        <f t="shared" si="29"/>
        <v>0</v>
      </c>
      <c r="AK17" s="131"/>
      <c r="AL17" s="131">
        <f t="shared" si="30"/>
        <v>0</v>
      </c>
      <c r="AM17" s="131">
        <f t="shared" si="81"/>
        <v>0</v>
      </c>
      <c r="AN17" s="131">
        <f t="shared" si="31"/>
        <v>0</v>
      </c>
      <c r="AO17" s="131">
        <f t="shared" si="32"/>
        <v>0</v>
      </c>
      <c r="AP17" s="131">
        <f t="shared" si="33"/>
        <v>0</v>
      </c>
      <c r="AQ17" s="131"/>
      <c r="AR17" s="131">
        <f t="shared" si="34"/>
        <v>0</v>
      </c>
      <c r="AS17" s="131">
        <f t="shared" si="82"/>
        <v>0</v>
      </c>
      <c r="AT17" s="131">
        <f t="shared" si="35"/>
        <v>0</v>
      </c>
      <c r="AU17" s="131">
        <f t="shared" si="36"/>
        <v>0</v>
      </c>
      <c r="AV17" s="131"/>
      <c r="AW17" s="131">
        <f t="shared" si="37"/>
        <v>353.75</v>
      </c>
      <c r="AX17" s="131">
        <f t="shared" si="83"/>
        <v>0</v>
      </c>
      <c r="AY17" s="131">
        <f t="shared" si="38"/>
        <v>959.24534340898413</v>
      </c>
      <c r="AZ17" s="131">
        <f t="shared" si="84"/>
        <v>0</v>
      </c>
      <c r="BA17" s="131"/>
      <c r="BB17" s="131"/>
      <c r="BC17" s="131"/>
      <c r="BD17" s="131">
        <f t="shared" si="39"/>
        <v>0</v>
      </c>
      <c r="BE17" s="131">
        <f t="shared" si="88"/>
        <v>0</v>
      </c>
      <c r="BF17" s="131">
        <f t="shared" si="89"/>
        <v>0</v>
      </c>
      <c r="BG17" s="131">
        <f t="shared" si="90"/>
        <v>0</v>
      </c>
      <c r="BH17" s="131"/>
      <c r="BI17" s="131"/>
      <c r="BJ17" s="131"/>
      <c r="BK17" s="131">
        <f t="shared" si="92"/>
        <v>0</v>
      </c>
      <c r="BL17" s="131"/>
      <c r="BM17" s="131"/>
      <c r="BN17" s="131">
        <f t="shared" si="93"/>
        <v>0</v>
      </c>
      <c r="BO17" s="131"/>
      <c r="BP17" s="131">
        <f t="shared" si="94"/>
        <v>0</v>
      </c>
      <c r="BQ17" s="131"/>
      <c r="BR17" s="131"/>
      <c r="BS17" s="131"/>
      <c r="BT17" s="131"/>
      <c r="BU17" s="131"/>
      <c r="BV17" s="131">
        <f t="shared" si="95"/>
        <v>0</v>
      </c>
      <c r="BW17" s="131"/>
      <c r="BX17" s="131"/>
      <c r="BY17" s="131"/>
      <c r="BZ17" s="131">
        <f t="shared" si="98"/>
        <v>0</v>
      </c>
      <c r="CA17" s="131"/>
      <c r="CB17" s="136">
        <f t="shared" si="40"/>
        <v>165.08663357180151</v>
      </c>
      <c r="CC17" s="131">
        <f t="shared" si="41"/>
        <v>0</v>
      </c>
      <c r="CD17" s="136">
        <f t="shared" si="42"/>
        <v>0</v>
      </c>
      <c r="CE17" s="131">
        <f t="shared" ref="CE17:CE80" si="102">IF(A17=0," ",CE16)</f>
        <v>0</v>
      </c>
      <c r="CF17" s="136">
        <f t="shared" si="43"/>
        <v>0</v>
      </c>
      <c r="CG17" s="136"/>
      <c r="CH17" s="136">
        <f t="shared" si="101"/>
        <v>0</v>
      </c>
      <c r="CI17" s="131">
        <f t="shared" si="44"/>
        <v>0</v>
      </c>
      <c r="CJ17" s="131"/>
      <c r="CK17" s="136">
        <f t="shared" si="45"/>
        <v>0</v>
      </c>
      <c r="CL17" s="136">
        <f t="shared" si="46"/>
        <v>0</v>
      </c>
      <c r="CM17" s="131">
        <f t="shared" si="47"/>
        <v>0</v>
      </c>
      <c r="CN17" s="136">
        <f t="shared" si="48"/>
        <v>0</v>
      </c>
      <c r="CO17" s="136">
        <f t="shared" si="49"/>
        <v>0</v>
      </c>
      <c r="CP17" s="136">
        <f t="shared" si="50"/>
        <v>0</v>
      </c>
      <c r="CQ17" s="136"/>
      <c r="CR17" s="136">
        <f t="shared" si="51"/>
        <v>0</v>
      </c>
      <c r="CS17" s="136"/>
      <c r="CT17" s="136"/>
      <c r="CU17" s="136"/>
      <c r="CV17" s="136"/>
      <c r="CW17" s="136"/>
      <c r="CX17" s="136"/>
      <c r="CY17" s="136"/>
      <c r="CZ17" s="136">
        <f t="shared" si="52"/>
        <v>0</v>
      </c>
      <c r="DA17" s="136">
        <f t="shared" si="53"/>
        <v>0</v>
      </c>
      <c r="DB17" s="136">
        <f t="shared" si="54"/>
        <v>0</v>
      </c>
      <c r="DC17" s="131">
        <f t="shared" si="13"/>
        <v>0</v>
      </c>
      <c r="DD17" s="131">
        <f t="shared" si="55"/>
        <v>0</v>
      </c>
      <c r="DE17" s="131">
        <f t="shared" si="56"/>
        <v>0</v>
      </c>
      <c r="DF17" s="131">
        <f t="shared" si="57"/>
        <v>0</v>
      </c>
      <c r="DG17" s="131">
        <f t="shared" si="58"/>
        <v>0</v>
      </c>
      <c r="DH17" s="131"/>
      <c r="DI17" s="131"/>
      <c r="DJ17" s="131"/>
      <c r="DK17" s="137">
        <f t="shared" si="99"/>
        <v>4750.8264550107333</v>
      </c>
      <c r="DL17" s="227" t="e">
        <f t="shared" si="59"/>
        <v>#REF!</v>
      </c>
      <c r="DM17" s="227" t="e">
        <f t="shared" si="60"/>
        <v>#REF!</v>
      </c>
      <c r="DN17" s="228" t="e">
        <f t="shared" si="14"/>
        <v>#REF!</v>
      </c>
      <c r="DO17" s="228">
        <f t="shared" si="61"/>
        <v>181.81087083894022</v>
      </c>
      <c r="DP17" s="228" t="e">
        <f t="shared" si="62"/>
        <v>#REF!</v>
      </c>
      <c r="DQ17" s="228" t="e">
        <f t="shared" si="63"/>
        <v>#REF!</v>
      </c>
    </row>
    <row r="18" spans="1:121" s="18" customFormat="1">
      <c r="A18" s="132">
        <f t="shared" si="15"/>
        <v>8</v>
      </c>
      <c r="B18" s="18">
        <f t="shared" si="64"/>
        <v>8</v>
      </c>
      <c r="C18" s="18">
        <f>IF(A18=0," ",VLOOKUP(B18,'tosafot '!$A$7:$B$234,2,0))</f>
        <v>8.2007999999999992</v>
      </c>
      <c r="D18" s="220">
        <f t="shared" si="65"/>
        <v>228</v>
      </c>
      <c r="E18" s="130">
        <f t="shared" si="66"/>
        <v>12.2026</v>
      </c>
      <c r="F18" s="126">
        <f t="shared" si="67"/>
        <v>9</v>
      </c>
      <c r="G18" s="18" t="str">
        <f t="shared" si="68"/>
        <v>הבריאות</v>
      </c>
      <c r="H18" s="189">
        <f t="shared" si="69"/>
        <v>107</v>
      </c>
      <c r="I18" s="18">
        <f t="shared" si="70"/>
        <v>1</v>
      </c>
      <c r="J18" s="18" t="str">
        <f t="shared" si="71"/>
        <v>מינהלי - עובדי מדינה</v>
      </c>
      <c r="K18" s="189">
        <f t="shared" si="72"/>
        <v>1</v>
      </c>
      <c r="L18" s="18">
        <f t="shared" si="73"/>
        <v>12</v>
      </c>
      <c r="M18" s="129" t="str">
        <f t="shared" si="74"/>
        <v>17+</v>
      </c>
      <c r="N18" s="189"/>
      <c r="O18" s="132">
        <f t="shared" si="75"/>
        <v>1012</v>
      </c>
      <c r="P18" s="127">
        <f t="shared" si="76"/>
        <v>37</v>
      </c>
      <c r="Q18" s="127">
        <f t="shared" si="77"/>
        <v>22.75</v>
      </c>
      <c r="R18" s="128">
        <f t="shared" si="78"/>
        <v>92</v>
      </c>
      <c r="S18" s="130">
        <f t="shared" si="79"/>
        <v>1.2540512286990533</v>
      </c>
      <c r="T18" s="135">
        <f t="shared" si="16"/>
        <v>0</v>
      </c>
      <c r="U18" s="127">
        <f t="shared" si="17"/>
        <v>0</v>
      </c>
      <c r="V18" s="217">
        <v>0</v>
      </c>
      <c r="W18" s="191">
        <v>0</v>
      </c>
      <c r="X18" s="133">
        <v>0</v>
      </c>
      <c r="Y18" s="131">
        <f t="shared" si="18"/>
        <v>2438.5</v>
      </c>
      <c r="Z18" s="131">
        <f t="shared" si="19"/>
        <v>619.50392118264142</v>
      </c>
      <c r="AA18" s="242">
        <f t="shared" si="20"/>
        <v>3058.0039211826415</v>
      </c>
      <c r="AB18" s="131">
        <f t="shared" si="21"/>
        <v>0</v>
      </c>
      <c r="AC18" s="131">
        <f t="shared" si="22"/>
        <v>139.48055684730568</v>
      </c>
      <c r="AD18" s="131">
        <f t="shared" si="23"/>
        <v>0</v>
      </c>
      <c r="AE18" s="131">
        <f t="shared" si="24"/>
        <v>0</v>
      </c>
      <c r="AF18" s="131">
        <f t="shared" si="25"/>
        <v>75.260000000000005</v>
      </c>
      <c r="AG18" s="131">
        <f t="shared" si="26"/>
        <v>0</v>
      </c>
      <c r="AH18" s="131">
        <f t="shared" si="27"/>
        <v>0</v>
      </c>
      <c r="AI18" s="131">
        <f t="shared" si="28"/>
        <v>0</v>
      </c>
      <c r="AJ18" s="131">
        <f t="shared" si="29"/>
        <v>0</v>
      </c>
      <c r="AK18" s="131"/>
      <c r="AL18" s="131">
        <f t="shared" si="30"/>
        <v>0</v>
      </c>
      <c r="AM18" s="131"/>
      <c r="AN18" s="131">
        <f t="shared" si="31"/>
        <v>0</v>
      </c>
      <c r="AO18" s="131">
        <f t="shared" si="32"/>
        <v>0</v>
      </c>
      <c r="AP18" s="131">
        <f t="shared" si="33"/>
        <v>0</v>
      </c>
      <c r="AQ18" s="131"/>
      <c r="AR18" s="131">
        <f t="shared" si="34"/>
        <v>0</v>
      </c>
      <c r="AS18" s="131">
        <f t="shared" si="82"/>
        <v>0</v>
      </c>
      <c r="AT18" s="131">
        <f t="shared" si="35"/>
        <v>0</v>
      </c>
      <c r="AU18" s="131">
        <f t="shared" si="36"/>
        <v>0</v>
      </c>
      <c r="AV18" s="131"/>
      <c r="AW18" s="131">
        <f t="shared" si="37"/>
        <v>353.75</v>
      </c>
      <c r="AX18" s="131">
        <f t="shared" ref="AX18:AX81" si="103">IF(A17=0," ",AX17)</f>
        <v>0</v>
      </c>
      <c r="AY18" s="131">
        <f t="shared" si="38"/>
        <v>959.24534340898413</v>
      </c>
      <c r="AZ18" s="131">
        <f t="shared" si="84"/>
        <v>0</v>
      </c>
      <c r="BA18" s="131">
        <f t="shared" ref="BA18:BA81" si="104">IF(A17=0," ",BA17)</f>
        <v>0</v>
      </c>
      <c r="BB18" s="131"/>
      <c r="BC18" s="131"/>
      <c r="BD18" s="131">
        <f t="shared" si="39"/>
        <v>0</v>
      </c>
      <c r="BE18" s="131">
        <f t="shared" si="88"/>
        <v>0</v>
      </c>
      <c r="BF18" s="131">
        <f t="shared" si="89"/>
        <v>0</v>
      </c>
      <c r="BG18" s="131">
        <f t="shared" si="90"/>
        <v>0</v>
      </c>
      <c r="BH18" s="131"/>
      <c r="BI18" s="131"/>
      <c r="BJ18" s="131"/>
      <c r="BK18" s="131">
        <f t="shared" si="92"/>
        <v>0</v>
      </c>
      <c r="BL18" s="131"/>
      <c r="BM18" s="131"/>
      <c r="BN18" s="131">
        <f t="shared" si="93"/>
        <v>0</v>
      </c>
      <c r="BO18" s="131"/>
      <c r="BP18" s="131">
        <f t="shared" si="94"/>
        <v>0</v>
      </c>
      <c r="BQ18" s="131"/>
      <c r="BR18" s="131"/>
      <c r="BS18" s="131"/>
      <c r="BT18" s="131"/>
      <c r="BU18" s="131"/>
      <c r="BV18" s="131">
        <f t="shared" si="95"/>
        <v>0</v>
      </c>
      <c r="BW18" s="131"/>
      <c r="BX18" s="131"/>
      <c r="BY18" s="131"/>
      <c r="BZ18" s="131">
        <f t="shared" si="98"/>
        <v>0</v>
      </c>
      <c r="CA18" s="131"/>
      <c r="CB18" s="136">
        <f t="shared" si="40"/>
        <v>165.08663357180151</v>
      </c>
      <c r="CC18" s="131">
        <f t="shared" si="41"/>
        <v>0</v>
      </c>
      <c r="CD18" s="136">
        <f t="shared" si="42"/>
        <v>0</v>
      </c>
      <c r="CE18" s="131">
        <f t="shared" si="102"/>
        <v>0</v>
      </c>
      <c r="CF18" s="136">
        <f t="shared" si="43"/>
        <v>0</v>
      </c>
      <c r="CG18" s="136"/>
      <c r="CH18" s="136">
        <f t="shared" si="101"/>
        <v>0</v>
      </c>
      <c r="CI18" s="131">
        <f t="shared" si="44"/>
        <v>0</v>
      </c>
      <c r="CJ18" s="131"/>
      <c r="CK18" s="136">
        <f t="shared" si="45"/>
        <v>0</v>
      </c>
      <c r="CL18" s="136">
        <f t="shared" si="46"/>
        <v>0</v>
      </c>
      <c r="CM18" s="131">
        <f t="shared" si="47"/>
        <v>0</v>
      </c>
      <c r="CN18" s="136">
        <f t="shared" si="48"/>
        <v>0</v>
      </c>
      <c r="CO18" s="136">
        <f t="shared" si="49"/>
        <v>0</v>
      </c>
      <c r="CP18" s="136">
        <f t="shared" si="50"/>
        <v>0</v>
      </c>
      <c r="CQ18" s="136"/>
      <c r="CR18" s="136">
        <f t="shared" si="51"/>
        <v>0</v>
      </c>
      <c r="CS18" s="136"/>
      <c r="CT18" s="136"/>
      <c r="CU18" s="136"/>
      <c r="CV18" s="136"/>
      <c r="CW18" s="136"/>
      <c r="CX18" s="136"/>
      <c r="CY18" s="136"/>
      <c r="CZ18" s="136">
        <f t="shared" si="52"/>
        <v>0</v>
      </c>
      <c r="DA18" s="136">
        <f t="shared" si="53"/>
        <v>0</v>
      </c>
      <c r="DB18" s="136">
        <f t="shared" si="54"/>
        <v>0</v>
      </c>
      <c r="DC18" s="131">
        <f t="shared" si="13"/>
        <v>0</v>
      </c>
      <c r="DD18" s="131">
        <f t="shared" si="55"/>
        <v>0</v>
      </c>
      <c r="DE18" s="131">
        <f t="shared" si="56"/>
        <v>0</v>
      </c>
      <c r="DF18" s="131">
        <f t="shared" si="57"/>
        <v>0</v>
      </c>
      <c r="DG18" s="131">
        <f t="shared" si="58"/>
        <v>0</v>
      </c>
      <c r="DH18" s="131"/>
      <c r="DI18" s="131"/>
      <c r="DJ18" s="131"/>
      <c r="DK18" s="137">
        <f t="shared" si="99"/>
        <v>4750.8264550107333</v>
      </c>
      <c r="DL18" s="227" t="e">
        <f t="shared" si="59"/>
        <v>#REF!</v>
      </c>
      <c r="DM18" s="227" t="e">
        <f t="shared" si="60"/>
        <v>#REF!</v>
      </c>
      <c r="DN18" s="228" t="e">
        <f t="shared" si="14"/>
        <v>#REF!</v>
      </c>
      <c r="DO18" s="228">
        <f t="shared" si="61"/>
        <v>181.81087083894022</v>
      </c>
      <c r="DP18" s="228" t="e">
        <f t="shared" si="62"/>
        <v>#REF!</v>
      </c>
      <c r="DQ18" s="228" t="e">
        <f t="shared" si="63"/>
        <v>#REF!</v>
      </c>
    </row>
    <row r="19" spans="1:121" s="18" customFormat="1">
      <c r="A19" s="132">
        <f t="shared" si="15"/>
        <v>9</v>
      </c>
      <c r="B19" s="18">
        <f t="shared" si="64"/>
        <v>9</v>
      </c>
      <c r="C19" s="18">
        <f>IF(A19=0," ",VLOOKUP(B19,'tosafot '!$A$7:$B$234,2,0))</f>
        <v>9.2007999999999992</v>
      </c>
      <c r="D19" s="220">
        <f t="shared" si="65"/>
        <v>228</v>
      </c>
      <c r="E19" s="130">
        <f t="shared" si="66"/>
        <v>12.2026</v>
      </c>
      <c r="F19" s="126">
        <f t="shared" si="67"/>
        <v>9</v>
      </c>
      <c r="G19" s="18" t="str">
        <f t="shared" si="68"/>
        <v>הבריאות</v>
      </c>
      <c r="H19" s="189">
        <f t="shared" si="69"/>
        <v>107</v>
      </c>
      <c r="I19" s="18">
        <f t="shared" si="70"/>
        <v>1</v>
      </c>
      <c r="J19" s="18" t="str">
        <f t="shared" si="71"/>
        <v>מינהלי - עובדי מדינה</v>
      </c>
      <c r="K19" s="189">
        <f t="shared" si="72"/>
        <v>1</v>
      </c>
      <c r="L19" s="18">
        <f t="shared" si="73"/>
        <v>12</v>
      </c>
      <c r="M19" s="129" t="str">
        <f t="shared" si="74"/>
        <v>17+</v>
      </c>
      <c r="N19" s="189"/>
      <c r="O19" s="132">
        <f t="shared" si="75"/>
        <v>1012</v>
      </c>
      <c r="P19" s="127">
        <f t="shared" si="76"/>
        <v>37</v>
      </c>
      <c r="Q19" s="127">
        <f t="shared" si="77"/>
        <v>22.75</v>
      </c>
      <c r="R19" s="128">
        <f t="shared" si="78"/>
        <v>92</v>
      </c>
      <c r="S19" s="130">
        <f t="shared" si="79"/>
        <v>1.2540512286990533</v>
      </c>
      <c r="T19" s="135">
        <f t="shared" si="16"/>
        <v>0</v>
      </c>
      <c r="U19" s="127">
        <f t="shared" si="17"/>
        <v>0</v>
      </c>
      <c r="V19" s="217">
        <v>0</v>
      </c>
      <c r="W19" s="191">
        <v>0</v>
      </c>
      <c r="X19" s="133">
        <v>0</v>
      </c>
      <c r="Y19" s="131">
        <f t="shared" si="18"/>
        <v>2438.5</v>
      </c>
      <c r="Z19" s="131">
        <f t="shared" si="19"/>
        <v>619.50392118264142</v>
      </c>
      <c r="AA19" s="242">
        <f t="shared" si="20"/>
        <v>3058.0039211826415</v>
      </c>
      <c r="AB19" s="131">
        <f t="shared" si="21"/>
        <v>0</v>
      </c>
      <c r="AC19" s="131">
        <f t="shared" si="22"/>
        <v>139.48055684730568</v>
      </c>
      <c r="AD19" s="131">
        <f t="shared" si="23"/>
        <v>0</v>
      </c>
      <c r="AE19" s="131">
        <f t="shared" si="24"/>
        <v>0</v>
      </c>
      <c r="AF19" s="131">
        <f t="shared" si="25"/>
        <v>75.260000000000005</v>
      </c>
      <c r="AG19" s="131">
        <f t="shared" si="26"/>
        <v>0</v>
      </c>
      <c r="AH19" s="131">
        <f t="shared" si="27"/>
        <v>0</v>
      </c>
      <c r="AI19" s="131">
        <f t="shared" si="28"/>
        <v>0</v>
      </c>
      <c r="AJ19" s="131">
        <f t="shared" si="29"/>
        <v>0</v>
      </c>
      <c r="AK19" s="131"/>
      <c r="AL19" s="131">
        <f t="shared" si="30"/>
        <v>0</v>
      </c>
      <c r="AM19" s="131"/>
      <c r="AN19" s="131">
        <f t="shared" si="31"/>
        <v>0</v>
      </c>
      <c r="AO19" s="131">
        <f t="shared" si="32"/>
        <v>0</v>
      </c>
      <c r="AP19" s="131">
        <f t="shared" si="33"/>
        <v>0</v>
      </c>
      <c r="AQ19" s="131"/>
      <c r="AR19" s="131">
        <f t="shared" si="34"/>
        <v>0</v>
      </c>
      <c r="AS19" s="131">
        <f t="shared" si="82"/>
        <v>0</v>
      </c>
      <c r="AT19" s="131">
        <f t="shared" si="35"/>
        <v>0</v>
      </c>
      <c r="AU19" s="131">
        <f t="shared" si="36"/>
        <v>0</v>
      </c>
      <c r="AV19" s="131"/>
      <c r="AW19" s="131">
        <f t="shared" si="37"/>
        <v>353.75</v>
      </c>
      <c r="AX19" s="131"/>
      <c r="AY19" s="131"/>
      <c r="AZ19" s="131">
        <f t="shared" si="84"/>
        <v>0</v>
      </c>
      <c r="BA19" s="131"/>
      <c r="BB19" s="131"/>
      <c r="BC19" s="131"/>
      <c r="BD19" s="131">
        <f t="shared" si="39"/>
        <v>0</v>
      </c>
      <c r="BE19" s="131">
        <f t="shared" si="88"/>
        <v>0</v>
      </c>
      <c r="BF19" s="131">
        <f t="shared" si="89"/>
        <v>0</v>
      </c>
      <c r="BG19" s="131">
        <f t="shared" si="90"/>
        <v>0</v>
      </c>
      <c r="BH19" s="131"/>
      <c r="BI19" s="131"/>
      <c r="BJ19" s="131"/>
      <c r="BK19" s="131">
        <f t="shared" si="92"/>
        <v>0</v>
      </c>
      <c r="BL19" s="131"/>
      <c r="BM19" s="131"/>
      <c r="BN19" s="131">
        <f t="shared" si="93"/>
        <v>0</v>
      </c>
      <c r="BO19" s="131"/>
      <c r="BP19" s="131">
        <f t="shared" si="94"/>
        <v>0</v>
      </c>
      <c r="BQ19" s="131"/>
      <c r="BR19" s="131"/>
      <c r="BS19" s="131"/>
      <c r="BT19" s="131"/>
      <c r="BU19" s="131"/>
      <c r="BV19" s="131">
        <f t="shared" si="95"/>
        <v>0</v>
      </c>
      <c r="BW19" s="131"/>
      <c r="BX19" s="131"/>
      <c r="BY19" s="131"/>
      <c r="BZ19" s="131">
        <f t="shared" si="98"/>
        <v>0</v>
      </c>
      <c r="CA19" s="131"/>
      <c r="CB19" s="136">
        <f t="shared" si="40"/>
        <v>165.08663357180151</v>
      </c>
      <c r="CC19" s="131">
        <f t="shared" si="41"/>
        <v>0</v>
      </c>
      <c r="CD19" s="136">
        <f t="shared" si="42"/>
        <v>0</v>
      </c>
      <c r="CE19" s="131">
        <f t="shared" si="102"/>
        <v>0</v>
      </c>
      <c r="CF19" s="136">
        <f t="shared" si="43"/>
        <v>0</v>
      </c>
      <c r="CG19" s="136"/>
      <c r="CH19" s="136">
        <f t="shared" si="101"/>
        <v>0</v>
      </c>
      <c r="CI19" s="131">
        <f t="shared" si="44"/>
        <v>0</v>
      </c>
      <c r="CJ19" s="131"/>
      <c r="CK19" s="136">
        <f t="shared" si="45"/>
        <v>0</v>
      </c>
      <c r="CL19" s="136">
        <f t="shared" si="46"/>
        <v>0</v>
      </c>
      <c r="CM19" s="131">
        <f t="shared" si="47"/>
        <v>0</v>
      </c>
      <c r="CN19" s="136">
        <f t="shared" si="48"/>
        <v>0</v>
      </c>
      <c r="CO19" s="136">
        <f t="shared" si="49"/>
        <v>0</v>
      </c>
      <c r="CP19" s="136">
        <f t="shared" si="50"/>
        <v>0</v>
      </c>
      <c r="CQ19" s="136"/>
      <c r="CR19" s="136">
        <f t="shared" si="51"/>
        <v>0</v>
      </c>
      <c r="CS19" s="136"/>
      <c r="CT19" s="136"/>
      <c r="CU19" s="136"/>
      <c r="CV19" s="136"/>
      <c r="CW19" s="136"/>
      <c r="CX19" s="136"/>
      <c r="CY19" s="136"/>
      <c r="CZ19" s="136">
        <f t="shared" si="52"/>
        <v>0</v>
      </c>
      <c r="DA19" s="136">
        <f t="shared" si="53"/>
        <v>0</v>
      </c>
      <c r="DB19" s="136">
        <f t="shared" si="54"/>
        <v>0</v>
      </c>
      <c r="DC19" s="131">
        <f t="shared" si="13"/>
        <v>0</v>
      </c>
      <c r="DD19" s="131">
        <f t="shared" si="55"/>
        <v>0</v>
      </c>
      <c r="DE19" s="131">
        <f t="shared" si="56"/>
        <v>0</v>
      </c>
      <c r="DF19" s="131">
        <f t="shared" si="57"/>
        <v>0</v>
      </c>
      <c r="DG19" s="131">
        <f t="shared" si="58"/>
        <v>0</v>
      </c>
      <c r="DH19" s="131"/>
      <c r="DI19" s="131"/>
      <c r="DJ19" s="131"/>
      <c r="DK19" s="137">
        <f t="shared" si="99"/>
        <v>3791.5811116017489</v>
      </c>
      <c r="DL19" s="227" t="e">
        <f t="shared" si="59"/>
        <v>#REF!</v>
      </c>
      <c r="DM19" s="227" t="e">
        <f t="shared" si="60"/>
        <v>#REF!</v>
      </c>
      <c r="DN19" s="228" t="e">
        <f t="shared" si="14"/>
        <v>#REF!</v>
      </c>
      <c r="DO19" s="228">
        <f t="shared" si="61"/>
        <v>181.81087083894022</v>
      </c>
      <c r="DP19" s="228" t="e">
        <f t="shared" si="62"/>
        <v>#REF!</v>
      </c>
      <c r="DQ19" s="228" t="e">
        <f t="shared" si="63"/>
        <v>#REF!</v>
      </c>
    </row>
    <row r="20" spans="1:121" s="18" customFormat="1">
      <c r="A20" s="132">
        <f t="shared" si="15"/>
        <v>10</v>
      </c>
      <c r="B20" s="18">
        <f t="shared" si="64"/>
        <v>10</v>
      </c>
      <c r="C20" s="18">
        <f>IF(A20=0," ",VLOOKUP(B20,'tosafot '!$A$7:$B$234,2,0))</f>
        <v>10.200799999999999</v>
      </c>
      <c r="D20" s="220">
        <f t="shared" si="65"/>
        <v>228</v>
      </c>
      <c r="E20" s="130">
        <f t="shared" si="66"/>
        <v>12.2026</v>
      </c>
      <c r="F20" s="126">
        <f t="shared" si="67"/>
        <v>9</v>
      </c>
      <c r="G20" s="18" t="str">
        <f t="shared" si="68"/>
        <v>הבריאות</v>
      </c>
      <c r="H20" s="189">
        <f t="shared" si="69"/>
        <v>107</v>
      </c>
      <c r="I20" s="18">
        <f t="shared" si="70"/>
        <v>1</v>
      </c>
      <c r="J20" s="18" t="str">
        <f t="shared" si="71"/>
        <v>מינהלי - עובדי מדינה</v>
      </c>
      <c r="K20" s="189">
        <f t="shared" si="72"/>
        <v>1</v>
      </c>
      <c r="L20" s="18">
        <f t="shared" si="73"/>
        <v>12</v>
      </c>
      <c r="M20" s="129" t="str">
        <f t="shared" si="74"/>
        <v>17+</v>
      </c>
      <c r="N20" s="189"/>
      <c r="O20" s="132">
        <f t="shared" si="75"/>
        <v>1012</v>
      </c>
      <c r="P20" s="127">
        <f t="shared" si="76"/>
        <v>37</v>
      </c>
      <c r="Q20" s="127">
        <f t="shared" si="77"/>
        <v>22.75</v>
      </c>
      <c r="R20" s="128">
        <f t="shared" si="78"/>
        <v>92</v>
      </c>
      <c r="S20" s="130">
        <f t="shared" si="79"/>
        <v>1.2540512286990533</v>
      </c>
      <c r="T20" s="135">
        <f t="shared" si="16"/>
        <v>0</v>
      </c>
      <c r="U20" s="127">
        <f t="shared" si="17"/>
        <v>0</v>
      </c>
      <c r="V20" s="217">
        <v>0</v>
      </c>
      <c r="W20" s="191">
        <v>0</v>
      </c>
      <c r="X20" s="133">
        <v>0</v>
      </c>
      <c r="Y20" s="131">
        <f t="shared" si="18"/>
        <v>2438.5</v>
      </c>
      <c r="Z20" s="131">
        <f t="shared" si="19"/>
        <v>619.50392118264142</v>
      </c>
      <c r="AA20" s="242">
        <f t="shared" si="20"/>
        <v>3058.0039211826415</v>
      </c>
      <c r="AB20" s="131">
        <f t="shared" si="21"/>
        <v>0</v>
      </c>
      <c r="AC20" s="131">
        <f t="shared" si="22"/>
        <v>139.48055684730568</v>
      </c>
      <c r="AD20" s="131">
        <f t="shared" si="23"/>
        <v>0</v>
      </c>
      <c r="AE20" s="131">
        <f t="shared" si="24"/>
        <v>0</v>
      </c>
      <c r="AF20" s="131">
        <f t="shared" si="25"/>
        <v>75.260000000000005</v>
      </c>
      <c r="AG20" s="131">
        <f t="shared" si="26"/>
        <v>0</v>
      </c>
      <c r="AH20" s="131">
        <f t="shared" si="27"/>
        <v>0</v>
      </c>
      <c r="AI20" s="131">
        <f t="shared" si="28"/>
        <v>0</v>
      </c>
      <c r="AJ20" s="131">
        <f t="shared" si="29"/>
        <v>0</v>
      </c>
      <c r="AK20" s="131"/>
      <c r="AL20" s="131">
        <f t="shared" si="30"/>
        <v>0</v>
      </c>
      <c r="AM20" s="131"/>
      <c r="AN20" s="131">
        <f t="shared" si="31"/>
        <v>0</v>
      </c>
      <c r="AO20" s="131">
        <f t="shared" si="32"/>
        <v>0</v>
      </c>
      <c r="AP20" s="131">
        <f t="shared" si="33"/>
        <v>0</v>
      </c>
      <c r="AQ20" s="131"/>
      <c r="AR20" s="131">
        <f t="shared" si="34"/>
        <v>0</v>
      </c>
      <c r="AS20" s="131">
        <f t="shared" si="82"/>
        <v>0</v>
      </c>
      <c r="AT20" s="131">
        <f t="shared" si="35"/>
        <v>0</v>
      </c>
      <c r="AU20" s="131">
        <f t="shared" si="36"/>
        <v>0</v>
      </c>
      <c r="AV20" s="131"/>
      <c r="AW20" s="131">
        <f t="shared" si="37"/>
        <v>353.75</v>
      </c>
      <c r="AX20" s="131">
        <f t="shared" si="103"/>
        <v>0</v>
      </c>
      <c r="AY20" s="131">
        <f t="shared" si="38"/>
        <v>0</v>
      </c>
      <c r="AZ20" s="131"/>
      <c r="BA20" s="131">
        <f t="shared" si="104"/>
        <v>0</v>
      </c>
      <c r="BB20" s="131"/>
      <c r="BC20" s="131"/>
      <c r="BD20" s="131">
        <f t="shared" si="39"/>
        <v>0</v>
      </c>
      <c r="BE20" s="131"/>
      <c r="BF20" s="131">
        <f t="shared" si="89"/>
        <v>0</v>
      </c>
      <c r="BG20" s="131">
        <f t="shared" si="90"/>
        <v>0</v>
      </c>
      <c r="BH20" s="131"/>
      <c r="BI20" s="131"/>
      <c r="BJ20" s="131"/>
      <c r="BK20" s="131">
        <f t="shared" si="92"/>
        <v>0</v>
      </c>
      <c r="BL20" s="131"/>
      <c r="BM20" s="131"/>
      <c r="BN20" s="131">
        <f t="shared" si="93"/>
        <v>0</v>
      </c>
      <c r="BO20" s="131"/>
      <c r="BP20" s="131">
        <f t="shared" si="94"/>
        <v>0</v>
      </c>
      <c r="BQ20" s="131"/>
      <c r="BR20" s="131"/>
      <c r="BS20" s="131"/>
      <c r="BT20" s="131"/>
      <c r="BU20" s="131"/>
      <c r="BV20" s="131">
        <f t="shared" si="95"/>
        <v>0</v>
      </c>
      <c r="BW20" s="131"/>
      <c r="BX20" s="131"/>
      <c r="BY20" s="131"/>
      <c r="BZ20" s="131">
        <f t="shared" si="98"/>
        <v>0</v>
      </c>
      <c r="CA20" s="131"/>
      <c r="CB20" s="136">
        <f t="shared" si="40"/>
        <v>165.08663357180151</v>
      </c>
      <c r="CC20" s="131">
        <f t="shared" si="41"/>
        <v>0</v>
      </c>
      <c r="CD20" s="136">
        <f t="shared" si="42"/>
        <v>0</v>
      </c>
      <c r="CE20" s="131">
        <f t="shared" si="102"/>
        <v>0</v>
      </c>
      <c r="CF20" s="136">
        <f t="shared" si="43"/>
        <v>0</v>
      </c>
      <c r="CG20" s="136"/>
      <c r="CH20" s="136">
        <f t="shared" si="101"/>
        <v>0</v>
      </c>
      <c r="CI20" s="131">
        <f t="shared" si="44"/>
        <v>0</v>
      </c>
      <c r="CJ20" s="131"/>
      <c r="CK20" s="136">
        <f t="shared" si="45"/>
        <v>0</v>
      </c>
      <c r="CL20" s="136">
        <f t="shared" si="46"/>
        <v>0</v>
      </c>
      <c r="CM20" s="131">
        <f t="shared" si="47"/>
        <v>0</v>
      </c>
      <c r="CN20" s="136">
        <f t="shared" si="48"/>
        <v>0</v>
      </c>
      <c r="CO20" s="136">
        <f t="shared" si="49"/>
        <v>0</v>
      </c>
      <c r="CP20" s="136">
        <f t="shared" si="50"/>
        <v>0</v>
      </c>
      <c r="CQ20" s="136"/>
      <c r="CR20" s="136">
        <f t="shared" si="51"/>
        <v>0</v>
      </c>
      <c r="CS20" s="136"/>
      <c r="CT20" s="136"/>
      <c r="CU20" s="136"/>
      <c r="CV20" s="136"/>
      <c r="CW20" s="136"/>
      <c r="CX20" s="136"/>
      <c r="CY20" s="136"/>
      <c r="CZ20" s="136">
        <f t="shared" si="52"/>
        <v>0</v>
      </c>
      <c r="DA20" s="136">
        <f t="shared" si="53"/>
        <v>0</v>
      </c>
      <c r="DB20" s="136">
        <f t="shared" si="54"/>
        <v>0</v>
      </c>
      <c r="DC20" s="131">
        <f t="shared" si="13"/>
        <v>0</v>
      </c>
      <c r="DD20" s="131">
        <f t="shared" si="55"/>
        <v>0</v>
      </c>
      <c r="DE20" s="131">
        <f t="shared" si="56"/>
        <v>0</v>
      </c>
      <c r="DF20" s="131">
        <f t="shared" si="57"/>
        <v>0</v>
      </c>
      <c r="DG20" s="131">
        <f t="shared" si="58"/>
        <v>0</v>
      </c>
      <c r="DH20" s="131"/>
      <c r="DI20" s="131"/>
      <c r="DJ20" s="131"/>
      <c r="DK20" s="137">
        <f t="shared" si="99"/>
        <v>3791.5811116017489</v>
      </c>
      <c r="DL20" s="227" t="e">
        <f t="shared" si="59"/>
        <v>#REF!</v>
      </c>
      <c r="DM20" s="227" t="e">
        <f t="shared" si="60"/>
        <v>#REF!</v>
      </c>
      <c r="DN20" s="228" t="e">
        <f t="shared" si="14"/>
        <v>#REF!</v>
      </c>
      <c r="DO20" s="228">
        <f t="shared" si="61"/>
        <v>181.81087083894022</v>
      </c>
      <c r="DP20" s="228" t="e">
        <f t="shared" si="62"/>
        <v>#REF!</v>
      </c>
      <c r="DQ20" s="228" t="e">
        <f t="shared" si="63"/>
        <v>#REF!</v>
      </c>
    </row>
    <row r="21" spans="1:121" s="18" customFormat="1">
      <c r="A21" s="132">
        <f t="shared" si="15"/>
        <v>11</v>
      </c>
      <c r="B21" s="18">
        <f t="shared" si="64"/>
        <v>11</v>
      </c>
      <c r="C21" s="18">
        <f>IF(A21=0," ",VLOOKUP(B21,'tosafot '!$A$7:$B$234,2,0))</f>
        <v>11.200799999999999</v>
      </c>
      <c r="D21" s="220">
        <f t="shared" si="65"/>
        <v>228</v>
      </c>
      <c r="E21" s="130">
        <f t="shared" si="66"/>
        <v>12.2026</v>
      </c>
      <c r="F21" s="126">
        <f t="shared" si="67"/>
        <v>9</v>
      </c>
      <c r="G21" s="18" t="str">
        <f t="shared" si="68"/>
        <v>הבריאות</v>
      </c>
      <c r="H21" s="189">
        <f t="shared" si="69"/>
        <v>107</v>
      </c>
      <c r="I21" s="18">
        <f t="shared" si="70"/>
        <v>1</v>
      </c>
      <c r="J21" s="18" t="str">
        <f t="shared" si="71"/>
        <v>מינהלי - עובדי מדינה</v>
      </c>
      <c r="K21" s="189">
        <f t="shared" si="72"/>
        <v>1</v>
      </c>
      <c r="L21" s="18">
        <f t="shared" si="73"/>
        <v>12</v>
      </c>
      <c r="M21" s="129" t="str">
        <f t="shared" si="74"/>
        <v>17+</v>
      </c>
      <c r="N21" s="189"/>
      <c r="O21" s="132">
        <f t="shared" si="75"/>
        <v>1012</v>
      </c>
      <c r="P21" s="127">
        <f t="shared" si="76"/>
        <v>37</v>
      </c>
      <c r="Q21" s="127">
        <f t="shared" si="77"/>
        <v>22.75</v>
      </c>
      <c r="R21" s="128">
        <f t="shared" si="78"/>
        <v>92</v>
      </c>
      <c r="S21" s="130">
        <f t="shared" si="79"/>
        <v>1.2540512286990533</v>
      </c>
      <c r="T21" s="135">
        <f t="shared" si="16"/>
        <v>0</v>
      </c>
      <c r="U21" s="127">
        <f t="shared" si="17"/>
        <v>0</v>
      </c>
      <c r="V21" s="217">
        <v>0</v>
      </c>
      <c r="W21" s="191">
        <v>0</v>
      </c>
      <c r="X21" s="133">
        <v>0</v>
      </c>
      <c r="Y21" s="131">
        <f t="shared" si="18"/>
        <v>2438.5</v>
      </c>
      <c r="Z21" s="131">
        <f t="shared" si="19"/>
        <v>619.50392118264142</v>
      </c>
      <c r="AA21" s="242">
        <f t="shared" si="20"/>
        <v>3058.0039211826415</v>
      </c>
      <c r="AB21" s="131">
        <f t="shared" si="21"/>
        <v>0</v>
      </c>
      <c r="AC21" s="131">
        <f t="shared" si="22"/>
        <v>139.48055684730568</v>
      </c>
      <c r="AD21" s="131">
        <f t="shared" si="23"/>
        <v>0</v>
      </c>
      <c r="AE21" s="131">
        <f t="shared" si="24"/>
        <v>0</v>
      </c>
      <c r="AF21" s="131">
        <f t="shared" si="25"/>
        <v>75.260000000000005</v>
      </c>
      <c r="AG21" s="131">
        <f t="shared" si="26"/>
        <v>0</v>
      </c>
      <c r="AH21" s="131">
        <f t="shared" si="27"/>
        <v>0</v>
      </c>
      <c r="AI21" s="131">
        <f t="shared" si="28"/>
        <v>0</v>
      </c>
      <c r="AJ21" s="131">
        <f t="shared" si="29"/>
        <v>0</v>
      </c>
      <c r="AK21" s="131"/>
      <c r="AL21" s="131">
        <f t="shared" si="30"/>
        <v>0</v>
      </c>
      <c r="AM21" s="131"/>
      <c r="AN21" s="131">
        <f t="shared" si="31"/>
        <v>0</v>
      </c>
      <c r="AO21" s="131">
        <f t="shared" si="32"/>
        <v>0</v>
      </c>
      <c r="AP21" s="131">
        <f t="shared" si="33"/>
        <v>0</v>
      </c>
      <c r="AQ21" s="131"/>
      <c r="AR21" s="131">
        <f t="shared" si="34"/>
        <v>0</v>
      </c>
      <c r="AS21" s="131">
        <f t="shared" si="82"/>
        <v>0</v>
      </c>
      <c r="AT21" s="131">
        <f t="shared" si="35"/>
        <v>0</v>
      </c>
      <c r="AU21" s="131">
        <f t="shared" si="36"/>
        <v>0</v>
      </c>
      <c r="AV21" s="131"/>
      <c r="AW21" s="131">
        <f t="shared" si="37"/>
        <v>353.75</v>
      </c>
      <c r="AX21" s="131">
        <f t="shared" si="103"/>
        <v>0</v>
      </c>
      <c r="AY21" s="131">
        <f t="shared" si="38"/>
        <v>0</v>
      </c>
      <c r="AZ21" s="131"/>
      <c r="BA21" s="131">
        <f t="shared" si="104"/>
        <v>0</v>
      </c>
      <c r="BB21" s="131"/>
      <c r="BC21" s="131"/>
      <c r="BD21" s="131">
        <f t="shared" si="39"/>
        <v>0</v>
      </c>
      <c r="BE21" s="131"/>
      <c r="BF21" s="131">
        <f t="shared" si="89"/>
        <v>0</v>
      </c>
      <c r="BG21" s="131">
        <f t="shared" si="90"/>
        <v>0</v>
      </c>
      <c r="BH21" s="131"/>
      <c r="BI21" s="131"/>
      <c r="BJ21" s="131"/>
      <c r="BK21" s="131">
        <f t="shared" si="92"/>
        <v>0</v>
      </c>
      <c r="BL21" s="131"/>
      <c r="BM21" s="131"/>
      <c r="BN21" s="131">
        <f t="shared" si="93"/>
        <v>0</v>
      </c>
      <c r="BO21" s="131"/>
      <c r="BP21" s="131">
        <f t="shared" si="94"/>
        <v>0</v>
      </c>
      <c r="BQ21" s="131"/>
      <c r="BR21" s="131"/>
      <c r="BS21" s="131"/>
      <c r="BT21" s="131"/>
      <c r="BU21" s="131"/>
      <c r="BV21" s="131">
        <f t="shared" si="95"/>
        <v>0</v>
      </c>
      <c r="BW21" s="131"/>
      <c r="BX21" s="131"/>
      <c r="BY21" s="131"/>
      <c r="BZ21" s="131">
        <f t="shared" si="98"/>
        <v>0</v>
      </c>
      <c r="CA21" s="131"/>
      <c r="CB21" s="136">
        <f t="shared" si="40"/>
        <v>165.08663357180151</v>
      </c>
      <c r="CC21" s="131">
        <f t="shared" si="41"/>
        <v>0</v>
      </c>
      <c r="CD21" s="136">
        <f t="shared" si="42"/>
        <v>0</v>
      </c>
      <c r="CE21" s="131">
        <f t="shared" si="102"/>
        <v>0</v>
      </c>
      <c r="CF21" s="136">
        <f t="shared" si="43"/>
        <v>0</v>
      </c>
      <c r="CG21" s="136"/>
      <c r="CH21" s="136">
        <f t="shared" si="101"/>
        <v>0</v>
      </c>
      <c r="CI21" s="131">
        <f t="shared" si="44"/>
        <v>0</v>
      </c>
      <c r="CJ21" s="131"/>
      <c r="CK21" s="136">
        <f t="shared" si="45"/>
        <v>0</v>
      </c>
      <c r="CL21" s="136">
        <f t="shared" si="46"/>
        <v>0</v>
      </c>
      <c r="CM21" s="131">
        <f t="shared" si="47"/>
        <v>0</v>
      </c>
      <c r="CN21" s="136">
        <f t="shared" si="48"/>
        <v>0</v>
      </c>
      <c r="CO21" s="136">
        <f t="shared" si="49"/>
        <v>0</v>
      </c>
      <c r="CP21" s="136">
        <f t="shared" si="50"/>
        <v>0</v>
      </c>
      <c r="CQ21" s="136"/>
      <c r="CR21" s="136">
        <f t="shared" si="51"/>
        <v>0</v>
      </c>
      <c r="CS21" s="136"/>
      <c r="CT21" s="136"/>
      <c r="CU21" s="136"/>
      <c r="CV21" s="136"/>
      <c r="CW21" s="136"/>
      <c r="CX21" s="136"/>
      <c r="CY21" s="136"/>
      <c r="CZ21" s="136">
        <f t="shared" si="52"/>
        <v>0</v>
      </c>
      <c r="DA21" s="136">
        <f t="shared" si="53"/>
        <v>0</v>
      </c>
      <c r="DB21" s="136">
        <f t="shared" si="54"/>
        <v>0</v>
      </c>
      <c r="DC21" s="131">
        <f t="shared" si="13"/>
        <v>0</v>
      </c>
      <c r="DD21" s="131">
        <f t="shared" si="55"/>
        <v>0</v>
      </c>
      <c r="DE21" s="131">
        <f t="shared" si="56"/>
        <v>0</v>
      </c>
      <c r="DF21" s="131">
        <f t="shared" si="57"/>
        <v>0</v>
      </c>
      <c r="DG21" s="131">
        <f t="shared" si="58"/>
        <v>0</v>
      </c>
      <c r="DH21" s="131"/>
      <c r="DI21" s="131"/>
      <c r="DJ21" s="131"/>
      <c r="DK21" s="137">
        <f t="shared" si="99"/>
        <v>3791.5811116017489</v>
      </c>
      <c r="DL21" s="227" t="e">
        <f t="shared" si="59"/>
        <v>#REF!</v>
      </c>
      <c r="DM21" s="227" t="e">
        <f t="shared" si="60"/>
        <v>#REF!</v>
      </c>
      <c r="DN21" s="228" t="e">
        <f t="shared" si="14"/>
        <v>#REF!</v>
      </c>
      <c r="DO21" s="228">
        <f t="shared" si="61"/>
        <v>181.81087083894022</v>
      </c>
      <c r="DP21" s="228" t="e">
        <f t="shared" si="62"/>
        <v>#REF!</v>
      </c>
      <c r="DQ21" s="228" t="e">
        <f t="shared" si="63"/>
        <v>#REF!</v>
      </c>
    </row>
    <row r="22" spans="1:121" s="18" customFormat="1">
      <c r="A22" s="132">
        <f t="shared" si="15"/>
        <v>12</v>
      </c>
      <c r="B22" s="18">
        <f t="shared" si="64"/>
        <v>12</v>
      </c>
      <c r="C22" s="18">
        <f>IF(A22=0," ",VLOOKUP(B22,'tosafot '!$A$7:$B$234,2,0))</f>
        <v>12.200799999999999</v>
      </c>
      <c r="D22" s="220">
        <f t="shared" si="65"/>
        <v>228</v>
      </c>
      <c r="E22" s="130">
        <f t="shared" si="66"/>
        <v>12.2026</v>
      </c>
      <c r="F22" s="126">
        <f t="shared" si="67"/>
        <v>9</v>
      </c>
      <c r="G22" s="18" t="str">
        <f t="shared" si="68"/>
        <v>הבריאות</v>
      </c>
      <c r="H22" s="189">
        <f t="shared" si="69"/>
        <v>107</v>
      </c>
      <c r="I22" s="18">
        <f t="shared" si="70"/>
        <v>1</v>
      </c>
      <c r="J22" s="18" t="str">
        <f t="shared" si="71"/>
        <v>מינהלי - עובדי מדינה</v>
      </c>
      <c r="K22" s="189">
        <f t="shared" si="72"/>
        <v>1</v>
      </c>
      <c r="L22" s="18">
        <f t="shared" si="73"/>
        <v>12</v>
      </c>
      <c r="M22" s="129" t="str">
        <f t="shared" si="74"/>
        <v>17+</v>
      </c>
      <c r="N22" s="189"/>
      <c r="O22" s="132">
        <f t="shared" si="75"/>
        <v>1012</v>
      </c>
      <c r="P22" s="127">
        <f t="shared" si="76"/>
        <v>37</v>
      </c>
      <c r="Q22" s="127">
        <f t="shared" si="77"/>
        <v>22.75</v>
      </c>
      <c r="R22" s="128">
        <f t="shared" si="78"/>
        <v>92</v>
      </c>
      <c r="S22" s="130">
        <f t="shared" si="79"/>
        <v>1.2540512286990533</v>
      </c>
      <c r="T22" s="135">
        <f t="shared" si="16"/>
        <v>0</v>
      </c>
      <c r="U22" s="127">
        <f t="shared" si="17"/>
        <v>0</v>
      </c>
      <c r="V22" s="217">
        <v>0</v>
      </c>
      <c r="W22" s="191">
        <v>0</v>
      </c>
      <c r="X22" s="133">
        <v>0</v>
      </c>
      <c r="Y22" s="131">
        <f t="shared" si="18"/>
        <v>2438.5</v>
      </c>
      <c r="Z22" s="131">
        <f t="shared" si="19"/>
        <v>619.50392118264142</v>
      </c>
      <c r="AA22" s="242">
        <f t="shared" si="20"/>
        <v>3058.0039211826415</v>
      </c>
      <c r="AB22" s="131">
        <f t="shared" si="21"/>
        <v>0</v>
      </c>
      <c r="AC22" s="131">
        <f t="shared" si="22"/>
        <v>139.48055684730568</v>
      </c>
      <c r="AD22" s="131">
        <f t="shared" si="23"/>
        <v>0</v>
      </c>
      <c r="AE22" s="131">
        <f t="shared" si="24"/>
        <v>0</v>
      </c>
      <c r="AF22" s="131">
        <f t="shared" si="25"/>
        <v>75.260000000000005</v>
      </c>
      <c r="AG22" s="131">
        <f t="shared" si="26"/>
        <v>0</v>
      </c>
      <c r="AH22" s="131">
        <f t="shared" si="27"/>
        <v>0</v>
      </c>
      <c r="AI22" s="131">
        <f t="shared" si="28"/>
        <v>0</v>
      </c>
      <c r="AJ22" s="131">
        <f t="shared" si="29"/>
        <v>0</v>
      </c>
      <c r="AK22" s="131"/>
      <c r="AL22" s="131">
        <f t="shared" si="30"/>
        <v>0</v>
      </c>
      <c r="AM22" s="131"/>
      <c r="AN22" s="131">
        <f t="shared" si="31"/>
        <v>0</v>
      </c>
      <c r="AO22" s="131">
        <f t="shared" si="32"/>
        <v>0</v>
      </c>
      <c r="AP22" s="131">
        <f t="shared" si="33"/>
        <v>0</v>
      </c>
      <c r="AQ22" s="131"/>
      <c r="AR22" s="131">
        <f t="shared" si="34"/>
        <v>0</v>
      </c>
      <c r="AS22" s="131">
        <f t="shared" si="82"/>
        <v>0</v>
      </c>
      <c r="AT22" s="131">
        <f t="shared" si="35"/>
        <v>0</v>
      </c>
      <c r="AU22" s="131">
        <f t="shared" si="36"/>
        <v>0</v>
      </c>
      <c r="AV22" s="131"/>
      <c r="AW22" s="131">
        <f t="shared" si="37"/>
        <v>353.75</v>
      </c>
      <c r="AX22" s="131">
        <f t="shared" si="103"/>
        <v>0</v>
      </c>
      <c r="AY22" s="131">
        <f t="shared" si="38"/>
        <v>0</v>
      </c>
      <c r="AZ22" s="131"/>
      <c r="BA22" s="131">
        <f t="shared" si="104"/>
        <v>0</v>
      </c>
      <c r="BB22" s="131"/>
      <c r="BC22" s="131"/>
      <c r="BD22" s="131">
        <f t="shared" si="39"/>
        <v>0</v>
      </c>
      <c r="BE22" s="131"/>
      <c r="BF22" s="131">
        <f t="shared" si="89"/>
        <v>0</v>
      </c>
      <c r="BG22" s="131">
        <f t="shared" si="90"/>
        <v>0</v>
      </c>
      <c r="BH22" s="131"/>
      <c r="BI22" s="131"/>
      <c r="BJ22" s="131"/>
      <c r="BK22" s="131">
        <f t="shared" si="92"/>
        <v>0</v>
      </c>
      <c r="BL22" s="131"/>
      <c r="BM22" s="131"/>
      <c r="BN22" s="131">
        <f t="shared" si="93"/>
        <v>0</v>
      </c>
      <c r="BO22" s="131"/>
      <c r="BP22" s="131">
        <f t="shared" si="94"/>
        <v>0</v>
      </c>
      <c r="BQ22" s="131"/>
      <c r="BR22" s="131"/>
      <c r="BS22" s="131"/>
      <c r="BT22" s="131"/>
      <c r="BU22" s="131"/>
      <c r="BV22" s="131">
        <f t="shared" si="95"/>
        <v>0</v>
      </c>
      <c r="BW22" s="131"/>
      <c r="BX22" s="131"/>
      <c r="BY22" s="131"/>
      <c r="BZ22" s="131">
        <f t="shared" si="98"/>
        <v>0</v>
      </c>
      <c r="CA22" s="131"/>
      <c r="CB22" s="136">
        <f t="shared" si="40"/>
        <v>165.08663357180151</v>
      </c>
      <c r="CC22" s="131">
        <f t="shared" si="41"/>
        <v>0</v>
      </c>
      <c r="CD22" s="136">
        <f t="shared" si="42"/>
        <v>0</v>
      </c>
      <c r="CE22" s="131">
        <f t="shared" si="102"/>
        <v>0</v>
      </c>
      <c r="CF22" s="136">
        <f t="shared" si="43"/>
        <v>0</v>
      </c>
      <c r="CG22" s="136"/>
      <c r="CH22" s="136">
        <f t="shared" si="101"/>
        <v>0</v>
      </c>
      <c r="CI22" s="131">
        <f t="shared" si="44"/>
        <v>0</v>
      </c>
      <c r="CJ22" s="131"/>
      <c r="CK22" s="136">
        <f t="shared" si="45"/>
        <v>0</v>
      </c>
      <c r="CL22" s="136">
        <f t="shared" si="46"/>
        <v>0</v>
      </c>
      <c r="CM22" s="131">
        <f t="shared" si="47"/>
        <v>0</v>
      </c>
      <c r="CN22" s="136">
        <f t="shared" si="48"/>
        <v>0</v>
      </c>
      <c r="CO22" s="136">
        <f t="shared" si="49"/>
        <v>0</v>
      </c>
      <c r="CP22" s="136">
        <f t="shared" si="50"/>
        <v>0</v>
      </c>
      <c r="CQ22" s="136"/>
      <c r="CR22" s="136">
        <f t="shared" si="51"/>
        <v>0</v>
      </c>
      <c r="CS22" s="136"/>
      <c r="CT22" s="136"/>
      <c r="CU22" s="136"/>
      <c r="CV22" s="136"/>
      <c r="CW22" s="136"/>
      <c r="CX22" s="136"/>
      <c r="CY22" s="136"/>
      <c r="CZ22" s="136">
        <f t="shared" si="52"/>
        <v>0</v>
      </c>
      <c r="DA22" s="136">
        <f t="shared" si="53"/>
        <v>0</v>
      </c>
      <c r="DB22" s="136">
        <f t="shared" si="54"/>
        <v>0</v>
      </c>
      <c r="DC22" s="131">
        <f t="shared" si="13"/>
        <v>0</v>
      </c>
      <c r="DD22" s="131">
        <f t="shared" si="55"/>
        <v>0</v>
      </c>
      <c r="DE22" s="131">
        <f t="shared" si="56"/>
        <v>0</v>
      </c>
      <c r="DF22" s="131">
        <f t="shared" si="57"/>
        <v>0</v>
      </c>
      <c r="DG22" s="131">
        <f t="shared" si="58"/>
        <v>0</v>
      </c>
      <c r="DH22" s="131"/>
      <c r="DI22" s="131"/>
      <c r="DJ22" s="131"/>
      <c r="DK22" s="137">
        <f t="shared" si="99"/>
        <v>3791.5811116017489</v>
      </c>
      <c r="DL22" s="227" t="e">
        <f t="shared" si="59"/>
        <v>#REF!</v>
      </c>
      <c r="DM22" s="227" t="e">
        <f t="shared" si="60"/>
        <v>#REF!</v>
      </c>
      <c r="DN22" s="228" t="e">
        <f t="shared" si="14"/>
        <v>#REF!</v>
      </c>
      <c r="DO22" s="228">
        <f t="shared" si="61"/>
        <v>181.81087083894022</v>
      </c>
      <c r="DP22" s="228" t="e">
        <f t="shared" si="62"/>
        <v>#REF!</v>
      </c>
      <c r="DQ22" s="228" t="e">
        <f t="shared" si="63"/>
        <v>#REF!</v>
      </c>
    </row>
    <row r="23" spans="1:121">
      <c r="A23" s="132">
        <f t="shared" si="15"/>
        <v>13</v>
      </c>
      <c r="B23" s="18">
        <f t="shared" si="64"/>
        <v>13</v>
      </c>
      <c r="C23" s="18">
        <f>IF(A23=0," ",VLOOKUP(B23,'tosafot '!$A$7:$B$234,2,0))</f>
        <v>1.2009000000000001</v>
      </c>
      <c r="D23" s="220">
        <f t="shared" si="65"/>
        <v>228</v>
      </c>
      <c r="E23" s="130">
        <f t="shared" si="66"/>
        <v>12.2026</v>
      </c>
      <c r="F23" s="126">
        <f t="shared" si="67"/>
        <v>9</v>
      </c>
      <c r="G23" s="18" t="str">
        <f t="shared" si="68"/>
        <v>הבריאות</v>
      </c>
      <c r="H23" s="189">
        <f t="shared" si="69"/>
        <v>107</v>
      </c>
      <c r="I23" s="18">
        <f t="shared" si="70"/>
        <v>1</v>
      </c>
      <c r="J23" s="18" t="str">
        <f t="shared" si="71"/>
        <v>מינהלי - עובדי מדינה</v>
      </c>
      <c r="K23" s="189">
        <f t="shared" si="72"/>
        <v>1</v>
      </c>
      <c r="L23" s="18">
        <f t="shared" si="73"/>
        <v>12</v>
      </c>
      <c r="M23" s="129" t="str">
        <f t="shared" si="74"/>
        <v>17+</v>
      </c>
      <c r="N23" s="189"/>
      <c r="O23" s="132">
        <f t="shared" si="75"/>
        <v>1012</v>
      </c>
      <c r="P23" s="127">
        <f t="shared" si="76"/>
        <v>37</v>
      </c>
      <c r="Q23" s="127">
        <f t="shared" si="77"/>
        <v>22.75</v>
      </c>
      <c r="R23" s="128">
        <f t="shared" si="78"/>
        <v>92</v>
      </c>
      <c r="S23" s="130">
        <f t="shared" si="79"/>
        <v>1.2540512286990533</v>
      </c>
      <c r="T23" s="135">
        <f t="shared" si="16"/>
        <v>0</v>
      </c>
      <c r="U23" s="127">
        <f t="shared" si="17"/>
        <v>0</v>
      </c>
      <c r="V23" s="217">
        <v>0</v>
      </c>
      <c r="W23" s="191">
        <v>0</v>
      </c>
      <c r="X23" s="133">
        <v>0</v>
      </c>
      <c r="Y23" s="131">
        <f t="shared" si="18"/>
        <v>2438.5</v>
      </c>
      <c r="Z23" s="131">
        <f t="shared" si="19"/>
        <v>619.50392118264142</v>
      </c>
      <c r="AA23" s="242">
        <f t="shared" si="20"/>
        <v>3058.0039211826415</v>
      </c>
      <c r="AB23" s="131">
        <f t="shared" si="21"/>
        <v>0</v>
      </c>
      <c r="AC23" s="131">
        <f t="shared" si="22"/>
        <v>139.48055684730568</v>
      </c>
      <c r="AD23" s="131">
        <f t="shared" si="23"/>
        <v>0</v>
      </c>
      <c r="AE23" s="131">
        <f t="shared" si="24"/>
        <v>0</v>
      </c>
      <c r="AF23" s="131">
        <f t="shared" si="25"/>
        <v>75.260000000000005</v>
      </c>
      <c r="AG23" s="131">
        <f t="shared" si="26"/>
        <v>0</v>
      </c>
      <c r="AH23" s="131">
        <f t="shared" si="27"/>
        <v>0</v>
      </c>
      <c r="AI23" s="131">
        <f t="shared" si="28"/>
        <v>0</v>
      </c>
      <c r="AJ23" s="131">
        <f t="shared" si="29"/>
        <v>0</v>
      </c>
      <c r="AK23" s="131"/>
      <c r="AL23" s="131">
        <f t="shared" si="30"/>
        <v>0</v>
      </c>
      <c r="AM23" s="131"/>
      <c r="AN23" s="131">
        <f t="shared" si="31"/>
        <v>0</v>
      </c>
      <c r="AO23" s="131">
        <f t="shared" si="32"/>
        <v>0</v>
      </c>
      <c r="AP23" s="131">
        <f t="shared" si="33"/>
        <v>0</v>
      </c>
      <c r="AQ23" s="131"/>
      <c r="AR23" s="131">
        <f t="shared" si="34"/>
        <v>0</v>
      </c>
      <c r="AS23" s="131">
        <f t="shared" si="82"/>
        <v>0</v>
      </c>
      <c r="AT23" s="131">
        <f t="shared" si="35"/>
        <v>0</v>
      </c>
      <c r="AU23" s="131">
        <f t="shared" si="36"/>
        <v>0</v>
      </c>
      <c r="AV23" s="131"/>
      <c r="AW23" s="131">
        <f t="shared" si="37"/>
        <v>353.75</v>
      </c>
      <c r="AX23" s="131">
        <f t="shared" si="103"/>
        <v>0</v>
      </c>
      <c r="AY23" s="131">
        <f t="shared" si="38"/>
        <v>0</v>
      </c>
      <c r="AZ23" s="131"/>
      <c r="BA23" s="131">
        <f t="shared" si="104"/>
        <v>0</v>
      </c>
      <c r="BB23" s="131"/>
      <c r="BC23" s="131"/>
      <c r="BD23" s="131">
        <f t="shared" si="39"/>
        <v>0</v>
      </c>
      <c r="BE23" s="131"/>
      <c r="BF23" s="131">
        <f t="shared" si="89"/>
        <v>0</v>
      </c>
      <c r="BG23" s="131">
        <f t="shared" si="90"/>
        <v>0</v>
      </c>
      <c r="BH23" s="131"/>
      <c r="BI23" s="131"/>
      <c r="BJ23" s="131"/>
      <c r="BK23" s="131">
        <f t="shared" si="92"/>
        <v>0</v>
      </c>
      <c r="BL23" s="131"/>
      <c r="BM23" s="131"/>
      <c r="BN23" s="131">
        <f t="shared" si="93"/>
        <v>0</v>
      </c>
      <c r="BO23" s="131"/>
      <c r="BP23" s="131">
        <f t="shared" si="94"/>
        <v>0</v>
      </c>
      <c r="BQ23" s="131"/>
      <c r="BR23" s="131"/>
      <c r="BS23" s="131"/>
      <c r="BT23" s="131"/>
      <c r="BU23" s="131"/>
      <c r="BV23" s="131">
        <f t="shared" si="95"/>
        <v>0</v>
      </c>
      <c r="BW23" s="131"/>
      <c r="BX23" s="131"/>
      <c r="BY23" s="131"/>
      <c r="BZ23" s="131">
        <f t="shared" si="98"/>
        <v>0</v>
      </c>
      <c r="CA23" s="131"/>
      <c r="CB23" s="136">
        <f t="shared" si="40"/>
        <v>165.08663357180151</v>
      </c>
      <c r="CC23" s="131">
        <f t="shared" si="41"/>
        <v>0</v>
      </c>
      <c r="CD23" s="136">
        <f t="shared" si="42"/>
        <v>0</v>
      </c>
      <c r="CE23" s="131">
        <f t="shared" si="102"/>
        <v>0</v>
      </c>
      <c r="CF23" s="136">
        <f t="shared" si="43"/>
        <v>0</v>
      </c>
      <c r="CG23" s="136"/>
      <c r="CH23" s="136">
        <f t="shared" si="101"/>
        <v>0</v>
      </c>
      <c r="CI23" s="131">
        <f t="shared" si="44"/>
        <v>0</v>
      </c>
      <c r="CJ23" s="131"/>
      <c r="CK23" s="136">
        <f t="shared" si="45"/>
        <v>0</v>
      </c>
      <c r="CL23" s="136">
        <f t="shared" si="46"/>
        <v>0</v>
      </c>
      <c r="CM23" s="131">
        <f t="shared" si="47"/>
        <v>0</v>
      </c>
      <c r="CN23" s="136">
        <f t="shared" si="48"/>
        <v>0</v>
      </c>
      <c r="CO23" s="136">
        <f t="shared" si="49"/>
        <v>0</v>
      </c>
      <c r="CP23" s="136">
        <f t="shared" si="50"/>
        <v>0</v>
      </c>
      <c r="CQ23" s="136"/>
      <c r="CR23" s="136">
        <f t="shared" si="51"/>
        <v>0</v>
      </c>
      <c r="CS23" s="136"/>
      <c r="CT23" s="136"/>
      <c r="CU23" s="136"/>
      <c r="CV23" s="136"/>
      <c r="CW23" s="136"/>
      <c r="CX23" s="136"/>
      <c r="CY23" s="136"/>
      <c r="CZ23" s="136">
        <f t="shared" si="52"/>
        <v>0</v>
      </c>
      <c r="DA23" s="136">
        <f t="shared" si="53"/>
        <v>0</v>
      </c>
      <c r="DB23" s="136">
        <f t="shared" si="54"/>
        <v>0</v>
      </c>
      <c r="DC23" s="131">
        <f t="shared" si="13"/>
        <v>0</v>
      </c>
      <c r="DD23" s="131">
        <f t="shared" si="55"/>
        <v>0</v>
      </c>
      <c r="DE23" s="131">
        <f t="shared" si="56"/>
        <v>0</v>
      </c>
      <c r="DF23" s="131">
        <f t="shared" si="57"/>
        <v>0</v>
      </c>
      <c r="DG23" s="131">
        <f t="shared" si="58"/>
        <v>0</v>
      </c>
      <c r="DH23" s="131"/>
      <c r="DI23" s="131"/>
      <c r="DJ23" s="131"/>
      <c r="DK23" s="137">
        <f t="shared" si="99"/>
        <v>3791.5811116017489</v>
      </c>
      <c r="DL23" s="227" t="e">
        <f t="shared" si="59"/>
        <v>#REF!</v>
      </c>
      <c r="DM23" s="227" t="e">
        <f t="shared" si="60"/>
        <v>#REF!</v>
      </c>
      <c r="DN23" s="228" t="e">
        <f t="shared" si="14"/>
        <v>#REF!</v>
      </c>
      <c r="DO23" s="228">
        <f t="shared" si="61"/>
        <v>181.81087083894022</v>
      </c>
      <c r="DP23" s="228" t="e">
        <f t="shared" si="62"/>
        <v>#REF!</v>
      </c>
      <c r="DQ23" s="228" t="e">
        <f t="shared" si="63"/>
        <v>#REF!</v>
      </c>
    </row>
    <row r="24" spans="1:121">
      <c r="A24" s="132">
        <f t="shared" si="15"/>
        <v>14</v>
      </c>
      <c r="B24" s="18">
        <f t="shared" si="64"/>
        <v>14</v>
      </c>
      <c r="C24" s="18">
        <f>IF(A24=0," ",VLOOKUP(B24,'tosafot '!$A$7:$B$234,2,0))</f>
        <v>2.2008999999999999</v>
      </c>
      <c r="D24" s="220">
        <f t="shared" si="65"/>
        <v>228</v>
      </c>
      <c r="E24" s="130">
        <f t="shared" si="66"/>
        <v>12.2026</v>
      </c>
      <c r="F24" s="126">
        <f t="shared" si="67"/>
        <v>9</v>
      </c>
      <c r="G24" s="18" t="str">
        <f t="shared" si="68"/>
        <v>הבריאות</v>
      </c>
      <c r="H24" s="189">
        <f t="shared" si="69"/>
        <v>107</v>
      </c>
      <c r="I24" s="18">
        <f t="shared" si="70"/>
        <v>1</v>
      </c>
      <c r="J24" s="18" t="str">
        <f t="shared" si="71"/>
        <v>מינהלי - עובדי מדינה</v>
      </c>
      <c r="K24" s="189">
        <f t="shared" si="72"/>
        <v>1</v>
      </c>
      <c r="L24" s="18">
        <f t="shared" si="73"/>
        <v>12</v>
      </c>
      <c r="M24" s="129" t="str">
        <f t="shared" si="74"/>
        <v>17+</v>
      </c>
      <c r="N24" s="189"/>
      <c r="O24" s="132">
        <f t="shared" si="75"/>
        <v>1012</v>
      </c>
      <c r="P24" s="127">
        <f t="shared" si="76"/>
        <v>37</v>
      </c>
      <c r="Q24" s="127">
        <f t="shared" si="77"/>
        <v>22.75</v>
      </c>
      <c r="R24" s="128">
        <f t="shared" si="78"/>
        <v>92</v>
      </c>
      <c r="S24" s="130">
        <f t="shared" si="79"/>
        <v>1.2540512286990533</v>
      </c>
      <c r="T24" s="135">
        <f t="shared" si="16"/>
        <v>0</v>
      </c>
      <c r="U24" s="127">
        <f t="shared" si="17"/>
        <v>0</v>
      </c>
      <c r="V24" s="217">
        <v>0</v>
      </c>
      <c r="W24" s="191">
        <v>0</v>
      </c>
      <c r="X24" s="133">
        <v>0</v>
      </c>
      <c r="Y24" s="131">
        <f t="shared" si="18"/>
        <v>2438.5</v>
      </c>
      <c r="Z24" s="131">
        <f t="shared" si="19"/>
        <v>619.50392118264142</v>
      </c>
      <c r="AA24" s="242">
        <f t="shared" si="20"/>
        <v>3058.0039211826415</v>
      </c>
      <c r="AB24" s="131">
        <f t="shared" si="21"/>
        <v>0</v>
      </c>
      <c r="AC24" s="131">
        <f t="shared" si="22"/>
        <v>139.48055684730568</v>
      </c>
      <c r="AD24" s="131">
        <f t="shared" si="23"/>
        <v>0</v>
      </c>
      <c r="AE24" s="131">
        <f t="shared" si="24"/>
        <v>0</v>
      </c>
      <c r="AF24" s="131">
        <f t="shared" si="25"/>
        <v>75.260000000000005</v>
      </c>
      <c r="AG24" s="131">
        <f t="shared" si="26"/>
        <v>0</v>
      </c>
      <c r="AH24" s="131">
        <f t="shared" si="27"/>
        <v>0</v>
      </c>
      <c r="AI24" s="131">
        <f t="shared" si="28"/>
        <v>0</v>
      </c>
      <c r="AJ24" s="131">
        <f t="shared" si="29"/>
        <v>0</v>
      </c>
      <c r="AK24" s="131"/>
      <c r="AL24" s="131">
        <f t="shared" si="30"/>
        <v>0</v>
      </c>
      <c r="AM24" s="131"/>
      <c r="AN24" s="131">
        <f t="shared" si="31"/>
        <v>0</v>
      </c>
      <c r="AO24" s="131">
        <f t="shared" si="32"/>
        <v>0</v>
      </c>
      <c r="AP24" s="131">
        <f t="shared" si="33"/>
        <v>0</v>
      </c>
      <c r="AQ24" s="131"/>
      <c r="AR24" s="131">
        <f t="shared" si="34"/>
        <v>0</v>
      </c>
      <c r="AS24" s="131">
        <f t="shared" si="82"/>
        <v>0</v>
      </c>
      <c r="AT24" s="131">
        <f t="shared" si="35"/>
        <v>0</v>
      </c>
      <c r="AU24" s="131">
        <f t="shared" si="36"/>
        <v>0</v>
      </c>
      <c r="AV24" s="131"/>
      <c r="AW24" s="131">
        <f t="shared" si="37"/>
        <v>353.75</v>
      </c>
      <c r="AX24" s="131">
        <f t="shared" si="103"/>
        <v>0</v>
      </c>
      <c r="AY24" s="131">
        <f t="shared" si="38"/>
        <v>0</v>
      </c>
      <c r="AZ24" s="131"/>
      <c r="BA24" s="131">
        <f t="shared" si="104"/>
        <v>0</v>
      </c>
      <c r="BB24" s="131"/>
      <c r="BC24" s="131"/>
      <c r="BD24" s="131">
        <f t="shared" si="39"/>
        <v>0</v>
      </c>
      <c r="BE24" s="131"/>
      <c r="BF24" s="131">
        <f t="shared" si="89"/>
        <v>0</v>
      </c>
      <c r="BG24" s="131">
        <f t="shared" si="90"/>
        <v>0</v>
      </c>
      <c r="BH24" s="131"/>
      <c r="BI24" s="131"/>
      <c r="BJ24" s="131"/>
      <c r="BK24" s="131">
        <f t="shared" si="92"/>
        <v>0</v>
      </c>
      <c r="BL24" s="131"/>
      <c r="BM24" s="131"/>
      <c r="BN24" s="131">
        <f t="shared" si="93"/>
        <v>0</v>
      </c>
      <c r="BO24" s="131"/>
      <c r="BP24" s="131">
        <f t="shared" si="94"/>
        <v>0</v>
      </c>
      <c r="BQ24" s="131"/>
      <c r="BR24" s="131"/>
      <c r="BS24" s="131"/>
      <c r="BT24" s="131"/>
      <c r="BU24" s="131"/>
      <c r="BV24" s="131">
        <f t="shared" si="95"/>
        <v>0</v>
      </c>
      <c r="BW24" s="131"/>
      <c r="BX24" s="131"/>
      <c r="BY24" s="131"/>
      <c r="BZ24" s="131">
        <f t="shared" si="98"/>
        <v>0</v>
      </c>
      <c r="CA24" s="131"/>
      <c r="CB24" s="136">
        <f t="shared" si="40"/>
        <v>165.08663357180151</v>
      </c>
      <c r="CC24" s="131">
        <f t="shared" si="41"/>
        <v>0</v>
      </c>
      <c r="CD24" s="136">
        <f t="shared" si="42"/>
        <v>0</v>
      </c>
      <c r="CE24" s="131">
        <f t="shared" si="102"/>
        <v>0</v>
      </c>
      <c r="CF24" s="136">
        <f t="shared" si="43"/>
        <v>0</v>
      </c>
      <c r="CG24" s="136"/>
      <c r="CH24" s="136">
        <f t="shared" si="101"/>
        <v>0</v>
      </c>
      <c r="CI24" s="131">
        <f t="shared" si="44"/>
        <v>0</v>
      </c>
      <c r="CJ24" s="131"/>
      <c r="CK24" s="136">
        <f t="shared" si="45"/>
        <v>0</v>
      </c>
      <c r="CL24" s="136">
        <f t="shared" si="46"/>
        <v>0</v>
      </c>
      <c r="CM24" s="131">
        <f t="shared" si="47"/>
        <v>0</v>
      </c>
      <c r="CN24" s="136">
        <f t="shared" si="48"/>
        <v>0</v>
      </c>
      <c r="CO24" s="136">
        <f t="shared" si="49"/>
        <v>0</v>
      </c>
      <c r="CP24" s="136">
        <f t="shared" si="50"/>
        <v>0</v>
      </c>
      <c r="CQ24" s="136"/>
      <c r="CR24" s="136">
        <f t="shared" si="51"/>
        <v>0</v>
      </c>
      <c r="CS24" s="136"/>
      <c r="CT24" s="136"/>
      <c r="CU24" s="136"/>
      <c r="CV24" s="136"/>
      <c r="CW24" s="136"/>
      <c r="CX24" s="136"/>
      <c r="CY24" s="136"/>
      <c r="CZ24" s="136">
        <f t="shared" si="52"/>
        <v>0</v>
      </c>
      <c r="DA24" s="136">
        <f t="shared" si="53"/>
        <v>0</v>
      </c>
      <c r="DB24" s="136">
        <f t="shared" si="54"/>
        <v>0</v>
      </c>
      <c r="DC24" s="131">
        <f t="shared" si="13"/>
        <v>0</v>
      </c>
      <c r="DD24" s="131">
        <f t="shared" si="55"/>
        <v>0</v>
      </c>
      <c r="DE24" s="131">
        <f t="shared" si="56"/>
        <v>0</v>
      </c>
      <c r="DF24" s="131">
        <f t="shared" si="57"/>
        <v>0</v>
      </c>
      <c r="DG24" s="131">
        <f t="shared" si="58"/>
        <v>0</v>
      </c>
      <c r="DH24" s="131"/>
      <c r="DI24" s="131"/>
      <c r="DJ24" s="131"/>
      <c r="DK24" s="137">
        <f t="shared" si="99"/>
        <v>3791.5811116017489</v>
      </c>
      <c r="DL24" s="227" t="e">
        <f t="shared" si="59"/>
        <v>#REF!</v>
      </c>
      <c r="DM24" s="227" t="e">
        <f t="shared" si="60"/>
        <v>#REF!</v>
      </c>
      <c r="DN24" s="228" t="e">
        <f t="shared" si="14"/>
        <v>#REF!</v>
      </c>
      <c r="DO24" s="228">
        <f t="shared" si="61"/>
        <v>181.81087083894022</v>
      </c>
      <c r="DP24" s="228" t="e">
        <f t="shared" si="62"/>
        <v>#REF!</v>
      </c>
      <c r="DQ24" s="228" t="e">
        <f t="shared" si="63"/>
        <v>#REF!</v>
      </c>
    </row>
    <row r="25" spans="1:121">
      <c r="A25" s="132">
        <f t="shared" si="15"/>
        <v>15</v>
      </c>
      <c r="B25" s="18">
        <f t="shared" si="64"/>
        <v>15</v>
      </c>
      <c r="C25" s="18">
        <f>IF(A25=0," ",VLOOKUP(B25,'tosafot '!$A$7:$B$234,2,0))</f>
        <v>3.2008999999999999</v>
      </c>
      <c r="D25" s="220">
        <f t="shared" si="65"/>
        <v>228</v>
      </c>
      <c r="E25" s="130">
        <f t="shared" si="66"/>
        <v>12.2026</v>
      </c>
      <c r="F25" s="126">
        <f t="shared" si="67"/>
        <v>9</v>
      </c>
      <c r="G25" s="18" t="str">
        <f t="shared" si="68"/>
        <v>הבריאות</v>
      </c>
      <c r="H25" s="189">
        <f t="shared" si="69"/>
        <v>107</v>
      </c>
      <c r="I25" s="18">
        <f t="shared" si="70"/>
        <v>1</v>
      </c>
      <c r="J25" s="18" t="str">
        <f t="shared" si="71"/>
        <v>מינהלי - עובדי מדינה</v>
      </c>
      <c r="K25" s="189">
        <f t="shared" si="72"/>
        <v>1</v>
      </c>
      <c r="L25" s="18">
        <f t="shared" si="73"/>
        <v>12</v>
      </c>
      <c r="M25" s="129" t="str">
        <f t="shared" si="74"/>
        <v>17+</v>
      </c>
      <c r="N25" s="189"/>
      <c r="O25" s="132">
        <f t="shared" si="75"/>
        <v>1012</v>
      </c>
      <c r="P25" s="127">
        <f t="shared" si="76"/>
        <v>37</v>
      </c>
      <c r="Q25" s="127">
        <f t="shared" si="77"/>
        <v>22.75</v>
      </c>
      <c r="R25" s="128">
        <f t="shared" si="78"/>
        <v>92</v>
      </c>
      <c r="S25" s="130">
        <f t="shared" si="79"/>
        <v>1.2540512286990533</v>
      </c>
      <c r="T25" s="135">
        <f t="shared" si="16"/>
        <v>0</v>
      </c>
      <c r="U25" s="127">
        <f t="shared" si="17"/>
        <v>0</v>
      </c>
      <c r="V25" s="217">
        <v>0</v>
      </c>
      <c r="W25" s="191">
        <v>0</v>
      </c>
      <c r="X25" s="133">
        <v>0</v>
      </c>
      <c r="Y25" s="131">
        <f t="shared" si="18"/>
        <v>2438.5</v>
      </c>
      <c r="Z25" s="131">
        <f t="shared" si="19"/>
        <v>619.50392118264142</v>
      </c>
      <c r="AA25" s="242">
        <f t="shared" si="20"/>
        <v>3058.0039211826415</v>
      </c>
      <c r="AB25" s="131">
        <f t="shared" si="21"/>
        <v>0</v>
      </c>
      <c r="AC25" s="131">
        <f t="shared" si="22"/>
        <v>139.48055684730568</v>
      </c>
      <c r="AD25" s="131">
        <f t="shared" si="23"/>
        <v>0</v>
      </c>
      <c r="AE25" s="131">
        <f t="shared" si="24"/>
        <v>0</v>
      </c>
      <c r="AF25" s="131">
        <f t="shared" si="25"/>
        <v>75.260000000000005</v>
      </c>
      <c r="AG25" s="131">
        <f t="shared" si="26"/>
        <v>0</v>
      </c>
      <c r="AH25" s="131">
        <f t="shared" si="27"/>
        <v>0</v>
      </c>
      <c r="AI25" s="131">
        <f t="shared" si="28"/>
        <v>0</v>
      </c>
      <c r="AJ25" s="131">
        <f t="shared" si="29"/>
        <v>0</v>
      </c>
      <c r="AK25" s="131"/>
      <c r="AL25" s="131">
        <f t="shared" si="30"/>
        <v>0</v>
      </c>
      <c r="AM25" s="131"/>
      <c r="AN25" s="243">
        <f t="shared" si="31"/>
        <v>0</v>
      </c>
      <c r="AO25" s="131">
        <f t="shared" si="32"/>
        <v>0</v>
      </c>
      <c r="AP25" s="131">
        <f t="shared" si="33"/>
        <v>0</v>
      </c>
      <c r="AQ25" s="131"/>
      <c r="AR25" s="131">
        <f t="shared" si="34"/>
        <v>0</v>
      </c>
      <c r="AS25" s="131">
        <f t="shared" si="82"/>
        <v>0</v>
      </c>
      <c r="AT25" s="131">
        <f t="shared" si="35"/>
        <v>0</v>
      </c>
      <c r="AU25" s="131">
        <f t="shared" si="36"/>
        <v>0</v>
      </c>
      <c r="AV25" s="131"/>
      <c r="AW25" s="131">
        <f t="shared" si="37"/>
        <v>353.75</v>
      </c>
      <c r="AX25" s="131">
        <f t="shared" si="103"/>
        <v>0</v>
      </c>
      <c r="AY25" s="131">
        <f t="shared" si="38"/>
        <v>0</v>
      </c>
      <c r="AZ25" s="131"/>
      <c r="BA25" s="131">
        <f t="shared" si="104"/>
        <v>0</v>
      </c>
      <c r="BB25" s="131"/>
      <c r="BC25" s="131"/>
      <c r="BD25" s="131">
        <f t="shared" si="39"/>
        <v>0</v>
      </c>
      <c r="BE25" s="131"/>
      <c r="BF25" s="131">
        <f t="shared" si="89"/>
        <v>0</v>
      </c>
      <c r="BG25" s="131">
        <f t="shared" si="90"/>
        <v>0</v>
      </c>
      <c r="BH25" s="131"/>
      <c r="BI25" s="131"/>
      <c r="BJ25" s="131"/>
      <c r="BK25" s="131">
        <f t="shared" si="92"/>
        <v>0</v>
      </c>
      <c r="BL25" s="131"/>
      <c r="BM25" s="131"/>
      <c r="BN25" s="131">
        <f t="shared" si="93"/>
        <v>0</v>
      </c>
      <c r="BO25" s="131"/>
      <c r="BP25" s="131">
        <f t="shared" si="94"/>
        <v>0</v>
      </c>
      <c r="BQ25" s="131"/>
      <c r="BR25" s="131"/>
      <c r="BS25" s="131"/>
      <c r="BT25" s="131"/>
      <c r="BU25" s="131"/>
      <c r="BV25" s="131">
        <f t="shared" si="95"/>
        <v>0</v>
      </c>
      <c r="BW25" s="131"/>
      <c r="BX25" s="131"/>
      <c r="BY25" s="131"/>
      <c r="BZ25" s="131">
        <f t="shared" si="98"/>
        <v>0</v>
      </c>
      <c r="CA25" s="131"/>
      <c r="CB25" s="136">
        <f t="shared" si="40"/>
        <v>165.08663357180151</v>
      </c>
      <c r="CC25" s="131">
        <f t="shared" si="41"/>
        <v>0</v>
      </c>
      <c r="CD25" s="136">
        <f t="shared" si="42"/>
        <v>0</v>
      </c>
      <c r="CE25" s="131">
        <f t="shared" si="102"/>
        <v>0</v>
      </c>
      <c r="CF25" s="136">
        <f t="shared" si="43"/>
        <v>0</v>
      </c>
      <c r="CG25" s="136"/>
      <c r="CH25" s="136">
        <f t="shared" si="101"/>
        <v>0</v>
      </c>
      <c r="CI25" s="131">
        <f t="shared" si="44"/>
        <v>0</v>
      </c>
      <c r="CJ25" s="131"/>
      <c r="CK25" s="136">
        <f t="shared" si="45"/>
        <v>0</v>
      </c>
      <c r="CL25" s="136">
        <f t="shared" si="46"/>
        <v>0</v>
      </c>
      <c r="CM25" s="131">
        <f t="shared" si="47"/>
        <v>0</v>
      </c>
      <c r="CN25" s="136">
        <f t="shared" si="48"/>
        <v>0</v>
      </c>
      <c r="CO25" s="136">
        <f t="shared" si="49"/>
        <v>0</v>
      </c>
      <c r="CP25" s="136">
        <f t="shared" si="50"/>
        <v>0</v>
      </c>
      <c r="CQ25" s="136"/>
      <c r="CR25" s="136">
        <f t="shared" si="51"/>
        <v>0</v>
      </c>
      <c r="CS25" s="136"/>
      <c r="CT25" s="136"/>
      <c r="CU25" s="136"/>
      <c r="CV25" s="136"/>
      <c r="CW25" s="136"/>
      <c r="CX25" s="136"/>
      <c r="CY25" s="136"/>
      <c r="CZ25" s="136">
        <f t="shared" si="52"/>
        <v>0</v>
      </c>
      <c r="DA25" s="136">
        <f t="shared" si="53"/>
        <v>0</v>
      </c>
      <c r="DB25" s="136">
        <f t="shared" si="54"/>
        <v>0</v>
      </c>
      <c r="DC25" s="131">
        <f t="shared" si="13"/>
        <v>0</v>
      </c>
      <c r="DD25" s="131">
        <f t="shared" si="55"/>
        <v>0</v>
      </c>
      <c r="DE25" s="131">
        <f t="shared" si="56"/>
        <v>0</v>
      </c>
      <c r="DF25" s="131">
        <f t="shared" si="57"/>
        <v>0</v>
      </c>
      <c r="DG25" s="131">
        <f t="shared" si="58"/>
        <v>0</v>
      </c>
      <c r="DH25" s="131"/>
      <c r="DI25" s="131"/>
      <c r="DJ25" s="131"/>
      <c r="DK25" s="137">
        <f t="shared" si="99"/>
        <v>3791.5811116017489</v>
      </c>
      <c r="DL25" s="227" t="e">
        <f t="shared" si="59"/>
        <v>#REF!</v>
      </c>
      <c r="DM25" s="227" t="e">
        <f t="shared" si="60"/>
        <v>#REF!</v>
      </c>
      <c r="DN25" s="228" t="e">
        <f t="shared" si="14"/>
        <v>#REF!</v>
      </c>
      <c r="DO25" s="228">
        <f t="shared" si="61"/>
        <v>181.81087083894022</v>
      </c>
      <c r="DP25" s="228" t="e">
        <f t="shared" si="62"/>
        <v>#REF!</v>
      </c>
      <c r="DQ25" s="228" t="e">
        <f t="shared" si="63"/>
        <v>#REF!</v>
      </c>
    </row>
    <row r="26" spans="1:121">
      <c r="A26" s="132">
        <f t="shared" si="15"/>
        <v>16</v>
      </c>
      <c r="B26" s="18">
        <f t="shared" si="64"/>
        <v>16</v>
      </c>
      <c r="C26" s="18">
        <f>IF(A26=0," ",VLOOKUP(B26,'tosafot '!$A$7:$B$234,2,0))</f>
        <v>4.2008999999999999</v>
      </c>
      <c r="D26" s="220">
        <f t="shared" si="65"/>
        <v>228</v>
      </c>
      <c r="E26" s="130">
        <f t="shared" si="66"/>
        <v>12.2026</v>
      </c>
      <c r="F26" s="126">
        <f t="shared" si="67"/>
        <v>9</v>
      </c>
      <c r="G26" s="18" t="str">
        <f t="shared" si="68"/>
        <v>הבריאות</v>
      </c>
      <c r="H26" s="189">
        <f t="shared" si="69"/>
        <v>107</v>
      </c>
      <c r="I26" s="18">
        <f t="shared" si="70"/>
        <v>1</v>
      </c>
      <c r="J26" s="18" t="str">
        <f t="shared" si="71"/>
        <v>מינהלי - עובדי מדינה</v>
      </c>
      <c r="K26" s="189">
        <f t="shared" si="72"/>
        <v>1</v>
      </c>
      <c r="L26" s="18">
        <f t="shared" si="73"/>
        <v>12</v>
      </c>
      <c r="M26" s="129" t="str">
        <f t="shared" si="74"/>
        <v>17+</v>
      </c>
      <c r="N26" s="189"/>
      <c r="O26" s="132">
        <f t="shared" si="75"/>
        <v>1012</v>
      </c>
      <c r="P26" s="127">
        <f t="shared" si="76"/>
        <v>37</v>
      </c>
      <c r="Q26" s="127">
        <f t="shared" si="77"/>
        <v>22.75</v>
      </c>
      <c r="R26" s="128">
        <f t="shared" si="78"/>
        <v>92</v>
      </c>
      <c r="S26" s="130">
        <f t="shared" si="79"/>
        <v>1.2540512286990533</v>
      </c>
      <c r="T26" s="135">
        <f t="shared" si="16"/>
        <v>0</v>
      </c>
      <c r="U26" s="127">
        <f t="shared" si="17"/>
        <v>0</v>
      </c>
      <c r="V26" s="217">
        <v>0</v>
      </c>
      <c r="W26" s="191">
        <v>0</v>
      </c>
      <c r="X26" s="133">
        <v>0</v>
      </c>
      <c r="Y26" s="131">
        <f t="shared" si="18"/>
        <v>2438.5</v>
      </c>
      <c r="Z26" s="131">
        <f t="shared" si="19"/>
        <v>619.50392118264142</v>
      </c>
      <c r="AA26" s="242">
        <f t="shared" si="20"/>
        <v>3058.0039211826415</v>
      </c>
      <c r="AB26" s="131">
        <f t="shared" si="21"/>
        <v>0</v>
      </c>
      <c r="AC26" s="131">
        <f t="shared" si="22"/>
        <v>139.48055684730568</v>
      </c>
      <c r="AD26" s="131">
        <f t="shared" si="23"/>
        <v>0</v>
      </c>
      <c r="AE26" s="131">
        <f t="shared" si="24"/>
        <v>0</v>
      </c>
      <c r="AF26" s="131">
        <f t="shared" si="25"/>
        <v>75.260000000000005</v>
      </c>
      <c r="AG26" s="131">
        <f t="shared" si="26"/>
        <v>0</v>
      </c>
      <c r="AH26" s="131">
        <f t="shared" si="27"/>
        <v>0</v>
      </c>
      <c r="AI26" s="131">
        <f t="shared" si="28"/>
        <v>0</v>
      </c>
      <c r="AJ26" s="131">
        <f t="shared" si="29"/>
        <v>0</v>
      </c>
      <c r="AK26" s="131"/>
      <c r="AL26" s="131">
        <f t="shared" si="30"/>
        <v>0</v>
      </c>
      <c r="AM26" s="131"/>
      <c r="AN26" s="243">
        <f t="shared" si="31"/>
        <v>0</v>
      </c>
      <c r="AO26" s="131">
        <f t="shared" si="32"/>
        <v>0</v>
      </c>
      <c r="AP26" s="131">
        <f t="shared" si="33"/>
        <v>0</v>
      </c>
      <c r="AQ26" s="131"/>
      <c r="AR26" s="131">
        <f t="shared" si="34"/>
        <v>0</v>
      </c>
      <c r="AS26" s="131">
        <f t="shared" si="82"/>
        <v>0</v>
      </c>
      <c r="AT26" s="131">
        <f t="shared" si="35"/>
        <v>0</v>
      </c>
      <c r="AU26" s="131">
        <f t="shared" si="36"/>
        <v>0</v>
      </c>
      <c r="AV26" s="131"/>
      <c r="AW26" s="131">
        <f t="shared" si="37"/>
        <v>353.75</v>
      </c>
      <c r="AX26" s="131">
        <f t="shared" si="103"/>
        <v>0</v>
      </c>
      <c r="AY26" s="131">
        <f t="shared" si="38"/>
        <v>0</v>
      </c>
      <c r="AZ26" s="131"/>
      <c r="BA26" s="131">
        <f t="shared" si="104"/>
        <v>0</v>
      </c>
      <c r="BB26" s="131"/>
      <c r="BC26" s="131"/>
      <c r="BD26" s="131">
        <f t="shared" si="39"/>
        <v>0</v>
      </c>
      <c r="BE26" s="131"/>
      <c r="BF26" s="131">
        <f t="shared" si="89"/>
        <v>0</v>
      </c>
      <c r="BG26" s="131">
        <f t="shared" si="90"/>
        <v>0</v>
      </c>
      <c r="BH26" s="131"/>
      <c r="BI26" s="131"/>
      <c r="BJ26" s="131"/>
      <c r="BK26" s="131">
        <f t="shared" si="92"/>
        <v>0</v>
      </c>
      <c r="BL26" s="131"/>
      <c r="BM26" s="131"/>
      <c r="BN26" s="131">
        <f t="shared" si="93"/>
        <v>0</v>
      </c>
      <c r="BO26" s="131"/>
      <c r="BP26" s="131">
        <f t="shared" si="94"/>
        <v>0</v>
      </c>
      <c r="BQ26" s="131"/>
      <c r="BR26" s="131"/>
      <c r="BS26" s="131"/>
      <c r="BT26" s="131"/>
      <c r="BU26" s="131"/>
      <c r="BV26" s="131">
        <f t="shared" si="95"/>
        <v>0</v>
      </c>
      <c r="BW26" s="131"/>
      <c r="BX26" s="131"/>
      <c r="BY26" s="131"/>
      <c r="BZ26" s="131">
        <f t="shared" si="98"/>
        <v>0</v>
      </c>
      <c r="CA26" s="131"/>
      <c r="CB26" s="136">
        <f t="shared" si="40"/>
        <v>165.08663357180151</v>
      </c>
      <c r="CC26" s="131">
        <f t="shared" si="41"/>
        <v>0</v>
      </c>
      <c r="CD26" s="136">
        <f t="shared" si="42"/>
        <v>0</v>
      </c>
      <c r="CE26" s="131">
        <f t="shared" si="102"/>
        <v>0</v>
      </c>
      <c r="CF26" s="136">
        <f t="shared" si="43"/>
        <v>0</v>
      </c>
      <c r="CG26" s="136"/>
      <c r="CH26" s="136">
        <f t="shared" si="101"/>
        <v>0</v>
      </c>
      <c r="CI26" s="131">
        <f t="shared" si="44"/>
        <v>0</v>
      </c>
      <c r="CJ26" s="131"/>
      <c r="CK26" s="136">
        <f t="shared" si="45"/>
        <v>0</v>
      </c>
      <c r="CL26" s="136">
        <f t="shared" si="46"/>
        <v>0</v>
      </c>
      <c r="CM26" s="131">
        <f t="shared" si="47"/>
        <v>0</v>
      </c>
      <c r="CN26" s="136">
        <f t="shared" si="48"/>
        <v>0</v>
      </c>
      <c r="CO26" s="136">
        <f t="shared" si="49"/>
        <v>0</v>
      </c>
      <c r="CP26" s="136">
        <f t="shared" si="50"/>
        <v>0</v>
      </c>
      <c r="CQ26" s="136"/>
      <c r="CR26" s="136">
        <f t="shared" si="51"/>
        <v>0</v>
      </c>
      <c r="CS26" s="136"/>
      <c r="CT26" s="136"/>
      <c r="CU26" s="136"/>
      <c r="CV26" s="136"/>
      <c r="CW26" s="136"/>
      <c r="CX26" s="136"/>
      <c r="CY26" s="136"/>
      <c r="CZ26" s="136">
        <f t="shared" si="52"/>
        <v>0</v>
      </c>
      <c r="DA26" s="136">
        <f t="shared" si="53"/>
        <v>0</v>
      </c>
      <c r="DB26" s="136">
        <f t="shared" si="54"/>
        <v>0</v>
      </c>
      <c r="DC26" s="131">
        <f t="shared" si="13"/>
        <v>0</v>
      </c>
      <c r="DD26" s="131">
        <f t="shared" si="55"/>
        <v>0</v>
      </c>
      <c r="DE26" s="131">
        <f t="shared" si="56"/>
        <v>0</v>
      </c>
      <c r="DF26" s="131">
        <f t="shared" si="57"/>
        <v>0</v>
      </c>
      <c r="DG26" s="131">
        <f t="shared" si="58"/>
        <v>0</v>
      </c>
      <c r="DH26" s="131"/>
      <c r="DI26" s="131"/>
      <c r="DJ26" s="131"/>
      <c r="DK26" s="137">
        <f t="shared" si="99"/>
        <v>3791.5811116017489</v>
      </c>
      <c r="DL26" s="227" t="e">
        <f t="shared" si="59"/>
        <v>#REF!</v>
      </c>
      <c r="DM26" s="227" t="e">
        <f t="shared" si="60"/>
        <v>#REF!</v>
      </c>
      <c r="DN26" s="228" t="e">
        <f t="shared" si="14"/>
        <v>#REF!</v>
      </c>
      <c r="DO26" s="228">
        <f t="shared" si="61"/>
        <v>181.81087083894022</v>
      </c>
      <c r="DP26" s="228" t="e">
        <f t="shared" si="62"/>
        <v>#REF!</v>
      </c>
      <c r="DQ26" s="228" t="e">
        <f t="shared" si="63"/>
        <v>#REF!</v>
      </c>
    </row>
    <row r="27" spans="1:121">
      <c r="A27" s="132">
        <f t="shared" si="15"/>
        <v>17</v>
      </c>
      <c r="B27" s="18">
        <f t="shared" si="64"/>
        <v>17</v>
      </c>
      <c r="C27" s="18">
        <f>IF(A27=0," ",VLOOKUP(B27,'tosafot '!$A$7:$B$234,2,0))</f>
        <v>5.2008999999999999</v>
      </c>
      <c r="D27" s="220">
        <f t="shared" si="65"/>
        <v>228</v>
      </c>
      <c r="E27" s="130">
        <f t="shared" si="66"/>
        <v>12.2026</v>
      </c>
      <c r="F27" s="126">
        <f t="shared" si="67"/>
        <v>9</v>
      </c>
      <c r="G27" s="18" t="str">
        <f t="shared" si="68"/>
        <v>הבריאות</v>
      </c>
      <c r="H27" s="189">
        <f t="shared" si="69"/>
        <v>107</v>
      </c>
      <c r="I27" s="18">
        <f t="shared" si="70"/>
        <v>1</v>
      </c>
      <c r="J27" s="18" t="str">
        <f t="shared" si="71"/>
        <v>מינהלי - עובדי מדינה</v>
      </c>
      <c r="K27" s="189">
        <f t="shared" si="72"/>
        <v>1</v>
      </c>
      <c r="L27" s="18">
        <f t="shared" si="73"/>
        <v>12</v>
      </c>
      <c r="M27" s="129" t="str">
        <f t="shared" si="74"/>
        <v>17+</v>
      </c>
      <c r="N27" s="189"/>
      <c r="O27" s="132">
        <f t="shared" si="75"/>
        <v>1012</v>
      </c>
      <c r="P27" s="127">
        <f t="shared" si="76"/>
        <v>37</v>
      </c>
      <c r="Q27" s="127">
        <f t="shared" si="77"/>
        <v>22.75</v>
      </c>
      <c r="R27" s="128">
        <f t="shared" si="78"/>
        <v>92</v>
      </c>
      <c r="S27" s="130">
        <f t="shared" si="79"/>
        <v>1.2540512286990533</v>
      </c>
      <c r="T27" s="135">
        <f t="shared" si="16"/>
        <v>0</v>
      </c>
      <c r="U27" s="127">
        <f t="shared" si="17"/>
        <v>0</v>
      </c>
      <c r="V27" s="217">
        <v>0</v>
      </c>
      <c r="W27" s="191">
        <v>0</v>
      </c>
      <c r="X27" s="133">
        <v>0</v>
      </c>
      <c r="Y27" s="131">
        <f t="shared" si="18"/>
        <v>2438.5</v>
      </c>
      <c r="Z27" s="131">
        <f t="shared" si="19"/>
        <v>619.50392118264142</v>
      </c>
      <c r="AA27" s="242">
        <f t="shared" si="20"/>
        <v>3058.0039211826415</v>
      </c>
      <c r="AB27" s="131">
        <f t="shared" si="21"/>
        <v>0</v>
      </c>
      <c r="AC27" s="131">
        <f t="shared" si="22"/>
        <v>139.48055684730568</v>
      </c>
      <c r="AD27" s="131">
        <f t="shared" si="23"/>
        <v>0</v>
      </c>
      <c r="AE27" s="131">
        <f t="shared" si="24"/>
        <v>0</v>
      </c>
      <c r="AF27" s="131">
        <f t="shared" si="25"/>
        <v>75.260000000000005</v>
      </c>
      <c r="AG27" s="131">
        <f t="shared" si="26"/>
        <v>0</v>
      </c>
      <c r="AH27" s="131">
        <f t="shared" si="27"/>
        <v>0</v>
      </c>
      <c r="AI27" s="131">
        <f t="shared" si="28"/>
        <v>0</v>
      </c>
      <c r="AJ27" s="131">
        <f t="shared" si="29"/>
        <v>0</v>
      </c>
      <c r="AK27" s="131"/>
      <c r="AL27" s="131">
        <f t="shared" si="30"/>
        <v>0</v>
      </c>
      <c r="AM27" s="131"/>
      <c r="AN27" s="243">
        <f t="shared" si="31"/>
        <v>0</v>
      </c>
      <c r="AO27" s="131">
        <f t="shared" si="32"/>
        <v>0</v>
      </c>
      <c r="AP27" s="131">
        <f t="shared" si="33"/>
        <v>0</v>
      </c>
      <c r="AQ27" s="131"/>
      <c r="AR27" s="131">
        <f t="shared" si="34"/>
        <v>0</v>
      </c>
      <c r="AS27" s="131">
        <f t="shared" si="82"/>
        <v>0</v>
      </c>
      <c r="AT27" s="131">
        <f t="shared" si="35"/>
        <v>0</v>
      </c>
      <c r="AU27" s="131">
        <f t="shared" si="36"/>
        <v>0</v>
      </c>
      <c r="AV27" s="131"/>
      <c r="AW27" s="131">
        <f t="shared" si="37"/>
        <v>353.75</v>
      </c>
      <c r="AX27" s="131">
        <f t="shared" si="103"/>
        <v>0</v>
      </c>
      <c r="AY27" s="131">
        <f t="shared" si="38"/>
        <v>0</v>
      </c>
      <c r="AZ27" s="131"/>
      <c r="BA27" s="131">
        <f t="shared" si="104"/>
        <v>0</v>
      </c>
      <c r="BB27" s="131"/>
      <c r="BC27" s="131"/>
      <c r="BD27" s="131">
        <f t="shared" si="39"/>
        <v>0</v>
      </c>
      <c r="BE27" s="131"/>
      <c r="BF27" s="131">
        <f t="shared" si="89"/>
        <v>0</v>
      </c>
      <c r="BG27" s="131">
        <f t="shared" si="90"/>
        <v>0</v>
      </c>
      <c r="BH27" s="131"/>
      <c r="BI27" s="131"/>
      <c r="BJ27" s="131"/>
      <c r="BK27" s="131">
        <f t="shared" si="92"/>
        <v>0</v>
      </c>
      <c r="BL27" s="131"/>
      <c r="BM27" s="131"/>
      <c r="BN27" s="131">
        <f t="shared" si="93"/>
        <v>0</v>
      </c>
      <c r="BO27" s="131"/>
      <c r="BP27" s="131">
        <f t="shared" si="94"/>
        <v>0</v>
      </c>
      <c r="BQ27" s="131"/>
      <c r="BR27" s="131"/>
      <c r="BS27" s="131"/>
      <c r="BT27" s="131"/>
      <c r="BU27" s="131"/>
      <c r="BV27" s="131">
        <f t="shared" si="95"/>
        <v>0</v>
      </c>
      <c r="BW27" s="131"/>
      <c r="BX27" s="131"/>
      <c r="BY27" s="131"/>
      <c r="BZ27" s="131">
        <f t="shared" si="98"/>
        <v>0</v>
      </c>
      <c r="CA27" s="131"/>
      <c r="CB27" s="136">
        <f t="shared" si="40"/>
        <v>165.08663357180151</v>
      </c>
      <c r="CC27" s="131">
        <f t="shared" si="41"/>
        <v>0</v>
      </c>
      <c r="CD27" s="136">
        <f t="shared" si="42"/>
        <v>0</v>
      </c>
      <c r="CE27" s="131">
        <f t="shared" si="102"/>
        <v>0</v>
      </c>
      <c r="CF27" s="136">
        <f t="shared" si="43"/>
        <v>0</v>
      </c>
      <c r="CG27" s="136"/>
      <c r="CH27" s="136">
        <f t="shared" si="101"/>
        <v>0</v>
      </c>
      <c r="CI27" s="131">
        <f t="shared" si="44"/>
        <v>0</v>
      </c>
      <c r="CJ27" s="131"/>
      <c r="CK27" s="136">
        <f t="shared" si="45"/>
        <v>0</v>
      </c>
      <c r="CL27" s="136">
        <f t="shared" si="46"/>
        <v>0</v>
      </c>
      <c r="CM27" s="131">
        <f t="shared" si="47"/>
        <v>0</v>
      </c>
      <c r="CN27" s="136">
        <f t="shared" si="48"/>
        <v>0</v>
      </c>
      <c r="CO27" s="136">
        <f t="shared" si="49"/>
        <v>0</v>
      </c>
      <c r="CP27" s="136">
        <f t="shared" si="50"/>
        <v>0</v>
      </c>
      <c r="CQ27" s="136"/>
      <c r="CR27" s="136">
        <f t="shared" si="51"/>
        <v>0</v>
      </c>
      <c r="CS27" s="136"/>
      <c r="CT27" s="136"/>
      <c r="CU27" s="136"/>
      <c r="CV27" s="136"/>
      <c r="CW27" s="136"/>
      <c r="CX27" s="136"/>
      <c r="CY27" s="136"/>
      <c r="CZ27" s="136">
        <f t="shared" si="52"/>
        <v>0</v>
      </c>
      <c r="DA27" s="136">
        <f t="shared" si="53"/>
        <v>0</v>
      </c>
      <c r="DB27" s="136">
        <f t="shared" si="54"/>
        <v>0</v>
      </c>
      <c r="DC27" s="131">
        <f t="shared" si="13"/>
        <v>0</v>
      </c>
      <c r="DD27" s="131">
        <f t="shared" si="55"/>
        <v>0</v>
      </c>
      <c r="DE27" s="131">
        <f t="shared" si="56"/>
        <v>0</v>
      </c>
      <c r="DF27" s="131">
        <f t="shared" si="57"/>
        <v>0</v>
      </c>
      <c r="DG27" s="131">
        <f t="shared" si="58"/>
        <v>0</v>
      </c>
      <c r="DH27" s="131"/>
      <c r="DI27" s="131"/>
      <c r="DJ27" s="131"/>
      <c r="DK27" s="137">
        <f t="shared" si="99"/>
        <v>3791.5811116017489</v>
      </c>
      <c r="DL27" s="227" t="e">
        <f t="shared" si="59"/>
        <v>#REF!</v>
      </c>
      <c r="DM27" s="227" t="e">
        <f t="shared" si="60"/>
        <v>#REF!</v>
      </c>
      <c r="DN27" s="228" t="e">
        <f t="shared" si="14"/>
        <v>#REF!</v>
      </c>
      <c r="DO27" s="228">
        <f t="shared" si="61"/>
        <v>181.81087083894022</v>
      </c>
      <c r="DP27" s="228" t="e">
        <f t="shared" si="62"/>
        <v>#REF!</v>
      </c>
      <c r="DQ27" s="228" t="e">
        <f t="shared" si="63"/>
        <v>#REF!</v>
      </c>
    </row>
    <row r="28" spans="1:121">
      <c r="A28" s="132">
        <f t="shared" si="15"/>
        <v>18</v>
      </c>
      <c r="B28" s="18">
        <f t="shared" si="64"/>
        <v>18</v>
      </c>
      <c r="C28" s="18">
        <f>IF(A28=0," ",VLOOKUP(B28,'tosafot '!$A$7:$B$234,2,0))</f>
        <v>6.2008999999999999</v>
      </c>
      <c r="D28" s="220">
        <f t="shared" si="65"/>
        <v>228</v>
      </c>
      <c r="E28" s="130">
        <f t="shared" si="66"/>
        <v>12.2026</v>
      </c>
      <c r="F28" s="126">
        <f t="shared" si="67"/>
        <v>9</v>
      </c>
      <c r="G28" s="18" t="str">
        <f t="shared" si="68"/>
        <v>הבריאות</v>
      </c>
      <c r="H28" s="189">
        <f t="shared" si="69"/>
        <v>107</v>
      </c>
      <c r="I28" s="18">
        <f t="shared" si="70"/>
        <v>1</v>
      </c>
      <c r="J28" s="18" t="str">
        <f t="shared" si="71"/>
        <v>מינהלי - עובדי מדינה</v>
      </c>
      <c r="K28" s="189">
        <f t="shared" si="72"/>
        <v>1</v>
      </c>
      <c r="L28" s="18">
        <f t="shared" si="73"/>
        <v>12</v>
      </c>
      <c r="M28" s="129" t="str">
        <f t="shared" si="74"/>
        <v>17+</v>
      </c>
      <c r="N28" s="189"/>
      <c r="O28" s="132">
        <f t="shared" si="75"/>
        <v>1012</v>
      </c>
      <c r="P28" s="127">
        <f t="shared" si="76"/>
        <v>37</v>
      </c>
      <c r="Q28" s="127">
        <f t="shared" si="77"/>
        <v>22.75</v>
      </c>
      <c r="R28" s="128">
        <f t="shared" si="78"/>
        <v>92</v>
      </c>
      <c r="S28" s="130">
        <f t="shared" si="79"/>
        <v>1.2540512286990533</v>
      </c>
      <c r="T28" s="135">
        <f t="shared" si="16"/>
        <v>0</v>
      </c>
      <c r="U28" s="127">
        <f t="shared" si="17"/>
        <v>0</v>
      </c>
      <c r="V28" s="217">
        <v>0</v>
      </c>
      <c r="W28" s="191">
        <v>0</v>
      </c>
      <c r="X28" s="133">
        <v>0</v>
      </c>
      <c r="Y28" s="131">
        <f t="shared" si="18"/>
        <v>2438.5</v>
      </c>
      <c r="Z28" s="131">
        <f t="shared" si="19"/>
        <v>619.50392118264142</v>
      </c>
      <c r="AA28" s="242">
        <f t="shared" si="20"/>
        <v>3058.0039211826415</v>
      </c>
      <c r="AB28" s="131">
        <f t="shared" si="21"/>
        <v>0</v>
      </c>
      <c r="AC28" s="131">
        <f t="shared" si="22"/>
        <v>139.48055684730568</v>
      </c>
      <c r="AD28" s="131">
        <f t="shared" si="23"/>
        <v>0</v>
      </c>
      <c r="AE28" s="131">
        <f t="shared" si="24"/>
        <v>0</v>
      </c>
      <c r="AF28" s="131">
        <f t="shared" si="25"/>
        <v>75.260000000000005</v>
      </c>
      <c r="AG28" s="131">
        <f t="shared" si="26"/>
        <v>0</v>
      </c>
      <c r="AH28" s="131">
        <f t="shared" si="27"/>
        <v>0</v>
      </c>
      <c r="AI28" s="131">
        <f t="shared" si="28"/>
        <v>0</v>
      </c>
      <c r="AJ28" s="131">
        <f t="shared" si="29"/>
        <v>0</v>
      </c>
      <c r="AK28" s="131"/>
      <c r="AL28" s="131">
        <f t="shared" si="30"/>
        <v>0</v>
      </c>
      <c r="AM28" s="131"/>
      <c r="AN28" s="243">
        <f t="shared" si="31"/>
        <v>0</v>
      </c>
      <c r="AO28" s="131">
        <f t="shared" si="32"/>
        <v>0</v>
      </c>
      <c r="AP28" s="131">
        <f t="shared" si="33"/>
        <v>0</v>
      </c>
      <c r="AQ28" s="131"/>
      <c r="AR28" s="131">
        <f t="shared" si="34"/>
        <v>0</v>
      </c>
      <c r="AS28" s="131">
        <f t="shared" si="82"/>
        <v>0</v>
      </c>
      <c r="AT28" s="131">
        <f t="shared" si="35"/>
        <v>0</v>
      </c>
      <c r="AU28" s="131">
        <f t="shared" si="36"/>
        <v>0</v>
      </c>
      <c r="AV28" s="131"/>
      <c r="AW28" s="131">
        <f t="shared" si="37"/>
        <v>353.75</v>
      </c>
      <c r="AX28" s="131">
        <f t="shared" si="103"/>
        <v>0</v>
      </c>
      <c r="AY28" s="131">
        <f t="shared" si="38"/>
        <v>0</v>
      </c>
      <c r="AZ28" s="131"/>
      <c r="BA28" s="131">
        <f t="shared" si="104"/>
        <v>0</v>
      </c>
      <c r="BB28" s="131"/>
      <c r="BC28" s="131"/>
      <c r="BD28" s="131">
        <f t="shared" si="39"/>
        <v>0</v>
      </c>
      <c r="BE28" s="131"/>
      <c r="BF28" s="131">
        <f t="shared" si="89"/>
        <v>0</v>
      </c>
      <c r="BG28" s="131">
        <f t="shared" si="90"/>
        <v>0</v>
      </c>
      <c r="BH28" s="131"/>
      <c r="BI28" s="131"/>
      <c r="BJ28" s="131"/>
      <c r="BK28" s="131">
        <f t="shared" si="92"/>
        <v>0</v>
      </c>
      <c r="BL28" s="131"/>
      <c r="BM28" s="131"/>
      <c r="BN28" s="131">
        <f t="shared" si="93"/>
        <v>0</v>
      </c>
      <c r="BO28" s="131"/>
      <c r="BP28" s="131">
        <f t="shared" si="94"/>
        <v>0</v>
      </c>
      <c r="BQ28" s="131"/>
      <c r="BR28" s="131"/>
      <c r="BS28" s="131"/>
      <c r="BT28" s="131"/>
      <c r="BU28" s="131"/>
      <c r="BV28" s="131">
        <f t="shared" si="95"/>
        <v>0</v>
      </c>
      <c r="BW28" s="131"/>
      <c r="BX28" s="131"/>
      <c r="BY28" s="131"/>
      <c r="BZ28" s="131">
        <f t="shared" si="98"/>
        <v>0</v>
      </c>
      <c r="CA28" s="131"/>
      <c r="CB28" s="136">
        <f t="shared" si="40"/>
        <v>165.08663357180151</v>
      </c>
      <c r="CC28" s="131">
        <f t="shared" si="41"/>
        <v>0</v>
      </c>
      <c r="CD28" s="136">
        <f t="shared" si="42"/>
        <v>0</v>
      </c>
      <c r="CE28" s="131">
        <f t="shared" si="102"/>
        <v>0</v>
      </c>
      <c r="CF28" s="136">
        <f t="shared" si="43"/>
        <v>0</v>
      </c>
      <c r="CG28" s="136"/>
      <c r="CH28" s="136">
        <f t="shared" si="101"/>
        <v>0</v>
      </c>
      <c r="CI28" s="131">
        <f t="shared" si="44"/>
        <v>0</v>
      </c>
      <c r="CJ28" s="131"/>
      <c r="CK28" s="136">
        <f t="shared" si="45"/>
        <v>0</v>
      </c>
      <c r="CL28" s="136">
        <f t="shared" si="46"/>
        <v>0</v>
      </c>
      <c r="CM28" s="131">
        <f t="shared" si="47"/>
        <v>0</v>
      </c>
      <c r="CN28" s="136">
        <f t="shared" si="48"/>
        <v>0</v>
      </c>
      <c r="CO28" s="136">
        <f t="shared" si="49"/>
        <v>0</v>
      </c>
      <c r="CP28" s="136">
        <f t="shared" si="50"/>
        <v>0</v>
      </c>
      <c r="CQ28" s="136"/>
      <c r="CR28" s="136">
        <f t="shared" si="51"/>
        <v>0</v>
      </c>
      <c r="CS28" s="136"/>
      <c r="CT28" s="136"/>
      <c r="CU28" s="136"/>
      <c r="CV28" s="136"/>
      <c r="CW28" s="136"/>
      <c r="CX28" s="136"/>
      <c r="CY28" s="136"/>
      <c r="CZ28" s="136">
        <f t="shared" si="52"/>
        <v>0</v>
      </c>
      <c r="DA28" s="136">
        <f t="shared" si="53"/>
        <v>0</v>
      </c>
      <c r="DB28" s="136">
        <f t="shared" si="54"/>
        <v>0</v>
      </c>
      <c r="DC28" s="131">
        <f t="shared" si="13"/>
        <v>0</v>
      </c>
      <c r="DD28" s="131">
        <f t="shared" si="55"/>
        <v>0</v>
      </c>
      <c r="DE28" s="131">
        <f t="shared" si="56"/>
        <v>0</v>
      </c>
      <c r="DF28" s="131">
        <f t="shared" si="57"/>
        <v>0</v>
      </c>
      <c r="DG28" s="131">
        <f t="shared" si="58"/>
        <v>0</v>
      </c>
      <c r="DH28" s="131"/>
      <c r="DI28" s="131"/>
      <c r="DJ28" s="131"/>
      <c r="DK28" s="137">
        <f t="shared" si="99"/>
        <v>3791.5811116017489</v>
      </c>
      <c r="DL28" s="227" t="e">
        <f t="shared" si="59"/>
        <v>#REF!</v>
      </c>
      <c r="DM28" s="227" t="e">
        <f t="shared" si="60"/>
        <v>#REF!</v>
      </c>
      <c r="DN28" s="228" t="e">
        <f t="shared" si="14"/>
        <v>#REF!</v>
      </c>
      <c r="DO28" s="228">
        <f t="shared" si="61"/>
        <v>181.81087083894022</v>
      </c>
      <c r="DP28" s="228" t="e">
        <f t="shared" si="62"/>
        <v>#REF!</v>
      </c>
      <c r="DQ28" s="228" t="e">
        <f t="shared" si="63"/>
        <v>#REF!</v>
      </c>
    </row>
    <row r="29" spans="1:121">
      <c r="A29" s="132">
        <f t="shared" si="15"/>
        <v>19</v>
      </c>
      <c r="B29" s="18">
        <f t="shared" si="64"/>
        <v>19</v>
      </c>
      <c r="C29" s="18">
        <f>IF(A29=0," ",VLOOKUP(B29,'tosafot '!$A$7:$B$234,2,0))</f>
        <v>7.2008999999999999</v>
      </c>
      <c r="D29" s="220">
        <f t="shared" si="65"/>
        <v>228</v>
      </c>
      <c r="E29" s="130">
        <f t="shared" si="66"/>
        <v>12.2026</v>
      </c>
      <c r="F29" s="126">
        <f t="shared" si="67"/>
        <v>9</v>
      </c>
      <c r="G29" s="18" t="str">
        <f t="shared" si="68"/>
        <v>הבריאות</v>
      </c>
      <c r="H29" s="189">
        <f t="shared" si="69"/>
        <v>107</v>
      </c>
      <c r="I29" s="18">
        <f t="shared" si="70"/>
        <v>1</v>
      </c>
      <c r="J29" s="18" t="str">
        <f t="shared" si="71"/>
        <v>מינהלי - עובדי מדינה</v>
      </c>
      <c r="K29" s="189">
        <f t="shared" si="72"/>
        <v>1</v>
      </c>
      <c r="L29" s="18">
        <f t="shared" si="73"/>
        <v>12</v>
      </c>
      <c r="M29" s="129" t="str">
        <f t="shared" si="74"/>
        <v>17+</v>
      </c>
      <c r="N29" s="189"/>
      <c r="O29" s="132">
        <f t="shared" si="75"/>
        <v>1012</v>
      </c>
      <c r="P29" s="127">
        <f t="shared" si="76"/>
        <v>37</v>
      </c>
      <c r="Q29" s="127">
        <f t="shared" si="77"/>
        <v>22.75</v>
      </c>
      <c r="R29" s="128">
        <f t="shared" si="78"/>
        <v>92</v>
      </c>
      <c r="S29" s="130">
        <f t="shared" si="79"/>
        <v>1.2540512286990533</v>
      </c>
      <c r="T29" s="135">
        <f t="shared" si="16"/>
        <v>0</v>
      </c>
      <c r="U29" s="127">
        <f t="shared" si="17"/>
        <v>0</v>
      </c>
      <c r="V29" s="217">
        <v>0</v>
      </c>
      <c r="W29" s="191">
        <v>0</v>
      </c>
      <c r="X29" s="133">
        <v>0</v>
      </c>
      <c r="Y29" s="131">
        <f t="shared" si="18"/>
        <v>2438.5</v>
      </c>
      <c r="Z29" s="131">
        <f t="shared" si="19"/>
        <v>619.50392118264142</v>
      </c>
      <c r="AA29" s="242">
        <f t="shared" si="20"/>
        <v>3058.0039211826415</v>
      </c>
      <c r="AB29" s="131">
        <f t="shared" si="21"/>
        <v>0</v>
      </c>
      <c r="AC29" s="131">
        <f t="shared" si="22"/>
        <v>139.48055684730568</v>
      </c>
      <c r="AD29" s="131">
        <f t="shared" si="23"/>
        <v>0</v>
      </c>
      <c r="AE29" s="131">
        <f t="shared" si="24"/>
        <v>0</v>
      </c>
      <c r="AF29" s="131">
        <f t="shared" si="25"/>
        <v>75.260000000000005</v>
      </c>
      <c r="AG29" s="131">
        <f t="shared" si="26"/>
        <v>0</v>
      </c>
      <c r="AH29" s="131">
        <f t="shared" si="27"/>
        <v>0</v>
      </c>
      <c r="AI29" s="131">
        <f t="shared" si="28"/>
        <v>0</v>
      </c>
      <c r="AJ29" s="131">
        <f t="shared" si="29"/>
        <v>0</v>
      </c>
      <c r="AK29" s="131"/>
      <c r="AL29" s="131">
        <f t="shared" si="30"/>
        <v>0</v>
      </c>
      <c r="AM29" s="131"/>
      <c r="AN29" s="243">
        <f t="shared" si="31"/>
        <v>0</v>
      </c>
      <c r="AO29" s="131">
        <f t="shared" si="32"/>
        <v>0</v>
      </c>
      <c r="AP29" s="131">
        <f t="shared" si="33"/>
        <v>0</v>
      </c>
      <c r="AQ29" s="131"/>
      <c r="AR29" s="131">
        <f t="shared" si="34"/>
        <v>0</v>
      </c>
      <c r="AS29" s="131">
        <f t="shared" si="82"/>
        <v>0</v>
      </c>
      <c r="AT29" s="131">
        <f t="shared" si="35"/>
        <v>0</v>
      </c>
      <c r="AU29" s="131">
        <f t="shared" si="36"/>
        <v>0</v>
      </c>
      <c r="AV29" s="131"/>
      <c r="AW29" s="131">
        <f t="shared" si="37"/>
        <v>353.75</v>
      </c>
      <c r="AX29" s="131">
        <f t="shared" si="103"/>
        <v>0</v>
      </c>
      <c r="AY29" s="131">
        <f t="shared" si="38"/>
        <v>0</v>
      </c>
      <c r="AZ29" s="131"/>
      <c r="BA29" s="131">
        <f t="shared" si="104"/>
        <v>0</v>
      </c>
      <c r="BB29" s="131"/>
      <c r="BC29" s="131"/>
      <c r="BD29" s="131">
        <f t="shared" si="39"/>
        <v>0</v>
      </c>
      <c r="BE29" s="131"/>
      <c r="BF29" s="131">
        <f t="shared" si="89"/>
        <v>0</v>
      </c>
      <c r="BG29" s="131">
        <f t="shared" si="90"/>
        <v>0</v>
      </c>
      <c r="BH29" s="131"/>
      <c r="BI29" s="131"/>
      <c r="BJ29" s="131"/>
      <c r="BK29" s="131">
        <f t="shared" si="92"/>
        <v>0</v>
      </c>
      <c r="BL29" s="131"/>
      <c r="BM29" s="131"/>
      <c r="BN29" s="131">
        <f t="shared" si="93"/>
        <v>0</v>
      </c>
      <c r="BO29" s="131"/>
      <c r="BP29" s="131">
        <f t="shared" si="94"/>
        <v>0</v>
      </c>
      <c r="BQ29" s="131"/>
      <c r="BR29" s="131"/>
      <c r="BS29" s="131"/>
      <c r="BT29" s="131"/>
      <c r="BU29" s="131"/>
      <c r="BV29" s="131">
        <f t="shared" si="95"/>
        <v>0</v>
      </c>
      <c r="BW29" s="131"/>
      <c r="BX29" s="131"/>
      <c r="BY29" s="131"/>
      <c r="BZ29" s="131">
        <f t="shared" si="98"/>
        <v>0</v>
      </c>
      <c r="CA29" s="131"/>
      <c r="CB29" s="136">
        <f t="shared" si="40"/>
        <v>165.08663357180151</v>
      </c>
      <c r="CC29" s="131">
        <f t="shared" si="41"/>
        <v>0</v>
      </c>
      <c r="CD29" s="136">
        <f t="shared" si="42"/>
        <v>0</v>
      </c>
      <c r="CE29" s="131">
        <f t="shared" si="102"/>
        <v>0</v>
      </c>
      <c r="CF29" s="136">
        <f t="shared" si="43"/>
        <v>0</v>
      </c>
      <c r="CG29" s="136"/>
      <c r="CH29" s="136">
        <f t="shared" si="101"/>
        <v>0</v>
      </c>
      <c r="CI29" s="131">
        <f t="shared" si="44"/>
        <v>0</v>
      </c>
      <c r="CJ29" s="131"/>
      <c r="CK29" s="136">
        <f t="shared" si="45"/>
        <v>0</v>
      </c>
      <c r="CL29" s="136">
        <f t="shared" si="46"/>
        <v>0</v>
      </c>
      <c r="CM29" s="131">
        <f t="shared" si="47"/>
        <v>0</v>
      </c>
      <c r="CN29" s="136">
        <f t="shared" si="48"/>
        <v>0</v>
      </c>
      <c r="CO29" s="136">
        <f t="shared" si="49"/>
        <v>0</v>
      </c>
      <c r="CP29" s="136">
        <f t="shared" si="50"/>
        <v>0</v>
      </c>
      <c r="CQ29" s="136"/>
      <c r="CR29" s="136">
        <f t="shared" si="51"/>
        <v>0</v>
      </c>
      <c r="CS29" s="136"/>
      <c r="CT29" s="136"/>
      <c r="CU29" s="136"/>
      <c r="CV29" s="136"/>
      <c r="CW29" s="136"/>
      <c r="CX29" s="136"/>
      <c r="CY29" s="136"/>
      <c r="CZ29" s="136">
        <f t="shared" si="52"/>
        <v>0</v>
      </c>
      <c r="DA29" s="136">
        <f t="shared" si="53"/>
        <v>0</v>
      </c>
      <c r="DB29" s="136">
        <f t="shared" si="54"/>
        <v>0</v>
      </c>
      <c r="DC29" s="131">
        <f t="shared" si="13"/>
        <v>0</v>
      </c>
      <c r="DD29" s="131">
        <f t="shared" si="55"/>
        <v>0</v>
      </c>
      <c r="DE29" s="131">
        <f t="shared" si="56"/>
        <v>0</v>
      </c>
      <c r="DF29" s="131">
        <f t="shared" si="57"/>
        <v>0</v>
      </c>
      <c r="DG29" s="131">
        <f t="shared" si="58"/>
        <v>0</v>
      </c>
      <c r="DH29" s="131"/>
      <c r="DI29" s="131"/>
      <c r="DJ29" s="131"/>
      <c r="DK29" s="137">
        <f t="shared" si="99"/>
        <v>3791.5811116017489</v>
      </c>
      <c r="DL29" s="227" t="e">
        <f t="shared" si="59"/>
        <v>#REF!</v>
      </c>
      <c r="DM29" s="227" t="e">
        <f t="shared" si="60"/>
        <v>#REF!</v>
      </c>
      <c r="DN29" s="228" t="e">
        <f t="shared" si="14"/>
        <v>#REF!</v>
      </c>
      <c r="DO29" s="228">
        <f t="shared" si="61"/>
        <v>181.81087083894022</v>
      </c>
      <c r="DP29" s="228" t="e">
        <f t="shared" si="62"/>
        <v>#REF!</v>
      </c>
      <c r="DQ29" s="228" t="e">
        <f t="shared" si="63"/>
        <v>#REF!</v>
      </c>
    </row>
    <row r="30" spans="1:121">
      <c r="A30" s="132">
        <f t="shared" si="15"/>
        <v>20</v>
      </c>
      <c r="B30" s="18">
        <f t="shared" si="64"/>
        <v>20</v>
      </c>
      <c r="C30" s="18">
        <f>IF(A30=0," ",VLOOKUP(B30,'tosafot '!$A$7:$B$234,2,0))</f>
        <v>8.2009000000000007</v>
      </c>
      <c r="D30" s="220">
        <f t="shared" si="65"/>
        <v>228</v>
      </c>
      <c r="E30" s="130">
        <f t="shared" si="66"/>
        <v>12.2026</v>
      </c>
      <c r="F30" s="126">
        <f t="shared" si="67"/>
        <v>9</v>
      </c>
      <c r="G30" s="18" t="str">
        <f t="shared" si="68"/>
        <v>הבריאות</v>
      </c>
      <c r="H30" s="189">
        <f t="shared" si="69"/>
        <v>107</v>
      </c>
      <c r="I30" s="18">
        <f t="shared" si="70"/>
        <v>1</v>
      </c>
      <c r="J30" s="18" t="str">
        <f t="shared" si="71"/>
        <v>מינהלי - עובדי מדינה</v>
      </c>
      <c r="K30" s="189">
        <f t="shared" si="72"/>
        <v>1</v>
      </c>
      <c r="L30" s="18">
        <f t="shared" si="73"/>
        <v>12</v>
      </c>
      <c r="M30" s="129" t="str">
        <f t="shared" si="74"/>
        <v>17+</v>
      </c>
      <c r="N30" s="189"/>
      <c r="O30" s="132">
        <f t="shared" si="75"/>
        <v>1012</v>
      </c>
      <c r="P30" s="127">
        <f t="shared" si="76"/>
        <v>37</v>
      </c>
      <c r="Q30" s="127">
        <f t="shared" si="77"/>
        <v>22.75</v>
      </c>
      <c r="R30" s="128">
        <f t="shared" si="78"/>
        <v>92</v>
      </c>
      <c r="S30" s="130">
        <f t="shared" si="79"/>
        <v>1.2540512286990533</v>
      </c>
      <c r="T30" s="135">
        <f t="shared" si="16"/>
        <v>0</v>
      </c>
      <c r="U30" s="127">
        <f t="shared" si="17"/>
        <v>0</v>
      </c>
      <c r="V30" s="217">
        <v>0</v>
      </c>
      <c r="W30" s="191">
        <v>0</v>
      </c>
      <c r="X30" s="133">
        <v>0</v>
      </c>
      <c r="Y30" s="131">
        <f t="shared" si="18"/>
        <v>2438.5</v>
      </c>
      <c r="Z30" s="131">
        <f t="shared" si="19"/>
        <v>619.50392118264142</v>
      </c>
      <c r="AA30" s="242">
        <f t="shared" si="20"/>
        <v>3058.0039211826415</v>
      </c>
      <c r="AB30" s="131">
        <f t="shared" si="21"/>
        <v>0</v>
      </c>
      <c r="AC30" s="131">
        <f t="shared" si="22"/>
        <v>139.48055684730568</v>
      </c>
      <c r="AD30" s="131">
        <f t="shared" si="23"/>
        <v>0</v>
      </c>
      <c r="AE30" s="131">
        <f t="shared" si="24"/>
        <v>0</v>
      </c>
      <c r="AF30" s="131">
        <f t="shared" si="25"/>
        <v>75.260000000000005</v>
      </c>
      <c r="AG30" s="131">
        <f t="shared" si="26"/>
        <v>0</v>
      </c>
      <c r="AH30" s="131">
        <f t="shared" si="27"/>
        <v>0</v>
      </c>
      <c r="AI30" s="131">
        <f t="shared" si="28"/>
        <v>0</v>
      </c>
      <c r="AJ30" s="131">
        <f t="shared" si="29"/>
        <v>0</v>
      </c>
      <c r="AK30" s="131"/>
      <c r="AL30" s="131">
        <f t="shared" si="30"/>
        <v>0</v>
      </c>
      <c r="AM30" s="131"/>
      <c r="AN30" s="243">
        <f t="shared" si="31"/>
        <v>0</v>
      </c>
      <c r="AO30" s="131">
        <f t="shared" si="32"/>
        <v>0</v>
      </c>
      <c r="AP30" s="131">
        <f t="shared" si="33"/>
        <v>0</v>
      </c>
      <c r="AQ30" s="131"/>
      <c r="AR30" s="131">
        <f t="shared" si="34"/>
        <v>0</v>
      </c>
      <c r="AS30" s="131">
        <f t="shared" si="82"/>
        <v>0</v>
      </c>
      <c r="AT30" s="131">
        <f t="shared" si="35"/>
        <v>0</v>
      </c>
      <c r="AU30" s="131">
        <f t="shared" si="36"/>
        <v>0</v>
      </c>
      <c r="AV30" s="131"/>
      <c r="AW30" s="131">
        <f t="shared" si="37"/>
        <v>353.75</v>
      </c>
      <c r="AX30" s="131">
        <f t="shared" si="103"/>
        <v>0</v>
      </c>
      <c r="AY30" s="131">
        <f t="shared" si="38"/>
        <v>0</v>
      </c>
      <c r="AZ30" s="131"/>
      <c r="BA30" s="131">
        <f t="shared" si="104"/>
        <v>0</v>
      </c>
      <c r="BB30" s="131"/>
      <c r="BC30" s="131"/>
      <c r="BD30" s="131">
        <f t="shared" si="39"/>
        <v>0</v>
      </c>
      <c r="BE30" s="131"/>
      <c r="BF30" s="131">
        <f t="shared" si="89"/>
        <v>0</v>
      </c>
      <c r="BG30" s="131">
        <f t="shared" si="90"/>
        <v>0</v>
      </c>
      <c r="BH30" s="131"/>
      <c r="BI30" s="131"/>
      <c r="BJ30" s="131"/>
      <c r="BK30" s="131">
        <f t="shared" si="92"/>
        <v>0</v>
      </c>
      <c r="BL30" s="131"/>
      <c r="BM30" s="131"/>
      <c r="BN30" s="131">
        <f t="shared" si="93"/>
        <v>0</v>
      </c>
      <c r="BO30" s="131"/>
      <c r="BP30" s="131">
        <f t="shared" si="94"/>
        <v>0</v>
      </c>
      <c r="BQ30" s="131"/>
      <c r="BR30" s="131"/>
      <c r="BS30" s="131"/>
      <c r="BT30" s="131"/>
      <c r="BU30" s="131"/>
      <c r="BV30" s="131">
        <f t="shared" si="95"/>
        <v>0</v>
      </c>
      <c r="BW30" s="131"/>
      <c r="BX30" s="131"/>
      <c r="BY30" s="131"/>
      <c r="BZ30" s="131">
        <f t="shared" si="98"/>
        <v>0</v>
      </c>
      <c r="CA30" s="131"/>
      <c r="CB30" s="136">
        <f t="shared" si="40"/>
        <v>165.08663357180151</v>
      </c>
      <c r="CC30" s="131">
        <f t="shared" si="41"/>
        <v>0</v>
      </c>
      <c r="CD30" s="136">
        <f t="shared" si="42"/>
        <v>0</v>
      </c>
      <c r="CE30" s="131">
        <f t="shared" si="102"/>
        <v>0</v>
      </c>
      <c r="CF30" s="136">
        <f t="shared" si="43"/>
        <v>0</v>
      </c>
      <c r="CG30" s="136"/>
      <c r="CH30" s="136">
        <f t="shared" si="101"/>
        <v>0</v>
      </c>
      <c r="CI30" s="131">
        <f t="shared" si="44"/>
        <v>0</v>
      </c>
      <c r="CJ30" s="131"/>
      <c r="CK30" s="136">
        <f t="shared" si="45"/>
        <v>0</v>
      </c>
      <c r="CL30" s="136">
        <f t="shared" si="46"/>
        <v>0</v>
      </c>
      <c r="CM30" s="131">
        <f t="shared" si="47"/>
        <v>0</v>
      </c>
      <c r="CN30" s="136">
        <f t="shared" si="48"/>
        <v>0</v>
      </c>
      <c r="CO30" s="136">
        <f t="shared" si="49"/>
        <v>0</v>
      </c>
      <c r="CP30" s="136">
        <f t="shared" si="50"/>
        <v>0</v>
      </c>
      <c r="CQ30" s="136"/>
      <c r="CR30" s="136">
        <f t="shared" si="51"/>
        <v>0</v>
      </c>
      <c r="CS30" s="136"/>
      <c r="CT30" s="136"/>
      <c r="CU30" s="136"/>
      <c r="CV30" s="136"/>
      <c r="CW30" s="136"/>
      <c r="CX30" s="136"/>
      <c r="CY30" s="136"/>
      <c r="CZ30" s="136">
        <f t="shared" si="52"/>
        <v>0</v>
      </c>
      <c r="DA30" s="136">
        <f t="shared" si="53"/>
        <v>0</v>
      </c>
      <c r="DB30" s="136">
        <f t="shared" si="54"/>
        <v>0</v>
      </c>
      <c r="DC30" s="131">
        <f t="shared" si="13"/>
        <v>0</v>
      </c>
      <c r="DD30" s="131">
        <f t="shared" si="55"/>
        <v>0</v>
      </c>
      <c r="DE30" s="131">
        <f t="shared" si="56"/>
        <v>0</v>
      </c>
      <c r="DF30" s="131">
        <f t="shared" si="57"/>
        <v>0</v>
      </c>
      <c r="DG30" s="131">
        <f t="shared" si="58"/>
        <v>0</v>
      </c>
      <c r="DH30" s="131"/>
      <c r="DI30" s="131"/>
      <c r="DJ30" s="131"/>
      <c r="DK30" s="137">
        <f t="shared" si="99"/>
        <v>3791.5811116017489</v>
      </c>
      <c r="DL30" s="227" t="e">
        <f t="shared" si="59"/>
        <v>#REF!</v>
      </c>
      <c r="DM30" s="227" t="e">
        <f t="shared" si="60"/>
        <v>#REF!</v>
      </c>
      <c r="DN30" s="228" t="e">
        <f t="shared" si="14"/>
        <v>#REF!</v>
      </c>
      <c r="DO30" s="228">
        <f t="shared" si="61"/>
        <v>181.81087083894022</v>
      </c>
      <c r="DP30" s="228" t="e">
        <f t="shared" si="62"/>
        <v>#REF!</v>
      </c>
      <c r="DQ30" s="228" t="e">
        <f t="shared" si="63"/>
        <v>#REF!</v>
      </c>
    </row>
    <row r="31" spans="1:121">
      <c r="A31" s="132">
        <f t="shared" si="15"/>
        <v>21</v>
      </c>
      <c r="B31" s="18">
        <f t="shared" si="64"/>
        <v>21</v>
      </c>
      <c r="C31" s="18">
        <f>IF(A31=0," ",VLOOKUP(B31,'tosafot '!$A$7:$B$234,2,0))</f>
        <v>9.2009000000000007</v>
      </c>
      <c r="D31" s="220">
        <f t="shared" si="65"/>
        <v>228</v>
      </c>
      <c r="E31" s="130">
        <f t="shared" si="66"/>
        <v>12.2026</v>
      </c>
      <c r="F31" s="126">
        <f t="shared" si="67"/>
        <v>9</v>
      </c>
      <c r="G31" s="18" t="str">
        <f t="shared" si="68"/>
        <v>הבריאות</v>
      </c>
      <c r="H31" s="189">
        <f t="shared" si="69"/>
        <v>107</v>
      </c>
      <c r="I31" s="18">
        <f t="shared" si="70"/>
        <v>1</v>
      </c>
      <c r="J31" s="18" t="str">
        <f t="shared" si="71"/>
        <v>מינהלי - עובדי מדינה</v>
      </c>
      <c r="K31" s="189">
        <f t="shared" si="72"/>
        <v>1</v>
      </c>
      <c r="L31" s="18">
        <f t="shared" si="73"/>
        <v>12</v>
      </c>
      <c r="M31" s="129" t="str">
        <f t="shared" si="74"/>
        <v>17+</v>
      </c>
      <c r="N31" s="189"/>
      <c r="O31" s="132">
        <f t="shared" si="75"/>
        <v>1012</v>
      </c>
      <c r="P31" s="127">
        <f t="shared" si="76"/>
        <v>37</v>
      </c>
      <c r="Q31" s="127">
        <f t="shared" si="77"/>
        <v>22.75</v>
      </c>
      <c r="R31" s="128">
        <f t="shared" si="78"/>
        <v>92</v>
      </c>
      <c r="S31" s="130">
        <f t="shared" si="79"/>
        <v>1.2540512286990533</v>
      </c>
      <c r="T31" s="135">
        <f t="shared" si="16"/>
        <v>0</v>
      </c>
      <c r="U31" s="127">
        <f t="shared" si="17"/>
        <v>0</v>
      </c>
      <c r="V31" s="217">
        <v>0</v>
      </c>
      <c r="W31" s="191">
        <v>0</v>
      </c>
      <c r="X31" s="133">
        <v>0</v>
      </c>
      <c r="Y31" s="131">
        <f t="shared" si="18"/>
        <v>2438.5</v>
      </c>
      <c r="Z31" s="131">
        <f t="shared" si="19"/>
        <v>619.50392118264142</v>
      </c>
      <c r="AA31" s="242">
        <f t="shared" si="20"/>
        <v>3058.0039211826415</v>
      </c>
      <c r="AB31" s="131">
        <f t="shared" si="21"/>
        <v>0</v>
      </c>
      <c r="AC31" s="131">
        <f t="shared" si="22"/>
        <v>139.48055684730568</v>
      </c>
      <c r="AD31" s="131">
        <f t="shared" si="23"/>
        <v>0</v>
      </c>
      <c r="AE31" s="131">
        <f t="shared" si="24"/>
        <v>0</v>
      </c>
      <c r="AF31" s="131">
        <f t="shared" si="25"/>
        <v>75.260000000000005</v>
      </c>
      <c r="AG31" s="131">
        <f t="shared" si="26"/>
        <v>0</v>
      </c>
      <c r="AH31" s="131">
        <f t="shared" si="27"/>
        <v>0</v>
      </c>
      <c r="AI31" s="131">
        <f t="shared" si="28"/>
        <v>0</v>
      </c>
      <c r="AJ31" s="131">
        <f t="shared" si="29"/>
        <v>0</v>
      </c>
      <c r="AK31" s="131"/>
      <c r="AL31" s="131">
        <f t="shared" si="30"/>
        <v>0</v>
      </c>
      <c r="AM31" s="131"/>
      <c r="AN31" s="243">
        <f t="shared" si="31"/>
        <v>0</v>
      </c>
      <c r="AO31" s="131">
        <f t="shared" si="32"/>
        <v>0</v>
      </c>
      <c r="AP31" s="131">
        <f t="shared" si="33"/>
        <v>0</v>
      </c>
      <c r="AQ31" s="131"/>
      <c r="AR31" s="131">
        <f t="shared" si="34"/>
        <v>0</v>
      </c>
      <c r="AS31" s="131">
        <f t="shared" si="82"/>
        <v>0</v>
      </c>
      <c r="AT31" s="131">
        <f t="shared" si="35"/>
        <v>0</v>
      </c>
      <c r="AU31" s="131">
        <f t="shared" si="36"/>
        <v>0</v>
      </c>
      <c r="AV31" s="131"/>
      <c r="AW31" s="131">
        <f t="shared" si="37"/>
        <v>353.75</v>
      </c>
      <c r="AX31" s="131">
        <f t="shared" si="103"/>
        <v>0</v>
      </c>
      <c r="AY31" s="131">
        <f t="shared" si="38"/>
        <v>0</v>
      </c>
      <c r="AZ31" s="131"/>
      <c r="BA31" s="131">
        <f t="shared" si="104"/>
        <v>0</v>
      </c>
      <c r="BB31" s="131"/>
      <c r="BC31" s="131"/>
      <c r="BD31" s="131">
        <f t="shared" si="39"/>
        <v>0</v>
      </c>
      <c r="BE31" s="131"/>
      <c r="BF31" s="131">
        <f t="shared" si="89"/>
        <v>0</v>
      </c>
      <c r="BG31" s="131">
        <f t="shared" si="90"/>
        <v>0</v>
      </c>
      <c r="BH31" s="131"/>
      <c r="BI31" s="131"/>
      <c r="BJ31" s="131"/>
      <c r="BK31" s="131">
        <f t="shared" si="92"/>
        <v>0</v>
      </c>
      <c r="BL31" s="131"/>
      <c r="BM31" s="131"/>
      <c r="BN31" s="131">
        <f t="shared" si="93"/>
        <v>0</v>
      </c>
      <c r="BO31" s="131"/>
      <c r="BP31" s="131">
        <f t="shared" si="94"/>
        <v>0</v>
      </c>
      <c r="BQ31" s="131"/>
      <c r="BR31" s="131"/>
      <c r="BS31" s="131"/>
      <c r="BT31" s="131"/>
      <c r="BU31" s="131"/>
      <c r="BV31" s="131">
        <f t="shared" si="95"/>
        <v>0</v>
      </c>
      <c r="BW31" s="131"/>
      <c r="BX31" s="131"/>
      <c r="BY31" s="131"/>
      <c r="BZ31" s="131">
        <f t="shared" si="98"/>
        <v>0</v>
      </c>
      <c r="CA31" s="131"/>
      <c r="CB31" s="136">
        <f t="shared" si="40"/>
        <v>165.08663357180151</v>
      </c>
      <c r="CC31" s="131">
        <f t="shared" si="41"/>
        <v>0</v>
      </c>
      <c r="CD31" s="136">
        <f t="shared" si="42"/>
        <v>0</v>
      </c>
      <c r="CE31" s="131">
        <f t="shared" si="102"/>
        <v>0</v>
      </c>
      <c r="CF31" s="136">
        <f t="shared" si="43"/>
        <v>0</v>
      </c>
      <c r="CG31" s="136"/>
      <c r="CH31" s="136">
        <f t="shared" si="101"/>
        <v>0</v>
      </c>
      <c r="CI31" s="131">
        <f t="shared" si="44"/>
        <v>0</v>
      </c>
      <c r="CJ31" s="131"/>
      <c r="CK31" s="136">
        <f t="shared" si="45"/>
        <v>0</v>
      </c>
      <c r="CL31" s="136">
        <f t="shared" si="46"/>
        <v>0</v>
      </c>
      <c r="CM31" s="131">
        <f t="shared" si="47"/>
        <v>0</v>
      </c>
      <c r="CN31" s="136">
        <f t="shared" si="48"/>
        <v>0</v>
      </c>
      <c r="CO31" s="136">
        <f t="shared" si="49"/>
        <v>0</v>
      </c>
      <c r="CP31" s="136">
        <f t="shared" si="50"/>
        <v>0</v>
      </c>
      <c r="CQ31" s="136"/>
      <c r="CR31" s="136">
        <f t="shared" si="51"/>
        <v>0</v>
      </c>
      <c r="CS31" s="136"/>
      <c r="CT31" s="136"/>
      <c r="CU31" s="136"/>
      <c r="CV31" s="136"/>
      <c r="CW31" s="136"/>
      <c r="CX31" s="136"/>
      <c r="CY31" s="136"/>
      <c r="CZ31" s="136">
        <f t="shared" si="52"/>
        <v>0</v>
      </c>
      <c r="DA31" s="136">
        <f t="shared" si="53"/>
        <v>0</v>
      </c>
      <c r="DB31" s="136">
        <f t="shared" si="54"/>
        <v>0</v>
      </c>
      <c r="DC31" s="131">
        <f t="shared" si="13"/>
        <v>0</v>
      </c>
      <c r="DD31" s="131">
        <f t="shared" si="55"/>
        <v>0</v>
      </c>
      <c r="DE31" s="131">
        <f t="shared" si="56"/>
        <v>0</v>
      </c>
      <c r="DF31" s="131">
        <f t="shared" si="57"/>
        <v>0</v>
      </c>
      <c r="DG31" s="131">
        <f t="shared" si="58"/>
        <v>0</v>
      </c>
      <c r="DH31" s="131"/>
      <c r="DI31" s="131"/>
      <c r="DJ31" s="131"/>
      <c r="DK31" s="137">
        <f t="shared" si="99"/>
        <v>3791.5811116017489</v>
      </c>
      <c r="DL31" s="227" t="e">
        <f t="shared" si="59"/>
        <v>#REF!</v>
      </c>
      <c r="DM31" s="227" t="e">
        <f t="shared" si="60"/>
        <v>#REF!</v>
      </c>
      <c r="DN31" s="228" t="e">
        <f t="shared" si="14"/>
        <v>#REF!</v>
      </c>
      <c r="DO31" s="228">
        <f t="shared" si="61"/>
        <v>181.81087083894022</v>
      </c>
      <c r="DP31" s="228" t="e">
        <f t="shared" si="62"/>
        <v>#REF!</v>
      </c>
      <c r="DQ31" s="228" t="e">
        <f t="shared" si="63"/>
        <v>#REF!</v>
      </c>
    </row>
    <row r="32" spans="1:121">
      <c r="A32" s="132">
        <f t="shared" si="15"/>
        <v>22</v>
      </c>
      <c r="B32" s="18">
        <f t="shared" si="64"/>
        <v>22</v>
      </c>
      <c r="C32" s="18">
        <f>IF(A32=0," ",VLOOKUP(B32,'tosafot '!$A$7:$B$234,2,0))</f>
        <v>10.200900000000001</v>
      </c>
      <c r="D32" s="220">
        <f t="shared" si="65"/>
        <v>228</v>
      </c>
      <c r="E32" s="130">
        <f t="shared" si="66"/>
        <v>12.2026</v>
      </c>
      <c r="F32" s="126">
        <f t="shared" si="67"/>
        <v>9</v>
      </c>
      <c r="G32" s="18" t="str">
        <f t="shared" si="68"/>
        <v>הבריאות</v>
      </c>
      <c r="H32" s="189">
        <f t="shared" si="69"/>
        <v>107</v>
      </c>
      <c r="I32" s="18">
        <f t="shared" si="70"/>
        <v>1</v>
      </c>
      <c r="J32" s="18" t="str">
        <f t="shared" si="71"/>
        <v>מינהלי - עובדי מדינה</v>
      </c>
      <c r="K32" s="189">
        <f t="shared" si="72"/>
        <v>1</v>
      </c>
      <c r="L32" s="18">
        <f t="shared" si="73"/>
        <v>12</v>
      </c>
      <c r="M32" s="129" t="str">
        <f t="shared" si="74"/>
        <v>17+</v>
      </c>
      <c r="N32" s="189"/>
      <c r="O32" s="132">
        <f t="shared" si="75"/>
        <v>1012</v>
      </c>
      <c r="P32" s="127">
        <f t="shared" si="76"/>
        <v>37</v>
      </c>
      <c r="Q32" s="127">
        <f t="shared" si="77"/>
        <v>22.75</v>
      </c>
      <c r="R32" s="128">
        <f t="shared" si="78"/>
        <v>92</v>
      </c>
      <c r="S32" s="130">
        <f t="shared" si="79"/>
        <v>1.2540512286990533</v>
      </c>
      <c r="T32" s="135">
        <f t="shared" si="16"/>
        <v>0</v>
      </c>
      <c r="U32" s="127">
        <f t="shared" si="17"/>
        <v>0</v>
      </c>
      <c r="V32" s="217">
        <v>0</v>
      </c>
      <c r="W32" s="191">
        <v>0</v>
      </c>
      <c r="X32" s="133">
        <v>0</v>
      </c>
      <c r="Y32" s="131">
        <f t="shared" si="18"/>
        <v>2438.5</v>
      </c>
      <c r="Z32" s="131">
        <f t="shared" si="19"/>
        <v>619.50392118264142</v>
      </c>
      <c r="AA32" s="242">
        <f t="shared" si="20"/>
        <v>3058.0039211826415</v>
      </c>
      <c r="AB32" s="131">
        <f t="shared" si="21"/>
        <v>0</v>
      </c>
      <c r="AC32" s="131">
        <f t="shared" si="22"/>
        <v>139.48055684730568</v>
      </c>
      <c r="AD32" s="131">
        <f t="shared" si="23"/>
        <v>0</v>
      </c>
      <c r="AE32" s="131">
        <f t="shared" si="24"/>
        <v>0</v>
      </c>
      <c r="AF32" s="131">
        <f t="shared" si="25"/>
        <v>75.260000000000005</v>
      </c>
      <c r="AG32" s="131">
        <f t="shared" si="26"/>
        <v>0</v>
      </c>
      <c r="AH32" s="131">
        <f t="shared" si="27"/>
        <v>0</v>
      </c>
      <c r="AI32" s="131">
        <f t="shared" si="28"/>
        <v>0</v>
      </c>
      <c r="AJ32" s="131">
        <f t="shared" si="29"/>
        <v>0</v>
      </c>
      <c r="AK32" s="131"/>
      <c r="AL32" s="131">
        <f t="shared" si="30"/>
        <v>0</v>
      </c>
      <c r="AM32" s="131"/>
      <c r="AN32" s="243">
        <f t="shared" si="31"/>
        <v>0</v>
      </c>
      <c r="AO32" s="131">
        <f t="shared" si="32"/>
        <v>0</v>
      </c>
      <c r="AP32" s="131">
        <f t="shared" si="33"/>
        <v>0</v>
      </c>
      <c r="AQ32" s="131"/>
      <c r="AR32" s="131">
        <f t="shared" si="34"/>
        <v>0</v>
      </c>
      <c r="AS32" s="131">
        <f t="shared" si="82"/>
        <v>0</v>
      </c>
      <c r="AT32" s="131">
        <f t="shared" si="35"/>
        <v>0</v>
      </c>
      <c r="AU32" s="131">
        <f t="shared" si="36"/>
        <v>0</v>
      </c>
      <c r="AV32" s="131"/>
      <c r="AW32" s="131">
        <f t="shared" si="37"/>
        <v>353.75</v>
      </c>
      <c r="AX32" s="131">
        <f t="shared" si="103"/>
        <v>0</v>
      </c>
      <c r="AY32" s="131">
        <f t="shared" si="38"/>
        <v>0</v>
      </c>
      <c r="AZ32" s="131"/>
      <c r="BA32" s="131">
        <f t="shared" si="104"/>
        <v>0</v>
      </c>
      <c r="BB32" s="131"/>
      <c r="BC32" s="131"/>
      <c r="BD32" s="131">
        <f t="shared" si="39"/>
        <v>0</v>
      </c>
      <c r="BE32" s="131"/>
      <c r="BF32" s="131">
        <f t="shared" si="89"/>
        <v>0</v>
      </c>
      <c r="BG32" s="131">
        <f t="shared" si="90"/>
        <v>0</v>
      </c>
      <c r="BH32" s="131"/>
      <c r="BI32" s="131"/>
      <c r="BJ32" s="131"/>
      <c r="BK32" s="131">
        <f t="shared" si="92"/>
        <v>0</v>
      </c>
      <c r="BL32" s="131"/>
      <c r="BM32" s="131"/>
      <c r="BN32" s="131">
        <f t="shared" si="93"/>
        <v>0</v>
      </c>
      <c r="BO32" s="131"/>
      <c r="BP32" s="131">
        <f t="shared" si="94"/>
        <v>0</v>
      </c>
      <c r="BQ32" s="131"/>
      <c r="BR32" s="131"/>
      <c r="BS32" s="131"/>
      <c r="BT32" s="131"/>
      <c r="BU32" s="131"/>
      <c r="BV32" s="131">
        <f t="shared" si="95"/>
        <v>0</v>
      </c>
      <c r="BW32" s="131"/>
      <c r="BX32" s="131"/>
      <c r="BY32" s="131"/>
      <c r="BZ32" s="131">
        <f t="shared" si="98"/>
        <v>0</v>
      </c>
      <c r="CA32" s="131"/>
      <c r="CB32" s="136">
        <f t="shared" si="40"/>
        <v>165.08663357180151</v>
      </c>
      <c r="CC32" s="131">
        <f t="shared" si="41"/>
        <v>0</v>
      </c>
      <c r="CD32" s="136">
        <f t="shared" si="42"/>
        <v>0</v>
      </c>
      <c r="CE32" s="131">
        <f t="shared" si="102"/>
        <v>0</v>
      </c>
      <c r="CF32" s="136">
        <f t="shared" si="43"/>
        <v>0</v>
      </c>
      <c r="CG32" s="136"/>
      <c r="CH32" s="136">
        <f t="shared" si="101"/>
        <v>0</v>
      </c>
      <c r="CI32" s="131">
        <f t="shared" si="44"/>
        <v>0</v>
      </c>
      <c r="CJ32" s="131"/>
      <c r="CK32" s="136">
        <f t="shared" si="45"/>
        <v>0</v>
      </c>
      <c r="CL32" s="136">
        <f t="shared" si="46"/>
        <v>0</v>
      </c>
      <c r="CM32" s="131">
        <f t="shared" si="47"/>
        <v>0</v>
      </c>
      <c r="CN32" s="136">
        <f t="shared" si="48"/>
        <v>0</v>
      </c>
      <c r="CO32" s="136">
        <f t="shared" si="49"/>
        <v>0</v>
      </c>
      <c r="CP32" s="136">
        <f t="shared" si="50"/>
        <v>0</v>
      </c>
      <c r="CQ32" s="136"/>
      <c r="CR32" s="136">
        <f t="shared" si="51"/>
        <v>0</v>
      </c>
      <c r="CS32" s="136"/>
      <c r="CT32" s="136"/>
      <c r="CU32" s="136"/>
      <c r="CV32" s="136"/>
      <c r="CW32" s="136"/>
      <c r="CX32" s="136"/>
      <c r="CY32" s="136"/>
      <c r="CZ32" s="136">
        <f t="shared" si="52"/>
        <v>0</v>
      </c>
      <c r="DA32" s="136">
        <f t="shared" si="53"/>
        <v>0</v>
      </c>
      <c r="DB32" s="136">
        <f t="shared" si="54"/>
        <v>0</v>
      </c>
      <c r="DC32" s="131">
        <f t="shared" si="13"/>
        <v>0</v>
      </c>
      <c r="DD32" s="131">
        <f t="shared" si="55"/>
        <v>0</v>
      </c>
      <c r="DE32" s="131">
        <f t="shared" si="56"/>
        <v>0</v>
      </c>
      <c r="DF32" s="131">
        <f t="shared" si="57"/>
        <v>0</v>
      </c>
      <c r="DG32" s="131">
        <f t="shared" si="58"/>
        <v>0</v>
      </c>
      <c r="DH32" s="131"/>
      <c r="DI32" s="131"/>
      <c r="DJ32" s="131"/>
      <c r="DK32" s="137">
        <f t="shared" si="99"/>
        <v>3791.5811116017489</v>
      </c>
      <c r="DL32" s="227" t="e">
        <f t="shared" si="59"/>
        <v>#REF!</v>
      </c>
      <c r="DM32" s="227" t="e">
        <f t="shared" si="60"/>
        <v>#REF!</v>
      </c>
      <c r="DN32" s="228" t="e">
        <f t="shared" si="14"/>
        <v>#REF!</v>
      </c>
      <c r="DO32" s="228">
        <f t="shared" si="61"/>
        <v>181.81087083894022</v>
      </c>
      <c r="DP32" s="228" t="e">
        <f t="shared" si="62"/>
        <v>#REF!</v>
      </c>
      <c r="DQ32" s="228" t="e">
        <f t="shared" si="63"/>
        <v>#REF!</v>
      </c>
    </row>
    <row r="33" spans="1:121">
      <c r="A33" s="132">
        <f t="shared" si="15"/>
        <v>23</v>
      </c>
      <c r="B33" s="18">
        <f t="shared" si="64"/>
        <v>23</v>
      </c>
      <c r="C33" s="18">
        <f>IF(A33=0," ",VLOOKUP(B33,'tosafot '!$A$7:$B$234,2,0))</f>
        <v>11.200900000000001</v>
      </c>
      <c r="D33" s="220">
        <f t="shared" si="65"/>
        <v>228</v>
      </c>
      <c r="E33" s="130">
        <f t="shared" si="66"/>
        <v>12.2026</v>
      </c>
      <c r="F33" s="126">
        <f t="shared" si="67"/>
        <v>9</v>
      </c>
      <c r="G33" s="18" t="str">
        <f t="shared" si="68"/>
        <v>הבריאות</v>
      </c>
      <c r="H33" s="189">
        <f t="shared" si="69"/>
        <v>107</v>
      </c>
      <c r="I33" s="18">
        <f t="shared" si="70"/>
        <v>1</v>
      </c>
      <c r="J33" s="18" t="str">
        <f t="shared" si="71"/>
        <v>מינהלי - עובדי מדינה</v>
      </c>
      <c r="K33" s="189">
        <f t="shared" si="72"/>
        <v>1</v>
      </c>
      <c r="L33" s="18">
        <f t="shared" si="73"/>
        <v>12</v>
      </c>
      <c r="M33" s="129" t="str">
        <f t="shared" si="74"/>
        <v>17+</v>
      </c>
      <c r="N33" s="189"/>
      <c r="O33" s="132">
        <f t="shared" si="75"/>
        <v>1012</v>
      </c>
      <c r="P33" s="127">
        <f t="shared" si="76"/>
        <v>37</v>
      </c>
      <c r="Q33" s="127">
        <f t="shared" si="77"/>
        <v>22.75</v>
      </c>
      <c r="R33" s="128">
        <f t="shared" si="78"/>
        <v>92</v>
      </c>
      <c r="S33" s="130">
        <f t="shared" si="79"/>
        <v>1.2540512286990533</v>
      </c>
      <c r="T33" s="135">
        <f t="shared" si="16"/>
        <v>0</v>
      </c>
      <c r="U33" s="127">
        <f t="shared" si="17"/>
        <v>0</v>
      </c>
      <c r="V33" s="217">
        <v>0</v>
      </c>
      <c r="W33" s="191">
        <v>0</v>
      </c>
      <c r="X33" s="133">
        <v>0</v>
      </c>
      <c r="Y33" s="131">
        <f t="shared" si="18"/>
        <v>2438.5</v>
      </c>
      <c r="Z33" s="131">
        <f t="shared" si="19"/>
        <v>619.50392118264142</v>
      </c>
      <c r="AA33" s="242">
        <f t="shared" si="20"/>
        <v>3058.0039211826415</v>
      </c>
      <c r="AB33" s="131">
        <f t="shared" si="21"/>
        <v>0</v>
      </c>
      <c r="AC33" s="131">
        <f t="shared" si="22"/>
        <v>139.48055684730568</v>
      </c>
      <c r="AD33" s="131">
        <f t="shared" si="23"/>
        <v>0</v>
      </c>
      <c r="AE33" s="131">
        <f t="shared" si="24"/>
        <v>0</v>
      </c>
      <c r="AF33" s="131">
        <f t="shared" si="25"/>
        <v>75.260000000000005</v>
      </c>
      <c r="AG33" s="131">
        <f t="shared" si="26"/>
        <v>0</v>
      </c>
      <c r="AH33" s="131">
        <f t="shared" si="27"/>
        <v>0</v>
      </c>
      <c r="AI33" s="131">
        <f t="shared" si="28"/>
        <v>0</v>
      </c>
      <c r="AJ33" s="131">
        <f t="shared" si="29"/>
        <v>0</v>
      </c>
      <c r="AK33" s="131"/>
      <c r="AL33" s="131">
        <f t="shared" si="30"/>
        <v>0</v>
      </c>
      <c r="AM33" s="131"/>
      <c r="AN33" s="243">
        <f t="shared" si="31"/>
        <v>0</v>
      </c>
      <c r="AO33" s="131">
        <f t="shared" si="32"/>
        <v>0</v>
      </c>
      <c r="AP33" s="131">
        <f t="shared" si="33"/>
        <v>0</v>
      </c>
      <c r="AQ33" s="131"/>
      <c r="AR33" s="131">
        <f t="shared" si="34"/>
        <v>0</v>
      </c>
      <c r="AS33" s="131">
        <f t="shared" si="82"/>
        <v>0</v>
      </c>
      <c r="AT33" s="131">
        <f t="shared" si="35"/>
        <v>0</v>
      </c>
      <c r="AU33" s="131">
        <f t="shared" si="36"/>
        <v>0</v>
      </c>
      <c r="AV33" s="131"/>
      <c r="AW33" s="131">
        <f t="shared" si="37"/>
        <v>353.75</v>
      </c>
      <c r="AX33" s="131">
        <f t="shared" si="103"/>
        <v>0</v>
      </c>
      <c r="AY33" s="131">
        <f t="shared" si="38"/>
        <v>0</v>
      </c>
      <c r="AZ33" s="131"/>
      <c r="BA33" s="131">
        <f t="shared" si="104"/>
        <v>0</v>
      </c>
      <c r="BB33" s="131"/>
      <c r="BC33" s="131"/>
      <c r="BD33" s="131">
        <f t="shared" si="39"/>
        <v>0</v>
      </c>
      <c r="BE33" s="131"/>
      <c r="BF33" s="131">
        <f t="shared" si="89"/>
        <v>0</v>
      </c>
      <c r="BG33" s="131">
        <f t="shared" si="90"/>
        <v>0</v>
      </c>
      <c r="BH33" s="131"/>
      <c r="BI33" s="131"/>
      <c r="BJ33" s="131"/>
      <c r="BK33" s="131">
        <f t="shared" si="92"/>
        <v>0</v>
      </c>
      <c r="BL33" s="131"/>
      <c r="BM33" s="131"/>
      <c r="BN33" s="131">
        <f t="shared" si="93"/>
        <v>0</v>
      </c>
      <c r="BO33" s="131"/>
      <c r="BP33" s="131">
        <f t="shared" si="94"/>
        <v>0</v>
      </c>
      <c r="BQ33" s="131"/>
      <c r="BR33" s="131"/>
      <c r="BS33" s="131"/>
      <c r="BT33" s="131"/>
      <c r="BU33" s="131"/>
      <c r="BV33" s="131">
        <f t="shared" si="95"/>
        <v>0</v>
      </c>
      <c r="BW33" s="131"/>
      <c r="BX33" s="131"/>
      <c r="BY33" s="131"/>
      <c r="BZ33" s="131">
        <f t="shared" si="98"/>
        <v>0</v>
      </c>
      <c r="CA33" s="131"/>
      <c r="CB33" s="136">
        <f t="shared" si="40"/>
        <v>165.08663357180151</v>
      </c>
      <c r="CC33" s="131">
        <f t="shared" si="41"/>
        <v>0</v>
      </c>
      <c r="CD33" s="136">
        <f t="shared" si="42"/>
        <v>0</v>
      </c>
      <c r="CE33" s="131">
        <f t="shared" si="102"/>
        <v>0</v>
      </c>
      <c r="CF33" s="136">
        <f t="shared" si="43"/>
        <v>0</v>
      </c>
      <c r="CG33" s="136"/>
      <c r="CH33" s="136">
        <f t="shared" si="101"/>
        <v>0</v>
      </c>
      <c r="CI33" s="131">
        <f t="shared" si="44"/>
        <v>0</v>
      </c>
      <c r="CJ33" s="131"/>
      <c r="CK33" s="136">
        <f t="shared" si="45"/>
        <v>0</v>
      </c>
      <c r="CL33" s="136">
        <f t="shared" si="46"/>
        <v>0</v>
      </c>
      <c r="CM33" s="131">
        <f t="shared" si="47"/>
        <v>0</v>
      </c>
      <c r="CN33" s="136">
        <f t="shared" si="48"/>
        <v>0</v>
      </c>
      <c r="CO33" s="136">
        <f t="shared" si="49"/>
        <v>0</v>
      </c>
      <c r="CP33" s="136">
        <f t="shared" si="50"/>
        <v>0</v>
      </c>
      <c r="CQ33" s="136"/>
      <c r="CR33" s="136">
        <f t="shared" si="51"/>
        <v>0</v>
      </c>
      <c r="CS33" s="136"/>
      <c r="CT33" s="136"/>
      <c r="CU33" s="136"/>
      <c r="CV33" s="136"/>
      <c r="CW33" s="136"/>
      <c r="CX33" s="136"/>
      <c r="CY33" s="136"/>
      <c r="CZ33" s="136">
        <f t="shared" si="52"/>
        <v>0</v>
      </c>
      <c r="DA33" s="136">
        <f t="shared" si="53"/>
        <v>0</v>
      </c>
      <c r="DB33" s="136">
        <f t="shared" si="54"/>
        <v>0</v>
      </c>
      <c r="DC33" s="131">
        <f t="shared" si="13"/>
        <v>0</v>
      </c>
      <c r="DD33" s="131">
        <f t="shared" si="55"/>
        <v>0</v>
      </c>
      <c r="DE33" s="131">
        <f t="shared" si="56"/>
        <v>0</v>
      </c>
      <c r="DF33" s="131">
        <f t="shared" si="57"/>
        <v>0</v>
      </c>
      <c r="DG33" s="131">
        <f t="shared" si="58"/>
        <v>0</v>
      </c>
      <c r="DH33" s="131"/>
      <c r="DI33" s="131"/>
      <c r="DJ33" s="131"/>
      <c r="DK33" s="137">
        <f t="shared" si="99"/>
        <v>3791.5811116017489</v>
      </c>
      <c r="DL33" s="227" t="e">
        <f t="shared" si="59"/>
        <v>#REF!</v>
      </c>
      <c r="DM33" s="227" t="e">
        <f t="shared" si="60"/>
        <v>#REF!</v>
      </c>
      <c r="DN33" s="228" t="e">
        <f t="shared" si="14"/>
        <v>#REF!</v>
      </c>
      <c r="DO33" s="228">
        <f t="shared" si="61"/>
        <v>181.81087083894022</v>
      </c>
      <c r="DP33" s="228" t="e">
        <f t="shared" si="62"/>
        <v>#REF!</v>
      </c>
      <c r="DQ33" s="228" t="e">
        <f t="shared" si="63"/>
        <v>#REF!</v>
      </c>
    </row>
    <row r="34" spans="1:121">
      <c r="A34" s="132">
        <f t="shared" si="15"/>
        <v>24</v>
      </c>
      <c r="B34" s="18">
        <f t="shared" si="64"/>
        <v>24</v>
      </c>
      <c r="C34" s="18">
        <f>IF(A34=0," ",VLOOKUP(B34,'tosafot '!$A$7:$B$234,2,0))</f>
        <v>12.200900000000001</v>
      </c>
      <c r="D34" s="220">
        <f t="shared" si="65"/>
        <v>228</v>
      </c>
      <c r="E34" s="130">
        <f t="shared" si="66"/>
        <v>12.2026</v>
      </c>
      <c r="F34" s="126">
        <f t="shared" si="67"/>
        <v>9</v>
      </c>
      <c r="G34" s="18" t="str">
        <f t="shared" si="68"/>
        <v>הבריאות</v>
      </c>
      <c r="H34" s="189">
        <f t="shared" si="69"/>
        <v>107</v>
      </c>
      <c r="I34" s="18">
        <f t="shared" si="70"/>
        <v>1</v>
      </c>
      <c r="J34" s="18" t="str">
        <f t="shared" si="71"/>
        <v>מינהלי - עובדי מדינה</v>
      </c>
      <c r="K34" s="189">
        <f t="shared" si="72"/>
        <v>1</v>
      </c>
      <c r="L34" s="18">
        <f t="shared" si="73"/>
        <v>12</v>
      </c>
      <c r="M34" s="129" t="str">
        <f t="shared" si="74"/>
        <v>17+</v>
      </c>
      <c r="N34" s="189"/>
      <c r="O34" s="132">
        <f t="shared" si="75"/>
        <v>1012</v>
      </c>
      <c r="P34" s="127">
        <f t="shared" si="76"/>
        <v>37</v>
      </c>
      <c r="Q34" s="127">
        <f t="shared" si="77"/>
        <v>22.75</v>
      </c>
      <c r="R34" s="128">
        <f t="shared" si="78"/>
        <v>92</v>
      </c>
      <c r="S34" s="130">
        <f t="shared" si="79"/>
        <v>1.2540512286990533</v>
      </c>
      <c r="T34" s="135">
        <f t="shared" si="16"/>
        <v>0</v>
      </c>
      <c r="U34" s="127">
        <f t="shared" si="17"/>
        <v>0</v>
      </c>
      <c r="V34" s="217">
        <v>0</v>
      </c>
      <c r="W34" s="191">
        <v>0</v>
      </c>
      <c r="X34" s="133">
        <v>0</v>
      </c>
      <c r="Y34" s="131">
        <f t="shared" si="18"/>
        <v>2438.5</v>
      </c>
      <c r="Z34" s="131">
        <f t="shared" si="19"/>
        <v>619.50392118264142</v>
      </c>
      <c r="AA34" s="242">
        <f t="shared" si="20"/>
        <v>3058.0039211826415</v>
      </c>
      <c r="AB34" s="131">
        <f t="shared" si="21"/>
        <v>0</v>
      </c>
      <c r="AC34" s="131">
        <f t="shared" si="22"/>
        <v>139.48055684730568</v>
      </c>
      <c r="AD34" s="131">
        <f t="shared" si="23"/>
        <v>0</v>
      </c>
      <c r="AE34" s="131">
        <f t="shared" si="24"/>
        <v>0</v>
      </c>
      <c r="AF34" s="131">
        <f t="shared" si="25"/>
        <v>75.260000000000005</v>
      </c>
      <c r="AG34" s="131">
        <f t="shared" si="26"/>
        <v>0</v>
      </c>
      <c r="AH34" s="131">
        <f t="shared" si="27"/>
        <v>0</v>
      </c>
      <c r="AI34" s="131">
        <f t="shared" si="28"/>
        <v>0</v>
      </c>
      <c r="AJ34" s="131">
        <f t="shared" si="29"/>
        <v>0</v>
      </c>
      <c r="AK34" s="131"/>
      <c r="AL34" s="131">
        <f t="shared" si="30"/>
        <v>0</v>
      </c>
      <c r="AM34" s="131"/>
      <c r="AN34" s="243">
        <f t="shared" si="31"/>
        <v>0</v>
      </c>
      <c r="AO34" s="131">
        <f t="shared" si="32"/>
        <v>0</v>
      </c>
      <c r="AP34" s="131">
        <f t="shared" si="33"/>
        <v>0</v>
      </c>
      <c r="AQ34" s="131"/>
      <c r="AR34" s="131">
        <f t="shared" si="34"/>
        <v>0</v>
      </c>
      <c r="AS34" s="131">
        <f t="shared" si="82"/>
        <v>0</v>
      </c>
      <c r="AT34" s="131">
        <f t="shared" si="35"/>
        <v>0</v>
      </c>
      <c r="AU34" s="131">
        <f t="shared" si="36"/>
        <v>0</v>
      </c>
      <c r="AV34" s="131"/>
      <c r="AW34" s="131">
        <f t="shared" si="37"/>
        <v>353.75</v>
      </c>
      <c r="AX34" s="131">
        <f t="shared" si="103"/>
        <v>0</v>
      </c>
      <c r="AY34" s="131">
        <f t="shared" si="38"/>
        <v>0</v>
      </c>
      <c r="AZ34" s="131"/>
      <c r="BA34" s="131">
        <f t="shared" si="104"/>
        <v>0</v>
      </c>
      <c r="BB34" s="131"/>
      <c r="BC34" s="131"/>
      <c r="BD34" s="131">
        <f t="shared" si="39"/>
        <v>0</v>
      </c>
      <c r="BE34" s="131"/>
      <c r="BF34" s="131">
        <f t="shared" si="89"/>
        <v>0</v>
      </c>
      <c r="BG34" s="131">
        <f t="shared" si="90"/>
        <v>0</v>
      </c>
      <c r="BH34" s="131"/>
      <c r="BI34" s="131"/>
      <c r="BJ34" s="131"/>
      <c r="BK34" s="131">
        <f t="shared" si="92"/>
        <v>0</v>
      </c>
      <c r="BL34" s="131"/>
      <c r="BM34" s="131"/>
      <c r="BN34" s="131">
        <f t="shared" si="93"/>
        <v>0</v>
      </c>
      <c r="BO34" s="131"/>
      <c r="BP34" s="131">
        <f t="shared" si="94"/>
        <v>0</v>
      </c>
      <c r="BQ34" s="131"/>
      <c r="BR34" s="131"/>
      <c r="BS34" s="131"/>
      <c r="BT34" s="131"/>
      <c r="BU34" s="131"/>
      <c r="BV34" s="131">
        <f t="shared" si="95"/>
        <v>0</v>
      </c>
      <c r="BW34" s="131"/>
      <c r="BX34" s="131"/>
      <c r="BY34" s="131"/>
      <c r="BZ34" s="131">
        <f t="shared" si="98"/>
        <v>0</v>
      </c>
      <c r="CA34" s="131"/>
      <c r="CB34" s="136">
        <f t="shared" si="40"/>
        <v>165.08663357180151</v>
      </c>
      <c r="CC34" s="131">
        <f t="shared" si="41"/>
        <v>0</v>
      </c>
      <c r="CD34" s="136">
        <f t="shared" si="42"/>
        <v>0</v>
      </c>
      <c r="CE34" s="131">
        <f t="shared" si="102"/>
        <v>0</v>
      </c>
      <c r="CF34" s="136">
        <f t="shared" si="43"/>
        <v>0</v>
      </c>
      <c r="CG34" s="136"/>
      <c r="CH34" s="136">
        <f t="shared" si="101"/>
        <v>0</v>
      </c>
      <c r="CI34" s="131">
        <f t="shared" si="44"/>
        <v>0</v>
      </c>
      <c r="CJ34" s="131"/>
      <c r="CK34" s="136">
        <f t="shared" si="45"/>
        <v>0</v>
      </c>
      <c r="CL34" s="136">
        <f t="shared" si="46"/>
        <v>0</v>
      </c>
      <c r="CM34" s="131">
        <f t="shared" si="47"/>
        <v>0</v>
      </c>
      <c r="CN34" s="136">
        <f t="shared" si="48"/>
        <v>0</v>
      </c>
      <c r="CO34" s="136">
        <f t="shared" si="49"/>
        <v>0</v>
      </c>
      <c r="CP34" s="136">
        <f t="shared" si="50"/>
        <v>0</v>
      </c>
      <c r="CQ34" s="136"/>
      <c r="CR34" s="136">
        <f t="shared" si="51"/>
        <v>0</v>
      </c>
      <c r="CS34" s="136"/>
      <c r="CT34" s="136"/>
      <c r="CU34" s="136"/>
      <c r="CV34" s="136"/>
      <c r="CW34" s="136"/>
      <c r="CX34" s="136"/>
      <c r="CY34" s="136"/>
      <c r="CZ34" s="136">
        <f t="shared" si="52"/>
        <v>0</v>
      </c>
      <c r="DA34" s="136">
        <f t="shared" si="53"/>
        <v>0</v>
      </c>
      <c r="DB34" s="136">
        <f t="shared" si="54"/>
        <v>0</v>
      </c>
      <c r="DC34" s="131">
        <f t="shared" si="13"/>
        <v>0</v>
      </c>
      <c r="DD34" s="131">
        <f t="shared" si="55"/>
        <v>0</v>
      </c>
      <c r="DE34" s="131">
        <f t="shared" si="56"/>
        <v>0</v>
      </c>
      <c r="DF34" s="131">
        <f t="shared" si="57"/>
        <v>0</v>
      </c>
      <c r="DG34" s="131">
        <f t="shared" si="58"/>
        <v>0</v>
      </c>
      <c r="DH34" s="131"/>
      <c r="DI34" s="131"/>
      <c r="DJ34" s="131"/>
      <c r="DK34" s="137">
        <f t="shared" si="99"/>
        <v>3791.5811116017489</v>
      </c>
      <c r="DL34" s="227" t="e">
        <f t="shared" si="59"/>
        <v>#REF!</v>
      </c>
      <c r="DM34" s="227" t="e">
        <f t="shared" si="60"/>
        <v>#REF!</v>
      </c>
      <c r="DN34" s="228" t="e">
        <f t="shared" si="14"/>
        <v>#REF!</v>
      </c>
      <c r="DO34" s="228">
        <f t="shared" si="61"/>
        <v>181.81087083894022</v>
      </c>
      <c r="DP34" s="228" t="e">
        <f t="shared" si="62"/>
        <v>#REF!</v>
      </c>
      <c r="DQ34" s="228" t="e">
        <f t="shared" si="63"/>
        <v>#REF!</v>
      </c>
    </row>
    <row r="35" spans="1:121">
      <c r="A35" s="132">
        <f t="shared" si="15"/>
        <v>25</v>
      </c>
      <c r="B35" s="18">
        <f t="shared" si="64"/>
        <v>25</v>
      </c>
      <c r="C35" s="18">
        <f>IF(A35=0," ",VLOOKUP(B35,'tosafot '!$A$7:$B$234,2,0))</f>
        <v>1.2010000000000001</v>
      </c>
      <c r="D35" s="220">
        <f t="shared" si="65"/>
        <v>228</v>
      </c>
      <c r="E35" s="130">
        <f t="shared" si="66"/>
        <v>12.2026</v>
      </c>
      <c r="F35" s="126">
        <f t="shared" si="67"/>
        <v>9</v>
      </c>
      <c r="G35" s="18" t="str">
        <f t="shared" si="68"/>
        <v>הבריאות</v>
      </c>
      <c r="H35" s="189">
        <f t="shared" si="69"/>
        <v>107</v>
      </c>
      <c r="I35" s="18">
        <f t="shared" si="70"/>
        <v>1</v>
      </c>
      <c r="J35" s="18" t="str">
        <f t="shared" si="71"/>
        <v>מינהלי - עובדי מדינה</v>
      </c>
      <c r="K35" s="189">
        <f t="shared" si="72"/>
        <v>1</v>
      </c>
      <c r="L35" s="18">
        <f t="shared" si="73"/>
        <v>12</v>
      </c>
      <c r="M35" s="129" t="str">
        <f t="shared" si="74"/>
        <v>17+</v>
      </c>
      <c r="N35" s="189"/>
      <c r="O35" s="132">
        <f t="shared" si="75"/>
        <v>1012</v>
      </c>
      <c r="P35" s="127">
        <f t="shared" si="76"/>
        <v>37</v>
      </c>
      <c r="Q35" s="127">
        <f t="shared" si="77"/>
        <v>22.75</v>
      </c>
      <c r="R35" s="128">
        <f t="shared" si="78"/>
        <v>92</v>
      </c>
      <c r="S35" s="130">
        <f t="shared" si="79"/>
        <v>1.2540512286990533</v>
      </c>
      <c r="T35" s="135">
        <f t="shared" si="16"/>
        <v>0</v>
      </c>
      <c r="U35" s="127">
        <f t="shared" si="17"/>
        <v>0</v>
      </c>
      <c r="V35" s="217">
        <v>0</v>
      </c>
      <c r="W35" s="191">
        <v>0</v>
      </c>
      <c r="X35" s="133">
        <v>0</v>
      </c>
      <c r="Y35" s="131">
        <f t="shared" si="18"/>
        <v>2438.5</v>
      </c>
      <c r="Z35" s="131">
        <f t="shared" si="19"/>
        <v>619.50392118264142</v>
      </c>
      <c r="AA35" s="242">
        <f t="shared" si="20"/>
        <v>3058.0039211826415</v>
      </c>
      <c r="AB35" s="131">
        <f t="shared" si="21"/>
        <v>0</v>
      </c>
      <c r="AC35" s="131">
        <f t="shared" si="22"/>
        <v>139.48055684730568</v>
      </c>
      <c r="AD35" s="131">
        <f t="shared" si="23"/>
        <v>0</v>
      </c>
      <c r="AE35" s="131">
        <f t="shared" si="24"/>
        <v>0</v>
      </c>
      <c r="AF35" s="131">
        <f t="shared" si="25"/>
        <v>75.260000000000005</v>
      </c>
      <c r="AG35" s="131">
        <f t="shared" si="26"/>
        <v>0</v>
      </c>
      <c r="AH35" s="131">
        <f t="shared" si="27"/>
        <v>0</v>
      </c>
      <c r="AI35" s="131">
        <f t="shared" si="28"/>
        <v>0</v>
      </c>
      <c r="AJ35" s="131">
        <f t="shared" si="29"/>
        <v>0</v>
      </c>
      <c r="AK35" s="131"/>
      <c r="AL35" s="131">
        <f t="shared" si="30"/>
        <v>0</v>
      </c>
      <c r="AM35" s="131"/>
      <c r="AN35" s="243">
        <f t="shared" si="31"/>
        <v>0</v>
      </c>
      <c r="AO35" s="131">
        <f t="shared" si="32"/>
        <v>0</v>
      </c>
      <c r="AP35" s="131">
        <f t="shared" si="33"/>
        <v>0</v>
      </c>
      <c r="AQ35" s="131"/>
      <c r="AR35" s="131">
        <f t="shared" si="34"/>
        <v>0</v>
      </c>
      <c r="AS35" s="131">
        <f t="shared" si="82"/>
        <v>0</v>
      </c>
      <c r="AT35" s="131">
        <f t="shared" si="35"/>
        <v>0</v>
      </c>
      <c r="AU35" s="131">
        <f t="shared" si="36"/>
        <v>0</v>
      </c>
      <c r="AV35" s="131"/>
      <c r="AW35" s="131">
        <f t="shared" si="37"/>
        <v>353.75</v>
      </c>
      <c r="AX35" s="131">
        <f t="shared" si="103"/>
        <v>0</v>
      </c>
      <c r="AY35" s="131">
        <f t="shared" si="38"/>
        <v>0</v>
      </c>
      <c r="AZ35" s="131"/>
      <c r="BA35" s="131">
        <f t="shared" si="104"/>
        <v>0</v>
      </c>
      <c r="BB35" s="131"/>
      <c r="BC35" s="131"/>
      <c r="BD35" s="131">
        <f t="shared" si="39"/>
        <v>0</v>
      </c>
      <c r="BE35" s="131"/>
      <c r="BF35" s="131">
        <f t="shared" si="89"/>
        <v>0</v>
      </c>
      <c r="BG35" s="131">
        <f t="shared" si="90"/>
        <v>0</v>
      </c>
      <c r="BH35" s="131"/>
      <c r="BI35" s="131"/>
      <c r="BJ35" s="131"/>
      <c r="BK35" s="131">
        <f t="shared" si="92"/>
        <v>0</v>
      </c>
      <c r="BL35" s="131"/>
      <c r="BM35" s="131"/>
      <c r="BN35" s="131">
        <f t="shared" si="93"/>
        <v>0</v>
      </c>
      <c r="BO35" s="131"/>
      <c r="BP35" s="131">
        <f t="shared" si="94"/>
        <v>0</v>
      </c>
      <c r="BQ35" s="131"/>
      <c r="BR35" s="131"/>
      <c r="BS35" s="131"/>
      <c r="BT35" s="131"/>
      <c r="BU35" s="131"/>
      <c r="BV35" s="131">
        <f t="shared" si="95"/>
        <v>0</v>
      </c>
      <c r="BW35" s="131"/>
      <c r="BX35" s="131"/>
      <c r="BY35" s="131"/>
      <c r="BZ35" s="131">
        <f t="shared" si="98"/>
        <v>0</v>
      </c>
      <c r="CA35" s="131"/>
      <c r="CB35" s="136">
        <f t="shared" si="40"/>
        <v>165.08663357180151</v>
      </c>
      <c r="CC35" s="131">
        <f t="shared" si="41"/>
        <v>0</v>
      </c>
      <c r="CD35" s="136">
        <f t="shared" si="42"/>
        <v>0</v>
      </c>
      <c r="CE35" s="131">
        <f t="shared" si="102"/>
        <v>0</v>
      </c>
      <c r="CF35" s="136">
        <f t="shared" si="43"/>
        <v>0</v>
      </c>
      <c r="CG35" s="136"/>
      <c r="CH35" s="136">
        <f t="shared" si="101"/>
        <v>0</v>
      </c>
      <c r="CI35" s="131">
        <f t="shared" si="44"/>
        <v>0</v>
      </c>
      <c r="CJ35" s="131"/>
      <c r="CK35" s="136">
        <f t="shared" si="45"/>
        <v>0</v>
      </c>
      <c r="CL35" s="136">
        <f t="shared" si="46"/>
        <v>0</v>
      </c>
      <c r="CM35" s="131">
        <f t="shared" si="47"/>
        <v>0</v>
      </c>
      <c r="CN35" s="136">
        <f t="shared" si="48"/>
        <v>0</v>
      </c>
      <c r="CO35" s="136">
        <f t="shared" si="49"/>
        <v>0</v>
      </c>
      <c r="CP35" s="136">
        <f t="shared" si="50"/>
        <v>0</v>
      </c>
      <c r="CQ35" s="136"/>
      <c r="CR35" s="136">
        <f t="shared" si="51"/>
        <v>0</v>
      </c>
      <c r="CS35" s="136"/>
      <c r="CT35" s="136"/>
      <c r="CU35" s="136"/>
      <c r="CV35" s="136"/>
      <c r="CW35" s="136"/>
      <c r="CX35" s="136"/>
      <c r="CY35" s="136"/>
      <c r="CZ35" s="136">
        <f t="shared" si="52"/>
        <v>0</v>
      </c>
      <c r="DA35" s="136">
        <f t="shared" si="53"/>
        <v>0</v>
      </c>
      <c r="DB35" s="136">
        <f t="shared" si="54"/>
        <v>0</v>
      </c>
      <c r="DC35" s="131">
        <f t="shared" si="13"/>
        <v>0</v>
      </c>
      <c r="DD35" s="131">
        <f t="shared" si="55"/>
        <v>0</v>
      </c>
      <c r="DE35" s="131">
        <f t="shared" si="56"/>
        <v>0</v>
      </c>
      <c r="DF35" s="131">
        <f t="shared" si="57"/>
        <v>0</v>
      </c>
      <c r="DG35" s="131">
        <f t="shared" si="58"/>
        <v>0</v>
      </c>
      <c r="DH35" s="131"/>
      <c r="DI35" s="131"/>
      <c r="DJ35" s="131"/>
      <c r="DK35" s="137">
        <f t="shared" si="99"/>
        <v>3791.5811116017489</v>
      </c>
      <c r="DL35" s="227" t="e">
        <f t="shared" si="59"/>
        <v>#REF!</v>
      </c>
      <c r="DM35" s="227" t="e">
        <f t="shared" si="60"/>
        <v>#REF!</v>
      </c>
      <c r="DN35" s="228" t="e">
        <f t="shared" si="14"/>
        <v>#REF!</v>
      </c>
      <c r="DO35" s="228">
        <f t="shared" si="61"/>
        <v>181.81087083894022</v>
      </c>
      <c r="DP35" s="228" t="e">
        <f t="shared" si="62"/>
        <v>#REF!</v>
      </c>
      <c r="DQ35" s="228" t="e">
        <f t="shared" si="63"/>
        <v>#REF!</v>
      </c>
    </row>
    <row r="36" spans="1:121">
      <c r="A36" s="132">
        <f t="shared" si="15"/>
        <v>26</v>
      </c>
      <c r="B36" s="18">
        <f t="shared" si="64"/>
        <v>26</v>
      </c>
      <c r="C36" s="18">
        <f>IF(A36=0," ",VLOOKUP(B36,'tosafot '!$A$7:$B$234,2,0))</f>
        <v>2.2010000000000001</v>
      </c>
      <c r="D36" s="220">
        <f t="shared" si="65"/>
        <v>228</v>
      </c>
      <c r="E36" s="130">
        <f t="shared" si="66"/>
        <v>12.2026</v>
      </c>
      <c r="F36" s="126">
        <f t="shared" si="67"/>
        <v>9</v>
      </c>
      <c r="G36" s="18" t="str">
        <f t="shared" si="68"/>
        <v>הבריאות</v>
      </c>
      <c r="H36" s="189">
        <f t="shared" si="69"/>
        <v>107</v>
      </c>
      <c r="I36" s="18">
        <f t="shared" si="70"/>
        <v>1</v>
      </c>
      <c r="J36" s="18" t="str">
        <f t="shared" si="71"/>
        <v>מינהלי - עובדי מדינה</v>
      </c>
      <c r="K36" s="189">
        <f t="shared" si="72"/>
        <v>1</v>
      </c>
      <c r="L36" s="18">
        <f t="shared" si="73"/>
        <v>12</v>
      </c>
      <c r="M36" s="129" t="str">
        <f t="shared" si="74"/>
        <v>17+</v>
      </c>
      <c r="N36" s="189"/>
      <c r="O36" s="132">
        <f t="shared" si="75"/>
        <v>1012</v>
      </c>
      <c r="P36" s="127">
        <f t="shared" si="76"/>
        <v>37</v>
      </c>
      <c r="Q36" s="127">
        <f t="shared" si="77"/>
        <v>22.75</v>
      </c>
      <c r="R36" s="128">
        <f t="shared" si="78"/>
        <v>92</v>
      </c>
      <c r="S36" s="130">
        <f t="shared" si="79"/>
        <v>1.2540512286990533</v>
      </c>
      <c r="T36" s="135">
        <f t="shared" si="16"/>
        <v>0</v>
      </c>
      <c r="U36" s="127">
        <f t="shared" si="17"/>
        <v>0</v>
      </c>
      <c r="V36" s="217">
        <v>0</v>
      </c>
      <c r="W36" s="191">
        <v>0</v>
      </c>
      <c r="X36" s="133">
        <v>0</v>
      </c>
      <c r="Y36" s="131">
        <f t="shared" si="18"/>
        <v>2438.5</v>
      </c>
      <c r="Z36" s="131">
        <f t="shared" si="19"/>
        <v>619.50392118264142</v>
      </c>
      <c r="AA36" s="242">
        <f t="shared" si="20"/>
        <v>3058.0039211826415</v>
      </c>
      <c r="AB36" s="131">
        <f t="shared" si="21"/>
        <v>0</v>
      </c>
      <c r="AC36" s="131">
        <f t="shared" si="22"/>
        <v>139.48055684730568</v>
      </c>
      <c r="AD36" s="131">
        <f t="shared" si="23"/>
        <v>0</v>
      </c>
      <c r="AE36" s="131">
        <f t="shared" si="24"/>
        <v>0</v>
      </c>
      <c r="AF36" s="131">
        <f t="shared" si="25"/>
        <v>75.260000000000005</v>
      </c>
      <c r="AG36" s="131">
        <f t="shared" si="26"/>
        <v>0</v>
      </c>
      <c r="AH36" s="131">
        <f t="shared" si="27"/>
        <v>0</v>
      </c>
      <c r="AI36" s="131">
        <f t="shared" si="28"/>
        <v>0</v>
      </c>
      <c r="AJ36" s="131">
        <f t="shared" si="29"/>
        <v>0</v>
      </c>
      <c r="AK36" s="131"/>
      <c r="AL36" s="131">
        <f t="shared" si="30"/>
        <v>0</v>
      </c>
      <c r="AM36" s="131"/>
      <c r="AN36" s="243">
        <f t="shared" si="31"/>
        <v>0</v>
      </c>
      <c r="AO36" s="131">
        <f t="shared" si="32"/>
        <v>0</v>
      </c>
      <c r="AP36" s="131">
        <f t="shared" si="33"/>
        <v>0</v>
      </c>
      <c r="AQ36" s="131"/>
      <c r="AR36" s="131">
        <f t="shared" si="34"/>
        <v>0</v>
      </c>
      <c r="AS36" s="131">
        <f t="shared" si="82"/>
        <v>0</v>
      </c>
      <c r="AT36" s="131">
        <f t="shared" si="35"/>
        <v>0</v>
      </c>
      <c r="AU36" s="131">
        <f t="shared" si="36"/>
        <v>0</v>
      </c>
      <c r="AV36" s="131"/>
      <c r="AW36" s="131">
        <f t="shared" si="37"/>
        <v>353.75</v>
      </c>
      <c r="AX36" s="131">
        <f t="shared" si="103"/>
        <v>0</v>
      </c>
      <c r="AY36" s="131">
        <f t="shared" si="38"/>
        <v>0</v>
      </c>
      <c r="AZ36" s="131"/>
      <c r="BA36" s="131">
        <f t="shared" si="104"/>
        <v>0</v>
      </c>
      <c r="BB36" s="131"/>
      <c r="BC36" s="131"/>
      <c r="BD36" s="131">
        <f t="shared" si="39"/>
        <v>0</v>
      </c>
      <c r="BE36" s="131"/>
      <c r="BF36" s="131">
        <f t="shared" si="89"/>
        <v>0</v>
      </c>
      <c r="BG36" s="131">
        <f t="shared" si="90"/>
        <v>0</v>
      </c>
      <c r="BH36" s="131"/>
      <c r="BI36" s="131"/>
      <c r="BJ36" s="131"/>
      <c r="BK36" s="131">
        <f t="shared" si="92"/>
        <v>0</v>
      </c>
      <c r="BL36" s="131"/>
      <c r="BM36" s="131"/>
      <c r="BN36" s="131">
        <f t="shared" si="93"/>
        <v>0</v>
      </c>
      <c r="BO36" s="131"/>
      <c r="BP36" s="131">
        <f t="shared" si="94"/>
        <v>0</v>
      </c>
      <c r="BQ36" s="131"/>
      <c r="BR36" s="131"/>
      <c r="BS36" s="131"/>
      <c r="BT36" s="131"/>
      <c r="BU36" s="131"/>
      <c r="BV36" s="131">
        <f t="shared" si="95"/>
        <v>0</v>
      </c>
      <c r="BW36" s="131"/>
      <c r="BX36" s="131"/>
      <c r="BY36" s="131"/>
      <c r="BZ36" s="131">
        <f t="shared" si="98"/>
        <v>0</v>
      </c>
      <c r="CA36" s="131"/>
      <c r="CB36" s="136">
        <f t="shared" si="40"/>
        <v>165.08663357180151</v>
      </c>
      <c r="CC36" s="131">
        <f t="shared" si="41"/>
        <v>0</v>
      </c>
      <c r="CD36" s="136">
        <f t="shared" si="42"/>
        <v>0</v>
      </c>
      <c r="CE36" s="131">
        <f t="shared" si="102"/>
        <v>0</v>
      </c>
      <c r="CF36" s="136">
        <f t="shared" si="43"/>
        <v>0</v>
      </c>
      <c r="CG36" s="136"/>
      <c r="CH36" s="136">
        <f t="shared" si="101"/>
        <v>0</v>
      </c>
      <c r="CI36" s="131">
        <f t="shared" si="44"/>
        <v>0</v>
      </c>
      <c r="CJ36" s="131"/>
      <c r="CK36" s="136">
        <f t="shared" si="45"/>
        <v>0</v>
      </c>
      <c r="CL36" s="136">
        <f t="shared" si="46"/>
        <v>0</v>
      </c>
      <c r="CM36" s="131">
        <f t="shared" si="47"/>
        <v>0</v>
      </c>
      <c r="CN36" s="136">
        <f t="shared" si="48"/>
        <v>0</v>
      </c>
      <c r="CO36" s="136">
        <f t="shared" si="49"/>
        <v>0</v>
      </c>
      <c r="CP36" s="136">
        <f t="shared" si="50"/>
        <v>0</v>
      </c>
      <c r="CQ36" s="136"/>
      <c r="CR36" s="136">
        <f t="shared" si="51"/>
        <v>0</v>
      </c>
      <c r="CS36" s="136"/>
      <c r="CT36" s="136"/>
      <c r="CU36" s="136"/>
      <c r="CV36" s="136"/>
      <c r="CW36" s="136"/>
      <c r="CX36" s="136"/>
      <c r="CY36" s="136"/>
      <c r="CZ36" s="136">
        <f t="shared" si="52"/>
        <v>0</v>
      </c>
      <c r="DA36" s="136">
        <f t="shared" si="53"/>
        <v>0</v>
      </c>
      <c r="DB36" s="136">
        <f t="shared" si="54"/>
        <v>0</v>
      </c>
      <c r="DC36" s="131">
        <f t="shared" si="13"/>
        <v>0</v>
      </c>
      <c r="DD36" s="131">
        <f t="shared" si="55"/>
        <v>0</v>
      </c>
      <c r="DE36" s="131">
        <f t="shared" si="56"/>
        <v>0</v>
      </c>
      <c r="DF36" s="131">
        <f t="shared" si="57"/>
        <v>0</v>
      </c>
      <c r="DG36" s="131">
        <f t="shared" si="58"/>
        <v>0</v>
      </c>
      <c r="DH36" s="131"/>
      <c r="DI36" s="131"/>
      <c r="DJ36" s="131"/>
      <c r="DK36" s="137">
        <f t="shared" si="99"/>
        <v>3791.5811116017489</v>
      </c>
      <c r="DL36" s="227" t="e">
        <f t="shared" si="59"/>
        <v>#REF!</v>
      </c>
      <c r="DM36" s="227" t="e">
        <f t="shared" si="60"/>
        <v>#REF!</v>
      </c>
      <c r="DN36" s="228" t="e">
        <f t="shared" si="14"/>
        <v>#REF!</v>
      </c>
      <c r="DO36" s="228">
        <f t="shared" si="61"/>
        <v>181.81087083894022</v>
      </c>
      <c r="DP36" s="228" t="e">
        <f t="shared" si="62"/>
        <v>#REF!</v>
      </c>
      <c r="DQ36" s="228" t="e">
        <f t="shared" si="63"/>
        <v>#REF!</v>
      </c>
    </row>
    <row r="37" spans="1:121">
      <c r="A37" s="132">
        <f t="shared" si="15"/>
        <v>27</v>
      </c>
      <c r="B37" s="18">
        <f t="shared" si="64"/>
        <v>27</v>
      </c>
      <c r="C37" s="18">
        <f>IF(A37=0," ",VLOOKUP(B37,'tosafot '!$A$7:$B$234,2,0))</f>
        <v>3.2010000000000001</v>
      </c>
      <c r="D37" s="220">
        <f t="shared" si="65"/>
        <v>228</v>
      </c>
      <c r="E37" s="130">
        <f t="shared" si="66"/>
        <v>12.2026</v>
      </c>
      <c r="F37" s="126">
        <f t="shared" si="67"/>
        <v>9</v>
      </c>
      <c r="G37" s="18" t="str">
        <f t="shared" si="68"/>
        <v>הבריאות</v>
      </c>
      <c r="H37" s="189">
        <f t="shared" si="69"/>
        <v>107</v>
      </c>
      <c r="I37" s="18">
        <f t="shared" si="70"/>
        <v>1</v>
      </c>
      <c r="J37" s="18" t="str">
        <f t="shared" si="71"/>
        <v>מינהלי - עובדי מדינה</v>
      </c>
      <c r="K37" s="189">
        <f t="shared" si="72"/>
        <v>1</v>
      </c>
      <c r="L37" s="18">
        <f t="shared" si="73"/>
        <v>12</v>
      </c>
      <c r="M37" s="129" t="str">
        <f t="shared" si="74"/>
        <v>17+</v>
      </c>
      <c r="N37" s="189"/>
      <c r="O37" s="132">
        <f t="shared" si="75"/>
        <v>1012</v>
      </c>
      <c r="P37" s="127">
        <f t="shared" si="76"/>
        <v>37</v>
      </c>
      <c r="Q37" s="127">
        <f t="shared" si="77"/>
        <v>22.75</v>
      </c>
      <c r="R37" s="128">
        <f t="shared" si="78"/>
        <v>92</v>
      </c>
      <c r="S37" s="130">
        <f t="shared" si="79"/>
        <v>1.2540512286990533</v>
      </c>
      <c r="T37" s="135">
        <f t="shared" si="16"/>
        <v>0</v>
      </c>
      <c r="U37" s="127">
        <f t="shared" si="17"/>
        <v>0</v>
      </c>
      <c r="V37" s="217">
        <v>0</v>
      </c>
      <c r="W37" s="191">
        <v>0</v>
      </c>
      <c r="X37" s="133">
        <v>0</v>
      </c>
      <c r="Y37" s="131">
        <f t="shared" si="18"/>
        <v>2438.5</v>
      </c>
      <c r="Z37" s="131">
        <f t="shared" si="19"/>
        <v>619.50392118264142</v>
      </c>
      <c r="AA37" s="242">
        <f t="shared" si="20"/>
        <v>3058.0039211826415</v>
      </c>
      <c r="AB37" s="131">
        <f t="shared" si="21"/>
        <v>0</v>
      </c>
      <c r="AC37" s="131">
        <f t="shared" si="22"/>
        <v>139.48055684730568</v>
      </c>
      <c r="AD37" s="131">
        <f t="shared" si="23"/>
        <v>0</v>
      </c>
      <c r="AE37" s="131">
        <f t="shared" si="24"/>
        <v>0</v>
      </c>
      <c r="AF37" s="131">
        <f t="shared" si="25"/>
        <v>75.260000000000005</v>
      </c>
      <c r="AG37" s="131">
        <f t="shared" si="26"/>
        <v>0</v>
      </c>
      <c r="AH37" s="131">
        <f t="shared" si="27"/>
        <v>0</v>
      </c>
      <c r="AI37" s="131">
        <f t="shared" si="28"/>
        <v>0</v>
      </c>
      <c r="AJ37" s="131">
        <f t="shared" si="29"/>
        <v>0</v>
      </c>
      <c r="AK37" s="131"/>
      <c r="AL37" s="131">
        <f t="shared" si="30"/>
        <v>0</v>
      </c>
      <c r="AM37" s="131"/>
      <c r="AN37" s="243">
        <f t="shared" si="31"/>
        <v>0</v>
      </c>
      <c r="AO37" s="131">
        <f t="shared" si="32"/>
        <v>0</v>
      </c>
      <c r="AP37" s="131">
        <f t="shared" si="33"/>
        <v>0</v>
      </c>
      <c r="AQ37" s="131"/>
      <c r="AR37" s="131">
        <f t="shared" si="34"/>
        <v>0</v>
      </c>
      <c r="AS37" s="131">
        <f t="shared" si="82"/>
        <v>0</v>
      </c>
      <c r="AT37" s="131">
        <f t="shared" si="35"/>
        <v>0</v>
      </c>
      <c r="AU37" s="131">
        <f t="shared" si="36"/>
        <v>0</v>
      </c>
      <c r="AV37" s="131"/>
      <c r="AW37" s="131">
        <f t="shared" si="37"/>
        <v>353.75</v>
      </c>
      <c r="AX37" s="131">
        <f t="shared" si="103"/>
        <v>0</v>
      </c>
      <c r="AY37" s="131">
        <f t="shared" si="38"/>
        <v>0</v>
      </c>
      <c r="AZ37" s="131"/>
      <c r="BA37" s="131">
        <f t="shared" si="104"/>
        <v>0</v>
      </c>
      <c r="BB37" s="131"/>
      <c r="BC37" s="131"/>
      <c r="BD37" s="131">
        <f t="shared" si="39"/>
        <v>0</v>
      </c>
      <c r="BE37" s="131"/>
      <c r="BF37" s="131">
        <f t="shared" si="89"/>
        <v>0</v>
      </c>
      <c r="BG37" s="131">
        <f t="shared" si="90"/>
        <v>0</v>
      </c>
      <c r="BH37" s="131"/>
      <c r="BI37" s="131"/>
      <c r="BJ37" s="131"/>
      <c r="BK37" s="131">
        <f t="shared" si="92"/>
        <v>0</v>
      </c>
      <c r="BL37" s="131"/>
      <c r="BM37" s="131"/>
      <c r="BN37" s="131">
        <f t="shared" si="93"/>
        <v>0</v>
      </c>
      <c r="BO37" s="131"/>
      <c r="BP37" s="131">
        <f t="shared" si="94"/>
        <v>0</v>
      </c>
      <c r="BQ37" s="131"/>
      <c r="BR37" s="131"/>
      <c r="BS37" s="131"/>
      <c r="BT37" s="131"/>
      <c r="BU37" s="131"/>
      <c r="BV37" s="131">
        <f t="shared" si="95"/>
        <v>0</v>
      </c>
      <c r="BW37" s="131"/>
      <c r="BX37" s="131"/>
      <c r="BY37" s="131"/>
      <c r="BZ37" s="131">
        <f t="shared" si="98"/>
        <v>0</v>
      </c>
      <c r="CA37" s="131"/>
      <c r="CB37" s="136">
        <f t="shared" si="40"/>
        <v>165.08663357180151</v>
      </c>
      <c r="CC37" s="131">
        <f t="shared" si="41"/>
        <v>0</v>
      </c>
      <c r="CD37" s="136">
        <f t="shared" si="42"/>
        <v>0</v>
      </c>
      <c r="CE37" s="131">
        <f t="shared" si="102"/>
        <v>0</v>
      </c>
      <c r="CF37" s="136">
        <f t="shared" si="43"/>
        <v>0</v>
      </c>
      <c r="CG37" s="136"/>
      <c r="CH37" s="136">
        <f t="shared" si="101"/>
        <v>0</v>
      </c>
      <c r="CI37" s="131">
        <f t="shared" si="44"/>
        <v>0</v>
      </c>
      <c r="CJ37" s="131"/>
      <c r="CK37" s="136">
        <f t="shared" si="45"/>
        <v>0</v>
      </c>
      <c r="CL37" s="136">
        <f t="shared" si="46"/>
        <v>0</v>
      </c>
      <c r="CM37" s="131">
        <f t="shared" si="47"/>
        <v>0</v>
      </c>
      <c r="CN37" s="136">
        <f t="shared" si="48"/>
        <v>0</v>
      </c>
      <c r="CO37" s="136">
        <f t="shared" si="49"/>
        <v>0</v>
      </c>
      <c r="CP37" s="136">
        <f t="shared" si="50"/>
        <v>0</v>
      </c>
      <c r="CQ37" s="136"/>
      <c r="CR37" s="136">
        <f t="shared" si="51"/>
        <v>0</v>
      </c>
      <c r="CS37" s="136"/>
      <c r="CT37" s="136"/>
      <c r="CU37" s="136"/>
      <c r="CV37" s="136"/>
      <c r="CW37" s="136"/>
      <c r="CX37" s="136"/>
      <c r="CY37" s="136"/>
      <c r="CZ37" s="136">
        <f t="shared" si="52"/>
        <v>0</v>
      </c>
      <c r="DA37" s="136">
        <f t="shared" si="53"/>
        <v>0</v>
      </c>
      <c r="DB37" s="136">
        <f t="shared" si="54"/>
        <v>0</v>
      </c>
      <c r="DC37" s="131">
        <f t="shared" si="13"/>
        <v>0</v>
      </c>
      <c r="DD37" s="131">
        <f t="shared" si="55"/>
        <v>0</v>
      </c>
      <c r="DE37" s="131">
        <f t="shared" si="56"/>
        <v>0</v>
      </c>
      <c r="DF37" s="131">
        <f t="shared" si="57"/>
        <v>0</v>
      </c>
      <c r="DG37" s="131">
        <f t="shared" si="58"/>
        <v>0</v>
      </c>
      <c r="DH37" s="131"/>
      <c r="DI37" s="131"/>
      <c r="DJ37" s="131"/>
      <c r="DK37" s="137">
        <f t="shared" si="99"/>
        <v>3791.5811116017489</v>
      </c>
      <c r="DL37" s="227" t="e">
        <f t="shared" si="59"/>
        <v>#REF!</v>
      </c>
      <c r="DM37" s="227" t="e">
        <f t="shared" si="60"/>
        <v>#REF!</v>
      </c>
      <c r="DN37" s="228" t="e">
        <f t="shared" si="14"/>
        <v>#REF!</v>
      </c>
      <c r="DO37" s="228">
        <f t="shared" si="61"/>
        <v>181.81087083894022</v>
      </c>
      <c r="DP37" s="228" t="e">
        <f t="shared" si="62"/>
        <v>#REF!</v>
      </c>
      <c r="DQ37" s="228" t="e">
        <f t="shared" si="63"/>
        <v>#REF!</v>
      </c>
    </row>
    <row r="38" spans="1:121">
      <c r="A38" s="132">
        <f t="shared" si="15"/>
        <v>28</v>
      </c>
      <c r="B38" s="18">
        <f t="shared" si="64"/>
        <v>28</v>
      </c>
      <c r="C38" s="18">
        <f>IF(A38=0," ",VLOOKUP(B38,'tosafot '!$A$7:$B$234,2,0))</f>
        <v>4.2009999999999996</v>
      </c>
      <c r="D38" s="220">
        <f t="shared" si="65"/>
        <v>228</v>
      </c>
      <c r="E38" s="130">
        <f t="shared" si="66"/>
        <v>12.2026</v>
      </c>
      <c r="F38" s="126">
        <f t="shared" si="67"/>
        <v>9</v>
      </c>
      <c r="G38" s="18" t="str">
        <f t="shared" si="68"/>
        <v>הבריאות</v>
      </c>
      <c r="H38" s="189">
        <f t="shared" si="69"/>
        <v>107</v>
      </c>
      <c r="I38" s="18">
        <f t="shared" si="70"/>
        <v>1</v>
      </c>
      <c r="J38" s="18" t="str">
        <f t="shared" si="71"/>
        <v>מינהלי - עובדי מדינה</v>
      </c>
      <c r="K38" s="189">
        <f t="shared" si="72"/>
        <v>1</v>
      </c>
      <c r="L38" s="18">
        <f t="shared" si="73"/>
        <v>12</v>
      </c>
      <c r="M38" s="129" t="str">
        <f t="shared" si="74"/>
        <v>17+</v>
      </c>
      <c r="N38" s="189"/>
      <c r="O38" s="132">
        <f t="shared" si="75"/>
        <v>1012</v>
      </c>
      <c r="P38" s="127">
        <f t="shared" si="76"/>
        <v>37</v>
      </c>
      <c r="Q38" s="127">
        <f t="shared" si="77"/>
        <v>22.75</v>
      </c>
      <c r="R38" s="128">
        <f t="shared" si="78"/>
        <v>92</v>
      </c>
      <c r="S38" s="130">
        <f t="shared" si="79"/>
        <v>1.2540512286990533</v>
      </c>
      <c r="T38" s="135">
        <f t="shared" si="16"/>
        <v>0</v>
      </c>
      <c r="U38" s="127">
        <f t="shared" si="17"/>
        <v>0</v>
      </c>
      <c r="V38" s="217">
        <v>0</v>
      </c>
      <c r="W38" s="191">
        <v>0</v>
      </c>
      <c r="X38" s="133">
        <v>0</v>
      </c>
      <c r="Y38" s="131">
        <f t="shared" si="18"/>
        <v>2438.5</v>
      </c>
      <c r="Z38" s="131">
        <f t="shared" si="19"/>
        <v>619.50392118264142</v>
      </c>
      <c r="AA38" s="242">
        <f t="shared" si="20"/>
        <v>3058.0039211826415</v>
      </c>
      <c r="AB38" s="131">
        <f t="shared" si="21"/>
        <v>0</v>
      </c>
      <c r="AC38" s="131">
        <f t="shared" si="22"/>
        <v>139.48055684730568</v>
      </c>
      <c r="AD38" s="131">
        <f t="shared" si="23"/>
        <v>0</v>
      </c>
      <c r="AE38" s="131">
        <f t="shared" si="24"/>
        <v>0</v>
      </c>
      <c r="AF38" s="131">
        <f t="shared" si="25"/>
        <v>75.260000000000005</v>
      </c>
      <c r="AG38" s="131">
        <f t="shared" si="26"/>
        <v>0</v>
      </c>
      <c r="AH38" s="131">
        <f t="shared" si="27"/>
        <v>0</v>
      </c>
      <c r="AI38" s="131">
        <f t="shared" si="28"/>
        <v>0</v>
      </c>
      <c r="AJ38" s="131">
        <f t="shared" si="29"/>
        <v>0</v>
      </c>
      <c r="AK38" s="131"/>
      <c r="AL38" s="131">
        <f t="shared" si="30"/>
        <v>0</v>
      </c>
      <c r="AM38" s="131"/>
      <c r="AN38" s="243">
        <f t="shared" si="31"/>
        <v>0</v>
      </c>
      <c r="AO38" s="131">
        <f t="shared" si="32"/>
        <v>0</v>
      </c>
      <c r="AP38" s="131">
        <f t="shared" si="33"/>
        <v>0</v>
      </c>
      <c r="AQ38" s="131"/>
      <c r="AR38" s="131">
        <f t="shared" si="34"/>
        <v>0</v>
      </c>
      <c r="AS38" s="131">
        <f t="shared" si="82"/>
        <v>0</v>
      </c>
      <c r="AT38" s="131">
        <f t="shared" si="35"/>
        <v>0</v>
      </c>
      <c r="AU38" s="131">
        <f t="shared" si="36"/>
        <v>0</v>
      </c>
      <c r="AV38" s="131"/>
      <c r="AW38" s="131">
        <f t="shared" si="37"/>
        <v>353.75</v>
      </c>
      <c r="AX38" s="131">
        <f t="shared" si="103"/>
        <v>0</v>
      </c>
      <c r="AY38" s="131">
        <f t="shared" si="38"/>
        <v>0</v>
      </c>
      <c r="AZ38" s="131"/>
      <c r="BA38" s="131">
        <f t="shared" si="104"/>
        <v>0</v>
      </c>
      <c r="BB38" s="131"/>
      <c r="BC38" s="131"/>
      <c r="BD38" s="131">
        <f t="shared" si="39"/>
        <v>0</v>
      </c>
      <c r="BE38" s="131"/>
      <c r="BF38" s="131">
        <f t="shared" si="89"/>
        <v>0</v>
      </c>
      <c r="BG38" s="131">
        <f t="shared" si="90"/>
        <v>0</v>
      </c>
      <c r="BH38" s="131"/>
      <c r="BI38" s="131"/>
      <c r="BJ38" s="131"/>
      <c r="BK38" s="131">
        <f t="shared" si="92"/>
        <v>0</v>
      </c>
      <c r="BL38" s="131"/>
      <c r="BM38" s="131"/>
      <c r="BN38" s="131">
        <f t="shared" si="93"/>
        <v>0</v>
      </c>
      <c r="BO38" s="131"/>
      <c r="BP38" s="131">
        <f t="shared" si="94"/>
        <v>0</v>
      </c>
      <c r="BQ38" s="131"/>
      <c r="BR38" s="131"/>
      <c r="BS38" s="131"/>
      <c r="BT38" s="131"/>
      <c r="BU38" s="131"/>
      <c r="BV38" s="131">
        <f t="shared" si="95"/>
        <v>0</v>
      </c>
      <c r="BW38" s="131"/>
      <c r="BX38" s="131"/>
      <c r="BY38" s="131"/>
      <c r="BZ38" s="131">
        <f t="shared" si="98"/>
        <v>0</v>
      </c>
      <c r="CA38" s="131"/>
      <c r="CB38" s="136">
        <f t="shared" si="40"/>
        <v>165.08663357180151</v>
      </c>
      <c r="CC38" s="131">
        <f t="shared" si="41"/>
        <v>0</v>
      </c>
      <c r="CD38" s="136">
        <f t="shared" si="42"/>
        <v>0</v>
      </c>
      <c r="CE38" s="131">
        <f t="shared" si="102"/>
        <v>0</v>
      </c>
      <c r="CF38" s="136">
        <f t="shared" si="43"/>
        <v>0</v>
      </c>
      <c r="CG38" s="136"/>
      <c r="CH38" s="136">
        <f t="shared" si="101"/>
        <v>0</v>
      </c>
      <c r="CI38" s="131">
        <f t="shared" si="44"/>
        <v>0</v>
      </c>
      <c r="CJ38" s="131"/>
      <c r="CK38" s="136">
        <f t="shared" si="45"/>
        <v>0</v>
      </c>
      <c r="CL38" s="136">
        <f t="shared" si="46"/>
        <v>0</v>
      </c>
      <c r="CM38" s="131">
        <f t="shared" si="47"/>
        <v>0</v>
      </c>
      <c r="CN38" s="136">
        <f t="shared" si="48"/>
        <v>0</v>
      </c>
      <c r="CO38" s="136">
        <f t="shared" si="49"/>
        <v>0</v>
      </c>
      <c r="CP38" s="136">
        <f t="shared" si="50"/>
        <v>0</v>
      </c>
      <c r="CQ38" s="136"/>
      <c r="CR38" s="136">
        <f t="shared" si="51"/>
        <v>0</v>
      </c>
      <c r="CS38" s="136"/>
      <c r="CT38" s="136"/>
      <c r="CU38" s="136"/>
      <c r="CV38" s="136"/>
      <c r="CW38" s="136"/>
      <c r="CX38" s="136"/>
      <c r="CY38" s="136"/>
      <c r="CZ38" s="136">
        <f t="shared" si="52"/>
        <v>0</v>
      </c>
      <c r="DA38" s="136">
        <f t="shared" si="53"/>
        <v>0</v>
      </c>
      <c r="DB38" s="136">
        <f t="shared" si="54"/>
        <v>0</v>
      </c>
      <c r="DC38" s="131">
        <f t="shared" si="13"/>
        <v>0</v>
      </c>
      <c r="DD38" s="131">
        <f t="shared" si="55"/>
        <v>0</v>
      </c>
      <c r="DE38" s="131">
        <f t="shared" si="56"/>
        <v>0</v>
      </c>
      <c r="DF38" s="131">
        <f t="shared" si="57"/>
        <v>0</v>
      </c>
      <c r="DG38" s="131">
        <f t="shared" si="58"/>
        <v>0</v>
      </c>
      <c r="DH38" s="131"/>
      <c r="DI38" s="131"/>
      <c r="DJ38" s="131"/>
      <c r="DK38" s="137">
        <f t="shared" si="99"/>
        <v>3791.5811116017489</v>
      </c>
      <c r="DL38" s="227" t="e">
        <f t="shared" si="59"/>
        <v>#REF!</v>
      </c>
      <c r="DM38" s="227" t="e">
        <f t="shared" si="60"/>
        <v>#REF!</v>
      </c>
      <c r="DN38" s="228" t="e">
        <f t="shared" si="14"/>
        <v>#REF!</v>
      </c>
      <c r="DO38" s="228">
        <f t="shared" si="61"/>
        <v>181.81087083894022</v>
      </c>
      <c r="DP38" s="228" t="e">
        <f t="shared" si="62"/>
        <v>#REF!</v>
      </c>
      <c r="DQ38" s="228" t="e">
        <f t="shared" si="63"/>
        <v>#REF!</v>
      </c>
    </row>
    <row r="39" spans="1:121">
      <c r="A39" s="132">
        <f t="shared" si="15"/>
        <v>29</v>
      </c>
      <c r="B39" s="18">
        <f t="shared" si="64"/>
        <v>29</v>
      </c>
      <c r="C39" s="18">
        <f>IF(A39=0," ",VLOOKUP(B39,'tosafot '!$A$7:$B$234,2,0))</f>
        <v>5.2009999999999996</v>
      </c>
      <c r="D39" s="220">
        <f t="shared" si="65"/>
        <v>228</v>
      </c>
      <c r="E39" s="130">
        <f t="shared" si="66"/>
        <v>12.2026</v>
      </c>
      <c r="F39" s="126">
        <f t="shared" si="67"/>
        <v>9</v>
      </c>
      <c r="G39" s="18" t="str">
        <f t="shared" si="68"/>
        <v>הבריאות</v>
      </c>
      <c r="H39" s="189">
        <f t="shared" si="69"/>
        <v>107</v>
      </c>
      <c r="I39" s="18">
        <f t="shared" si="70"/>
        <v>1</v>
      </c>
      <c r="J39" s="18" t="str">
        <f t="shared" si="71"/>
        <v>מינהלי - עובדי מדינה</v>
      </c>
      <c r="K39" s="189">
        <f t="shared" si="72"/>
        <v>1</v>
      </c>
      <c r="L39" s="18">
        <f t="shared" si="73"/>
        <v>12</v>
      </c>
      <c r="M39" s="129" t="str">
        <f t="shared" si="74"/>
        <v>17+</v>
      </c>
      <c r="N39" s="189"/>
      <c r="O39" s="132">
        <f t="shared" si="75"/>
        <v>1012</v>
      </c>
      <c r="P39" s="127">
        <f t="shared" si="76"/>
        <v>37</v>
      </c>
      <c r="Q39" s="127">
        <f t="shared" si="77"/>
        <v>22.75</v>
      </c>
      <c r="R39" s="128">
        <f t="shared" si="78"/>
        <v>92</v>
      </c>
      <c r="S39" s="130">
        <f t="shared" si="79"/>
        <v>1.2540512286990533</v>
      </c>
      <c r="T39" s="135">
        <f t="shared" si="16"/>
        <v>0</v>
      </c>
      <c r="U39" s="127">
        <f t="shared" si="17"/>
        <v>0</v>
      </c>
      <c r="V39" s="217">
        <v>0</v>
      </c>
      <c r="W39" s="191">
        <v>0</v>
      </c>
      <c r="X39" s="133">
        <v>0</v>
      </c>
      <c r="Y39" s="131">
        <f t="shared" si="18"/>
        <v>2438.5</v>
      </c>
      <c r="Z39" s="131">
        <f t="shared" si="19"/>
        <v>619.50392118264142</v>
      </c>
      <c r="AA39" s="242">
        <f t="shared" si="20"/>
        <v>3058.0039211826415</v>
      </c>
      <c r="AB39" s="131">
        <f t="shared" si="21"/>
        <v>0</v>
      </c>
      <c r="AC39" s="131">
        <f t="shared" si="22"/>
        <v>139.48055684730568</v>
      </c>
      <c r="AD39" s="131">
        <f t="shared" si="23"/>
        <v>0</v>
      </c>
      <c r="AE39" s="131">
        <f t="shared" si="24"/>
        <v>0</v>
      </c>
      <c r="AF39" s="131">
        <f t="shared" si="25"/>
        <v>75.260000000000005</v>
      </c>
      <c r="AG39" s="131">
        <f t="shared" si="26"/>
        <v>0</v>
      </c>
      <c r="AH39" s="131">
        <f t="shared" si="27"/>
        <v>0</v>
      </c>
      <c r="AI39" s="131">
        <f t="shared" si="28"/>
        <v>0</v>
      </c>
      <c r="AJ39" s="131">
        <f t="shared" si="29"/>
        <v>0</v>
      </c>
      <c r="AK39" s="131"/>
      <c r="AL39" s="131">
        <f t="shared" si="30"/>
        <v>0</v>
      </c>
      <c r="AM39" s="131"/>
      <c r="AN39" s="243">
        <f t="shared" si="31"/>
        <v>0</v>
      </c>
      <c r="AO39" s="131">
        <f t="shared" si="32"/>
        <v>0</v>
      </c>
      <c r="AP39" s="131">
        <f t="shared" si="33"/>
        <v>0</v>
      </c>
      <c r="AQ39" s="131"/>
      <c r="AR39" s="131">
        <f t="shared" si="34"/>
        <v>0</v>
      </c>
      <c r="AS39" s="131">
        <f t="shared" si="82"/>
        <v>0</v>
      </c>
      <c r="AT39" s="131">
        <f t="shared" si="35"/>
        <v>0</v>
      </c>
      <c r="AU39" s="131">
        <f t="shared" si="36"/>
        <v>0</v>
      </c>
      <c r="AV39" s="131"/>
      <c r="AW39" s="131">
        <f t="shared" si="37"/>
        <v>353.75</v>
      </c>
      <c r="AX39" s="131">
        <f t="shared" si="103"/>
        <v>0</v>
      </c>
      <c r="AY39" s="131">
        <f t="shared" si="38"/>
        <v>0</v>
      </c>
      <c r="AZ39" s="131"/>
      <c r="BA39" s="131">
        <f t="shared" si="104"/>
        <v>0</v>
      </c>
      <c r="BB39" s="131"/>
      <c r="BC39" s="131"/>
      <c r="BD39" s="131">
        <f t="shared" si="39"/>
        <v>0</v>
      </c>
      <c r="BE39" s="131"/>
      <c r="BF39" s="131">
        <f t="shared" si="89"/>
        <v>0</v>
      </c>
      <c r="BG39" s="131">
        <f t="shared" si="90"/>
        <v>0</v>
      </c>
      <c r="BH39" s="131"/>
      <c r="BI39" s="131"/>
      <c r="BJ39" s="131"/>
      <c r="BK39" s="131">
        <f t="shared" si="92"/>
        <v>0</v>
      </c>
      <c r="BL39" s="131"/>
      <c r="BM39" s="131"/>
      <c r="BN39" s="131">
        <f t="shared" si="93"/>
        <v>0</v>
      </c>
      <c r="BO39" s="131"/>
      <c r="BP39" s="131">
        <f t="shared" si="94"/>
        <v>0</v>
      </c>
      <c r="BQ39" s="131"/>
      <c r="BR39" s="131"/>
      <c r="BS39" s="131"/>
      <c r="BT39" s="131"/>
      <c r="BU39" s="131"/>
      <c r="BV39" s="131">
        <f t="shared" si="95"/>
        <v>0</v>
      </c>
      <c r="BW39" s="131"/>
      <c r="BX39" s="131"/>
      <c r="BY39" s="131"/>
      <c r="BZ39" s="131">
        <f t="shared" si="98"/>
        <v>0</v>
      </c>
      <c r="CA39" s="131"/>
      <c r="CB39" s="136">
        <f t="shared" si="40"/>
        <v>165.08663357180151</v>
      </c>
      <c r="CC39" s="131">
        <f t="shared" si="41"/>
        <v>0</v>
      </c>
      <c r="CD39" s="136">
        <f t="shared" si="42"/>
        <v>0</v>
      </c>
      <c r="CE39" s="131">
        <f t="shared" si="102"/>
        <v>0</v>
      </c>
      <c r="CF39" s="136">
        <f t="shared" si="43"/>
        <v>0</v>
      </c>
      <c r="CG39" s="136"/>
      <c r="CH39" s="136">
        <f t="shared" si="101"/>
        <v>0</v>
      </c>
      <c r="CI39" s="131">
        <f t="shared" si="44"/>
        <v>0</v>
      </c>
      <c r="CJ39" s="131"/>
      <c r="CK39" s="136">
        <f t="shared" si="45"/>
        <v>0</v>
      </c>
      <c r="CL39" s="136">
        <f t="shared" si="46"/>
        <v>0</v>
      </c>
      <c r="CM39" s="131">
        <f t="shared" si="47"/>
        <v>0</v>
      </c>
      <c r="CN39" s="136">
        <f t="shared" si="48"/>
        <v>0</v>
      </c>
      <c r="CO39" s="136">
        <f t="shared" si="49"/>
        <v>0</v>
      </c>
      <c r="CP39" s="136">
        <f t="shared" si="50"/>
        <v>0</v>
      </c>
      <c r="CQ39" s="136"/>
      <c r="CR39" s="136">
        <f t="shared" si="51"/>
        <v>0</v>
      </c>
      <c r="CS39" s="136"/>
      <c r="CT39" s="136"/>
      <c r="CU39" s="136"/>
      <c r="CV39" s="136"/>
      <c r="CW39" s="136"/>
      <c r="CX39" s="136"/>
      <c r="CY39" s="136"/>
      <c r="CZ39" s="136">
        <f t="shared" si="52"/>
        <v>0</v>
      </c>
      <c r="DA39" s="136">
        <f t="shared" si="53"/>
        <v>0</v>
      </c>
      <c r="DB39" s="136">
        <f t="shared" si="54"/>
        <v>0</v>
      </c>
      <c r="DC39" s="131">
        <f t="shared" si="13"/>
        <v>0</v>
      </c>
      <c r="DD39" s="131">
        <f t="shared" si="55"/>
        <v>0</v>
      </c>
      <c r="DE39" s="131">
        <f t="shared" si="56"/>
        <v>0</v>
      </c>
      <c r="DF39" s="131">
        <f t="shared" si="57"/>
        <v>0</v>
      </c>
      <c r="DG39" s="131">
        <f t="shared" si="58"/>
        <v>0</v>
      </c>
      <c r="DH39" s="131"/>
      <c r="DI39" s="131"/>
      <c r="DJ39" s="131"/>
      <c r="DK39" s="137">
        <f t="shared" si="99"/>
        <v>3791.5811116017489</v>
      </c>
      <c r="DL39" s="227" t="e">
        <f t="shared" si="59"/>
        <v>#REF!</v>
      </c>
      <c r="DM39" s="227" t="e">
        <f t="shared" si="60"/>
        <v>#REF!</v>
      </c>
      <c r="DN39" s="228" t="e">
        <f t="shared" si="14"/>
        <v>#REF!</v>
      </c>
      <c r="DO39" s="228">
        <f t="shared" si="61"/>
        <v>181.81087083894022</v>
      </c>
      <c r="DP39" s="228" t="e">
        <f t="shared" si="62"/>
        <v>#REF!</v>
      </c>
      <c r="DQ39" s="228" t="e">
        <f t="shared" si="63"/>
        <v>#REF!</v>
      </c>
    </row>
    <row r="40" spans="1:121">
      <c r="A40" s="132">
        <f t="shared" si="15"/>
        <v>30</v>
      </c>
      <c r="B40" s="18">
        <f t="shared" si="64"/>
        <v>30</v>
      </c>
      <c r="C40" s="18">
        <f>IF(A40=0," ",VLOOKUP(B40,'tosafot '!$A$7:$B$234,2,0))</f>
        <v>6.2009999999999996</v>
      </c>
      <c r="D40" s="220">
        <f t="shared" si="65"/>
        <v>228</v>
      </c>
      <c r="E40" s="130">
        <f t="shared" si="66"/>
        <v>12.2026</v>
      </c>
      <c r="F40" s="126">
        <f t="shared" si="67"/>
        <v>9</v>
      </c>
      <c r="G40" s="18" t="str">
        <f t="shared" si="68"/>
        <v>הבריאות</v>
      </c>
      <c r="H40" s="189">
        <f t="shared" si="69"/>
        <v>107</v>
      </c>
      <c r="I40" s="18">
        <f t="shared" si="70"/>
        <v>1</v>
      </c>
      <c r="J40" s="18" t="str">
        <f t="shared" si="71"/>
        <v>מינהלי - עובדי מדינה</v>
      </c>
      <c r="K40" s="189">
        <f t="shared" si="72"/>
        <v>1</v>
      </c>
      <c r="L40" s="18">
        <f t="shared" si="73"/>
        <v>12</v>
      </c>
      <c r="M40" s="129" t="str">
        <f t="shared" si="74"/>
        <v>17+</v>
      </c>
      <c r="N40" s="189"/>
      <c r="O40" s="132">
        <f t="shared" si="75"/>
        <v>1012</v>
      </c>
      <c r="P40" s="127">
        <f t="shared" si="76"/>
        <v>37</v>
      </c>
      <c r="Q40" s="127">
        <f t="shared" si="77"/>
        <v>22.75</v>
      </c>
      <c r="R40" s="128">
        <f t="shared" si="78"/>
        <v>92</v>
      </c>
      <c r="S40" s="130">
        <f t="shared" si="79"/>
        <v>1.2540512286990533</v>
      </c>
      <c r="T40" s="135">
        <f t="shared" si="16"/>
        <v>0</v>
      </c>
      <c r="U40" s="127">
        <f t="shared" si="17"/>
        <v>0</v>
      </c>
      <c r="V40" s="217">
        <v>0</v>
      </c>
      <c r="W40" s="191">
        <v>0</v>
      </c>
      <c r="X40" s="133">
        <v>0</v>
      </c>
      <c r="Y40" s="131">
        <f t="shared" si="18"/>
        <v>2438.5</v>
      </c>
      <c r="Z40" s="131">
        <f t="shared" si="19"/>
        <v>619.50392118264142</v>
      </c>
      <c r="AA40" s="242">
        <f t="shared" si="20"/>
        <v>3058.0039211826415</v>
      </c>
      <c r="AB40" s="131">
        <f t="shared" si="21"/>
        <v>0</v>
      </c>
      <c r="AC40" s="131">
        <f t="shared" si="22"/>
        <v>139.48055684730568</v>
      </c>
      <c r="AD40" s="131">
        <f t="shared" si="23"/>
        <v>0</v>
      </c>
      <c r="AE40" s="131">
        <f t="shared" si="24"/>
        <v>0</v>
      </c>
      <c r="AF40" s="131">
        <f t="shared" si="25"/>
        <v>75.260000000000005</v>
      </c>
      <c r="AG40" s="131">
        <f t="shared" si="26"/>
        <v>0</v>
      </c>
      <c r="AH40" s="131">
        <f t="shared" si="27"/>
        <v>0</v>
      </c>
      <c r="AI40" s="131">
        <f t="shared" si="28"/>
        <v>0</v>
      </c>
      <c r="AJ40" s="131">
        <f t="shared" si="29"/>
        <v>0</v>
      </c>
      <c r="AK40" s="131"/>
      <c r="AL40" s="131">
        <f t="shared" si="30"/>
        <v>0</v>
      </c>
      <c r="AM40" s="131"/>
      <c r="AN40" s="243">
        <f t="shared" si="31"/>
        <v>0</v>
      </c>
      <c r="AO40" s="131">
        <f t="shared" si="32"/>
        <v>0</v>
      </c>
      <c r="AP40" s="131">
        <f t="shared" si="33"/>
        <v>0</v>
      </c>
      <c r="AQ40" s="131"/>
      <c r="AR40" s="131">
        <f t="shared" si="34"/>
        <v>0</v>
      </c>
      <c r="AS40" s="131">
        <f t="shared" si="82"/>
        <v>0</v>
      </c>
      <c r="AT40" s="131">
        <f t="shared" si="35"/>
        <v>0</v>
      </c>
      <c r="AU40" s="131">
        <f t="shared" si="36"/>
        <v>0</v>
      </c>
      <c r="AV40" s="131"/>
      <c r="AW40" s="131">
        <f t="shared" si="37"/>
        <v>353.75</v>
      </c>
      <c r="AX40" s="131">
        <f t="shared" si="103"/>
        <v>0</v>
      </c>
      <c r="AY40" s="131">
        <f t="shared" si="38"/>
        <v>0</v>
      </c>
      <c r="AZ40" s="131"/>
      <c r="BA40" s="131">
        <f t="shared" si="104"/>
        <v>0</v>
      </c>
      <c r="BB40" s="131"/>
      <c r="BC40" s="131"/>
      <c r="BD40" s="131">
        <f t="shared" si="39"/>
        <v>0</v>
      </c>
      <c r="BE40" s="131"/>
      <c r="BF40" s="131">
        <f t="shared" si="89"/>
        <v>0</v>
      </c>
      <c r="BG40" s="131">
        <f t="shared" si="90"/>
        <v>0</v>
      </c>
      <c r="BH40" s="131"/>
      <c r="BI40" s="131"/>
      <c r="BJ40" s="131"/>
      <c r="BK40" s="131">
        <f t="shared" si="92"/>
        <v>0</v>
      </c>
      <c r="BL40" s="131"/>
      <c r="BM40" s="131"/>
      <c r="BN40" s="131">
        <f t="shared" si="93"/>
        <v>0</v>
      </c>
      <c r="BO40" s="131"/>
      <c r="BP40" s="131">
        <f t="shared" si="94"/>
        <v>0</v>
      </c>
      <c r="BQ40" s="131"/>
      <c r="BR40" s="131"/>
      <c r="BS40" s="131"/>
      <c r="BT40" s="131"/>
      <c r="BU40" s="131"/>
      <c r="BV40" s="131">
        <f t="shared" si="95"/>
        <v>0</v>
      </c>
      <c r="BW40" s="131"/>
      <c r="BX40" s="131"/>
      <c r="BY40" s="131"/>
      <c r="BZ40" s="131">
        <f t="shared" si="98"/>
        <v>0</v>
      </c>
      <c r="CA40" s="131"/>
      <c r="CB40" s="136">
        <f t="shared" si="40"/>
        <v>165.08663357180151</v>
      </c>
      <c r="CC40" s="131">
        <f t="shared" si="41"/>
        <v>0</v>
      </c>
      <c r="CD40" s="136">
        <f t="shared" si="42"/>
        <v>0</v>
      </c>
      <c r="CE40" s="131">
        <f t="shared" si="102"/>
        <v>0</v>
      </c>
      <c r="CF40" s="136">
        <f t="shared" si="43"/>
        <v>0</v>
      </c>
      <c r="CG40" s="136"/>
      <c r="CH40" s="136">
        <f t="shared" si="101"/>
        <v>0</v>
      </c>
      <c r="CI40" s="131">
        <f t="shared" si="44"/>
        <v>0</v>
      </c>
      <c r="CJ40" s="131"/>
      <c r="CK40" s="136">
        <f t="shared" si="45"/>
        <v>0</v>
      </c>
      <c r="CL40" s="136">
        <f t="shared" si="46"/>
        <v>0</v>
      </c>
      <c r="CM40" s="131">
        <f t="shared" si="47"/>
        <v>0</v>
      </c>
      <c r="CN40" s="136">
        <f t="shared" si="48"/>
        <v>0</v>
      </c>
      <c r="CO40" s="136">
        <f t="shared" si="49"/>
        <v>0</v>
      </c>
      <c r="CP40" s="136">
        <f t="shared" si="50"/>
        <v>0</v>
      </c>
      <c r="CQ40" s="136"/>
      <c r="CR40" s="136">
        <f t="shared" si="51"/>
        <v>0</v>
      </c>
      <c r="CS40" s="136"/>
      <c r="CT40" s="136"/>
      <c r="CU40" s="136"/>
      <c r="CV40" s="136"/>
      <c r="CW40" s="136"/>
      <c r="CX40" s="136"/>
      <c r="CY40" s="136"/>
      <c r="CZ40" s="136">
        <f t="shared" si="52"/>
        <v>0</v>
      </c>
      <c r="DA40" s="136">
        <f t="shared" si="53"/>
        <v>0</v>
      </c>
      <c r="DB40" s="136">
        <f t="shared" si="54"/>
        <v>0</v>
      </c>
      <c r="DC40" s="131">
        <f t="shared" si="13"/>
        <v>0</v>
      </c>
      <c r="DD40" s="131">
        <f t="shared" si="55"/>
        <v>0</v>
      </c>
      <c r="DE40" s="131">
        <f t="shared" si="56"/>
        <v>0</v>
      </c>
      <c r="DF40" s="131">
        <f t="shared" si="57"/>
        <v>0</v>
      </c>
      <c r="DG40" s="131">
        <f t="shared" si="58"/>
        <v>0</v>
      </c>
      <c r="DH40" s="131"/>
      <c r="DI40" s="131"/>
      <c r="DJ40" s="131"/>
      <c r="DK40" s="137">
        <f t="shared" si="99"/>
        <v>3791.5811116017489</v>
      </c>
      <c r="DL40" s="227" t="e">
        <f t="shared" si="59"/>
        <v>#REF!</v>
      </c>
      <c r="DM40" s="227" t="e">
        <f t="shared" si="60"/>
        <v>#REF!</v>
      </c>
      <c r="DN40" s="228" t="e">
        <f t="shared" si="14"/>
        <v>#REF!</v>
      </c>
      <c r="DO40" s="228">
        <f t="shared" si="61"/>
        <v>181.81087083894022</v>
      </c>
      <c r="DP40" s="228" t="e">
        <f t="shared" si="62"/>
        <v>#REF!</v>
      </c>
      <c r="DQ40" s="228" t="e">
        <f t="shared" si="63"/>
        <v>#REF!</v>
      </c>
    </row>
    <row r="41" spans="1:121">
      <c r="A41" s="132">
        <f t="shared" si="15"/>
        <v>31</v>
      </c>
      <c r="B41" s="18">
        <f t="shared" si="64"/>
        <v>31</v>
      </c>
      <c r="C41" s="18">
        <f>IF(A41=0," ",VLOOKUP(B41,'tosafot '!$A$7:$B$234,2,0))</f>
        <v>7.2009999999999996</v>
      </c>
      <c r="D41" s="220">
        <f t="shared" si="65"/>
        <v>228</v>
      </c>
      <c r="E41" s="130">
        <f t="shared" si="66"/>
        <v>12.2026</v>
      </c>
      <c r="F41" s="126">
        <f t="shared" si="67"/>
        <v>9</v>
      </c>
      <c r="G41" s="18" t="str">
        <f t="shared" si="68"/>
        <v>הבריאות</v>
      </c>
      <c r="H41" s="189">
        <f t="shared" si="69"/>
        <v>107</v>
      </c>
      <c r="I41" s="18">
        <f t="shared" si="70"/>
        <v>1</v>
      </c>
      <c r="J41" s="18" t="str">
        <f t="shared" si="71"/>
        <v>מינהלי - עובדי מדינה</v>
      </c>
      <c r="K41" s="189">
        <f t="shared" si="72"/>
        <v>1</v>
      </c>
      <c r="L41" s="18">
        <f t="shared" si="73"/>
        <v>12</v>
      </c>
      <c r="M41" s="129" t="str">
        <f t="shared" si="74"/>
        <v>17+</v>
      </c>
      <c r="N41" s="189"/>
      <c r="O41" s="132">
        <f t="shared" si="75"/>
        <v>1012</v>
      </c>
      <c r="P41" s="127">
        <f t="shared" si="76"/>
        <v>37</v>
      </c>
      <c r="Q41" s="127">
        <f t="shared" si="77"/>
        <v>22.75</v>
      </c>
      <c r="R41" s="128">
        <f t="shared" si="78"/>
        <v>92</v>
      </c>
      <c r="S41" s="130">
        <f t="shared" si="79"/>
        <v>1.2540512286990533</v>
      </c>
      <c r="T41" s="135">
        <f t="shared" si="16"/>
        <v>0</v>
      </c>
      <c r="U41" s="127">
        <f t="shared" si="17"/>
        <v>0</v>
      </c>
      <c r="V41" s="217">
        <v>0</v>
      </c>
      <c r="W41" s="191">
        <v>0</v>
      </c>
      <c r="X41" s="133">
        <v>0</v>
      </c>
      <c r="Y41" s="131">
        <f t="shared" si="18"/>
        <v>2438.5</v>
      </c>
      <c r="Z41" s="131">
        <f t="shared" si="19"/>
        <v>619.50392118264142</v>
      </c>
      <c r="AA41" s="242">
        <f t="shared" si="20"/>
        <v>3058.0039211826415</v>
      </c>
      <c r="AB41" s="131">
        <f t="shared" si="21"/>
        <v>0</v>
      </c>
      <c r="AC41" s="131">
        <f t="shared" si="22"/>
        <v>139.48055684730568</v>
      </c>
      <c r="AD41" s="131">
        <f t="shared" si="23"/>
        <v>0</v>
      </c>
      <c r="AE41" s="131">
        <f t="shared" si="24"/>
        <v>0</v>
      </c>
      <c r="AF41" s="131">
        <f t="shared" si="25"/>
        <v>75.260000000000005</v>
      </c>
      <c r="AG41" s="131">
        <f t="shared" si="26"/>
        <v>0</v>
      </c>
      <c r="AH41" s="131">
        <f t="shared" si="27"/>
        <v>0</v>
      </c>
      <c r="AI41" s="131">
        <f t="shared" si="28"/>
        <v>0</v>
      </c>
      <c r="AJ41" s="131">
        <f t="shared" si="29"/>
        <v>0</v>
      </c>
      <c r="AK41" s="131"/>
      <c r="AL41" s="131">
        <f t="shared" si="30"/>
        <v>0</v>
      </c>
      <c r="AM41" s="131"/>
      <c r="AN41" s="243">
        <f t="shared" si="31"/>
        <v>0</v>
      </c>
      <c r="AO41" s="131">
        <f t="shared" si="32"/>
        <v>0</v>
      </c>
      <c r="AP41" s="131">
        <f t="shared" si="33"/>
        <v>0</v>
      </c>
      <c r="AQ41" s="131"/>
      <c r="AR41" s="131">
        <f t="shared" si="34"/>
        <v>0</v>
      </c>
      <c r="AS41" s="131">
        <f t="shared" si="82"/>
        <v>0</v>
      </c>
      <c r="AT41" s="131">
        <f t="shared" si="35"/>
        <v>0</v>
      </c>
      <c r="AU41" s="131">
        <f t="shared" si="36"/>
        <v>0</v>
      </c>
      <c r="AV41" s="131"/>
      <c r="AW41" s="131">
        <f t="shared" si="37"/>
        <v>353.75</v>
      </c>
      <c r="AX41" s="131">
        <f t="shared" si="103"/>
        <v>0</v>
      </c>
      <c r="AY41" s="131">
        <f t="shared" si="38"/>
        <v>0</v>
      </c>
      <c r="AZ41" s="131"/>
      <c r="BA41" s="131">
        <f t="shared" si="104"/>
        <v>0</v>
      </c>
      <c r="BB41" s="131"/>
      <c r="BC41" s="131"/>
      <c r="BD41" s="131">
        <f t="shared" si="39"/>
        <v>0</v>
      </c>
      <c r="BE41" s="131"/>
      <c r="BF41" s="131">
        <f t="shared" si="89"/>
        <v>0</v>
      </c>
      <c r="BG41" s="131">
        <f t="shared" si="90"/>
        <v>0</v>
      </c>
      <c r="BH41" s="131"/>
      <c r="BI41" s="131"/>
      <c r="BJ41" s="131"/>
      <c r="BK41" s="131">
        <f t="shared" si="92"/>
        <v>0</v>
      </c>
      <c r="BL41" s="131"/>
      <c r="BM41" s="131"/>
      <c r="BN41" s="131">
        <f t="shared" si="93"/>
        <v>0</v>
      </c>
      <c r="BO41" s="131"/>
      <c r="BP41" s="131">
        <f t="shared" si="94"/>
        <v>0</v>
      </c>
      <c r="BQ41" s="131"/>
      <c r="BR41" s="131"/>
      <c r="BS41" s="131"/>
      <c r="BT41" s="131"/>
      <c r="BU41" s="131"/>
      <c r="BV41" s="131">
        <f t="shared" si="95"/>
        <v>0</v>
      </c>
      <c r="BW41" s="131"/>
      <c r="BX41" s="131"/>
      <c r="BY41" s="131"/>
      <c r="BZ41" s="131">
        <f t="shared" si="98"/>
        <v>0</v>
      </c>
      <c r="CA41" s="131"/>
      <c r="CB41" s="136">
        <f t="shared" si="40"/>
        <v>165.08663357180151</v>
      </c>
      <c r="CC41" s="131">
        <f t="shared" si="41"/>
        <v>0</v>
      </c>
      <c r="CD41" s="136">
        <f t="shared" si="42"/>
        <v>0</v>
      </c>
      <c r="CE41" s="131">
        <f t="shared" si="102"/>
        <v>0</v>
      </c>
      <c r="CF41" s="136">
        <f t="shared" si="43"/>
        <v>0</v>
      </c>
      <c r="CG41" s="136"/>
      <c r="CH41" s="136">
        <f t="shared" si="101"/>
        <v>0</v>
      </c>
      <c r="CI41" s="131">
        <f t="shared" si="44"/>
        <v>0</v>
      </c>
      <c r="CJ41" s="131"/>
      <c r="CK41" s="136">
        <f t="shared" si="45"/>
        <v>0</v>
      </c>
      <c r="CL41" s="136">
        <f t="shared" si="46"/>
        <v>0</v>
      </c>
      <c r="CM41" s="131">
        <f t="shared" si="47"/>
        <v>0</v>
      </c>
      <c r="CN41" s="136">
        <f t="shared" si="48"/>
        <v>0</v>
      </c>
      <c r="CO41" s="136">
        <f t="shared" si="49"/>
        <v>0</v>
      </c>
      <c r="CP41" s="136">
        <f t="shared" si="50"/>
        <v>0</v>
      </c>
      <c r="CQ41" s="136"/>
      <c r="CR41" s="136">
        <f t="shared" si="51"/>
        <v>0</v>
      </c>
      <c r="CS41" s="136"/>
      <c r="CT41" s="136"/>
      <c r="CU41" s="136"/>
      <c r="CV41" s="136"/>
      <c r="CW41" s="136"/>
      <c r="CX41" s="136"/>
      <c r="CY41" s="136"/>
      <c r="CZ41" s="136">
        <f t="shared" si="52"/>
        <v>0</v>
      </c>
      <c r="DA41" s="136">
        <f t="shared" si="53"/>
        <v>0</v>
      </c>
      <c r="DB41" s="136">
        <f t="shared" si="54"/>
        <v>0</v>
      </c>
      <c r="DC41" s="131">
        <f t="shared" si="13"/>
        <v>0</v>
      </c>
      <c r="DD41" s="131">
        <f t="shared" si="55"/>
        <v>0</v>
      </c>
      <c r="DE41" s="131">
        <f t="shared" si="56"/>
        <v>0</v>
      </c>
      <c r="DF41" s="131">
        <f t="shared" si="57"/>
        <v>0</v>
      </c>
      <c r="DG41" s="131">
        <f t="shared" si="58"/>
        <v>0</v>
      </c>
      <c r="DH41" s="131"/>
      <c r="DI41" s="131"/>
      <c r="DJ41" s="131"/>
      <c r="DK41" s="137">
        <f t="shared" si="99"/>
        <v>3791.5811116017489</v>
      </c>
      <c r="DL41" s="227" t="e">
        <f t="shared" si="59"/>
        <v>#REF!</v>
      </c>
      <c r="DM41" s="227" t="e">
        <f t="shared" si="60"/>
        <v>#REF!</v>
      </c>
      <c r="DN41" s="228" t="e">
        <f t="shared" si="14"/>
        <v>#REF!</v>
      </c>
      <c r="DO41" s="228">
        <f t="shared" si="61"/>
        <v>181.81087083894022</v>
      </c>
      <c r="DP41" s="228" t="e">
        <f t="shared" si="62"/>
        <v>#REF!</v>
      </c>
      <c r="DQ41" s="228" t="e">
        <f t="shared" si="63"/>
        <v>#REF!</v>
      </c>
    </row>
    <row r="42" spans="1:121">
      <c r="A42" s="132">
        <f t="shared" si="15"/>
        <v>32</v>
      </c>
      <c r="B42" s="18">
        <f t="shared" si="64"/>
        <v>32</v>
      </c>
      <c r="C42" s="18">
        <f>IF(A42=0," ",VLOOKUP(B42,'tosafot '!$A$7:$B$234,2,0))</f>
        <v>8.2010000000000005</v>
      </c>
      <c r="D42" s="220">
        <f t="shared" si="65"/>
        <v>228</v>
      </c>
      <c r="E42" s="130">
        <f t="shared" si="66"/>
        <v>12.2026</v>
      </c>
      <c r="F42" s="126">
        <f t="shared" si="67"/>
        <v>9</v>
      </c>
      <c r="G42" s="18" t="str">
        <f t="shared" si="68"/>
        <v>הבריאות</v>
      </c>
      <c r="H42" s="189">
        <f t="shared" si="69"/>
        <v>107</v>
      </c>
      <c r="I42" s="18">
        <f t="shared" si="70"/>
        <v>1</v>
      </c>
      <c r="J42" s="18" t="str">
        <f t="shared" si="71"/>
        <v>מינהלי - עובדי מדינה</v>
      </c>
      <c r="K42" s="189">
        <f t="shared" si="72"/>
        <v>1</v>
      </c>
      <c r="L42" s="18">
        <f t="shared" si="73"/>
        <v>12</v>
      </c>
      <c r="M42" s="129" t="str">
        <f t="shared" si="74"/>
        <v>17+</v>
      </c>
      <c r="N42" s="189"/>
      <c r="O42" s="132">
        <f t="shared" si="75"/>
        <v>1012</v>
      </c>
      <c r="P42" s="127">
        <f t="shared" si="76"/>
        <v>37</v>
      </c>
      <c r="Q42" s="127">
        <f t="shared" si="77"/>
        <v>22.75</v>
      </c>
      <c r="R42" s="128">
        <f t="shared" si="78"/>
        <v>92</v>
      </c>
      <c r="S42" s="130">
        <f t="shared" si="79"/>
        <v>1.2540512286990533</v>
      </c>
      <c r="T42" s="135">
        <f t="shared" si="16"/>
        <v>0</v>
      </c>
      <c r="U42" s="127">
        <f t="shared" si="17"/>
        <v>0</v>
      </c>
      <c r="V42" s="217">
        <v>0</v>
      </c>
      <c r="W42" s="191">
        <v>0</v>
      </c>
      <c r="X42" s="133">
        <v>0</v>
      </c>
      <c r="Y42" s="131">
        <f t="shared" si="18"/>
        <v>2438.5</v>
      </c>
      <c r="Z42" s="131">
        <f t="shared" si="19"/>
        <v>619.50392118264142</v>
      </c>
      <c r="AA42" s="242">
        <f t="shared" si="20"/>
        <v>3058.0039211826415</v>
      </c>
      <c r="AB42" s="131">
        <f t="shared" si="21"/>
        <v>0</v>
      </c>
      <c r="AC42" s="131">
        <f t="shared" si="22"/>
        <v>139.48055684730568</v>
      </c>
      <c r="AD42" s="131">
        <f t="shared" si="23"/>
        <v>0</v>
      </c>
      <c r="AE42" s="131">
        <f t="shared" si="24"/>
        <v>0</v>
      </c>
      <c r="AF42" s="131">
        <f t="shared" si="25"/>
        <v>75.260000000000005</v>
      </c>
      <c r="AG42" s="131">
        <f t="shared" si="26"/>
        <v>0</v>
      </c>
      <c r="AH42" s="131">
        <f t="shared" si="27"/>
        <v>0</v>
      </c>
      <c r="AI42" s="131">
        <f t="shared" si="28"/>
        <v>0</v>
      </c>
      <c r="AJ42" s="131">
        <f t="shared" si="29"/>
        <v>0</v>
      </c>
      <c r="AK42" s="131"/>
      <c r="AL42" s="131">
        <f t="shared" si="30"/>
        <v>0</v>
      </c>
      <c r="AM42" s="131"/>
      <c r="AN42" s="243">
        <f t="shared" si="31"/>
        <v>0</v>
      </c>
      <c r="AO42" s="131">
        <f t="shared" si="32"/>
        <v>0</v>
      </c>
      <c r="AP42" s="131">
        <f t="shared" si="33"/>
        <v>0</v>
      </c>
      <c r="AQ42" s="131"/>
      <c r="AR42" s="131">
        <f t="shared" si="34"/>
        <v>0</v>
      </c>
      <c r="AS42" s="131">
        <f t="shared" si="82"/>
        <v>0</v>
      </c>
      <c r="AT42" s="131">
        <f t="shared" si="35"/>
        <v>0</v>
      </c>
      <c r="AU42" s="131">
        <f t="shared" si="36"/>
        <v>0</v>
      </c>
      <c r="AV42" s="131"/>
      <c r="AW42" s="131">
        <f t="shared" si="37"/>
        <v>353.75</v>
      </c>
      <c r="AX42" s="131">
        <f t="shared" si="103"/>
        <v>0</v>
      </c>
      <c r="AY42" s="131">
        <f t="shared" si="38"/>
        <v>0</v>
      </c>
      <c r="AZ42" s="131"/>
      <c r="BA42" s="131">
        <f t="shared" si="104"/>
        <v>0</v>
      </c>
      <c r="BB42" s="131"/>
      <c r="BC42" s="131"/>
      <c r="BD42" s="131">
        <f t="shared" si="39"/>
        <v>0</v>
      </c>
      <c r="BE42" s="131"/>
      <c r="BF42" s="131">
        <f t="shared" si="89"/>
        <v>0</v>
      </c>
      <c r="BG42" s="131">
        <f t="shared" si="90"/>
        <v>0</v>
      </c>
      <c r="BH42" s="131"/>
      <c r="BI42" s="131"/>
      <c r="BJ42" s="131"/>
      <c r="BK42" s="131">
        <f t="shared" si="92"/>
        <v>0</v>
      </c>
      <c r="BL42" s="131"/>
      <c r="BM42" s="131"/>
      <c r="BN42" s="131">
        <f t="shared" si="93"/>
        <v>0</v>
      </c>
      <c r="BO42" s="131"/>
      <c r="BP42" s="131">
        <f t="shared" si="94"/>
        <v>0</v>
      </c>
      <c r="BQ42" s="131"/>
      <c r="BR42" s="131"/>
      <c r="BS42" s="131"/>
      <c r="BT42" s="131"/>
      <c r="BU42" s="131"/>
      <c r="BV42" s="131">
        <f t="shared" si="95"/>
        <v>0</v>
      </c>
      <c r="BW42" s="131"/>
      <c r="BX42" s="131"/>
      <c r="BY42" s="131"/>
      <c r="BZ42" s="131">
        <f t="shared" si="98"/>
        <v>0</v>
      </c>
      <c r="CA42" s="131"/>
      <c r="CB42" s="136">
        <f t="shared" si="40"/>
        <v>165.08663357180151</v>
      </c>
      <c r="CC42" s="131">
        <f t="shared" si="41"/>
        <v>0</v>
      </c>
      <c r="CD42" s="136">
        <f t="shared" si="42"/>
        <v>0</v>
      </c>
      <c r="CE42" s="131">
        <f t="shared" si="102"/>
        <v>0</v>
      </c>
      <c r="CF42" s="136">
        <f t="shared" si="43"/>
        <v>0</v>
      </c>
      <c r="CG42" s="136"/>
      <c r="CH42" s="136">
        <f t="shared" si="101"/>
        <v>0</v>
      </c>
      <c r="CI42" s="131">
        <f t="shared" si="44"/>
        <v>0</v>
      </c>
      <c r="CJ42" s="131"/>
      <c r="CK42" s="136">
        <f t="shared" si="45"/>
        <v>0</v>
      </c>
      <c r="CL42" s="136">
        <f t="shared" si="46"/>
        <v>0</v>
      </c>
      <c r="CM42" s="131">
        <f t="shared" si="47"/>
        <v>0</v>
      </c>
      <c r="CN42" s="136">
        <f t="shared" si="48"/>
        <v>0</v>
      </c>
      <c r="CO42" s="136">
        <f t="shared" si="49"/>
        <v>0</v>
      </c>
      <c r="CP42" s="136">
        <f t="shared" si="50"/>
        <v>0</v>
      </c>
      <c r="CQ42" s="136"/>
      <c r="CR42" s="136">
        <f t="shared" si="51"/>
        <v>0</v>
      </c>
      <c r="CS42" s="136"/>
      <c r="CT42" s="136"/>
      <c r="CU42" s="136"/>
      <c r="CV42" s="136"/>
      <c r="CW42" s="136"/>
      <c r="CX42" s="136"/>
      <c r="CY42" s="136"/>
      <c r="CZ42" s="136">
        <f t="shared" si="52"/>
        <v>0</v>
      </c>
      <c r="DA42" s="136">
        <f t="shared" si="53"/>
        <v>0</v>
      </c>
      <c r="DB42" s="136">
        <f t="shared" si="54"/>
        <v>0</v>
      </c>
      <c r="DC42" s="131">
        <f t="shared" si="13"/>
        <v>0</v>
      </c>
      <c r="DD42" s="131">
        <f t="shared" si="55"/>
        <v>0</v>
      </c>
      <c r="DE42" s="131">
        <f t="shared" si="56"/>
        <v>0</v>
      </c>
      <c r="DF42" s="131">
        <f t="shared" si="57"/>
        <v>0</v>
      </c>
      <c r="DG42" s="131">
        <f t="shared" si="58"/>
        <v>0</v>
      </c>
      <c r="DH42" s="131"/>
      <c r="DI42" s="131"/>
      <c r="DJ42" s="131"/>
      <c r="DK42" s="137">
        <f t="shared" si="99"/>
        <v>3791.5811116017489</v>
      </c>
      <c r="DL42" s="227" t="e">
        <f t="shared" si="59"/>
        <v>#REF!</v>
      </c>
      <c r="DM42" s="227" t="e">
        <f t="shared" si="60"/>
        <v>#REF!</v>
      </c>
      <c r="DN42" s="228" t="e">
        <f t="shared" si="14"/>
        <v>#REF!</v>
      </c>
      <c r="DO42" s="228">
        <f t="shared" si="61"/>
        <v>181.81087083894022</v>
      </c>
      <c r="DP42" s="228" t="e">
        <f t="shared" si="62"/>
        <v>#REF!</v>
      </c>
      <c r="DQ42" s="228" t="e">
        <f t="shared" si="63"/>
        <v>#REF!</v>
      </c>
    </row>
    <row r="43" spans="1:121">
      <c r="A43" s="132">
        <f t="shared" si="15"/>
        <v>33</v>
      </c>
      <c r="B43" s="18">
        <f t="shared" si="64"/>
        <v>33</v>
      </c>
      <c r="C43" s="18">
        <f>IF(A43=0," ",VLOOKUP(B43,'tosafot '!$A$7:$B$234,2,0))</f>
        <v>9.2010000000000005</v>
      </c>
      <c r="D43" s="220">
        <f t="shared" si="65"/>
        <v>228</v>
      </c>
      <c r="E43" s="130">
        <f t="shared" si="66"/>
        <v>12.2026</v>
      </c>
      <c r="F43" s="126">
        <f t="shared" si="67"/>
        <v>9</v>
      </c>
      <c r="G43" s="18" t="str">
        <f t="shared" si="68"/>
        <v>הבריאות</v>
      </c>
      <c r="H43" s="189">
        <f t="shared" si="69"/>
        <v>107</v>
      </c>
      <c r="I43" s="18">
        <f t="shared" si="70"/>
        <v>1</v>
      </c>
      <c r="J43" s="18" t="str">
        <f t="shared" si="71"/>
        <v>מינהלי - עובדי מדינה</v>
      </c>
      <c r="K43" s="189">
        <f t="shared" si="72"/>
        <v>1</v>
      </c>
      <c r="L43" s="18">
        <f t="shared" si="73"/>
        <v>12</v>
      </c>
      <c r="M43" s="129" t="str">
        <f t="shared" si="74"/>
        <v>17+</v>
      </c>
      <c r="N43" s="189"/>
      <c r="O43" s="132">
        <f t="shared" si="75"/>
        <v>1012</v>
      </c>
      <c r="P43" s="127">
        <f t="shared" si="76"/>
        <v>37</v>
      </c>
      <c r="Q43" s="127">
        <f t="shared" si="77"/>
        <v>22.75</v>
      </c>
      <c r="R43" s="128">
        <f t="shared" si="78"/>
        <v>92</v>
      </c>
      <c r="S43" s="130">
        <f t="shared" si="79"/>
        <v>1.2540512286990533</v>
      </c>
      <c r="T43" s="135">
        <f t="shared" si="16"/>
        <v>0</v>
      </c>
      <c r="U43" s="127">
        <f t="shared" si="17"/>
        <v>0</v>
      </c>
      <c r="V43" s="217">
        <v>0</v>
      </c>
      <c r="W43" s="191">
        <v>0</v>
      </c>
      <c r="X43" s="133">
        <v>0</v>
      </c>
      <c r="Y43" s="131">
        <f t="shared" si="18"/>
        <v>2438.5</v>
      </c>
      <c r="Z43" s="131">
        <f t="shared" si="19"/>
        <v>619.50392118264142</v>
      </c>
      <c r="AA43" s="242">
        <f t="shared" si="20"/>
        <v>3058.0039211826415</v>
      </c>
      <c r="AB43" s="131">
        <f t="shared" si="21"/>
        <v>0</v>
      </c>
      <c r="AC43" s="131">
        <f t="shared" si="22"/>
        <v>139.48055684730568</v>
      </c>
      <c r="AD43" s="131">
        <f t="shared" si="23"/>
        <v>0</v>
      </c>
      <c r="AE43" s="131">
        <f t="shared" si="24"/>
        <v>0</v>
      </c>
      <c r="AF43" s="131">
        <f t="shared" si="25"/>
        <v>75.260000000000005</v>
      </c>
      <c r="AG43" s="131">
        <f t="shared" si="26"/>
        <v>0</v>
      </c>
      <c r="AH43" s="131">
        <f t="shared" si="27"/>
        <v>0</v>
      </c>
      <c r="AI43" s="131">
        <f t="shared" si="28"/>
        <v>0</v>
      </c>
      <c r="AJ43" s="131">
        <f t="shared" si="29"/>
        <v>0</v>
      </c>
      <c r="AK43" s="131"/>
      <c r="AL43" s="131">
        <f t="shared" si="30"/>
        <v>0</v>
      </c>
      <c r="AM43" s="131"/>
      <c r="AN43" s="243">
        <f t="shared" si="31"/>
        <v>0</v>
      </c>
      <c r="AO43" s="131">
        <f t="shared" si="32"/>
        <v>0</v>
      </c>
      <c r="AP43" s="131">
        <f t="shared" si="33"/>
        <v>0</v>
      </c>
      <c r="AQ43" s="131"/>
      <c r="AR43" s="131">
        <f t="shared" si="34"/>
        <v>0</v>
      </c>
      <c r="AS43" s="131">
        <f t="shared" si="82"/>
        <v>0</v>
      </c>
      <c r="AT43" s="131">
        <f t="shared" si="35"/>
        <v>0</v>
      </c>
      <c r="AU43" s="131">
        <f t="shared" si="36"/>
        <v>0</v>
      </c>
      <c r="AV43" s="131"/>
      <c r="AW43" s="131">
        <f t="shared" si="37"/>
        <v>353.75</v>
      </c>
      <c r="AX43" s="131">
        <f t="shared" si="103"/>
        <v>0</v>
      </c>
      <c r="AY43" s="131">
        <f t="shared" si="38"/>
        <v>0</v>
      </c>
      <c r="AZ43" s="131"/>
      <c r="BA43" s="131">
        <f t="shared" si="104"/>
        <v>0</v>
      </c>
      <c r="BB43" s="131"/>
      <c r="BC43" s="131"/>
      <c r="BD43" s="131">
        <f t="shared" si="39"/>
        <v>0</v>
      </c>
      <c r="BE43" s="131"/>
      <c r="BF43" s="131">
        <f t="shared" si="89"/>
        <v>0</v>
      </c>
      <c r="BG43" s="131">
        <f t="shared" si="90"/>
        <v>0</v>
      </c>
      <c r="BH43" s="131"/>
      <c r="BI43" s="131"/>
      <c r="BJ43" s="131"/>
      <c r="BK43" s="131">
        <f t="shared" si="92"/>
        <v>0</v>
      </c>
      <c r="BL43" s="131"/>
      <c r="BM43" s="131"/>
      <c r="BN43" s="131">
        <f t="shared" si="93"/>
        <v>0</v>
      </c>
      <c r="BO43" s="131"/>
      <c r="BP43" s="131">
        <f t="shared" si="94"/>
        <v>0</v>
      </c>
      <c r="BQ43" s="131"/>
      <c r="BR43" s="131"/>
      <c r="BS43" s="131"/>
      <c r="BT43" s="131"/>
      <c r="BU43" s="131"/>
      <c r="BV43" s="131">
        <f t="shared" si="95"/>
        <v>0</v>
      </c>
      <c r="BW43" s="131"/>
      <c r="BX43" s="131"/>
      <c r="BY43" s="131"/>
      <c r="BZ43" s="131">
        <f t="shared" si="98"/>
        <v>0</v>
      </c>
      <c r="CA43" s="131"/>
      <c r="CB43" s="136">
        <f t="shared" si="40"/>
        <v>165.08663357180151</v>
      </c>
      <c r="CC43" s="131">
        <f t="shared" si="41"/>
        <v>0</v>
      </c>
      <c r="CD43" s="136">
        <f t="shared" si="42"/>
        <v>0</v>
      </c>
      <c r="CE43" s="131">
        <f t="shared" si="102"/>
        <v>0</v>
      </c>
      <c r="CF43" s="136">
        <f t="shared" si="43"/>
        <v>0</v>
      </c>
      <c r="CG43" s="136"/>
      <c r="CH43" s="136">
        <f t="shared" si="101"/>
        <v>0</v>
      </c>
      <c r="CI43" s="131">
        <f t="shared" si="44"/>
        <v>0</v>
      </c>
      <c r="CJ43" s="131"/>
      <c r="CK43" s="136">
        <f t="shared" si="45"/>
        <v>0</v>
      </c>
      <c r="CL43" s="136">
        <f t="shared" si="46"/>
        <v>0</v>
      </c>
      <c r="CM43" s="131">
        <f t="shared" si="47"/>
        <v>0</v>
      </c>
      <c r="CN43" s="136">
        <f t="shared" si="48"/>
        <v>0</v>
      </c>
      <c r="CO43" s="136">
        <f t="shared" si="49"/>
        <v>0</v>
      </c>
      <c r="CP43" s="136">
        <f t="shared" si="50"/>
        <v>0</v>
      </c>
      <c r="CQ43" s="136"/>
      <c r="CR43" s="136">
        <f t="shared" si="51"/>
        <v>0</v>
      </c>
      <c r="CS43" s="136"/>
      <c r="CT43" s="136"/>
      <c r="CU43" s="136"/>
      <c r="CV43" s="136"/>
      <c r="CW43" s="136"/>
      <c r="CX43" s="136"/>
      <c r="CY43" s="136"/>
      <c r="CZ43" s="136">
        <f t="shared" si="52"/>
        <v>0</v>
      </c>
      <c r="DA43" s="136">
        <f t="shared" si="53"/>
        <v>0</v>
      </c>
      <c r="DB43" s="136">
        <f t="shared" si="54"/>
        <v>0</v>
      </c>
      <c r="DC43" s="131">
        <f t="shared" si="13"/>
        <v>0</v>
      </c>
      <c r="DD43" s="131">
        <f t="shared" si="55"/>
        <v>0</v>
      </c>
      <c r="DE43" s="131">
        <f t="shared" si="56"/>
        <v>0</v>
      </c>
      <c r="DF43" s="131">
        <f t="shared" si="57"/>
        <v>0</v>
      </c>
      <c r="DG43" s="131">
        <f t="shared" si="58"/>
        <v>0</v>
      </c>
      <c r="DH43" s="131"/>
      <c r="DI43" s="131"/>
      <c r="DJ43" s="131"/>
      <c r="DK43" s="137">
        <f t="shared" si="99"/>
        <v>3791.5811116017489</v>
      </c>
      <c r="DL43" s="227" t="e">
        <f t="shared" si="59"/>
        <v>#REF!</v>
      </c>
      <c r="DM43" s="227" t="e">
        <f t="shared" si="60"/>
        <v>#REF!</v>
      </c>
      <c r="DN43" s="228" t="e">
        <f t="shared" si="14"/>
        <v>#REF!</v>
      </c>
      <c r="DO43" s="228">
        <f t="shared" si="61"/>
        <v>181.81087083894022</v>
      </c>
      <c r="DP43" s="228" t="e">
        <f t="shared" si="62"/>
        <v>#REF!</v>
      </c>
      <c r="DQ43" s="228" t="e">
        <f t="shared" si="63"/>
        <v>#REF!</v>
      </c>
    </row>
    <row r="44" spans="1:121">
      <c r="A44" s="132">
        <f t="shared" si="15"/>
        <v>34</v>
      </c>
      <c r="B44" s="18">
        <f t="shared" si="64"/>
        <v>34</v>
      </c>
      <c r="C44" s="18">
        <f>IF(A44=0," ",VLOOKUP(B44,'tosafot '!$A$7:$B$234,2,0))</f>
        <v>10.201000000000001</v>
      </c>
      <c r="D44" s="220">
        <f t="shared" si="65"/>
        <v>228</v>
      </c>
      <c r="E44" s="130">
        <f t="shared" si="66"/>
        <v>12.2026</v>
      </c>
      <c r="F44" s="126">
        <f t="shared" si="67"/>
        <v>9</v>
      </c>
      <c r="G44" s="18" t="str">
        <f t="shared" si="68"/>
        <v>הבריאות</v>
      </c>
      <c r="H44" s="189">
        <f t="shared" si="69"/>
        <v>107</v>
      </c>
      <c r="I44" s="18">
        <f t="shared" si="70"/>
        <v>1</v>
      </c>
      <c r="J44" s="18" t="str">
        <f t="shared" si="71"/>
        <v>מינהלי - עובדי מדינה</v>
      </c>
      <c r="K44" s="189">
        <f t="shared" si="72"/>
        <v>1</v>
      </c>
      <c r="L44" s="18">
        <f t="shared" si="73"/>
        <v>12</v>
      </c>
      <c r="M44" s="129" t="str">
        <f t="shared" si="74"/>
        <v>17+</v>
      </c>
      <c r="N44" s="189"/>
      <c r="O44" s="132">
        <f t="shared" si="75"/>
        <v>1012</v>
      </c>
      <c r="P44" s="127">
        <f t="shared" si="76"/>
        <v>37</v>
      </c>
      <c r="Q44" s="127">
        <f t="shared" si="77"/>
        <v>22.75</v>
      </c>
      <c r="R44" s="128">
        <f t="shared" si="78"/>
        <v>92</v>
      </c>
      <c r="S44" s="130">
        <f t="shared" si="79"/>
        <v>1.2540512286990533</v>
      </c>
      <c r="T44" s="135">
        <f t="shared" si="16"/>
        <v>0</v>
      </c>
      <c r="U44" s="127">
        <f t="shared" si="17"/>
        <v>0</v>
      </c>
      <c r="V44" s="217">
        <v>0</v>
      </c>
      <c r="W44" s="191">
        <v>0</v>
      </c>
      <c r="X44" s="133">
        <v>0</v>
      </c>
      <c r="Y44" s="131">
        <f t="shared" si="18"/>
        <v>2438.5</v>
      </c>
      <c r="Z44" s="131">
        <f t="shared" si="19"/>
        <v>619.50392118264142</v>
      </c>
      <c r="AA44" s="242">
        <f t="shared" si="20"/>
        <v>3058.0039211826415</v>
      </c>
      <c r="AB44" s="131">
        <f t="shared" si="21"/>
        <v>0</v>
      </c>
      <c r="AC44" s="131">
        <f t="shared" si="22"/>
        <v>139.48055684730568</v>
      </c>
      <c r="AD44" s="131">
        <f t="shared" si="23"/>
        <v>0</v>
      </c>
      <c r="AE44" s="131">
        <f t="shared" si="24"/>
        <v>0</v>
      </c>
      <c r="AF44" s="131">
        <f t="shared" si="25"/>
        <v>75.260000000000005</v>
      </c>
      <c r="AG44" s="131">
        <f t="shared" si="26"/>
        <v>0</v>
      </c>
      <c r="AH44" s="131">
        <f t="shared" si="27"/>
        <v>0</v>
      </c>
      <c r="AI44" s="131">
        <f t="shared" si="28"/>
        <v>0</v>
      </c>
      <c r="AJ44" s="131">
        <f t="shared" si="29"/>
        <v>0</v>
      </c>
      <c r="AK44" s="131"/>
      <c r="AL44" s="131">
        <f t="shared" si="30"/>
        <v>0</v>
      </c>
      <c r="AM44" s="131"/>
      <c r="AN44" s="243">
        <f t="shared" si="31"/>
        <v>0</v>
      </c>
      <c r="AO44" s="131">
        <f t="shared" si="32"/>
        <v>0</v>
      </c>
      <c r="AP44" s="131">
        <f t="shared" si="33"/>
        <v>0</v>
      </c>
      <c r="AQ44" s="131"/>
      <c r="AR44" s="131">
        <f t="shared" si="34"/>
        <v>0</v>
      </c>
      <c r="AS44" s="131">
        <f t="shared" si="82"/>
        <v>0</v>
      </c>
      <c r="AT44" s="131">
        <f t="shared" si="35"/>
        <v>0</v>
      </c>
      <c r="AU44" s="131">
        <f t="shared" si="36"/>
        <v>0</v>
      </c>
      <c r="AV44" s="131"/>
      <c r="AW44" s="131">
        <f t="shared" si="37"/>
        <v>353.75</v>
      </c>
      <c r="AX44" s="131">
        <f t="shared" si="103"/>
        <v>0</v>
      </c>
      <c r="AY44" s="131">
        <f t="shared" si="38"/>
        <v>0</v>
      </c>
      <c r="AZ44" s="131"/>
      <c r="BA44" s="131">
        <f t="shared" si="104"/>
        <v>0</v>
      </c>
      <c r="BB44" s="131"/>
      <c r="BC44" s="131"/>
      <c r="BD44" s="131">
        <f t="shared" si="39"/>
        <v>0</v>
      </c>
      <c r="BE44" s="131"/>
      <c r="BF44" s="131">
        <f t="shared" si="89"/>
        <v>0</v>
      </c>
      <c r="BG44" s="131">
        <f t="shared" si="90"/>
        <v>0</v>
      </c>
      <c r="BH44" s="131"/>
      <c r="BI44" s="131"/>
      <c r="BJ44" s="131"/>
      <c r="BK44" s="131">
        <f t="shared" si="92"/>
        <v>0</v>
      </c>
      <c r="BL44" s="131"/>
      <c r="BM44" s="131"/>
      <c r="BN44" s="131">
        <f t="shared" si="93"/>
        <v>0</v>
      </c>
      <c r="BO44" s="131"/>
      <c r="BP44" s="131">
        <f t="shared" si="94"/>
        <v>0</v>
      </c>
      <c r="BQ44" s="131"/>
      <c r="BR44" s="131"/>
      <c r="BS44" s="131"/>
      <c r="BT44" s="131"/>
      <c r="BU44" s="131"/>
      <c r="BV44" s="131">
        <f t="shared" si="95"/>
        <v>0</v>
      </c>
      <c r="BW44" s="131"/>
      <c r="BX44" s="131"/>
      <c r="BY44" s="131"/>
      <c r="BZ44" s="131">
        <f t="shared" si="98"/>
        <v>0</v>
      </c>
      <c r="CA44" s="131"/>
      <c r="CB44" s="136">
        <f t="shared" si="40"/>
        <v>165.08663357180151</v>
      </c>
      <c r="CC44" s="131">
        <f t="shared" si="41"/>
        <v>0</v>
      </c>
      <c r="CD44" s="136">
        <f t="shared" si="42"/>
        <v>0</v>
      </c>
      <c r="CE44" s="131">
        <f t="shared" si="102"/>
        <v>0</v>
      </c>
      <c r="CF44" s="136">
        <f t="shared" si="43"/>
        <v>0</v>
      </c>
      <c r="CG44" s="136"/>
      <c r="CH44" s="136">
        <f t="shared" si="101"/>
        <v>0</v>
      </c>
      <c r="CI44" s="131">
        <f t="shared" si="44"/>
        <v>0</v>
      </c>
      <c r="CJ44" s="131"/>
      <c r="CK44" s="136">
        <f t="shared" si="45"/>
        <v>0</v>
      </c>
      <c r="CL44" s="136">
        <f t="shared" si="46"/>
        <v>0</v>
      </c>
      <c r="CM44" s="131">
        <f t="shared" si="47"/>
        <v>0</v>
      </c>
      <c r="CN44" s="136">
        <f t="shared" si="48"/>
        <v>0</v>
      </c>
      <c r="CO44" s="136">
        <f t="shared" si="49"/>
        <v>0</v>
      </c>
      <c r="CP44" s="136">
        <f t="shared" si="50"/>
        <v>0</v>
      </c>
      <c r="CQ44" s="136"/>
      <c r="CR44" s="136">
        <f t="shared" si="51"/>
        <v>0</v>
      </c>
      <c r="CS44" s="136"/>
      <c r="CT44" s="136"/>
      <c r="CU44" s="136"/>
      <c r="CV44" s="136"/>
      <c r="CW44" s="136"/>
      <c r="CX44" s="136"/>
      <c r="CY44" s="136"/>
      <c r="CZ44" s="136">
        <f t="shared" si="52"/>
        <v>0</v>
      </c>
      <c r="DA44" s="136">
        <f t="shared" si="53"/>
        <v>0</v>
      </c>
      <c r="DB44" s="136">
        <f t="shared" si="54"/>
        <v>0</v>
      </c>
      <c r="DC44" s="131">
        <f t="shared" si="13"/>
        <v>0</v>
      </c>
      <c r="DD44" s="131">
        <f t="shared" si="55"/>
        <v>0</v>
      </c>
      <c r="DE44" s="131">
        <f t="shared" si="56"/>
        <v>0</v>
      </c>
      <c r="DF44" s="131">
        <f t="shared" si="57"/>
        <v>0</v>
      </c>
      <c r="DG44" s="131">
        <f t="shared" si="58"/>
        <v>0</v>
      </c>
      <c r="DH44" s="131"/>
      <c r="DI44" s="131"/>
      <c r="DJ44" s="131"/>
      <c r="DK44" s="137">
        <f t="shared" si="99"/>
        <v>3791.5811116017489</v>
      </c>
      <c r="DL44" s="227" t="e">
        <f t="shared" si="59"/>
        <v>#REF!</v>
      </c>
      <c r="DM44" s="227" t="e">
        <f t="shared" si="60"/>
        <v>#REF!</v>
      </c>
      <c r="DN44" s="228" t="e">
        <f t="shared" si="14"/>
        <v>#REF!</v>
      </c>
      <c r="DO44" s="228">
        <f t="shared" si="61"/>
        <v>181.81087083894022</v>
      </c>
      <c r="DP44" s="228" t="e">
        <f t="shared" si="62"/>
        <v>#REF!</v>
      </c>
      <c r="DQ44" s="228" t="e">
        <f t="shared" si="63"/>
        <v>#REF!</v>
      </c>
    </row>
    <row r="45" spans="1:121">
      <c r="A45" s="132">
        <f t="shared" si="15"/>
        <v>35</v>
      </c>
      <c r="B45" s="18">
        <f t="shared" si="64"/>
        <v>35</v>
      </c>
      <c r="C45" s="18">
        <f>IF(A45=0," ",VLOOKUP(B45,'tosafot '!$A$7:$B$234,2,0))</f>
        <v>11.201000000000001</v>
      </c>
      <c r="D45" s="220">
        <f t="shared" si="65"/>
        <v>228</v>
      </c>
      <c r="E45" s="130">
        <f t="shared" si="66"/>
        <v>12.2026</v>
      </c>
      <c r="F45" s="126">
        <f t="shared" si="67"/>
        <v>9</v>
      </c>
      <c r="G45" s="18" t="str">
        <f t="shared" si="68"/>
        <v>הבריאות</v>
      </c>
      <c r="H45" s="189">
        <f t="shared" si="69"/>
        <v>107</v>
      </c>
      <c r="I45" s="18">
        <f t="shared" si="70"/>
        <v>1</v>
      </c>
      <c r="J45" s="18" t="str">
        <f t="shared" si="71"/>
        <v>מינהלי - עובדי מדינה</v>
      </c>
      <c r="K45" s="189">
        <f t="shared" si="72"/>
        <v>1</v>
      </c>
      <c r="L45" s="18">
        <f t="shared" si="73"/>
        <v>12</v>
      </c>
      <c r="M45" s="129" t="str">
        <f t="shared" si="74"/>
        <v>17+</v>
      </c>
      <c r="N45" s="189"/>
      <c r="O45" s="132">
        <f t="shared" si="75"/>
        <v>1012</v>
      </c>
      <c r="P45" s="127">
        <f t="shared" si="76"/>
        <v>37</v>
      </c>
      <c r="Q45" s="127">
        <f t="shared" si="77"/>
        <v>22.75</v>
      </c>
      <c r="R45" s="128">
        <f t="shared" si="78"/>
        <v>92</v>
      </c>
      <c r="S45" s="130">
        <f t="shared" si="79"/>
        <v>1.2540512286990533</v>
      </c>
      <c r="T45" s="135">
        <f t="shared" si="16"/>
        <v>0</v>
      </c>
      <c r="U45" s="127">
        <f t="shared" si="17"/>
        <v>0</v>
      </c>
      <c r="V45" s="217">
        <v>0</v>
      </c>
      <c r="W45" s="191">
        <v>0</v>
      </c>
      <c r="X45" s="133">
        <v>0</v>
      </c>
      <c r="Y45" s="131">
        <f t="shared" si="18"/>
        <v>2438.5</v>
      </c>
      <c r="Z45" s="131">
        <f t="shared" si="19"/>
        <v>619.50392118264142</v>
      </c>
      <c r="AA45" s="242">
        <f t="shared" si="20"/>
        <v>3058.0039211826415</v>
      </c>
      <c r="AB45" s="131">
        <f t="shared" si="21"/>
        <v>0</v>
      </c>
      <c r="AC45" s="131">
        <f t="shared" si="22"/>
        <v>139.48055684730568</v>
      </c>
      <c r="AD45" s="131">
        <f t="shared" si="23"/>
        <v>0</v>
      </c>
      <c r="AE45" s="131">
        <f t="shared" si="24"/>
        <v>0</v>
      </c>
      <c r="AF45" s="131">
        <f t="shared" si="25"/>
        <v>75.260000000000005</v>
      </c>
      <c r="AG45" s="131">
        <f t="shared" si="26"/>
        <v>0</v>
      </c>
      <c r="AH45" s="131">
        <f t="shared" si="27"/>
        <v>0</v>
      </c>
      <c r="AI45" s="131">
        <f t="shared" si="28"/>
        <v>0</v>
      </c>
      <c r="AJ45" s="131">
        <f t="shared" si="29"/>
        <v>0</v>
      </c>
      <c r="AK45" s="131"/>
      <c r="AL45" s="131">
        <f t="shared" si="30"/>
        <v>0</v>
      </c>
      <c r="AM45" s="131"/>
      <c r="AN45" s="243">
        <f t="shared" si="31"/>
        <v>0</v>
      </c>
      <c r="AO45" s="131">
        <f t="shared" si="32"/>
        <v>0</v>
      </c>
      <c r="AP45" s="131">
        <f t="shared" si="33"/>
        <v>0</v>
      </c>
      <c r="AQ45" s="131"/>
      <c r="AR45" s="131">
        <f t="shared" si="34"/>
        <v>0</v>
      </c>
      <c r="AS45" s="131">
        <f t="shared" si="82"/>
        <v>0</v>
      </c>
      <c r="AT45" s="131">
        <f t="shared" si="35"/>
        <v>0</v>
      </c>
      <c r="AU45" s="131">
        <f t="shared" si="36"/>
        <v>0</v>
      </c>
      <c r="AV45" s="131"/>
      <c r="AW45" s="131">
        <f t="shared" si="37"/>
        <v>353.75</v>
      </c>
      <c r="AX45" s="131">
        <f t="shared" si="103"/>
        <v>0</v>
      </c>
      <c r="AY45" s="131">
        <f t="shared" si="38"/>
        <v>0</v>
      </c>
      <c r="AZ45" s="131"/>
      <c r="BA45" s="131">
        <f t="shared" si="104"/>
        <v>0</v>
      </c>
      <c r="BB45" s="131"/>
      <c r="BC45" s="131"/>
      <c r="BD45" s="131">
        <f t="shared" si="39"/>
        <v>0</v>
      </c>
      <c r="BE45" s="131"/>
      <c r="BF45" s="131">
        <f t="shared" si="89"/>
        <v>0</v>
      </c>
      <c r="BG45" s="131">
        <f t="shared" si="90"/>
        <v>0</v>
      </c>
      <c r="BH45" s="131"/>
      <c r="BI45" s="131"/>
      <c r="BJ45" s="131"/>
      <c r="BK45" s="131">
        <f t="shared" si="92"/>
        <v>0</v>
      </c>
      <c r="BL45" s="131"/>
      <c r="BM45" s="131"/>
      <c r="BN45" s="131">
        <f t="shared" si="93"/>
        <v>0</v>
      </c>
      <c r="BO45" s="131"/>
      <c r="BP45" s="131">
        <f t="shared" si="94"/>
        <v>0</v>
      </c>
      <c r="BQ45" s="131"/>
      <c r="BR45" s="131"/>
      <c r="BS45" s="131"/>
      <c r="BT45" s="131"/>
      <c r="BU45" s="131"/>
      <c r="BV45" s="131">
        <f t="shared" si="95"/>
        <v>0</v>
      </c>
      <c r="BW45" s="131"/>
      <c r="BX45" s="131"/>
      <c r="BY45" s="131"/>
      <c r="BZ45" s="131">
        <f t="shared" si="98"/>
        <v>0</v>
      </c>
      <c r="CA45" s="131"/>
      <c r="CB45" s="136">
        <f t="shared" si="40"/>
        <v>165.08663357180151</v>
      </c>
      <c r="CC45" s="131">
        <f t="shared" si="41"/>
        <v>0</v>
      </c>
      <c r="CD45" s="136">
        <f t="shared" si="42"/>
        <v>0</v>
      </c>
      <c r="CE45" s="131">
        <f t="shared" si="102"/>
        <v>0</v>
      </c>
      <c r="CF45" s="136">
        <f t="shared" si="43"/>
        <v>0</v>
      </c>
      <c r="CG45" s="136"/>
      <c r="CH45" s="136">
        <f t="shared" si="101"/>
        <v>0</v>
      </c>
      <c r="CI45" s="131">
        <f t="shared" si="44"/>
        <v>0</v>
      </c>
      <c r="CJ45" s="131"/>
      <c r="CK45" s="136">
        <f t="shared" si="45"/>
        <v>0</v>
      </c>
      <c r="CL45" s="136">
        <f t="shared" si="46"/>
        <v>0</v>
      </c>
      <c r="CM45" s="131">
        <f t="shared" si="47"/>
        <v>0</v>
      </c>
      <c r="CN45" s="136">
        <f t="shared" si="48"/>
        <v>0</v>
      </c>
      <c r="CO45" s="136">
        <f t="shared" si="49"/>
        <v>0</v>
      </c>
      <c r="CP45" s="136">
        <f t="shared" si="50"/>
        <v>0</v>
      </c>
      <c r="CQ45" s="136"/>
      <c r="CR45" s="136">
        <f t="shared" si="51"/>
        <v>0</v>
      </c>
      <c r="CS45" s="136"/>
      <c r="CT45" s="136"/>
      <c r="CU45" s="136"/>
      <c r="CV45" s="136"/>
      <c r="CW45" s="136"/>
      <c r="CX45" s="136"/>
      <c r="CY45" s="136"/>
      <c r="CZ45" s="136">
        <f t="shared" si="52"/>
        <v>0</v>
      </c>
      <c r="DA45" s="136">
        <f t="shared" si="53"/>
        <v>0</v>
      </c>
      <c r="DB45" s="136">
        <f t="shared" si="54"/>
        <v>0</v>
      </c>
      <c r="DC45" s="131">
        <f t="shared" si="13"/>
        <v>0</v>
      </c>
      <c r="DD45" s="131">
        <f t="shared" si="55"/>
        <v>0</v>
      </c>
      <c r="DE45" s="131">
        <f t="shared" si="56"/>
        <v>0</v>
      </c>
      <c r="DF45" s="131">
        <f t="shared" si="57"/>
        <v>0</v>
      </c>
      <c r="DG45" s="131">
        <f t="shared" si="58"/>
        <v>0</v>
      </c>
      <c r="DH45" s="131"/>
      <c r="DI45" s="131"/>
      <c r="DJ45" s="131"/>
      <c r="DK45" s="137">
        <f t="shared" si="99"/>
        <v>3791.5811116017489</v>
      </c>
      <c r="DL45" s="227" t="e">
        <f t="shared" si="59"/>
        <v>#REF!</v>
      </c>
      <c r="DM45" s="227" t="e">
        <f t="shared" si="60"/>
        <v>#REF!</v>
      </c>
      <c r="DN45" s="228" t="e">
        <f t="shared" si="14"/>
        <v>#REF!</v>
      </c>
      <c r="DO45" s="228">
        <f t="shared" si="61"/>
        <v>181.81087083894022</v>
      </c>
      <c r="DP45" s="228" t="e">
        <f t="shared" si="62"/>
        <v>#REF!</v>
      </c>
      <c r="DQ45" s="228" t="e">
        <f t="shared" si="63"/>
        <v>#REF!</v>
      </c>
    </row>
    <row r="46" spans="1:121">
      <c r="A46" s="132">
        <f t="shared" si="15"/>
        <v>36</v>
      </c>
      <c r="B46" s="18">
        <f t="shared" si="64"/>
        <v>36</v>
      </c>
      <c r="C46" s="18">
        <f>IF(A46=0," ",VLOOKUP(B46,'tosafot '!$A$7:$B$234,2,0))</f>
        <v>12.201000000000001</v>
      </c>
      <c r="D46" s="220">
        <f t="shared" si="65"/>
        <v>228</v>
      </c>
      <c r="E46" s="130">
        <f t="shared" si="66"/>
        <v>12.2026</v>
      </c>
      <c r="F46" s="126">
        <f t="shared" si="67"/>
        <v>9</v>
      </c>
      <c r="G46" s="18" t="str">
        <f t="shared" si="68"/>
        <v>הבריאות</v>
      </c>
      <c r="H46" s="189">
        <f t="shared" si="69"/>
        <v>107</v>
      </c>
      <c r="I46" s="18">
        <f t="shared" si="70"/>
        <v>1</v>
      </c>
      <c r="J46" s="18" t="str">
        <f t="shared" si="71"/>
        <v>מינהלי - עובדי מדינה</v>
      </c>
      <c r="K46" s="189">
        <f t="shared" si="72"/>
        <v>1</v>
      </c>
      <c r="L46" s="18">
        <f t="shared" si="73"/>
        <v>12</v>
      </c>
      <c r="M46" s="129" t="str">
        <f t="shared" si="74"/>
        <v>17+</v>
      </c>
      <c r="N46" s="189"/>
      <c r="O46" s="132">
        <f t="shared" si="75"/>
        <v>1012</v>
      </c>
      <c r="P46" s="127">
        <f t="shared" si="76"/>
        <v>37</v>
      </c>
      <c r="Q46" s="127">
        <f t="shared" si="77"/>
        <v>22.75</v>
      </c>
      <c r="R46" s="128">
        <f t="shared" si="78"/>
        <v>92</v>
      </c>
      <c r="S46" s="130">
        <f t="shared" si="79"/>
        <v>1.2540512286990533</v>
      </c>
      <c r="T46" s="135">
        <f t="shared" si="16"/>
        <v>0</v>
      </c>
      <c r="U46" s="127">
        <f t="shared" si="17"/>
        <v>0</v>
      </c>
      <c r="V46" s="217">
        <v>0</v>
      </c>
      <c r="W46" s="191">
        <v>0</v>
      </c>
      <c r="X46" s="133">
        <v>0</v>
      </c>
      <c r="Y46" s="131">
        <f t="shared" si="18"/>
        <v>2438.5</v>
      </c>
      <c r="Z46" s="131">
        <f t="shared" si="19"/>
        <v>619.50392118264142</v>
      </c>
      <c r="AA46" s="242">
        <f t="shared" si="20"/>
        <v>3058.0039211826415</v>
      </c>
      <c r="AB46" s="131">
        <f t="shared" si="21"/>
        <v>0</v>
      </c>
      <c r="AC46" s="131">
        <f t="shared" si="22"/>
        <v>139.48055684730568</v>
      </c>
      <c r="AD46" s="131">
        <f t="shared" si="23"/>
        <v>0</v>
      </c>
      <c r="AE46" s="131">
        <f t="shared" si="24"/>
        <v>0</v>
      </c>
      <c r="AF46" s="131">
        <f t="shared" si="25"/>
        <v>75.260000000000005</v>
      </c>
      <c r="AG46" s="131">
        <f t="shared" si="26"/>
        <v>0</v>
      </c>
      <c r="AH46" s="131">
        <f t="shared" si="27"/>
        <v>0</v>
      </c>
      <c r="AI46" s="131">
        <f t="shared" si="28"/>
        <v>0</v>
      </c>
      <c r="AJ46" s="131">
        <f t="shared" si="29"/>
        <v>0</v>
      </c>
      <c r="AK46" s="131"/>
      <c r="AL46" s="131">
        <f t="shared" si="30"/>
        <v>0</v>
      </c>
      <c r="AM46" s="131"/>
      <c r="AN46" s="243">
        <f t="shared" si="31"/>
        <v>0</v>
      </c>
      <c r="AO46" s="131">
        <f t="shared" si="32"/>
        <v>0</v>
      </c>
      <c r="AP46" s="131">
        <f t="shared" si="33"/>
        <v>0</v>
      </c>
      <c r="AQ46" s="131"/>
      <c r="AR46" s="131">
        <f t="shared" si="34"/>
        <v>0</v>
      </c>
      <c r="AS46" s="131">
        <f t="shared" si="82"/>
        <v>0</v>
      </c>
      <c r="AT46" s="131">
        <f t="shared" si="35"/>
        <v>0</v>
      </c>
      <c r="AU46" s="131">
        <f t="shared" si="36"/>
        <v>0</v>
      </c>
      <c r="AV46" s="131"/>
      <c r="AW46" s="131">
        <f t="shared" si="37"/>
        <v>353.75</v>
      </c>
      <c r="AX46" s="131">
        <f t="shared" si="103"/>
        <v>0</v>
      </c>
      <c r="AY46" s="131">
        <f t="shared" si="38"/>
        <v>0</v>
      </c>
      <c r="AZ46" s="131"/>
      <c r="BA46" s="131">
        <f t="shared" si="104"/>
        <v>0</v>
      </c>
      <c r="BB46" s="131"/>
      <c r="BC46" s="131"/>
      <c r="BD46" s="131">
        <f t="shared" si="39"/>
        <v>0</v>
      </c>
      <c r="BE46" s="131"/>
      <c r="BF46" s="131">
        <f t="shared" si="89"/>
        <v>0</v>
      </c>
      <c r="BG46" s="131">
        <f t="shared" si="90"/>
        <v>0</v>
      </c>
      <c r="BH46" s="131"/>
      <c r="BI46" s="131"/>
      <c r="BJ46" s="131"/>
      <c r="BK46" s="131">
        <f t="shared" si="92"/>
        <v>0</v>
      </c>
      <c r="BL46" s="131"/>
      <c r="BM46" s="131"/>
      <c r="BN46" s="131">
        <f t="shared" si="93"/>
        <v>0</v>
      </c>
      <c r="BO46" s="131"/>
      <c r="BP46" s="131">
        <f t="shared" si="94"/>
        <v>0</v>
      </c>
      <c r="BQ46" s="131"/>
      <c r="BR46" s="131"/>
      <c r="BS46" s="131"/>
      <c r="BT46" s="131"/>
      <c r="BU46" s="131"/>
      <c r="BV46" s="131">
        <f t="shared" si="95"/>
        <v>0</v>
      </c>
      <c r="BW46" s="131"/>
      <c r="BX46" s="131"/>
      <c r="BY46" s="131"/>
      <c r="BZ46" s="131">
        <f t="shared" si="98"/>
        <v>0</v>
      </c>
      <c r="CA46" s="131"/>
      <c r="CB46" s="136">
        <f t="shared" si="40"/>
        <v>165.08663357180151</v>
      </c>
      <c r="CC46" s="131">
        <f t="shared" si="41"/>
        <v>0</v>
      </c>
      <c r="CD46" s="136">
        <f t="shared" si="42"/>
        <v>0</v>
      </c>
      <c r="CE46" s="131">
        <f t="shared" si="102"/>
        <v>0</v>
      </c>
      <c r="CF46" s="136">
        <f t="shared" si="43"/>
        <v>0</v>
      </c>
      <c r="CG46" s="136"/>
      <c r="CH46" s="136">
        <f t="shared" si="101"/>
        <v>0</v>
      </c>
      <c r="CI46" s="131">
        <f t="shared" si="44"/>
        <v>0</v>
      </c>
      <c r="CJ46" s="131"/>
      <c r="CK46" s="136">
        <f t="shared" si="45"/>
        <v>0</v>
      </c>
      <c r="CL46" s="136">
        <f t="shared" si="46"/>
        <v>0</v>
      </c>
      <c r="CM46" s="131">
        <f t="shared" si="47"/>
        <v>0</v>
      </c>
      <c r="CN46" s="136">
        <f t="shared" si="48"/>
        <v>0</v>
      </c>
      <c r="CO46" s="136">
        <f t="shared" si="49"/>
        <v>0</v>
      </c>
      <c r="CP46" s="136">
        <f t="shared" si="50"/>
        <v>0</v>
      </c>
      <c r="CQ46" s="136"/>
      <c r="CR46" s="136">
        <f t="shared" si="51"/>
        <v>0</v>
      </c>
      <c r="CS46" s="136"/>
      <c r="CT46" s="136"/>
      <c r="CU46" s="136"/>
      <c r="CV46" s="136"/>
      <c r="CW46" s="136"/>
      <c r="CX46" s="136"/>
      <c r="CY46" s="136"/>
      <c r="CZ46" s="136">
        <f t="shared" si="52"/>
        <v>0</v>
      </c>
      <c r="DA46" s="136">
        <f t="shared" si="53"/>
        <v>0</v>
      </c>
      <c r="DB46" s="136">
        <f t="shared" si="54"/>
        <v>0</v>
      </c>
      <c r="DC46" s="131">
        <f t="shared" si="13"/>
        <v>0</v>
      </c>
      <c r="DD46" s="131">
        <f t="shared" si="55"/>
        <v>0</v>
      </c>
      <c r="DE46" s="131">
        <f t="shared" si="56"/>
        <v>0</v>
      </c>
      <c r="DF46" s="131">
        <f t="shared" si="57"/>
        <v>0</v>
      </c>
      <c r="DG46" s="131">
        <f t="shared" si="58"/>
        <v>0</v>
      </c>
      <c r="DH46" s="131"/>
      <c r="DI46" s="131"/>
      <c r="DJ46" s="131"/>
      <c r="DK46" s="137">
        <f t="shared" si="99"/>
        <v>3791.5811116017489</v>
      </c>
      <c r="DL46" s="227" t="e">
        <f t="shared" si="59"/>
        <v>#REF!</v>
      </c>
      <c r="DM46" s="227" t="e">
        <f t="shared" si="60"/>
        <v>#REF!</v>
      </c>
      <c r="DN46" s="228" t="e">
        <f t="shared" si="14"/>
        <v>#REF!</v>
      </c>
      <c r="DO46" s="228">
        <f t="shared" si="61"/>
        <v>181.81087083894022</v>
      </c>
      <c r="DP46" s="228" t="e">
        <f t="shared" si="62"/>
        <v>#REF!</v>
      </c>
      <c r="DQ46" s="228" t="e">
        <f t="shared" si="63"/>
        <v>#REF!</v>
      </c>
    </row>
    <row r="47" spans="1:121">
      <c r="A47" s="132">
        <f t="shared" si="15"/>
        <v>37</v>
      </c>
      <c r="B47" s="18">
        <f t="shared" si="64"/>
        <v>37</v>
      </c>
      <c r="C47" s="18">
        <f>IF(A47=0," ",VLOOKUP(B47,'tosafot '!$A$7:$B$234,2,0))</f>
        <v>1.2011000000000001</v>
      </c>
      <c r="D47" s="220">
        <f t="shared" si="65"/>
        <v>228</v>
      </c>
      <c r="E47" s="130">
        <f t="shared" si="66"/>
        <v>12.2026</v>
      </c>
      <c r="F47" s="126">
        <f t="shared" si="67"/>
        <v>9</v>
      </c>
      <c r="G47" s="18" t="str">
        <f t="shared" si="68"/>
        <v>הבריאות</v>
      </c>
      <c r="H47" s="189">
        <f t="shared" si="69"/>
        <v>107</v>
      </c>
      <c r="I47" s="18">
        <f t="shared" si="70"/>
        <v>1</v>
      </c>
      <c r="J47" s="18" t="str">
        <f t="shared" si="71"/>
        <v>מינהלי - עובדי מדינה</v>
      </c>
      <c r="K47" s="189">
        <f t="shared" si="72"/>
        <v>1</v>
      </c>
      <c r="L47" s="18">
        <f t="shared" si="73"/>
        <v>12</v>
      </c>
      <c r="M47" s="129" t="str">
        <f t="shared" si="74"/>
        <v>17+</v>
      </c>
      <c r="N47" s="189"/>
      <c r="O47" s="132">
        <f t="shared" si="75"/>
        <v>1012</v>
      </c>
      <c r="P47" s="127">
        <f t="shared" si="76"/>
        <v>37</v>
      </c>
      <c r="Q47" s="127">
        <f t="shared" si="77"/>
        <v>22.75</v>
      </c>
      <c r="R47" s="128">
        <f t="shared" si="78"/>
        <v>92</v>
      </c>
      <c r="S47" s="130">
        <f t="shared" si="79"/>
        <v>1.2540512286990533</v>
      </c>
      <c r="T47" s="135">
        <f t="shared" si="16"/>
        <v>0</v>
      </c>
      <c r="U47" s="127">
        <f t="shared" si="17"/>
        <v>0</v>
      </c>
      <c r="V47" s="217">
        <v>0</v>
      </c>
      <c r="W47" s="191">
        <v>0</v>
      </c>
      <c r="X47" s="133">
        <v>0</v>
      </c>
      <c r="Y47" s="131">
        <f t="shared" si="18"/>
        <v>2438.5</v>
      </c>
      <c r="Z47" s="131">
        <f t="shared" si="19"/>
        <v>619.50392118264142</v>
      </c>
      <c r="AA47" s="242">
        <f t="shared" si="20"/>
        <v>3058.0039211826415</v>
      </c>
      <c r="AB47" s="131">
        <f t="shared" si="21"/>
        <v>0</v>
      </c>
      <c r="AC47" s="131">
        <f t="shared" si="22"/>
        <v>139.48055684730568</v>
      </c>
      <c r="AD47" s="131">
        <f t="shared" si="23"/>
        <v>0</v>
      </c>
      <c r="AE47" s="131">
        <f t="shared" si="24"/>
        <v>0</v>
      </c>
      <c r="AF47" s="131">
        <f t="shared" si="25"/>
        <v>75.260000000000005</v>
      </c>
      <c r="AG47" s="131">
        <f t="shared" si="26"/>
        <v>0</v>
      </c>
      <c r="AH47" s="131">
        <f t="shared" si="27"/>
        <v>0</v>
      </c>
      <c r="AI47" s="131">
        <f t="shared" si="28"/>
        <v>0</v>
      </c>
      <c r="AJ47" s="131">
        <f t="shared" si="29"/>
        <v>0</v>
      </c>
      <c r="AK47" s="131"/>
      <c r="AL47" s="131">
        <f t="shared" si="30"/>
        <v>0</v>
      </c>
      <c r="AM47" s="131"/>
      <c r="AN47" s="243">
        <f t="shared" si="31"/>
        <v>0</v>
      </c>
      <c r="AO47" s="131">
        <f t="shared" si="32"/>
        <v>0</v>
      </c>
      <c r="AP47" s="131">
        <f t="shared" si="33"/>
        <v>0</v>
      </c>
      <c r="AQ47" s="131"/>
      <c r="AR47" s="131">
        <f t="shared" si="34"/>
        <v>0</v>
      </c>
      <c r="AS47" s="131">
        <f t="shared" si="82"/>
        <v>0</v>
      </c>
      <c r="AT47" s="131">
        <f t="shared" si="35"/>
        <v>0</v>
      </c>
      <c r="AU47" s="131">
        <f t="shared" si="36"/>
        <v>0</v>
      </c>
      <c r="AV47" s="131"/>
      <c r="AW47" s="131">
        <f t="shared" si="37"/>
        <v>353.75</v>
      </c>
      <c r="AX47" s="131">
        <f t="shared" si="103"/>
        <v>0</v>
      </c>
      <c r="AY47" s="131">
        <f t="shared" si="38"/>
        <v>0</v>
      </c>
      <c r="AZ47" s="131"/>
      <c r="BA47" s="131">
        <f t="shared" si="104"/>
        <v>0</v>
      </c>
      <c r="BB47" s="131"/>
      <c r="BC47" s="131"/>
      <c r="BD47" s="131">
        <f t="shared" si="39"/>
        <v>0</v>
      </c>
      <c r="BE47" s="131"/>
      <c r="BF47" s="131">
        <f t="shared" si="89"/>
        <v>0</v>
      </c>
      <c r="BG47" s="131">
        <f t="shared" si="90"/>
        <v>0</v>
      </c>
      <c r="BH47" s="131"/>
      <c r="BI47" s="131"/>
      <c r="BJ47" s="131"/>
      <c r="BK47" s="131">
        <f t="shared" si="92"/>
        <v>0</v>
      </c>
      <c r="BL47" s="131"/>
      <c r="BM47" s="131"/>
      <c r="BN47" s="131">
        <f t="shared" si="93"/>
        <v>0</v>
      </c>
      <c r="BO47" s="131"/>
      <c r="BP47" s="131">
        <f t="shared" si="94"/>
        <v>0</v>
      </c>
      <c r="BQ47" s="131"/>
      <c r="BR47" s="131"/>
      <c r="BS47" s="131"/>
      <c r="BT47" s="131"/>
      <c r="BU47" s="131"/>
      <c r="BV47" s="131">
        <f t="shared" si="95"/>
        <v>0</v>
      </c>
      <c r="BW47" s="131"/>
      <c r="BX47" s="131"/>
      <c r="BY47" s="131"/>
      <c r="BZ47" s="131">
        <f t="shared" si="98"/>
        <v>0</v>
      </c>
      <c r="CA47" s="131"/>
      <c r="CB47" s="136">
        <f t="shared" si="40"/>
        <v>165.08663357180151</v>
      </c>
      <c r="CC47" s="131">
        <f t="shared" si="41"/>
        <v>0</v>
      </c>
      <c r="CD47" s="136">
        <f t="shared" si="42"/>
        <v>0</v>
      </c>
      <c r="CE47" s="131">
        <f t="shared" si="102"/>
        <v>0</v>
      </c>
      <c r="CF47" s="136">
        <f t="shared" si="43"/>
        <v>0</v>
      </c>
      <c r="CG47" s="136"/>
      <c r="CH47" s="136">
        <f t="shared" si="101"/>
        <v>0</v>
      </c>
      <c r="CI47" s="131">
        <f t="shared" si="44"/>
        <v>0</v>
      </c>
      <c r="CJ47" s="131"/>
      <c r="CK47" s="136">
        <f t="shared" si="45"/>
        <v>0</v>
      </c>
      <c r="CL47" s="136">
        <f t="shared" si="46"/>
        <v>0</v>
      </c>
      <c r="CM47" s="131">
        <f t="shared" si="47"/>
        <v>0</v>
      </c>
      <c r="CN47" s="136">
        <f t="shared" si="48"/>
        <v>0</v>
      </c>
      <c r="CO47" s="136">
        <f t="shared" si="49"/>
        <v>0</v>
      </c>
      <c r="CP47" s="136">
        <f t="shared" si="50"/>
        <v>0</v>
      </c>
      <c r="CQ47" s="136"/>
      <c r="CR47" s="136">
        <f t="shared" si="51"/>
        <v>0</v>
      </c>
      <c r="CS47" s="136"/>
      <c r="CT47" s="136"/>
      <c r="CU47" s="136"/>
      <c r="CV47" s="136"/>
      <c r="CW47" s="136"/>
      <c r="CX47" s="136"/>
      <c r="CY47" s="136"/>
      <c r="CZ47" s="136">
        <f t="shared" si="52"/>
        <v>0</v>
      </c>
      <c r="DA47" s="136">
        <f t="shared" si="53"/>
        <v>0</v>
      </c>
      <c r="DB47" s="136">
        <f t="shared" si="54"/>
        <v>0</v>
      </c>
      <c r="DC47" s="131">
        <f t="shared" si="13"/>
        <v>0</v>
      </c>
      <c r="DD47" s="131">
        <f t="shared" si="55"/>
        <v>0</v>
      </c>
      <c r="DE47" s="131">
        <f t="shared" si="56"/>
        <v>0</v>
      </c>
      <c r="DF47" s="131">
        <f t="shared" si="57"/>
        <v>0</v>
      </c>
      <c r="DG47" s="131">
        <f t="shared" si="58"/>
        <v>0</v>
      </c>
      <c r="DH47" s="131"/>
      <c r="DI47" s="131"/>
      <c r="DJ47" s="131"/>
      <c r="DK47" s="137">
        <f t="shared" si="99"/>
        <v>3791.5811116017489</v>
      </c>
      <c r="DL47" s="227" t="e">
        <f t="shared" si="59"/>
        <v>#REF!</v>
      </c>
      <c r="DM47" s="227" t="e">
        <f t="shared" si="60"/>
        <v>#REF!</v>
      </c>
      <c r="DN47" s="228" t="e">
        <f t="shared" si="14"/>
        <v>#REF!</v>
      </c>
      <c r="DO47" s="228">
        <f t="shared" si="61"/>
        <v>181.81087083894022</v>
      </c>
      <c r="DP47" s="228" t="e">
        <f t="shared" si="62"/>
        <v>#REF!</v>
      </c>
      <c r="DQ47" s="228" t="e">
        <f t="shared" si="63"/>
        <v>#REF!</v>
      </c>
    </row>
    <row r="48" spans="1:121">
      <c r="A48" s="132">
        <f t="shared" si="15"/>
        <v>38</v>
      </c>
      <c r="B48" s="18">
        <f t="shared" si="64"/>
        <v>38</v>
      </c>
      <c r="C48" s="18">
        <f>IF(A48=0," ",VLOOKUP(B48,'tosafot '!$A$7:$B$234,2,0))</f>
        <v>2.2010999999999998</v>
      </c>
      <c r="D48" s="220">
        <f t="shared" si="65"/>
        <v>228</v>
      </c>
      <c r="E48" s="130">
        <f t="shared" si="66"/>
        <v>12.2026</v>
      </c>
      <c r="F48" s="126">
        <f t="shared" si="67"/>
        <v>9</v>
      </c>
      <c r="G48" s="18" t="str">
        <f t="shared" si="68"/>
        <v>הבריאות</v>
      </c>
      <c r="H48" s="189">
        <f t="shared" si="69"/>
        <v>107</v>
      </c>
      <c r="I48" s="18">
        <f t="shared" si="70"/>
        <v>1</v>
      </c>
      <c r="J48" s="18" t="str">
        <f t="shared" si="71"/>
        <v>מינהלי - עובדי מדינה</v>
      </c>
      <c r="K48" s="189">
        <f t="shared" si="72"/>
        <v>1</v>
      </c>
      <c r="L48" s="18">
        <f t="shared" si="73"/>
        <v>12</v>
      </c>
      <c r="M48" s="129" t="str">
        <f t="shared" si="74"/>
        <v>17+</v>
      </c>
      <c r="N48" s="189"/>
      <c r="O48" s="132">
        <f t="shared" si="75"/>
        <v>1012</v>
      </c>
      <c r="P48" s="127">
        <f t="shared" si="76"/>
        <v>37</v>
      </c>
      <c r="Q48" s="127">
        <f t="shared" si="77"/>
        <v>22.75</v>
      </c>
      <c r="R48" s="128">
        <f t="shared" si="78"/>
        <v>92</v>
      </c>
      <c r="S48" s="130">
        <f t="shared" si="79"/>
        <v>1.2540512286990533</v>
      </c>
      <c r="T48" s="135">
        <f t="shared" si="16"/>
        <v>0</v>
      </c>
      <c r="U48" s="127">
        <f t="shared" si="17"/>
        <v>0</v>
      </c>
      <c r="V48" s="217">
        <v>0</v>
      </c>
      <c r="W48" s="191">
        <v>0</v>
      </c>
      <c r="X48" s="133">
        <v>0</v>
      </c>
      <c r="Y48" s="131">
        <f t="shared" si="18"/>
        <v>2438.5</v>
      </c>
      <c r="Z48" s="131">
        <f t="shared" si="19"/>
        <v>619.50392118264142</v>
      </c>
      <c r="AA48" s="242">
        <f t="shared" si="20"/>
        <v>3058.0039211826415</v>
      </c>
      <c r="AB48" s="131">
        <f t="shared" si="21"/>
        <v>0</v>
      </c>
      <c r="AC48" s="131">
        <f t="shared" si="22"/>
        <v>139.48055684730568</v>
      </c>
      <c r="AD48" s="131">
        <f t="shared" si="23"/>
        <v>0</v>
      </c>
      <c r="AE48" s="131">
        <f t="shared" si="24"/>
        <v>0</v>
      </c>
      <c r="AF48" s="131">
        <f t="shared" si="25"/>
        <v>75.260000000000005</v>
      </c>
      <c r="AG48" s="131">
        <f t="shared" si="26"/>
        <v>0</v>
      </c>
      <c r="AH48" s="131">
        <f t="shared" si="27"/>
        <v>0</v>
      </c>
      <c r="AI48" s="131">
        <f t="shared" si="28"/>
        <v>0</v>
      </c>
      <c r="AJ48" s="131">
        <f t="shared" si="29"/>
        <v>0</v>
      </c>
      <c r="AK48" s="131"/>
      <c r="AL48" s="131">
        <f t="shared" si="30"/>
        <v>0</v>
      </c>
      <c r="AM48" s="131"/>
      <c r="AN48" s="243">
        <f t="shared" si="31"/>
        <v>0</v>
      </c>
      <c r="AO48" s="131">
        <f t="shared" si="32"/>
        <v>0</v>
      </c>
      <c r="AP48" s="131">
        <f t="shared" si="33"/>
        <v>0</v>
      </c>
      <c r="AQ48" s="131"/>
      <c r="AR48" s="131">
        <f t="shared" si="34"/>
        <v>0</v>
      </c>
      <c r="AS48" s="131">
        <f t="shared" si="82"/>
        <v>0</v>
      </c>
      <c r="AT48" s="131">
        <f t="shared" si="35"/>
        <v>0</v>
      </c>
      <c r="AU48" s="131">
        <f t="shared" si="36"/>
        <v>0</v>
      </c>
      <c r="AV48" s="131"/>
      <c r="AW48" s="131">
        <f t="shared" si="37"/>
        <v>353.75</v>
      </c>
      <c r="AX48" s="131">
        <f t="shared" si="103"/>
        <v>0</v>
      </c>
      <c r="AY48" s="131">
        <f t="shared" si="38"/>
        <v>0</v>
      </c>
      <c r="AZ48" s="131"/>
      <c r="BA48" s="131">
        <f t="shared" si="104"/>
        <v>0</v>
      </c>
      <c r="BB48" s="131"/>
      <c r="BC48" s="131"/>
      <c r="BD48" s="131">
        <f t="shared" si="39"/>
        <v>0</v>
      </c>
      <c r="BE48" s="131"/>
      <c r="BF48" s="131">
        <f t="shared" si="89"/>
        <v>0</v>
      </c>
      <c r="BG48" s="131">
        <f t="shared" si="90"/>
        <v>0</v>
      </c>
      <c r="BH48" s="131"/>
      <c r="BI48" s="131"/>
      <c r="BJ48" s="131"/>
      <c r="BK48" s="131">
        <f t="shared" si="92"/>
        <v>0</v>
      </c>
      <c r="BL48" s="131"/>
      <c r="BM48" s="131"/>
      <c r="BN48" s="131">
        <f t="shared" si="93"/>
        <v>0</v>
      </c>
      <c r="BO48" s="131"/>
      <c r="BP48" s="131">
        <f t="shared" si="94"/>
        <v>0</v>
      </c>
      <c r="BQ48" s="131"/>
      <c r="BR48" s="131"/>
      <c r="BS48" s="131"/>
      <c r="BT48" s="131"/>
      <c r="BU48" s="131"/>
      <c r="BV48" s="131">
        <f t="shared" si="95"/>
        <v>0</v>
      </c>
      <c r="BW48" s="131"/>
      <c r="BX48" s="131"/>
      <c r="BY48" s="131"/>
      <c r="BZ48" s="131">
        <f t="shared" si="98"/>
        <v>0</v>
      </c>
      <c r="CA48" s="131"/>
      <c r="CB48" s="136">
        <f t="shared" si="40"/>
        <v>165.08663357180151</v>
      </c>
      <c r="CC48" s="131">
        <f t="shared" si="41"/>
        <v>0</v>
      </c>
      <c r="CD48" s="136">
        <f t="shared" si="42"/>
        <v>0</v>
      </c>
      <c r="CE48" s="131">
        <f t="shared" si="102"/>
        <v>0</v>
      </c>
      <c r="CF48" s="136">
        <f t="shared" si="43"/>
        <v>0</v>
      </c>
      <c r="CG48" s="136"/>
      <c r="CH48" s="136">
        <f t="shared" si="101"/>
        <v>0</v>
      </c>
      <c r="CI48" s="131">
        <f t="shared" si="44"/>
        <v>0</v>
      </c>
      <c r="CJ48" s="131"/>
      <c r="CK48" s="136">
        <f t="shared" si="45"/>
        <v>0</v>
      </c>
      <c r="CL48" s="136">
        <f t="shared" si="46"/>
        <v>0</v>
      </c>
      <c r="CM48" s="131">
        <f t="shared" si="47"/>
        <v>0</v>
      </c>
      <c r="CN48" s="136">
        <f t="shared" si="48"/>
        <v>0</v>
      </c>
      <c r="CO48" s="136">
        <f t="shared" si="49"/>
        <v>0</v>
      </c>
      <c r="CP48" s="136">
        <f t="shared" si="50"/>
        <v>0</v>
      </c>
      <c r="CQ48" s="136"/>
      <c r="CR48" s="136">
        <f t="shared" si="51"/>
        <v>0</v>
      </c>
      <c r="CS48" s="136"/>
      <c r="CT48" s="136"/>
      <c r="CU48" s="136"/>
      <c r="CV48" s="136"/>
      <c r="CW48" s="136"/>
      <c r="CX48" s="136"/>
      <c r="CY48" s="136"/>
      <c r="CZ48" s="136">
        <f t="shared" si="52"/>
        <v>0</v>
      </c>
      <c r="DA48" s="136">
        <f t="shared" si="53"/>
        <v>0</v>
      </c>
      <c r="DB48" s="136">
        <f t="shared" si="54"/>
        <v>0</v>
      </c>
      <c r="DC48" s="131">
        <f t="shared" si="13"/>
        <v>0</v>
      </c>
      <c r="DD48" s="131">
        <f t="shared" si="55"/>
        <v>0</v>
      </c>
      <c r="DE48" s="131">
        <f t="shared" si="56"/>
        <v>0</v>
      </c>
      <c r="DF48" s="131">
        <f t="shared" si="57"/>
        <v>0</v>
      </c>
      <c r="DG48" s="131">
        <f t="shared" si="58"/>
        <v>0</v>
      </c>
      <c r="DH48" s="131"/>
      <c r="DI48" s="131"/>
      <c r="DJ48" s="131"/>
      <c r="DK48" s="137">
        <f t="shared" si="99"/>
        <v>3791.5811116017489</v>
      </c>
      <c r="DL48" s="227" t="e">
        <f t="shared" si="59"/>
        <v>#REF!</v>
      </c>
      <c r="DM48" s="227" t="e">
        <f t="shared" si="60"/>
        <v>#REF!</v>
      </c>
      <c r="DN48" s="228" t="e">
        <f t="shared" si="14"/>
        <v>#REF!</v>
      </c>
      <c r="DO48" s="228">
        <f t="shared" si="61"/>
        <v>181.81087083894022</v>
      </c>
      <c r="DP48" s="228" t="e">
        <f t="shared" si="62"/>
        <v>#REF!</v>
      </c>
      <c r="DQ48" s="228" t="e">
        <f t="shared" si="63"/>
        <v>#REF!</v>
      </c>
    </row>
    <row r="49" spans="1:121">
      <c r="A49" s="132">
        <f t="shared" si="15"/>
        <v>39</v>
      </c>
      <c r="B49" s="18">
        <f t="shared" si="64"/>
        <v>39</v>
      </c>
      <c r="C49" s="18">
        <f>IF(A49=0," ",VLOOKUP(B49,'tosafot '!$A$7:$B$234,2,0))</f>
        <v>3.2010999999999998</v>
      </c>
      <c r="D49" s="220">
        <f t="shared" si="65"/>
        <v>228</v>
      </c>
      <c r="E49" s="130">
        <f t="shared" si="66"/>
        <v>12.2026</v>
      </c>
      <c r="F49" s="126">
        <f t="shared" si="67"/>
        <v>9</v>
      </c>
      <c r="G49" s="18" t="str">
        <f t="shared" si="68"/>
        <v>הבריאות</v>
      </c>
      <c r="H49" s="189">
        <f t="shared" si="69"/>
        <v>107</v>
      </c>
      <c r="I49" s="18">
        <f t="shared" si="70"/>
        <v>1</v>
      </c>
      <c r="J49" s="18" t="str">
        <f t="shared" si="71"/>
        <v>מינהלי - עובדי מדינה</v>
      </c>
      <c r="K49" s="189">
        <f t="shared" si="72"/>
        <v>1</v>
      </c>
      <c r="L49" s="18">
        <f t="shared" si="73"/>
        <v>12</v>
      </c>
      <c r="M49" s="129" t="str">
        <f t="shared" si="74"/>
        <v>17+</v>
      </c>
      <c r="N49" s="189"/>
      <c r="O49" s="132">
        <f t="shared" si="75"/>
        <v>1012</v>
      </c>
      <c r="P49" s="127">
        <f t="shared" si="76"/>
        <v>37</v>
      </c>
      <c r="Q49" s="127">
        <f t="shared" si="77"/>
        <v>22.75</v>
      </c>
      <c r="R49" s="128">
        <f t="shared" si="78"/>
        <v>92</v>
      </c>
      <c r="S49" s="130">
        <f t="shared" si="79"/>
        <v>1.2540512286990533</v>
      </c>
      <c r="T49" s="135">
        <f t="shared" si="16"/>
        <v>0</v>
      </c>
      <c r="U49" s="127">
        <f t="shared" si="17"/>
        <v>0</v>
      </c>
      <c r="V49" s="217">
        <v>0</v>
      </c>
      <c r="W49" s="191">
        <v>0</v>
      </c>
      <c r="X49" s="133">
        <v>0</v>
      </c>
      <c r="Y49" s="131">
        <f t="shared" si="18"/>
        <v>2438.5</v>
      </c>
      <c r="Z49" s="131">
        <f t="shared" si="19"/>
        <v>619.50392118264142</v>
      </c>
      <c r="AA49" s="242">
        <f t="shared" si="20"/>
        <v>3058.0039211826415</v>
      </c>
      <c r="AB49" s="131">
        <f t="shared" si="21"/>
        <v>0</v>
      </c>
      <c r="AC49" s="131">
        <f t="shared" si="22"/>
        <v>139.48055684730568</v>
      </c>
      <c r="AD49" s="131">
        <f t="shared" si="23"/>
        <v>0</v>
      </c>
      <c r="AE49" s="131">
        <f t="shared" si="24"/>
        <v>0</v>
      </c>
      <c r="AF49" s="131">
        <f t="shared" si="25"/>
        <v>75.260000000000005</v>
      </c>
      <c r="AG49" s="131">
        <f t="shared" si="26"/>
        <v>0</v>
      </c>
      <c r="AH49" s="131">
        <f t="shared" si="27"/>
        <v>0</v>
      </c>
      <c r="AI49" s="131">
        <f t="shared" si="28"/>
        <v>0</v>
      </c>
      <c r="AJ49" s="131">
        <f t="shared" si="29"/>
        <v>0</v>
      </c>
      <c r="AK49" s="131"/>
      <c r="AL49" s="131">
        <f t="shared" si="30"/>
        <v>0</v>
      </c>
      <c r="AM49" s="131"/>
      <c r="AN49" s="243">
        <f t="shared" si="31"/>
        <v>0</v>
      </c>
      <c r="AO49" s="131">
        <f t="shared" si="32"/>
        <v>0</v>
      </c>
      <c r="AP49" s="131">
        <f t="shared" si="33"/>
        <v>0</v>
      </c>
      <c r="AQ49" s="131"/>
      <c r="AR49" s="131">
        <f t="shared" si="34"/>
        <v>0</v>
      </c>
      <c r="AS49" s="131">
        <f t="shared" si="82"/>
        <v>0</v>
      </c>
      <c r="AT49" s="131">
        <f t="shared" si="35"/>
        <v>0</v>
      </c>
      <c r="AU49" s="131">
        <f t="shared" si="36"/>
        <v>0</v>
      </c>
      <c r="AV49" s="131"/>
      <c r="AW49" s="131">
        <f t="shared" si="37"/>
        <v>353.75</v>
      </c>
      <c r="AX49" s="131">
        <f t="shared" si="103"/>
        <v>0</v>
      </c>
      <c r="AY49" s="131">
        <f t="shared" si="38"/>
        <v>0</v>
      </c>
      <c r="AZ49" s="131"/>
      <c r="BA49" s="131">
        <f t="shared" si="104"/>
        <v>0</v>
      </c>
      <c r="BB49" s="131"/>
      <c r="BC49" s="131"/>
      <c r="BD49" s="131">
        <f t="shared" si="39"/>
        <v>0</v>
      </c>
      <c r="BE49" s="131"/>
      <c r="BF49" s="131">
        <f t="shared" si="89"/>
        <v>0</v>
      </c>
      <c r="BG49" s="131">
        <f t="shared" si="90"/>
        <v>0</v>
      </c>
      <c r="BH49" s="131"/>
      <c r="BI49" s="131"/>
      <c r="BJ49" s="131"/>
      <c r="BK49" s="131">
        <f t="shared" si="92"/>
        <v>0</v>
      </c>
      <c r="BL49" s="131"/>
      <c r="BM49" s="131"/>
      <c r="BN49" s="131">
        <f t="shared" si="93"/>
        <v>0</v>
      </c>
      <c r="BO49" s="131"/>
      <c r="BP49" s="131">
        <f t="shared" si="94"/>
        <v>0</v>
      </c>
      <c r="BQ49" s="131"/>
      <c r="BR49" s="131"/>
      <c r="BS49" s="131"/>
      <c r="BT49" s="131"/>
      <c r="BU49" s="131"/>
      <c r="BV49" s="131">
        <f t="shared" si="95"/>
        <v>0</v>
      </c>
      <c r="BW49" s="131"/>
      <c r="BX49" s="131"/>
      <c r="BY49" s="131"/>
      <c r="BZ49" s="131">
        <f t="shared" si="98"/>
        <v>0</v>
      </c>
      <c r="CA49" s="131"/>
      <c r="CB49" s="136">
        <f t="shared" si="40"/>
        <v>165.08663357180151</v>
      </c>
      <c r="CC49" s="131">
        <f t="shared" si="41"/>
        <v>0</v>
      </c>
      <c r="CD49" s="136">
        <f t="shared" si="42"/>
        <v>0</v>
      </c>
      <c r="CE49" s="131">
        <f t="shared" si="102"/>
        <v>0</v>
      </c>
      <c r="CF49" s="136">
        <f t="shared" si="43"/>
        <v>0</v>
      </c>
      <c r="CG49" s="136"/>
      <c r="CH49" s="136">
        <f t="shared" si="101"/>
        <v>0</v>
      </c>
      <c r="CI49" s="131">
        <f t="shared" si="44"/>
        <v>0</v>
      </c>
      <c r="CJ49" s="131"/>
      <c r="CK49" s="136">
        <f t="shared" si="45"/>
        <v>0</v>
      </c>
      <c r="CL49" s="136">
        <f t="shared" si="46"/>
        <v>0</v>
      </c>
      <c r="CM49" s="131">
        <f t="shared" si="47"/>
        <v>0</v>
      </c>
      <c r="CN49" s="136">
        <f t="shared" si="48"/>
        <v>0</v>
      </c>
      <c r="CO49" s="136">
        <f t="shared" si="49"/>
        <v>0</v>
      </c>
      <c r="CP49" s="136">
        <f t="shared" si="50"/>
        <v>0</v>
      </c>
      <c r="CQ49" s="136"/>
      <c r="CR49" s="136">
        <f t="shared" si="51"/>
        <v>0</v>
      </c>
      <c r="CS49" s="136"/>
      <c r="CT49" s="136"/>
      <c r="CU49" s="136"/>
      <c r="CV49" s="136"/>
      <c r="CW49" s="136"/>
      <c r="CX49" s="136"/>
      <c r="CY49" s="136"/>
      <c r="CZ49" s="136">
        <f t="shared" si="52"/>
        <v>0</v>
      </c>
      <c r="DA49" s="136">
        <f t="shared" si="53"/>
        <v>0</v>
      </c>
      <c r="DB49" s="136">
        <f t="shared" si="54"/>
        <v>0</v>
      </c>
      <c r="DC49" s="131">
        <f t="shared" si="13"/>
        <v>0</v>
      </c>
      <c r="DD49" s="131">
        <f t="shared" si="55"/>
        <v>0</v>
      </c>
      <c r="DE49" s="131">
        <f t="shared" si="56"/>
        <v>0</v>
      </c>
      <c r="DF49" s="131">
        <f t="shared" si="57"/>
        <v>0</v>
      </c>
      <c r="DG49" s="131">
        <f t="shared" si="58"/>
        <v>0</v>
      </c>
      <c r="DH49" s="131"/>
      <c r="DI49" s="131"/>
      <c r="DJ49" s="131"/>
      <c r="DK49" s="137">
        <f t="shared" si="99"/>
        <v>3791.5811116017489</v>
      </c>
      <c r="DL49" s="227" t="e">
        <f t="shared" si="59"/>
        <v>#REF!</v>
      </c>
      <c r="DM49" s="227" t="e">
        <f t="shared" si="60"/>
        <v>#REF!</v>
      </c>
      <c r="DN49" s="228" t="e">
        <f t="shared" si="14"/>
        <v>#REF!</v>
      </c>
      <c r="DO49" s="228">
        <f t="shared" si="61"/>
        <v>181.81087083894022</v>
      </c>
      <c r="DP49" s="228" t="e">
        <f t="shared" si="62"/>
        <v>#REF!</v>
      </c>
      <c r="DQ49" s="228" t="e">
        <f t="shared" si="63"/>
        <v>#REF!</v>
      </c>
    </row>
    <row r="50" spans="1:121">
      <c r="A50" s="132">
        <f t="shared" si="15"/>
        <v>40</v>
      </c>
      <c r="B50" s="18">
        <f t="shared" si="64"/>
        <v>40</v>
      </c>
      <c r="C50" s="18">
        <f>IF(A50=0," ",VLOOKUP(B50,'tosafot '!$A$7:$B$234,2,0))</f>
        <v>4.2011000000000003</v>
      </c>
      <c r="D50" s="220">
        <f t="shared" si="65"/>
        <v>228</v>
      </c>
      <c r="E50" s="130">
        <f t="shared" si="66"/>
        <v>12.2026</v>
      </c>
      <c r="F50" s="126">
        <f t="shared" si="67"/>
        <v>9</v>
      </c>
      <c r="G50" s="18" t="str">
        <f t="shared" si="68"/>
        <v>הבריאות</v>
      </c>
      <c r="H50" s="189">
        <f t="shared" si="69"/>
        <v>107</v>
      </c>
      <c r="I50" s="18">
        <f t="shared" si="70"/>
        <v>1</v>
      </c>
      <c r="J50" s="18" t="str">
        <f t="shared" si="71"/>
        <v>מינהלי - עובדי מדינה</v>
      </c>
      <c r="K50" s="189">
        <f t="shared" si="72"/>
        <v>1</v>
      </c>
      <c r="L50" s="18">
        <f t="shared" si="73"/>
        <v>12</v>
      </c>
      <c r="M50" s="129" t="str">
        <f t="shared" si="74"/>
        <v>17+</v>
      </c>
      <c r="N50" s="189"/>
      <c r="O50" s="132">
        <f t="shared" si="75"/>
        <v>1012</v>
      </c>
      <c r="P50" s="127">
        <f t="shared" si="76"/>
        <v>37</v>
      </c>
      <c r="Q50" s="127">
        <f t="shared" si="77"/>
        <v>22.75</v>
      </c>
      <c r="R50" s="128">
        <f t="shared" si="78"/>
        <v>92</v>
      </c>
      <c r="S50" s="130">
        <f t="shared" si="79"/>
        <v>1.2540512286990533</v>
      </c>
      <c r="T50" s="135">
        <f t="shared" si="16"/>
        <v>0</v>
      </c>
      <c r="U50" s="127">
        <f t="shared" si="17"/>
        <v>0</v>
      </c>
      <c r="V50" s="217">
        <v>0</v>
      </c>
      <c r="W50" s="191">
        <v>0</v>
      </c>
      <c r="X50" s="133">
        <v>0</v>
      </c>
      <c r="Y50" s="131">
        <f t="shared" si="18"/>
        <v>2438.5</v>
      </c>
      <c r="Z50" s="131">
        <f t="shared" si="19"/>
        <v>619.50392118264142</v>
      </c>
      <c r="AA50" s="242">
        <f t="shared" si="20"/>
        <v>3058.0039211826415</v>
      </c>
      <c r="AB50" s="131">
        <f t="shared" si="21"/>
        <v>0</v>
      </c>
      <c r="AC50" s="131">
        <f t="shared" si="22"/>
        <v>139.48055684730568</v>
      </c>
      <c r="AD50" s="131">
        <f t="shared" si="23"/>
        <v>0</v>
      </c>
      <c r="AE50" s="131">
        <f t="shared" si="24"/>
        <v>0</v>
      </c>
      <c r="AF50" s="131">
        <f t="shared" si="25"/>
        <v>75.260000000000005</v>
      </c>
      <c r="AG50" s="131">
        <f t="shared" si="26"/>
        <v>0</v>
      </c>
      <c r="AH50" s="131">
        <f t="shared" si="27"/>
        <v>0</v>
      </c>
      <c r="AI50" s="131">
        <f t="shared" si="28"/>
        <v>0</v>
      </c>
      <c r="AJ50" s="131">
        <f t="shared" si="29"/>
        <v>0</v>
      </c>
      <c r="AK50" s="131"/>
      <c r="AL50" s="131">
        <f t="shared" si="30"/>
        <v>0</v>
      </c>
      <c r="AM50" s="131"/>
      <c r="AN50" s="243">
        <f t="shared" si="31"/>
        <v>0</v>
      </c>
      <c r="AO50" s="131">
        <f t="shared" si="32"/>
        <v>0</v>
      </c>
      <c r="AP50" s="131">
        <f t="shared" si="33"/>
        <v>0</v>
      </c>
      <c r="AQ50" s="131"/>
      <c r="AR50" s="131">
        <f t="shared" si="34"/>
        <v>0</v>
      </c>
      <c r="AS50" s="131">
        <f t="shared" si="82"/>
        <v>0</v>
      </c>
      <c r="AT50" s="131">
        <f t="shared" si="35"/>
        <v>0</v>
      </c>
      <c r="AU50" s="131">
        <f t="shared" si="36"/>
        <v>0</v>
      </c>
      <c r="AV50" s="131"/>
      <c r="AW50" s="131">
        <f t="shared" si="37"/>
        <v>353.75</v>
      </c>
      <c r="AX50" s="131">
        <f t="shared" si="103"/>
        <v>0</v>
      </c>
      <c r="AY50" s="131">
        <f t="shared" si="38"/>
        <v>0</v>
      </c>
      <c r="AZ50" s="131"/>
      <c r="BA50" s="131">
        <f t="shared" si="104"/>
        <v>0</v>
      </c>
      <c r="BB50" s="131"/>
      <c r="BC50" s="131"/>
      <c r="BD50" s="131">
        <f t="shared" si="39"/>
        <v>0</v>
      </c>
      <c r="BE50" s="131"/>
      <c r="BF50" s="131">
        <f t="shared" si="89"/>
        <v>0</v>
      </c>
      <c r="BG50" s="131">
        <f t="shared" si="90"/>
        <v>0</v>
      </c>
      <c r="BH50" s="131"/>
      <c r="BI50" s="131"/>
      <c r="BJ50" s="131"/>
      <c r="BK50" s="131">
        <f t="shared" si="92"/>
        <v>0</v>
      </c>
      <c r="BL50" s="131"/>
      <c r="BM50" s="131"/>
      <c r="BN50" s="131">
        <f t="shared" si="93"/>
        <v>0</v>
      </c>
      <c r="BO50" s="131"/>
      <c r="BP50" s="131">
        <f t="shared" si="94"/>
        <v>0</v>
      </c>
      <c r="BQ50" s="131"/>
      <c r="BR50" s="131"/>
      <c r="BS50" s="131"/>
      <c r="BT50" s="131"/>
      <c r="BU50" s="131"/>
      <c r="BV50" s="131">
        <f t="shared" si="95"/>
        <v>0</v>
      </c>
      <c r="BW50" s="131"/>
      <c r="BX50" s="131"/>
      <c r="BY50" s="131"/>
      <c r="BZ50" s="131">
        <f t="shared" si="98"/>
        <v>0</v>
      </c>
      <c r="CA50" s="131"/>
      <c r="CB50" s="136">
        <f t="shared" si="40"/>
        <v>165.08663357180151</v>
      </c>
      <c r="CC50" s="131">
        <f t="shared" si="41"/>
        <v>0</v>
      </c>
      <c r="CD50" s="136">
        <f t="shared" si="42"/>
        <v>0</v>
      </c>
      <c r="CE50" s="131">
        <f t="shared" si="102"/>
        <v>0</v>
      </c>
      <c r="CF50" s="136">
        <f t="shared" si="43"/>
        <v>0</v>
      </c>
      <c r="CG50" s="136"/>
      <c r="CH50" s="136">
        <f t="shared" si="101"/>
        <v>0</v>
      </c>
      <c r="CI50" s="131">
        <f t="shared" si="44"/>
        <v>0</v>
      </c>
      <c r="CJ50" s="131"/>
      <c r="CK50" s="136">
        <f t="shared" si="45"/>
        <v>0</v>
      </c>
      <c r="CL50" s="136">
        <f t="shared" si="46"/>
        <v>0</v>
      </c>
      <c r="CM50" s="131">
        <f t="shared" si="47"/>
        <v>0</v>
      </c>
      <c r="CN50" s="136">
        <f t="shared" si="48"/>
        <v>0</v>
      </c>
      <c r="CO50" s="136">
        <f t="shared" si="49"/>
        <v>0</v>
      </c>
      <c r="CP50" s="136">
        <f t="shared" si="50"/>
        <v>0</v>
      </c>
      <c r="CQ50" s="136"/>
      <c r="CR50" s="136">
        <f t="shared" si="51"/>
        <v>0</v>
      </c>
      <c r="CS50" s="136"/>
      <c r="CT50" s="136"/>
      <c r="CU50" s="136"/>
      <c r="CV50" s="136"/>
      <c r="CW50" s="136"/>
      <c r="CX50" s="136"/>
      <c r="CY50" s="136"/>
      <c r="CZ50" s="136">
        <f t="shared" si="52"/>
        <v>0</v>
      </c>
      <c r="DA50" s="136">
        <f t="shared" si="53"/>
        <v>0</v>
      </c>
      <c r="DB50" s="136">
        <f t="shared" si="54"/>
        <v>0</v>
      </c>
      <c r="DC50" s="131">
        <f t="shared" si="13"/>
        <v>0</v>
      </c>
      <c r="DD50" s="131">
        <f t="shared" si="55"/>
        <v>0</v>
      </c>
      <c r="DE50" s="131">
        <f t="shared" si="56"/>
        <v>0</v>
      </c>
      <c r="DF50" s="131">
        <f t="shared" si="57"/>
        <v>0</v>
      </c>
      <c r="DG50" s="131">
        <f t="shared" si="58"/>
        <v>0</v>
      </c>
      <c r="DH50" s="131"/>
      <c r="DI50" s="131"/>
      <c r="DJ50" s="131"/>
      <c r="DK50" s="137">
        <f t="shared" si="99"/>
        <v>3791.5811116017489</v>
      </c>
      <c r="DL50" s="227" t="e">
        <f t="shared" si="59"/>
        <v>#REF!</v>
      </c>
      <c r="DM50" s="227" t="e">
        <f t="shared" si="60"/>
        <v>#REF!</v>
      </c>
      <c r="DN50" s="228" t="e">
        <f t="shared" si="14"/>
        <v>#REF!</v>
      </c>
      <c r="DO50" s="228">
        <f t="shared" si="61"/>
        <v>181.81087083894022</v>
      </c>
      <c r="DP50" s="228" t="e">
        <f t="shared" si="62"/>
        <v>#REF!</v>
      </c>
      <c r="DQ50" s="228" t="e">
        <f t="shared" si="63"/>
        <v>#REF!</v>
      </c>
    </row>
    <row r="51" spans="1:121">
      <c r="A51" s="132">
        <f t="shared" si="15"/>
        <v>41</v>
      </c>
      <c r="B51" s="18">
        <f t="shared" si="64"/>
        <v>41</v>
      </c>
      <c r="C51" s="18">
        <f>IF(A51=0," ",VLOOKUP(B51,'tosafot '!$A$7:$B$234,2,0))</f>
        <v>5.2011000000000003</v>
      </c>
      <c r="D51" s="220">
        <f t="shared" si="65"/>
        <v>228</v>
      </c>
      <c r="E51" s="130">
        <f t="shared" si="66"/>
        <v>12.2026</v>
      </c>
      <c r="F51" s="126">
        <f t="shared" si="67"/>
        <v>9</v>
      </c>
      <c r="G51" s="18" t="str">
        <f t="shared" si="68"/>
        <v>הבריאות</v>
      </c>
      <c r="H51" s="189">
        <f t="shared" si="69"/>
        <v>107</v>
      </c>
      <c r="I51" s="18">
        <f t="shared" si="70"/>
        <v>1</v>
      </c>
      <c r="J51" s="18" t="str">
        <f t="shared" si="71"/>
        <v>מינהלי - עובדי מדינה</v>
      </c>
      <c r="K51" s="189">
        <f t="shared" si="72"/>
        <v>1</v>
      </c>
      <c r="L51" s="18">
        <f t="shared" si="73"/>
        <v>12</v>
      </c>
      <c r="M51" s="129" t="str">
        <f t="shared" si="74"/>
        <v>17+</v>
      </c>
      <c r="N51" s="189"/>
      <c r="O51" s="132">
        <f t="shared" si="75"/>
        <v>1012</v>
      </c>
      <c r="P51" s="127">
        <f t="shared" si="76"/>
        <v>37</v>
      </c>
      <c r="Q51" s="127">
        <f t="shared" si="77"/>
        <v>22.75</v>
      </c>
      <c r="R51" s="128">
        <f t="shared" si="78"/>
        <v>92</v>
      </c>
      <c r="S51" s="130">
        <f t="shared" si="79"/>
        <v>1.2540512286990533</v>
      </c>
      <c r="T51" s="135">
        <f t="shared" si="16"/>
        <v>0</v>
      </c>
      <c r="U51" s="127">
        <f t="shared" si="17"/>
        <v>0</v>
      </c>
      <c r="V51" s="217">
        <v>0</v>
      </c>
      <c r="W51" s="191">
        <v>0</v>
      </c>
      <c r="X51" s="133">
        <v>0</v>
      </c>
      <c r="Y51" s="131">
        <f t="shared" si="18"/>
        <v>2438.5</v>
      </c>
      <c r="Z51" s="131">
        <f t="shared" si="19"/>
        <v>619.50392118264142</v>
      </c>
      <c r="AA51" s="242">
        <f t="shared" si="20"/>
        <v>3058.0039211826415</v>
      </c>
      <c r="AB51" s="131">
        <f t="shared" si="21"/>
        <v>0</v>
      </c>
      <c r="AC51" s="131">
        <f t="shared" si="22"/>
        <v>139.48055684730568</v>
      </c>
      <c r="AD51" s="131">
        <f t="shared" si="23"/>
        <v>0</v>
      </c>
      <c r="AE51" s="131">
        <f t="shared" si="24"/>
        <v>0</v>
      </c>
      <c r="AF51" s="131">
        <f t="shared" si="25"/>
        <v>75.260000000000005</v>
      </c>
      <c r="AG51" s="131">
        <f t="shared" si="26"/>
        <v>0</v>
      </c>
      <c r="AH51" s="131">
        <f t="shared" si="27"/>
        <v>0</v>
      </c>
      <c r="AI51" s="131">
        <f t="shared" si="28"/>
        <v>0</v>
      </c>
      <c r="AJ51" s="131">
        <f t="shared" si="29"/>
        <v>0</v>
      </c>
      <c r="AK51" s="131"/>
      <c r="AL51" s="131">
        <f t="shared" si="30"/>
        <v>0</v>
      </c>
      <c r="AM51" s="131"/>
      <c r="AN51" s="243">
        <f t="shared" si="31"/>
        <v>0</v>
      </c>
      <c r="AO51" s="131">
        <f t="shared" si="32"/>
        <v>0</v>
      </c>
      <c r="AP51" s="131">
        <f t="shared" si="33"/>
        <v>0</v>
      </c>
      <c r="AQ51" s="131"/>
      <c r="AR51" s="131">
        <f t="shared" si="34"/>
        <v>0</v>
      </c>
      <c r="AS51" s="131">
        <f t="shared" si="82"/>
        <v>0</v>
      </c>
      <c r="AT51" s="131">
        <f t="shared" si="35"/>
        <v>0</v>
      </c>
      <c r="AU51" s="131">
        <f t="shared" si="36"/>
        <v>0</v>
      </c>
      <c r="AV51" s="131"/>
      <c r="AW51" s="131">
        <f t="shared" si="37"/>
        <v>353.75</v>
      </c>
      <c r="AX51" s="131">
        <f t="shared" si="103"/>
        <v>0</v>
      </c>
      <c r="AY51" s="131">
        <f t="shared" si="38"/>
        <v>0</v>
      </c>
      <c r="AZ51" s="131"/>
      <c r="BA51" s="131">
        <f t="shared" si="104"/>
        <v>0</v>
      </c>
      <c r="BB51" s="131"/>
      <c r="BC51" s="131"/>
      <c r="BD51" s="131">
        <f t="shared" si="39"/>
        <v>0</v>
      </c>
      <c r="BE51" s="131"/>
      <c r="BF51" s="131">
        <f t="shared" si="89"/>
        <v>0</v>
      </c>
      <c r="BG51" s="131">
        <f t="shared" si="90"/>
        <v>0</v>
      </c>
      <c r="BH51" s="131"/>
      <c r="BI51" s="131"/>
      <c r="BJ51" s="131"/>
      <c r="BK51" s="131">
        <f t="shared" si="92"/>
        <v>0</v>
      </c>
      <c r="BL51" s="131"/>
      <c r="BM51" s="131"/>
      <c r="BN51" s="131">
        <f t="shared" si="93"/>
        <v>0</v>
      </c>
      <c r="BO51" s="131"/>
      <c r="BP51" s="131">
        <f t="shared" si="94"/>
        <v>0</v>
      </c>
      <c r="BQ51" s="131"/>
      <c r="BR51" s="131"/>
      <c r="BS51" s="131"/>
      <c r="BT51" s="131"/>
      <c r="BU51" s="131"/>
      <c r="BV51" s="131">
        <f t="shared" si="95"/>
        <v>0</v>
      </c>
      <c r="BW51" s="131"/>
      <c r="BX51" s="131"/>
      <c r="BY51" s="131"/>
      <c r="BZ51" s="131">
        <f t="shared" si="98"/>
        <v>0</v>
      </c>
      <c r="CA51" s="131"/>
      <c r="CB51" s="136">
        <f t="shared" si="40"/>
        <v>165.08663357180151</v>
      </c>
      <c r="CC51" s="131">
        <f t="shared" si="41"/>
        <v>0</v>
      </c>
      <c r="CD51" s="136">
        <f t="shared" si="42"/>
        <v>0</v>
      </c>
      <c r="CE51" s="131">
        <f t="shared" si="102"/>
        <v>0</v>
      </c>
      <c r="CF51" s="136">
        <f t="shared" si="43"/>
        <v>0</v>
      </c>
      <c r="CG51" s="136"/>
      <c r="CH51" s="136">
        <f t="shared" si="101"/>
        <v>0</v>
      </c>
      <c r="CI51" s="131">
        <f t="shared" si="44"/>
        <v>0</v>
      </c>
      <c r="CJ51" s="131"/>
      <c r="CK51" s="136">
        <f t="shared" si="45"/>
        <v>0</v>
      </c>
      <c r="CL51" s="136">
        <f t="shared" si="46"/>
        <v>0</v>
      </c>
      <c r="CM51" s="131">
        <f t="shared" si="47"/>
        <v>0</v>
      </c>
      <c r="CN51" s="136">
        <f t="shared" si="48"/>
        <v>0</v>
      </c>
      <c r="CO51" s="136">
        <f t="shared" si="49"/>
        <v>0</v>
      </c>
      <c r="CP51" s="136">
        <f t="shared" si="50"/>
        <v>0</v>
      </c>
      <c r="CQ51" s="136"/>
      <c r="CR51" s="136">
        <f t="shared" si="51"/>
        <v>0</v>
      </c>
      <c r="CS51" s="136"/>
      <c r="CT51" s="136"/>
      <c r="CU51" s="136"/>
      <c r="CV51" s="136"/>
      <c r="CW51" s="136"/>
      <c r="CX51" s="136"/>
      <c r="CY51" s="136"/>
      <c r="CZ51" s="136">
        <f t="shared" si="52"/>
        <v>0</v>
      </c>
      <c r="DA51" s="136">
        <f t="shared" si="53"/>
        <v>0</v>
      </c>
      <c r="DB51" s="136">
        <f t="shared" si="54"/>
        <v>0</v>
      </c>
      <c r="DC51" s="131">
        <f t="shared" si="13"/>
        <v>0</v>
      </c>
      <c r="DD51" s="131">
        <f t="shared" si="55"/>
        <v>0</v>
      </c>
      <c r="DE51" s="131">
        <f t="shared" si="56"/>
        <v>0</v>
      </c>
      <c r="DF51" s="131">
        <f t="shared" si="57"/>
        <v>0</v>
      </c>
      <c r="DG51" s="131">
        <f t="shared" si="58"/>
        <v>0</v>
      </c>
      <c r="DH51" s="131"/>
      <c r="DI51" s="131"/>
      <c r="DJ51" s="131"/>
      <c r="DK51" s="137">
        <f t="shared" si="99"/>
        <v>3791.5811116017489</v>
      </c>
      <c r="DL51" s="227" t="e">
        <f t="shared" si="59"/>
        <v>#REF!</v>
      </c>
      <c r="DM51" s="227" t="e">
        <f t="shared" si="60"/>
        <v>#REF!</v>
      </c>
      <c r="DN51" s="228" t="e">
        <f t="shared" si="14"/>
        <v>#REF!</v>
      </c>
      <c r="DO51" s="228">
        <f t="shared" si="61"/>
        <v>181.81087083894022</v>
      </c>
      <c r="DP51" s="228" t="e">
        <f t="shared" si="62"/>
        <v>#REF!</v>
      </c>
      <c r="DQ51" s="228" t="e">
        <f t="shared" si="63"/>
        <v>#REF!</v>
      </c>
    </row>
    <row r="52" spans="1:121">
      <c r="A52" s="132">
        <f t="shared" si="15"/>
        <v>42</v>
      </c>
      <c r="B52" s="18">
        <f t="shared" si="64"/>
        <v>42</v>
      </c>
      <c r="C52" s="18">
        <f>IF(A52=0," ",VLOOKUP(B52,'tosafot '!$A$7:$B$234,2,0))</f>
        <v>6.2011000000000003</v>
      </c>
      <c r="D52" s="220">
        <f t="shared" si="65"/>
        <v>228</v>
      </c>
      <c r="E52" s="130">
        <f t="shared" si="66"/>
        <v>12.2026</v>
      </c>
      <c r="F52" s="126">
        <f t="shared" si="67"/>
        <v>9</v>
      </c>
      <c r="G52" s="18" t="str">
        <f t="shared" si="68"/>
        <v>הבריאות</v>
      </c>
      <c r="H52" s="189">
        <f t="shared" si="69"/>
        <v>107</v>
      </c>
      <c r="I52" s="18">
        <f t="shared" si="70"/>
        <v>1</v>
      </c>
      <c r="J52" s="18" t="str">
        <f t="shared" si="71"/>
        <v>מינהלי - עובדי מדינה</v>
      </c>
      <c r="K52" s="189">
        <f t="shared" si="72"/>
        <v>1</v>
      </c>
      <c r="L52" s="18">
        <f t="shared" si="73"/>
        <v>12</v>
      </c>
      <c r="M52" s="129" t="str">
        <f t="shared" si="74"/>
        <v>17+</v>
      </c>
      <c r="N52" s="189"/>
      <c r="O52" s="132">
        <f t="shared" si="75"/>
        <v>1012</v>
      </c>
      <c r="P52" s="127">
        <f t="shared" si="76"/>
        <v>37</v>
      </c>
      <c r="Q52" s="127">
        <f t="shared" si="77"/>
        <v>22.75</v>
      </c>
      <c r="R52" s="128">
        <f t="shared" si="78"/>
        <v>92</v>
      </c>
      <c r="S52" s="130">
        <f t="shared" si="79"/>
        <v>1.2540512286990533</v>
      </c>
      <c r="T52" s="135">
        <f t="shared" si="16"/>
        <v>0</v>
      </c>
      <c r="U52" s="127">
        <f t="shared" si="17"/>
        <v>0</v>
      </c>
      <c r="V52" s="217">
        <v>0</v>
      </c>
      <c r="W52" s="191">
        <v>0</v>
      </c>
      <c r="X52" s="133">
        <v>0</v>
      </c>
      <c r="Y52" s="131">
        <f t="shared" si="18"/>
        <v>2438.5</v>
      </c>
      <c r="Z52" s="131">
        <f t="shared" si="19"/>
        <v>619.50392118264142</v>
      </c>
      <c r="AA52" s="242">
        <f t="shared" si="20"/>
        <v>3058.0039211826415</v>
      </c>
      <c r="AB52" s="131">
        <f t="shared" si="21"/>
        <v>0</v>
      </c>
      <c r="AC52" s="131">
        <f t="shared" si="22"/>
        <v>139.48055684730568</v>
      </c>
      <c r="AD52" s="131">
        <f t="shared" si="23"/>
        <v>0</v>
      </c>
      <c r="AE52" s="131">
        <f t="shared" si="24"/>
        <v>0</v>
      </c>
      <c r="AF52" s="131">
        <f t="shared" si="25"/>
        <v>75.260000000000005</v>
      </c>
      <c r="AG52" s="131">
        <f t="shared" si="26"/>
        <v>0</v>
      </c>
      <c r="AH52" s="131">
        <f t="shared" si="27"/>
        <v>0</v>
      </c>
      <c r="AI52" s="131">
        <f t="shared" si="28"/>
        <v>0</v>
      </c>
      <c r="AJ52" s="131">
        <f t="shared" si="29"/>
        <v>0</v>
      </c>
      <c r="AK52" s="131"/>
      <c r="AL52" s="131">
        <f t="shared" si="30"/>
        <v>0</v>
      </c>
      <c r="AM52" s="131"/>
      <c r="AN52" s="243">
        <f t="shared" si="31"/>
        <v>0</v>
      </c>
      <c r="AO52" s="131">
        <f t="shared" si="32"/>
        <v>0</v>
      </c>
      <c r="AP52" s="131">
        <f t="shared" si="33"/>
        <v>0</v>
      </c>
      <c r="AQ52" s="131"/>
      <c r="AR52" s="131">
        <f t="shared" si="34"/>
        <v>0</v>
      </c>
      <c r="AS52" s="131">
        <f t="shared" si="82"/>
        <v>0</v>
      </c>
      <c r="AT52" s="131">
        <f t="shared" si="35"/>
        <v>0</v>
      </c>
      <c r="AU52" s="131">
        <f t="shared" si="36"/>
        <v>0</v>
      </c>
      <c r="AV52" s="131"/>
      <c r="AW52" s="131">
        <f t="shared" si="37"/>
        <v>353.75</v>
      </c>
      <c r="AX52" s="131">
        <f t="shared" si="103"/>
        <v>0</v>
      </c>
      <c r="AY52" s="131">
        <f t="shared" si="38"/>
        <v>0</v>
      </c>
      <c r="AZ52" s="131"/>
      <c r="BA52" s="131">
        <f t="shared" si="104"/>
        <v>0</v>
      </c>
      <c r="BB52" s="131"/>
      <c r="BC52" s="131"/>
      <c r="BD52" s="131">
        <f t="shared" si="39"/>
        <v>0</v>
      </c>
      <c r="BE52" s="131"/>
      <c r="BF52" s="131">
        <f t="shared" si="89"/>
        <v>0</v>
      </c>
      <c r="BG52" s="131">
        <f t="shared" si="90"/>
        <v>0</v>
      </c>
      <c r="BH52" s="131"/>
      <c r="BI52" s="131"/>
      <c r="BJ52" s="131"/>
      <c r="BK52" s="131">
        <f t="shared" si="92"/>
        <v>0</v>
      </c>
      <c r="BL52" s="131"/>
      <c r="BM52" s="131"/>
      <c r="BN52" s="131">
        <f t="shared" si="93"/>
        <v>0</v>
      </c>
      <c r="BO52" s="131"/>
      <c r="BP52" s="131">
        <f t="shared" si="94"/>
        <v>0</v>
      </c>
      <c r="BQ52" s="131"/>
      <c r="BR52" s="131"/>
      <c r="BS52" s="131"/>
      <c r="BT52" s="131"/>
      <c r="BU52" s="131"/>
      <c r="BV52" s="131">
        <f t="shared" si="95"/>
        <v>0</v>
      </c>
      <c r="BW52" s="131"/>
      <c r="BX52" s="131"/>
      <c r="BY52" s="131"/>
      <c r="BZ52" s="131">
        <f t="shared" si="98"/>
        <v>0</v>
      </c>
      <c r="CA52" s="131"/>
      <c r="CB52" s="136">
        <f t="shared" si="40"/>
        <v>165.08663357180151</v>
      </c>
      <c r="CC52" s="131">
        <f t="shared" si="41"/>
        <v>0</v>
      </c>
      <c r="CD52" s="136">
        <f t="shared" si="42"/>
        <v>0</v>
      </c>
      <c r="CE52" s="131">
        <f t="shared" si="102"/>
        <v>0</v>
      </c>
      <c r="CF52" s="136">
        <f t="shared" si="43"/>
        <v>0</v>
      </c>
      <c r="CG52" s="136"/>
      <c r="CH52" s="136">
        <f t="shared" si="101"/>
        <v>0</v>
      </c>
      <c r="CI52" s="131">
        <f t="shared" si="44"/>
        <v>0</v>
      </c>
      <c r="CJ52" s="131"/>
      <c r="CK52" s="136">
        <f t="shared" si="45"/>
        <v>0</v>
      </c>
      <c r="CL52" s="136">
        <f t="shared" si="46"/>
        <v>0</v>
      </c>
      <c r="CM52" s="131">
        <f t="shared" si="47"/>
        <v>0</v>
      </c>
      <c r="CN52" s="136">
        <f t="shared" si="48"/>
        <v>0</v>
      </c>
      <c r="CO52" s="136">
        <f t="shared" si="49"/>
        <v>0</v>
      </c>
      <c r="CP52" s="136">
        <f t="shared" si="50"/>
        <v>0</v>
      </c>
      <c r="CQ52" s="136"/>
      <c r="CR52" s="136">
        <f t="shared" si="51"/>
        <v>0</v>
      </c>
      <c r="CS52" s="136"/>
      <c r="CT52" s="136"/>
      <c r="CU52" s="136"/>
      <c r="CV52" s="136"/>
      <c r="CW52" s="136"/>
      <c r="CX52" s="136"/>
      <c r="CY52" s="136"/>
      <c r="CZ52" s="136">
        <f t="shared" si="52"/>
        <v>0</v>
      </c>
      <c r="DA52" s="136">
        <f t="shared" si="53"/>
        <v>0</v>
      </c>
      <c r="DB52" s="136">
        <f t="shared" si="54"/>
        <v>0</v>
      </c>
      <c r="DC52" s="131">
        <f t="shared" si="13"/>
        <v>0</v>
      </c>
      <c r="DD52" s="131">
        <f t="shared" si="55"/>
        <v>0</v>
      </c>
      <c r="DE52" s="131">
        <f t="shared" si="56"/>
        <v>0</v>
      </c>
      <c r="DF52" s="131">
        <f t="shared" si="57"/>
        <v>0</v>
      </c>
      <c r="DG52" s="131">
        <f t="shared" si="58"/>
        <v>0</v>
      </c>
      <c r="DH52" s="131"/>
      <c r="DI52" s="131"/>
      <c r="DJ52" s="131"/>
      <c r="DK52" s="137">
        <f t="shared" si="99"/>
        <v>3791.5811116017489</v>
      </c>
      <c r="DL52" s="227" t="e">
        <f t="shared" si="59"/>
        <v>#REF!</v>
      </c>
      <c r="DM52" s="227" t="e">
        <f t="shared" si="60"/>
        <v>#REF!</v>
      </c>
      <c r="DN52" s="228" t="e">
        <f t="shared" si="14"/>
        <v>#REF!</v>
      </c>
      <c r="DO52" s="228">
        <f t="shared" si="61"/>
        <v>181.81087083894022</v>
      </c>
      <c r="DP52" s="228" t="e">
        <f t="shared" si="62"/>
        <v>#REF!</v>
      </c>
      <c r="DQ52" s="228" t="e">
        <f t="shared" si="63"/>
        <v>#REF!</v>
      </c>
    </row>
    <row r="53" spans="1:121">
      <c r="A53" s="132">
        <f t="shared" si="15"/>
        <v>43</v>
      </c>
      <c r="B53" s="18">
        <f t="shared" si="64"/>
        <v>43</v>
      </c>
      <c r="C53" s="18">
        <f>IF(A53=0," ",VLOOKUP(B53,'tosafot '!$A$7:$B$234,2,0))</f>
        <v>7.2011000000000003</v>
      </c>
      <c r="D53" s="220">
        <f t="shared" si="65"/>
        <v>228</v>
      </c>
      <c r="E53" s="130">
        <f t="shared" si="66"/>
        <v>12.2026</v>
      </c>
      <c r="F53" s="126">
        <f t="shared" si="67"/>
        <v>9</v>
      </c>
      <c r="G53" s="18" t="str">
        <f t="shared" si="68"/>
        <v>הבריאות</v>
      </c>
      <c r="H53" s="189">
        <f t="shared" si="69"/>
        <v>107</v>
      </c>
      <c r="I53" s="18">
        <f t="shared" si="70"/>
        <v>1</v>
      </c>
      <c r="J53" s="18" t="str">
        <f t="shared" si="71"/>
        <v>מינהלי - עובדי מדינה</v>
      </c>
      <c r="K53" s="189">
        <f t="shared" si="72"/>
        <v>1</v>
      </c>
      <c r="L53" s="18">
        <f t="shared" si="73"/>
        <v>12</v>
      </c>
      <c r="M53" s="129" t="str">
        <f t="shared" si="74"/>
        <v>17+</v>
      </c>
      <c r="N53" s="189"/>
      <c r="O53" s="132">
        <f t="shared" si="75"/>
        <v>1012</v>
      </c>
      <c r="P53" s="127">
        <f t="shared" si="76"/>
        <v>37</v>
      </c>
      <c r="Q53" s="127">
        <f t="shared" si="77"/>
        <v>22.75</v>
      </c>
      <c r="R53" s="128">
        <f t="shared" si="78"/>
        <v>92</v>
      </c>
      <c r="S53" s="130">
        <f t="shared" si="79"/>
        <v>1.2540512286990533</v>
      </c>
      <c r="T53" s="135">
        <f t="shared" si="16"/>
        <v>0</v>
      </c>
      <c r="U53" s="127">
        <f t="shared" si="17"/>
        <v>0</v>
      </c>
      <c r="V53" s="217">
        <v>0</v>
      </c>
      <c r="W53" s="191">
        <v>0</v>
      </c>
      <c r="X53" s="133">
        <v>0</v>
      </c>
      <c r="Y53" s="131">
        <f t="shared" si="18"/>
        <v>2438.5</v>
      </c>
      <c r="Z53" s="131">
        <f t="shared" si="19"/>
        <v>619.50392118264142</v>
      </c>
      <c r="AA53" s="242">
        <f t="shared" si="20"/>
        <v>3058.0039211826415</v>
      </c>
      <c r="AB53" s="131">
        <f t="shared" si="21"/>
        <v>0</v>
      </c>
      <c r="AC53" s="131">
        <f t="shared" si="22"/>
        <v>139.48055684730568</v>
      </c>
      <c r="AD53" s="131">
        <f t="shared" si="23"/>
        <v>0</v>
      </c>
      <c r="AE53" s="131">
        <f t="shared" si="24"/>
        <v>0</v>
      </c>
      <c r="AF53" s="131">
        <f t="shared" si="25"/>
        <v>75.260000000000005</v>
      </c>
      <c r="AG53" s="131">
        <f t="shared" si="26"/>
        <v>0</v>
      </c>
      <c r="AH53" s="131">
        <f t="shared" si="27"/>
        <v>0</v>
      </c>
      <c r="AI53" s="131">
        <f t="shared" si="28"/>
        <v>0</v>
      </c>
      <c r="AJ53" s="131">
        <f t="shared" si="29"/>
        <v>0</v>
      </c>
      <c r="AK53" s="131"/>
      <c r="AL53" s="131">
        <f t="shared" si="30"/>
        <v>0</v>
      </c>
      <c r="AM53" s="131"/>
      <c r="AN53" s="243">
        <f t="shared" si="31"/>
        <v>0</v>
      </c>
      <c r="AO53" s="131">
        <f t="shared" si="32"/>
        <v>0</v>
      </c>
      <c r="AP53" s="131">
        <f t="shared" si="33"/>
        <v>0</v>
      </c>
      <c r="AQ53" s="131"/>
      <c r="AR53" s="131">
        <f t="shared" si="34"/>
        <v>0</v>
      </c>
      <c r="AS53" s="131">
        <f t="shared" si="82"/>
        <v>0</v>
      </c>
      <c r="AT53" s="131">
        <f t="shared" si="35"/>
        <v>0</v>
      </c>
      <c r="AU53" s="131">
        <f t="shared" si="36"/>
        <v>0</v>
      </c>
      <c r="AV53" s="131"/>
      <c r="AW53" s="131">
        <f t="shared" si="37"/>
        <v>353.75</v>
      </c>
      <c r="AX53" s="131">
        <f t="shared" si="103"/>
        <v>0</v>
      </c>
      <c r="AY53" s="131">
        <f t="shared" si="38"/>
        <v>0</v>
      </c>
      <c r="AZ53" s="131"/>
      <c r="BA53" s="131">
        <f t="shared" si="104"/>
        <v>0</v>
      </c>
      <c r="BB53" s="131"/>
      <c r="BC53" s="131"/>
      <c r="BD53" s="131">
        <f t="shared" si="39"/>
        <v>0</v>
      </c>
      <c r="BE53" s="131"/>
      <c r="BF53" s="131">
        <f t="shared" si="89"/>
        <v>0</v>
      </c>
      <c r="BG53" s="131">
        <f t="shared" si="90"/>
        <v>0</v>
      </c>
      <c r="BH53" s="131"/>
      <c r="BI53" s="131"/>
      <c r="BJ53" s="131"/>
      <c r="BK53" s="131">
        <f t="shared" si="92"/>
        <v>0</v>
      </c>
      <c r="BL53" s="131"/>
      <c r="BM53" s="131"/>
      <c r="BN53" s="131">
        <f t="shared" si="93"/>
        <v>0</v>
      </c>
      <c r="BO53" s="131"/>
      <c r="BP53" s="131">
        <f t="shared" si="94"/>
        <v>0</v>
      </c>
      <c r="BQ53" s="131"/>
      <c r="BR53" s="131"/>
      <c r="BS53" s="131"/>
      <c r="BT53" s="131"/>
      <c r="BU53" s="131"/>
      <c r="BV53" s="131">
        <f t="shared" si="95"/>
        <v>0</v>
      </c>
      <c r="BW53" s="131"/>
      <c r="BX53" s="131"/>
      <c r="BY53" s="131"/>
      <c r="BZ53" s="131">
        <f t="shared" si="98"/>
        <v>0</v>
      </c>
      <c r="CA53" s="131"/>
      <c r="CB53" s="136">
        <f t="shared" si="40"/>
        <v>165.08663357180151</v>
      </c>
      <c r="CC53" s="131">
        <f t="shared" si="41"/>
        <v>0</v>
      </c>
      <c r="CD53" s="136">
        <f t="shared" si="42"/>
        <v>0</v>
      </c>
      <c r="CE53" s="131">
        <f t="shared" si="102"/>
        <v>0</v>
      </c>
      <c r="CF53" s="136">
        <f t="shared" si="43"/>
        <v>0</v>
      </c>
      <c r="CG53" s="136"/>
      <c r="CH53" s="136">
        <f t="shared" si="101"/>
        <v>0</v>
      </c>
      <c r="CI53" s="131">
        <f t="shared" si="44"/>
        <v>0</v>
      </c>
      <c r="CJ53" s="131"/>
      <c r="CK53" s="136">
        <f t="shared" si="45"/>
        <v>0</v>
      </c>
      <c r="CL53" s="136">
        <f t="shared" si="46"/>
        <v>0</v>
      </c>
      <c r="CM53" s="131">
        <f t="shared" si="47"/>
        <v>0</v>
      </c>
      <c r="CN53" s="136">
        <f t="shared" si="48"/>
        <v>0</v>
      </c>
      <c r="CO53" s="136">
        <f t="shared" si="49"/>
        <v>0</v>
      </c>
      <c r="CP53" s="136">
        <f t="shared" si="50"/>
        <v>0</v>
      </c>
      <c r="CQ53" s="136"/>
      <c r="CR53" s="136">
        <f t="shared" si="51"/>
        <v>0</v>
      </c>
      <c r="CS53" s="136"/>
      <c r="CT53" s="136"/>
      <c r="CU53" s="136"/>
      <c r="CV53" s="136"/>
      <c r="CW53" s="136"/>
      <c r="CX53" s="136"/>
      <c r="CY53" s="136"/>
      <c r="CZ53" s="136">
        <f t="shared" si="52"/>
        <v>0</v>
      </c>
      <c r="DA53" s="136">
        <f t="shared" si="53"/>
        <v>0</v>
      </c>
      <c r="DB53" s="136">
        <f t="shared" si="54"/>
        <v>0</v>
      </c>
      <c r="DC53" s="131">
        <f t="shared" si="13"/>
        <v>0</v>
      </c>
      <c r="DD53" s="131">
        <f t="shared" si="55"/>
        <v>0</v>
      </c>
      <c r="DE53" s="131">
        <f t="shared" si="56"/>
        <v>0</v>
      </c>
      <c r="DF53" s="131">
        <f t="shared" si="57"/>
        <v>0</v>
      </c>
      <c r="DG53" s="131">
        <f t="shared" si="58"/>
        <v>0</v>
      </c>
      <c r="DH53" s="131"/>
      <c r="DI53" s="131"/>
      <c r="DJ53" s="131"/>
      <c r="DK53" s="137">
        <f t="shared" si="99"/>
        <v>3791.5811116017489</v>
      </c>
      <c r="DL53" s="227" t="e">
        <f t="shared" si="59"/>
        <v>#REF!</v>
      </c>
      <c r="DM53" s="227" t="e">
        <f t="shared" si="60"/>
        <v>#REF!</v>
      </c>
      <c r="DN53" s="228" t="e">
        <f t="shared" si="14"/>
        <v>#REF!</v>
      </c>
      <c r="DO53" s="228">
        <f t="shared" si="61"/>
        <v>181.81087083894022</v>
      </c>
      <c r="DP53" s="228" t="e">
        <f t="shared" si="62"/>
        <v>#REF!</v>
      </c>
      <c r="DQ53" s="228" t="e">
        <f t="shared" si="63"/>
        <v>#REF!</v>
      </c>
    </row>
    <row r="54" spans="1:121">
      <c r="A54" s="132">
        <f t="shared" si="15"/>
        <v>44</v>
      </c>
      <c r="B54" s="18">
        <f t="shared" si="64"/>
        <v>44</v>
      </c>
      <c r="C54" s="18">
        <f>IF(A54=0," ",VLOOKUP(B54,'tosafot '!$A$7:$B$234,2,0))</f>
        <v>8.2011000000000003</v>
      </c>
      <c r="D54" s="220">
        <f t="shared" si="65"/>
        <v>228</v>
      </c>
      <c r="E54" s="130">
        <f t="shared" si="66"/>
        <v>12.2026</v>
      </c>
      <c r="F54" s="126">
        <f t="shared" si="67"/>
        <v>9</v>
      </c>
      <c r="G54" s="18" t="str">
        <f t="shared" si="68"/>
        <v>הבריאות</v>
      </c>
      <c r="H54" s="189">
        <f t="shared" si="69"/>
        <v>107</v>
      </c>
      <c r="I54" s="18">
        <f t="shared" si="70"/>
        <v>1</v>
      </c>
      <c r="J54" s="18" t="str">
        <f t="shared" si="71"/>
        <v>מינהלי - עובדי מדינה</v>
      </c>
      <c r="K54" s="189">
        <f t="shared" si="72"/>
        <v>1</v>
      </c>
      <c r="L54" s="18">
        <f t="shared" si="73"/>
        <v>12</v>
      </c>
      <c r="M54" s="129" t="str">
        <f t="shared" si="74"/>
        <v>17+</v>
      </c>
      <c r="N54" s="189"/>
      <c r="O54" s="132">
        <f t="shared" si="75"/>
        <v>1012</v>
      </c>
      <c r="P54" s="127">
        <f t="shared" si="76"/>
        <v>37</v>
      </c>
      <c r="Q54" s="127">
        <f t="shared" si="77"/>
        <v>22.75</v>
      </c>
      <c r="R54" s="128">
        <f t="shared" si="78"/>
        <v>92</v>
      </c>
      <c r="S54" s="130">
        <f t="shared" si="79"/>
        <v>1.2540512286990533</v>
      </c>
      <c r="T54" s="135">
        <f t="shared" si="16"/>
        <v>0</v>
      </c>
      <c r="U54" s="127">
        <f t="shared" si="17"/>
        <v>0</v>
      </c>
      <c r="V54" s="217">
        <v>0</v>
      </c>
      <c r="W54" s="191">
        <v>0</v>
      </c>
      <c r="X54" s="133">
        <v>0</v>
      </c>
      <c r="Y54" s="131">
        <f t="shared" si="18"/>
        <v>2438.5</v>
      </c>
      <c r="Z54" s="131">
        <f t="shared" si="19"/>
        <v>619.50392118264142</v>
      </c>
      <c r="AA54" s="242">
        <f t="shared" si="20"/>
        <v>3058.0039211826415</v>
      </c>
      <c r="AB54" s="131">
        <f t="shared" si="21"/>
        <v>0</v>
      </c>
      <c r="AC54" s="131">
        <f t="shared" si="22"/>
        <v>139.48055684730568</v>
      </c>
      <c r="AD54" s="131">
        <f t="shared" si="23"/>
        <v>0</v>
      </c>
      <c r="AE54" s="131">
        <f t="shared" si="24"/>
        <v>0</v>
      </c>
      <c r="AF54" s="131">
        <f t="shared" si="25"/>
        <v>75.260000000000005</v>
      </c>
      <c r="AG54" s="131">
        <f t="shared" si="26"/>
        <v>0</v>
      </c>
      <c r="AH54" s="131">
        <f t="shared" si="27"/>
        <v>0</v>
      </c>
      <c r="AI54" s="131">
        <f t="shared" si="28"/>
        <v>0</v>
      </c>
      <c r="AJ54" s="131">
        <f t="shared" si="29"/>
        <v>0</v>
      </c>
      <c r="AK54" s="131"/>
      <c r="AL54" s="131">
        <f t="shared" si="30"/>
        <v>0</v>
      </c>
      <c r="AM54" s="131"/>
      <c r="AN54" s="243">
        <f t="shared" si="31"/>
        <v>0</v>
      </c>
      <c r="AO54" s="131">
        <f t="shared" si="32"/>
        <v>0</v>
      </c>
      <c r="AP54" s="131">
        <f t="shared" si="33"/>
        <v>0</v>
      </c>
      <c r="AQ54" s="131"/>
      <c r="AR54" s="131">
        <f t="shared" si="34"/>
        <v>0</v>
      </c>
      <c r="AS54" s="131">
        <f t="shared" si="82"/>
        <v>0</v>
      </c>
      <c r="AT54" s="131">
        <f t="shared" si="35"/>
        <v>0</v>
      </c>
      <c r="AU54" s="131">
        <f t="shared" si="36"/>
        <v>0</v>
      </c>
      <c r="AV54" s="131"/>
      <c r="AW54" s="131">
        <f t="shared" si="37"/>
        <v>353.75</v>
      </c>
      <c r="AX54" s="131">
        <f t="shared" si="103"/>
        <v>0</v>
      </c>
      <c r="AY54" s="131">
        <f t="shared" si="38"/>
        <v>0</v>
      </c>
      <c r="AZ54" s="131"/>
      <c r="BA54" s="131">
        <f t="shared" si="104"/>
        <v>0</v>
      </c>
      <c r="BB54" s="131"/>
      <c r="BC54" s="131"/>
      <c r="BD54" s="131">
        <f t="shared" si="39"/>
        <v>0</v>
      </c>
      <c r="BE54" s="131"/>
      <c r="BF54" s="131">
        <f t="shared" si="89"/>
        <v>0</v>
      </c>
      <c r="BG54" s="131">
        <f t="shared" si="90"/>
        <v>0</v>
      </c>
      <c r="BH54" s="131"/>
      <c r="BI54" s="131"/>
      <c r="BJ54" s="131"/>
      <c r="BK54" s="131">
        <f t="shared" si="92"/>
        <v>0</v>
      </c>
      <c r="BL54" s="131"/>
      <c r="BM54" s="131"/>
      <c r="BN54" s="131">
        <f t="shared" si="93"/>
        <v>0</v>
      </c>
      <c r="BO54" s="131"/>
      <c r="BP54" s="131">
        <f t="shared" si="94"/>
        <v>0</v>
      </c>
      <c r="BQ54" s="131"/>
      <c r="BR54" s="131"/>
      <c r="BS54" s="131"/>
      <c r="BT54" s="131"/>
      <c r="BU54" s="131"/>
      <c r="BV54" s="131">
        <f t="shared" si="95"/>
        <v>0</v>
      </c>
      <c r="BW54" s="131"/>
      <c r="BX54" s="131"/>
      <c r="BY54" s="131"/>
      <c r="BZ54" s="131">
        <f t="shared" si="98"/>
        <v>0</v>
      </c>
      <c r="CA54" s="131"/>
      <c r="CB54" s="136">
        <f t="shared" si="40"/>
        <v>165.08663357180151</v>
      </c>
      <c r="CC54" s="131">
        <f t="shared" si="41"/>
        <v>0</v>
      </c>
      <c r="CD54" s="136">
        <f t="shared" si="42"/>
        <v>0</v>
      </c>
      <c r="CE54" s="131">
        <f t="shared" si="102"/>
        <v>0</v>
      </c>
      <c r="CF54" s="136">
        <f t="shared" si="43"/>
        <v>0</v>
      </c>
      <c r="CG54" s="136"/>
      <c r="CH54" s="136">
        <f t="shared" si="101"/>
        <v>0</v>
      </c>
      <c r="CI54" s="131">
        <f t="shared" si="44"/>
        <v>0</v>
      </c>
      <c r="CJ54" s="131"/>
      <c r="CK54" s="136">
        <f t="shared" si="45"/>
        <v>0</v>
      </c>
      <c r="CL54" s="136">
        <f t="shared" si="46"/>
        <v>0</v>
      </c>
      <c r="CM54" s="131">
        <f t="shared" si="47"/>
        <v>0</v>
      </c>
      <c r="CN54" s="136">
        <f t="shared" si="48"/>
        <v>0</v>
      </c>
      <c r="CO54" s="136">
        <f t="shared" si="49"/>
        <v>0</v>
      </c>
      <c r="CP54" s="136">
        <f t="shared" si="50"/>
        <v>0</v>
      </c>
      <c r="CQ54" s="136"/>
      <c r="CR54" s="136">
        <f t="shared" si="51"/>
        <v>0</v>
      </c>
      <c r="CS54" s="136"/>
      <c r="CT54" s="136"/>
      <c r="CU54" s="136"/>
      <c r="CV54" s="136"/>
      <c r="CW54" s="136"/>
      <c r="CX54" s="136"/>
      <c r="CY54" s="136"/>
      <c r="CZ54" s="136">
        <f t="shared" si="52"/>
        <v>0</v>
      </c>
      <c r="DA54" s="136">
        <f t="shared" si="53"/>
        <v>0</v>
      </c>
      <c r="DB54" s="136">
        <f t="shared" si="54"/>
        <v>0</v>
      </c>
      <c r="DC54" s="131">
        <f t="shared" si="13"/>
        <v>0</v>
      </c>
      <c r="DD54" s="131">
        <f t="shared" si="55"/>
        <v>0</v>
      </c>
      <c r="DE54" s="131">
        <f t="shared" si="56"/>
        <v>0</v>
      </c>
      <c r="DF54" s="131">
        <f t="shared" si="57"/>
        <v>0</v>
      </c>
      <c r="DG54" s="131">
        <f t="shared" si="58"/>
        <v>0</v>
      </c>
      <c r="DH54" s="131"/>
      <c r="DI54" s="131"/>
      <c r="DJ54" s="131"/>
      <c r="DK54" s="137">
        <f t="shared" si="99"/>
        <v>3791.5811116017489</v>
      </c>
      <c r="DL54" s="227" t="e">
        <f t="shared" si="59"/>
        <v>#REF!</v>
      </c>
      <c r="DM54" s="227" t="e">
        <f t="shared" si="60"/>
        <v>#REF!</v>
      </c>
      <c r="DN54" s="228" t="e">
        <f t="shared" si="14"/>
        <v>#REF!</v>
      </c>
      <c r="DO54" s="228">
        <f t="shared" si="61"/>
        <v>181.81087083894022</v>
      </c>
      <c r="DP54" s="228" t="e">
        <f t="shared" si="62"/>
        <v>#REF!</v>
      </c>
      <c r="DQ54" s="228" t="e">
        <f t="shared" si="63"/>
        <v>#REF!</v>
      </c>
    </row>
    <row r="55" spans="1:121">
      <c r="A55" s="132">
        <f t="shared" si="15"/>
        <v>45</v>
      </c>
      <c r="B55" s="18">
        <f t="shared" si="64"/>
        <v>45</v>
      </c>
      <c r="C55" s="18">
        <f>IF(A55=0," ",VLOOKUP(B55,'tosafot '!$A$7:$B$234,2,0))</f>
        <v>9.2011000000000003</v>
      </c>
      <c r="D55" s="220">
        <f t="shared" si="65"/>
        <v>228</v>
      </c>
      <c r="E55" s="130">
        <f t="shared" si="66"/>
        <v>12.2026</v>
      </c>
      <c r="F55" s="126">
        <f t="shared" si="67"/>
        <v>9</v>
      </c>
      <c r="G55" s="18" t="str">
        <f t="shared" si="68"/>
        <v>הבריאות</v>
      </c>
      <c r="H55" s="189">
        <f t="shared" si="69"/>
        <v>107</v>
      </c>
      <c r="I55" s="18">
        <f t="shared" si="70"/>
        <v>1</v>
      </c>
      <c r="J55" s="18" t="str">
        <f t="shared" si="71"/>
        <v>מינהלי - עובדי מדינה</v>
      </c>
      <c r="K55" s="189">
        <f t="shared" si="72"/>
        <v>1</v>
      </c>
      <c r="L55" s="18">
        <f t="shared" si="73"/>
        <v>12</v>
      </c>
      <c r="M55" s="129" t="str">
        <f t="shared" si="74"/>
        <v>17+</v>
      </c>
      <c r="N55" s="189"/>
      <c r="O55" s="132">
        <f t="shared" si="75"/>
        <v>1012</v>
      </c>
      <c r="P55" s="127">
        <f t="shared" si="76"/>
        <v>37</v>
      </c>
      <c r="Q55" s="127">
        <f t="shared" si="77"/>
        <v>22.75</v>
      </c>
      <c r="R55" s="128">
        <f t="shared" si="78"/>
        <v>92</v>
      </c>
      <c r="S55" s="130">
        <f t="shared" si="79"/>
        <v>1.2540512286990533</v>
      </c>
      <c r="T55" s="135">
        <f t="shared" si="16"/>
        <v>0</v>
      </c>
      <c r="U55" s="127">
        <f t="shared" si="17"/>
        <v>0</v>
      </c>
      <c r="V55" s="217">
        <v>0</v>
      </c>
      <c r="W55" s="191">
        <v>0</v>
      </c>
      <c r="X55" s="133">
        <v>0</v>
      </c>
      <c r="Y55" s="131">
        <f t="shared" si="18"/>
        <v>2438.5</v>
      </c>
      <c r="Z55" s="131">
        <f t="shared" si="19"/>
        <v>619.50392118264142</v>
      </c>
      <c r="AA55" s="242">
        <f t="shared" si="20"/>
        <v>3058.0039211826415</v>
      </c>
      <c r="AB55" s="131">
        <f t="shared" si="21"/>
        <v>0</v>
      </c>
      <c r="AC55" s="131">
        <f t="shared" si="22"/>
        <v>139.48055684730568</v>
      </c>
      <c r="AD55" s="131">
        <f t="shared" si="23"/>
        <v>0</v>
      </c>
      <c r="AE55" s="131">
        <f t="shared" si="24"/>
        <v>0</v>
      </c>
      <c r="AF55" s="131">
        <f t="shared" si="25"/>
        <v>75.260000000000005</v>
      </c>
      <c r="AG55" s="131">
        <f t="shared" si="26"/>
        <v>0</v>
      </c>
      <c r="AH55" s="131">
        <f t="shared" si="27"/>
        <v>0</v>
      </c>
      <c r="AI55" s="131">
        <f t="shared" si="28"/>
        <v>0</v>
      </c>
      <c r="AJ55" s="131">
        <f t="shared" si="29"/>
        <v>0</v>
      </c>
      <c r="AK55" s="131"/>
      <c r="AL55" s="131">
        <f t="shared" si="30"/>
        <v>0</v>
      </c>
      <c r="AM55" s="131"/>
      <c r="AN55" s="243">
        <f t="shared" si="31"/>
        <v>0</v>
      </c>
      <c r="AO55" s="131">
        <f t="shared" si="32"/>
        <v>0</v>
      </c>
      <c r="AP55" s="131">
        <f t="shared" si="33"/>
        <v>0</v>
      </c>
      <c r="AQ55" s="131"/>
      <c r="AR55" s="131">
        <f t="shared" si="34"/>
        <v>0</v>
      </c>
      <c r="AS55" s="131">
        <f t="shared" si="82"/>
        <v>0</v>
      </c>
      <c r="AT55" s="131">
        <f t="shared" si="35"/>
        <v>0</v>
      </c>
      <c r="AU55" s="131">
        <f t="shared" si="36"/>
        <v>0</v>
      </c>
      <c r="AV55" s="131"/>
      <c r="AW55" s="131">
        <f t="shared" si="37"/>
        <v>353.75</v>
      </c>
      <c r="AX55" s="131">
        <f t="shared" si="103"/>
        <v>0</v>
      </c>
      <c r="AY55" s="131">
        <f t="shared" si="38"/>
        <v>0</v>
      </c>
      <c r="AZ55" s="131"/>
      <c r="BA55" s="131">
        <f t="shared" si="104"/>
        <v>0</v>
      </c>
      <c r="BB55" s="131"/>
      <c r="BC55" s="131"/>
      <c r="BD55" s="131">
        <f t="shared" si="39"/>
        <v>0</v>
      </c>
      <c r="BE55" s="131"/>
      <c r="BF55" s="131">
        <f t="shared" si="89"/>
        <v>0</v>
      </c>
      <c r="BG55" s="131">
        <f t="shared" si="90"/>
        <v>0</v>
      </c>
      <c r="BH55" s="131"/>
      <c r="BI55" s="131"/>
      <c r="BJ55" s="131"/>
      <c r="BK55" s="131">
        <f t="shared" si="92"/>
        <v>0</v>
      </c>
      <c r="BL55" s="131"/>
      <c r="BM55" s="131"/>
      <c r="BN55" s="131">
        <f t="shared" si="93"/>
        <v>0</v>
      </c>
      <c r="BO55" s="131"/>
      <c r="BP55" s="131">
        <f t="shared" si="94"/>
        <v>0</v>
      </c>
      <c r="BQ55" s="131"/>
      <c r="BR55" s="131"/>
      <c r="BS55" s="131"/>
      <c r="BT55" s="131"/>
      <c r="BU55" s="131"/>
      <c r="BV55" s="131">
        <f t="shared" si="95"/>
        <v>0</v>
      </c>
      <c r="BW55" s="131"/>
      <c r="BX55" s="131"/>
      <c r="BY55" s="131"/>
      <c r="BZ55" s="131">
        <f t="shared" si="98"/>
        <v>0</v>
      </c>
      <c r="CA55" s="131"/>
      <c r="CB55" s="136">
        <f t="shared" si="40"/>
        <v>165.08663357180151</v>
      </c>
      <c r="CC55" s="131">
        <f t="shared" si="41"/>
        <v>0</v>
      </c>
      <c r="CD55" s="136">
        <f t="shared" si="42"/>
        <v>0</v>
      </c>
      <c r="CE55" s="131">
        <f t="shared" si="102"/>
        <v>0</v>
      </c>
      <c r="CF55" s="136">
        <f t="shared" si="43"/>
        <v>0</v>
      </c>
      <c r="CG55" s="136"/>
      <c r="CH55" s="136">
        <f t="shared" si="101"/>
        <v>0</v>
      </c>
      <c r="CI55" s="131">
        <f t="shared" si="44"/>
        <v>0</v>
      </c>
      <c r="CJ55" s="131"/>
      <c r="CK55" s="136">
        <f t="shared" si="45"/>
        <v>0</v>
      </c>
      <c r="CL55" s="136">
        <f t="shared" si="46"/>
        <v>0</v>
      </c>
      <c r="CM55" s="131">
        <f t="shared" si="47"/>
        <v>0</v>
      </c>
      <c r="CN55" s="136">
        <f t="shared" si="48"/>
        <v>0</v>
      </c>
      <c r="CO55" s="136">
        <f t="shared" si="49"/>
        <v>0</v>
      </c>
      <c r="CP55" s="136">
        <f t="shared" si="50"/>
        <v>0</v>
      </c>
      <c r="CQ55" s="136"/>
      <c r="CR55" s="136">
        <f t="shared" si="51"/>
        <v>0</v>
      </c>
      <c r="CS55" s="136"/>
      <c r="CT55" s="136"/>
      <c r="CU55" s="136"/>
      <c r="CV55" s="136"/>
      <c r="CW55" s="136"/>
      <c r="CX55" s="136"/>
      <c r="CY55" s="136"/>
      <c r="CZ55" s="136">
        <f t="shared" si="52"/>
        <v>0</v>
      </c>
      <c r="DA55" s="136">
        <f t="shared" si="53"/>
        <v>0</v>
      </c>
      <c r="DB55" s="136">
        <f t="shared" si="54"/>
        <v>0</v>
      </c>
      <c r="DC55" s="131">
        <f t="shared" si="13"/>
        <v>0</v>
      </c>
      <c r="DD55" s="131">
        <f t="shared" si="55"/>
        <v>0</v>
      </c>
      <c r="DE55" s="131">
        <f t="shared" si="56"/>
        <v>0</v>
      </c>
      <c r="DF55" s="131">
        <f t="shared" si="57"/>
        <v>0</v>
      </c>
      <c r="DG55" s="131">
        <f t="shared" si="58"/>
        <v>0</v>
      </c>
      <c r="DH55" s="131"/>
      <c r="DI55" s="131"/>
      <c r="DJ55" s="131"/>
      <c r="DK55" s="137">
        <f t="shared" si="99"/>
        <v>3791.5811116017489</v>
      </c>
      <c r="DL55" s="227" t="e">
        <f t="shared" si="59"/>
        <v>#REF!</v>
      </c>
      <c r="DM55" s="227" t="e">
        <f t="shared" si="60"/>
        <v>#REF!</v>
      </c>
      <c r="DN55" s="228" t="e">
        <f t="shared" si="14"/>
        <v>#REF!</v>
      </c>
      <c r="DO55" s="228">
        <f t="shared" si="61"/>
        <v>181.81087083894022</v>
      </c>
      <c r="DP55" s="228" t="e">
        <f t="shared" si="62"/>
        <v>#REF!</v>
      </c>
      <c r="DQ55" s="228" t="e">
        <f t="shared" si="63"/>
        <v>#REF!</v>
      </c>
    </row>
    <row r="56" spans="1:121">
      <c r="A56" s="132">
        <f t="shared" si="15"/>
        <v>46</v>
      </c>
      <c r="B56" s="18">
        <f t="shared" si="64"/>
        <v>46</v>
      </c>
      <c r="C56" s="18">
        <f>IF(A56=0," ",VLOOKUP(B56,'tosafot '!$A$7:$B$234,2,0))</f>
        <v>10.2011</v>
      </c>
      <c r="D56" s="220">
        <f t="shared" si="65"/>
        <v>228</v>
      </c>
      <c r="E56" s="130">
        <f t="shared" si="66"/>
        <v>12.2026</v>
      </c>
      <c r="F56" s="126">
        <f t="shared" si="67"/>
        <v>9</v>
      </c>
      <c r="G56" s="18" t="str">
        <f t="shared" si="68"/>
        <v>הבריאות</v>
      </c>
      <c r="H56" s="189">
        <f t="shared" si="69"/>
        <v>107</v>
      </c>
      <c r="I56" s="18">
        <f t="shared" si="70"/>
        <v>1</v>
      </c>
      <c r="J56" s="18" t="str">
        <f t="shared" si="71"/>
        <v>מינהלי - עובדי מדינה</v>
      </c>
      <c r="K56" s="189">
        <f t="shared" si="72"/>
        <v>1</v>
      </c>
      <c r="L56" s="18">
        <f t="shared" si="73"/>
        <v>12</v>
      </c>
      <c r="M56" s="129" t="str">
        <f t="shared" si="74"/>
        <v>17+</v>
      </c>
      <c r="N56" s="189"/>
      <c r="O56" s="132">
        <f t="shared" si="75"/>
        <v>1012</v>
      </c>
      <c r="P56" s="127">
        <f t="shared" si="76"/>
        <v>37</v>
      </c>
      <c r="Q56" s="127">
        <f t="shared" si="77"/>
        <v>22.75</v>
      </c>
      <c r="R56" s="128">
        <f t="shared" si="78"/>
        <v>92</v>
      </c>
      <c r="S56" s="130">
        <f t="shared" si="79"/>
        <v>1.2540512286990533</v>
      </c>
      <c r="T56" s="135">
        <f t="shared" si="16"/>
        <v>0</v>
      </c>
      <c r="U56" s="127">
        <f t="shared" si="17"/>
        <v>0</v>
      </c>
      <c r="V56" s="217">
        <v>0</v>
      </c>
      <c r="W56" s="191">
        <v>0</v>
      </c>
      <c r="X56" s="133">
        <v>0</v>
      </c>
      <c r="Y56" s="131">
        <f t="shared" si="18"/>
        <v>2438.5</v>
      </c>
      <c r="Z56" s="131">
        <f t="shared" si="19"/>
        <v>619.50392118264142</v>
      </c>
      <c r="AA56" s="242">
        <f t="shared" si="20"/>
        <v>3058.0039211826415</v>
      </c>
      <c r="AB56" s="131">
        <f t="shared" si="21"/>
        <v>0</v>
      </c>
      <c r="AC56" s="131">
        <f t="shared" si="22"/>
        <v>139.48055684730568</v>
      </c>
      <c r="AD56" s="131">
        <f t="shared" si="23"/>
        <v>0</v>
      </c>
      <c r="AE56" s="131">
        <f t="shared" si="24"/>
        <v>0</v>
      </c>
      <c r="AF56" s="131">
        <f t="shared" si="25"/>
        <v>75.260000000000005</v>
      </c>
      <c r="AG56" s="131">
        <f t="shared" si="26"/>
        <v>0</v>
      </c>
      <c r="AH56" s="131">
        <f t="shared" si="27"/>
        <v>0</v>
      </c>
      <c r="AI56" s="131">
        <f t="shared" si="28"/>
        <v>0</v>
      </c>
      <c r="AJ56" s="131">
        <f t="shared" si="29"/>
        <v>0</v>
      </c>
      <c r="AK56" s="131"/>
      <c r="AL56" s="131">
        <f t="shared" si="30"/>
        <v>0</v>
      </c>
      <c r="AM56" s="131"/>
      <c r="AN56" s="243">
        <f t="shared" si="31"/>
        <v>0</v>
      </c>
      <c r="AO56" s="131">
        <f t="shared" si="32"/>
        <v>0</v>
      </c>
      <c r="AP56" s="131">
        <f t="shared" si="33"/>
        <v>0</v>
      </c>
      <c r="AQ56" s="131"/>
      <c r="AR56" s="131">
        <f t="shared" si="34"/>
        <v>0</v>
      </c>
      <c r="AS56" s="131">
        <f t="shared" si="82"/>
        <v>0</v>
      </c>
      <c r="AT56" s="131">
        <f t="shared" si="35"/>
        <v>0</v>
      </c>
      <c r="AU56" s="131">
        <f t="shared" si="36"/>
        <v>0</v>
      </c>
      <c r="AV56" s="131"/>
      <c r="AW56" s="131">
        <f t="shared" si="37"/>
        <v>353.75</v>
      </c>
      <c r="AX56" s="131">
        <f t="shared" si="103"/>
        <v>0</v>
      </c>
      <c r="AY56" s="131">
        <f t="shared" si="38"/>
        <v>0</v>
      </c>
      <c r="AZ56" s="131"/>
      <c r="BA56" s="131">
        <f t="shared" si="104"/>
        <v>0</v>
      </c>
      <c r="BB56" s="131"/>
      <c r="BC56" s="131"/>
      <c r="BD56" s="131">
        <f t="shared" si="39"/>
        <v>0</v>
      </c>
      <c r="BE56" s="131"/>
      <c r="BF56" s="131">
        <f t="shared" si="89"/>
        <v>0</v>
      </c>
      <c r="BG56" s="131">
        <f t="shared" si="90"/>
        <v>0</v>
      </c>
      <c r="BH56" s="131"/>
      <c r="BI56" s="131"/>
      <c r="BJ56" s="131"/>
      <c r="BK56" s="131">
        <f t="shared" si="92"/>
        <v>0</v>
      </c>
      <c r="BL56" s="131"/>
      <c r="BM56" s="131"/>
      <c r="BN56" s="131">
        <f t="shared" si="93"/>
        <v>0</v>
      </c>
      <c r="BO56" s="131"/>
      <c r="BP56" s="131">
        <f t="shared" si="94"/>
        <v>0</v>
      </c>
      <c r="BQ56" s="131"/>
      <c r="BR56" s="131"/>
      <c r="BS56" s="131"/>
      <c r="BT56" s="131"/>
      <c r="BU56" s="131"/>
      <c r="BV56" s="131">
        <f t="shared" si="95"/>
        <v>0</v>
      </c>
      <c r="BW56" s="131"/>
      <c r="BX56" s="131"/>
      <c r="BY56" s="131"/>
      <c r="BZ56" s="131">
        <f t="shared" si="98"/>
        <v>0</v>
      </c>
      <c r="CA56" s="131"/>
      <c r="CB56" s="136">
        <f t="shared" si="40"/>
        <v>165.08663357180151</v>
      </c>
      <c r="CC56" s="131">
        <f t="shared" si="41"/>
        <v>0</v>
      </c>
      <c r="CD56" s="136">
        <f t="shared" si="42"/>
        <v>0</v>
      </c>
      <c r="CE56" s="131">
        <f t="shared" si="102"/>
        <v>0</v>
      </c>
      <c r="CF56" s="136">
        <f t="shared" si="43"/>
        <v>0</v>
      </c>
      <c r="CG56" s="136"/>
      <c r="CH56" s="136">
        <f t="shared" si="101"/>
        <v>0</v>
      </c>
      <c r="CI56" s="131">
        <f t="shared" si="44"/>
        <v>0</v>
      </c>
      <c r="CJ56" s="131"/>
      <c r="CK56" s="136">
        <f t="shared" si="45"/>
        <v>0</v>
      </c>
      <c r="CL56" s="136">
        <f t="shared" si="46"/>
        <v>0</v>
      </c>
      <c r="CM56" s="131">
        <f t="shared" si="47"/>
        <v>0</v>
      </c>
      <c r="CN56" s="136">
        <f t="shared" si="48"/>
        <v>0</v>
      </c>
      <c r="CO56" s="136">
        <f t="shared" si="49"/>
        <v>0</v>
      </c>
      <c r="CP56" s="136">
        <f t="shared" si="50"/>
        <v>0</v>
      </c>
      <c r="CQ56" s="136"/>
      <c r="CR56" s="136">
        <f t="shared" si="51"/>
        <v>0</v>
      </c>
      <c r="CS56" s="136"/>
      <c r="CT56" s="136"/>
      <c r="CU56" s="136"/>
      <c r="CV56" s="136"/>
      <c r="CW56" s="136"/>
      <c r="CX56" s="136"/>
      <c r="CY56" s="136"/>
      <c r="CZ56" s="136">
        <f t="shared" si="52"/>
        <v>0</v>
      </c>
      <c r="DA56" s="136">
        <f t="shared" si="53"/>
        <v>0</v>
      </c>
      <c r="DB56" s="136">
        <f t="shared" si="54"/>
        <v>0</v>
      </c>
      <c r="DC56" s="131">
        <f t="shared" si="13"/>
        <v>0</v>
      </c>
      <c r="DD56" s="131">
        <f t="shared" si="55"/>
        <v>0</v>
      </c>
      <c r="DE56" s="131">
        <f t="shared" si="56"/>
        <v>0</v>
      </c>
      <c r="DF56" s="131">
        <f t="shared" si="57"/>
        <v>0</v>
      </c>
      <c r="DG56" s="131">
        <f t="shared" si="58"/>
        <v>0</v>
      </c>
      <c r="DH56" s="131"/>
      <c r="DI56" s="131"/>
      <c r="DJ56" s="131"/>
      <c r="DK56" s="137">
        <f t="shared" si="99"/>
        <v>3791.5811116017489</v>
      </c>
      <c r="DL56" s="227" t="e">
        <f t="shared" si="59"/>
        <v>#REF!</v>
      </c>
      <c r="DM56" s="227" t="e">
        <f t="shared" si="60"/>
        <v>#REF!</v>
      </c>
      <c r="DN56" s="228" t="e">
        <f t="shared" si="14"/>
        <v>#REF!</v>
      </c>
      <c r="DO56" s="228">
        <f t="shared" si="61"/>
        <v>181.81087083894022</v>
      </c>
      <c r="DP56" s="228" t="e">
        <f t="shared" si="62"/>
        <v>#REF!</v>
      </c>
      <c r="DQ56" s="228" t="e">
        <f t="shared" si="63"/>
        <v>#REF!</v>
      </c>
    </row>
    <row r="57" spans="1:121">
      <c r="A57" s="132">
        <f t="shared" si="15"/>
        <v>47</v>
      </c>
      <c r="B57" s="18">
        <f t="shared" si="64"/>
        <v>47</v>
      </c>
      <c r="C57" s="18">
        <f>IF(A57=0," ",VLOOKUP(B57,'tosafot '!$A$7:$B$234,2,0))</f>
        <v>11.2011</v>
      </c>
      <c r="D57" s="220">
        <f t="shared" si="65"/>
        <v>228</v>
      </c>
      <c r="E57" s="130">
        <f t="shared" si="66"/>
        <v>12.2026</v>
      </c>
      <c r="F57" s="126">
        <f t="shared" si="67"/>
        <v>9</v>
      </c>
      <c r="G57" s="18" t="str">
        <f t="shared" si="68"/>
        <v>הבריאות</v>
      </c>
      <c r="H57" s="189">
        <f t="shared" si="69"/>
        <v>107</v>
      </c>
      <c r="I57" s="18">
        <f t="shared" si="70"/>
        <v>1</v>
      </c>
      <c r="J57" s="18" t="str">
        <f t="shared" si="71"/>
        <v>מינהלי - עובדי מדינה</v>
      </c>
      <c r="K57" s="189">
        <f t="shared" si="72"/>
        <v>1</v>
      </c>
      <c r="L57" s="18">
        <f t="shared" si="73"/>
        <v>12</v>
      </c>
      <c r="M57" s="129" t="str">
        <f t="shared" si="74"/>
        <v>17+</v>
      </c>
      <c r="N57" s="189"/>
      <c r="O57" s="132">
        <f t="shared" si="75"/>
        <v>1012</v>
      </c>
      <c r="P57" s="127">
        <f t="shared" si="76"/>
        <v>37</v>
      </c>
      <c r="Q57" s="127">
        <f t="shared" si="77"/>
        <v>22.75</v>
      </c>
      <c r="R57" s="128">
        <f t="shared" si="78"/>
        <v>92</v>
      </c>
      <c r="S57" s="130">
        <f t="shared" si="79"/>
        <v>1.2540512286990533</v>
      </c>
      <c r="T57" s="135">
        <f t="shared" si="16"/>
        <v>0</v>
      </c>
      <c r="U57" s="127">
        <f t="shared" si="17"/>
        <v>0</v>
      </c>
      <c r="V57" s="217">
        <v>0</v>
      </c>
      <c r="W57" s="191">
        <v>0</v>
      </c>
      <c r="X57" s="133">
        <v>0</v>
      </c>
      <c r="Y57" s="131">
        <f t="shared" si="18"/>
        <v>2438.5</v>
      </c>
      <c r="Z57" s="131">
        <f t="shared" si="19"/>
        <v>619.50392118264142</v>
      </c>
      <c r="AA57" s="242">
        <f t="shared" si="20"/>
        <v>3058.0039211826415</v>
      </c>
      <c r="AB57" s="131">
        <f t="shared" si="21"/>
        <v>0</v>
      </c>
      <c r="AC57" s="131">
        <f t="shared" si="22"/>
        <v>139.48055684730568</v>
      </c>
      <c r="AD57" s="131">
        <f t="shared" si="23"/>
        <v>0</v>
      </c>
      <c r="AE57" s="131">
        <f t="shared" si="24"/>
        <v>0</v>
      </c>
      <c r="AF57" s="131">
        <f t="shared" si="25"/>
        <v>75.260000000000005</v>
      </c>
      <c r="AG57" s="131">
        <f t="shared" si="26"/>
        <v>0</v>
      </c>
      <c r="AH57" s="131">
        <f t="shared" si="27"/>
        <v>0</v>
      </c>
      <c r="AI57" s="131">
        <f t="shared" si="28"/>
        <v>0</v>
      </c>
      <c r="AJ57" s="131">
        <f t="shared" si="29"/>
        <v>0</v>
      </c>
      <c r="AK57" s="131"/>
      <c r="AL57" s="131">
        <f t="shared" si="30"/>
        <v>0</v>
      </c>
      <c r="AM57" s="131"/>
      <c r="AN57" s="243">
        <f t="shared" si="31"/>
        <v>0</v>
      </c>
      <c r="AO57" s="131">
        <f t="shared" si="32"/>
        <v>0</v>
      </c>
      <c r="AP57" s="131">
        <f t="shared" si="33"/>
        <v>0</v>
      </c>
      <c r="AQ57" s="131"/>
      <c r="AR57" s="131">
        <f t="shared" si="34"/>
        <v>0</v>
      </c>
      <c r="AS57" s="131">
        <f t="shared" si="82"/>
        <v>0</v>
      </c>
      <c r="AT57" s="131">
        <f t="shared" si="35"/>
        <v>0</v>
      </c>
      <c r="AU57" s="131">
        <f t="shared" si="36"/>
        <v>0</v>
      </c>
      <c r="AV57" s="131"/>
      <c r="AW57" s="131">
        <f t="shared" si="37"/>
        <v>353.75</v>
      </c>
      <c r="AX57" s="131">
        <f t="shared" si="103"/>
        <v>0</v>
      </c>
      <c r="AY57" s="131">
        <f t="shared" si="38"/>
        <v>0</v>
      </c>
      <c r="AZ57" s="131"/>
      <c r="BA57" s="131">
        <f t="shared" si="104"/>
        <v>0</v>
      </c>
      <c r="BB57" s="131"/>
      <c r="BC57" s="131"/>
      <c r="BD57" s="131">
        <f t="shared" si="39"/>
        <v>0</v>
      </c>
      <c r="BE57" s="131"/>
      <c r="BF57" s="131">
        <f t="shared" si="89"/>
        <v>0</v>
      </c>
      <c r="BG57" s="131">
        <f t="shared" si="90"/>
        <v>0</v>
      </c>
      <c r="BH57" s="131"/>
      <c r="BI57" s="131"/>
      <c r="BJ57" s="131"/>
      <c r="BK57" s="131">
        <f t="shared" si="92"/>
        <v>0</v>
      </c>
      <c r="BL57" s="131"/>
      <c r="BM57" s="131"/>
      <c r="BN57" s="131">
        <f t="shared" si="93"/>
        <v>0</v>
      </c>
      <c r="BO57" s="131"/>
      <c r="BP57" s="131">
        <f t="shared" si="94"/>
        <v>0</v>
      </c>
      <c r="BQ57" s="131"/>
      <c r="BR57" s="131"/>
      <c r="BS57" s="131"/>
      <c r="BT57" s="131"/>
      <c r="BU57" s="131"/>
      <c r="BV57" s="131">
        <f t="shared" si="95"/>
        <v>0</v>
      </c>
      <c r="BW57" s="131"/>
      <c r="BX57" s="131"/>
      <c r="BY57" s="131"/>
      <c r="BZ57" s="131">
        <f t="shared" si="98"/>
        <v>0</v>
      </c>
      <c r="CA57" s="131"/>
      <c r="CB57" s="136">
        <f t="shared" si="40"/>
        <v>165.08663357180151</v>
      </c>
      <c r="CC57" s="131">
        <f t="shared" si="41"/>
        <v>0</v>
      </c>
      <c r="CD57" s="136">
        <f t="shared" si="42"/>
        <v>0</v>
      </c>
      <c r="CE57" s="131">
        <f t="shared" si="102"/>
        <v>0</v>
      </c>
      <c r="CF57" s="136">
        <f t="shared" si="43"/>
        <v>0</v>
      </c>
      <c r="CG57" s="136"/>
      <c r="CH57" s="136">
        <f t="shared" si="101"/>
        <v>0</v>
      </c>
      <c r="CI57" s="131">
        <f t="shared" si="44"/>
        <v>0</v>
      </c>
      <c r="CJ57" s="131"/>
      <c r="CK57" s="136">
        <f t="shared" si="45"/>
        <v>0</v>
      </c>
      <c r="CL57" s="136">
        <f t="shared" si="46"/>
        <v>0</v>
      </c>
      <c r="CM57" s="131">
        <f t="shared" si="47"/>
        <v>0</v>
      </c>
      <c r="CN57" s="136">
        <f t="shared" si="48"/>
        <v>0</v>
      </c>
      <c r="CO57" s="136">
        <f t="shared" si="49"/>
        <v>0</v>
      </c>
      <c r="CP57" s="136">
        <f t="shared" si="50"/>
        <v>0</v>
      </c>
      <c r="CQ57" s="136"/>
      <c r="CR57" s="136">
        <f t="shared" si="51"/>
        <v>0</v>
      </c>
      <c r="CS57" s="136"/>
      <c r="CT57" s="136"/>
      <c r="CU57" s="136"/>
      <c r="CV57" s="136"/>
      <c r="CW57" s="136"/>
      <c r="CX57" s="136"/>
      <c r="CY57" s="136"/>
      <c r="CZ57" s="136">
        <f t="shared" si="52"/>
        <v>0</v>
      </c>
      <c r="DA57" s="136">
        <f t="shared" si="53"/>
        <v>0</v>
      </c>
      <c r="DB57" s="136">
        <f t="shared" si="54"/>
        <v>0</v>
      </c>
      <c r="DC57" s="131">
        <f t="shared" si="13"/>
        <v>0</v>
      </c>
      <c r="DD57" s="131">
        <f t="shared" si="55"/>
        <v>0</v>
      </c>
      <c r="DE57" s="131">
        <f t="shared" si="56"/>
        <v>0</v>
      </c>
      <c r="DF57" s="131">
        <f t="shared" si="57"/>
        <v>0</v>
      </c>
      <c r="DG57" s="131">
        <f t="shared" si="58"/>
        <v>0</v>
      </c>
      <c r="DH57" s="131"/>
      <c r="DI57" s="131"/>
      <c r="DJ57" s="131"/>
      <c r="DK57" s="137">
        <f t="shared" si="99"/>
        <v>3791.5811116017489</v>
      </c>
      <c r="DL57" s="227" t="e">
        <f t="shared" si="59"/>
        <v>#REF!</v>
      </c>
      <c r="DM57" s="227" t="e">
        <f t="shared" si="60"/>
        <v>#REF!</v>
      </c>
      <c r="DN57" s="228" t="e">
        <f t="shared" si="14"/>
        <v>#REF!</v>
      </c>
      <c r="DO57" s="228">
        <f t="shared" si="61"/>
        <v>181.81087083894022</v>
      </c>
      <c r="DP57" s="228" t="e">
        <f t="shared" si="62"/>
        <v>#REF!</v>
      </c>
      <c r="DQ57" s="228" t="e">
        <f t="shared" si="63"/>
        <v>#REF!</v>
      </c>
    </row>
    <row r="58" spans="1:121">
      <c r="A58" s="132">
        <f t="shared" si="15"/>
        <v>48</v>
      </c>
      <c r="B58" s="18">
        <f t="shared" si="64"/>
        <v>48</v>
      </c>
      <c r="C58" s="18">
        <f>IF(A58=0," ",VLOOKUP(B58,'tosafot '!$A$7:$B$234,2,0))</f>
        <v>12.2011</v>
      </c>
      <c r="D58" s="220">
        <f t="shared" si="65"/>
        <v>228</v>
      </c>
      <c r="E58" s="130">
        <f t="shared" si="66"/>
        <v>12.2026</v>
      </c>
      <c r="F58" s="126">
        <f t="shared" si="67"/>
        <v>9</v>
      </c>
      <c r="G58" s="18" t="str">
        <f t="shared" si="68"/>
        <v>הבריאות</v>
      </c>
      <c r="H58" s="189">
        <f t="shared" si="69"/>
        <v>107</v>
      </c>
      <c r="I58" s="18">
        <f t="shared" si="70"/>
        <v>1</v>
      </c>
      <c r="J58" s="18" t="str">
        <f t="shared" si="71"/>
        <v>מינהלי - עובדי מדינה</v>
      </c>
      <c r="K58" s="189">
        <f t="shared" si="72"/>
        <v>1</v>
      </c>
      <c r="L58" s="18">
        <f t="shared" si="73"/>
        <v>12</v>
      </c>
      <c r="M58" s="129" t="str">
        <f t="shared" si="74"/>
        <v>17+</v>
      </c>
      <c r="N58" s="189"/>
      <c r="O58" s="132">
        <f t="shared" si="75"/>
        <v>1012</v>
      </c>
      <c r="P58" s="127">
        <f t="shared" si="76"/>
        <v>37</v>
      </c>
      <c r="Q58" s="127">
        <f t="shared" si="77"/>
        <v>22.75</v>
      </c>
      <c r="R58" s="128">
        <f t="shared" si="78"/>
        <v>92</v>
      </c>
      <c r="S58" s="130">
        <f t="shared" si="79"/>
        <v>1.2540512286990533</v>
      </c>
      <c r="T58" s="135">
        <f t="shared" si="16"/>
        <v>0</v>
      </c>
      <c r="U58" s="127">
        <f t="shared" si="17"/>
        <v>0</v>
      </c>
      <c r="V58" s="217">
        <v>0</v>
      </c>
      <c r="W58" s="191">
        <v>0</v>
      </c>
      <c r="X58" s="133">
        <v>0</v>
      </c>
      <c r="Y58" s="131">
        <f t="shared" si="18"/>
        <v>2438.5</v>
      </c>
      <c r="Z58" s="131">
        <f t="shared" si="19"/>
        <v>619.50392118264142</v>
      </c>
      <c r="AA58" s="242">
        <f t="shared" si="20"/>
        <v>3058.0039211826415</v>
      </c>
      <c r="AB58" s="131">
        <f t="shared" si="21"/>
        <v>0</v>
      </c>
      <c r="AC58" s="131">
        <f t="shared" si="22"/>
        <v>139.48055684730568</v>
      </c>
      <c r="AD58" s="131">
        <f t="shared" si="23"/>
        <v>0</v>
      </c>
      <c r="AE58" s="131">
        <f t="shared" si="24"/>
        <v>0</v>
      </c>
      <c r="AF58" s="131">
        <f t="shared" si="25"/>
        <v>75.260000000000005</v>
      </c>
      <c r="AG58" s="131">
        <f t="shared" si="26"/>
        <v>0</v>
      </c>
      <c r="AH58" s="131">
        <f t="shared" si="27"/>
        <v>0</v>
      </c>
      <c r="AI58" s="131">
        <f t="shared" si="28"/>
        <v>0</v>
      </c>
      <c r="AJ58" s="131">
        <f t="shared" si="29"/>
        <v>0</v>
      </c>
      <c r="AK58" s="131"/>
      <c r="AL58" s="131">
        <f t="shared" si="30"/>
        <v>0</v>
      </c>
      <c r="AM58" s="131"/>
      <c r="AN58" s="243">
        <f t="shared" si="31"/>
        <v>0</v>
      </c>
      <c r="AO58" s="131">
        <f t="shared" si="32"/>
        <v>0</v>
      </c>
      <c r="AP58" s="131">
        <f t="shared" si="33"/>
        <v>0</v>
      </c>
      <c r="AQ58" s="131"/>
      <c r="AR58" s="131">
        <f t="shared" si="34"/>
        <v>0</v>
      </c>
      <c r="AS58" s="131">
        <f t="shared" si="82"/>
        <v>0</v>
      </c>
      <c r="AT58" s="131">
        <f t="shared" si="35"/>
        <v>0</v>
      </c>
      <c r="AU58" s="131">
        <f t="shared" si="36"/>
        <v>0</v>
      </c>
      <c r="AV58" s="131"/>
      <c r="AW58" s="131">
        <f t="shared" si="37"/>
        <v>353.75</v>
      </c>
      <c r="AX58" s="131">
        <f t="shared" si="103"/>
        <v>0</v>
      </c>
      <c r="AY58" s="131">
        <f t="shared" si="38"/>
        <v>0</v>
      </c>
      <c r="AZ58" s="131"/>
      <c r="BA58" s="131">
        <f t="shared" si="104"/>
        <v>0</v>
      </c>
      <c r="BB58" s="131"/>
      <c r="BC58" s="131"/>
      <c r="BD58" s="131">
        <f t="shared" si="39"/>
        <v>0</v>
      </c>
      <c r="BE58" s="131"/>
      <c r="BF58" s="131">
        <f t="shared" si="89"/>
        <v>0</v>
      </c>
      <c r="BG58" s="131">
        <f t="shared" si="90"/>
        <v>0</v>
      </c>
      <c r="BH58" s="131"/>
      <c r="BI58" s="131"/>
      <c r="BJ58" s="131"/>
      <c r="BK58" s="131">
        <f t="shared" si="92"/>
        <v>0</v>
      </c>
      <c r="BL58" s="131"/>
      <c r="BM58" s="131"/>
      <c r="BN58" s="131">
        <f t="shared" si="93"/>
        <v>0</v>
      </c>
      <c r="BO58" s="131"/>
      <c r="BP58" s="131">
        <f t="shared" si="94"/>
        <v>0</v>
      </c>
      <c r="BQ58" s="131"/>
      <c r="BR58" s="131"/>
      <c r="BS58" s="131"/>
      <c r="BT58" s="131"/>
      <c r="BU58" s="131"/>
      <c r="BV58" s="131">
        <f t="shared" si="95"/>
        <v>0</v>
      </c>
      <c r="BW58" s="131"/>
      <c r="BX58" s="131"/>
      <c r="BY58" s="131"/>
      <c r="BZ58" s="131">
        <f t="shared" si="98"/>
        <v>0</v>
      </c>
      <c r="CA58" s="131"/>
      <c r="CB58" s="136">
        <f t="shared" si="40"/>
        <v>165.08663357180151</v>
      </c>
      <c r="CC58" s="131">
        <f t="shared" si="41"/>
        <v>0</v>
      </c>
      <c r="CD58" s="136">
        <f t="shared" si="42"/>
        <v>0</v>
      </c>
      <c r="CE58" s="131">
        <f t="shared" si="102"/>
        <v>0</v>
      </c>
      <c r="CF58" s="136">
        <f t="shared" si="43"/>
        <v>0</v>
      </c>
      <c r="CG58" s="136"/>
      <c r="CH58" s="136">
        <f t="shared" si="101"/>
        <v>0</v>
      </c>
      <c r="CI58" s="131">
        <f t="shared" si="44"/>
        <v>0</v>
      </c>
      <c r="CJ58" s="131"/>
      <c r="CK58" s="136">
        <f t="shared" si="45"/>
        <v>0</v>
      </c>
      <c r="CL58" s="136">
        <f t="shared" si="46"/>
        <v>0</v>
      </c>
      <c r="CM58" s="131">
        <f t="shared" si="47"/>
        <v>0</v>
      </c>
      <c r="CN58" s="136">
        <f t="shared" si="48"/>
        <v>0</v>
      </c>
      <c r="CO58" s="136">
        <f t="shared" si="49"/>
        <v>0</v>
      </c>
      <c r="CP58" s="136">
        <f t="shared" si="50"/>
        <v>0</v>
      </c>
      <c r="CQ58" s="136"/>
      <c r="CR58" s="136">
        <f t="shared" si="51"/>
        <v>0</v>
      </c>
      <c r="CS58" s="136"/>
      <c r="CT58" s="136"/>
      <c r="CU58" s="136"/>
      <c r="CV58" s="136"/>
      <c r="CW58" s="136"/>
      <c r="CX58" s="136"/>
      <c r="CY58" s="136"/>
      <c r="CZ58" s="136">
        <f t="shared" si="52"/>
        <v>0</v>
      </c>
      <c r="DA58" s="136">
        <f t="shared" si="53"/>
        <v>0</v>
      </c>
      <c r="DB58" s="136">
        <f t="shared" si="54"/>
        <v>0</v>
      </c>
      <c r="DC58" s="131">
        <f t="shared" si="13"/>
        <v>0</v>
      </c>
      <c r="DD58" s="131">
        <f t="shared" si="55"/>
        <v>0</v>
      </c>
      <c r="DE58" s="131">
        <f t="shared" si="56"/>
        <v>0</v>
      </c>
      <c r="DF58" s="131">
        <f t="shared" si="57"/>
        <v>0</v>
      </c>
      <c r="DG58" s="131">
        <f t="shared" si="58"/>
        <v>0</v>
      </c>
      <c r="DH58" s="131"/>
      <c r="DI58" s="131"/>
      <c r="DJ58" s="131"/>
      <c r="DK58" s="137">
        <f t="shared" si="99"/>
        <v>3791.5811116017489</v>
      </c>
      <c r="DL58" s="227" t="e">
        <f t="shared" si="59"/>
        <v>#REF!</v>
      </c>
      <c r="DM58" s="227" t="e">
        <f t="shared" si="60"/>
        <v>#REF!</v>
      </c>
      <c r="DN58" s="228" t="e">
        <f t="shared" si="14"/>
        <v>#REF!</v>
      </c>
      <c r="DO58" s="228">
        <f t="shared" si="61"/>
        <v>181.81087083894022</v>
      </c>
      <c r="DP58" s="228" t="e">
        <f t="shared" si="62"/>
        <v>#REF!</v>
      </c>
      <c r="DQ58" s="228" t="e">
        <f t="shared" si="63"/>
        <v>#REF!</v>
      </c>
    </row>
    <row r="59" spans="1:121">
      <c r="A59" s="132">
        <f t="shared" si="15"/>
        <v>49</v>
      </c>
      <c r="B59" s="18">
        <f t="shared" si="64"/>
        <v>49</v>
      </c>
      <c r="C59" s="18">
        <f>IF(A59=0," ",VLOOKUP(B59,'tosafot '!$A$7:$B$234,2,0))</f>
        <v>1.2012</v>
      </c>
      <c r="D59" s="220">
        <f t="shared" si="65"/>
        <v>228</v>
      </c>
      <c r="E59" s="130">
        <f t="shared" si="66"/>
        <v>12.2026</v>
      </c>
      <c r="F59" s="126">
        <f t="shared" si="67"/>
        <v>9</v>
      </c>
      <c r="G59" s="18" t="str">
        <f t="shared" si="68"/>
        <v>הבריאות</v>
      </c>
      <c r="H59" s="189">
        <f t="shared" si="69"/>
        <v>107</v>
      </c>
      <c r="I59" s="18">
        <f t="shared" si="70"/>
        <v>1</v>
      </c>
      <c r="J59" s="18" t="str">
        <f t="shared" si="71"/>
        <v>מינהלי - עובדי מדינה</v>
      </c>
      <c r="K59" s="189">
        <f t="shared" si="72"/>
        <v>1</v>
      </c>
      <c r="L59" s="18">
        <f t="shared" si="73"/>
        <v>12</v>
      </c>
      <c r="M59" s="129" t="str">
        <f t="shared" si="74"/>
        <v>17+</v>
      </c>
      <c r="N59" s="189"/>
      <c r="O59" s="132">
        <f t="shared" si="75"/>
        <v>1012</v>
      </c>
      <c r="P59" s="127">
        <f t="shared" si="76"/>
        <v>37</v>
      </c>
      <c r="Q59" s="127">
        <f t="shared" si="77"/>
        <v>22.75</v>
      </c>
      <c r="R59" s="128">
        <f t="shared" si="78"/>
        <v>92</v>
      </c>
      <c r="S59" s="130">
        <f t="shared" si="79"/>
        <v>1.2540512286990533</v>
      </c>
      <c r="T59" s="135">
        <f t="shared" si="16"/>
        <v>0</v>
      </c>
      <c r="U59" s="127">
        <f t="shared" si="17"/>
        <v>0</v>
      </c>
      <c r="V59" s="217">
        <v>0</v>
      </c>
      <c r="W59" s="191">
        <v>0</v>
      </c>
      <c r="X59" s="133">
        <v>0</v>
      </c>
      <c r="Y59" s="131">
        <f t="shared" si="18"/>
        <v>2438.5</v>
      </c>
      <c r="Z59" s="131">
        <f t="shared" si="19"/>
        <v>619.50392118264142</v>
      </c>
      <c r="AA59" s="242">
        <f t="shared" si="20"/>
        <v>3058.0039211826415</v>
      </c>
      <c r="AB59" s="131">
        <f t="shared" si="21"/>
        <v>0</v>
      </c>
      <c r="AC59" s="131">
        <f t="shared" si="22"/>
        <v>139.48055684730568</v>
      </c>
      <c r="AD59" s="131">
        <f t="shared" si="23"/>
        <v>0</v>
      </c>
      <c r="AE59" s="131">
        <f t="shared" si="24"/>
        <v>0</v>
      </c>
      <c r="AF59" s="131">
        <f t="shared" si="25"/>
        <v>75.260000000000005</v>
      </c>
      <c r="AG59" s="131">
        <f t="shared" si="26"/>
        <v>0</v>
      </c>
      <c r="AH59" s="131">
        <f t="shared" si="27"/>
        <v>0</v>
      </c>
      <c r="AI59" s="131">
        <f t="shared" si="28"/>
        <v>0</v>
      </c>
      <c r="AJ59" s="131">
        <f t="shared" si="29"/>
        <v>0</v>
      </c>
      <c r="AK59" s="131"/>
      <c r="AL59" s="131">
        <f t="shared" si="30"/>
        <v>0</v>
      </c>
      <c r="AM59" s="131"/>
      <c r="AN59" s="243">
        <f t="shared" si="31"/>
        <v>0</v>
      </c>
      <c r="AO59" s="131">
        <f t="shared" si="32"/>
        <v>0</v>
      </c>
      <c r="AP59" s="131">
        <f t="shared" si="33"/>
        <v>0</v>
      </c>
      <c r="AQ59" s="131"/>
      <c r="AR59" s="131">
        <f t="shared" si="34"/>
        <v>0</v>
      </c>
      <c r="AS59" s="131">
        <f t="shared" si="82"/>
        <v>0</v>
      </c>
      <c r="AT59" s="131">
        <f t="shared" si="35"/>
        <v>0</v>
      </c>
      <c r="AU59" s="131">
        <f t="shared" si="36"/>
        <v>0</v>
      </c>
      <c r="AV59" s="131"/>
      <c r="AW59" s="131">
        <f t="shared" si="37"/>
        <v>353.75</v>
      </c>
      <c r="AX59" s="131">
        <f t="shared" si="103"/>
        <v>0</v>
      </c>
      <c r="AY59" s="131">
        <f t="shared" si="38"/>
        <v>0</v>
      </c>
      <c r="AZ59" s="131"/>
      <c r="BA59" s="131">
        <f t="shared" si="104"/>
        <v>0</v>
      </c>
      <c r="BB59" s="131"/>
      <c r="BC59" s="131"/>
      <c r="BD59" s="131">
        <f t="shared" si="39"/>
        <v>0</v>
      </c>
      <c r="BE59" s="131"/>
      <c r="BF59" s="131">
        <f t="shared" si="89"/>
        <v>0</v>
      </c>
      <c r="BG59" s="131">
        <f t="shared" si="90"/>
        <v>0</v>
      </c>
      <c r="BH59" s="131"/>
      <c r="BI59" s="131"/>
      <c r="BJ59" s="131"/>
      <c r="BK59" s="131">
        <f t="shared" si="92"/>
        <v>0</v>
      </c>
      <c r="BL59" s="131"/>
      <c r="BM59" s="131"/>
      <c r="BN59" s="131">
        <f t="shared" si="93"/>
        <v>0</v>
      </c>
      <c r="BO59" s="131"/>
      <c r="BP59" s="131">
        <f t="shared" si="94"/>
        <v>0</v>
      </c>
      <c r="BQ59" s="131"/>
      <c r="BR59" s="131"/>
      <c r="BS59" s="131"/>
      <c r="BT59" s="131"/>
      <c r="BU59" s="131"/>
      <c r="BV59" s="131">
        <f t="shared" si="95"/>
        <v>0</v>
      </c>
      <c r="BW59" s="131"/>
      <c r="BX59" s="131"/>
      <c r="BY59" s="131"/>
      <c r="BZ59" s="131">
        <f t="shared" si="98"/>
        <v>0</v>
      </c>
      <c r="CA59" s="131"/>
      <c r="CB59" s="136">
        <f t="shared" si="40"/>
        <v>165.08663357180151</v>
      </c>
      <c r="CC59" s="131">
        <f t="shared" si="41"/>
        <v>0</v>
      </c>
      <c r="CD59" s="136">
        <f t="shared" si="42"/>
        <v>0</v>
      </c>
      <c r="CE59" s="131">
        <f t="shared" si="102"/>
        <v>0</v>
      </c>
      <c r="CF59" s="136">
        <f t="shared" si="43"/>
        <v>0</v>
      </c>
      <c r="CG59" s="136"/>
      <c r="CH59" s="136">
        <f t="shared" si="101"/>
        <v>0</v>
      </c>
      <c r="CI59" s="131">
        <f t="shared" si="44"/>
        <v>0</v>
      </c>
      <c r="CJ59" s="131"/>
      <c r="CK59" s="136">
        <f t="shared" si="45"/>
        <v>0</v>
      </c>
      <c r="CL59" s="136">
        <f t="shared" si="46"/>
        <v>0</v>
      </c>
      <c r="CM59" s="131">
        <f t="shared" si="47"/>
        <v>0</v>
      </c>
      <c r="CN59" s="136">
        <f t="shared" si="48"/>
        <v>0</v>
      </c>
      <c r="CO59" s="136">
        <f t="shared" si="49"/>
        <v>0</v>
      </c>
      <c r="CP59" s="136">
        <f t="shared" si="50"/>
        <v>0</v>
      </c>
      <c r="CQ59" s="136"/>
      <c r="CR59" s="136">
        <f t="shared" si="51"/>
        <v>0</v>
      </c>
      <c r="CS59" s="136"/>
      <c r="CT59" s="136"/>
      <c r="CU59" s="136"/>
      <c r="CV59" s="136"/>
      <c r="CW59" s="136"/>
      <c r="CX59" s="136"/>
      <c r="CY59" s="136"/>
      <c r="CZ59" s="136">
        <f t="shared" si="52"/>
        <v>0</v>
      </c>
      <c r="DA59" s="136">
        <f t="shared" si="53"/>
        <v>0</v>
      </c>
      <c r="DB59" s="136">
        <f t="shared" si="54"/>
        <v>0</v>
      </c>
      <c r="DC59" s="131">
        <f t="shared" si="13"/>
        <v>0</v>
      </c>
      <c r="DD59" s="131">
        <f t="shared" si="55"/>
        <v>0</v>
      </c>
      <c r="DE59" s="131">
        <f t="shared" si="56"/>
        <v>0</v>
      </c>
      <c r="DF59" s="131">
        <f t="shared" si="57"/>
        <v>0</v>
      </c>
      <c r="DG59" s="131">
        <f t="shared" si="58"/>
        <v>0</v>
      </c>
      <c r="DH59" s="131"/>
      <c r="DI59" s="131"/>
      <c r="DJ59" s="131"/>
      <c r="DK59" s="137">
        <f t="shared" si="99"/>
        <v>3791.5811116017489</v>
      </c>
      <c r="DL59" s="227" t="e">
        <f t="shared" si="59"/>
        <v>#REF!</v>
      </c>
      <c r="DM59" s="227" t="e">
        <f t="shared" si="60"/>
        <v>#REF!</v>
      </c>
      <c r="DN59" s="228" t="e">
        <f t="shared" si="14"/>
        <v>#REF!</v>
      </c>
      <c r="DO59" s="228">
        <f t="shared" si="61"/>
        <v>181.81087083894022</v>
      </c>
      <c r="DP59" s="228" t="e">
        <f t="shared" si="62"/>
        <v>#REF!</v>
      </c>
      <c r="DQ59" s="228" t="e">
        <f t="shared" si="63"/>
        <v>#REF!</v>
      </c>
    </row>
    <row r="60" spans="1:121">
      <c r="A60" s="132">
        <f t="shared" si="15"/>
        <v>50</v>
      </c>
      <c r="B60" s="18">
        <f t="shared" si="64"/>
        <v>50</v>
      </c>
      <c r="C60" s="18">
        <f>IF(A60=0," ",VLOOKUP(B60,'tosafot '!$A$7:$B$234,2,0))</f>
        <v>2.2012</v>
      </c>
      <c r="D60" s="220">
        <f t="shared" si="65"/>
        <v>228</v>
      </c>
      <c r="E60" s="130">
        <f t="shared" si="66"/>
        <v>12.2026</v>
      </c>
      <c r="F60" s="126">
        <f t="shared" si="67"/>
        <v>9</v>
      </c>
      <c r="G60" s="18" t="str">
        <f t="shared" si="68"/>
        <v>הבריאות</v>
      </c>
      <c r="H60" s="189">
        <f t="shared" si="69"/>
        <v>107</v>
      </c>
      <c r="I60" s="18">
        <f t="shared" si="70"/>
        <v>1</v>
      </c>
      <c r="J60" s="18" t="str">
        <f t="shared" si="71"/>
        <v>מינהלי - עובדי מדינה</v>
      </c>
      <c r="K60" s="189">
        <f t="shared" si="72"/>
        <v>1</v>
      </c>
      <c r="L60" s="18">
        <f t="shared" si="73"/>
        <v>12</v>
      </c>
      <c r="M60" s="129" t="str">
        <f t="shared" si="74"/>
        <v>17+</v>
      </c>
      <c r="N60" s="189"/>
      <c r="O60" s="132">
        <f t="shared" si="75"/>
        <v>1012</v>
      </c>
      <c r="P60" s="127">
        <f t="shared" si="76"/>
        <v>37</v>
      </c>
      <c r="Q60" s="127">
        <f t="shared" si="77"/>
        <v>22.75</v>
      </c>
      <c r="R60" s="128">
        <f t="shared" si="78"/>
        <v>92</v>
      </c>
      <c r="S60" s="130">
        <f t="shared" si="79"/>
        <v>1.2540512286990533</v>
      </c>
      <c r="T60" s="135">
        <f t="shared" si="16"/>
        <v>0</v>
      </c>
      <c r="U60" s="127">
        <f t="shared" si="17"/>
        <v>0</v>
      </c>
      <c r="V60" s="217">
        <v>0</v>
      </c>
      <c r="W60" s="191">
        <v>0</v>
      </c>
      <c r="X60" s="133">
        <v>0</v>
      </c>
      <c r="Y60" s="131">
        <f t="shared" si="18"/>
        <v>2438.5</v>
      </c>
      <c r="Z60" s="131">
        <f t="shared" si="19"/>
        <v>619.50392118264142</v>
      </c>
      <c r="AA60" s="242">
        <f t="shared" si="20"/>
        <v>3058.0039211826415</v>
      </c>
      <c r="AB60" s="131">
        <f t="shared" si="21"/>
        <v>0</v>
      </c>
      <c r="AC60" s="131">
        <f t="shared" si="22"/>
        <v>139.48055684730568</v>
      </c>
      <c r="AD60" s="131">
        <f t="shared" si="23"/>
        <v>0</v>
      </c>
      <c r="AE60" s="131">
        <f t="shared" si="24"/>
        <v>0</v>
      </c>
      <c r="AF60" s="131">
        <f t="shared" si="25"/>
        <v>75.260000000000005</v>
      </c>
      <c r="AG60" s="131">
        <f t="shared" si="26"/>
        <v>0</v>
      </c>
      <c r="AH60" s="131">
        <f t="shared" si="27"/>
        <v>0</v>
      </c>
      <c r="AI60" s="131">
        <f t="shared" si="28"/>
        <v>0</v>
      </c>
      <c r="AJ60" s="131">
        <f t="shared" si="29"/>
        <v>0</v>
      </c>
      <c r="AK60" s="131"/>
      <c r="AL60" s="131">
        <f t="shared" si="30"/>
        <v>0</v>
      </c>
      <c r="AM60" s="131"/>
      <c r="AN60" s="243">
        <f t="shared" si="31"/>
        <v>0</v>
      </c>
      <c r="AO60" s="131">
        <f t="shared" si="32"/>
        <v>0</v>
      </c>
      <c r="AP60" s="131">
        <f t="shared" si="33"/>
        <v>0</v>
      </c>
      <c r="AQ60" s="131"/>
      <c r="AR60" s="131">
        <f t="shared" si="34"/>
        <v>0</v>
      </c>
      <c r="AS60" s="131">
        <f t="shared" si="82"/>
        <v>0</v>
      </c>
      <c r="AT60" s="131">
        <f t="shared" si="35"/>
        <v>0</v>
      </c>
      <c r="AU60" s="131">
        <f t="shared" si="36"/>
        <v>0</v>
      </c>
      <c r="AV60" s="131"/>
      <c r="AW60" s="131">
        <f t="shared" si="37"/>
        <v>353.75</v>
      </c>
      <c r="AX60" s="131">
        <f t="shared" si="103"/>
        <v>0</v>
      </c>
      <c r="AY60" s="131">
        <f t="shared" si="38"/>
        <v>0</v>
      </c>
      <c r="AZ60" s="131"/>
      <c r="BA60" s="131">
        <f t="shared" si="104"/>
        <v>0</v>
      </c>
      <c r="BB60" s="131"/>
      <c r="BC60" s="131"/>
      <c r="BD60" s="131">
        <f t="shared" si="39"/>
        <v>0</v>
      </c>
      <c r="BE60" s="131"/>
      <c r="BF60" s="131">
        <f t="shared" si="89"/>
        <v>0</v>
      </c>
      <c r="BG60" s="131">
        <f t="shared" si="90"/>
        <v>0</v>
      </c>
      <c r="BH60" s="131"/>
      <c r="BI60" s="131"/>
      <c r="BJ60" s="131"/>
      <c r="BK60" s="131">
        <f t="shared" si="92"/>
        <v>0</v>
      </c>
      <c r="BL60" s="131"/>
      <c r="BM60" s="131"/>
      <c r="BN60" s="131">
        <f t="shared" si="93"/>
        <v>0</v>
      </c>
      <c r="BO60" s="131"/>
      <c r="BP60" s="131">
        <f t="shared" si="94"/>
        <v>0</v>
      </c>
      <c r="BQ60" s="131"/>
      <c r="BR60" s="131"/>
      <c r="BS60" s="131"/>
      <c r="BT60" s="131"/>
      <c r="BU60" s="131"/>
      <c r="BV60" s="131">
        <f t="shared" si="95"/>
        <v>0</v>
      </c>
      <c r="BW60" s="131"/>
      <c r="BX60" s="131"/>
      <c r="BY60" s="131"/>
      <c r="BZ60" s="131">
        <f t="shared" si="98"/>
        <v>0</v>
      </c>
      <c r="CA60" s="131"/>
      <c r="CB60" s="136">
        <f t="shared" si="40"/>
        <v>165.08663357180151</v>
      </c>
      <c r="CC60" s="131">
        <f t="shared" si="41"/>
        <v>0</v>
      </c>
      <c r="CD60" s="136">
        <f t="shared" si="42"/>
        <v>0</v>
      </c>
      <c r="CE60" s="131">
        <f t="shared" si="102"/>
        <v>0</v>
      </c>
      <c r="CF60" s="136">
        <f t="shared" si="43"/>
        <v>0</v>
      </c>
      <c r="CG60" s="136"/>
      <c r="CH60" s="136">
        <f t="shared" si="101"/>
        <v>0</v>
      </c>
      <c r="CI60" s="131">
        <f t="shared" si="44"/>
        <v>0</v>
      </c>
      <c r="CJ60" s="131"/>
      <c r="CK60" s="136">
        <f t="shared" si="45"/>
        <v>0</v>
      </c>
      <c r="CL60" s="136">
        <f t="shared" si="46"/>
        <v>0</v>
      </c>
      <c r="CM60" s="131">
        <f t="shared" si="47"/>
        <v>0</v>
      </c>
      <c r="CN60" s="136">
        <f t="shared" si="48"/>
        <v>0</v>
      </c>
      <c r="CO60" s="136">
        <f t="shared" si="49"/>
        <v>0</v>
      </c>
      <c r="CP60" s="136">
        <f t="shared" si="50"/>
        <v>0</v>
      </c>
      <c r="CQ60" s="136"/>
      <c r="CR60" s="136">
        <f t="shared" si="51"/>
        <v>0</v>
      </c>
      <c r="CS60" s="136"/>
      <c r="CT60" s="136"/>
      <c r="CU60" s="136"/>
      <c r="CV60" s="136"/>
      <c r="CW60" s="136"/>
      <c r="CX60" s="136"/>
      <c r="CY60" s="136"/>
      <c r="CZ60" s="136">
        <f t="shared" si="52"/>
        <v>0</v>
      </c>
      <c r="DA60" s="136">
        <f t="shared" si="53"/>
        <v>0</v>
      </c>
      <c r="DB60" s="136">
        <f t="shared" si="54"/>
        <v>0</v>
      </c>
      <c r="DC60" s="131">
        <f t="shared" si="13"/>
        <v>0</v>
      </c>
      <c r="DD60" s="131">
        <f t="shared" si="55"/>
        <v>0</v>
      </c>
      <c r="DE60" s="131">
        <f t="shared" si="56"/>
        <v>0</v>
      </c>
      <c r="DF60" s="131">
        <f t="shared" si="57"/>
        <v>0</v>
      </c>
      <c r="DG60" s="131">
        <f t="shared" si="58"/>
        <v>0</v>
      </c>
      <c r="DH60" s="131"/>
      <c r="DI60" s="131"/>
      <c r="DJ60" s="131"/>
      <c r="DK60" s="137">
        <f t="shared" si="99"/>
        <v>3791.5811116017489</v>
      </c>
      <c r="DL60" s="227" t="e">
        <f t="shared" si="59"/>
        <v>#REF!</v>
      </c>
      <c r="DM60" s="227" t="e">
        <f t="shared" si="60"/>
        <v>#REF!</v>
      </c>
      <c r="DN60" s="228" t="e">
        <f t="shared" si="14"/>
        <v>#REF!</v>
      </c>
      <c r="DO60" s="228">
        <f t="shared" si="61"/>
        <v>181.81087083894022</v>
      </c>
      <c r="DP60" s="228" t="e">
        <f t="shared" si="62"/>
        <v>#REF!</v>
      </c>
      <c r="DQ60" s="228" t="e">
        <f t="shared" si="63"/>
        <v>#REF!</v>
      </c>
    </row>
    <row r="61" spans="1:121">
      <c r="A61" s="132">
        <f t="shared" si="15"/>
        <v>51</v>
      </c>
      <c r="B61" s="18">
        <f t="shared" si="64"/>
        <v>51</v>
      </c>
      <c r="C61" s="18">
        <f>IF(A61=0," ",VLOOKUP(B61,'tosafot '!$A$7:$B$234,2,0))</f>
        <v>3.2012</v>
      </c>
      <c r="D61" s="220">
        <f t="shared" si="65"/>
        <v>228</v>
      </c>
      <c r="E61" s="130">
        <f t="shared" si="66"/>
        <v>12.2026</v>
      </c>
      <c r="F61" s="126">
        <f t="shared" si="67"/>
        <v>9</v>
      </c>
      <c r="G61" s="18" t="str">
        <f t="shared" si="68"/>
        <v>הבריאות</v>
      </c>
      <c r="H61" s="189">
        <f t="shared" si="69"/>
        <v>107</v>
      </c>
      <c r="I61" s="18">
        <f t="shared" si="70"/>
        <v>1</v>
      </c>
      <c r="J61" s="18" t="str">
        <f t="shared" si="71"/>
        <v>מינהלי - עובדי מדינה</v>
      </c>
      <c r="K61" s="189">
        <f t="shared" si="72"/>
        <v>1</v>
      </c>
      <c r="L61" s="18">
        <f t="shared" si="73"/>
        <v>12</v>
      </c>
      <c r="M61" s="129" t="str">
        <f t="shared" si="74"/>
        <v>17+</v>
      </c>
      <c r="N61" s="189"/>
      <c r="O61" s="132">
        <f t="shared" si="75"/>
        <v>1012</v>
      </c>
      <c r="P61" s="127">
        <f t="shared" si="76"/>
        <v>37</v>
      </c>
      <c r="Q61" s="127">
        <f t="shared" si="77"/>
        <v>22.75</v>
      </c>
      <c r="R61" s="128">
        <f t="shared" si="78"/>
        <v>92</v>
      </c>
      <c r="S61" s="130">
        <f t="shared" si="79"/>
        <v>1.2540512286990533</v>
      </c>
      <c r="T61" s="135">
        <f t="shared" si="16"/>
        <v>0</v>
      </c>
      <c r="U61" s="127">
        <f t="shared" si="17"/>
        <v>0</v>
      </c>
      <c r="V61" s="217">
        <v>0</v>
      </c>
      <c r="W61" s="191">
        <v>0</v>
      </c>
      <c r="X61" s="133">
        <v>0</v>
      </c>
      <c r="Y61" s="131">
        <f t="shared" si="18"/>
        <v>2438.5</v>
      </c>
      <c r="Z61" s="131">
        <f t="shared" si="19"/>
        <v>619.50392118264142</v>
      </c>
      <c r="AA61" s="242">
        <f t="shared" si="20"/>
        <v>3058.0039211826415</v>
      </c>
      <c r="AB61" s="131">
        <f t="shared" si="21"/>
        <v>0</v>
      </c>
      <c r="AC61" s="131">
        <f t="shared" si="22"/>
        <v>139.48055684730568</v>
      </c>
      <c r="AD61" s="131">
        <f t="shared" si="23"/>
        <v>0</v>
      </c>
      <c r="AE61" s="131">
        <f t="shared" si="24"/>
        <v>0</v>
      </c>
      <c r="AF61" s="131">
        <f t="shared" si="25"/>
        <v>75.260000000000005</v>
      </c>
      <c r="AG61" s="131">
        <f t="shared" si="26"/>
        <v>0</v>
      </c>
      <c r="AH61" s="131">
        <f t="shared" si="27"/>
        <v>0</v>
      </c>
      <c r="AI61" s="131">
        <f t="shared" si="28"/>
        <v>0</v>
      </c>
      <c r="AJ61" s="131">
        <f t="shared" si="29"/>
        <v>0</v>
      </c>
      <c r="AK61" s="131"/>
      <c r="AL61" s="131">
        <f t="shared" si="30"/>
        <v>0</v>
      </c>
      <c r="AM61" s="131"/>
      <c r="AN61" s="243">
        <f t="shared" si="31"/>
        <v>0</v>
      </c>
      <c r="AO61" s="131">
        <f t="shared" si="32"/>
        <v>0</v>
      </c>
      <c r="AP61" s="131">
        <f t="shared" si="33"/>
        <v>0</v>
      </c>
      <c r="AQ61" s="131"/>
      <c r="AR61" s="131">
        <f t="shared" si="34"/>
        <v>0</v>
      </c>
      <c r="AS61" s="131">
        <f t="shared" si="82"/>
        <v>0</v>
      </c>
      <c r="AT61" s="131">
        <f t="shared" si="35"/>
        <v>0</v>
      </c>
      <c r="AU61" s="131">
        <f t="shared" si="36"/>
        <v>0</v>
      </c>
      <c r="AV61" s="131"/>
      <c r="AW61" s="131">
        <f t="shared" si="37"/>
        <v>353.75</v>
      </c>
      <c r="AX61" s="131">
        <f t="shared" si="103"/>
        <v>0</v>
      </c>
      <c r="AY61" s="131">
        <f t="shared" si="38"/>
        <v>0</v>
      </c>
      <c r="AZ61" s="131"/>
      <c r="BA61" s="131">
        <f t="shared" si="104"/>
        <v>0</v>
      </c>
      <c r="BB61" s="131"/>
      <c r="BC61" s="131"/>
      <c r="BD61" s="131">
        <f t="shared" si="39"/>
        <v>0</v>
      </c>
      <c r="BE61" s="131"/>
      <c r="BF61" s="131">
        <f t="shared" si="89"/>
        <v>0</v>
      </c>
      <c r="BG61" s="131">
        <f t="shared" si="90"/>
        <v>0</v>
      </c>
      <c r="BH61" s="131"/>
      <c r="BI61" s="131"/>
      <c r="BJ61" s="131"/>
      <c r="BK61" s="131">
        <f t="shared" si="92"/>
        <v>0</v>
      </c>
      <c r="BL61" s="131"/>
      <c r="BM61" s="131"/>
      <c r="BN61" s="131">
        <f t="shared" si="93"/>
        <v>0</v>
      </c>
      <c r="BO61" s="131"/>
      <c r="BP61" s="131">
        <f t="shared" si="94"/>
        <v>0</v>
      </c>
      <c r="BQ61" s="131"/>
      <c r="BR61" s="131"/>
      <c r="BS61" s="131"/>
      <c r="BT61" s="131"/>
      <c r="BU61" s="131"/>
      <c r="BV61" s="131">
        <f t="shared" si="95"/>
        <v>0</v>
      </c>
      <c r="BW61" s="131"/>
      <c r="BX61" s="131"/>
      <c r="BY61" s="131"/>
      <c r="BZ61" s="131">
        <f t="shared" si="98"/>
        <v>0</v>
      </c>
      <c r="CA61" s="131"/>
      <c r="CB61" s="136">
        <f t="shared" si="40"/>
        <v>165.08663357180151</v>
      </c>
      <c r="CC61" s="131">
        <f t="shared" si="41"/>
        <v>0</v>
      </c>
      <c r="CD61" s="136">
        <f t="shared" si="42"/>
        <v>0</v>
      </c>
      <c r="CE61" s="131">
        <f t="shared" si="102"/>
        <v>0</v>
      </c>
      <c r="CF61" s="136">
        <f t="shared" si="43"/>
        <v>0</v>
      </c>
      <c r="CG61" s="136"/>
      <c r="CH61" s="136">
        <f t="shared" si="101"/>
        <v>0</v>
      </c>
      <c r="CI61" s="131">
        <f t="shared" si="44"/>
        <v>0</v>
      </c>
      <c r="CJ61" s="131"/>
      <c r="CK61" s="136">
        <f t="shared" si="45"/>
        <v>0</v>
      </c>
      <c r="CL61" s="136">
        <f t="shared" si="46"/>
        <v>0</v>
      </c>
      <c r="CM61" s="131">
        <f t="shared" si="47"/>
        <v>0</v>
      </c>
      <c r="CN61" s="136">
        <f t="shared" si="48"/>
        <v>0</v>
      </c>
      <c r="CO61" s="136">
        <f t="shared" si="49"/>
        <v>0</v>
      </c>
      <c r="CP61" s="136">
        <f t="shared" si="50"/>
        <v>0</v>
      </c>
      <c r="CQ61" s="136"/>
      <c r="CR61" s="136">
        <f t="shared" si="51"/>
        <v>0</v>
      </c>
      <c r="CS61" s="136"/>
      <c r="CT61" s="136"/>
      <c r="CU61" s="136"/>
      <c r="CV61" s="136"/>
      <c r="CW61" s="136"/>
      <c r="CX61" s="136"/>
      <c r="CY61" s="136"/>
      <c r="CZ61" s="136">
        <f t="shared" si="52"/>
        <v>0</v>
      </c>
      <c r="DA61" s="136">
        <f t="shared" si="53"/>
        <v>0</v>
      </c>
      <c r="DB61" s="136">
        <f t="shared" si="54"/>
        <v>0</v>
      </c>
      <c r="DC61" s="131">
        <f t="shared" si="13"/>
        <v>0</v>
      </c>
      <c r="DD61" s="131">
        <f t="shared" si="55"/>
        <v>0</v>
      </c>
      <c r="DE61" s="131">
        <f t="shared" si="56"/>
        <v>0</v>
      </c>
      <c r="DF61" s="131">
        <f t="shared" si="57"/>
        <v>0</v>
      </c>
      <c r="DG61" s="131">
        <f t="shared" si="58"/>
        <v>0</v>
      </c>
      <c r="DH61" s="131"/>
      <c r="DI61" s="131"/>
      <c r="DJ61" s="131"/>
      <c r="DK61" s="137">
        <f t="shared" si="99"/>
        <v>3791.5811116017489</v>
      </c>
      <c r="DL61" s="227" t="e">
        <f t="shared" si="59"/>
        <v>#REF!</v>
      </c>
      <c r="DM61" s="227" t="e">
        <f t="shared" si="60"/>
        <v>#REF!</v>
      </c>
      <c r="DN61" s="228" t="e">
        <f t="shared" si="14"/>
        <v>#REF!</v>
      </c>
      <c r="DO61" s="228">
        <f t="shared" si="61"/>
        <v>181.81087083894022</v>
      </c>
      <c r="DP61" s="228" t="e">
        <f t="shared" si="62"/>
        <v>#REF!</v>
      </c>
      <c r="DQ61" s="228" t="e">
        <f t="shared" si="63"/>
        <v>#REF!</v>
      </c>
    </row>
    <row r="62" spans="1:121">
      <c r="A62" s="132">
        <f t="shared" si="15"/>
        <v>52</v>
      </c>
      <c r="B62" s="18">
        <f t="shared" si="64"/>
        <v>52</v>
      </c>
      <c r="C62" s="18">
        <f>IF(A62=0," ",VLOOKUP(B62,'tosafot '!$A$7:$B$234,2,0))</f>
        <v>4.2012</v>
      </c>
      <c r="D62" s="220">
        <f t="shared" si="65"/>
        <v>228</v>
      </c>
      <c r="E62" s="130">
        <f t="shared" si="66"/>
        <v>12.2026</v>
      </c>
      <c r="F62" s="126">
        <f t="shared" si="67"/>
        <v>9</v>
      </c>
      <c r="G62" s="18" t="str">
        <f t="shared" si="68"/>
        <v>הבריאות</v>
      </c>
      <c r="H62" s="189">
        <f t="shared" si="69"/>
        <v>107</v>
      </c>
      <c r="I62" s="18">
        <f t="shared" si="70"/>
        <v>1</v>
      </c>
      <c r="J62" s="18" t="str">
        <f t="shared" si="71"/>
        <v>מינהלי - עובדי מדינה</v>
      </c>
      <c r="K62" s="189">
        <f t="shared" si="72"/>
        <v>1</v>
      </c>
      <c r="L62" s="18">
        <f t="shared" si="73"/>
        <v>12</v>
      </c>
      <c r="M62" s="129" t="str">
        <f t="shared" si="74"/>
        <v>17+</v>
      </c>
      <c r="N62" s="189"/>
      <c r="O62" s="132">
        <f t="shared" si="75"/>
        <v>1012</v>
      </c>
      <c r="P62" s="127">
        <f t="shared" si="76"/>
        <v>37</v>
      </c>
      <c r="Q62" s="127">
        <f t="shared" si="77"/>
        <v>22.75</v>
      </c>
      <c r="R62" s="128">
        <f t="shared" si="78"/>
        <v>92</v>
      </c>
      <c r="S62" s="130">
        <f t="shared" si="79"/>
        <v>1.2540512286990533</v>
      </c>
      <c r="T62" s="135">
        <f t="shared" si="16"/>
        <v>0</v>
      </c>
      <c r="U62" s="127">
        <f t="shared" si="17"/>
        <v>0</v>
      </c>
      <c r="V62" s="217">
        <v>0</v>
      </c>
      <c r="W62" s="191">
        <v>0</v>
      </c>
      <c r="X62" s="133">
        <v>0</v>
      </c>
      <c r="Y62" s="131">
        <f t="shared" si="18"/>
        <v>2438.5</v>
      </c>
      <c r="Z62" s="131">
        <f t="shared" si="19"/>
        <v>619.50392118264142</v>
      </c>
      <c r="AA62" s="242">
        <f t="shared" si="20"/>
        <v>3058.0039211826415</v>
      </c>
      <c r="AB62" s="131">
        <f t="shared" si="21"/>
        <v>0</v>
      </c>
      <c r="AC62" s="131">
        <f t="shared" si="22"/>
        <v>139.48055684730568</v>
      </c>
      <c r="AD62" s="131">
        <f t="shared" si="23"/>
        <v>0</v>
      </c>
      <c r="AE62" s="131">
        <f t="shared" si="24"/>
        <v>0</v>
      </c>
      <c r="AF62" s="131">
        <f t="shared" si="25"/>
        <v>75.260000000000005</v>
      </c>
      <c r="AG62" s="131">
        <f t="shared" si="26"/>
        <v>0</v>
      </c>
      <c r="AH62" s="131">
        <f t="shared" si="27"/>
        <v>0</v>
      </c>
      <c r="AI62" s="131">
        <f t="shared" si="28"/>
        <v>0</v>
      </c>
      <c r="AJ62" s="131">
        <f t="shared" si="29"/>
        <v>0</v>
      </c>
      <c r="AK62" s="131"/>
      <c r="AL62" s="131">
        <f t="shared" si="30"/>
        <v>0</v>
      </c>
      <c r="AM62" s="131"/>
      <c r="AN62" s="243">
        <f t="shared" si="31"/>
        <v>0</v>
      </c>
      <c r="AO62" s="131">
        <f t="shared" si="32"/>
        <v>0</v>
      </c>
      <c r="AP62" s="131">
        <f t="shared" si="33"/>
        <v>0</v>
      </c>
      <c r="AQ62" s="131"/>
      <c r="AR62" s="131">
        <f t="shared" si="34"/>
        <v>0</v>
      </c>
      <c r="AS62" s="131">
        <f t="shared" si="82"/>
        <v>0</v>
      </c>
      <c r="AT62" s="131">
        <f t="shared" si="35"/>
        <v>0</v>
      </c>
      <c r="AU62" s="131">
        <f t="shared" si="36"/>
        <v>0</v>
      </c>
      <c r="AV62" s="131"/>
      <c r="AW62" s="131">
        <f t="shared" si="37"/>
        <v>353.75</v>
      </c>
      <c r="AX62" s="131">
        <f t="shared" si="103"/>
        <v>0</v>
      </c>
      <c r="AY62" s="131">
        <f t="shared" si="38"/>
        <v>0</v>
      </c>
      <c r="AZ62" s="131"/>
      <c r="BA62" s="131">
        <f t="shared" si="104"/>
        <v>0</v>
      </c>
      <c r="BB62" s="131"/>
      <c r="BC62" s="131"/>
      <c r="BD62" s="131">
        <f t="shared" si="39"/>
        <v>0</v>
      </c>
      <c r="BE62" s="131"/>
      <c r="BF62" s="131">
        <f t="shared" si="89"/>
        <v>0</v>
      </c>
      <c r="BG62" s="131">
        <f t="shared" si="90"/>
        <v>0</v>
      </c>
      <c r="BH62" s="131"/>
      <c r="BI62" s="131"/>
      <c r="BJ62" s="131"/>
      <c r="BK62" s="131">
        <f t="shared" si="92"/>
        <v>0</v>
      </c>
      <c r="BL62" s="131"/>
      <c r="BM62" s="131"/>
      <c r="BN62" s="131">
        <f t="shared" si="93"/>
        <v>0</v>
      </c>
      <c r="BO62" s="131"/>
      <c r="BP62" s="131">
        <f t="shared" si="94"/>
        <v>0</v>
      </c>
      <c r="BQ62" s="131"/>
      <c r="BR62" s="131"/>
      <c r="BS62" s="131"/>
      <c r="BT62" s="131"/>
      <c r="BU62" s="131"/>
      <c r="BV62" s="131">
        <f t="shared" si="95"/>
        <v>0</v>
      </c>
      <c r="BW62" s="131"/>
      <c r="BX62" s="131"/>
      <c r="BY62" s="131"/>
      <c r="BZ62" s="131">
        <f t="shared" si="98"/>
        <v>0</v>
      </c>
      <c r="CA62" s="131"/>
      <c r="CB62" s="136">
        <f t="shared" si="40"/>
        <v>165.08663357180151</v>
      </c>
      <c r="CC62" s="131">
        <f t="shared" si="41"/>
        <v>0</v>
      </c>
      <c r="CD62" s="136">
        <f t="shared" si="42"/>
        <v>0</v>
      </c>
      <c r="CE62" s="131">
        <f t="shared" si="102"/>
        <v>0</v>
      </c>
      <c r="CF62" s="136">
        <f t="shared" si="43"/>
        <v>0</v>
      </c>
      <c r="CG62" s="136"/>
      <c r="CH62" s="136">
        <f t="shared" si="101"/>
        <v>0</v>
      </c>
      <c r="CI62" s="131">
        <f t="shared" si="44"/>
        <v>0</v>
      </c>
      <c r="CJ62" s="131"/>
      <c r="CK62" s="136">
        <f t="shared" si="45"/>
        <v>0</v>
      </c>
      <c r="CL62" s="136">
        <f t="shared" si="46"/>
        <v>0</v>
      </c>
      <c r="CM62" s="131">
        <f t="shared" si="47"/>
        <v>0</v>
      </c>
      <c r="CN62" s="136">
        <f t="shared" si="48"/>
        <v>0</v>
      </c>
      <c r="CO62" s="136">
        <f t="shared" si="49"/>
        <v>0</v>
      </c>
      <c r="CP62" s="136">
        <f t="shared" si="50"/>
        <v>0</v>
      </c>
      <c r="CQ62" s="136"/>
      <c r="CR62" s="136">
        <f t="shared" si="51"/>
        <v>0</v>
      </c>
      <c r="CS62" s="136"/>
      <c r="CT62" s="136"/>
      <c r="CU62" s="136"/>
      <c r="CV62" s="136"/>
      <c r="CW62" s="136"/>
      <c r="CX62" s="136"/>
      <c r="CY62" s="136"/>
      <c r="CZ62" s="136">
        <f t="shared" si="52"/>
        <v>0</v>
      </c>
      <c r="DA62" s="136">
        <f t="shared" si="53"/>
        <v>0</v>
      </c>
      <c r="DB62" s="136">
        <f t="shared" si="54"/>
        <v>0</v>
      </c>
      <c r="DC62" s="131">
        <f t="shared" si="13"/>
        <v>0</v>
      </c>
      <c r="DD62" s="131">
        <f t="shared" si="55"/>
        <v>0</v>
      </c>
      <c r="DE62" s="131">
        <f t="shared" si="56"/>
        <v>0</v>
      </c>
      <c r="DF62" s="131">
        <f t="shared" si="57"/>
        <v>0</v>
      </c>
      <c r="DG62" s="131">
        <f t="shared" si="58"/>
        <v>0</v>
      </c>
      <c r="DH62" s="131"/>
      <c r="DI62" s="131"/>
      <c r="DJ62" s="131"/>
      <c r="DK62" s="137">
        <f t="shared" si="99"/>
        <v>3791.5811116017489</v>
      </c>
      <c r="DL62" s="227" t="e">
        <f t="shared" si="59"/>
        <v>#REF!</v>
      </c>
      <c r="DM62" s="227" t="e">
        <f t="shared" si="60"/>
        <v>#REF!</v>
      </c>
      <c r="DN62" s="228" t="e">
        <f t="shared" si="14"/>
        <v>#REF!</v>
      </c>
      <c r="DO62" s="228">
        <f t="shared" si="61"/>
        <v>181.81087083894022</v>
      </c>
      <c r="DP62" s="228" t="e">
        <f t="shared" si="62"/>
        <v>#REF!</v>
      </c>
      <c r="DQ62" s="228" t="e">
        <f t="shared" si="63"/>
        <v>#REF!</v>
      </c>
    </row>
    <row r="63" spans="1:121">
      <c r="A63" s="132">
        <f t="shared" si="15"/>
        <v>53</v>
      </c>
      <c r="B63" s="18">
        <f t="shared" si="64"/>
        <v>53</v>
      </c>
      <c r="C63" s="18">
        <f>IF(A63=0," ",VLOOKUP(B63,'tosafot '!$A$7:$B$234,2,0))</f>
        <v>5.2012</v>
      </c>
      <c r="D63" s="220">
        <f t="shared" si="65"/>
        <v>228</v>
      </c>
      <c r="E63" s="130">
        <f t="shared" si="66"/>
        <v>12.2026</v>
      </c>
      <c r="F63" s="126">
        <f t="shared" si="67"/>
        <v>9</v>
      </c>
      <c r="G63" s="18" t="str">
        <f t="shared" si="68"/>
        <v>הבריאות</v>
      </c>
      <c r="H63" s="189">
        <f t="shared" si="69"/>
        <v>107</v>
      </c>
      <c r="I63" s="18">
        <f t="shared" si="70"/>
        <v>1</v>
      </c>
      <c r="J63" s="18" t="str">
        <f t="shared" si="71"/>
        <v>מינהלי - עובדי מדינה</v>
      </c>
      <c r="K63" s="189">
        <f t="shared" si="72"/>
        <v>1</v>
      </c>
      <c r="L63" s="18">
        <f t="shared" si="73"/>
        <v>12</v>
      </c>
      <c r="M63" s="129" t="str">
        <f t="shared" si="74"/>
        <v>17+</v>
      </c>
      <c r="N63" s="189"/>
      <c r="O63" s="132">
        <f t="shared" si="75"/>
        <v>1012</v>
      </c>
      <c r="P63" s="127">
        <f t="shared" si="76"/>
        <v>37</v>
      </c>
      <c r="Q63" s="127">
        <f t="shared" si="77"/>
        <v>22.75</v>
      </c>
      <c r="R63" s="128">
        <f t="shared" si="78"/>
        <v>92</v>
      </c>
      <c r="S63" s="130">
        <f t="shared" si="79"/>
        <v>1.2540512286990533</v>
      </c>
      <c r="T63" s="135">
        <f t="shared" si="16"/>
        <v>0</v>
      </c>
      <c r="U63" s="127">
        <f t="shared" si="17"/>
        <v>0</v>
      </c>
      <c r="V63" s="217">
        <v>0</v>
      </c>
      <c r="W63" s="191">
        <v>0</v>
      </c>
      <c r="X63" s="133">
        <v>0</v>
      </c>
      <c r="Y63" s="131">
        <f t="shared" si="18"/>
        <v>2438.5</v>
      </c>
      <c r="Z63" s="131">
        <f t="shared" si="19"/>
        <v>619.50392118264142</v>
      </c>
      <c r="AA63" s="242">
        <f t="shared" si="20"/>
        <v>3058.0039211826415</v>
      </c>
      <c r="AB63" s="131">
        <f t="shared" si="21"/>
        <v>0</v>
      </c>
      <c r="AC63" s="131">
        <f t="shared" si="22"/>
        <v>139.48055684730568</v>
      </c>
      <c r="AD63" s="131">
        <f t="shared" si="23"/>
        <v>0</v>
      </c>
      <c r="AE63" s="131">
        <f t="shared" si="24"/>
        <v>0</v>
      </c>
      <c r="AF63" s="131">
        <f t="shared" si="25"/>
        <v>75.260000000000005</v>
      </c>
      <c r="AG63" s="131">
        <f t="shared" si="26"/>
        <v>0</v>
      </c>
      <c r="AH63" s="131">
        <f t="shared" si="27"/>
        <v>0</v>
      </c>
      <c r="AI63" s="131">
        <f t="shared" si="28"/>
        <v>0</v>
      </c>
      <c r="AJ63" s="131">
        <f t="shared" si="29"/>
        <v>0</v>
      </c>
      <c r="AK63" s="131"/>
      <c r="AL63" s="131">
        <f t="shared" si="30"/>
        <v>0</v>
      </c>
      <c r="AM63" s="131"/>
      <c r="AN63" s="243">
        <f t="shared" si="31"/>
        <v>0</v>
      </c>
      <c r="AO63" s="131">
        <f t="shared" si="32"/>
        <v>0</v>
      </c>
      <c r="AP63" s="131">
        <f t="shared" si="33"/>
        <v>0</v>
      </c>
      <c r="AQ63" s="131"/>
      <c r="AR63" s="131">
        <f t="shared" si="34"/>
        <v>0</v>
      </c>
      <c r="AS63" s="131">
        <f t="shared" si="82"/>
        <v>0</v>
      </c>
      <c r="AT63" s="131">
        <f t="shared" si="35"/>
        <v>0</v>
      </c>
      <c r="AU63" s="131">
        <f t="shared" si="36"/>
        <v>0</v>
      </c>
      <c r="AV63" s="131"/>
      <c r="AW63" s="131">
        <f t="shared" si="37"/>
        <v>353.75</v>
      </c>
      <c r="AX63" s="131">
        <f t="shared" si="103"/>
        <v>0</v>
      </c>
      <c r="AY63" s="131">
        <f t="shared" si="38"/>
        <v>0</v>
      </c>
      <c r="AZ63" s="131"/>
      <c r="BA63" s="131">
        <f t="shared" si="104"/>
        <v>0</v>
      </c>
      <c r="BB63" s="131"/>
      <c r="BC63" s="131"/>
      <c r="BD63" s="131">
        <f t="shared" si="39"/>
        <v>0</v>
      </c>
      <c r="BE63" s="131"/>
      <c r="BF63" s="131">
        <f t="shared" si="89"/>
        <v>0</v>
      </c>
      <c r="BG63" s="131">
        <f t="shared" si="90"/>
        <v>0</v>
      </c>
      <c r="BH63" s="131"/>
      <c r="BI63" s="131"/>
      <c r="BJ63" s="131"/>
      <c r="BK63" s="131">
        <f t="shared" si="92"/>
        <v>0</v>
      </c>
      <c r="BL63" s="131"/>
      <c r="BM63" s="131"/>
      <c r="BN63" s="131">
        <f t="shared" si="93"/>
        <v>0</v>
      </c>
      <c r="BO63" s="131"/>
      <c r="BP63" s="131">
        <f t="shared" si="94"/>
        <v>0</v>
      </c>
      <c r="BQ63" s="131"/>
      <c r="BR63" s="131"/>
      <c r="BS63" s="131"/>
      <c r="BT63" s="131"/>
      <c r="BU63" s="131"/>
      <c r="BV63" s="131">
        <f t="shared" si="95"/>
        <v>0</v>
      </c>
      <c r="BW63" s="131"/>
      <c r="BX63" s="131"/>
      <c r="BY63" s="131"/>
      <c r="BZ63" s="131">
        <f t="shared" si="98"/>
        <v>0</v>
      </c>
      <c r="CA63" s="131"/>
      <c r="CB63" s="136">
        <f t="shared" si="40"/>
        <v>165.08663357180151</v>
      </c>
      <c r="CC63" s="131">
        <f t="shared" si="41"/>
        <v>0</v>
      </c>
      <c r="CD63" s="136">
        <f t="shared" si="42"/>
        <v>0</v>
      </c>
      <c r="CE63" s="131">
        <f t="shared" si="102"/>
        <v>0</v>
      </c>
      <c r="CF63" s="136">
        <f t="shared" si="43"/>
        <v>0</v>
      </c>
      <c r="CG63" s="136"/>
      <c r="CH63" s="136">
        <f t="shared" si="101"/>
        <v>0</v>
      </c>
      <c r="CI63" s="131">
        <f t="shared" si="44"/>
        <v>0</v>
      </c>
      <c r="CJ63" s="131"/>
      <c r="CK63" s="136">
        <f t="shared" si="45"/>
        <v>0</v>
      </c>
      <c r="CL63" s="136">
        <f t="shared" si="46"/>
        <v>0</v>
      </c>
      <c r="CM63" s="131">
        <f t="shared" si="47"/>
        <v>0</v>
      </c>
      <c r="CN63" s="136">
        <f t="shared" si="48"/>
        <v>0</v>
      </c>
      <c r="CO63" s="136">
        <f t="shared" si="49"/>
        <v>0</v>
      </c>
      <c r="CP63" s="136">
        <f t="shared" si="50"/>
        <v>0</v>
      </c>
      <c r="CQ63" s="136"/>
      <c r="CR63" s="136">
        <f t="shared" si="51"/>
        <v>0</v>
      </c>
      <c r="CS63" s="136"/>
      <c r="CT63" s="136"/>
      <c r="CU63" s="136"/>
      <c r="CV63" s="136"/>
      <c r="CW63" s="136"/>
      <c r="CX63" s="136"/>
      <c r="CY63" s="136"/>
      <c r="CZ63" s="136">
        <f t="shared" si="52"/>
        <v>0</v>
      </c>
      <c r="DA63" s="136">
        <f t="shared" si="53"/>
        <v>0</v>
      </c>
      <c r="DB63" s="136">
        <f t="shared" si="54"/>
        <v>0</v>
      </c>
      <c r="DC63" s="131">
        <f t="shared" si="13"/>
        <v>0</v>
      </c>
      <c r="DD63" s="131">
        <f t="shared" si="55"/>
        <v>0</v>
      </c>
      <c r="DE63" s="131">
        <f t="shared" si="56"/>
        <v>0</v>
      </c>
      <c r="DF63" s="131">
        <f t="shared" si="57"/>
        <v>0</v>
      </c>
      <c r="DG63" s="131">
        <f t="shared" si="58"/>
        <v>0</v>
      </c>
      <c r="DH63" s="131"/>
      <c r="DI63" s="131"/>
      <c r="DJ63" s="131"/>
      <c r="DK63" s="137">
        <f t="shared" si="99"/>
        <v>3791.5811116017489</v>
      </c>
      <c r="DL63" s="227" t="e">
        <f t="shared" si="59"/>
        <v>#REF!</v>
      </c>
      <c r="DM63" s="227" t="e">
        <f t="shared" si="60"/>
        <v>#REF!</v>
      </c>
      <c r="DN63" s="228" t="e">
        <f t="shared" si="14"/>
        <v>#REF!</v>
      </c>
      <c r="DO63" s="228">
        <f t="shared" si="61"/>
        <v>181.81087083894022</v>
      </c>
      <c r="DP63" s="228" t="e">
        <f t="shared" si="62"/>
        <v>#REF!</v>
      </c>
      <c r="DQ63" s="228" t="e">
        <f t="shared" si="63"/>
        <v>#REF!</v>
      </c>
    </row>
    <row r="64" spans="1:121">
      <c r="A64" s="132">
        <f t="shared" si="15"/>
        <v>54</v>
      </c>
      <c r="B64" s="18">
        <f t="shared" si="64"/>
        <v>54</v>
      </c>
      <c r="C64" s="18">
        <f>IF(A64=0," ",VLOOKUP(B64,'tosafot '!$A$7:$B$234,2,0))</f>
        <v>6.2012</v>
      </c>
      <c r="D64" s="220">
        <f t="shared" si="65"/>
        <v>228</v>
      </c>
      <c r="E64" s="130">
        <f t="shared" si="66"/>
        <v>12.2026</v>
      </c>
      <c r="F64" s="126">
        <f t="shared" si="67"/>
        <v>9</v>
      </c>
      <c r="G64" s="18" t="str">
        <f t="shared" si="68"/>
        <v>הבריאות</v>
      </c>
      <c r="H64" s="189">
        <f t="shared" si="69"/>
        <v>107</v>
      </c>
      <c r="I64" s="18">
        <f t="shared" si="70"/>
        <v>1</v>
      </c>
      <c r="J64" s="18" t="str">
        <f t="shared" si="71"/>
        <v>מינהלי - עובדי מדינה</v>
      </c>
      <c r="K64" s="189">
        <f t="shared" si="72"/>
        <v>1</v>
      </c>
      <c r="L64" s="18">
        <f t="shared" si="73"/>
        <v>12</v>
      </c>
      <c r="M64" s="129" t="str">
        <f t="shared" si="74"/>
        <v>17+</v>
      </c>
      <c r="N64" s="189"/>
      <c r="O64" s="132">
        <f t="shared" si="75"/>
        <v>1012</v>
      </c>
      <c r="P64" s="127">
        <f t="shared" si="76"/>
        <v>37</v>
      </c>
      <c r="Q64" s="127">
        <f t="shared" si="77"/>
        <v>22.75</v>
      </c>
      <c r="R64" s="128">
        <f t="shared" si="78"/>
        <v>92</v>
      </c>
      <c r="S64" s="130">
        <f t="shared" si="79"/>
        <v>1.2540512286990533</v>
      </c>
      <c r="T64" s="135">
        <f t="shared" si="16"/>
        <v>0</v>
      </c>
      <c r="U64" s="127">
        <f t="shared" si="17"/>
        <v>0</v>
      </c>
      <c r="V64" s="217">
        <v>0</v>
      </c>
      <c r="W64" s="191">
        <v>0</v>
      </c>
      <c r="X64" s="133">
        <v>0</v>
      </c>
      <c r="Y64" s="131">
        <f t="shared" si="18"/>
        <v>2438.5</v>
      </c>
      <c r="Z64" s="131">
        <f t="shared" si="19"/>
        <v>619.50392118264142</v>
      </c>
      <c r="AA64" s="242">
        <f t="shared" si="20"/>
        <v>3058.0039211826415</v>
      </c>
      <c r="AB64" s="131">
        <f t="shared" si="21"/>
        <v>0</v>
      </c>
      <c r="AC64" s="131">
        <f t="shared" si="22"/>
        <v>139.48055684730568</v>
      </c>
      <c r="AD64" s="131">
        <f t="shared" si="23"/>
        <v>0</v>
      </c>
      <c r="AE64" s="131">
        <f t="shared" si="24"/>
        <v>0</v>
      </c>
      <c r="AF64" s="131">
        <f t="shared" si="25"/>
        <v>75.260000000000005</v>
      </c>
      <c r="AG64" s="131">
        <f t="shared" si="26"/>
        <v>0</v>
      </c>
      <c r="AH64" s="131">
        <f t="shared" si="27"/>
        <v>0</v>
      </c>
      <c r="AI64" s="131">
        <f t="shared" si="28"/>
        <v>0</v>
      </c>
      <c r="AJ64" s="131">
        <f t="shared" si="29"/>
        <v>0</v>
      </c>
      <c r="AK64" s="131"/>
      <c r="AL64" s="131">
        <f t="shared" si="30"/>
        <v>0</v>
      </c>
      <c r="AM64" s="131"/>
      <c r="AN64" s="243">
        <f t="shared" si="31"/>
        <v>0</v>
      </c>
      <c r="AO64" s="131">
        <f t="shared" si="32"/>
        <v>0</v>
      </c>
      <c r="AP64" s="131">
        <f t="shared" si="33"/>
        <v>0</v>
      </c>
      <c r="AQ64" s="131"/>
      <c r="AR64" s="131">
        <f t="shared" si="34"/>
        <v>0</v>
      </c>
      <c r="AS64" s="131">
        <f t="shared" si="82"/>
        <v>0</v>
      </c>
      <c r="AT64" s="131">
        <f t="shared" si="35"/>
        <v>0</v>
      </c>
      <c r="AU64" s="131">
        <f t="shared" si="36"/>
        <v>0</v>
      </c>
      <c r="AV64" s="131"/>
      <c r="AW64" s="131">
        <f t="shared" si="37"/>
        <v>353.75</v>
      </c>
      <c r="AX64" s="131">
        <f t="shared" si="103"/>
        <v>0</v>
      </c>
      <c r="AY64" s="131">
        <f t="shared" si="38"/>
        <v>0</v>
      </c>
      <c r="AZ64" s="131"/>
      <c r="BA64" s="131">
        <f t="shared" si="104"/>
        <v>0</v>
      </c>
      <c r="BB64" s="131"/>
      <c r="BC64" s="131"/>
      <c r="BD64" s="131">
        <f t="shared" si="39"/>
        <v>0</v>
      </c>
      <c r="BE64" s="131"/>
      <c r="BF64" s="131">
        <f t="shared" si="89"/>
        <v>0</v>
      </c>
      <c r="BG64" s="131">
        <f t="shared" si="90"/>
        <v>0</v>
      </c>
      <c r="BH64" s="131"/>
      <c r="BI64" s="131"/>
      <c r="BJ64" s="131"/>
      <c r="BK64" s="131">
        <f t="shared" si="92"/>
        <v>0</v>
      </c>
      <c r="BL64" s="131"/>
      <c r="BM64" s="131"/>
      <c r="BN64" s="131">
        <f t="shared" si="93"/>
        <v>0</v>
      </c>
      <c r="BO64" s="131"/>
      <c r="BP64" s="131">
        <f t="shared" si="94"/>
        <v>0</v>
      </c>
      <c r="BQ64" s="131"/>
      <c r="BR64" s="131"/>
      <c r="BS64" s="131"/>
      <c r="BT64" s="131"/>
      <c r="BU64" s="131"/>
      <c r="BV64" s="131">
        <f t="shared" si="95"/>
        <v>0</v>
      </c>
      <c r="BW64" s="131"/>
      <c r="BX64" s="131"/>
      <c r="BY64" s="131"/>
      <c r="BZ64" s="131">
        <f t="shared" si="98"/>
        <v>0</v>
      </c>
      <c r="CA64" s="131"/>
      <c r="CB64" s="136">
        <f t="shared" si="40"/>
        <v>165.08663357180151</v>
      </c>
      <c r="CC64" s="131">
        <f t="shared" si="41"/>
        <v>0</v>
      </c>
      <c r="CD64" s="136">
        <f t="shared" si="42"/>
        <v>0</v>
      </c>
      <c r="CE64" s="131">
        <f t="shared" si="102"/>
        <v>0</v>
      </c>
      <c r="CF64" s="136">
        <f t="shared" si="43"/>
        <v>0</v>
      </c>
      <c r="CG64" s="136"/>
      <c r="CH64" s="136">
        <f t="shared" si="101"/>
        <v>0</v>
      </c>
      <c r="CI64" s="131">
        <f t="shared" si="44"/>
        <v>0</v>
      </c>
      <c r="CJ64" s="131"/>
      <c r="CK64" s="136">
        <f t="shared" si="45"/>
        <v>0</v>
      </c>
      <c r="CL64" s="136">
        <f t="shared" si="46"/>
        <v>0</v>
      </c>
      <c r="CM64" s="131">
        <f t="shared" si="47"/>
        <v>0</v>
      </c>
      <c r="CN64" s="136">
        <f t="shared" si="48"/>
        <v>0</v>
      </c>
      <c r="CO64" s="136">
        <f t="shared" si="49"/>
        <v>0</v>
      </c>
      <c r="CP64" s="136">
        <f t="shared" si="50"/>
        <v>0</v>
      </c>
      <c r="CQ64" s="136"/>
      <c r="CR64" s="136">
        <f t="shared" si="51"/>
        <v>0</v>
      </c>
      <c r="CS64" s="136"/>
      <c r="CT64" s="136"/>
      <c r="CU64" s="136"/>
      <c r="CV64" s="136"/>
      <c r="CW64" s="136"/>
      <c r="CX64" s="136"/>
      <c r="CY64" s="136"/>
      <c r="CZ64" s="136">
        <f t="shared" si="52"/>
        <v>0</v>
      </c>
      <c r="DA64" s="136">
        <f t="shared" si="53"/>
        <v>0</v>
      </c>
      <c r="DB64" s="136">
        <f t="shared" si="54"/>
        <v>0</v>
      </c>
      <c r="DC64" s="131">
        <f t="shared" si="13"/>
        <v>0</v>
      </c>
      <c r="DD64" s="131">
        <f t="shared" si="55"/>
        <v>0</v>
      </c>
      <c r="DE64" s="131">
        <f t="shared" si="56"/>
        <v>0</v>
      </c>
      <c r="DF64" s="131">
        <f t="shared" si="57"/>
        <v>0</v>
      </c>
      <c r="DG64" s="131">
        <f t="shared" si="58"/>
        <v>0</v>
      </c>
      <c r="DH64" s="131"/>
      <c r="DI64" s="131"/>
      <c r="DJ64" s="131"/>
      <c r="DK64" s="137">
        <f t="shared" si="99"/>
        <v>3791.5811116017489</v>
      </c>
      <c r="DL64" s="227" t="e">
        <f t="shared" si="59"/>
        <v>#REF!</v>
      </c>
      <c r="DM64" s="227" t="e">
        <f t="shared" si="60"/>
        <v>#REF!</v>
      </c>
      <c r="DN64" s="228" t="e">
        <f t="shared" si="14"/>
        <v>#REF!</v>
      </c>
      <c r="DO64" s="228">
        <f t="shared" si="61"/>
        <v>181.81087083894022</v>
      </c>
      <c r="DP64" s="228" t="e">
        <f t="shared" si="62"/>
        <v>#REF!</v>
      </c>
      <c r="DQ64" s="228" t="e">
        <f t="shared" si="63"/>
        <v>#REF!</v>
      </c>
    </row>
    <row r="65" spans="1:121">
      <c r="A65" s="132">
        <f t="shared" si="15"/>
        <v>55</v>
      </c>
      <c r="B65" s="18">
        <f t="shared" si="64"/>
        <v>55</v>
      </c>
      <c r="C65" s="18">
        <f>IF(A65=0," ",VLOOKUP(B65,'tosafot '!$A$7:$B$234,2,0))</f>
        <v>7.2012</v>
      </c>
      <c r="D65" s="220">
        <f t="shared" si="65"/>
        <v>228</v>
      </c>
      <c r="E65" s="130">
        <f t="shared" si="66"/>
        <v>12.2026</v>
      </c>
      <c r="F65" s="126">
        <f t="shared" si="67"/>
        <v>9</v>
      </c>
      <c r="G65" s="18" t="str">
        <f t="shared" si="68"/>
        <v>הבריאות</v>
      </c>
      <c r="H65" s="189">
        <f t="shared" si="69"/>
        <v>107</v>
      </c>
      <c r="I65" s="18">
        <f t="shared" si="70"/>
        <v>1</v>
      </c>
      <c r="J65" s="18" t="str">
        <f t="shared" si="71"/>
        <v>מינהלי - עובדי מדינה</v>
      </c>
      <c r="K65" s="189">
        <f t="shared" si="72"/>
        <v>1</v>
      </c>
      <c r="L65" s="18">
        <f t="shared" si="73"/>
        <v>12</v>
      </c>
      <c r="M65" s="129" t="str">
        <f t="shared" si="74"/>
        <v>17+</v>
      </c>
      <c r="N65" s="189"/>
      <c r="O65" s="132">
        <f t="shared" si="75"/>
        <v>1012</v>
      </c>
      <c r="P65" s="127">
        <f t="shared" si="76"/>
        <v>37</v>
      </c>
      <c r="Q65" s="127">
        <f t="shared" si="77"/>
        <v>22.75</v>
      </c>
      <c r="R65" s="128">
        <f t="shared" si="78"/>
        <v>92</v>
      </c>
      <c r="S65" s="130">
        <f t="shared" si="79"/>
        <v>1.2540512286990533</v>
      </c>
      <c r="T65" s="135">
        <f t="shared" si="16"/>
        <v>0</v>
      </c>
      <c r="U65" s="127">
        <f t="shared" si="17"/>
        <v>0</v>
      </c>
      <c r="V65" s="217">
        <v>0</v>
      </c>
      <c r="W65" s="191">
        <v>0</v>
      </c>
      <c r="X65" s="133">
        <v>0</v>
      </c>
      <c r="Y65" s="131">
        <f t="shared" si="18"/>
        <v>2438.5</v>
      </c>
      <c r="Z65" s="131">
        <f t="shared" si="19"/>
        <v>619.50392118264142</v>
      </c>
      <c r="AA65" s="242">
        <f t="shared" si="20"/>
        <v>3058.0039211826415</v>
      </c>
      <c r="AB65" s="131">
        <f t="shared" si="21"/>
        <v>0</v>
      </c>
      <c r="AC65" s="131">
        <f t="shared" si="22"/>
        <v>139.48055684730568</v>
      </c>
      <c r="AD65" s="131">
        <f t="shared" si="23"/>
        <v>0</v>
      </c>
      <c r="AE65" s="131">
        <f t="shared" si="24"/>
        <v>0</v>
      </c>
      <c r="AF65" s="131">
        <f t="shared" si="25"/>
        <v>75.260000000000005</v>
      </c>
      <c r="AG65" s="131">
        <f t="shared" si="26"/>
        <v>0</v>
      </c>
      <c r="AH65" s="131">
        <f t="shared" si="27"/>
        <v>0</v>
      </c>
      <c r="AI65" s="131">
        <f t="shared" si="28"/>
        <v>0</v>
      </c>
      <c r="AJ65" s="131">
        <f t="shared" si="29"/>
        <v>0</v>
      </c>
      <c r="AK65" s="131"/>
      <c r="AL65" s="131">
        <f t="shared" si="30"/>
        <v>0</v>
      </c>
      <c r="AM65" s="131"/>
      <c r="AN65" s="243">
        <f t="shared" si="31"/>
        <v>0</v>
      </c>
      <c r="AO65" s="131">
        <f t="shared" si="32"/>
        <v>0</v>
      </c>
      <c r="AP65" s="131">
        <f t="shared" si="33"/>
        <v>0</v>
      </c>
      <c r="AQ65" s="131"/>
      <c r="AR65" s="131">
        <f t="shared" si="34"/>
        <v>0</v>
      </c>
      <c r="AS65" s="131">
        <f t="shared" si="82"/>
        <v>0</v>
      </c>
      <c r="AT65" s="131">
        <f t="shared" si="35"/>
        <v>0</v>
      </c>
      <c r="AU65" s="131">
        <f t="shared" si="36"/>
        <v>0</v>
      </c>
      <c r="AV65" s="131"/>
      <c r="AW65" s="131">
        <f t="shared" si="37"/>
        <v>353.75</v>
      </c>
      <c r="AX65" s="131">
        <f t="shared" si="103"/>
        <v>0</v>
      </c>
      <c r="AY65" s="131">
        <f t="shared" si="38"/>
        <v>0</v>
      </c>
      <c r="AZ65" s="131"/>
      <c r="BA65" s="131">
        <f t="shared" si="104"/>
        <v>0</v>
      </c>
      <c r="BB65" s="131"/>
      <c r="BC65" s="131"/>
      <c r="BD65" s="131">
        <f t="shared" si="39"/>
        <v>0</v>
      </c>
      <c r="BE65" s="131"/>
      <c r="BF65" s="131">
        <f t="shared" si="89"/>
        <v>0</v>
      </c>
      <c r="BG65" s="131">
        <f t="shared" si="90"/>
        <v>0</v>
      </c>
      <c r="BH65" s="131"/>
      <c r="BI65" s="131"/>
      <c r="BJ65" s="131"/>
      <c r="BK65" s="131">
        <f t="shared" si="92"/>
        <v>0</v>
      </c>
      <c r="BL65" s="131"/>
      <c r="BM65" s="131"/>
      <c r="BN65" s="131">
        <f t="shared" si="93"/>
        <v>0</v>
      </c>
      <c r="BO65" s="131"/>
      <c r="BP65" s="131">
        <f t="shared" si="94"/>
        <v>0</v>
      </c>
      <c r="BQ65" s="131"/>
      <c r="BR65" s="131"/>
      <c r="BS65" s="131"/>
      <c r="BT65" s="131"/>
      <c r="BU65" s="131"/>
      <c r="BV65" s="131">
        <f t="shared" si="95"/>
        <v>0</v>
      </c>
      <c r="BW65" s="131"/>
      <c r="BX65" s="131"/>
      <c r="BY65" s="131"/>
      <c r="BZ65" s="131">
        <f t="shared" si="98"/>
        <v>0</v>
      </c>
      <c r="CA65" s="131"/>
      <c r="CB65" s="136">
        <f t="shared" si="40"/>
        <v>165.08663357180151</v>
      </c>
      <c r="CC65" s="131">
        <f t="shared" si="41"/>
        <v>0</v>
      </c>
      <c r="CD65" s="136">
        <f t="shared" si="42"/>
        <v>0</v>
      </c>
      <c r="CE65" s="131">
        <f t="shared" si="102"/>
        <v>0</v>
      </c>
      <c r="CF65" s="136">
        <f t="shared" si="43"/>
        <v>0</v>
      </c>
      <c r="CG65" s="136"/>
      <c r="CH65" s="136">
        <f t="shared" si="101"/>
        <v>0</v>
      </c>
      <c r="CI65" s="131">
        <f t="shared" si="44"/>
        <v>0</v>
      </c>
      <c r="CJ65" s="131"/>
      <c r="CK65" s="136">
        <f t="shared" si="45"/>
        <v>0</v>
      </c>
      <c r="CL65" s="136">
        <f t="shared" si="46"/>
        <v>0</v>
      </c>
      <c r="CM65" s="131">
        <f t="shared" si="47"/>
        <v>0</v>
      </c>
      <c r="CN65" s="136">
        <f t="shared" si="48"/>
        <v>0</v>
      </c>
      <c r="CO65" s="136">
        <f t="shared" si="49"/>
        <v>0</v>
      </c>
      <c r="CP65" s="136">
        <f t="shared" si="50"/>
        <v>0</v>
      </c>
      <c r="CQ65" s="136"/>
      <c r="CR65" s="136">
        <f t="shared" si="51"/>
        <v>0</v>
      </c>
      <c r="CS65" s="136"/>
      <c r="CT65" s="136"/>
      <c r="CU65" s="136"/>
      <c r="CV65" s="136"/>
      <c r="CW65" s="136"/>
      <c r="CX65" s="136"/>
      <c r="CY65" s="136"/>
      <c r="CZ65" s="136">
        <f t="shared" si="52"/>
        <v>0</v>
      </c>
      <c r="DA65" s="136">
        <f t="shared" si="53"/>
        <v>0</v>
      </c>
      <c r="DB65" s="136">
        <f t="shared" si="54"/>
        <v>0</v>
      </c>
      <c r="DC65" s="131">
        <f t="shared" si="13"/>
        <v>0</v>
      </c>
      <c r="DD65" s="131">
        <f t="shared" si="55"/>
        <v>0</v>
      </c>
      <c r="DE65" s="131">
        <f t="shared" si="56"/>
        <v>0</v>
      </c>
      <c r="DF65" s="131">
        <f t="shared" si="57"/>
        <v>0</v>
      </c>
      <c r="DG65" s="131">
        <f t="shared" si="58"/>
        <v>0</v>
      </c>
      <c r="DH65" s="131"/>
      <c r="DI65" s="131"/>
      <c r="DJ65" s="131"/>
      <c r="DK65" s="137">
        <f t="shared" si="99"/>
        <v>3791.5811116017489</v>
      </c>
      <c r="DL65" s="227" t="e">
        <f t="shared" si="59"/>
        <v>#REF!</v>
      </c>
      <c r="DM65" s="227" t="e">
        <f t="shared" si="60"/>
        <v>#REF!</v>
      </c>
      <c r="DN65" s="228" t="e">
        <f t="shared" si="14"/>
        <v>#REF!</v>
      </c>
      <c r="DO65" s="228">
        <f t="shared" si="61"/>
        <v>181.81087083894022</v>
      </c>
      <c r="DP65" s="228" t="e">
        <f t="shared" si="62"/>
        <v>#REF!</v>
      </c>
      <c r="DQ65" s="228" t="e">
        <f t="shared" si="63"/>
        <v>#REF!</v>
      </c>
    </row>
    <row r="66" spans="1:121">
      <c r="A66" s="132">
        <f t="shared" si="15"/>
        <v>56</v>
      </c>
      <c r="B66" s="18">
        <f t="shared" si="64"/>
        <v>56</v>
      </c>
      <c r="C66" s="18">
        <f>IF(A66=0," ",VLOOKUP(B66,'tosafot '!$A$7:$B$234,2,0))</f>
        <v>8.2012</v>
      </c>
      <c r="D66" s="220">
        <f t="shared" si="65"/>
        <v>228</v>
      </c>
      <c r="E66" s="130">
        <f t="shared" si="66"/>
        <v>12.2026</v>
      </c>
      <c r="F66" s="126">
        <f t="shared" si="67"/>
        <v>9</v>
      </c>
      <c r="G66" s="18" t="str">
        <f t="shared" si="68"/>
        <v>הבריאות</v>
      </c>
      <c r="H66" s="189">
        <f t="shared" si="69"/>
        <v>107</v>
      </c>
      <c r="I66" s="18">
        <f t="shared" si="70"/>
        <v>1</v>
      </c>
      <c r="J66" s="18" t="str">
        <f t="shared" si="71"/>
        <v>מינהלי - עובדי מדינה</v>
      </c>
      <c r="K66" s="189">
        <f t="shared" si="72"/>
        <v>1</v>
      </c>
      <c r="L66" s="18">
        <f t="shared" si="73"/>
        <v>12</v>
      </c>
      <c r="M66" s="129" t="str">
        <f t="shared" si="74"/>
        <v>17+</v>
      </c>
      <c r="N66" s="189"/>
      <c r="O66" s="132">
        <f t="shared" si="75"/>
        <v>1012</v>
      </c>
      <c r="P66" s="127">
        <f t="shared" si="76"/>
        <v>37</v>
      </c>
      <c r="Q66" s="127">
        <f t="shared" si="77"/>
        <v>22.75</v>
      </c>
      <c r="R66" s="128">
        <f t="shared" si="78"/>
        <v>92</v>
      </c>
      <c r="S66" s="130">
        <f t="shared" si="79"/>
        <v>1.2540512286990533</v>
      </c>
      <c r="T66" s="135">
        <f t="shared" si="16"/>
        <v>0</v>
      </c>
      <c r="U66" s="127">
        <f t="shared" si="17"/>
        <v>0</v>
      </c>
      <c r="V66" s="217">
        <v>0</v>
      </c>
      <c r="W66" s="191">
        <v>0</v>
      </c>
      <c r="X66" s="133">
        <v>0</v>
      </c>
      <c r="Y66" s="131">
        <f t="shared" si="18"/>
        <v>2438.5</v>
      </c>
      <c r="Z66" s="131">
        <f t="shared" si="19"/>
        <v>619.50392118264142</v>
      </c>
      <c r="AA66" s="242">
        <f t="shared" si="20"/>
        <v>3058.0039211826415</v>
      </c>
      <c r="AB66" s="131">
        <f t="shared" si="21"/>
        <v>0</v>
      </c>
      <c r="AC66" s="131">
        <f t="shared" si="22"/>
        <v>139.48055684730568</v>
      </c>
      <c r="AD66" s="131">
        <f t="shared" si="23"/>
        <v>0</v>
      </c>
      <c r="AE66" s="131">
        <f t="shared" si="24"/>
        <v>0</v>
      </c>
      <c r="AF66" s="131">
        <f t="shared" si="25"/>
        <v>75.260000000000005</v>
      </c>
      <c r="AG66" s="131">
        <f t="shared" si="26"/>
        <v>0</v>
      </c>
      <c r="AH66" s="131">
        <f t="shared" si="27"/>
        <v>0</v>
      </c>
      <c r="AI66" s="131">
        <f t="shared" si="28"/>
        <v>0</v>
      </c>
      <c r="AJ66" s="131">
        <f t="shared" si="29"/>
        <v>0</v>
      </c>
      <c r="AK66" s="131"/>
      <c r="AL66" s="131">
        <f t="shared" si="30"/>
        <v>0</v>
      </c>
      <c r="AM66" s="131"/>
      <c r="AN66" s="243">
        <f t="shared" si="31"/>
        <v>0</v>
      </c>
      <c r="AO66" s="131">
        <f t="shared" si="32"/>
        <v>0</v>
      </c>
      <c r="AP66" s="131">
        <f t="shared" si="33"/>
        <v>0</v>
      </c>
      <c r="AQ66" s="131"/>
      <c r="AR66" s="131">
        <f t="shared" si="34"/>
        <v>0</v>
      </c>
      <c r="AS66" s="131">
        <f t="shared" si="82"/>
        <v>0</v>
      </c>
      <c r="AT66" s="131">
        <f t="shared" si="35"/>
        <v>0</v>
      </c>
      <c r="AU66" s="131">
        <f t="shared" si="36"/>
        <v>0</v>
      </c>
      <c r="AV66" s="131"/>
      <c r="AW66" s="131">
        <f t="shared" si="37"/>
        <v>353.75</v>
      </c>
      <c r="AX66" s="131">
        <f t="shared" si="103"/>
        <v>0</v>
      </c>
      <c r="AY66" s="131">
        <f t="shared" si="38"/>
        <v>0</v>
      </c>
      <c r="AZ66" s="131"/>
      <c r="BA66" s="131">
        <f t="shared" si="104"/>
        <v>0</v>
      </c>
      <c r="BB66" s="131"/>
      <c r="BC66" s="131"/>
      <c r="BD66" s="131">
        <f t="shared" si="39"/>
        <v>0</v>
      </c>
      <c r="BE66" s="131"/>
      <c r="BF66" s="131">
        <f t="shared" si="89"/>
        <v>0</v>
      </c>
      <c r="BG66" s="131">
        <f t="shared" si="90"/>
        <v>0</v>
      </c>
      <c r="BH66" s="131"/>
      <c r="BI66" s="131"/>
      <c r="BJ66" s="131"/>
      <c r="BK66" s="131">
        <f t="shared" si="92"/>
        <v>0</v>
      </c>
      <c r="BL66" s="131"/>
      <c r="BM66" s="131"/>
      <c r="BN66" s="131">
        <f t="shared" si="93"/>
        <v>0</v>
      </c>
      <c r="BO66" s="131"/>
      <c r="BP66" s="131">
        <f t="shared" si="94"/>
        <v>0</v>
      </c>
      <c r="BQ66" s="131"/>
      <c r="BR66" s="131"/>
      <c r="BS66" s="131"/>
      <c r="BT66" s="131"/>
      <c r="BU66" s="131"/>
      <c r="BV66" s="131">
        <f t="shared" si="95"/>
        <v>0</v>
      </c>
      <c r="BW66" s="131"/>
      <c r="BX66" s="131"/>
      <c r="BY66" s="131"/>
      <c r="BZ66" s="131">
        <f t="shared" si="98"/>
        <v>0</v>
      </c>
      <c r="CA66" s="131"/>
      <c r="CB66" s="136">
        <f t="shared" si="40"/>
        <v>165.08663357180151</v>
      </c>
      <c r="CC66" s="131">
        <f t="shared" si="41"/>
        <v>0</v>
      </c>
      <c r="CD66" s="136">
        <f t="shared" si="42"/>
        <v>0</v>
      </c>
      <c r="CE66" s="131">
        <f t="shared" si="102"/>
        <v>0</v>
      </c>
      <c r="CF66" s="136">
        <f t="shared" si="43"/>
        <v>0</v>
      </c>
      <c r="CG66" s="136"/>
      <c r="CH66" s="136">
        <f t="shared" si="101"/>
        <v>0</v>
      </c>
      <c r="CI66" s="131">
        <f t="shared" si="44"/>
        <v>0</v>
      </c>
      <c r="CJ66" s="131"/>
      <c r="CK66" s="136">
        <f t="shared" si="45"/>
        <v>0</v>
      </c>
      <c r="CL66" s="136">
        <f t="shared" si="46"/>
        <v>0</v>
      </c>
      <c r="CM66" s="131">
        <f t="shared" si="47"/>
        <v>0</v>
      </c>
      <c r="CN66" s="136">
        <f t="shared" si="48"/>
        <v>0</v>
      </c>
      <c r="CO66" s="136">
        <f t="shared" si="49"/>
        <v>0</v>
      </c>
      <c r="CP66" s="136">
        <f t="shared" si="50"/>
        <v>0</v>
      </c>
      <c r="CQ66" s="136"/>
      <c r="CR66" s="136">
        <f t="shared" si="51"/>
        <v>0</v>
      </c>
      <c r="CS66" s="136"/>
      <c r="CT66" s="136"/>
      <c r="CU66" s="136"/>
      <c r="CV66" s="136"/>
      <c r="CW66" s="136"/>
      <c r="CX66" s="136"/>
      <c r="CY66" s="136"/>
      <c r="CZ66" s="136">
        <f t="shared" si="52"/>
        <v>0</v>
      </c>
      <c r="DA66" s="136">
        <f t="shared" si="53"/>
        <v>0</v>
      </c>
      <c r="DB66" s="136">
        <f t="shared" si="54"/>
        <v>0</v>
      </c>
      <c r="DC66" s="131">
        <f t="shared" si="13"/>
        <v>0</v>
      </c>
      <c r="DD66" s="131">
        <f t="shared" si="55"/>
        <v>0</v>
      </c>
      <c r="DE66" s="131">
        <f t="shared" si="56"/>
        <v>0</v>
      </c>
      <c r="DF66" s="131">
        <f t="shared" si="57"/>
        <v>0</v>
      </c>
      <c r="DG66" s="131">
        <f t="shared" si="58"/>
        <v>0</v>
      </c>
      <c r="DH66" s="131"/>
      <c r="DI66" s="131"/>
      <c r="DJ66" s="131"/>
      <c r="DK66" s="137">
        <f t="shared" si="99"/>
        <v>3791.5811116017489</v>
      </c>
      <c r="DL66" s="227" t="e">
        <f t="shared" si="59"/>
        <v>#REF!</v>
      </c>
      <c r="DM66" s="227" t="e">
        <f t="shared" si="60"/>
        <v>#REF!</v>
      </c>
      <c r="DN66" s="228" t="e">
        <f t="shared" si="14"/>
        <v>#REF!</v>
      </c>
      <c r="DO66" s="228">
        <f t="shared" si="61"/>
        <v>181.81087083894022</v>
      </c>
      <c r="DP66" s="228" t="e">
        <f t="shared" si="62"/>
        <v>#REF!</v>
      </c>
      <c r="DQ66" s="228" t="e">
        <f t="shared" si="63"/>
        <v>#REF!</v>
      </c>
    </row>
    <row r="67" spans="1:121">
      <c r="A67" s="132">
        <f t="shared" si="15"/>
        <v>57</v>
      </c>
      <c r="B67" s="18">
        <f t="shared" si="64"/>
        <v>57</v>
      </c>
      <c r="C67" s="18">
        <f>IF(A67=0," ",VLOOKUP(B67,'tosafot '!$A$7:$B$234,2,0))</f>
        <v>9.2012</v>
      </c>
      <c r="D67" s="220">
        <f t="shared" si="65"/>
        <v>228</v>
      </c>
      <c r="E67" s="130">
        <f t="shared" si="66"/>
        <v>12.2026</v>
      </c>
      <c r="F67" s="126">
        <f t="shared" si="67"/>
        <v>9</v>
      </c>
      <c r="G67" s="18" t="str">
        <f t="shared" si="68"/>
        <v>הבריאות</v>
      </c>
      <c r="H67" s="189">
        <f t="shared" si="69"/>
        <v>107</v>
      </c>
      <c r="I67" s="18">
        <f t="shared" si="70"/>
        <v>1</v>
      </c>
      <c r="J67" s="18" t="str">
        <f t="shared" si="71"/>
        <v>מינהלי - עובדי מדינה</v>
      </c>
      <c r="K67" s="189">
        <f t="shared" si="72"/>
        <v>1</v>
      </c>
      <c r="L67" s="18">
        <f t="shared" si="73"/>
        <v>12</v>
      </c>
      <c r="M67" s="129" t="str">
        <f t="shared" si="74"/>
        <v>17+</v>
      </c>
      <c r="N67" s="189"/>
      <c r="O67" s="132">
        <f t="shared" si="75"/>
        <v>1012</v>
      </c>
      <c r="P67" s="127">
        <f t="shared" si="76"/>
        <v>37</v>
      </c>
      <c r="Q67" s="127">
        <f t="shared" si="77"/>
        <v>22.75</v>
      </c>
      <c r="R67" s="128">
        <f t="shared" si="78"/>
        <v>92</v>
      </c>
      <c r="S67" s="130">
        <f t="shared" si="79"/>
        <v>1.2540512286990533</v>
      </c>
      <c r="T67" s="135">
        <f t="shared" si="16"/>
        <v>0</v>
      </c>
      <c r="U67" s="127">
        <f t="shared" si="17"/>
        <v>0</v>
      </c>
      <c r="V67" s="217">
        <v>0</v>
      </c>
      <c r="W67" s="191">
        <v>0</v>
      </c>
      <c r="X67" s="133">
        <v>0</v>
      </c>
      <c r="Y67" s="131">
        <f t="shared" si="18"/>
        <v>2438.5</v>
      </c>
      <c r="Z67" s="131">
        <f t="shared" si="19"/>
        <v>619.50392118264142</v>
      </c>
      <c r="AA67" s="242">
        <f t="shared" si="20"/>
        <v>3058.0039211826415</v>
      </c>
      <c r="AB67" s="131">
        <f t="shared" si="21"/>
        <v>0</v>
      </c>
      <c r="AC67" s="131">
        <f t="shared" si="22"/>
        <v>139.48055684730568</v>
      </c>
      <c r="AD67" s="131">
        <f t="shared" si="23"/>
        <v>0</v>
      </c>
      <c r="AE67" s="131">
        <f t="shared" si="24"/>
        <v>0</v>
      </c>
      <c r="AF67" s="131">
        <f t="shared" si="25"/>
        <v>75.260000000000005</v>
      </c>
      <c r="AG67" s="131">
        <f t="shared" si="26"/>
        <v>0</v>
      </c>
      <c r="AH67" s="131">
        <f t="shared" si="27"/>
        <v>0</v>
      </c>
      <c r="AI67" s="131">
        <f t="shared" si="28"/>
        <v>0</v>
      </c>
      <c r="AJ67" s="131">
        <f t="shared" si="29"/>
        <v>0</v>
      </c>
      <c r="AK67" s="131"/>
      <c r="AL67" s="131">
        <f t="shared" si="30"/>
        <v>0</v>
      </c>
      <c r="AM67" s="131"/>
      <c r="AN67" s="243">
        <f t="shared" si="31"/>
        <v>0</v>
      </c>
      <c r="AO67" s="131">
        <f t="shared" si="32"/>
        <v>0</v>
      </c>
      <c r="AP67" s="131">
        <f t="shared" si="33"/>
        <v>0</v>
      </c>
      <c r="AQ67" s="131"/>
      <c r="AR67" s="131">
        <f t="shared" si="34"/>
        <v>0</v>
      </c>
      <c r="AS67" s="131">
        <f t="shared" si="82"/>
        <v>0</v>
      </c>
      <c r="AT67" s="131">
        <f t="shared" si="35"/>
        <v>0</v>
      </c>
      <c r="AU67" s="131">
        <f t="shared" si="36"/>
        <v>0</v>
      </c>
      <c r="AV67" s="131"/>
      <c r="AW67" s="131">
        <f t="shared" si="37"/>
        <v>353.75</v>
      </c>
      <c r="AX67" s="131">
        <f t="shared" si="103"/>
        <v>0</v>
      </c>
      <c r="AY67" s="131">
        <f t="shared" si="38"/>
        <v>0</v>
      </c>
      <c r="AZ67" s="131"/>
      <c r="BA67" s="131">
        <f t="shared" si="104"/>
        <v>0</v>
      </c>
      <c r="BB67" s="131"/>
      <c r="BC67" s="131"/>
      <c r="BD67" s="131">
        <f t="shared" si="39"/>
        <v>0</v>
      </c>
      <c r="BE67" s="131"/>
      <c r="BF67" s="131">
        <f t="shared" si="89"/>
        <v>0</v>
      </c>
      <c r="BG67" s="131">
        <f t="shared" si="90"/>
        <v>0</v>
      </c>
      <c r="BH67" s="131"/>
      <c r="BI67" s="131"/>
      <c r="BJ67" s="131"/>
      <c r="BK67" s="131">
        <f t="shared" si="92"/>
        <v>0</v>
      </c>
      <c r="BL67" s="131"/>
      <c r="BM67" s="131"/>
      <c r="BN67" s="131">
        <f t="shared" si="93"/>
        <v>0</v>
      </c>
      <c r="BO67" s="131"/>
      <c r="BP67" s="131">
        <f t="shared" si="94"/>
        <v>0</v>
      </c>
      <c r="BQ67" s="131"/>
      <c r="BR67" s="131"/>
      <c r="BS67" s="131"/>
      <c r="BT67" s="131"/>
      <c r="BU67" s="131"/>
      <c r="BV67" s="131">
        <f t="shared" si="95"/>
        <v>0</v>
      </c>
      <c r="BW67" s="131"/>
      <c r="BX67" s="131"/>
      <c r="BY67" s="131"/>
      <c r="BZ67" s="131">
        <f t="shared" si="98"/>
        <v>0</v>
      </c>
      <c r="CA67" s="131"/>
      <c r="CB67" s="136">
        <f t="shared" si="40"/>
        <v>165.08663357180151</v>
      </c>
      <c r="CC67" s="131">
        <f t="shared" si="41"/>
        <v>0</v>
      </c>
      <c r="CD67" s="136">
        <f t="shared" si="42"/>
        <v>0</v>
      </c>
      <c r="CE67" s="131">
        <f t="shared" si="102"/>
        <v>0</v>
      </c>
      <c r="CF67" s="136">
        <f t="shared" si="43"/>
        <v>0</v>
      </c>
      <c r="CG67" s="136"/>
      <c r="CH67" s="136">
        <f t="shared" si="101"/>
        <v>0</v>
      </c>
      <c r="CI67" s="131">
        <f t="shared" si="44"/>
        <v>0</v>
      </c>
      <c r="CJ67" s="131"/>
      <c r="CK67" s="136">
        <f t="shared" si="45"/>
        <v>0</v>
      </c>
      <c r="CL67" s="136">
        <f t="shared" si="46"/>
        <v>0</v>
      </c>
      <c r="CM67" s="131">
        <f t="shared" si="47"/>
        <v>0</v>
      </c>
      <c r="CN67" s="136">
        <f t="shared" si="48"/>
        <v>0</v>
      </c>
      <c r="CO67" s="136">
        <f t="shared" si="49"/>
        <v>0</v>
      </c>
      <c r="CP67" s="136">
        <f t="shared" si="50"/>
        <v>0</v>
      </c>
      <c r="CQ67" s="136"/>
      <c r="CR67" s="136">
        <f t="shared" si="51"/>
        <v>0</v>
      </c>
      <c r="CS67" s="136"/>
      <c r="CT67" s="136"/>
      <c r="CU67" s="136"/>
      <c r="CV67" s="136"/>
      <c r="CW67" s="136"/>
      <c r="CX67" s="136"/>
      <c r="CY67" s="136"/>
      <c r="CZ67" s="136">
        <f t="shared" si="52"/>
        <v>0</v>
      </c>
      <c r="DA67" s="136">
        <f t="shared" si="53"/>
        <v>0</v>
      </c>
      <c r="DB67" s="136">
        <f t="shared" si="54"/>
        <v>0</v>
      </c>
      <c r="DC67" s="131">
        <f t="shared" si="13"/>
        <v>0</v>
      </c>
      <c r="DD67" s="131">
        <f t="shared" si="55"/>
        <v>0</v>
      </c>
      <c r="DE67" s="131">
        <f t="shared" si="56"/>
        <v>0</v>
      </c>
      <c r="DF67" s="131">
        <f t="shared" si="57"/>
        <v>0</v>
      </c>
      <c r="DG67" s="131">
        <f t="shared" si="58"/>
        <v>0</v>
      </c>
      <c r="DH67" s="131"/>
      <c r="DI67" s="131"/>
      <c r="DJ67" s="131"/>
      <c r="DK67" s="137">
        <f t="shared" si="99"/>
        <v>3791.5811116017489</v>
      </c>
      <c r="DL67" s="227" t="e">
        <f t="shared" si="59"/>
        <v>#REF!</v>
      </c>
      <c r="DM67" s="227" t="e">
        <f t="shared" si="60"/>
        <v>#REF!</v>
      </c>
      <c r="DN67" s="228" t="e">
        <f t="shared" si="14"/>
        <v>#REF!</v>
      </c>
      <c r="DO67" s="228">
        <f t="shared" si="61"/>
        <v>181.81087083894022</v>
      </c>
      <c r="DP67" s="228" t="e">
        <f t="shared" si="62"/>
        <v>#REF!</v>
      </c>
      <c r="DQ67" s="228" t="e">
        <f t="shared" si="63"/>
        <v>#REF!</v>
      </c>
    </row>
    <row r="68" spans="1:121">
      <c r="A68" s="132">
        <f t="shared" si="15"/>
        <v>58</v>
      </c>
      <c r="B68" s="18">
        <f t="shared" si="64"/>
        <v>58</v>
      </c>
      <c r="C68" s="18">
        <f>IF(A68=0," ",VLOOKUP(B68,'tosafot '!$A$7:$B$234,2,0))</f>
        <v>10.2012</v>
      </c>
      <c r="D68" s="220">
        <f t="shared" si="65"/>
        <v>228</v>
      </c>
      <c r="E68" s="130">
        <f t="shared" si="66"/>
        <v>12.2026</v>
      </c>
      <c r="F68" s="126">
        <f t="shared" si="67"/>
        <v>9</v>
      </c>
      <c r="G68" s="18" t="str">
        <f t="shared" si="68"/>
        <v>הבריאות</v>
      </c>
      <c r="H68" s="189">
        <f t="shared" si="69"/>
        <v>107</v>
      </c>
      <c r="I68" s="18">
        <f t="shared" si="70"/>
        <v>1</v>
      </c>
      <c r="J68" s="18" t="str">
        <f t="shared" si="71"/>
        <v>מינהלי - עובדי מדינה</v>
      </c>
      <c r="K68" s="189">
        <f t="shared" si="72"/>
        <v>1</v>
      </c>
      <c r="L68" s="18">
        <f t="shared" si="73"/>
        <v>12</v>
      </c>
      <c r="M68" s="129" t="str">
        <f t="shared" si="74"/>
        <v>17+</v>
      </c>
      <c r="N68" s="189"/>
      <c r="O68" s="132">
        <f t="shared" si="75"/>
        <v>1012</v>
      </c>
      <c r="P68" s="127">
        <f t="shared" si="76"/>
        <v>37</v>
      </c>
      <c r="Q68" s="127">
        <f t="shared" si="77"/>
        <v>22.75</v>
      </c>
      <c r="R68" s="128">
        <f t="shared" si="78"/>
        <v>92</v>
      </c>
      <c r="S68" s="130">
        <f t="shared" si="79"/>
        <v>1.2540512286990533</v>
      </c>
      <c r="T68" s="135">
        <f t="shared" si="16"/>
        <v>0</v>
      </c>
      <c r="U68" s="127">
        <f t="shared" si="17"/>
        <v>0</v>
      </c>
      <c r="V68" s="217">
        <v>0</v>
      </c>
      <c r="W68" s="191">
        <v>0</v>
      </c>
      <c r="X68" s="133">
        <v>0</v>
      </c>
      <c r="Y68" s="131">
        <f t="shared" si="18"/>
        <v>2438.5</v>
      </c>
      <c r="Z68" s="131">
        <f t="shared" si="19"/>
        <v>619.50392118264142</v>
      </c>
      <c r="AA68" s="242">
        <f t="shared" si="20"/>
        <v>3058.0039211826415</v>
      </c>
      <c r="AB68" s="131">
        <f t="shared" si="21"/>
        <v>0</v>
      </c>
      <c r="AC68" s="131">
        <f t="shared" si="22"/>
        <v>139.48055684730568</v>
      </c>
      <c r="AD68" s="131">
        <f t="shared" si="23"/>
        <v>0</v>
      </c>
      <c r="AE68" s="131">
        <f t="shared" si="24"/>
        <v>0</v>
      </c>
      <c r="AF68" s="131">
        <f t="shared" si="25"/>
        <v>75.260000000000005</v>
      </c>
      <c r="AG68" s="131">
        <f t="shared" si="26"/>
        <v>0</v>
      </c>
      <c r="AH68" s="131">
        <f t="shared" si="27"/>
        <v>0</v>
      </c>
      <c r="AI68" s="131">
        <f t="shared" si="28"/>
        <v>0</v>
      </c>
      <c r="AJ68" s="131">
        <f t="shared" si="29"/>
        <v>0</v>
      </c>
      <c r="AK68" s="131"/>
      <c r="AL68" s="131">
        <f t="shared" si="30"/>
        <v>0</v>
      </c>
      <c r="AM68" s="131"/>
      <c r="AN68" s="243">
        <f t="shared" si="31"/>
        <v>0</v>
      </c>
      <c r="AO68" s="131">
        <f t="shared" si="32"/>
        <v>0</v>
      </c>
      <c r="AP68" s="131">
        <f t="shared" si="33"/>
        <v>0</v>
      </c>
      <c r="AQ68" s="131"/>
      <c r="AR68" s="131">
        <f t="shared" si="34"/>
        <v>0</v>
      </c>
      <c r="AS68" s="131">
        <f t="shared" si="82"/>
        <v>0</v>
      </c>
      <c r="AT68" s="131">
        <f t="shared" si="35"/>
        <v>0</v>
      </c>
      <c r="AU68" s="131">
        <f t="shared" si="36"/>
        <v>0</v>
      </c>
      <c r="AV68" s="131"/>
      <c r="AW68" s="131">
        <f t="shared" si="37"/>
        <v>353.75</v>
      </c>
      <c r="AX68" s="131">
        <f t="shared" si="103"/>
        <v>0</v>
      </c>
      <c r="AY68" s="131">
        <f t="shared" si="38"/>
        <v>0</v>
      </c>
      <c r="AZ68" s="131"/>
      <c r="BA68" s="131">
        <f t="shared" si="104"/>
        <v>0</v>
      </c>
      <c r="BB68" s="131"/>
      <c r="BC68" s="131"/>
      <c r="BD68" s="131">
        <f t="shared" si="39"/>
        <v>0</v>
      </c>
      <c r="BE68" s="131"/>
      <c r="BF68" s="131">
        <f t="shared" si="89"/>
        <v>0</v>
      </c>
      <c r="BG68" s="131">
        <f t="shared" si="90"/>
        <v>0</v>
      </c>
      <c r="BH68" s="131"/>
      <c r="BI68" s="131"/>
      <c r="BJ68" s="131"/>
      <c r="BK68" s="131">
        <f t="shared" si="92"/>
        <v>0</v>
      </c>
      <c r="BL68" s="131"/>
      <c r="BM68" s="131"/>
      <c r="BN68" s="131">
        <f t="shared" si="93"/>
        <v>0</v>
      </c>
      <c r="BO68" s="131"/>
      <c r="BP68" s="131">
        <f t="shared" si="94"/>
        <v>0</v>
      </c>
      <c r="BQ68" s="131"/>
      <c r="BR68" s="131"/>
      <c r="BS68" s="131"/>
      <c r="BT68" s="131"/>
      <c r="BU68" s="131"/>
      <c r="BV68" s="131">
        <f t="shared" si="95"/>
        <v>0</v>
      </c>
      <c r="BW68" s="131"/>
      <c r="BX68" s="131"/>
      <c r="BY68" s="131"/>
      <c r="BZ68" s="131">
        <f t="shared" si="98"/>
        <v>0</v>
      </c>
      <c r="CA68" s="131"/>
      <c r="CB68" s="136">
        <f t="shared" si="40"/>
        <v>165.08663357180151</v>
      </c>
      <c r="CC68" s="131">
        <f t="shared" si="41"/>
        <v>0</v>
      </c>
      <c r="CD68" s="136">
        <f t="shared" si="42"/>
        <v>0</v>
      </c>
      <c r="CE68" s="131">
        <f t="shared" si="102"/>
        <v>0</v>
      </c>
      <c r="CF68" s="136">
        <f t="shared" si="43"/>
        <v>0</v>
      </c>
      <c r="CG68" s="136"/>
      <c r="CH68" s="136">
        <f t="shared" si="101"/>
        <v>0</v>
      </c>
      <c r="CI68" s="131">
        <f t="shared" si="44"/>
        <v>0</v>
      </c>
      <c r="CJ68" s="131"/>
      <c r="CK68" s="136">
        <f t="shared" si="45"/>
        <v>0</v>
      </c>
      <c r="CL68" s="136">
        <f t="shared" si="46"/>
        <v>0</v>
      </c>
      <c r="CM68" s="131">
        <f t="shared" si="47"/>
        <v>0</v>
      </c>
      <c r="CN68" s="136">
        <f t="shared" si="48"/>
        <v>0</v>
      </c>
      <c r="CO68" s="136">
        <f t="shared" si="49"/>
        <v>0</v>
      </c>
      <c r="CP68" s="136">
        <f t="shared" si="50"/>
        <v>0</v>
      </c>
      <c r="CQ68" s="136"/>
      <c r="CR68" s="136">
        <f t="shared" si="51"/>
        <v>0</v>
      </c>
      <c r="CS68" s="136"/>
      <c r="CT68" s="136"/>
      <c r="CU68" s="136"/>
      <c r="CV68" s="136"/>
      <c r="CW68" s="136"/>
      <c r="CX68" s="136"/>
      <c r="CY68" s="136"/>
      <c r="CZ68" s="136">
        <f t="shared" si="52"/>
        <v>0</v>
      </c>
      <c r="DA68" s="136">
        <f t="shared" si="53"/>
        <v>0</v>
      </c>
      <c r="DB68" s="136">
        <f t="shared" si="54"/>
        <v>0</v>
      </c>
      <c r="DC68" s="131">
        <f t="shared" si="13"/>
        <v>0</v>
      </c>
      <c r="DD68" s="131">
        <f t="shared" si="55"/>
        <v>0</v>
      </c>
      <c r="DE68" s="131">
        <f t="shared" si="56"/>
        <v>0</v>
      </c>
      <c r="DF68" s="131">
        <f t="shared" si="57"/>
        <v>0</v>
      </c>
      <c r="DG68" s="131">
        <f t="shared" si="58"/>
        <v>0</v>
      </c>
      <c r="DH68" s="131"/>
      <c r="DI68" s="131"/>
      <c r="DJ68" s="131"/>
      <c r="DK68" s="137">
        <f t="shared" si="99"/>
        <v>3791.5811116017489</v>
      </c>
      <c r="DL68" s="227" t="e">
        <f t="shared" si="59"/>
        <v>#REF!</v>
      </c>
      <c r="DM68" s="227" t="e">
        <f t="shared" si="60"/>
        <v>#REF!</v>
      </c>
      <c r="DN68" s="228" t="e">
        <f t="shared" si="14"/>
        <v>#REF!</v>
      </c>
      <c r="DO68" s="228">
        <f t="shared" si="61"/>
        <v>181.81087083894022</v>
      </c>
      <c r="DP68" s="228" t="e">
        <f t="shared" si="62"/>
        <v>#REF!</v>
      </c>
      <c r="DQ68" s="228" t="e">
        <f t="shared" si="63"/>
        <v>#REF!</v>
      </c>
    </row>
    <row r="69" spans="1:121">
      <c r="A69" s="132">
        <f t="shared" si="15"/>
        <v>59</v>
      </c>
      <c r="B69" s="18">
        <f t="shared" si="64"/>
        <v>59</v>
      </c>
      <c r="C69" s="18">
        <f>IF(A69=0," ",VLOOKUP(B69,'tosafot '!$A$7:$B$234,2,0))</f>
        <v>11.2012</v>
      </c>
      <c r="D69" s="220">
        <f t="shared" si="65"/>
        <v>228</v>
      </c>
      <c r="E69" s="130">
        <f t="shared" si="66"/>
        <v>12.2026</v>
      </c>
      <c r="F69" s="126">
        <f t="shared" si="67"/>
        <v>9</v>
      </c>
      <c r="G69" s="18" t="str">
        <f t="shared" si="68"/>
        <v>הבריאות</v>
      </c>
      <c r="H69" s="189">
        <f t="shared" si="69"/>
        <v>107</v>
      </c>
      <c r="I69" s="18">
        <f t="shared" si="70"/>
        <v>1</v>
      </c>
      <c r="J69" s="18" t="str">
        <f t="shared" si="71"/>
        <v>מינהלי - עובדי מדינה</v>
      </c>
      <c r="K69" s="189">
        <f t="shared" si="72"/>
        <v>1</v>
      </c>
      <c r="L69" s="18">
        <f t="shared" si="73"/>
        <v>12</v>
      </c>
      <c r="M69" s="129" t="str">
        <f t="shared" si="74"/>
        <v>17+</v>
      </c>
      <c r="N69" s="189"/>
      <c r="O69" s="132">
        <f t="shared" si="75"/>
        <v>1012</v>
      </c>
      <c r="P69" s="127">
        <f t="shared" si="76"/>
        <v>37</v>
      </c>
      <c r="Q69" s="127">
        <f t="shared" si="77"/>
        <v>22.75</v>
      </c>
      <c r="R69" s="128">
        <f t="shared" si="78"/>
        <v>92</v>
      </c>
      <c r="S69" s="130">
        <f t="shared" si="79"/>
        <v>1.2540512286990533</v>
      </c>
      <c r="T69" s="135">
        <f t="shared" si="16"/>
        <v>0</v>
      </c>
      <c r="U69" s="127">
        <f t="shared" si="17"/>
        <v>0</v>
      </c>
      <c r="V69" s="217">
        <v>0</v>
      </c>
      <c r="W69" s="191">
        <v>0</v>
      </c>
      <c r="X69" s="133">
        <v>0</v>
      </c>
      <c r="Y69" s="131">
        <f t="shared" si="18"/>
        <v>2438.5</v>
      </c>
      <c r="Z69" s="131">
        <f t="shared" si="19"/>
        <v>619.50392118264142</v>
      </c>
      <c r="AA69" s="242">
        <f t="shared" si="20"/>
        <v>3058.0039211826415</v>
      </c>
      <c r="AB69" s="131">
        <f t="shared" si="21"/>
        <v>0</v>
      </c>
      <c r="AC69" s="131">
        <f t="shared" si="22"/>
        <v>139.48055684730568</v>
      </c>
      <c r="AD69" s="131">
        <f t="shared" si="23"/>
        <v>0</v>
      </c>
      <c r="AE69" s="131">
        <f t="shared" si="24"/>
        <v>0</v>
      </c>
      <c r="AF69" s="131">
        <f t="shared" si="25"/>
        <v>75.260000000000005</v>
      </c>
      <c r="AG69" s="131">
        <f t="shared" si="26"/>
        <v>0</v>
      </c>
      <c r="AH69" s="131">
        <f t="shared" si="27"/>
        <v>0</v>
      </c>
      <c r="AI69" s="131">
        <f t="shared" si="28"/>
        <v>0</v>
      </c>
      <c r="AJ69" s="131">
        <f t="shared" si="29"/>
        <v>0</v>
      </c>
      <c r="AK69" s="131"/>
      <c r="AL69" s="131">
        <f t="shared" si="30"/>
        <v>0</v>
      </c>
      <c r="AM69" s="131"/>
      <c r="AN69" s="243">
        <f t="shared" si="31"/>
        <v>0</v>
      </c>
      <c r="AO69" s="131">
        <f t="shared" si="32"/>
        <v>0</v>
      </c>
      <c r="AP69" s="131">
        <f t="shared" si="33"/>
        <v>0</v>
      </c>
      <c r="AQ69" s="131"/>
      <c r="AR69" s="131">
        <f t="shared" si="34"/>
        <v>0</v>
      </c>
      <c r="AS69" s="131">
        <f t="shared" si="82"/>
        <v>0</v>
      </c>
      <c r="AT69" s="131">
        <f t="shared" si="35"/>
        <v>0</v>
      </c>
      <c r="AU69" s="131">
        <f t="shared" si="36"/>
        <v>0</v>
      </c>
      <c r="AV69" s="131"/>
      <c r="AW69" s="131">
        <f t="shared" si="37"/>
        <v>353.75</v>
      </c>
      <c r="AX69" s="131">
        <f t="shared" si="103"/>
        <v>0</v>
      </c>
      <c r="AY69" s="131">
        <f t="shared" si="38"/>
        <v>0</v>
      </c>
      <c r="AZ69" s="131"/>
      <c r="BA69" s="131">
        <f t="shared" si="104"/>
        <v>0</v>
      </c>
      <c r="BB69" s="131"/>
      <c r="BC69" s="131"/>
      <c r="BD69" s="131">
        <f t="shared" si="39"/>
        <v>0</v>
      </c>
      <c r="BE69" s="131"/>
      <c r="BF69" s="131">
        <f t="shared" si="89"/>
        <v>0</v>
      </c>
      <c r="BG69" s="131">
        <f t="shared" si="90"/>
        <v>0</v>
      </c>
      <c r="BH69" s="131"/>
      <c r="BI69" s="131"/>
      <c r="BJ69" s="131"/>
      <c r="BK69" s="131">
        <f t="shared" si="92"/>
        <v>0</v>
      </c>
      <c r="BL69" s="131"/>
      <c r="BM69" s="131"/>
      <c r="BN69" s="131">
        <f t="shared" si="93"/>
        <v>0</v>
      </c>
      <c r="BO69" s="131"/>
      <c r="BP69" s="131">
        <f t="shared" si="94"/>
        <v>0</v>
      </c>
      <c r="BQ69" s="131"/>
      <c r="BR69" s="131"/>
      <c r="BS69" s="131"/>
      <c r="BT69" s="131"/>
      <c r="BU69" s="131"/>
      <c r="BV69" s="131">
        <f t="shared" si="95"/>
        <v>0</v>
      </c>
      <c r="BW69" s="131"/>
      <c r="BX69" s="131"/>
      <c r="BY69" s="131"/>
      <c r="BZ69" s="131">
        <f t="shared" si="98"/>
        <v>0</v>
      </c>
      <c r="CA69" s="131"/>
      <c r="CB69" s="136">
        <f t="shared" si="40"/>
        <v>165.08663357180151</v>
      </c>
      <c r="CC69" s="131">
        <f t="shared" si="41"/>
        <v>0</v>
      </c>
      <c r="CD69" s="136">
        <f t="shared" si="42"/>
        <v>0</v>
      </c>
      <c r="CE69" s="131">
        <f t="shared" si="102"/>
        <v>0</v>
      </c>
      <c r="CF69" s="136">
        <f t="shared" si="43"/>
        <v>0</v>
      </c>
      <c r="CG69" s="136"/>
      <c r="CH69" s="136">
        <f t="shared" si="101"/>
        <v>0</v>
      </c>
      <c r="CI69" s="131">
        <f t="shared" si="44"/>
        <v>0</v>
      </c>
      <c r="CJ69" s="131"/>
      <c r="CK69" s="136">
        <f t="shared" si="45"/>
        <v>0</v>
      </c>
      <c r="CL69" s="136">
        <f t="shared" si="46"/>
        <v>0</v>
      </c>
      <c r="CM69" s="131">
        <f t="shared" si="47"/>
        <v>0</v>
      </c>
      <c r="CN69" s="136">
        <f t="shared" si="48"/>
        <v>0</v>
      </c>
      <c r="CO69" s="136">
        <f t="shared" si="49"/>
        <v>0</v>
      </c>
      <c r="CP69" s="136">
        <f t="shared" si="50"/>
        <v>0</v>
      </c>
      <c r="CQ69" s="136"/>
      <c r="CR69" s="136">
        <f t="shared" si="51"/>
        <v>0</v>
      </c>
      <c r="CS69" s="136"/>
      <c r="CT69" s="136"/>
      <c r="CU69" s="136"/>
      <c r="CV69" s="136"/>
      <c r="CW69" s="136"/>
      <c r="CX69" s="136"/>
      <c r="CY69" s="136"/>
      <c r="CZ69" s="136">
        <f t="shared" si="52"/>
        <v>0</v>
      </c>
      <c r="DA69" s="136">
        <f t="shared" si="53"/>
        <v>0</v>
      </c>
      <c r="DB69" s="136">
        <f t="shared" si="54"/>
        <v>0</v>
      </c>
      <c r="DC69" s="131">
        <f t="shared" si="13"/>
        <v>0</v>
      </c>
      <c r="DD69" s="131">
        <f t="shared" si="55"/>
        <v>0</v>
      </c>
      <c r="DE69" s="131">
        <f t="shared" si="56"/>
        <v>0</v>
      </c>
      <c r="DF69" s="131">
        <f t="shared" si="57"/>
        <v>0</v>
      </c>
      <c r="DG69" s="131">
        <f t="shared" si="58"/>
        <v>0</v>
      </c>
      <c r="DH69" s="131"/>
      <c r="DI69" s="131"/>
      <c r="DJ69" s="131"/>
      <c r="DK69" s="137">
        <f t="shared" si="99"/>
        <v>3791.5811116017489</v>
      </c>
      <c r="DL69" s="227" t="e">
        <f t="shared" si="59"/>
        <v>#REF!</v>
      </c>
      <c r="DM69" s="227" t="e">
        <f t="shared" si="60"/>
        <v>#REF!</v>
      </c>
      <c r="DN69" s="228" t="e">
        <f t="shared" si="14"/>
        <v>#REF!</v>
      </c>
      <c r="DO69" s="228">
        <f t="shared" si="61"/>
        <v>181.81087083894022</v>
      </c>
      <c r="DP69" s="228" t="e">
        <f t="shared" si="62"/>
        <v>#REF!</v>
      </c>
      <c r="DQ69" s="228" t="e">
        <f t="shared" si="63"/>
        <v>#REF!</v>
      </c>
    </row>
    <row r="70" spans="1:121">
      <c r="A70" s="132">
        <f t="shared" si="15"/>
        <v>60</v>
      </c>
      <c r="B70" s="18">
        <f t="shared" si="64"/>
        <v>60</v>
      </c>
      <c r="C70" s="18">
        <f>IF(A70=0," ",VLOOKUP(B70,'tosafot '!$A$7:$B$234,2,0))</f>
        <v>12.2012</v>
      </c>
      <c r="D70" s="220">
        <f t="shared" si="65"/>
        <v>228</v>
      </c>
      <c r="E70" s="130">
        <f t="shared" si="66"/>
        <v>12.2026</v>
      </c>
      <c r="F70" s="126">
        <f t="shared" si="67"/>
        <v>9</v>
      </c>
      <c r="G70" s="18" t="str">
        <f t="shared" si="68"/>
        <v>הבריאות</v>
      </c>
      <c r="H70" s="189">
        <f t="shared" si="69"/>
        <v>107</v>
      </c>
      <c r="I70" s="18">
        <f t="shared" si="70"/>
        <v>1</v>
      </c>
      <c r="J70" s="18" t="str">
        <f t="shared" si="71"/>
        <v>מינהלי - עובדי מדינה</v>
      </c>
      <c r="K70" s="189">
        <f t="shared" si="72"/>
        <v>1</v>
      </c>
      <c r="L70" s="18">
        <f t="shared" si="73"/>
        <v>12</v>
      </c>
      <c r="M70" s="129" t="str">
        <f t="shared" si="74"/>
        <v>17+</v>
      </c>
      <c r="N70" s="189"/>
      <c r="O70" s="132">
        <f t="shared" si="75"/>
        <v>1012</v>
      </c>
      <c r="P70" s="127">
        <f t="shared" si="76"/>
        <v>37</v>
      </c>
      <c r="Q70" s="127">
        <f t="shared" si="77"/>
        <v>22.75</v>
      </c>
      <c r="R70" s="128">
        <f t="shared" si="78"/>
        <v>92</v>
      </c>
      <c r="S70" s="130">
        <f t="shared" si="79"/>
        <v>1.2540512286990533</v>
      </c>
      <c r="T70" s="135">
        <f t="shared" si="16"/>
        <v>0</v>
      </c>
      <c r="U70" s="127">
        <f t="shared" si="17"/>
        <v>0</v>
      </c>
      <c r="V70" s="217">
        <v>0</v>
      </c>
      <c r="W70" s="191">
        <v>0</v>
      </c>
      <c r="X70" s="133">
        <v>0</v>
      </c>
      <c r="Y70" s="131">
        <f t="shared" si="18"/>
        <v>2438.5</v>
      </c>
      <c r="Z70" s="131">
        <f t="shared" si="19"/>
        <v>619.50392118264142</v>
      </c>
      <c r="AA70" s="242">
        <f t="shared" si="20"/>
        <v>3058.0039211826415</v>
      </c>
      <c r="AB70" s="131">
        <f t="shared" si="21"/>
        <v>0</v>
      </c>
      <c r="AC70" s="131">
        <f t="shared" si="22"/>
        <v>139.48055684730568</v>
      </c>
      <c r="AD70" s="131">
        <f t="shared" si="23"/>
        <v>0</v>
      </c>
      <c r="AE70" s="131">
        <f t="shared" si="24"/>
        <v>0</v>
      </c>
      <c r="AF70" s="131">
        <f t="shared" si="25"/>
        <v>75.260000000000005</v>
      </c>
      <c r="AG70" s="131">
        <f t="shared" si="26"/>
        <v>0</v>
      </c>
      <c r="AH70" s="131">
        <f t="shared" si="27"/>
        <v>0</v>
      </c>
      <c r="AI70" s="131">
        <f t="shared" si="28"/>
        <v>0</v>
      </c>
      <c r="AJ70" s="131">
        <f t="shared" si="29"/>
        <v>0</v>
      </c>
      <c r="AK70" s="131"/>
      <c r="AL70" s="131">
        <f t="shared" si="30"/>
        <v>0</v>
      </c>
      <c r="AM70" s="131"/>
      <c r="AN70" s="243">
        <f t="shared" si="31"/>
        <v>0</v>
      </c>
      <c r="AO70" s="131">
        <f t="shared" si="32"/>
        <v>0</v>
      </c>
      <c r="AP70" s="131">
        <f t="shared" si="33"/>
        <v>0</v>
      </c>
      <c r="AQ70" s="131"/>
      <c r="AR70" s="131">
        <f t="shared" si="34"/>
        <v>0</v>
      </c>
      <c r="AS70" s="131">
        <f t="shared" si="82"/>
        <v>0</v>
      </c>
      <c r="AT70" s="131">
        <f t="shared" si="35"/>
        <v>0</v>
      </c>
      <c r="AU70" s="131">
        <f t="shared" si="36"/>
        <v>0</v>
      </c>
      <c r="AV70" s="131"/>
      <c r="AW70" s="131">
        <f t="shared" si="37"/>
        <v>353.75</v>
      </c>
      <c r="AX70" s="131">
        <f t="shared" si="103"/>
        <v>0</v>
      </c>
      <c r="AY70" s="131">
        <f t="shared" si="38"/>
        <v>0</v>
      </c>
      <c r="AZ70" s="131"/>
      <c r="BA70" s="131">
        <f t="shared" si="104"/>
        <v>0</v>
      </c>
      <c r="BB70" s="131"/>
      <c r="BC70" s="131"/>
      <c r="BD70" s="131">
        <f t="shared" si="39"/>
        <v>0</v>
      </c>
      <c r="BE70" s="131"/>
      <c r="BF70" s="131">
        <f t="shared" si="89"/>
        <v>0</v>
      </c>
      <c r="BG70" s="131">
        <f t="shared" si="90"/>
        <v>0</v>
      </c>
      <c r="BH70" s="131"/>
      <c r="BI70" s="131"/>
      <c r="BJ70" s="131"/>
      <c r="BK70" s="131">
        <f t="shared" si="92"/>
        <v>0</v>
      </c>
      <c r="BL70" s="131"/>
      <c r="BM70" s="131"/>
      <c r="BN70" s="131">
        <f t="shared" si="93"/>
        <v>0</v>
      </c>
      <c r="BO70" s="131"/>
      <c r="BP70" s="131">
        <f t="shared" si="94"/>
        <v>0</v>
      </c>
      <c r="BQ70" s="131"/>
      <c r="BR70" s="131"/>
      <c r="BS70" s="131"/>
      <c r="BT70" s="131"/>
      <c r="BU70" s="131"/>
      <c r="BV70" s="131">
        <f t="shared" si="95"/>
        <v>0</v>
      </c>
      <c r="BW70" s="131"/>
      <c r="BX70" s="131"/>
      <c r="BY70" s="131"/>
      <c r="BZ70" s="131">
        <f t="shared" si="98"/>
        <v>0</v>
      </c>
      <c r="CA70" s="131"/>
      <c r="CB70" s="136">
        <f t="shared" si="40"/>
        <v>165.08663357180151</v>
      </c>
      <c r="CC70" s="131">
        <f t="shared" si="41"/>
        <v>0</v>
      </c>
      <c r="CD70" s="136">
        <f t="shared" si="42"/>
        <v>0</v>
      </c>
      <c r="CE70" s="131">
        <f t="shared" si="102"/>
        <v>0</v>
      </c>
      <c r="CF70" s="136">
        <f t="shared" si="43"/>
        <v>0</v>
      </c>
      <c r="CG70" s="136"/>
      <c r="CH70" s="136">
        <f t="shared" si="101"/>
        <v>0</v>
      </c>
      <c r="CI70" s="131">
        <f t="shared" si="44"/>
        <v>0</v>
      </c>
      <c r="CJ70" s="131"/>
      <c r="CK70" s="136">
        <f t="shared" si="45"/>
        <v>0</v>
      </c>
      <c r="CL70" s="136">
        <f t="shared" si="46"/>
        <v>0</v>
      </c>
      <c r="CM70" s="131">
        <f t="shared" si="47"/>
        <v>0</v>
      </c>
      <c r="CN70" s="136">
        <f t="shared" si="48"/>
        <v>0</v>
      </c>
      <c r="CO70" s="136">
        <f t="shared" si="49"/>
        <v>0</v>
      </c>
      <c r="CP70" s="136">
        <f t="shared" si="50"/>
        <v>0</v>
      </c>
      <c r="CQ70" s="136"/>
      <c r="CR70" s="136">
        <f t="shared" si="51"/>
        <v>0</v>
      </c>
      <c r="CS70" s="136"/>
      <c r="CT70" s="136"/>
      <c r="CU70" s="136"/>
      <c r="CV70" s="136"/>
      <c r="CW70" s="136"/>
      <c r="CX70" s="136"/>
      <c r="CY70" s="136"/>
      <c r="CZ70" s="136">
        <f t="shared" si="52"/>
        <v>0</v>
      </c>
      <c r="DA70" s="136">
        <f t="shared" si="53"/>
        <v>0</v>
      </c>
      <c r="DB70" s="136">
        <f t="shared" si="54"/>
        <v>0</v>
      </c>
      <c r="DC70" s="131">
        <f t="shared" si="13"/>
        <v>0</v>
      </c>
      <c r="DD70" s="131">
        <f t="shared" si="55"/>
        <v>0</v>
      </c>
      <c r="DE70" s="131">
        <f t="shared" si="56"/>
        <v>0</v>
      </c>
      <c r="DF70" s="131">
        <f t="shared" si="57"/>
        <v>0</v>
      </c>
      <c r="DG70" s="131">
        <f t="shared" si="58"/>
        <v>0</v>
      </c>
      <c r="DH70" s="131"/>
      <c r="DI70" s="131"/>
      <c r="DJ70" s="131"/>
      <c r="DK70" s="137">
        <f t="shared" si="99"/>
        <v>3791.5811116017489</v>
      </c>
      <c r="DL70" s="227" t="e">
        <f t="shared" si="59"/>
        <v>#REF!</v>
      </c>
      <c r="DM70" s="227" t="e">
        <f t="shared" si="60"/>
        <v>#REF!</v>
      </c>
      <c r="DN70" s="228" t="e">
        <f t="shared" si="14"/>
        <v>#REF!</v>
      </c>
      <c r="DO70" s="228">
        <f t="shared" si="61"/>
        <v>181.81087083894022</v>
      </c>
      <c r="DP70" s="228" t="e">
        <f t="shared" si="62"/>
        <v>#REF!</v>
      </c>
      <c r="DQ70" s="228" t="e">
        <f t="shared" si="63"/>
        <v>#REF!</v>
      </c>
    </row>
    <row r="71" spans="1:121">
      <c r="A71" s="132">
        <f t="shared" si="15"/>
        <v>61</v>
      </c>
      <c r="B71" s="18">
        <f t="shared" si="64"/>
        <v>61</v>
      </c>
      <c r="C71" s="18">
        <f>IF(A71=0," ",VLOOKUP(B71,'tosafot '!$A$7:$B$234,2,0))</f>
        <v>1.2013</v>
      </c>
      <c r="D71" s="220">
        <f t="shared" si="65"/>
        <v>228</v>
      </c>
      <c r="E71" s="130">
        <f t="shared" si="66"/>
        <v>12.2026</v>
      </c>
      <c r="F71" s="126">
        <f t="shared" si="67"/>
        <v>9</v>
      </c>
      <c r="G71" s="18" t="str">
        <f t="shared" si="68"/>
        <v>הבריאות</v>
      </c>
      <c r="H71" s="189">
        <f t="shared" si="69"/>
        <v>107</v>
      </c>
      <c r="I71" s="18">
        <f t="shared" si="70"/>
        <v>1</v>
      </c>
      <c r="J71" s="18" t="str">
        <f t="shared" si="71"/>
        <v>מינהלי - עובדי מדינה</v>
      </c>
      <c r="K71" s="189">
        <f t="shared" si="72"/>
        <v>1</v>
      </c>
      <c r="L71" s="18">
        <f t="shared" si="73"/>
        <v>12</v>
      </c>
      <c r="M71" s="129" t="str">
        <f t="shared" si="74"/>
        <v>17+</v>
      </c>
      <c r="N71" s="189"/>
      <c r="O71" s="132">
        <f t="shared" si="75"/>
        <v>1012</v>
      </c>
      <c r="P71" s="127">
        <f t="shared" si="76"/>
        <v>37</v>
      </c>
      <c r="Q71" s="127">
        <f t="shared" si="77"/>
        <v>22.75</v>
      </c>
      <c r="R71" s="128">
        <f t="shared" si="78"/>
        <v>92</v>
      </c>
      <c r="S71" s="130">
        <f t="shared" si="79"/>
        <v>1.2540512286990533</v>
      </c>
      <c r="T71" s="135">
        <f t="shared" si="16"/>
        <v>0</v>
      </c>
      <c r="U71" s="127">
        <f t="shared" si="17"/>
        <v>0</v>
      </c>
      <c r="V71" s="217">
        <v>0</v>
      </c>
      <c r="W71" s="191">
        <v>0</v>
      </c>
      <c r="X71" s="133">
        <v>0</v>
      </c>
      <c r="Y71" s="131">
        <f t="shared" si="18"/>
        <v>2438.5</v>
      </c>
      <c r="Z71" s="131">
        <f t="shared" si="19"/>
        <v>619.50392118264142</v>
      </c>
      <c r="AA71" s="242">
        <f t="shared" si="20"/>
        <v>3058.0039211826415</v>
      </c>
      <c r="AB71" s="131">
        <f t="shared" si="21"/>
        <v>0</v>
      </c>
      <c r="AC71" s="131">
        <f t="shared" si="22"/>
        <v>139.48055684730568</v>
      </c>
      <c r="AD71" s="131">
        <f t="shared" si="23"/>
        <v>0</v>
      </c>
      <c r="AE71" s="131">
        <f t="shared" si="24"/>
        <v>0</v>
      </c>
      <c r="AF71" s="131">
        <f t="shared" si="25"/>
        <v>75.260000000000005</v>
      </c>
      <c r="AG71" s="131">
        <f t="shared" si="26"/>
        <v>0</v>
      </c>
      <c r="AH71" s="131">
        <f t="shared" si="27"/>
        <v>0</v>
      </c>
      <c r="AI71" s="131">
        <f t="shared" si="28"/>
        <v>0</v>
      </c>
      <c r="AJ71" s="131">
        <f t="shared" si="29"/>
        <v>0</v>
      </c>
      <c r="AK71" s="131"/>
      <c r="AL71" s="131">
        <f t="shared" si="30"/>
        <v>0</v>
      </c>
      <c r="AM71" s="131"/>
      <c r="AN71" s="243">
        <f t="shared" si="31"/>
        <v>0</v>
      </c>
      <c r="AO71" s="131">
        <f t="shared" si="32"/>
        <v>0</v>
      </c>
      <c r="AP71" s="131">
        <f t="shared" si="33"/>
        <v>0</v>
      </c>
      <c r="AQ71" s="131"/>
      <c r="AR71" s="131">
        <f t="shared" si="34"/>
        <v>0</v>
      </c>
      <c r="AS71" s="131">
        <f t="shared" si="82"/>
        <v>0</v>
      </c>
      <c r="AT71" s="131">
        <f t="shared" si="35"/>
        <v>0</v>
      </c>
      <c r="AU71" s="131">
        <f t="shared" si="36"/>
        <v>0</v>
      </c>
      <c r="AV71" s="131"/>
      <c r="AW71" s="131">
        <f t="shared" si="37"/>
        <v>353.75</v>
      </c>
      <c r="AX71" s="131">
        <f t="shared" si="103"/>
        <v>0</v>
      </c>
      <c r="AY71" s="131">
        <f t="shared" si="38"/>
        <v>0</v>
      </c>
      <c r="AZ71" s="131"/>
      <c r="BA71" s="131">
        <f t="shared" si="104"/>
        <v>0</v>
      </c>
      <c r="BB71" s="131"/>
      <c r="BC71" s="131"/>
      <c r="BD71" s="131">
        <f t="shared" si="39"/>
        <v>0</v>
      </c>
      <c r="BE71" s="131"/>
      <c r="BF71" s="131">
        <f t="shared" si="89"/>
        <v>0</v>
      </c>
      <c r="BG71" s="131">
        <f t="shared" si="90"/>
        <v>0</v>
      </c>
      <c r="BH71" s="131"/>
      <c r="BI71" s="131"/>
      <c r="BJ71" s="131"/>
      <c r="BK71" s="131">
        <f t="shared" si="92"/>
        <v>0</v>
      </c>
      <c r="BL71" s="131"/>
      <c r="BM71" s="131"/>
      <c r="BN71" s="131">
        <f t="shared" si="93"/>
        <v>0</v>
      </c>
      <c r="BO71" s="131"/>
      <c r="BP71" s="131">
        <f t="shared" si="94"/>
        <v>0</v>
      </c>
      <c r="BQ71" s="131"/>
      <c r="BR71" s="131"/>
      <c r="BS71" s="131"/>
      <c r="BT71" s="131"/>
      <c r="BU71" s="131"/>
      <c r="BV71" s="131">
        <f t="shared" si="95"/>
        <v>0</v>
      </c>
      <c r="BW71" s="131"/>
      <c r="BX71" s="131"/>
      <c r="BY71" s="131"/>
      <c r="BZ71" s="131">
        <f t="shared" si="98"/>
        <v>0</v>
      </c>
      <c r="CA71" s="131"/>
      <c r="CB71" s="136">
        <f t="shared" si="40"/>
        <v>165.08663357180151</v>
      </c>
      <c r="CC71" s="131">
        <f t="shared" si="41"/>
        <v>0</v>
      </c>
      <c r="CD71" s="136">
        <f t="shared" si="42"/>
        <v>0</v>
      </c>
      <c r="CE71" s="131">
        <f t="shared" si="102"/>
        <v>0</v>
      </c>
      <c r="CF71" s="136">
        <f t="shared" si="43"/>
        <v>0</v>
      </c>
      <c r="CG71" s="136"/>
      <c r="CH71" s="136">
        <f t="shared" si="101"/>
        <v>0</v>
      </c>
      <c r="CI71" s="131">
        <f t="shared" si="44"/>
        <v>0</v>
      </c>
      <c r="CJ71" s="131"/>
      <c r="CK71" s="136">
        <f t="shared" si="45"/>
        <v>0</v>
      </c>
      <c r="CL71" s="136">
        <f t="shared" si="46"/>
        <v>0</v>
      </c>
      <c r="CM71" s="131">
        <f t="shared" si="47"/>
        <v>0</v>
      </c>
      <c r="CN71" s="136">
        <f t="shared" si="48"/>
        <v>0</v>
      </c>
      <c r="CO71" s="136">
        <f t="shared" si="49"/>
        <v>0</v>
      </c>
      <c r="CP71" s="136">
        <f t="shared" si="50"/>
        <v>0</v>
      </c>
      <c r="CQ71" s="136"/>
      <c r="CR71" s="136">
        <f t="shared" si="51"/>
        <v>0</v>
      </c>
      <c r="CS71" s="136"/>
      <c r="CT71" s="136"/>
      <c r="CU71" s="136"/>
      <c r="CV71" s="136"/>
      <c r="CW71" s="136"/>
      <c r="CX71" s="136"/>
      <c r="CY71" s="136"/>
      <c r="CZ71" s="136">
        <f t="shared" si="52"/>
        <v>0</v>
      </c>
      <c r="DA71" s="136">
        <f t="shared" si="53"/>
        <v>0</v>
      </c>
      <c r="DB71" s="136">
        <f t="shared" si="54"/>
        <v>0</v>
      </c>
      <c r="DC71" s="131">
        <f t="shared" si="13"/>
        <v>0</v>
      </c>
      <c r="DD71" s="131">
        <f t="shared" si="55"/>
        <v>0</v>
      </c>
      <c r="DE71" s="131">
        <f t="shared" si="56"/>
        <v>0</v>
      </c>
      <c r="DF71" s="131">
        <f t="shared" si="57"/>
        <v>0</v>
      </c>
      <c r="DG71" s="131">
        <f t="shared" si="58"/>
        <v>0</v>
      </c>
      <c r="DH71" s="131"/>
      <c r="DI71" s="131"/>
      <c r="DJ71" s="131"/>
      <c r="DK71" s="137">
        <f t="shared" si="99"/>
        <v>3791.5811116017489</v>
      </c>
      <c r="DL71" s="227" t="e">
        <f t="shared" si="59"/>
        <v>#REF!</v>
      </c>
      <c r="DM71" s="227" t="e">
        <f t="shared" si="60"/>
        <v>#REF!</v>
      </c>
      <c r="DN71" s="228" t="e">
        <f t="shared" si="14"/>
        <v>#REF!</v>
      </c>
      <c r="DO71" s="228">
        <f t="shared" si="61"/>
        <v>181.81087083894022</v>
      </c>
      <c r="DP71" s="228" t="e">
        <f t="shared" si="62"/>
        <v>#REF!</v>
      </c>
      <c r="DQ71" s="228" t="e">
        <f t="shared" si="63"/>
        <v>#REF!</v>
      </c>
    </row>
    <row r="72" spans="1:121">
      <c r="A72" s="132">
        <f t="shared" si="15"/>
        <v>62</v>
      </c>
      <c r="B72" s="18">
        <f t="shared" si="64"/>
        <v>62</v>
      </c>
      <c r="C72" s="18">
        <f>IF(A72=0," ",VLOOKUP(B72,'tosafot '!$A$7:$B$234,2,0))</f>
        <v>2.2012999999999998</v>
      </c>
      <c r="D72" s="220">
        <f t="shared" si="65"/>
        <v>228</v>
      </c>
      <c r="E72" s="130">
        <f t="shared" si="66"/>
        <v>12.2026</v>
      </c>
      <c r="F72" s="126">
        <f t="shared" si="67"/>
        <v>9</v>
      </c>
      <c r="G72" s="18" t="str">
        <f t="shared" si="68"/>
        <v>הבריאות</v>
      </c>
      <c r="H72" s="189">
        <f t="shared" si="69"/>
        <v>107</v>
      </c>
      <c r="I72" s="18">
        <f t="shared" si="70"/>
        <v>1</v>
      </c>
      <c r="J72" s="18" t="str">
        <f t="shared" si="71"/>
        <v>מינהלי - עובדי מדינה</v>
      </c>
      <c r="K72" s="189">
        <f t="shared" si="72"/>
        <v>1</v>
      </c>
      <c r="L72" s="18">
        <f t="shared" si="73"/>
        <v>12</v>
      </c>
      <c r="M72" s="129" t="str">
        <f t="shared" si="74"/>
        <v>17+</v>
      </c>
      <c r="N72" s="189"/>
      <c r="O72" s="132">
        <f t="shared" si="75"/>
        <v>1012</v>
      </c>
      <c r="P72" s="127">
        <f t="shared" si="76"/>
        <v>37</v>
      </c>
      <c r="Q72" s="127">
        <f t="shared" si="77"/>
        <v>22.75</v>
      </c>
      <c r="R72" s="128">
        <f t="shared" si="78"/>
        <v>92</v>
      </c>
      <c r="S72" s="130">
        <f t="shared" si="79"/>
        <v>1.2540512286990533</v>
      </c>
      <c r="T72" s="135">
        <f t="shared" si="16"/>
        <v>0</v>
      </c>
      <c r="U72" s="127">
        <f t="shared" si="17"/>
        <v>0</v>
      </c>
      <c r="V72" s="217">
        <v>0</v>
      </c>
      <c r="W72" s="191">
        <v>0</v>
      </c>
      <c r="X72" s="133">
        <v>0</v>
      </c>
      <c r="Y72" s="131">
        <f t="shared" si="18"/>
        <v>2438.5</v>
      </c>
      <c r="Z72" s="131">
        <f t="shared" si="19"/>
        <v>619.50392118264142</v>
      </c>
      <c r="AA72" s="242">
        <f t="shared" si="20"/>
        <v>3058.0039211826415</v>
      </c>
      <c r="AB72" s="131">
        <f t="shared" si="21"/>
        <v>0</v>
      </c>
      <c r="AC72" s="131">
        <f t="shared" si="22"/>
        <v>139.48055684730568</v>
      </c>
      <c r="AD72" s="131">
        <f t="shared" si="23"/>
        <v>0</v>
      </c>
      <c r="AE72" s="131">
        <f t="shared" si="24"/>
        <v>0</v>
      </c>
      <c r="AF72" s="131">
        <f t="shared" si="25"/>
        <v>75.260000000000005</v>
      </c>
      <c r="AG72" s="131">
        <f t="shared" si="26"/>
        <v>0</v>
      </c>
      <c r="AH72" s="131">
        <f t="shared" si="27"/>
        <v>0</v>
      </c>
      <c r="AI72" s="131">
        <f t="shared" si="28"/>
        <v>0</v>
      </c>
      <c r="AJ72" s="131">
        <f t="shared" si="29"/>
        <v>0</v>
      </c>
      <c r="AK72" s="131"/>
      <c r="AL72" s="131">
        <f t="shared" si="30"/>
        <v>0</v>
      </c>
      <c r="AM72" s="131"/>
      <c r="AN72" s="243">
        <f t="shared" si="31"/>
        <v>0</v>
      </c>
      <c r="AO72" s="131">
        <f t="shared" si="32"/>
        <v>0</v>
      </c>
      <c r="AP72" s="131">
        <f t="shared" si="33"/>
        <v>0</v>
      </c>
      <c r="AQ72" s="131"/>
      <c r="AR72" s="131">
        <f t="shared" si="34"/>
        <v>0</v>
      </c>
      <c r="AS72" s="131">
        <f t="shared" si="82"/>
        <v>0</v>
      </c>
      <c r="AT72" s="131">
        <f t="shared" si="35"/>
        <v>0</v>
      </c>
      <c r="AU72" s="131">
        <f t="shared" si="36"/>
        <v>0</v>
      </c>
      <c r="AV72" s="131"/>
      <c r="AW72" s="131">
        <f t="shared" si="37"/>
        <v>353.75</v>
      </c>
      <c r="AX72" s="131">
        <f t="shared" si="103"/>
        <v>0</v>
      </c>
      <c r="AY72" s="131">
        <f t="shared" si="38"/>
        <v>0</v>
      </c>
      <c r="AZ72" s="131"/>
      <c r="BA72" s="131">
        <f t="shared" si="104"/>
        <v>0</v>
      </c>
      <c r="BB72" s="131"/>
      <c r="BC72" s="131"/>
      <c r="BD72" s="131">
        <f t="shared" si="39"/>
        <v>0</v>
      </c>
      <c r="BE72" s="131"/>
      <c r="BF72" s="131">
        <f t="shared" si="89"/>
        <v>0</v>
      </c>
      <c r="BG72" s="131">
        <f t="shared" si="90"/>
        <v>0</v>
      </c>
      <c r="BH72" s="131"/>
      <c r="BI72" s="131"/>
      <c r="BJ72" s="131"/>
      <c r="BK72" s="131">
        <f t="shared" si="92"/>
        <v>0</v>
      </c>
      <c r="BL72" s="131"/>
      <c r="BM72" s="131"/>
      <c r="BN72" s="131">
        <f t="shared" si="93"/>
        <v>0</v>
      </c>
      <c r="BO72" s="131"/>
      <c r="BP72" s="131">
        <f t="shared" si="94"/>
        <v>0</v>
      </c>
      <c r="BQ72" s="131"/>
      <c r="BR72" s="131"/>
      <c r="BS72" s="131"/>
      <c r="BT72" s="131"/>
      <c r="BU72" s="131"/>
      <c r="BV72" s="131">
        <f t="shared" si="95"/>
        <v>0</v>
      </c>
      <c r="BW72" s="131"/>
      <c r="BX72" s="131"/>
      <c r="BY72" s="131"/>
      <c r="BZ72" s="131">
        <f t="shared" si="98"/>
        <v>0</v>
      </c>
      <c r="CA72" s="131"/>
      <c r="CB72" s="136">
        <f t="shared" si="40"/>
        <v>165.08663357180151</v>
      </c>
      <c r="CC72" s="131">
        <f t="shared" si="41"/>
        <v>0</v>
      </c>
      <c r="CD72" s="136">
        <f t="shared" si="42"/>
        <v>0</v>
      </c>
      <c r="CE72" s="131">
        <f t="shared" si="102"/>
        <v>0</v>
      </c>
      <c r="CF72" s="136">
        <f t="shared" si="43"/>
        <v>0</v>
      </c>
      <c r="CG72" s="136"/>
      <c r="CH72" s="136">
        <f t="shared" si="101"/>
        <v>0</v>
      </c>
      <c r="CI72" s="131">
        <f t="shared" si="44"/>
        <v>0</v>
      </c>
      <c r="CJ72" s="131"/>
      <c r="CK72" s="136">
        <f t="shared" si="45"/>
        <v>0</v>
      </c>
      <c r="CL72" s="136">
        <f t="shared" si="46"/>
        <v>0</v>
      </c>
      <c r="CM72" s="131">
        <f t="shared" si="47"/>
        <v>0</v>
      </c>
      <c r="CN72" s="136">
        <f t="shared" si="48"/>
        <v>0</v>
      </c>
      <c r="CO72" s="136">
        <f t="shared" si="49"/>
        <v>0</v>
      </c>
      <c r="CP72" s="136">
        <f t="shared" si="50"/>
        <v>0</v>
      </c>
      <c r="CQ72" s="136"/>
      <c r="CR72" s="136">
        <f t="shared" si="51"/>
        <v>0</v>
      </c>
      <c r="CS72" s="136"/>
      <c r="CT72" s="136"/>
      <c r="CU72" s="136"/>
      <c r="CV72" s="136"/>
      <c r="CW72" s="136"/>
      <c r="CX72" s="136"/>
      <c r="CY72" s="136"/>
      <c r="CZ72" s="136">
        <f t="shared" si="52"/>
        <v>0</v>
      </c>
      <c r="DA72" s="136">
        <f t="shared" si="53"/>
        <v>0</v>
      </c>
      <c r="DB72" s="136">
        <f t="shared" si="54"/>
        <v>0</v>
      </c>
      <c r="DC72" s="131">
        <f t="shared" si="13"/>
        <v>0</v>
      </c>
      <c r="DD72" s="131">
        <f t="shared" si="55"/>
        <v>0</v>
      </c>
      <c r="DE72" s="131">
        <f t="shared" si="56"/>
        <v>0</v>
      </c>
      <c r="DF72" s="131">
        <f t="shared" si="57"/>
        <v>0</v>
      </c>
      <c r="DG72" s="131">
        <f t="shared" si="58"/>
        <v>0</v>
      </c>
      <c r="DH72" s="131"/>
      <c r="DI72" s="131"/>
      <c r="DJ72" s="131"/>
      <c r="DK72" s="137">
        <f t="shared" si="99"/>
        <v>3791.5811116017489</v>
      </c>
      <c r="DL72" s="227" t="e">
        <f t="shared" si="59"/>
        <v>#REF!</v>
      </c>
      <c r="DM72" s="227" t="e">
        <f t="shared" si="60"/>
        <v>#REF!</v>
      </c>
      <c r="DN72" s="228" t="e">
        <f t="shared" si="14"/>
        <v>#REF!</v>
      </c>
      <c r="DO72" s="228">
        <f t="shared" si="61"/>
        <v>181.81087083894022</v>
      </c>
      <c r="DP72" s="228" t="e">
        <f t="shared" si="62"/>
        <v>#REF!</v>
      </c>
      <c r="DQ72" s="228" t="e">
        <f t="shared" si="63"/>
        <v>#REF!</v>
      </c>
    </row>
    <row r="73" spans="1:121">
      <c r="A73" s="132">
        <f t="shared" si="15"/>
        <v>63</v>
      </c>
      <c r="B73" s="18">
        <f t="shared" si="64"/>
        <v>63</v>
      </c>
      <c r="C73" s="18">
        <f>IF(A73=0," ",VLOOKUP(B73,'tosafot '!$A$7:$B$234,2,0))</f>
        <v>3.2012999999999998</v>
      </c>
      <c r="D73" s="220">
        <f t="shared" si="65"/>
        <v>228</v>
      </c>
      <c r="E73" s="130">
        <f t="shared" si="66"/>
        <v>12.2026</v>
      </c>
      <c r="F73" s="126">
        <f t="shared" si="67"/>
        <v>9</v>
      </c>
      <c r="G73" s="18" t="str">
        <f t="shared" si="68"/>
        <v>הבריאות</v>
      </c>
      <c r="H73" s="189">
        <f t="shared" si="69"/>
        <v>107</v>
      </c>
      <c r="I73" s="18">
        <f t="shared" si="70"/>
        <v>1</v>
      </c>
      <c r="J73" s="18" t="str">
        <f t="shared" si="71"/>
        <v>מינהלי - עובדי מדינה</v>
      </c>
      <c r="K73" s="189">
        <f t="shared" si="72"/>
        <v>1</v>
      </c>
      <c r="L73" s="18">
        <f t="shared" si="73"/>
        <v>12</v>
      </c>
      <c r="M73" s="129" t="str">
        <f t="shared" si="74"/>
        <v>17+</v>
      </c>
      <c r="N73" s="189"/>
      <c r="O73" s="132">
        <f t="shared" si="75"/>
        <v>1012</v>
      </c>
      <c r="P73" s="127">
        <f t="shared" si="76"/>
        <v>37</v>
      </c>
      <c r="Q73" s="127">
        <f t="shared" si="77"/>
        <v>22.75</v>
      </c>
      <c r="R73" s="128">
        <f t="shared" si="78"/>
        <v>92</v>
      </c>
      <c r="S73" s="130">
        <f t="shared" si="79"/>
        <v>1.2540512286990533</v>
      </c>
      <c r="T73" s="135">
        <f t="shared" si="16"/>
        <v>0</v>
      </c>
      <c r="U73" s="127">
        <f t="shared" si="17"/>
        <v>0</v>
      </c>
      <c r="V73" s="217">
        <v>0</v>
      </c>
      <c r="W73" s="191">
        <v>0</v>
      </c>
      <c r="X73" s="133">
        <v>0</v>
      </c>
      <c r="Y73" s="131">
        <f t="shared" si="18"/>
        <v>2438.5</v>
      </c>
      <c r="Z73" s="131">
        <f t="shared" si="19"/>
        <v>619.50392118264142</v>
      </c>
      <c r="AA73" s="242">
        <f t="shared" si="20"/>
        <v>3058.0039211826415</v>
      </c>
      <c r="AB73" s="131">
        <f t="shared" si="21"/>
        <v>0</v>
      </c>
      <c r="AC73" s="131">
        <f t="shared" si="22"/>
        <v>139.48055684730568</v>
      </c>
      <c r="AD73" s="131">
        <f t="shared" si="23"/>
        <v>0</v>
      </c>
      <c r="AE73" s="131">
        <f t="shared" si="24"/>
        <v>0</v>
      </c>
      <c r="AF73" s="131">
        <f t="shared" si="25"/>
        <v>75.260000000000005</v>
      </c>
      <c r="AG73" s="131">
        <f t="shared" si="26"/>
        <v>0</v>
      </c>
      <c r="AH73" s="131">
        <f t="shared" si="27"/>
        <v>0</v>
      </c>
      <c r="AI73" s="131">
        <f t="shared" si="28"/>
        <v>0</v>
      </c>
      <c r="AJ73" s="131">
        <f t="shared" si="29"/>
        <v>0</v>
      </c>
      <c r="AK73" s="131"/>
      <c r="AL73" s="131">
        <f t="shared" si="30"/>
        <v>0</v>
      </c>
      <c r="AM73" s="131"/>
      <c r="AN73" s="243">
        <f t="shared" si="31"/>
        <v>0</v>
      </c>
      <c r="AO73" s="131">
        <f t="shared" si="32"/>
        <v>0</v>
      </c>
      <c r="AP73" s="131">
        <f t="shared" si="33"/>
        <v>0</v>
      </c>
      <c r="AQ73" s="131"/>
      <c r="AR73" s="131">
        <f t="shared" si="34"/>
        <v>0</v>
      </c>
      <c r="AS73" s="131">
        <f t="shared" si="82"/>
        <v>0</v>
      </c>
      <c r="AT73" s="131">
        <f t="shared" si="35"/>
        <v>0</v>
      </c>
      <c r="AU73" s="131">
        <f t="shared" si="36"/>
        <v>0</v>
      </c>
      <c r="AV73" s="131"/>
      <c r="AW73" s="131">
        <f t="shared" si="37"/>
        <v>353.75</v>
      </c>
      <c r="AX73" s="131">
        <f t="shared" si="103"/>
        <v>0</v>
      </c>
      <c r="AY73" s="131">
        <f t="shared" si="38"/>
        <v>0</v>
      </c>
      <c r="AZ73" s="131"/>
      <c r="BA73" s="131">
        <f t="shared" si="104"/>
        <v>0</v>
      </c>
      <c r="BB73" s="131"/>
      <c r="BC73" s="131"/>
      <c r="BD73" s="131">
        <f t="shared" si="39"/>
        <v>0</v>
      </c>
      <c r="BE73" s="131"/>
      <c r="BF73" s="131">
        <f t="shared" si="89"/>
        <v>0</v>
      </c>
      <c r="BG73" s="131">
        <f t="shared" si="90"/>
        <v>0</v>
      </c>
      <c r="BH73" s="131"/>
      <c r="BI73" s="131"/>
      <c r="BJ73" s="131"/>
      <c r="BK73" s="131">
        <f t="shared" si="92"/>
        <v>0</v>
      </c>
      <c r="BL73" s="131"/>
      <c r="BM73" s="131"/>
      <c r="BN73" s="131">
        <f t="shared" si="93"/>
        <v>0</v>
      </c>
      <c r="BO73" s="131"/>
      <c r="BP73" s="131">
        <f t="shared" si="94"/>
        <v>0</v>
      </c>
      <c r="BQ73" s="131"/>
      <c r="BR73" s="131"/>
      <c r="BS73" s="131"/>
      <c r="BT73" s="131"/>
      <c r="BU73" s="131"/>
      <c r="BV73" s="131">
        <f t="shared" si="95"/>
        <v>0</v>
      </c>
      <c r="BW73" s="131"/>
      <c r="BX73" s="131"/>
      <c r="BY73" s="131"/>
      <c r="BZ73" s="131">
        <f t="shared" si="98"/>
        <v>0</v>
      </c>
      <c r="CA73" s="131"/>
      <c r="CB73" s="136">
        <f t="shared" si="40"/>
        <v>165.08663357180151</v>
      </c>
      <c r="CC73" s="131">
        <f t="shared" si="41"/>
        <v>0</v>
      </c>
      <c r="CD73" s="136">
        <f t="shared" si="42"/>
        <v>0</v>
      </c>
      <c r="CE73" s="131">
        <f t="shared" si="102"/>
        <v>0</v>
      </c>
      <c r="CF73" s="136">
        <f t="shared" si="43"/>
        <v>0</v>
      </c>
      <c r="CG73" s="136"/>
      <c r="CH73" s="136">
        <f t="shared" si="101"/>
        <v>0</v>
      </c>
      <c r="CI73" s="131">
        <f t="shared" si="44"/>
        <v>0</v>
      </c>
      <c r="CJ73" s="131"/>
      <c r="CK73" s="136">
        <f t="shared" si="45"/>
        <v>0</v>
      </c>
      <c r="CL73" s="136">
        <f t="shared" si="46"/>
        <v>0</v>
      </c>
      <c r="CM73" s="131">
        <f t="shared" si="47"/>
        <v>0</v>
      </c>
      <c r="CN73" s="136">
        <f t="shared" si="48"/>
        <v>0</v>
      </c>
      <c r="CO73" s="136">
        <f t="shared" si="49"/>
        <v>0</v>
      </c>
      <c r="CP73" s="136">
        <f t="shared" si="50"/>
        <v>0</v>
      </c>
      <c r="CQ73" s="136"/>
      <c r="CR73" s="136">
        <f t="shared" si="51"/>
        <v>0</v>
      </c>
      <c r="CS73" s="136"/>
      <c r="CT73" s="136"/>
      <c r="CU73" s="136"/>
      <c r="CV73" s="136"/>
      <c r="CW73" s="136"/>
      <c r="CX73" s="136"/>
      <c r="CY73" s="136"/>
      <c r="CZ73" s="136">
        <f t="shared" si="52"/>
        <v>0</v>
      </c>
      <c r="DA73" s="136">
        <f t="shared" si="53"/>
        <v>0</v>
      </c>
      <c r="DB73" s="136">
        <f t="shared" si="54"/>
        <v>0</v>
      </c>
      <c r="DC73" s="131">
        <f t="shared" si="13"/>
        <v>0</v>
      </c>
      <c r="DD73" s="131">
        <f t="shared" si="55"/>
        <v>0</v>
      </c>
      <c r="DE73" s="131">
        <f t="shared" si="56"/>
        <v>0</v>
      </c>
      <c r="DF73" s="131">
        <f t="shared" si="57"/>
        <v>0</v>
      </c>
      <c r="DG73" s="131">
        <f t="shared" si="58"/>
        <v>0</v>
      </c>
      <c r="DH73" s="131"/>
      <c r="DI73" s="131"/>
      <c r="DJ73" s="131"/>
      <c r="DK73" s="137">
        <f t="shared" si="99"/>
        <v>3791.5811116017489</v>
      </c>
      <c r="DL73" s="227" t="e">
        <f t="shared" si="59"/>
        <v>#REF!</v>
      </c>
      <c r="DM73" s="227" t="e">
        <f t="shared" si="60"/>
        <v>#REF!</v>
      </c>
      <c r="DN73" s="228" t="e">
        <f t="shared" si="14"/>
        <v>#REF!</v>
      </c>
      <c r="DO73" s="228">
        <f t="shared" si="61"/>
        <v>181.81087083894022</v>
      </c>
      <c r="DP73" s="228" t="e">
        <f t="shared" si="62"/>
        <v>#REF!</v>
      </c>
      <c r="DQ73" s="228" t="e">
        <f t="shared" si="63"/>
        <v>#REF!</v>
      </c>
    </row>
    <row r="74" spans="1:121">
      <c r="A74" s="132">
        <f t="shared" si="15"/>
        <v>64</v>
      </c>
      <c r="B74" s="18">
        <f t="shared" si="64"/>
        <v>64</v>
      </c>
      <c r="C74" s="18">
        <f>IF(A74=0," ",VLOOKUP(B74,'tosafot '!$A$7:$B$234,2,0))</f>
        <v>4.2012999999999998</v>
      </c>
      <c r="D74" s="220">
        <f t="shared" si="65"/>
        <v>228</v>
      </c>
      <c r="E74" s="130">
        <f t="shared" si="66"/>
        <v>12.2026</v>
      </c>
      <c r="F74" s="126">
        <f t="shared" si="67"/>
        <v>9</v>
      </c>
      <c r="G74" s="18" t="str">
        <f t="shared" si="68"/>
        <v>הבריאות</v>
      </c>
      <c r="H74" s="189">
        <f t="shared" si="69"/>
        <v>107</v>
      </c>
      <c r="I74" s="18">
        <f t="shared" si="70"/>
        <v>1</v>
      </c>
      <c r="J74" s="18" t="str">
        <f t="shared" si="71"/>
        <v>מינהלי - עובדי מדינה</v>
      </c>
      <c r="K74" s="189">
        <f t="shared" si="72"/>
        <v>1</v>
      </c>
      <c r="L74" s="18">
        <f t="shared" si="73"/>
        <v>12</v>
      </c>
      <c r="M74" s="129" t="str">
        <f t="shared" si="74"/>
        <v>17+</v>
      </c>
      <c r="N74" s="189"/>
      <c r="O74" s="132">
        <f t="shared" si="75"/>
        <v>1012</v>
      </c>
      <c r="P74" s="127">
        <f t="shared" si="76"/>
        <v>37</v>
      </c>
      <c r="Q74" s="127">
        <f t="shared" si="77"/>
        <v>22.75</v>
      </c>
      <c r="R74" s="128">
        <f t="shared" si="78"/>
        <v>92</v>
      </c>
      <c r="S74" s="130">
        <f t="shared" si="79"/>
        <v>1.2540512286990533</v>
      </c>
      <c r="T74" s="135">
        <f t="shared" si="16"/>
        <v>0</v>
      </c>
      <c r="U74" s="127">
        <f t="shared" si="17"/>
        <v>0</v>
      </c>
      <c r="V74" s="217">
        <v>0</v>
      </c>
      <c r="W74" s="191">
        <v>0</v>
      </c>
      <c r="X74" s="133">
        <v>0</v>
      </c>
      <c r="Y74" s="131">
        <f t="shared" si="18"/>
        <v>2438.5</v>
      </c>
      <c r="Z74" s="131">
        <f t="shared" si="19"/>
        <v>619.50392118264142</v>
      </c>
      <c r="AA74" s="242">
        <f t="shared" si="20"/>
        <v>3058.0039211826415</v>
      </c>
      <c r="AB74" s="131">
        <f t="shared" si="21"/>
        <v>0</v>
      </c>
      <c r="AC74" s="131">
        <f t="shared" si="22"/>
        <v>139.48055684730568</v>
      </c>
      <c r="AD74" s="131">
        <f t="shared" si="23"/>
        <v>0</v>
      </c>
      <c r="AE74" s="131">
        <f t="shared" si="24"/>
        <v>0</v>
      </c>
      <c r="AF74" s="131">
        <f t="shared" si="25"/>
        <v>75.260000000000005</v>
      </c>
      <c r="AG74" s="131">
        <f t="shared" si="26"/>
        <v>0</v>
      </c>
      <c r="AH74" s="131">
        <f t="shared" si="27"/>
        <v>0</v>
      </c>
      <c r="AI74" s="131">
        <f t="shared" si="28"/>
        <v>0</v>
      </c>
      <c r="AJ74" s="131">
        <f t="shared" si="29"/>
        <v>0</v>
      </c>
      <c r="AK74" s="131"/>
      <c r="AL74" s="131">
        <f t="shared" si="30"/>
        <v>0</v>
      </c>
      <c r="AM74" s="131"/>
      <c r="AN74" s="243">
        <f t="shared" si="31"/>
        <v>0</v>
      </c>
      <c r="AO74" s="131">
        <f t="shared" si="32"/>
        <v>0</v>
      </c>
      <c r="AP74" s="131">
        <f t="shared" si="33"/>
        <v>0</v>
      </c>
      <c r="AQ74" s="131"/>
      <c r="AR74" s="131">
        <f t="shared" si="34"/>
        <v>0</v>
      </c>
      <c r="AS74" s="131">
        <f t="shared" si="82"/>
        <v>0</v>
      </c>
      <c r="AT74" s="131">
        <f t="shared" si="35"/>
        <v>0</v>
      </c>
      <c r="AU74" s="131">
        <f t="shared" si="36"/>
        <v>0</v>
      </c>
      <c r="AV74" s="131"/>
      <c r="AW74" s="131">
        <f t="shared" si="37"/>
        <v>353.75</v>
      </c>
      <c r="AX74" s="131">
        <f t="shared" si="103"/>
        <v>0</v>
      </c>
      <c r="AY74" s="131">
        <f t="shared" si="38"/>
        <v>0</v>
      </c>
      <c r="AZ74" s="131"/>
      <c r="BA74" s="131">
        <f t="shared" si="104"/>
        <v>0</v>
      </c>
      <c r="BB74" s="131"/>
      <c r="BC74" s="131"/>
      <c r="BD74" s="131">
        <f t="shared" si="39"/>
        <v>0</v>
      </c>
      <c r="BE74" s="131"/>
      <c r="BF74" s="131">
        <f t="shared" si="89"/>
        <v>0</v>
      </c>
      <c r="BG74" s="131">
        <f t="shared" si="90"/>
        <v>0</v>
      </c>
      <c r="BH74" s="131"/>
      <c r="BI74" s="131"/>
      <c r="BJ74" s="131"/>
      <c r="BK74" s="131">
        <f t="shared" si="92"/>
        <v>0</v>
      </c>
      <c r="BL74" s="131"/>
      <c r="BM74" s="131"/>
      <c r="BN74" s="131">
        <f t="shared" si="93"/>
        <v>0</v>
      </c>
      <c r="BO74" s="131"/>
      <c r="BP74" s="131">
        <f t="shared" si="94"/>
        <v>0</v>
      </c>
      <c r="BQ74" s="131"/>
      <c r="BR74" s="131"/>
      <c r="BS74" s="131"/>
      <c r="BT74" s="131"/>
      <c r="BU74" s="131"/>
      <c r="BV74" s="131">
        <f t="shared" si="95"/>
        <v>0</v>
      </c>
      <c r="BW74" s="131"/>
      <c r="BX74" s="131"/>
      <c r="BY74" s="131"/>
      <c r="BZ74" s="131">
        <f t="shared" si="98"/>
        <v>0</v>
      </c>
      <c r="CA74" s="131"/>
      <c r="CB74" s="136">
        <f t="shared" si="40"/>
        <v>165.08663357180151</v>
      </c>
      <c r="CC74" s="131">
        <f t="shared" si="41"/>
        <v>0</v>
      </c>
      <c r="CD74" s="136">
        <f t="shared" si="42"/>
        <v>0</v>
      </c>
      <c r="CE74" s="131">
        <f t="shared" si="102"/>
        <v>0</v>
      </c>
      <c r="CF74" s="136">
        <f t="shared" si="43"/>
        <v>0</v>
      </c>
      <c r="CG74" s="136"/>
      <c r="CH74" s="136">
        <f t="shared" si="101"/>
        <v>0</v>
      </c>
      <c r="CI74" s="131">
        <f t="shared" si="44"/>
        <v>0</v>
      </c>
      <c r="CJ74" s="131"/>
      <c r="CK74" s="136">
        <f t="shared" si="45"/>
        <v>0</v>
      </c>
      <c r="CL74" s="136">
        <f t="shared" si="46"/>
        <v>0</v>
      </c>
      <c r="CM74" s="131">
        <f t="shared" si="47"/>
        <v>0</v>
      </c>
      <c r="CN74" s="136">
        <f t="shared" si="48"/>
        <v>0</v>
      </c>
      <c r="CO74" s="136">
        <f t="shared" si="49"/>
        <v>0</v>
      </c>
      <c r="CP74" s="136">
        <f t="shared" si="50"/>
        <v>0</v>
      </c>
      <c r="CQ74" s="136"/>
      <c r="CR74" s="136">
        <f t="shared" si="51"/>
        <v>0</v>
      </c>
      <c r="CS74" s="136"/>
      <c r="CT74" s="136"/>
      <c r="CU74" s="136"/>
      <c r="CV74" s="136"/>
      <c r="CW74" s="136"/>
      <c r="CX74" s="136"/>
      <c r="CY74" s="136"/>
      <c r="CZ74" s="136">
        <f t="shared" si="52"/>
        <v>0</v>
      </c>
      <c r="DA74" s="136">
        <f t="shared" si="53"/>
        <v>0</v>
      </c>
      <c r="DB74" s="136">
        <f t="shared" si="54"/>
        <v>0</v>
      </c>
      <c r="DC74" s="131">
        <f t="shared" si="13"/>
        <v>0</v>
      </c>
      <c r="DD74" s="131">
        <f t="shared" si="55"/>
        <v>0</v>
      </c>
      <c r="DE74" s="131">
        <f t="shared" si="56"/>
        <v>0</v>
      </c>
      <c r="DF74" s="131">
        <f t="shared" si="57"/>
        <v>0</v>
      </c>
      <c r="DG74" s="131">
        <f t="shared" si="58"/>
        <v>0</v>
      </c>
      <c r="DH74" s="131"/>
      <c r="DI74" s="131"/>
      <c r="DJ74" s="131"/>
      <c r="DK74" s="137">
        <f t="shared" si="99"/>
        <v>3791.5811116017489</v>
      </c>
      <c r="DL74" s="227" t="e">
        <f t="shared" si="59"/>
        <v>#REF!</v>
      </c>
      <c r="DM74" s="227" t="e">
        <f t="shared" si="60"/>
        <v>#REF!</v>
      </c>
      <c r="DN74" s="228" t="e">
        <f t="shared" si="14"/>
        <v>#REF!</v>
      </c>
      <c r="DO74" s="228">
        <f t="shared" si="61"/>
        <v>181.81087083894022</v>
      </c>
      <c r="DP74" s="228" t="e">
        <f t="shared" si="62"/>
        <v>#REF!</v>
      </c>
      <c r="DQ74" s="228" t="e">
        <f t="shared" si="63"/>
        <v>#REF!</v>
      </c>
    </row>
    <row r="75" spans="1:121">
      <c r="A75" s="132">
        <f t="shared" si="15"/>
        <v>65</v>
      </c>
      <c r="B75" s="18">
        <f t="shared" si="64"/>
        <v>65</v>
      </c>
      <c r="C75" s="18">
        <f>IF(A75=0," ",VLOOKUP(B75,'tosafot '!$A$7:$B$234,2,0))</f>
        <v>5.2012999999999998</v>
      </c>
      <c r="D75" s="220">
        <f t="shared" si="65"/>
        <v>228</v>
      </c>
      <c r="E75" s="130">
        <f t="shared" si="66"/>
        <v>12.2026</v>
      </c>
      <c r="F75" s="126">
        <f t="shared" si="67"/>
        <v>9</v>
      </c>
      <c r="G75" s="18" t="str">
        <f t="shared" si="68"/>
        <v>הבריאות</v>
      </c>
      <c r="H75" s="189">
        <f t="shared" si="69"/>
        <v>107</v>
      </c>
      <c r="I75" s="18">
        <f t="shared" si="70"/>
        <v>1</v>
      </c>
      <c r="J75" s="18" t="str">
        <f t="shared" si="71"/>
        <v>מינהלי - עובדי מדינה</v>
      </c>
      <c r="K75" s="189">
        <f t="shared" si="72"/>
        <v>1</v>
      </c>
      <c r="L75" s="18">
        <f t="shared" si="73"/>
        <v>12</v>
      </c>
      <c r="M75" s="129" t="str">
        <f t="shared" si="74"/>
        <v>17+</v>
      </c>
      <c r="N75" s="189"/>
      <c r="O75" s="132">
        <f t="shared" si="75"/>
        <v>1012</v>
      </c>
      <c r="P75" s="127">
        <f t="shared" si="76"/>
        <v>37</v>
      </c>
      <c r="Q75" s="127">
        <f t="shared" si="77"/>
        <v>22.75</v>
      </c>
      <c r="R75" s="128">
        <f t="shared" si="78"/>
        <v>92</v>
      </c>
      <c r="S75" s="130">
        <f t="shared" si="79"/>
        <v>1.2540512286990533</v>
      </c>
      <c r="T75" s="135">
        <f t="shared" si="16"/>
        <v>0</v>
      </c>
      <c r="U75" s="127">
        <f t="shared" si="17"/>
        <v>0</v>
      </c>
      <c r="V75" s="217">
        <v>0</v>
      </c>
      <c r="W75" s="191">
        <v>0</v>
      </c>
      <c r="X75" s="133">
        <v>0</v>
      </c>
      <c r="Y75" s="131">
        <f t="shared" si="18"/>
        <v>2438.5</v>
      </c>
      <c r="Z75" s="131">
        <f t="shared" si="19"/>
        <v>619.50392118264142</v>
      </c>
      <c r="AA75" s="242">
        <f t="shared" si="20"/>
        <v>3058.0039211826415</v>
      </c>
      <c r="AB75" s="131">
        <f t="shared" si="21"/>
        <v>0</v>
      </c>
      <c r="AC75" s="131">
        <f t="shared" si="22"/>
        <v>139.48055684730568</v>
      </c>
      <c r="AD75" s="131">
        <f t="shared" si="23"/>
        <v>0</v>
      </c>
      <c r="AE75" s="131">
        <f t="shared" si="24"/>
        <v>0</v>
      </c>
      <c r="AF75" s="131">
        <f t="shared" si="25"/>
        <v>75.260000000000005</v>
      </c>
      <c r="AG75" s="131">
        <f t="shared" si="26"/>
        <v>0</v>
      </c>
      <c r="AH75" s="131">
        <f t="shared" si="27"/>
        <v>0</v>
      </c>
      <c r="AI75" s="131">
        <f t="shared" si="28"/>
        <v>0</v>
      </c>
      <c r="AJ75" s="131">
        <f t="shared" si="29"/>
        <v>0</v>
      </c>
      <c r="AK75" s="131"/>
      <c r="AL75" s="131">
        <f t="shared" si="30"/>
        <v>0</v>
      </c>
      <c r="AM75" s="131"/>
      <c r="AN75" s="243">
        <f t="shared" si="31"/>
        <v>0</v>
      </c>
      <c r="AO75" s="131">
        <f t="shared" si="32"/>
        <v>0</v>
      </c>
      <c r="AP75" s="131">
        <f t="shared" si="33"/>
        <v>0</v>
      </c>
      <c r="AQ75" s="131"/>
      <c r="AR75" s="131">
        <f t="shared" si="34"/>
        <v>0</v>
      </c>
      <c r="AS75" s="131">
        <f t="shared" si="82"/>
        <v>0</v>
      </c>
      <c r="AT75" s="131">
        <f t="shared" si="35"/>
        <v>0</v>
      </c>
      <c r="AU75" s="131">
        <f t="shared" si="36"/>
        <v>0</v>
      </c>
      <c r="AV75" s="131"/>
      <c r="AW75" s="131">
        <f t="shared" si="37"/>
        <v>353.75</v>
      </c>
      <c r="AX75" s="131">
        <f t="shared" si="103"/>
        <v>0</v>
      </c>
      <c r="AY75" s="131">
        <f t="shared" si="38"/>
        <v>0</v>
      </c>
      <c r="AZ75" s="131"/>
      <c r="BA75" s="131">
        <f t="shared" si="104"/>
        <v>0</v>
      </c>
      <c r="BB75" s="131"/>
      <c r="BC75" s="131"/>
      <c r="BD75" s="131">
        <f t="shared" si="39"/>
        <v>0</v>
      </c>
      <c r="BE75" s="131"/>
      <c r="BF75" s="131">
        <f t="shared" si="89"/>
        <v>0</v>
      </c>
      <c r="BG75" s="131">
        <f t="shared" si="90"/>
        <v>0</v>
      </c>
      <c r="BH75" s="131"/>
      <c r="BI75" s="131"/>
      <c r="BJ75" s="131"/>
      <c r="BK75" s="131">
        <f t="shared" si="92"/>
        <v>0</v>
      </c>
      <c r="BL75" s="131"/>
      <c r="BM75" s="131"/>
      <c r="BN75" s="131">
        <f t="shared" si="93"/>
        <v>0</v>
      </c>
      <c r="BO75" s="131"/>
      <c r="BP75" s="131">
        <f t="shared" si="94"/>
        <v>0</v>
      </c>
      <c r="BQ75" s="131"/>
      <c r="BR75" s="131"/>
      <c r="BS75" s="131"/>
      <c r="BT75" s="131"/>
      <c r="BU75" s="131"/>
      <c r="BV75" s="131">
        <f t="shared" si="95"/>
        <v>0</v>
      </c>
      <c r="BW75" s="131"/>
      <c r="BX75" s="131"/>
      <c r="BY75" s="131"/>
      <c r="BZ75" s="131">
        <f t="shared" si="98"/>
        <v>0</v>
      </c>
      <c r="CA75" s="131"/>
      <c r="CB75" s="136">
        <f t="shared" si="40"/>
        <v>165.08663357180151</v>
      </c>
      <c r="CC75" s="131">
        <f t="shared" si="41"/>
        <v>0</v>
      </c>
      <c r="CD75" s="136">
        <f t="shared" si="42"/>
        <v>0</v>
      </c>
      <c r="CE75" s="131">
        <f t="shared" si="102"/>
        <v>0</v>
      </c>
      <c r="CF75" s="136">
        <f t="shared" si="43"/>
        <v>0</v>
      </c>
      <c r="CG75" s="136"/>
      <c r="CH75" s="136">
        <f t="shared" si="101"/>
        <v>0</v>
      </c>
      <c r="CI75" s="131">
        <f t="shared" si="44"/>
        <v>0</v>
      </c>
      <c r="CJ75" s="131"/>
      <c r="CK75" s="136">
        <f t="shared" si="45"/>
        <v>0</v>
      </c>
      <c r="CL75" s="136">
        <f t="shared" si="46"/>
        <v>0</v>
      </c>
      <c r="CM75" s="131">
        <f t="shared" si="47"/>
        <v>0</v>
      </c>
      <c r="CN75" s="136">
        <f t="shared" si="48"/>
        <v>0</v>
      </c>
      <c r="CO75" s="136">
        <f t="shared" si="49"/>
        <v>0</v>
      </c>
      <c r="CP75" s="136">
        <f t="shared" si="50"/>
        <v>0</v>
      </c>
      <c r="CQ75" s="136"/>
      <c r="CR75" s="136">
        <f t="shared" si="51"/>
        <v>0</v>
      </c>
      <c r="CS75" s="136"/>
      <c r="CT75" s="136"/>
      <c r="CU75" s="136"/>
      <c r="CV75" s="136"/>
      <c r="CW75" s="136"/>
      <c r="CX75" s="136"/>
      <c r="CY75" s="136"/>
      <c r="CZ75" s="136">
        <f t="shared" si="52"/>
        <v>0</v>
      </c>
      <c r="DA75" s="136">
        <f t="shared" si="53"/>
        <v>0</v>
      </c>
      <c r="DB75" s="136">
        <f t="shared" si="54"/>
        <v>0</v>
      </c>
      <c r="DC75" s="131">
        <f t="shared" ref="DC75:DC138" si="105">IF(A75=0," ",+U75)</f>
        <v>0</v>
      </c>
      <c r="DD75" s="131">
        <f t="shared" si="55"/>
        <v>0</v>
      </c>
      <c r="DE75" s="131">
        <f t="shared" si="56"/>
        <v>0</v>
      </c>
      <c r="DF75" s="131">
        <f t="shared" si="57"/>
        <v>0</v>
      </c>
      <c r="DG75" s="131">
        <f t="shared" si="58"/>
        <v>0</v>
      </c>
      <c r="DH75" s="131"/>
      <c r="DI75" s="131"/>
      <c r="DJ75" s="131"/>
      <c r="DK75" s="137">
        <f t="shared" si="99"/>
        <v>3791.5811116017489</v>
      </c>
      <c r="DL75" s="227" t="e">
        <f t="shared" si="59"/>
        <v>#REF!</v>
      </c>
      <c r="DM75" s="227" t="e">
        <f t="shared" si="60"/>
        <v>#REF!</v>
      </c>
      <c r="DN75" s="228" t="e">
        <f t="shared" ref="DN75:DN138" si="106">IF(A75=0," ",+DK75*DL75*DM75)</f>
        <v>#REF!</v>
      </c>
      <c r="DO75" s="228">
        <f t="shared" si="61"/>
        <v>181.81087083894022</v>
      </c>
      <c r="DP75" s="228" t="e">
        <f t="shared" si="62"/>
        <v>#REF!</v>
      </c>
      <c r="DQ75" s="228" t="e">
        <f t="shared" si="63"/>
        <v>#REF!</v>
      </c>
    </row>
    <row r="76" spans="1:121">
      <c r="A76" s="132">
        <f t="shared" ref="A76:A139" si="107">IF(A75=0,0,IF(B75+1&gt;$D$9,0,A75+1))</f>
        <v>66</v>
      </c>
      <c r="B76" s="18">
        <f t="shared" si="64"/>
        <v>66</v>
      </c>
      <c r="C76" s="18">
        <f>IF(A76=0," ",VLOOKUP(B76,'tosafot '!$A$7:$B$234,2,0))</f>
        <v>6.2012999999999998</v>
      </c>
      <c r="D76" s="220">
        <f t="shared" si="65"/>
        <v>228</v>
      </c>
      <c r="E76" s="130">
        <f t="shared" si="66"/>
        <v>12.2026</v>
      </c>
      <c r="F76" s="126">
        <f t="shared" si="67"/>
        <v>9</v>
      </c>
      <c r="G76" s="18" t="str">
        <f t="shared" si="68"/>
        <v>הבריאות</v>
      </c>
      <c r="H76" s="189">
        <f t="shared" si="69"/>
        <v>107</v>
      </c>
      <c r="I76" s="18">
        <f t="shared" si="70"/>
        <v>1</v>
      </c>
      <c r="J76" s="18" t="str">
        <f t="shared" si="71"/>
        <v>מינהלי - עובדי מדינה</v>
      </c>
      <c r="K76" s="189">
        <f t="shared" si="72"/>
        <v>1</v>
      </c>
      <c r="L76" s="18">
        <f t="shared" si="73"/>
        <v>12</v>
      </c>
      <c r="M76" s="129" t="str">
        <f t="shared" si="74"/>
        <v>17+</v>
      </c>
      <c r="N76" s="189"/>
      <c r="O76" s="132">
        <f t="shared" si="75"/>
        <v>1012</v>
      </c>
      <c r="P76" s="127">
        <f t="shared" si="76"/>
        <v>37</v>
      </c>
      <c r="Q76" s="127">
        <f t="shared" si="77"/>
        <v>22.75</v>
      </c>
      <c r="R76" s="128">
        <f t="shared" si="78"/>
        <v>92</v>
      </c>
      <c r="S76" s="130">
        <f t="shared" si="79"/>
        <v>1.2540512286990533</v>
      </c>
      <c r="T76" s="135">
        <f t="shared" ref="T76:T139" si="108">IF(A76=0," ",+T75)</f>
        <v>0</v>
      </c>
      <c r="U76" s="127">
        <f t="shared" ref="U76:U139" si="109">IF(A76=0," ",+U75)</f>
        <v>0</v>
      </c>
      <c r="V76" s="217">
        <v>0</v>
      </c>
      <c r="W76" s="191">
        <v>0</v>
      </c>
      <c r="X76" s="133">
        <v>0</v>
      </c>
      <c r="Y76" s="131">
        <f t="shared" ref="Y76:Y139" si="110">IF(A76=0," ",+Y75)</f>
        <v>2438.5</v>
      </c>
      <c r="Z76" s="131">
        <f t="shared" ref="Z76:Z139" si="111">IF(A76=0," ",+Z75)</f>
        <v>619.50392118264142</v>
      </c>
      <c r="AA76" s="242">
        <f t="shared" ref="AA76:AA139" si="112">IF(A76=0," ",AA75)</f>
        <v>3058.0039211826415</v>
      </c>
      <c r="AB76" s="131">
        <f t="shared" ref="AB76:AB139" si="113">IF(A76=0," ",AB75)</f>
        <v>0</v>
      </c>
      <c r="AC76" s="131">
        <f t="shared" ref="AC76:AC139" si="114">IF(A76=0," ",AC75)</f>
        <v>139.48055684730568</v>
      </c>
      <c r="AD76" s="131">
        <f t="shared" ref="AD76:AD139" si="115">IF(A76=0," ",AD75)</f>
        <v>0</v>
      </c>
      <c r="AE76" s="131">
        <f t="shared" ref="AE76:AE139" si="116">IF(A76=0," ",AE75)</f>
        <v>0</v>
      </c>
      <c r="AF76" s="131">
        <f t="shared" ref="AF76:AF139" si="117">IF(A76=0," ",AF75)</f>
        <v>75.260000000000005</v>
      </c>
      <c r="AG76" s="131">
        <f t="shared" ref="AG76:AG139" si="118">IF(A76=0," ",AG75)</f>
        <v>0</v>
      </c>
      <c r="AH76" s="131">
        <f t="shared" ref="AH76:AH139" si="119">IF(A76=0," ",AH75)</f>
        <v>0</v>
      </c>
      <c r="AI76" s="131">
        <f t="shared" ref="AI76:AI139" si="120">IF(A76=0," ",AI75)</f>
        <v>0</v>
      </c>
      <c r="AJ76" s="131">
        <f t="shared" ref="AJ76:AJ139" si="121">IF(A76=0," ",AJ75)</f>
        <v>0</v>
      </c>
      <c r="AK76" s="131"/>
      <c r="AL76" s="131">
        <f t="shared" ref="AL76:AL139" si="122">IF(A76=0," ",AL75)</f>
        <v>0</v>
      </c>
      <c r="AM76" s="131"/>
      <c r="AN76" s="243">
        <f t="shared" ref="AN76:AN139" si="123">IF(A76=0," ",AN75)</f>
        <v>0</v>
      </c>
      <c r="AO76" s="131">
        <f t="shared" ref="AO76:AO139" si="124">IF(A76=0," ",AO75)</f>
        <v>0</v>
      </c>
      <c r="AP76" s="131">
        <f t="shared" ref="AP76:AP139" si="125">IF(A76=0," ",AP75)</f>
        <v>0</v>
      </c>
      <c r="AQ76" s="131"/>
      <c r="AR76" s="131">
        <f t="shared" ref="AR76:AR139" si="126">IF(A76=0," ",AR75)</f>
        <v>0</v>
      </c>
      <c r="AS76" s="131">
        <f t="shared" si="82"/>
        <v>0</v>
      </c>
      <c r="AT76" s="131">
        <f t="shared" ref="AT76:AT139" si="127">IF(A76=0," ",AT75)</f>
        <v>0</v>
      </c>
      <c r="AU76" s="131">
        <f t="shared" ref="AU76:AU139" si="128">IF(A76=0," ",AU75)</f>
        <v>0</v>
      </c>
      <c r="AV76" s="131"/>
      <c r="AW76" s="131">
        <f t="shared" ref="AW76:AW139" si="129">IF(A76=0," ",AW75)</f>
        <v>353.75</v>
      </c>
      <c r="AX76" s="131">
        <f t="shared" si="103"/>
        <v>0</v>
      </c>
      <c r="AY76" s="131">
        <f t="shared" ref="AY76:AY139" si="130">IF(A76=0," ",AY75)</f>
        <v>0</v>
      </c>
      <c r="AZ76" s="131"/>
      <c r="BA76" s="131">
        <f t="shared" si="104"/>
        <v>0</v>
      </c>
      <c r="BB76" s="131"/>
      <c r="BC76" s="131"/>
      <c r="BD76" s="131">
        <f t="shared" ref="BD76:BD139" si="131">IF(A76=0," ",BD75)</f>
        <v>0</v>
      </c>
      <c r="BE76" s="131"/>
      <c r="BF76" s="131">
        <f t="shared" si="89"/>
        <v>0</v>
      </c>
      <c r="BG76" s="131">
        <f t="shared" si="90"/>
        <v>0</v>
      </c>
      <c r="BH76" s="131"/>
      <c r="BI76" s="131"/>
      <c r="BJ76" s="131"/>
      <c r="BK76" s="131">
        <f t="shared" si="92"/>
        <v>0</v>
      </c>
      <c r="BL76" s="131"/>
      <c r="BM76" s="131"/>
      <c r="BN76" s="131">
        <f t="shared" si="93"/>
        <v>0</v>
      </c>
      <c r="BO76" s="131"/>
      <c r="BP76" s="131">
        <f t="shared" si="94"/>
        <v>0</v>
      </c>
      <c r="BQ76" s="131"/>
      <c r="BR76" s="131"/>
      <c r="BS76" s="131"/>
      <c r="BT76" s="131"/>
      <c r="BU76" s="131"/>
      <c r="BV76" s="131">
        <f t="shared" si="95"/>
        <v>0</v>
      </c>
      <c r="BW76" s="131"/>
      <c r="BX76" s="131"/>
      <c r="BY76" s="131"/>
      <c r="BZ76" s="131">
        <f t="shared" si="98"/>
        <v>0</v>
      </c>
      <c r="CA76" s="131"/>
      <c r="CB76" s="136">
        <f t="shared" ref="CB76:CB139" si="132">IF(A76=0," ",+CB75)</f>
        <v>165.08663357180151</v>
      </c>
      <c r="CC76" s="131">
        <f t="shared" ref="CC76:CC139" si="133">IF(A76=0," ",CC75)</f>
        <v>0</v>
      </c>
      <c r="CD76" s="136">
        <f t="shared" ref="CD76:CD139" si="134">IF(A76=0," ",CD75)</f>
        <v>0</v>
      </c>
      <c r="CE76" s="131">
        <f t="shared" si="102"/>
        <v>0</v>
      </c>
      <c r="CF76" s="136">
        <f t="shared" ref="CF76:CF139" si="135">IF(A76=0," ",+CF75)</f>
        <v>0</v>
      </c>
      <c r="CG76" s="136"/>
      <c r="CH76" s="136">
        <f t="shared" si="101"/>
        <v>0</v>
      </c>
      <c r="CI76" s="131">
        <f t="shared" ref="CI76:CI139" si="136">IF(A76=0," ",CI75)</f>
        <v>0</v>
      </c>
      <c r="CJ76" s="131"/>
      <c r="CK76" s="136">
        <f t="shared" ref="CK76:CK139" si="137">IF(A76=0," ",+CK75)</f>
        <v>0</v>
      </c>
      <c r="CL76" s="136">
        <f t="shared" ref="CL76:CL139" si="138">IF(A76=0," ",+CL75)</f>
        <v>0</v>
      </c>
      <c r="CM76" s="131">
        <f t="shared" ref="CM76:CM139" si="139">IF(A76=0," ",CM75)</f>
        <v>0</v>
      </c>
      <c r="CN76" s="136">
        <f t="shared" ref="CN76:CN139" si="140">IF(A76=0," ",+CN75)</f>
        <v>0</v>
      </c>
      <c r="CO76" s="136">
        <f t="shared" ref="CO76:CO139" si="141">IF(A76=0," ",+CO75)</f>
        <v>0</v>
      </c>
      <c r="CP76" s="136">
        <f t="shared" ref="CP76:CP139" si="142">IF(A76=0," ",+CP75)</f>
        <v>0</v>
      </c>
      <c r="CQ76" s="136"/>
      <c r="CR76" s="136">
        <f t="shared" ref="CR76:CR139" si="143">IF(A76=0," ",+CR75)</f>
        <v>0</v>
      </c>
      <c r="CS76" s="136"/>
      <c r="CT76" s="136"/>
      <c r="CU76" s="136"/>
      <c r="CV76" s="136"/>
      <c r="CW76" s="136"/>
      <c r="CX76" s="136"/>
      <c r="CY76" s="136"/>
      <c r="CZ76" s="136">
        <f t="shared" ref="CZ76:CZ139" si="144">IF(A76=0," ",+CZ75)</f>
        <v>0</v>
      </c>
      <c r="DA76" s="136">
        <f t="shared" ref="DA76:DA139" si="145">IF(A76=0," ",+DA75)</f>
        <v>0</v>
      </c>
      <c r="DB76" s="136">
        <f t="shared" ref="DB76:DB139" si="146">IF(A76=0," ",+DB75)</f>
        <v>0</v>
      </c>
      <c r="DC76" s="131">
        <f t="shared" si="105"/>
        <v>0</v>
      </c>
      <c r="DD76" s="131">
        <f t="shared" ref="DD76:DD139" si="147">IF(A76=0," ",DD75)</f>
        <v>0</v>
      </c>
      <c r="DE76" s="131">
        <f t="shared" ref="DE76:DE139" si="148">IF(A76=0," ",DE75)</f>
        <v>0</v>
      </c>
      <c r="DF76" s="131">
        <f t="shared" ref="DF76:DF139" si="149">IF(A76=0," ",DF75)</f>
        <v>0</v>
      </c>
      <c r="DG76" s="131">
        <f t="shared" ref="DG76:DG139" si="150">IF(A76=0," ",DG75)</f>
        <v>0</v>
      </c>
      <c r="DH76" s="131"/>
      <c r="DI76" s="131"/>
      <c r="DJ76" s="131"/>
      <c r="DK76" s="137">
        <f t="shared" si="99"/>
        <v>3791.5811116017489</v>
      </c>
      <c r="DL76" s="227" t="e">
        <f t="shared" ref="DL76:DL139" si="151">IF(A76=0," ",DL75)</f>
        <v>#REF!</v>
      </c>
      <c r="DM76" s="227" t="e">
        <f t="shared" ref="DM76:DM139" si="152">IF(A76=0," ",DM75)</f>
        <v>#REF!</v>
      </c>
      <c r="DN76" s="228" t="e">
        <f t="shared" si="106"/>
        <v>#REF!</v>
      </c>
      <c r="DO76" s="228">
        <f t="shared" ref="DO76:DO139" si="153">IF(A76=0," ",DO75)</f>
        <v>181.81087083894022</v>
      </c>
      <c r="DP76" s="228" t="e">
        <f t="shared" ref="DP76:DP139" si="154">IF(A75=0," ",DP75)</f>
        <v>#REF!</v>
      </c>
      <c r="DQ76" s="228" t="e">
        <f t="shared" ref="DQ76:DQ139" si="155">IF(A75=0," ",DQ75)</f>
        <v>#REF!</v>
      </c>
    </row>
    <row r="77" spans="1:121">
      <c r="A77" s="132">
        <f t="shared" si="107"/>
        <v>67</v>
      </c>
      <c r="B77" s="18">
        <f t="shared" ref="B77:B140" si="156">IF(A77=0," ",B76+1)</f>
        <v>67</v>
      </c>
      <c r="C77" s="18">
        <f>IF(A77=0," ",VLOOKUP(B77,'tosafot '!$A$7:$B$234,2,0))</f>
        <v>7.2012999999999998</v>
      </c>
      <c r="D77" s="220">
        <f t="shared" ref="D77:D140" si="157">IF(A77=0," ",+D76)</f>
        <v>228</v>
      </c>
      <c r="E77" s="130">
        <f t="shared" ref="E77:E140" si="158">IF(A77=0," ",+E76)</f>
        <v>12.2026</v>
      </c>
      <c r="F77" s="126">
        <f t="shared" ref="F77:F140" si="159">IF(A77=0," ",+F76)</f>
        <v>9</v>
      </c>
      <c r="G77" s="18" t="str">
        <f t="shared" ref="G77:G140" si="160">IF(A77=0," ",+G76)</f>
        <v>הבריאות</v>
      </c>
      <c r="H77" s="189">
        <f t="shared" ref="H77:H140" si="161">IF(A77=0," ",+H76)</f>
        <v>107</v>
      </c>
      <c r="I77" s="18">
        <f t="shared" ref="I77:I140" si="162">IF(A77=0," ",+I76)</f>
        <v>1</v>
      </c>
      <c r="J77" s="18" t="str">
        <f t="shared" ref="J77:J140" si="163">IF(A77=0," ",+J76)</f>
        <v>מינהלי - עובדי מדינה</v>
      </c>
      <c r="K77" s="189">
        <f t="shared" ref="K77:K140" si="164">IF(A77=0," ",+K76)</f>
        <v>1</v>
      </c>
      <c r="L77" s="18">
        <f t="shared" ref="L77:L140" si="165">IF(A77=0," ",+L76)</f>
        <v>12</v>
      </c>
      <c r="M77" s="129" t="str">
        <f t="shared" ref="M77:M140" si="166">IF(A77=0," ",+M76)</f>
        <v>17+</v>
      </c>
      <c r="N77" s="189"/>
      <c r="O77" s="132">
        <f t="shared" ref="O77:O140" si="167">IF(A77=0," ",+O76)</f>
        <v>1012</v>
      </c>
      <c r="P77" s="127">
        <f t="shared" ref="P77:P140" si="168">IF(A77=0," ",P76)</f>
        <v>37</v>
      </c>
      <c r="Q77" s="127">
        <f t="shared" ref="Q77:Q140" si="169">IF(A77=0," ",+Q76)</f>
        <v>22.75</v>
      </c>
      <c r="R77" s="128">
        <f t="shared" ref="R77:R140" si="170">IF(A77=0," ",+R76)</f>
        <v>92</v>
      </c>
      <c r="S77" s="130">
        <f t="shared" ref="S77:S140" si="171">IF(A77=0," ",+S76)</f>
        <v>1.2540512286990533</v>
      </c>
      <c r="T77" s="135">
        <f t="shared" si="108"/>
        <v>0</v>
      </c>
      <c r="U77" s="127">
        <f t="shared" si="109"/>
        <v>0</v>
      </c>
      <c r="V77" s="217">
        <v>0</v>
      </c>
      <c r="W77" s="191">
        <v>0</v>
      </c>
      <c r="X77" s="133">
        <v>0</v>
      </c>
      <c r="Y77" s="131">
        <f t="shared" si="110"/>
        <v>2438.5</v>
      </c>
      <c r="Z77" s="131">
        <f t="shared" si="111"/>
        <v>619.50392118264142</v>
      </c>
      <c r="AA77" s="242">
        <f t="shared" si="112"/>
        <v>3058.0039211826415</v>
      </c>
      <c r="AB77" s="131">
        <f t="shared" si="113"/>
        <v>0</v>
      </c>
      <c r="AC77" s="131">
        <f t="shared" si="114"/>
        <v>139.48055684730568</v>
      </c>
      <c r="AD77" s="131">
        <f t="shared" si="115"/>
        <v>0</v>
      </c>
      <c r="AE77" s="131">
        <f t="shared" si="116"/>
        <v>0</v>
      </c>
      <c r="AF77" s="131">
        <f t="shared" si="117"/>
        <v>75.260000000000005</v>
      </c>
      <c r="AG77" s="131">
        <f t="shared" si="118"/>
        <v>0</v>
      </c>
      <c r="AH77" s="131">
        <f t="shared" si="119"/>
        <v>0</v>
      </c>
      <c r="AI77" s="131">
        <f t="shared" si="120"/>
        <v>0</v>
      </c>
      <c r="AJ77" s="131">
        <f t="shared" si="121"/>
        <v>0</v>
      </c>
      <c r="AK77" s="131"/>
      <c r="AL77" s="131">
        <f t="shared" si="122"/>
        <v>0</v>
      </c>
      <c r="AM77" s="131"/>
      <c r="AN77" s="243">
        <f t="shared" si="123"/>
        <v>0</v>
      </c>
      <c r="AO77" s="131">
        <f t="shared" si="124"/>
        <v>0</v>
      </c>
      <c r="AP77" s="131">
        <f t="shared" si="125"/>
        <v>0</v>
      </c>
      <c r="AQ77" s="131"/>
      <c r="AR77" s="131">
        <f t="shared" si="126"/>
        <v>0</v>
      </c>
      <c r="AS77" s="131">
        <f t="shared" ref="AS77:AS140" si="172">IF(A77=0," ",AS76)</f>
        <v>0</v>
      </c>
      <c r="AT77" s="131">
        <f t="shared" si="127"/>
        <v>0</v>
      </c>
      <c r="AU77" s="131">
        <f t="shared" si="128"/>
        <v>0</v>
      </c>
      <c r="AV77" s="131"/>
      <c r="AW77" s="131">
        <f t="shared" si="129"/>
        <v>353.75</v>
      </c>
      <c r="AX77" s="131">
        <f t="shared" si="103"/>
        <v>0</v>
      </c>
      <c r="AY77" s="131">
        <f t="shared" si="130"/>
        <v>0</v>
      </c>
      <c r="AZ77" s="131"/>
      <c r="BA77" s="131">
        <f t="shared" si="104"/>
        <v>0</v>
      </c>
      <c r="BB77" s="131"/>
      <c r="BC77" s="131"/>
      <c r="BD77" s="131">
        <f t="shared" si="131"/>
        <v>0</v>
      </c>
      <c r="BE77" s="131"/>
      <c r="BF77" s="131">
        <f t="shared" ref="BF77:BF140" si="173">IF(A77=0," ",BF76)</f>
        <v>0</v>
      </c>
      <c r="BG77" s="131">
        <f t="shared" ref="BG77:BG140" si="174">IF(A77=0," ",BG76)</f>
        <v>0</v>
      </c>
      <c r="BH77" s="131"/>
      <c r="BI77" s="131"/>
      <c r="BJ77" s="131"/>
      <c r="BK77" s="131">
        <f t="shared" ref="BK77:BK140" si="175">IF(A77=0," ",BK76)</f>
        <v>0</v>
      </c>
      <c r="BL77" s="131"/>
      <c r="BM77" s="131"/>
      <c r="BN77" s="131">
        <f t="shared" ref="BN77:BN140" si="176">IF(A77=0," ",BN76)</f>
        <v>0</v>
      </c>
      <c r="BO77" s="131"/>
      <c r="BP77" s="131">
        <f t="shared" ref="BP77:BP140" si="177">IF(A77=0," ",BP76)</f>
        <v>0</v>
      </c>
      <c r="BQ77" s="131"/>
      <c r="BR77" s="131"/>
      <c r="BS77" s="131"/>
      <c r="BT77" s="131"/>
      <c r="BU77" s="131"/>
      <c r="BV77" s="131">
        <f t="shared" ref="BV77:BV140" si="178">IF(A76=0," ",BV76)</f>
        <v>0</v>
      </c>
      <c r="BW77" s="131"/>
      <c r="BX77" s="131"/>
      <c r="BY77" s="131"/>
      <c r="BZ77" s="131">
        <f t="shared" ref="BZ77:BZ140" si="179">IF(A77=0," ",BZ76)</f>
        <v>0</v>
      </c>
      <c r="CA77" s="131"/>
      <c r="CB77" s="136">
        <f t="shared" si="132"/>
        <v>165.08663357180151</v>
      </c>
      <c r="CC77" s="131">
        <f t="shared" si="133"/>
        <v>0</v>
      </c>
      <c r="CD77" s="136">
        <f t="shared" si="134"/>
        <v>0</v>
      </c>
      <c r="CE77" s="131">
        <f t="shared" si="102"/>
        <v>0</v>
      </c>
      <c r="CF77" s="136">
        <f t="shared" si="135"/>
        <v>0</v>
      </c>
      <c r="CG77" s="136"/>
      <c r="CH77" s="136">
        <f t="shared" si="101"/>
        <v>0</v>
      </c>
      <c r="CI77" s="131">
        <f t="shared" si="136"/>
        <v>0</v>
      </c>
      <c r="CJ77" s="131"/>
      <c r="CK77" s="136">
        <f t="shared" si="137"/>
        <v>0</v>
      </c>
      <c r="CL77" s="136">
        <f t="shared" si="138"/>
        <v>0</v>
      </c>
      <c r="CM77" s="131">
        <f t="shared" si="139"/>
        <v>0</v>
      </c>
      <c r="CN77" s="136">
        <f t="shared" si="140"/>
        <v>0</v>
      </c>
      <c r="CO77" s="136">
        <f t="shared" si="141"/>
        <v>0</v>
      </c>
      <c r="CP77" s="136">
        <f t="shared" si="142"/>
        <v>0</v>
      </c>
      <c r="CQ77" s="136"/>
      <c r="CR77" s="136">
        <f t="shared" si="143"/>
        <v>0</v>
      </c>
      <c r="CS77" s="136"/>
      <c r="CT77" s="136"/>
      <c r="CU77" s="136"/>
      <c r="CV77" s="136"/>
      <c r="CW77" s="136"/>
      <c r="CX77" s="136"/>
      <c r="CY77" s="136"/>
      <c r="CZ77" s="136">
        <f t="shared" si="144"/>
        <v>0</v>
      </c>
      <c r="DA77" s="136">
        <f t="shared" si="145"/>
        <v>0</v>
      </c>
      <c r="DB77" s="136">
        <f t="shared" si="146"/>
        <v>0</v>
      </c>
      <c r="DC77" s="131">
        <f t="shared" si="105"/>
        <v>0</v>
      </c>
      <c r="DD77" s="131">
        <f t="shared" si="147"/>
        <v>0</v>
      </c>
      <c r="DE77" s="131">
        <f t="shared" si="148"/>
        <v>0</v>
      </c>
      <c r="DF77" s="131">
        <f t="shared" si="149"/>
        <v>0</v>
      </c>
      <c r="DG77" s="131">
        <f t="shared" si="150"/>
        <v>0</v>
      </c>
      <c r="DH77" s="131"/>
      <c r="DI77" s="131"/>
      <c r="DJ77" s="131"/>
      <c r="DK77" s="137">
        <f t="shared" ref="DK77:DK140" si="180">IF(A77=0," ",SUM(AA77:DG77))</f>
        <v>3791.5811116017489</v>
      </c>
      <c r="DL77" s="227" t="e">
        <f t="shared" si="151"/>
        <v>#REF!</v>
      </c>
      <c r="DM77" s="227" t="e">
        <f t="shared" si="152"/>
        <v>#REF!</v>
      </c>
      <c r="DN77" s="228" t="e">
        <f t="shared" si="106"/>
        <v>#REF!</v>
      </c>
      <c r="DO77" s="228">
        <f t="shared" si="153"/>
        <v>181.81087083894022</v>
      </c>
      <c r="DP77" s="228" t="e">
        <f t="shared" si="154"/>
        <v>#REF!</v>
      </c>
      <c r="DQ77" s="228" t="e">
        <f t="shared" si="155"/>
        <v>#REF!</v>
      </c>
    </row>
    <row r="78" spans="1:121">
      <c r="A78" s="132">
        <f t="shared" si="107"/>
        <v>68</v>
      </c>
      <c r="B78" s="18">
        <f t="shared" si="156"/>
        <v>68</v>
      </c>
      <c r="C78" s="18">
        <f>IF(A78=0," ",VLOOKUP(B78,'tosafot '!$A$7:$B$234,2,0))</f>
        <v>8.2012999999999998</v>
      </c>
      <c r="D78" s="220">
        <f t="shared" si="157"/>
        <v>228</v>
      </c>
      <c r="E78" s="130">
        <f t="shared" si="158"/>
        <v>12.2026</v>
      </c>
      <c r="F78" s="126">
        <f t="shared" si="159"/>
        <v>9</v>
      </c>
      <c r="G78" s="18" t="str">
        <f t="shared" si="160"/>
        <v>הבריאות</v>
      </c>
      <c r="H78" s="189">
        <f t="shared" si="161"/>
        <v>107</v>
      </c>
      <c r="I78" s="18">
        <f t="shared" si="162"/>
        <v>1</v>
      </c>
      <c r="J78" s="18" t="str">
        <f t="shared" si="163"/>
        <v>מינהלי - עובדי מדינה</v>
      </c>
      <c r="K78" s="189">
        <f t="shared" si="164"/>
        <v>1</v>
      </c>
      <c r="L78" s="18">
        <f t="shared" si="165"/>
        <v>12</v>
      </c>
      <c r="M78" s="129" t="str">
        <f t="shared" si="166"/>
        <v>17+</v>
      </c>
      <c r="N78" s="189"/>
      <c r="O78" s="132">
        <f t="shared" si="167"/>
        <v>1012</v>
      </c>
      <c r="P78" s="127">
        <f t="shared" si="168"/>
        <v>37</v>
      </c>
      <c r="Q78" s="127">
        <f t="shared" si="169"/>
        <v>22.75</v>
      </c>
      <c r="R78" s="128">
        <f t="shared" si="170"/>
        <v>92</v>
      </c>
      <c r="S78" s="130">
        <f t="shared" si="171"/>
        <v>1.2540512286990533</v>
      </c>
      <c r="T78" s="135">
        <f t="shared" si="108"/>
        <v>0</v>
      </c>
      <c r="U78" s="127">
        <f t="shared" si="109"/>
        <v>0</v>
      </c>
      <c r="V78" s="217">
        <v>0</v>
      </c>
      <c r="W78" s="191">
        <v>0</v>
      </c>
      <c r="X78" s="133">
        <v>0</v>
      </c>
      <c r="Y78" s="131">
        <f t="shared" si="110"/>
        <v>2438.5</v>
      </c>
      <c r="Z78" s="131">
        <f t="shared" si="111"/>
        <v>619.50392118264142</v>
      </c>
      <c r="AA78" s="242">
        <f t="shared" si="112"/>
        <v>3058.0039211826415</v>
      </c>
      <c r="AB78" s="131">
        <f t="shared" si="113"/>
        <v>0</v>
      </c>
      <c r="AC78" s="131">
        <f t="shared" si="114"/>
        <v>139.48055684730568</v>
      </c>
      <c r="AD78" s="131">
        <f t="shared" si="115"/>
        <v>0</v>
      </c>
      <c r="AE78" s="131">
        <f t="shared" si="116"/>
        <v>0</v>
      </c>
      <c r="AF78" s="131">
        <f t="shared" si="117"/>
        <v>75.260000000000005</v>
      </c>
      <c r="AG78" s="131">
        <f t="shared" si="118"/>
        <v>0</v>
      </c>
      <c r="AH78" s="131">
        <f t="shared" si="119"/>
        <v>0</v>
      </c>
      <c r="AI78" s="131">
        <f t="shared" si="120"/>
        <v>0</v>
      </c>
      <c r="AJ78" s="131">
        <f t="shared" si="121"/>
        <v>0</v>
      </c>
      <c r="AK78" s="131"/>
      <c r="AL78" s="131">
        <f t="shared" si="122"/>
        <v>0</v>
      </c>
      <c r="AM78" s="131"/>
      <c r="AN78" s="243">
        <f t="shared" si="123"/>
        <v>0</v>
      </c>
      <c r="AO78" s="131">
        <f t="shared" si="124"/>
        <v>0</v>
      </c>
      <c r="AP78" s="131">
        <f t="shared" si="125"/>
        <v>0</v>
      </c>
      <c r="AQ78" s="131"/>
      <c r="AR78" s="131">
        <f t="shared" si="126"/>
        <v>0</v>
      </c>
      <c r="AS78" s="131">
        <f t="shared" si="172"/>
        <v>0</v>
      </c>
      <c r="AT78" s="131">
        <f t="shared" si="127"/>
        <v>0</v>
      </c>
      <c r="AU78" s="131">
        <f t="shared" si="128"/>
        <v>0</v>
      </c>
      <c r="AV78" s="131"/>
      <c r="AW78" s="131">
        <f t="shared" si="129"/>
        <v>353.75</v>
      </c>
      <c r="AX78" s="131">
        <f t="shared" si="103"/>
        <v>0</v>
      </c>
      <c r="AY78" s="131">
        <f t="shared" si="130"/>
        <v>0</v>
      </c>
      <c r="AZ78" s="131"/>
      <c r="BA78" s="131">
        <f t="shared" si="104"/>
        <v>0</v>
      </c>
      <c r="BB78" s="131"/>
      <c r="BC78" s="131"/>
      <c r="BD78" s="131">
        <f t="shared" si="131"/>
        <v>0</v>
      </c>
      <c r="BE78" s="131"/>
      <c r="BF78" s="131">
        <f t="shared" si="173"/>
        <v>0</v>
      </c>
      <c r="BG78" s="131">
        <f t="shared" si="174"/>
        <v>0</v>
      </c>
      <c r="BH78" s="131"/>
      <c r="BI78" s="131"/>
      <c r="BJ78" s="131"/>
      <c r="BK78" s="131">
        <f t="shared" si="175"/>
        <v>0</v>
      </c>
      <c r="BL78" s="131"/>
      <c r="BM78" s="131"/>
      <c r="BN78" s="131">
        <f t="shared" si="176"/>
        <v>0</v>
      </c>
      <c r="BO78" s="131"/>
      <c r="BP78" s="131">
        <f t="shared" si="177"/>
        <v>0</v>
      </c>
      <c r="BQ78" s="131"/>
      <c r="BR78" s="131"/>
      <c r="BS78" s="131"/>
      <c r="BT78" s="131"/>
      <c r="BU78" s="131"/>
      <c r="BV78" s="131">
        <f t="shared" si="178"/>
        <v>0</v>
      </c>
      <c r="BW78" s="131"/>
      <c r="BX78" s="131"/>
      <c r="BY78" s="131"/>
      <c r="BZ78" s="131">
        <f t="shared" si="179"/>
        <v>0</v>
      </c>
      <c r="CA78" s="131"/>
      <c r="CB78" s="136">
        <f t="shared" si="132"/>
        <v>165.08663357180151</v>
      </c>
      <c r="CC78" s="131">
        <f t="shared" si="133"/>
        <v>0</v>
      </c>
      <c r="CD78" s="136">
        <f t="shared" si="134"/>
        <v>0</v>
      </c>
      <c r="CE78" s="131">
        <f t="shared" si="102"/>
        <v>0</v>
      </c>
      <c r="CF78" s="136">
        <f t="shared" si="135"/>
        <v>0</v>
      </c>
      <c r="CG78" s="136"/>
      <c r="CH78" s="136">
        <f t="shared" ref="CH78:CH141" si="181">IF(A78=0," ",+CH77)</f>
        <v>0</v>
      </c>
      <c r="CI78" s="131">
        <f t="shared" si="136"/>
        <v>0</v>
      </c>
      <c r="CJ78" s="131"/>
      <c r="CK78" s="136">
        <f t="shared" si="137"/>
        <v>0</v>
      </c>
      <c r="CL78" s="136">
        <f t="shared" si="138"/>
        <v>0</v>
      </c>
      <c r="CM78" s="131">
        <f t="shared" si="139"/>
        <v>0</v>
      </c>
      <c r="CN78" s="136">
        <f t="shared" si="140"/>
        <v>0</v>
      </c>
      <c r="CO78" s="136">
        <f t="shared" si="141"/>
        <v>0</v>
      </c>
      <c r="CP78" s="136">
        <f t="shared" si="142"/>
        <v>0</v>
      </c>
      <c r="CQ78" s="136"/>
      <c r="CR78" s="136">
        <f t="shared" si="143"/>
        <v>0</v>
      </c>
      <c r="CS78" s="136"/>
      <c r="CT78" s="136"/>
      <c r="CU78" s="136"/>
      <c r="CV78" s="136"/>
      <c r="CW78" s="136"/>
      <c r="CX78" s="136"/>
      <c r="CY78" s="136"/>
      <c r="CZ78" s="136">
        <f t="shared" si="144"/>
        <v>0</v>
      </c>
      <c r="DA78" s="136">
        <f t="shared" si="145"/>
        <v>0</v>
      </c>
      <c r="DB78" s="136">
        <f t="shared" si="146"/>
        <v>0</v>
      </c>
      <c r="DC78" s="131">
        <f t="shared" si="105"/>
        <v>0</v>
      </c>
      <c r="DD78" s="131">
        <f t="shared" si="147"/>
        <v>0</v>
      </c>
      <c r="DE78" s="131">
        <f t="shared" si="148"/>
        <v>0</v>
      </c>
      <c r="DF78" s="131">
        <f t="shared" si="149"/>
        <v>0</v>
      </c>
      <c r="DG78" s="131">
        <f t="shared" si="150"/>
        <v>0</v>
      </c>
      <c r="DH78" s="131"/>
      <c r="DI78" s="131"/>
      <c r="DJ78" s="131"/>
      <c r="DK78" s="137">
        <f t="shared" si="180"/>
        <v>3791.5811116017489</v>
      </c>
      <c r="DL78" s="227" t="e">
        <f t="shared" si="151"/>
        <v>#REF!</v>
      </c>
      <c r="DM78" s="227" t="e">
        <f t="shared" si="152"/>
        <v>#REF!</v>
      </c>
      <c r="DN78" s="228" t="e">
        <f t="shared" si="106"/>
        <v>#REF!</v>
      </c>
      <c r="DO78" s="228">
        <f t="shared" si="153"/>
        <v>181.81087083894022</v>
      </c>
      <c r="DP78" s="228" t="e">
        <f t="shared" si="154"/>
        <v>#REF!</v>
      </c>
      <c r="DQ78" s="228" t="e">
        <f t="shared" si="155"/>
        <v>#REF!</v>
      </c>
    </row>
    <row r="79" spans="1:121">
      <c r="A79" s="132">
        <f t="shared" si="107"/>
        <v>69</v>
      </c>
      <c r="B79" s="18">
        <f t="shared" si="156"/>
        <v>69</v>
      </c>
      <c r="C79" s="18">
        <f>IF(A79=0," ",VLOOKUP(B79,'tosafot '!$A$7:$B$234,2,0))</f>
        <v>9.2012999999999998</v>
      </c>
      <c r="D79" s="220">
        <f t="shared" si="157"/>
        <v>228</v>
      </c>
      <c r="E79" s="130">
        <f t="shared" si="158"/>
        <v>12.2026</v>
      </c>
      <c r="F79" s="126">
        <f t="shared" si="159"/>
        <v>9</v>
      </c>
      <c r="G79" s="18" t="str">
        <f t="shared" si="160"/>
        <v>הבריאות</v>
      </c>
      <c r="H79" s="189">
        <f t="shared" si="161"/>
        <v>107</v>
      </c>
      <c r="I79" s="18">
        <f t="shared" si="162"/>
        <v>1</v>
      </c>
      <c r="J79" s="18" t="str">
        <f t="shared" si="163"/>
        <v>מינהלי - עובדי מדינה</v>
      </c>
      <c r="K79" s="189">
        <f t="shared" si="164"/>
        <v>1</v>
      </c>
      <c r="L79" s="18">
        <f t="shared" si="165"/>
        <v>12</v>
      </c>
      <c r="M79" s="129" t="str">
        <f t="shared" si="166"/>
        <v>17+</v>
      </c>
      <c r="N79" s="189"/>
      <c r="O79" s="132">
        <f t="shared" si="167"/>
        <v>1012</v>
      </c>
      <c r="P79" s="127">
        <f t="shared" si="168"/>
        <v>37</v>
      </c>
      <c r="Q79" s="127">
        <f t="shared" si="169"/>
        <v>22.75</v>
      </c>
      <c r="R79" s="128">
        <f t="shared" si="170"/>
        <v>92</v>
      </c>
      <c r="S79" s="130">
        <f t="shared" si="171"/>
        <v>1.2540512286990533</v>
      </c>
      <c r="T79" s="135">
        <f t="shared" si="108"/>
        <v>0</v>
      </c>
      <c r="U79" s="127">
        <f t="shared" si="109"/>
        <v>0</v>
      </c>
      <c r="V79" s="217">
        <v>0</v>
      </c>
      <c r="W79" s="191">
        <v>0</v>
      </c>
      <c r="X79" s="133">
        <v>0</v>
      </c>
      <c r="Y79" s="131">
        <f t="shared" si="110"/>
        <v>2438.5</v>
      </c>
      <c r="Z79" s="131">
        <f t="shared" si="111"/>
        <v>619.50392118264142</v>
      </c>
      <c r="AA79" s="242">
        <f t="shared" si="112"/>
        <v>3058.0039211826415</v>
      </c>
      <c r="AB79" s="131">
        <f t="shared" si="113"/>
        <v>0</v>
      </c>
      <c r="AC79" s="131">
        <f t="shared" si="114"/>
        <v>139.48055684730568</v>
      </c>
      <c r="AD79" s="131">
        <f t="shared" si="115"/>
        <v>0</v>
      </c>
      <c r="AE79" s="131">
        <f t="shared" si="116"/>
        <v>0</v>
      </c>
      <c r="AF79" s="131">
        <f t="shared" si="117"/>
        <v>75.260000000000005</v>
      </c>
      <c r="AG79" s="131">
        <f t="shared" si="118"/>
        <v>0</v>
      </c>
      <c r="AH79" s="131">
        <f t="shared" si="119"/>
        <v>0</v>
      </c>
      <c r="AI79" s="131">
        <f t="shared" si="120"/>
        <v>0</v>
      </c>
      <c r="AJ79" s="131">
        <f t="shared" si="121"/>
        <v>0</v>
      </c>
      <c r="AK79" s="131"/>
      <c r="AL79" s="131">
        <f t="shared" si="122"/>
        <v>0</v>
      </c>
      <c r="AM79" s="131"/>
      <c r="AN79" s="243">
        <f t="shared" si="123"/>
        <v>0</v>
      </c>
      <c r="AO79" s="131">
        <f t="shared" si="124"/>
        <v>0</v>
      </c>
      <c r="AP79" s="131">
        <f t="shared" si="125"/>
        <v>0</v>
      </c>
      <c r="AQ79" s="131"/>
      <c r="AR79" s="131">
        <f t="shared" si="126"/>
        <v>0</v>
      </c>
      <c r="AS79" s="131">
        <f t="shared" si="172"/>
        <v>0</v>
      </c>
      <c r="AT79" s="131">
        <f t="shared" si="127"/>
        <v>0</v>
      </c>
      <c r="AU79" s="131">
        <f t="shared" si="128"/>
        <v>0</v>
      </c>
      <c r="AV79" s="131"/>
      <c r="AW79" s="131">
        <f t="shared" si="129"/>
        <v>353.75</v>
      </c>
      <c r="AX79" s="131">
        <f t="shared" si="103"/>
        <v>0</v>
      </c>
      <c r="AY79" s="131">
        <f t="shared" si="130"/>
        <v>0</v>
      </c>
      <c r="AZ79" s="131"/>
      <c r="BA79" s="131">
        <f t="shared" si="104"/>
        <v>0</v>
      </c>
      <c r="BB79" s="131"/>
      <c r="BC79" s="131"/>
      <c r="BD79" s="131">
        <f t="shared" si="131"/>
        <v>0</v>
      </c>
      <c r="BE79" s="131"/>
      <c r="BF79" s="131">
        <f t="shared" si="173"/>
        <v>0</v>
      </c>
      <c r="BG79" s="131">
        <f t="shared" si="174"/>
        <v>0</v>
      </c>
      <c r="BH79" s="131"/>
      <c r="BI79" s="131"/>
      <c r="BJ79" s="131"/>
      <c r="BK79" s="131">
        <f t="shared" si="175"/>
        <v>0</v>
      </c>
      <c r="BL79" s="131"/>
      <c r="BM79" s="131"/>
      <c r="BN79" s="131">
        <f t="shared" si="176"/>
        <v>0</v>
      </c>
      <c r="BO79" s="131"/>
      <c r="BP79" s="131">
        <f t="shared" si="177"/>
        <v>0</v>
      </c>
      <c r="BQ79" s="131"/>
      <c r="BR79" s="131"/>
      <c r="BS79" s="131"/>
      <c r="BT79" s="131"/>
      <c r="BU79" s="131"/>
      <c r="BV79" s="131">
        <f t="shared" si="178"/>
        <v>0</v>
      </c>
      <c r="BW79" s="131"/>
      <c r="BX79" s="131"/>
      <c r="BY79" s="131"/>
      <c r="BZ79" s="131">
        <f t="shared" si="179"/>
        <v>0</v>
      </c>
      <c r="CA79" s="131"/>
      <c r="CB79" s="136">
        <f t="shared" si="132"/>
        <v>165.08663357180151</v>
      </c>
      <c r="CC79" s="131">
        <f t="shared" si="133"/>
        <v>0</v>
      </c>
      <c r="CD79" s="136">
        <f t="shared" si="134"/>
        <v>0</v>
      </c>
      <c r="CE79" s="131">
        <f t="shared" si="102"/>
        <v>0</v>
      </c>
      <c r="CF79" s="136">
        <f t="shared" si="135"/>
        <v>0</v>
      </c>
      <c r="CG79" s="136"/>
      <c r="CH79" s="136">
        <f t="shared" si="181"/>
        <v>0</v>
      </c>
      <c r="CI79" s="131">
        <f t="shared" si="136"/>
        <v>0</v>
      </c>
      <c r="CJ79" s="131"/>
      <c r="CK79" s="136">
        <f t="shared" si="137"/>
        <v>0</v>
      </c>
      <c r="CL79" s="136">
        <f t="shared" si="138"/>
        <v>0</v>
      </c>
      <c r="CM79" s="131">
        <f t="shared" si="139"/>
        <v>0</v>
      </c>
      <c r="CN79" s="136">
        <f t="shared" si="140"/>
        <v>0</v>
      </c>
      <c r="CO79" s="136">
        <f t="shared" si="141"/>
        <v>0</v>
      </c>
      <c r="CP79" s="136">
        <f t="shared" si="142"/>
        <v>0</v>
      </c>
      <c r="CQ79" s="136"/>
      <c r="CR79" s="136">
        <f t="shared" si="143"/>
        <v>0</v>
      </c>
      <c r="CS79" s="136"/>
      <c r="CT79" s="136"/>
      <c r="CU79" s="136"/>
      <c r="CV79" s="136"/>
      <c r="CW79" s="136"/>
      <c r="CX79" s="136"/>
      <c r="CY79" s="136"/>
      <c r="CZ79" s="136">
        <f t="shared" si="144"/>
        <v>0</v>
      </c>
      <c r="DA79" s="136">
        <f t="shared" si="145"/>
        <v>0</v>
      </c>
      <c r="DB79" s="136">
        <f t="shared" si="146"/>
        <v>0</v>
      </c>
      <c r="DC79" s="131">
        <f t="shared" si="105"/>
        <v>0</v>
      </c>
      <c r="DD79" s="131">
        <f t="shared" si="147"/>
        <v>0</v>
      </c>
      <c r="DE79" s="131">
        <f t="shared" si="148"/>
        <v>0</v>
      </c>
      <c r="DF79" s="131">
        <f t="shared" si="149"/>
        <v>0</v>
      </c>
      <c r="DG79" s="131">
        <f t="shared" si="150"/>
        <v>0</v>
      </c>
      <c r="DH79" s="131"/>
      <c r="DI79" s="131"/>
      <c r="DJ79" s="131"/>
      <c r="DK79" s="137">
        <f t="shared" si="180"/>
        <v>3791.5811116017489</v>
      </c>
      <c r="DL79" s="227" t="e">
        <f t="shared" si="151"/>
        <v>#REF!</v>
      </c>
      <c r="DM79" s="227" t="e">
        <f t="shared" si="152"/>
        <v>#REF!</v>
      </c>
      <c r="DN79" s="228" t="e">
        <f t="shared" si="106"/>
        <v>#REF!</v>
      </c>
      <c r="DO79" s="228">
        <f t="shared" si="153"/>
        <v>181.81087083894022</v>
      </c>
      <c r="DP79" s="228" t="e">
        <f t="shared" si="154"/>
        <v>#REF!</v>
      </c>
      <c r="DQ79" s="228" t="e">
        <f t="shared" si="155"/>
        <v>#REF!</v>
      </c>
    </row>
    <row r="80" spans="1:121">
      <c r="A80" s="132">
        <f t="shared" si="107"/>
        <v>70</v>
      </c>
      <c r="B80" s="18">
        <f t="shared" si="156"/>
        <v>70</v>
      </c>
      <c r="C80" s="18">
        <f>IF(A80=0," ",VLOOKUP(B80,'tosafot '!$A$7:$B$234,2,0))</f>
        <v>10.2013</v>
      </c>
      <c r="D80" s="220">
        <f t="shared" si="157"/>
        <v>228</v>
      </c>
      <c r="E80" s="130">
        <f t="shared" si="158"/>
        <v>12.2026</v>
      </c>
      <c r="F80" s="126">
        <f t="shared" si="159"/>
        <v>9</v>
      </c>
      <c r="G80" s="18" t="str">
        <f t="shared" si="160"/>
        <v>הבריאות</v>
      </c>
      <c r="H80" s="189">
        <f t="shared" si="161"/>
        <v>107</v>
      </c>
      <c r="I80" s="18">
        <f t="shared" si="162"/>
        <v>1</v>
      </c>
      <c r="J80" s="18" t="str">
        <f t="shared" si="163"/>
        <v>מינהלי - עובדי מדינה</v>
      </c>
      <c r="K80" s="189">
        <f t="shared" si="164"/>
        <v>1</v>
      </c>
      <c r="L80" s="18">
        <f t="shared" si="165"/>
        <v>12</v>
      </c>
      <c r="M80" s="129" t="str">
        <f t="shared" si="166"/>
        <v>17+</v>
      </c>
      <c r="N80" s="189"/>
      <c r="O80" s="132">
        <f t="shared" si="167"/>
        <v>1012</v>
      </c>
      <c r="P80" s="127">
        <f t="shared" si="168"/>
        <v>37</v>
      </c>
      <c r="Q80" s="127">
        <f t="shared" si="169"/>
        <v>22.75</v>
      </c>
      <c r="R80" s="128">
        <f t="shared" si="170"/>
        <v>92</v>
      </c>
      <c r="S80" s="130">
        <f t="shared" si="171"/>
        <v>1.2540512286990533</v>
      </c>
      <c r="T80" s="135">
        <f t="shared" si="108"/>
        <v>0</v>
      </c>
      <c r="U80" s="127">
        <f t="shared" si="109"/>
        <v>0</v>
      </c>
      <c r="V80" s="217">
        <v>0</v>
      </c>
      <c r="W80" s="191">
        <v>0</v>
      </c>
      <c r="X80" s="133">
        <v>0</v>
      </c>
      <c r="Y80" s="131">
        <f t="shared" si="110"/>
        <v>2438.5</v>
      </c>
      <c r="Z80" s="131">
        <f t="shared" si="111"/>
        <v>619.50392118264142</v>
      </c>
      <c r="AA80" s="242">
        <f t="shared" si="112"/>
        <v>3058.0039211826415</v>
      </c>
      <c r="AB80" s="131">
        <f t="shared" si="113"/>
        <v>0</v>
      </c>
      <c r="AC80" s="131">
        <f t="shared" si="114"/>
        <v>139.48055684730568</v>
      </c>
      <c r="AD80" s="131">
        <f t="shared" si="115"/>
        <v>0</v>
      </c>
      <c r="AE80" s="131">
        <f t="shared" si="116"/>
        <v>0</v>
      </c>
      <c r="AF80" s="131">
        <f t="shared" si="117"/>
        <v>75.260000000000005</v>
      </c>
      <c r="AG80" s="131">
        <f t="shared" si="118"/>
        <v>0</v>
      </c>
      <c r="AH80" s="131">
        <f t="shared" si="119"/>
        <v>0</v>
      </c>
      <c r="AI80" s="131">
        <f t="shared" si="120"/>
        <v>0</v>
      </c>
      <c r="AJ80" s="131">
        <f t="shared" si="121"/>
        <v>0</v>
      </c>
      <c r="AK80" s="131"/>
      <c r="AL80" s="131">
        <f t="shared" si="122"/>
        <v>0</v>
      </c>
      <c r="AM80" s="131"/>
      <c r="AN80" s="243">
        <f t="shared" si="123"/>
        <v>0</v>
      </c>
      <c r="AO80" s="131">
        <f t="shared" si="124"/>
        <v>0</v>
      </c>
      <c r="AP80" s="131">
        <f t="shared" si="125"/>
        <v>0</v>
      </c>
      <c r="AQ80" s="131"/>
      <c r="AR80" s="131">
        <f t="shared" si="126"/>
        <v>0</v>
      </c>
      <c r="AS80" s="131">
        <f t="shared" si="172"/>
        <v>0</v>
      </c>
      <c r="AT80" s="131">
        <f t="shared" si="127"/>
        <v>0</v>
      </c>
      <c r="AU80" s="131">
        <f t="shared" si="128"/>
        <v>0</v>
      </c>
      <c r="AV80" s="131"/>
      <c r="AW80" s="131">
        <f t="shared" si="129"/>
        <v>353.75</v>
      </c>
      <c r="AX80" s="131">
        <f t="shared" si="103"/>
        <v>0</v>
      </c>
      <c r="AY80" s="131">
        <f t="shared" si="130"/>
        <v>0</v>
      </c>
      <c r="AZ80" s="131"/>
      <c r="BA80" s="131">
        <f t="shared" si="104"/>
        <v>0</v>
      </c>
      <c r="BB80" s="131"/>
      <c r="BC80" s="131"/>
      <c r="BD80" s="131">
        <f t="shared" si="131"/>
        <v>0</v>
      </c>
      <c r="BE80" s="131"/>
      <c r="BF80" s="131">
        <f t="shared" si="173"/>
        <v>0</v>
      </c>
      <c r="BG80" s="131">
        <f t="shared" si="174"/>
        <v>0</v>
      </c>
      <c r="BH80" s="131"/>
      <c r="BI80" s="131"/>
      <c r="BJ80" s="131"/>
      <c r="BK80" s="131">
        <f t="shared" si="175"/>
        <v>0</v>
      </c>
      <c r="BL80" s="131"/>
      <c r="BM80" s="131"/>
      <c r="BN80" s="131">
        <f t="shared" si="176"/>
        <v>0</v>
      </c>
      <c r="BO80" s="131"/>
      <c r="BP80" s="131">
        <f t="shared" si="177"/>
        <v>0</v>
      </c>
      <c r="BQ80" s="131"/>
      <c r="BR80" s="131"/>
      <c r="BS80" s="131"/>
      <c r="BT80" s="131"/>
      <c r="BU80" s="131"/>
      <c r="BV80" s="131">
        <f t="shared" si="178"/>
        <v>0</v>
      </c>
      <c r="BW80" s="131"/>
      <c r="BX80" s="131"/>
      <c r="BY80" s="131"/>
      <c r="BZ80" s="131">
        <f t="shared" si="179"/>
        <v>0</v>
      </c>
      <c r="CA80" s="131"/>
      <c r="CB80" s="136">
        <f t="shared" si="132"/>
        <v>165.08663357180151</v>
      </c>
      <c r="CC80" s="131">
        <f t="shared" si="133"/>
        <v>0</v>
      </c>
      <c r="CD80" s="136">
        <f t="shared" si="134"/>
        <v>0</v>
      </c>
      <c r="CE80" s="131">
        <f t="shared" si="102"/>
        <v>0</v>
      </c>
      <c r="CF80" s="136">
        <f t="shared" si="135"/>
        <v>0</v>
      </c>
      <c r="CG80" s="136"/>
      <c r="CH80" s="136">
        <f t="shared" si="181"/>
        <v>0</v>
      </c>
      <c r="CI80" s="131">
        <f t="shared" si="136"/>
        <v>0</v>
      </c>
      <c r="CJ80" s="131"/>
      <c r="CK80" s="136">
        <f t="shared" si="137"/>
        <v>0</v>
      </c>
      <c r="CL80" s="136">
        <f t="shared" si="138"/>
        <v>0</v>
      </c>
      <c r="CM80" s="131">
        <f t="shared" si="139"/>
        <v>0</v>
      </c>
      <c r="CN80" s="136">
        <f t="shared" si="140"/>
        <v>0</v>
      </c>
      <c r="CO80" s="136">
        <f t="shared" si="141"/>
        <v>0</v>
      </c>
      <c r="CP80" s="136">
        <f t="shared" si="142"/>
        <v>0</v>
      </c>
      <c r="CQ80" s="136"/>
      <c r="CR80" s="136">
        <f t="shared" si="143"/>
        <v>0</v>
      </c>
      <c r="CS80" s="136"/>
      <c r="CT80" s="136"/>
      <c r="CU80" s="136"/>
      <c r="CV80" s="136"/>
      <c r="CW80" s="136"/>
      <c r="CX80" s="136"/>
      <c r="CY80" s="136"/>
      <c r="CZ80" s="136">
        <f t="shared" si="144"/>
        <v>0</v>
      </c>
      <c r="DA80" s="136">
        <f t="shared" si="145"/>
        <v>0</v>
      </c>
      <c r="DB80" s="136">
        <f t="shared" si="146"/>
        <v>0</v>
      </c>
      <c r="DC80" s="131">
        <f t="shared" si="105"/>
        <v>0</v>
      </c>
      <c r="DD80" s="131">
        <f t="shared" si="147"/>
        <v>0</v>
      </c>
      <c r="DE80" s="131">
        <f t="shared" si="148"/>
        <v>0</v>
      </c>
      <c r="DF80" s="131">
        <f t="shared" si="149"/>
        <v>0</v>
      </c>
      <c r="DG80" s="131">
        <f t="shared" si="150"/>
        <v>0</v>
      </c>
      <c r="DH80" s="131"/>
      <c r="DI80" s="131"/>
      <c r="DJ80" s="131"/>
      <c r="DK80" s="137">
        <f t="shared" si="180"/>
        <v>3791.5811116017489</v>
      </c>
      <c r="DL80" s="227" t="e">
        <f t="shared" si="151"/>
        <v>#REF!</v>
      </c>
      <c r="DM80" s="227" t="e">
        <f t="shared" si="152"/>
        <v>#REF!</v>
      </c>
      <c r="DN80" s="228" t="e">
        <f t="shared" si="106"/>
        <v>#REF!</v>
      </c>
      <c r="DO80" s="228">
        <f t="shared" si="153"/>
        <v>181.81087083894022</v>
      </c>
      <c r="DP80" s="228" t="e">
        <f t="shared" si="154"/>
        <v>#REF!</v>
      </c>
      <c r="DQ80" s="228" t="e">
        <f t="shared" si="155"/>
        <v>#REF!</v>
      </c>
    </row>
    <row r="81" spans="1:121">
      <c r="A81" s="132">
        <f t="shared" si="107"/>
        <v>71</v>
      </c>
      <c r="B81" s="18">
        <f t="shared" si="156"/>
        <v>71</v>
      </c>
      <c r="C81" s="18">
        <f>IF(A81=0," ",VLOOKUP(B81,'tosafot '!$A$7:$B$234,2,0))</f>
        <v>11.2013</v>
      </c>
      <c r="D81" s="220">
        <f t="shared" si="157"/>
        <v>228</v>
      </c>
      <c r="E81" s="130">
        <f t="shared" si="158"/>
        <v>12.2026</v>
      </c>
      <c r="F81" s="126">
        <f t="shared" si="159"/>
        <v>9</v>
      </c>
      <c r="G81" s="18" t="str">
        <f t="shared" si="160"/>
        <v>הבריאות</v>
      </c>
      <c r="H81" s="189">
        <f t="shared" si="161"/>
        <v>107</v>
      </c>
      <c r="I81" s="18">
        <f t="shared" si="162"/>
        <v>1</v>
      </c>
      <c r="J81" s="18" t="str">
        <f t="shared" si="163"/>
        <v>מינהלי - עובדי מדינה</v>
      </c>
      <c r="K81" s="189">
        <f t="shared" si="164"/>
        <v>1</v>
      </c>
      <c r="L81" s="18">
        <f t="shared" si="165"/>
        <v>12</v>
      </c>
      <c r="M81" s="129" t="str">
        <f t="shared" si="166"/>
        <v>17+</v>
      </c>
      <c r="N81" s="189"/>
      <c r="O81" s="132">
        <f t="shared" si="167"/>
        <v>1012</v>
      </c>
      <c r="P81" s="127">
        <f t="shared" si="168"/>
        <v>37</v>
      </c>
      <c r="Q81" s="127">
        <f t="shared" si="169"/>
        <v>22.75</v>
      </c>
      <c r="R81" s="128">
        <f t="shared" si="170"/>
        <v>92</v>
      </c>
      <c r="S81" s="130">
        <f t="shared" si="171"/>
        <v>1.2540512286990533</v>
      </c>
      <c r="T81" s="135">
        <f t="shared" si="108"/>
        <v>0</v>
      </c>
      <c r="U81" s="127">
        <f t="shared" si="109"/>
        <v>0</v>
      </c>
      <c r="V81" s="217">
        <v>0</v>
      </c>
      <c r="W81" s="191">
        <v>0</v>
      </c>
      <c r="X81" s="133">
        <v>0</v>
      </c>
      <c r="Y81" s="131">
        <f t="shared" si="110"/>
        <v>2438.5</v>
      </c>
      <c r="Z81" s="131">
        <f t="shared" si="111"/>
        <v>619.50392118264142</v>
      </c>
      <c r="AA81" s="242">
        <f t="shared" si="112"/>
        <v>3058.0039211826415</v>
      </c>
      <c r="AB81" s="131">
        <f t="shared" si="113"/>
        <v>0</v>
      </c>
      <c r="AC81" s="131">
        <f t="shared" si="114"/>
        <v>139.48055684730568</v>
      </c>
      <c r="AD81" s="131">
        <f t="shared" si="115"/>
        <v>0</v>
      </c>
      <c r="AE81" s="131">
        <f t="shared" si="116"/>
        <v>0</v>
      </c>
      <c r="AF81" s="131">
        <f t="shared" si="117"/>
        <v>75.260000000000005</v>
      </c>
      <c r="AG81" s="131">
        <f t="shared" si="118"/>
        <v>0</v>
      </c>
      <c r="AH81" s="131">
        <f t="shared" si="119"/>
        <v>0</v>
      </c>
      <c r="AI81" s="131">
        <f t="shared" si="120"/>
        <v>0</v>
      </c>
      <c r="AJ81" s="131">
        <f t="shared" si="121"/>
        <v>0</v>
      </c>
      <c r="AK81" s="131"/>
      <c r="AL81" s="131">
        <f t="shared" si="122"/>
        <v>0</v>
      </c>
      <c r="AM81" s="131"/>
      <c r="AN81" s="243">
        <f t="shared" si="123"/>
        <v>0</v>
      </c>
      <c r="AO81" s="131">
        <f t="shared" si="124"/>
        <v>0</v>
      </c>
      <c r="AP81" s="131">
        <f t="shared" si="125"/>
        <v>0</v>
      </c>
      <c r="AQ81" s="131"/>
      <c r="AR81" s="131">
        <f t="shared" si="126"/>
        <v>0</v>
      </c>
      <c r="AS81" s="131">
        <f t="shared" si="172"/>
        <v>0</v>
      </c>
      <c r="AT81" s="131">
        <f t="shared" si="127"/>
        <v>0</v>
      </c>
      <c r="AU81" s="131">
        <f t="shared" si="128"/>
        <v>0</v>
      </c>
      <c r="AV81" s="131"/>
      <c r="AW81" s="131">
        <f t="shared" si="129"/>
        <v>353.75</v>
      </c>
      <c r="AX81" s="131">
        <f t="shared" si="103"/>
        <v>0</v>
      </c>
      <c r="AY81" s="131">
        <f t="shared" si="130"/>
        <v>0</v>
      </c>
      <c r="AZ81" s="131"/>
      <c r="BA81" s="131">
        <f t="shared" si="104"/>
        <v>0</v>
      </c>
      <c r="BB81" s="131"/>
      <c r="BC81" s="131"/>
      <c r="BD81" s="131">
        <f t="shared" si="131"/>
        <v>0</v>
      </c>
      <c r="BE81" s="131"/>
      <c r="BF81" s="131">
        <f t="shared" si="173"/>
        <v>0</v>
      </c>
      <c r="BG81" s="131">
        <f t="shared" si="174"/>
        <v>0</v>
      </c>
      <c r="BH81" s="131"/>
      <c r="BI81" s="131"/>
      <c r="BJ81" s="131"/>
      <c r="BK81" s="131">
        <f t="shared" si="175"/>
        <v>0</v>
      </c>
      <c r="BL81" s="131"/>
      <c r="BM81" s="131"/>
      <c r="BN81" s="131">
        <f t="shared" si="176"/>
        <v>0</v>
      </c>
      <c r="BO81" s="131"/>
      <c r="BP81" s="131">
        <f t="shared" si="177"/>
        <v>0</v>
      </c>
      <c r="BQ81" s="131"/>
      <c r="BR81" s="131"/>
      <c r="BS81" s="131"/>
      <c r="BT81" s="131"/>
      <c r="BU81" s="131"/>
      <c r="BV81" s="131">
        <f t="shared" si="178"/>
        <v>0</v>
      </c>
      <c r="BW81" s="131"/>
      <c r="BX81" s="131"/>
      <c r="BY81" s="131"/>
      <c r="BZ81" s="131">
        <f t="shared" si="179"/>
        <v>0</v>
      </c>
      <c r="CA81" s="131"/>
      <c r="CB81" s="136">
        <f t="shared" si="132"/>
        <v>165.08663357180151</v>
      </c>
      <c r="CC81" s="131">
        <f t="shared" si="133"/>
        <v>0</v>
      </c>
      <c r="CD81" s="136">
        <f t="shared" si="134"/>
        <v>0</v>
      </c>
      <c r="CE81" s="131">
        <f t="shared" ref="CE81:CE144" si="182">IF(A81=0," ",CE80)</f>
        <v>0</v>
      </c>
      <c r="CF81" s="136">
        <f t="shared" si="135"/>
        <v>0</v>
      </c>
      <c r="CG81" s="136"/>
      <c r="CH81" s="136">
        <f t="shared" si="181"/>
        <v>0</v>
      </c>
      <c r="CI81" s="131">
        <f t="shared" si="136"/>
        <v>0</v>
      </c>
      <c r="CJ81" s="131"/>
      <c r="CK81" s="136">
        <f t="shared" si="137"/>
        <v>0</v>
      </c>
      <c r="CL81" s="136">
        <f t="shared" si="138"/>
        <v>0</v>
      </c>
      <c r="CM81" s="131">
        <f t="shared" si="139"/>
        <v>0</v>
      </c>
      <c r="CN81" s="136">
        <f t="shared" si="140"/>
        <v>0</v>
      </c>
      <c r="CO81" s="136">
        <f t="shared" si="141"/>
        <v>0</v>
      </c>
      <c r="CP81" s="136">
        <f t="shared" si="142"/>
        <v>0</v>
      </c>
      <c r="CQ81" s="136"/>
      <c r="CR81" s="136">
        <f t="shared" si="143"/>
        <v>0</v>
      </c>
      <c r="CS81" s="136"/>
      <c r="CT81" s="136"/>
      <c r="CU81" s="136"/>
      <c r="CV81" s="136"/>
      <c r="CW81" s="136"/>
      <c r="CX81" s="136"/>
      <c r="CY81" s="136"/>
      <c r="CZ81" s="136">
        <f t="shared" si="144"/>
        <v>0</v>
      </c>
      <c r="DA81" s="136">
        <f t="shared" si="145"/>
        <v>0</v>
      </c>
      <c r="DB81" s="136">
        <f t="shared" si="146"/>
        <v>0</v>
      </c>
      <c r="DC81" s="131">
        <f t="shared" si="105"/>
        <v>0</v>
      </c>
      <c r="DD81" s="131">
        <f t="shared" si="147"/>
        <v>0</v>
      </c>
      <c r="DE81" s="131">
        <f t="shared" si="148"/>
        <v>0</v>
      </c>
      <c r="DF81" s="131">
        <f t="shared" si="149"/>
        <v>0</v>
      </c>
      <c r="DG81" s="131">
        <f t="shared" si="150"/>
        <v>0</v>
      </c>
      <c r="DH81" s="131"/>
      <c r="DI81" s="131"/>
      <c r="DJ81" s="131"/>
      <c r="DK81" s="137">
        <f t="shared" si="180"/>
        <v>3791.5811116017489</v>
      </c>
      <c r="DL81" s="227" t="e">
        <f t="shared" si="151"/>
        <v>#REF!</v>
      </c>
      <c r="DM81" s="227" t="e">
        <f t="shared" si="152"/>
        <v>#REF!</v>
      </c>
      <c r="DN81" s="228" t="e">
        <f t="shared" si="106"/>
        <v>#REF!</v>
      </c>
      <c r="DO81" s="228">
        <f t="shared" si="153"/>
        <v>181.81087083894022</v>
      </c>
      <c r="DP81" s="228" t="e">
        <f t="shared" si="154"/>
        <v>#REF!</v>
      </c>
      <c r="DQ81" s="228" t="e">
        <f t="shared" si="155"/>
        <v>#REF!</v>
      </c>
    </row>
    <row r="82" spans="1:121">
      <c r="A82" s="132">
        <f t="shared" si="107"/>
        <v>72</v>
      </c>
      <c r="B82" s="18">
        <f t="shared" si="156"/>
        <v>72</v>
      </c>
      <c r="C82" s="18">
        <f>IF(A82=0," ",VLOOKUP(B82,'tosafot '!$A$7:$B$234,2,0))</f>
        <v>12.2013</v>
      </c>
      <c r="D82" s="220">
        <f t="shared" si="157"/>
        <v>228</v>
      </c>
      <c r="E82" s="130">
        <f t="shared" si="158"/>
        <v>12.2026</v>
      </c>
      <c r="F82" s="126">
        <f t="shared" si="159"/>
        <v>9</v>
      </c>
      <c r="G82" s="18" t="str">
        <f t="shared" si="160"/>
        <v>הבריאות</v>
      </c>
      <c r="H82" s="189">
        <f t="shared" si="161"/>
        <v>107</v>
      </c>
      <c r="I82" s="18">
        <f t="shared" si="162"/>
        <v>1</v>
      </c>
      <c r="J82" s="18" t="str">
        <f t="shared" si="163"/>
        <v>מינהלי - עובדי מדינה</v>
      </c>
      <c r="K82" s="189">
        <f t="shared" si="164"/>
        <v>1</v>
      </c>
      <c r="L82" s="18">
        <f t="shared" si="165"/>
        <v>12</v>
      </c>
      <c r="M82" s="129" t="str">
        <f t="shared" si="166"/>
        <v>17+</v>
      </c>
      <c r="N82" s="189"/>
      <c r="O82" s="132">
        <f t="shared" si="167"/>
        <v>1012</v>
      </c>
      <c r="P82" s="127">
        <f t="shared" si="168"/>
        <v>37</v>
      </c>
      <c r="Q82" s="127">
        <f t="shared" si="169"/>
        <v>22.75</v>
      </c>
      <c r="R82" s="128">
        <f t="shared" si="170"/>
        <v>92</v>
      </c>
      <c r="S82" s="130">
        <f t="shared" si="171"/>
        <v>1.2540512286990533</v>
      </c>
      <c r="T82" s="135">
        <f t="shared" si="108"/>
        <v>0</v>
      </c>
      <c r="U82" s="127">
        <f t="shared" si="109"/>
        <v>0</v>
      </c>
      <c r="V82" s="217">
        <v>0</v>
      </c>
      <c r="W82" s="191">
        <v>0</v>
      </c>
      <c r="X82" s="133">
        <v>0</v>
      </c>
      <c r="Y82" s="131">
        <f t="shared" si="110"/>
        <v>2438.5</v>
      </c>
      <c r="Z82" s="131">
        <f t="shared" si="111"/>
        <v>619.50392118264142</v>
      </c>
      <c r="AA82" s="242">
        <f t="shared" si="112"/>
        <v>3058.0039211826415</v>
      </c>
      <c r="AB82" s="131">
        <f t="shared" si="113"/>
        <v>0</v>
      </c>
      <c r="AC82" s="131">
        <f t="shared" si="114"/>
        <v>139.48055684730568</v>
      </c>
      <c r="AD82" s="131">
        <f t="shared" si="115"/>
        <v>0</v>
      </c>
      <c r="AE82" s="131">
        <f t="shared" si="116"/>
        <v>0</v>
      </c>
      <c r="AF82" s="131">
        <f t="shared" si="117"/>
        <v>75.260000000000005</v>
      </c>
      <c r="AG82" s="131">
        <f t="shared" si="118"/>
        <v>0</v>
      </c>
      <c r="AH82" s="131">
        <f t="shared" si="119"/>
        <v>0</v>
      </c>
      <c r="AI82" s="131">
        <f t="shared" si="120"/>
        <v>0</v>
      </c>
      <c r="AJ82" s="131">
        <f t="shared" si="121"/>
        <v>0</v>
      </c>
      <c r="AK82" s="131"/>
      <c r="AL82" s="131">
        <f t="shared" si="122"/>
        <v>0</v>
      </c>
      <c r="AM82" s="131"/>
      <c r="AN82" s="243">
        <f t="shared" si="123"/>
        <v>0</v>
      </c>
      <c r="AO82" s="131">
        <f t="shared" si="124"/>
        <v>0</v>
      </c>
      <c r="AP82" s="131">
        <f t="shared" si="125"/>
        <v>0</v>
      </c>
      <c r="AQ82" s="131"/>
      <c r="AR82" s="131">
        <f t="shared" si="126"/>
        <v>0</v>
      </c>
      <c r="AS82" s="131">
        <f t="shared" si="172"/>
        <v>0</v>
      </c>
      <c r="AT82" s="131">
        <f t="shared" si="127"/>
        <v>0</v>
      </c>
      <c r="AU82" s="131">
        <f t="shared" si="128"/>
        <v>0</v>
      </c>
      <c r="AV82" s="131"/>
      <c r="AW82" s="131">
        <f t="shared" si="129"/>
        <v>353.75</v>
      </c>
      <c r="AX82" s="131">
        <f t="shared" ref="AX82:AX145" si="183">IF(A81=0," ",AX81)</f>
        <v>0</v>
      </c>
      <c r="AY82" s="131">
        <f t="shared" si="130"/>
        <v>0</v>
      </c>
      <c r="AZ82" s="131"/>
      <c r="BA82" s="131">
        <f t="shared" ref="BA82:BA145" si="184">IF(A81=0," ",BA81)</f>
        <v>0</v>
      </c>
      <c r="BB82" s="131"/>
      <c r="BC82" s="131"/>
      <c r="BD82" s="131">
        <f t="shared" si="131"/>
        <v>0</v>
      </c>
      <c r="BE82" s="131"/>
      <c r="BF82" s="131">
        <f t="shared" si="173"/>
        <v>0</v>
      </c>
      <c r="BG82" s="131">
        <f t="shared" si="174"/>
        <v>0</v>
      </c>
      <c r="BH82" s="131"/>
      <c r="BI82" s="131"/>
      <c r="BJ82" s="131"/>
      <c r="BK82" s="131">
        <f t="shared" si="175"/>
        <v>0</v>
      </c>
      <c r="BL82" s="131"/>
      <c r="BM82" s="131"/>
      <c r="BN82" s="131">
        <f t="shared" si="176"/>
        <v>0</v>
      </c>
      <c r="BO82" s="131"/>
      <c r="BP82" s="131">
        <f t="shared" si="177"/>
        <v>0</v>
      </c>
      <c r="BQ82" s="131"/>
      <c r="BR82" s="131"/>
      <c r="BS82" s="131"/>
      <c r="BT82" s="131"/>
      <c r="BU82" s="131"/>
      <c r="BV82" s="131">
        <f t="shared" si="178"/>
        <v>0</v>
      </c>
      <c r="BW82" s="131"/>
      <c r="BX82" s="131"/>
      <c r="BY82" s="131"/>
      <c r="BZ82" s="131">
        <f t="shared" si="179"/>
        <v>0</v>
      </c>
      <c r="CA82" s="131"/>
      <c r="CB82" s="136">
        <f t="shared" si="132"/>
        <v>165.08663357180151</v>
      </c>
      <c r="CC82" s="131">
        <f t="shared" si="133"/>
        <v>0</v>
      </c>
      <c r="CD82" s="136">
        <f t="shared" si="134"/>
        <v>0</v>
      </c>
      <c r="CE82" s="131">
        <f t="shared" si="182"/>
        <v>0</v>
      </c>
      <c r="CF82" s="136">
        <f t="shared" si="135"/>
        <v>0</v>
      </c>
      <c r="CG82" s="136"/>
      <c r="CH82" s="136">
        <f t="shared" si="181"/>
        <v>0</v>
      </c>
      <c r="CI82" s="131">
        <f t="shared" si="136"/>
        <v>0</v>
      </c>
      <c r="CJ82" s="131"/>
      <c r="CK82" s="136">
        <f t="shared" si="137"/>
        <v>0</v>
      </c>
      <c r="CL82" s="136">
        <f t="shared" si="138"/>
        <v>0</v>
      </c>
      <c r="CM82" s="131">
        <f t="shared" si="139"/>
        <v>0</v>
      </c>
      <c r="CN82" s="136">
        <f t="shared" si="140"/>
        <v>0</v>
      </c>
      <c r="CO82" s="136">
        <f t="shared" si="141"/>
        <v>0</v>
      </c>
      <c r="CP82" s="136">
        <f t="shared" si="142"/>
        <v>0</v>
      </c>
      <c r="CQ82" s="136"/>
      <c r="CR82" s="136">
        <f t="shared" si="143"/>
        <v>0</v>
      </c>
      <c r="CS82" s="136"/>
      <c r="CT82" s="136"/>
      <c r="CU82" s="136"/>
      <c r="CV82" s="136"/>
      <c r="CW82" s="136"/>
      <c r="CX82" s="136"/>
      <c r="CY82" s="136"/>
      <c r="CZ82" s="136">
        <f t="shared" si="144"/>
        <v>0</v>
      </c>
      <c r="DA82" s="136">
        <f t="shared" si="145"/>
        <v>0</v>
      </c>
      <c r="DB82" s="136">
        <f t="shared" si="146"/>
        <v>0</v>
      </c>
      <c r="DC82" s="131">
        <f t="shared" si="105"/>
        <v>0</v>
      </c>
      <c r="DD82" s="131">
        <f t="shared" si="147"/>
        <v>0</v>
      </c>
      <c r="DE82" s="131">
        <f t="shared" si="148"/>
        <v>0</v>
      </c>
      <c r="DF82" s="131">
        <f t="shared" si="149"/>
        <v>0</v>
      </c>
      <c r="DG82" s="131">
        <f t="shared" si="150"/>
        <v>0</v>
      </c>
      <c r="DH82" s="131"/>
      <c r="DI82" s="131"/>
      <c r="DJ82" s="131"/>
      <c r="DK82" s="137">
        <f t="shared" si="180"/>
        <v>3791.5811116017489</v>
      </c>
      <c r="DL82" s="227" t="e">
        <f t="shared" si="151"/>
        <v>#REF!</v>
      </c>
      <c r="DM82" s="227" t="e">
        <f t="shared" si="152"/>
        <v>#REF!</v>
      </c>
      <c r="DN82" s="228" t="e">
        <f t="shared" si="106"/>
        <v>#REF!</v>
      </c>
      <c r="DO82" s="228">
        <f t="shared" si="153"/>
        <v>181.81087083894022</v>
      </c>
      <c r="DP82" s="228" t="e">
        <f t="shared" si="154"/>
        <v>#REF!</v>
      </c>
      <c r="DQ82" s="228" t="e">
        <f t="shared" si="155"/>
        <v>#REF!</v>
      </c>
    </row>
    <row r="83" spans="1:121">
      <c r="A83" s="132">
        <f t="shared" si="107"/>
        <v>73</v>
      </c>
      <c r="B83" s="18">
        <f t="shared" si="156"/>
        <v>73</v>
      </c>
      <c r="C83" s="18">
        <f>IF(A83=0," ",VLOOKUP(B83,'tosafot '!$A$7:$B$234,2,0))</f>
        <v>1.2014</v>
      </c>
      <c r="D83" s="220">
        <f t="shared" si="157"/>
        <v>228</v>
      </c>
      <c r="E83" s="130">
        <f t="shared" si="158"/>
        <v>12.2026</v>
      </c>
      <c r="F83" s="126">
        <f t="shared" si="159"/>
        <v>9</v>
      </c>
      <c r="G83" s="18" t="str">
        <f t="shared" si="160"/>
        <v>הבריאות</v>
      </c>
      <c r="H83" s="189">
        <f t="shared" si="161"/>
        <v>107</v>
      </c>
      <c r="I83" s="18">
        <f t="shared" si="162"/>
        <v>1</v>
      </c>
      <c r="J83" s="18" t="str">
        <f t="shared" si="163"/>
        <v>מינהלי - עובדי מדינה</v>
      </c>
      <c r="K83" s="189">
        <f t="shared" si="164"/>
        <v>1</v>
      </c>
      <c r="L83" s="18">
        <f t="shared" si="165"/>
        <v>12</v>
      </c>
      <c r="M83" s="129" t="str">
        <f t="shared" si="166"/>
        <v>17+</v>
      </c>
      <c r="N83" s="189"/>
      <c r="O83" s="132">
        <f t="shared" si="167"/>
        <v>1012</v>
      </c>
      <c r="P83" s="127">
        <f t="shared" si="168"/>
        <v>37</v>
      </c>
      <c r="Q83" s="127">
        <f t="shared" si="169"/>
        <v>22.75</v>
      </c>
      <c r="R83" s="128">
        <f t="shared" si="170"/>
        <v>92</v>
      </c>
      <c r="S83" s="130">
        <f t="shared" si="171"/>
        <v>1.2540512286990533</v>
      </c>
      <c r="T83" s="135">
        <f t="shared" si="108"/>
        <v>0</v>
      </c>
      <c r="U83" s="127">
        <f t="shared" si="109"/>
        <v>0</v>
      </c>
      <c r="V83" s="217">
        <v>0</v>
      </c>
      <c r="W83" s="191">
        <v>0</v>
      </c>
      <c r="X83" s="133">
        <v>0</v>
      </c>
      <c r="Y83" s="131">
        <f t="shared" si="110"/>
        <v>2438.5</v>
      </c>
      <c r="Z83" s="131">
        <f t="shared" si="111"/>
        <v>619.50392118264142</v>
      </c>
      <c r="AA83" s="242">
        <f t="shared" si="112"/>
        <v>3058.0039211826415</v>
      </c>
      <c r="AB83" s="131">
        <f t="shared" si="113"/>
        <v>0</v>
      </c>
      <c r="AC83" s="131">
        <f t="shared" si="114"/>
        <v>139.48055684730568</v>
      </c>
      <c r="AD83" s="131">
        <f t="shared" si="115"/>
        <v>0</v>
      </c>
      <c r="AE83" s="131">
        <f t="shared" si="116"/>
        <v>0</v>
      </c>
      <c r="AF83" s="131">
        <f t="shared" si="117"/>
        <v>75.260000000000005</v>
      </c>
      <c r="AG83" s="131">
        <f t="shared" si="118"/>
        <v>0</v>
      </c>
      <c r="AH83" s="131">
        <f t="shared" si="119"/>
        <v>0</v>
      </c>
      <c r="AI83" s="131">
        <f t="shared" si="120"/>
        <v>0</v>
      </c>
      <c r="AJ83" s="131">
        <f t="shared" si="121"/>
        <v>0</v>
      </c>
      <c r="AK83" s="131"/>
      <c r="AL83" s="131">
        <f t="shared" si="122"/>
        <v>0</v>
      </c>
      <c r="AM83" s="131"/>
      <c r="AN83" s="243">
        <f t="shared" si="123"/>
        <v>0</v>
      </c>
      <c r="AO83" s="131">
        <f t="shared" si="124"/>
        <v>0</v>
      </c>
      <c r="AP83" s="131">
        <f t="shared" si="125"/>
        <v>0</v>
      </c>
      <c r="AQ83" s="131"/>
      <c r="AR83" s="131">
        <f t="shared" si="126"/>
        <v>0</v>
      </c>
      <c r="AS83" s="131">
        <f t="shared" si="172"/>
        <v>0</v>
      </c>
      <c r="AT83" s="131">
        <f t="shared" si="127"/>
        <v>0</v>
      </c>
      <c r="AU83" s="131">
        <f t="shared" si="128"/>
        <v>0</v>
      </c>
      <c r="AV83" s="131"/>
      <c r="AW83" s="131">
        <f t="shared" si="129"/>
        <v>353.75</v>
      </c>
      <c r="AX83" s="131">
        <f t="shared" si="183"/>
        <v>0</v>
      </c>
      <c r="AY83" s="131">
        <f t="shared" si="130"/>
        <v>0</v>
      </c>
      <c r="AZ83" s="131"/>
      <c r="BA83" s="131">
        <f t="shared" si="184"/>
        <v>0</v>
      </c>
      <c r="BB83" s="131"/>
      <c r="BC83" s="131"/>
      <c r="BD83" s="131">
        <f t="shared" si="131"/>
        <v>0</v>
      </c>
      <c r="BE83" s="131"/>
      <c r="BF83" s="131">
        <f t="shared" si="173"/>
        <v>0</v>
      </c>
      <c r="BG83" s="131">
        <f t="shared" si="174"/>
        <v>0</v>
      </c>
      <c r="BH83" s="131"/>
      <c r="BI83" s="131"/>
      <c r="BJ83" s="131"/>
      <c r="BK83" s="131">
        <f t="shared" si="175"/>
        <v>0</v>
      </c>
      <c r="BL83" s="131"/>
      <c r="BM83" s="131"/>
      <c r="BN83" s="131">
        <f t="shared" si="176"/>
        <v>0</v>
      </c>
      <c r="BO83" s="131"/>
      <c r="BP83" s="131">
        <f t="shared" si="177"/>
        <v>0</v>
      </c>
      <c r="BQ83" s="131"/>
      <c r="BR83" s="131"/>
      <c r="BS83" s="131"/>
      <c r="BT83" s="131"/>
      <c r="BU83" s="131"/>
      <c r="BV83" s="131">
        <f t="shared" si="178"/>
        <v>0</v>
      </c>
      <c r="BW83" s="131"/>
      <c r="BX83" s="131"/>
      <c r="BY83" s="131"/>
      <c r="BZ83" s="131">
        <f t="shared" si="179"/>
        <v>0</v>
      </c>
      <c r="CA83" s="131"/>
      <c r="CB83" s="136">
        <f t="shared" si="132"/>
        <v>165.08663357180151</v>
      </c>
      <c r="CC83" s="131">
        <f t="shared" si="133"/>
        <v>0</v>
      </c>
      <c r="CD83" s="136">
        <f t="shared" si="134"/>
        <v>0</v>
      </c>
      <c r="CE83" s="131">
        <f t="shared" si="182"/>
        <v>0</v>
      </c>
      <c r="CF83" s="136">
        <f t="shared" si="135"/>
        <v>0</v>
      </c>
      <c r="CG83" s="136"/>
      <c r="CH83" s="136">
        <f t="shared" si="181"/>
        <v>0</v>
      </c>
      <c r="CI83" s="131">
        <f t="shared" si="136"/>
        <v>0</v>
      </c>
      <c r="CJ83" s="131"/>
      <c r="CK83" s="136">
        <f t="shared" si="137"/>
        <v>0</v>
      </c>
      <c r="CL83" s="136">
        <f t="shared" si="138"/>
        <v>0</v>
      </c>
      <c r="CM83" s="131">
        <f t="shared" si="139"/>
        <v>0</v>
      </c>
      <c r="CN83" s="136">
        <f t="shared" si="140"/>
        <v>0</v>
      </c>
      <c r="CO83" s="136">
        <f t="shared" si="141"/>
        <v>0</v>
      </c>
      <c r="CP83" s="136">
        <f t="shared" si="142"/>
        <v>0</v>
      </c>
      <c r="CQ83" s="136"/>
      <c r="CR83" s="136">
        <f t="shared" si="143"/>
        <v>0</v>
      </c>
      <c r="CS83" s="136"/>
      <c r="CT83" s="136"/>
      <c r="CU83" s="136"/>
      <c r="CV83" s="136"/>
      <c r="CW83" s="136"/>
      <c r="CX83" s="136"/>
      <c r="CY83" s="136"/>
      <c r="CZ83" s="136">
        <f t="shared" si="144"/>
        <v>0</v>
      </c>
      <c r="DA83" s="136">
        <f t="shared" si="145"/>
        <v>0</v>
      </c>
      <c r="DB83" s="136">
        <f t="shared" si="146"/>
        <v>0</v>
      </c>
      <c r="DC83" s="131">
        <f t="shared" si="105"/>
        <v>0</v>
      </c>
      <c r="DD83" s="131">
        <f t="shared" si="147"/>
        <v>0</v>
      </c>
      <c r="DE83" s="131">
        <f t="shared" si="148"/>
        <v>0</v>
      </c>
      <c r="DF83" s="131">
        <f t="shared" si="149"/>
        <v>0</v>
      </c>
      <c r="DG83" s="131">
        <f t="shared" si="150"/>
        <v>0</v>
      </c>
      <c r="DH83" s="131"/>
      <c r="DI83" s="131"/>
      <c r="DJ83" s="131"/>
      <c r="DK83" s="137">
        <f t="shared" si="180"/>
        <v>3791.5811116017489</v>
      </c>
      <c r="DL83" s="227" t="e">
        <f t="shared" si="151"/>
        <v>#REF!</v>
      </c>
      <c r="DM83" s="227" t="e">
        <f t="shared" si="152"/>
        <v>#REF!</v>
      </c>
      <c r="DN83" s="228" t="e">
        <f t="shared" si="106"/>
        <v>#REF!</v>
      </c>
      <c r="DO83" s="228">
        <f t="shared" si="153"/>
        <v>181.81087083894022</v>
      </c>
      <c r="DP83" s="228" t="e">
        <f t="shared" si="154"/>
        <v>#REF!</v>
      </c>
      <c r="DQ83" s="228" t="e">
        <f t="shared" si="155"/>
        <v>#REF!</v>
      </c>
    </row>
    <row r="84" spans="1:121">
      <c r="A84" s="132">
        <f t="shared" si="107"/>
        <v>74</v>
      </c>
      <c r="B84" s="18">
        <f t="shared" si="156"/>
        <v>74</v>
      </c>
      <c r="C84" s="18">
        <f>IF(A84=0," ",VLOOKUP(B84,'tosafot '!$A$7:$B$234,2,0))</f>
        <v>2.2014</v>
      </c>
      <c r="D84" s="220">
        <f t="shared" si="157"/>
        <v>228</v>
      </c>
      <c r="E84" s="130">
        <f t="shared" si="158"/>
        <v>12.2026</v>
      </c>
      <c r="F84" s="126">
        <f t="shared" si="159"/>
        <v>9</v>
      </c>
      <c r="G84" s="18" t="str">
        <f t="shared" si="160"/>
        <v>הבריאות</v>
      </c>
      <c r="H84" s="189">
        <f t="shared" si="161"/>
        <v>107</v>
      </c>
      <c r="I84" s="18">
        <f t="shared" si="162"/>
        <v>1</v>
      </c>
      <c r="J84" s="18" t="str">
        <f t="shared" si="163"/>
        <v>מינהלי - עובדי מדינה</v>
      </c>
      <c r="K84" s="189">
        <f t="shared" si="164"/>
        <v>1</v>
      </c>
      <c r="L84" s="18">
        <f t="shared" si="165"/>
        <v>12</v>
      </c>
      <c r="M84" s="129" t="str">
        <f t="shared" si="166"/>
        <v>17+</v>
      </c>
      <c r="N84" s="189"/>
      <c r="O84" s="132">
        <f t="shared" si="167"/>
        <v>1012</v>
      </c>
      <c r="P84" s="127">
        <f t="shared" si="168"/>
        <v>37</v>
      </c>
      <c r="Q84" s="127">
        <f t="shared" si="169"/>
        <v>22.75</v>
      </c>
      <c r="R84" s="128">
        <f t="shared" si="170"/>
        <v>92</v>
      </c>
      <c r="S84" s="130">
        <f t="shared" si="171"/>
        <v>1.2540512286990533</v>
      </c>
      <c r="T84" s="135">
        <f t="shared" si="108"/>
        <v>0</v>
      </c>
      <c r="U84" s="127">
        <f t="shared" si="109"/>
        <v>0</v>
      </c>
      <c r="V84" s="217">
        <v>0</v>
      </c>
      <c r="W84" s="191">
        <v>0</v>
      </c>
      <c r="X84" s="133">
        <v>0</v>
      </c>
      <c r="Y84" s="131">
        <f t="shared" si="110"/>
        <v>2438.5</v>
      </c>
      <c r="Z84" s="131">
        <f t="shared" si="111"/>
        <v>619.50392118264142</v>
      </c>
      <c r="AA84" s="242">
        <f t="shared" si="112"/>
        <v>3058.0039211826415</v>
      </c>
      <c r="AB84" s="131">
        <f t="shared" si="113"/>
        <v>0</v>
      </c>
      <c r="AC84" s="131">
        <f t="shared" si="114"/>
        <v>139.48055684730568</v>
      </c>
      <c r="AD84" s="131">
        <f t="shared" si="115"/>
        <v>0</v>
      </c>
      <c r="AE84" s="131">
        <f t="shared" si="116"/>
        <v>0</v>
      </c>
      <c r="AF84" s="131">
        <f t="shared" si="117"/>
        <v>75.260000000000005</v>
      </c>
      <c r="AG84" s="131">
        <f t="shared" si="118"/>
        <v>0</v>
      </c>
      <c r="AH84" s="131">
        <f t="shared" si="119"/>
        <v>0</v>
      </c>
      <c r="AI84" s="131">
        <f t="shared" si="120"/>
        <v>0</v>
      </c>
      <c r="AJ84" s="131">
        <f t="shared" si="121"/>
        <v>0</v>
      </c>
      <c r="AK84" s="131"/>
      <c r="AL84" s="131">
        <f t="shared" si="122"/>
        <v>0</v>
      </c>
      <c r="AM84" s="131"/>
      <c r="AN84" s="243">
        <f t="shared" si="123"/>
        <v>0</v>
      </c>
      <c r="AO84" s="131">
        <f t="shared" si="124"/>
        <v>0</v>
      </c>
      <c r="AP84" s="131">
        <f t="shared" si="125"/>
        <v>0</v>
      </c>
      <c r="AQ84" s="131"/>
      <c r="AR84" s="131">
        <f t="shared" si="126"/>
        <v>0</v>
      </c>
      <c r="AS84" s="131">
        <f t="shared" si="172"/>
        <v>0</v>
      </c>
      <c r="AT84" s="131">
        <f t="shared" si="127"/>
        <v>0</v>
      </c>
      <c r="AU84" s="131">
        <f t="shared" si="128"/>
        <v>0</v>
      </c>
      <c r="AV84" s="131"/>
      <c r="AW84" s="131">
        <f t="shared" si="129"/>
        <v>353.75</v>
      </c>
      <c r="AX84" s="131">
        <f t="shared" si="183"/>
        <v>0</v>
      </c>
      <c r="AY84" s="131">
        <f t="shared" si="130"/>
        <v>0</v>
      </c>
      <c r="AZ84" s="131"/>
      <c r="BA84" s="131">
        <f t="shared" si="184"/>
        <v>0</v>
      </c>
      <c r="BB84" s="131"/>
      <c r="BC84" s="131"/>
      <c r="BD84" s="131">
        <f t="shared" si="131"/>
        <v>0</v>
      </c>
      <c r="BE84" s="131"/>
      <c r="BF84" s="131">
        <f t="shared" si="173"/>
        <v>0</v>
      </c>
      <c r="BG84" s="131">
        <f t="shared" si="174"/>
        <v>0</v>
      </c>
      <c r="BH84" s="131"/>
      <c r="BI84" s="131"/>
      <c r="BJ84" s="131"/>
      <c r="BK84" s="131">
        <f t="shared" si="175"/>
        <v>0</v>
      </c>
      <c r="BL84" s="131"/>
      <c r="BM84" s="131"/>
      <c r="BN84" s="131">
        <f t="shared" si="176"/>
        <v>0</v>
      </c>
      <c r="BO84" s="131"/>
      <c r="BP84" s="131">
        <f t="shared" si="177"/>
        <v>0</v>
      </c>
      <c r="BQ84" s="131"/>
      <c r="BR84" s="131"/>
      <c r="BS84" s="131"/>
      <c r="BT84" s="131"/>
      <c r="BU84" s="131"/>
      <c r="BV84" s="131">
        <f t="shared" si="178"/>
        <v>0</v>
      </c>
      <c r="BW84" s="131"/>
      <c r="BX84" s="131"/>
      <c r="BY84" s="131"/>
      <c r="BZ84" s="131">
        <f t="shared" si="179"/>
        <v>0</v>
      </c>
      <c r="CA84" s="131"/>
      <c r="CB84" s="136">
        <f t="shared" si="132"/>
        <v>165.08663357180151</v>
      </c>
      <c r="CC84" s="131">
        <f t="shared" si="133"/>
        <v>0</v>
      </c>
      <c r="CD84" s="136">
        <f t="shared" si="134"/>
        <v>0</v>
      </c>
      <c r="CE84" s="131">
        <f t="shared" si="182"/>
        <v>0</v>
      </c>
      <c r="CF84" s="136">
        <f t="shared" si="135"/>
        <v>0</v>
      </c>
      <c r="CG84" s="136"/>
      <c r="CH84" s="136">
        <f t="shared" si="181"/>
        <v>0</v>
      </c>
      <c r="CI84" s="131">
        <f t="shared" si="136"/>
        <v>0</v>
      </c>
      <c r="CJ84" s="131"/>
      <c r="CK84" s="136">
        <f t="shared" si="137"/>
        <v>0</v>
      </c>
      <c r="CL84" s="136">
        <f t="shared" si="138"/>
        <v>0</v>
      </c>
      <c r="CM84" s="131">
        <f t="shared" si="139"/>
        <v>0</v>
      </c>
      <c r="CN84" s="136">
        <f t="shared" si="140"/>
        <v>0</v>
      </c>
      <c r="CO84" s="136">
        <f t="shared" si="141"/>
        <v>0</v>
      </c>
      <c r="CP84" s="136">
        <f t="shared" si="142"/>
        <v>0</v>
      </c>
      <c r="CQ84" s="136"/>
      <c r="CR84" s="136">
        <f t="shared" si="143"/>
        <v>0</v>
      </c>
      <c r="CS84" s="136"/>
      <c r="CT84" s="136"/>
      <c r="CU84" s="136"/>
      <c r="CV84" s="136"/>
      <c r="CW84" s="136"/>
      <c r="CX84" s="136"/>
      <c r="CY84" s="136"/>
      <c r="CZ84" s="136">
        <f t="shared" si="144"/>
        <v>0</v>
      </c>
      <c r="DA84" s="136">
        <f t="shared" si="145"/>
        <v>0</v>
      </c>
      <c r="DB84" s="136">
        <f t="shared" si="146"/>
        <v>0</v>
      </c>
      <c r="DC84" s="131">
        <f t="shared" si="105"/>
        <v>0</v>
      </c>
      <c r="DD84" s="131">
        <f t="shared" si="147"/>
        <v>0</v>
      </c>
      <c r="DE84" s="131">
        <f t="shared" si="148"/>
        <v>0</v>
      </c>
      <c r="DF84" s="131">
        <f t="shared" si="149"/>
        <v>0</v>
      </c>
      <c r="DG84" s="131">
        <f t="shared" si="150"/>
        <v>0</v>
      </c>
      <c r="DH84" s="131"/>
      <c r="DI84" s="131"/>
      <c r="DJ84" s="131"/>
      <c r="DK84" s="137">
        <f t="shared" si="180"/>
        <v>3791.5811116017489</v>
      </c>
      <c r="DL84" s="227" t="e">
        <f t="shared" si="151"/>
        <v>#REF!</v>
      </c>
      <c r="DM84" s="227" t="e">
        <f t="shared" si="152"/>
        <v>#REF!</v>
      </c>
      <c r="DN84" s="228" t="e">
        <f t="shared" si="106"/>
        <v>#REF!</v>
      </c>
      <c r="DO84" s="228">
        <f t="shared" si="153"/>
        <v>181.81087083894022</v>
      </c>
      <c r="DP84" s="228" t="e">
        <f t="shared" si="154"/>
        <v>#REF!</v>
      </c>
      <c r="DQ84" s="228" t="e">
        <f t="shared" si="155"/>
        <v>#REF!</v>
      </c>
    </row>
    <row r="85" spans="1:121">
      <c r="A85" s="132">
        <f t="shared" si="107"/>
        <v>75</v>
      </c>
      <c r="B85" s="18">
        <f t="shared" si="156"/>
        <v>75</v>
      </c>
      <c r="C85" s="18">
        <f>IF(A85=0," ",VLOOKUP(B85,'tosafot '!$A$7:$B$234,2,0))</f>
        <v>3.2014</v>
      </c>
      <c r="D85" s="220">
        <f t="shared" si="157"/>
        <v>228</v>
      </c>
      <c r="E85" s="130">
        <f t="shared" si="158"/>
        <v>12.2026</v>
      </c>
      <c r="F85" s="126">
        <f t="shared" si="159"/>
        <v>9</v>
      </c>
      <c r="G85" s="18" t="str">
        <f t="shared" si="160"/>
        <v>הבריאות</v>
      </c>
      <c r="H85" s="189">
        <f t="shared" si="161"/>
        <v>107</v>
      </c>
      <c r="I85" s="18">
        <f t="shared" si="162"/>
        <v>1</v>
      </c>
      <c r="J85" s="18" t="str">
        <f t="shared" si="163"/>
        <v>מינהלי - עובדי מדינה</v>
      </c>
      <c r="K85" s="189">
        <f t="shared" si="164"/>
        <v>1</v>
      </c>
      <c r="L85" s="18">
        <f t="shared" si="165"/>
        <v>12</v>
      </c>
      <c r="M85" s="129" t="str">
        <f t="shared" si="166"/>
        <v>17+</v>
      </c>
      <c r="N85" s="189"/>
      <c r="O85" s="132">
        <f t="shared" si="167"/>
        <v>1012</v>
      </c>
      <c r="P85" s="127">
        <f t="shared" si="168"/>
        <v>37</v>
      </c>
      <c r="Q85" s="127">
        <f t="shared" si="169"/>
        <v>22.75</v>
      </c>
      <c r="R85" s="128">
        <f t="shared" si="170"/>
        <v>92</v>
      </c>
      <c r="S85" s="130">
        <f t="shared" si="171"/>
        <v>1.2540512286990533</v>
      </c>
      <c r="T85" s="135">
        <f t="shared" si="108"/>
        <v>0</v>
      </c>
      <c r="U85" s="127">
        <f t="shared" si="109"/>
        <v>0</v>
      </c>
      <c r="V85" s="217">
        <v>0</v>
      </c>
      <c r="W85" s="191">
        <v>0</v>
      </c>
      <c r="X85" s="133">
        <v>0</v>
      </c>
      <c r="Y85" s="131">
        <f t="shared" si="110"/>
        <v>2438.5</v>
      </c>
      <c r="Z85" s="131">
        <f t="shared" si="111"/>
        <v>619.50392118264142</v>
      </c>
      <c r="AA85" s="242">
        <f t="shared" si="112"/>
        <v>3058.0039211826415</v>
      </c>
      <c r="AB85" s="131">
        <f t="shared" si="113"/>
        <v>0</v>
      </c>
      <c r="AC85" s="131">
        <f t="shared" si="114"/>
        <v>139.48055684730568</v>
      </c>
      <c r="AD85" s="131">
        <f t="shared" si="115"/>
        <v>0</v>
      </c>
      <c r="AE85" s="131">
        <f t="shared" si="116"/>
        <v>0</v>
      </c>
      <c r="AF85" s="131">
        <f t="shared" si="117"/>
        <v>75.260000000000005</v>
      </c>
      <c r="AG85" s="131">
        <f t="shared" si="118"/>
        <v>0</v>
      </c>
      <c r="AH85" s="131">
        <f t="shared" si="119"/>
        <v>0</v>
      </c>
      <c r="AI85" s="131">
        <f t="shared" si="120"/>
        <v>0</v>
      </c>
      <c r="AJ85" s="131">
        <f t="shared" si="121"/>
        <v>0</v>
      </c>
      <c r="AK85" s="131"/>
      <c r="AL85" s="131">
        <f t="shared" si="122"/>
        <v>0</v>
      </c>
      <c r="AM85" s="131"/>
      <c r="AN85" s="243">
        <f t="shared" si="123"/>
        <v>0</v>
      </c>
      <c r="AO85" s="131">
        <f t="shared" si="124"/>
        <v>0</v>
      </c>
      <c r="AP85" s="131">
        <f t="shared" si="125"/>
        <v>0</v>
      </c>
      <c r="AQ85" s="131"/>
      <c r="AR85" s="131">
        <f t="shared" si="126"/>
        <v>0</v>
      </c>
      <c r="AS85" s="131">
        <f t="shared" si="172"/>
        <v>0</v>
      </c>
      <c r="AT85" s="131">
        <f t="shared" si="127"/>
        <v>0</v>
      </c>
      <c r="AU85" s="131">
        <f t="shared" si="128"/>
        <v>0</v>
      </c>
      <c r="AV85" s="131"/>
      <c r="AW85" s="131">
        <f t="shared" si="129"/>
        <v>353.75</v>
      </c>
      <c r="AX85" s="131">
        <f t="shared" si="183"/>
        <v>0</v>
      </c>
      <c r="AY85" s="131">
        <f t="shared" si="130"/>
        <v>0</v>
      </c>
      <c r="AZ85" s="131"/>
      <c r="BA85" s="131">
        <f t="shared" si="184"/>
        <v>0</v>
      </c>
      <c r="BB85" s="131"/>
      <c r="BC85" s="131"/>
      <c r="BD85" s="131">
        <f t="shared" si="131"/>
        <v>0</v>
      </c>
      <c r="BE85" s="131"/>
      <c r="BF85" s="131">
        <f t="shared" si="173"/>
        <v>0</v>
      </c>
      <c r="BG85" s="131">
        <f t="shared" si="174"/>
        <v>0</v>
      </c>
      <c r="BH85" s="131"/>
      <c r="BI85" s="131"/>
      <c r="BJ85" s="131"/>
      <c r="BK85" s="131">
        <f t="shared" si="175"/>
        <v>0</v>
      </c>
      <c r="BL85" s="131"/>
      <c r="BM85" s="131"/>
      <c r="BN85" s="131">
        <f t="shared" si="176"/>
        <v>0</v>
      </c>
      <c r="BO85" s="131"/>
      <c r="BP85" s="131">
        <f t="shared" si="177"/>
        <v>0</v>
      </c>
      <c r="BQ85" s="131"/>
      <c r="BR85" s="131"/>
      <c r="BS85" s="131"/>
      <c r="BT85" s="131"/>
      <c r="BU85" s="131"/>
      <c r="BV85" s="131">
        <f t="shared" si="178"/>
        <v>0</v>
      </c>
      <c r="BW85" s="131"/>
      <c r="BX85" s="131"/>
      <c r="BY85" s="131"/>
      <c r="BZ85" s="131">
        <f t="shared" si="179"/>
        <v>0</v>
      </c>
      <c r="CA85" s="131"/>
      <c r="CB85" s="136">
        <f t="shared" si="132"/>
        <v>165.08663357180151</v>
      </c>
      <c r="CC85" s="131">
        <f t="shared" si="133"/>
        <v>0</v>
      </c>
      <c r="CD85" s="136">
        <f t="shared" si="134"/>
        <v>0</v>
      </c>
      <c r="CE85" s="131">
        <f t="shared" si="182"/>
        <v>0</v>
      </c>
      <c r="CF85" s="136">
        <f t="shared" si="135"/>
        <v>0</v>
      </c>
      <c r="CG85" s="136"/>
      <c r="CH85" s="136">
        <f t="shared" si="181"/>
        <v>0</v>
      </c>
      <c r="CI85" s="131">
        <f t="shared" si="136"/>
        <v>0</v>
      </c>
      <c r="CJ85" s="131"/>
      <c r="CK85" s="136">
        <f t="shared" si="137"/>
        <v>0</v>
      </c>
      <c r="CL85" s="136">
        <f t="shared" si="138"/>
        <v>0</v>
      </c>
      <c r="CM85" s="131">
        <f t="shared" si="139"/>
        <v>0</v>
      </c>
      <c r="CN85" s="136">
        <f t="shared" si="140"/>
        <v>0</v>
      </c>
      <c r="CO85" s="136">
        <f t="shared" si="141"/>
        <v>0</v>
      </c>
      <c r="CP85" s="136">
        <f t="shared" si="142"/>
        <v>0</v>
      </c>
      <c r="CQ85" s="136"/>
      <c r="CR85" s="136">
        <f t="shared" si="143"/>
        <v>0</v>
      </c>
      <c r="CS85" s="136"/>
      <c r="CT85" s="136"/>
      <c r="CU85" s="136"/>
      <c r="CV85" s="136"/>
      <c r="CW85" s="136"/>
      <c r="CX85" s="136"/>
      <c r="CY85" s="136"/>
      <c r="CZ85" s="136">
        <f t="shared" si="144"/>
        <v>0</v>
      </c>
      <c r="DA85" s="136">
        <f t="shared" si="145"/>
        <v>0</v>
      </c>
      <c r="DB85" s="136">
        <f t="shared" si="146"/>
        <v>0</v>
      </c>
      <c r="DC85" s="131">
        <f t="shared" si="105"/>
        <v>0</v>
      </c>
      <c r="DD85" s="131">
        <f t="shared" si="147"/>
        <v>0</v>
      </c>
      <c r="DE85" s="131">
        <f t="shared" si="148"/>
        <v>0</v>
      </c>
      <c r="DF85" s="131">
        <f t="shared" si="149"/>
        <v>0</v>
      </c>
      <c r="DG85" s="131">
        <f t="shared" si="150"/>
        <v>0</v>
      </c>
      <c r="DH85" s="131"/>
      <c r="DI85" s="131"/>
      <c r="DJ85" s="131"/>
      <c r="DK85" s="137">
        <f t="shared" si="180"/>
        <v>3791.5811116017489</v>
      </c>
      <c r="DL85" s="227" t="e">
        <f t="shared" si="151"/>
        <v>#REF!</v>
      </c>
      <c r="DM85" s="227" t="e">
        <f t="shared" si="152"/>
        <v>#REF!</v>
      </c>
      <c r="DN85" s="228" t="e">
        <f t="shared" si="106"/>
        <v>#REF!</v>
      </c>
      <c r="DO85" s="228">
        <f t="shared" si="153"/>
        <v>181.81087083894022</v>
      </c>
      <c r="DP85" s="228" t="e">
        <f t="shared" si="154"/>
        <v>#REF!</v>
      </c>
      <c r="DQ85" s="228" t="e">
        <f t="shared" si="155"/>
        <v>#REF!</v>
      </c>
    </row>
    <row r="86" spans="1:121">
      <c r="A86" s="132">
        <f t="shared" si="107"/>
        <v>76</v>
      </c>
      <c r="B86" s="18">
        <f t="shared" si="156"/>
        <v>76</v>
      </c>
      <c r="C86" s="18">
        <f>IF(A86=0," ",VLOOKUP(B86,'tosafot '!$A$7:$B$234,2,0))</f>
        <v>4.2013999999999996</v>
      </c>
      <c r="D86" s="220">
        <f t="shared" si="157"/>
        <v>228</v>
      </c>
      <c r="E86" s="130">
        <f t="shared" si="158"/>
        <v>12.2026</v>
      </c>
      <c r="F86" s="126">
        <f t="shared" si="159"/>
        <v>9</v>
      </c>
      <c r="G86" s="18" t="str">
        <f t="shared" si="160"/>
        <v>הבריאות</v>
      </c>
      <c r="H86" s="189">
        <f t="shared" si="161"/>
        <v>107</v>
      </c>
      <c r="I86" s="18">
        <f t="shared" si="162"/>
        <v>1</v>
      </c>
      <c r="J86" s="18" t="str">
        <f t="shared" si="163"/>
        <v>מינהלי - עובדי מדינה</v>
      </c>
      <c r="K86" s="189">
        <f t="shared" si="164"/>
        <v>1</v>
      </c>
      <c r="L86" s="18">
        <f t="shared" si="165"/>
        <v>12</v>
      </c>
      <c r="M86" s="129" t="str">
        <f t="shared" si="166"/>
        <v>17+</v>
      </c>
      <c r="N86" s="189"/>
      <c r="O86" s="132">
        <f t="shared" si="167"/>
        <v>1012</v>
      </c>
      <c r="P86" s="127">
        <f t="shared" si="168"/>
        <v>37</v>
      </c>
      <c r="Q86" s="127">
        <f t="shared" si="169"/>
        <v>22.75</v>
      </c>
      <c r="R86" s="128">
        <f t="shared" si="170"/>
        <v>92</v>
      </c>
      <c r="S86" s="130">
        <f t="shared" si="171"/>
        <v>1.2540512286990533</v>
      </c>
      <c r="T86" s="135">
        <f t="shared" si="108"/>
        <v>0</v>
      </c>
      <c r="U86" s="127">
        <f t="shared" si="109"/>
        <v>0</v>
      </c>
      <c r="V86" s="217">
        <v>0</v>
      </c>
      <c r="W86" s="191">
        <v>0</v>
      </c>
      <c r="X86" s="133">
        <v>0</v>
      </c>
      <c r="Y86" s="131">
        <f t="shared" si="110"/>
        <v>2438.5</v>
      </c>
      <c r="Z86" s="131">
        <f t="shared" si="111"/>
        <v>619.50392118264142</v>
      </c>
      <c r="AA86" s="242">
        <f t="shared" si="112"/>
        <v>3058.0039211826415</v>
      </c>
      <c r="AB86" s="131">
        <f t="shared" si="113"/>
        <v>0</v>
      </c>
      <c r="AC86" s="131">
        <f t="shared" si="114"/>
        <v>139.48055684730568</v>
      </c>
      <c r="AD86" s="131">
        <f t="shared" si="115"/>
        <v>0</v>
      </c>
      <c r="AE86" s="131">
        <f t="shared" si="116"/>
        <v>0</v>
      </c>
      <c r="AF86" s="131">
        <f t="shared" si="117"/>
        <v>75.260000000000005</v>
      </c>
      <c r="AG86" s="131">
        <f t="shared" si="118"/>
        <v>0</v>
      </c>
      <c r="AH86" s="131">
        <f t="shared" si="119"/>
        <v>0</v>
      </c>
      <c r="AI86" s="131">
        <f t="shared" si="120"/>
        <v>0</v>
      </c>
      <c r="AJ86" s="131">
        <f t="shared" si="121"/>
        <v>0</v>
      </c>
      <c r="AK86" s="131"/>
      <c r="AL86" s="131">
        <f t="shared" si="122"/>
        <v>0</v>
      </c>
      <c r="AM86" s="131"/>
      <c r="AN86" s="243">
        <f t="shared" si="123"/>
        <v>0</v>
      </c>
      <c r="AO86" s="131">
        <f t="shared" si="124"/>
        <v>0</v>
      </c>
      <c r="AP86" s="131">
        <f t="shared" si="125"/>
        <v>0</v>
      </c>
      <c r="AQ86" s="131"/>
      <c r="AR86" s="131">
        <f t="shared" si="126"/>
        <v>0</v>
      </c>
      <c r="AS86" s="131">
        <f t="shared" si="172"/>
        <v>0</v>
      </c>
      <c r="AT86" s="131">
        <f t="shared" si="127"/>
        <v>0</v>
      </c>
      <c r="AU86" s="131">
        <f t="shared" si="128"/>
        <v>0</v>
      </c>
      <c r="AV86" s="131"/>
      <c r="AW86" s="131">
        <f t="shared" si="129"/>
        <v>353.75</v>
      </c>
      <c r="AX86" s="131">
        <f t="shared" si="183"/>
        <v>0</v>
      </c>
      <c r="AY86" s="131">
        <f t="shared" si="130"/>
        <v>0</v>
      </c>
      <c r="AZ86" s="131"/>
      <c r="BA86" s="131">
        <f t="shared" si="184"/>
        <v>0</v>
      </c>
      <c r="BB86" s="131"/>
      <c r="BC86" s="131"/>
      <c r="BD86" s="131">
        <f t="shared" si="131"/>
        <v>0</v>
      </c>
      <c r="BE86" s="131"/>
      <c r="BF86" s="131">
        <f t="shared" si="173"/>
        <v>0</v>
      </c>
      <c r="BG86" s="131">
        <f t="shared" si="174"/>
        <v>0</v>
      </c>
      <c r="BH86" s="131"/>
      <c r="BI86" s="131"/>
      <c r="BJ86" s="131"/>
      <c r="BK86" s="131">
        <f t="shared" si="175"/>
        <v>0</v>
      </c>
      <c r="BL86" s="131"/>
      <c r="BM86" s="131"/>
      <c r="BN86" s="131">
        <f t="shared" si="176"/>
        <v>0</v>
      </c>
      <c r="BO86" s="131"/>
      <c r="BP86" s="131">
        <f t="shared" si="177"/>
        <v>0</v>
      </c>
      <c r="BQ86" s="131"/>
      <c r="BR86" s="131"/>
      <c r="BS86" s="131"/>
      <c r="BT86" s="131"/>
      <c r="BU86" s="131"/>
      <c r="BV86" s="131">
        <f t="shared" si="178"/>
        <v>0</v>
      </c>
      <c r="BW86" s="131"/>
      <c r="BX86" s="131"/>
      <c r="BY86" s="131"/>
      <c r="BZ86" s="131">
        <f t="shared" si="179"/>
        <v>0</v>
      </c>
      <c r="CA86" s="131"/>
      <c r="CB86" s="136">
        <f t="shared" si="132"/>
        <v>165.08663357180151</v>
      </c>
      <c r="CC86" s="131">
        <f t="shared" si="133"/>
        <v>0</v>
      </c>
      <c r="CD86" s="136">
        <f t="shared" si="134"/>
        <v>0</v>
      </c>
      <c r="CE86" s="131">
        <f t="shared" si="182"/>
        <v>0</v>
      </c>
      <c r="CF86" s="136">
        <f t="shared" si="135"/>
        <v>0</v>
      </c>
      <c r="CG86" s="136"/>
      <c r="CH86" s="136">
        <f t="shared" si="181"/>
        <v>0</v>
      </c>
      <c r="CI86" s="131">
        <f t="shared" si="136"/>
        <v>0</v>
      </c>
      <c r="CJ86" s="131"/>
      <c r="CK86" s="136">
        <f t="shared" si="137"/>
        <v>0</v>
      </c>
      <c r="CL86" s="136">
        <f t="shared" si="138"/>
        <v>0</v>
      </c>
      <c r="CM86" s="131">
        <f t="shared" si="139"/>
        <v>0</v>
      </c>
      <c r="CN86" s="136">
        <f t="shared" si="140"/>
        <v>0</v>
      </c>
      <c r="CO86" s="136">
        <f t="shared" si="141"/>
        <v>0</v>
      </c>
      <c r="CP86" s="136">
        <f t="shared" si="142"/>
        <v>0</v>
      </c>
      <c r="CQ86" s="136"/>
      <c r="CR86" s="136">
        <f t="shared" si="143"/>
        <v>0</v>
      </c>
      <c r="CS86" s="136"/>
      <c r="CT86" s="136"/>
      <c r="CU86" s="136"/>
      <c r="CV86" s="136"/>
      <c r="CW86" s="136"/>
      <c r="CX86" s="136"/>
      <c r="CY86" s="136"/>
      <c r="CZ86" s="136">
        <f t="shared" si="144"/>
        <v>0</v>
      </c>
      <c r="DA86" s="136">
        <f t="shared" si="145"/>
        <v>0</v>
      </c>
      <c r="DB86" s="136">
        <f t="shared" si="146"/>
        <v>0</v>
      </c>
      <c r="DC86" s="131">
        <f t="shared" si="105"/>
        <v>0</v>
      </c>
      <c r="DD86" s="131">
        <f t="shared" si="147"/>
        <v>0</v>
      </c>
      <c r="DE86" s="131">
        <f t="shared" si="148"/>
        <v>0</v>
      </c>
      <c r="DF86" s="131">
        <f t="shared" si="149"/>
        <v>0</v>
      </c>
      <c r="DG86" s="131">
        <f t="shared" si="150"/>
        <v>0</v>
      </c>
      <c r="DH86" s="131"/>
      <c r="DI86" s="131"/>
      <c r="DJ86" s="131"/>
      <c r="DK86" s="137">
        <f t="shared" si="180"/>
        <v>3791.5811116017489</v>
      </c>
      <c r="DL86" s="227" t="e">
        <f t="shared" si="151"/>
        <v>#REF!</v>
      </c>
      <c r="DM86" s="227" t="e">
        <f t="shared" si="152"/>
        <v>#REF!</v>
      </c>
      <c r="DN86" s="228" t="e">
        <f t="shared" si="106"/>
        <v>#REF!</v>
      </c>
      <c r="DO86" s="228">
        <f t="shared" si="153"/>
        <v>181.81087083894022</v>
      </c>
      <c r="DP86" s="228" t="e">
        <f t="shared" si="154"/>
        <v>#REF!</v>
      </c>
      <c r="DQ86" s="228" t="e">
        <f t="shared" si="155"/>
        <v>#REF!</v>
      </c>
    </row>
    <row r="87" spans="1:121">
      <c r="A87" s="132">
        <f t="shared" si="107"/>
        <v>77</v>
      </c>
      <c r="B87" s="18">
        <f t="shared" si="156"/>
        <v>77</v>
      </c>
      <c r="C87" s="18">
        <f>IF(A87=0," ",VLOOKUP(B87,'tosafot '!$A$7:$B$234,2,0))</f>
        <v>5.2013999999999996</v>
      </c>
      <c r="D87" s="220">
        <f t="shared" si="157"/>
        <v>228</v>
      </c>
      <c r="E87" s="130">
        <f t="shared" si="158"/>
        <v>12.2026</v>
      </c>
      <c r="F87" s="126">
        <f t="shared" si="159"/>
        <v>9</v>
      </c>
      <c r="G87" s="18" t="str">
        <f t="shared" si="160"/>
        <v>הבריאות</v>
      </c>
      <c r="H87" s="189">
        <f t="shared" si="161"/>
        <v>107</v>
      </c>
      <c r="I87" s="18">
        <f t="shared" si="162"/>
        <v>1</v>
      </c>
      <c r="J87" s="18" t="str">
        <f t="shared" si="163"/>
        <v>מינהלי - עובדי מדינה</v>
      </c>
      <c r="K87" s="189">
        <f t="shared" si="164"/>
        <v>1</v>
      </c>
      <c r="L87" s="18">
        <f t="shared" si="165"/>
        <v>12</v>
      </c>
      <c r="M87" s="129" t="str">
        <f t="shared" si="166"/>
        <v>17+</v>
      </c>
      <c r="N87" s="189"/>
      <c r="O87" s="132">
        <f t="shared" si="167"/>
        <v>1012</v>
      </c>
      <c r="P87" s="127">
        <f t="shared" si="168"/>
        <v>37</v>
      </c>
      <c r="Q87" s="127">
        <f t="shared" si="169"/>
        <v>22.75</v>
      </c>
      <c r="R87" s="128">
        <f t="shared" si="170"/>
        <v>92</v>
      </c>
      <c r="S87" s="130">
        <f t="shared" si="171"/>
        <v>1.2540512286990533</v>
      </c>
      <c r="T87" s="135">
        <f t="shared" si="108"/>
        <v>0</v>
      </c>
      <c r="U87" s="127">
        <f t="shared" si="109"/>
        <v>0</v>
      </c>
      <c r="V87" s="217">
        <v>0</v>
      </c>
      <c r="W87" s="191">
        <v>0</v>
      </c>
      <c r="X87" s="133">
        <v>0</v>
      </c>
      <c r="Y87" s="131">
        <f t="shared" si="110"/>
        <v>2438.5</v>
      </c>
      <c r="Z87" s="131">
        <f t="shared" si="111"/>
        <v>619.50392118264142</v>
      </c>
      <c r="AA87" s="242">
        <f t="shared" si="112"/>
        <v>3058.0039211826415</v>
      </c>
      <c r="AB87" s="131">
        <f t="shared" si="113"/>
        <v>0</v>
      </c>
      <c r="AC87" s="131">
        <f t="shared" si="114"/>
        <v>139.48055684730568</v>
      </c>
      <c r="AD87" s="131">
        <f t="shared" si="115"/>
        <v>0</v>
      </c>
      <c r="AE87" s="131">
        <f t="shared" si="116"/>
        <v>0</v>
      </c>
      <c r="AF87" s="131">
        <f t="shared" si="117"/>
        <v>75.260000000000005</v>
      </c>
      <c r="AG87" s="131">
        <f t="shared" si="118"/>
        <v>0</v>
      </c>
      <c r="AH87" s="131">
        <f t="shared" si="119"/>
        <v>0</v>
      </c>
      <c r="AI87" s="131">
        <f t="shared" si="120"/>
        <v>0</v>
      </c>
      <c r="AJ87" s="131">
        <f t="shared" si="121"/>
        <v>0</v>
      </c>
      <c r="AK87" s="131"/>
      <c r="AL87" s="131">
        <f t="shared" si="122"/>
        <v>0</v>
      </c>
      <c r="AM87" s="131"/>
      <c r="AN87" s="243">
        <f t="shared" si="123"/>
        <v>0</v>
      </c>
      <c r="AO87" s="131">
        <f t="shared" si="124"/>
        <v>0</v>
      </c>
      <c r="AP87" s="131">
        <f t="shared" si="125"/>
        <v>0</v>
      </c>
      <c r="AQ87" s="131"/>
      <c r="AR87" s="131">
        <f t="shared" si="126"/>
        <v>0</v>
      </c>
      <c r="AS87" s="131">
        <f t="shared" si="172"/>
        <v>0</v>
      </c>
      <c r="AT87" s="131">
        <f t="shared" si="127"/>
        <v>0</v>
      </c>
      <c r="AU87" s="131">
        <f t="shared" si="128"/>
        <v>0</v>
      </c>
      <c r="AV87" s="131"/>
      <c r="AW87" s="131">
        <f t="shared" si="129"/>
        <v>353.75</v>
      </c>
      <c r="AX87" s="131">
        <f t="shared" si="183"/>
        <v>0</v>
      </c>
      <c r="AY87" s="131">
        <f t="shared" si="130"/>
        <v>0</v>
      </c>
      <c r="AZ87" s="131"/>
      <c r="BA87" s="131">
        <f t="shared" si="184"/>
        <v>0</v>
      </c>
      <c r="BB87" s="131"/>
      <c r="BC87" s="131"/>
      <c r="BD87" s="131">
        <f t="shared" si="131"/>
        <v>0</v>
      </c>
      <c r="BE87" s="131"/>
      <c r="BF87" s="131">
        <f t="shared" si="173"/>
        <v>0</v>
      </c>
      <c r="BG87" s="131">
        <f t="shared" si="174"/>
        <v>0</v>
      </c>
      <c r="BH87" s="131"/>
      <c r="BI87" s="131"/>
      <c r="BJ87" s="131"/>
      <c r="BK87" s="131">
        <f t="shared" si="175"/>
        <v>0</v>
      </c>
      <c r="BL87" s="131"/>
      <c r="BM87" s="131"/>
      <c r="BN87" s="131">
        <f t="shared" si="176"/>
        <v>0</v>
      </c>
      <c r="BO87" s="131"/>
      <c r="BP87" s="131">
        <f t="shared" si="177"/>
        <v>0</v>
      </c>
      <c r="BQ87" s="131"/>
      <c r="BR87" s="131"/>
      <c r="BS87" s="131"/>
      <c r="BT87" s="131"/>
      <c r="BU87" s="131"/>
      <c r="BV87" s="131">
        <f t="shared" si="178"/>
        <v>0</v>
      </c>
      <c r="BW87" s="131"/>
      <c r="BX87" s="131"/>
      <c r="BY87" s="131"/>
      <c r="BZ87" s="131">
        <f t="shared" si="179"/>
        <v>0</v>
      </c>
      <c r="CA87" s="131"/>
      <c r="CB87" s="136">
        <f t="shared" si="132"/>
        <v>165.08663357180151</v>
      </c>
      <c r="CC87" s="131">
        <f t="shared" si="133"/>
        <v>0</v>
      </c>
      <c r="CD87" s="136">
        <f t="shared" si="134"/>
        <v>0</v>
      </c>
      <c r="CE87" s="131">
        <f t="shared" si="182"/>
        <v>0</v>
      </c>
      <c r="CF87" s="136">
        <f t="shared" si="135"/>
        <v>0</v>
      </c>
      <c r="CG87" s="136"/>
      <c r="CH87" s="136">
        <f t="shared" si="181"/>
        <v>0</v>
      </c>
      <c r="CI87" s="131">
        <f t="shared" si="136"/>
        <v>0</v>
      </c>
      <c r="CJ87" s="131"/>
      <c r="CK87" s="136">
        <f t="shared" si="137"/>
        <v>0</v>
      </c>
      <c r="CL87" s="136">
        <f t="shared" si="138"/>
        <v>0</v>
      </c>
      <c r="CM87" s="131">
        <f t="shared" si="139"/>
        <v>0</v>
      </c>
      <c r="CN87" s="136">
        <f t="shared" si="140"/>
        <v>0</v>
      </c>
      <c r="CO87" s="136">
        <f t="shared" si="141"/>
        <v>0</v>
      </c>
      <c r="CP87" s="136">
        <f t="shared" si="142"/>
        <v>0</v>
      </c>
      <c r="CQ87" s="136"/>
      <c r="CR87" s="136">
        <f t="shared" si="143"/>
        <v>0</v>
      </c>
      <c r="CS87" s="136"/>
      <c r="CT87" s="136"/>
      <c r="CU87" s="136"/>
      <c r="CV87" s="136"/>
      <c r="CW87" s="136"/>
      <c r="CX87" s="136"/>
      <c r="CY87" s="136"/>
      <c r="CZ87" s="136">
        <f t="shared" si="144"/>
        <v>0</v>
      </c>
      <c r="DA87" s="136">
        <f t="shared" si="145"/>
        <v>0</v>
      </c>
      <c r="DB87" s="136">
        <f t="shared" si="146"/>
        <v>0</v>
      </c>
      <c r="DC87" s="131">
        <f t="shared" si="105"/>
        <v>0</v>
      </c>
      <c r="DD87" s="131">
        <f t="shared" si="147"/>
        <v>0</v>
      </c>
      <c r="DE87" s="131">
        <f t="shared" si="148"/>
        <v>0</v>
      </c>
      <c r="DF87" s="131">
        <f t="shared" si="149"/>
        <v>0</v>
      </c>
      <c r="DG87" s="131">
        <f t="shared" si="150"/>
        <v>0</v>
      </c>
      <c r="DH87" s="131"/>
      <c r="DI87" s="131"/>
      <c r="DJ87" s="131"/>
      <c r="DK87" s="137">
        <f t="shared" si="180"/>
        <v>3791.5811116017489</v>
      </c>
      <c r="DL87" s="227" t="e">
        <f t="shared" si="151"/>
        <v>#REF!</v>
      </c>
      <c r="DM87" s="227" t="e">
        <f t="shared" si="152"/>
        <v>#REF!</v>
      </c>
      <c r="DN87" s="228" t="e">
        <f t="shared" si="106"/>
        <v>#REF!</v>
      </c>
      <c r="DO87" s="228">
        <f t="shared" si="153"/>
        <v>181.81087083894022</v>
      </c>
      <c r="DP87" s="228" t="e">
        <f t="shared" si="154"/>
        <v>#REF!</v>
      </c>
      <c r="DQ87" s="228" t="e">
        <f t="shared" si="155"/>
        <v>#REF!</v>
      </c>
    </row>
    <row r="88" spans="1:121">
      <c r="A88" s="132">
        <f t="shared" si="107"/>
        <v>78</v>
      </c>
      <c r="B88" s="18">
        <f t="shared" si="156"/>
        <v>78</v>
      </c>
      <c r="C88" s="18">
        <f>IF(A88=0," ",VLOOKUP(B88,'tosafot '!$A$7:$B$234,2,0))</f>
        <v>6.2013999999999996</v>
      </c>
      <c r="D88" s="220">
        <f t="shared" si="157"/>
        <v>228</v>
      </c>
      <c r="E88" s="130">
        <f t="shared" si="158"/>
        <v>12.2026</v>
      </c>
      <c r="F88" s="126">
        <f t="shared" si="159"/>
        <v>9</v>
      </c>
      <c r="G88" s="18" t="str">
        <f t="shared" si="160"/>
        <v>הבריאות</v>
      </c>
      <c r="H88" s="189">
        <f t="shared" si="161"/>
        <v>107</v>
      </c>
      <c r="I88" s="18">
        <f t="shared" si="162"/>
        <v>1</v>
      </c>
      <c r="J88" s="18" t="str">
        <f t="shared" si="163"/>
        <v>מינהלי - עובדי מדינה</v>
      </c>
      <c r="K88" s="189">
        <f t="shared" si="164"/>
        <v>1</v>
      </c>
      <c r="L88" s="18">
        <f t="shared" si="165"/>
        <v>12</v>
      </c>
      <c r="M88" s="129" t="str">
        <f t="shared" si="166"/>
        <v>17+</v>
      </c>
      <c r="N88" s="189"/>
      <c r="O88" s="132">
        <f t="shared" si="167"/>
        <v>1012</v>
      </c>
      <c r="P88" s="127">
        <f t="shared" si="168"/>
        <v>37</v>
      </c>
      <c r="Q88" s="127">
        <f t="shared" si="169"/>
        <v>22.75</v>
      </c>
      <c r="R88" s="128">
        <f t="shared" si="170"/>
        <v>92</v>
      </c>
      <c r="S88" s="130">
        <f t="shared" si="171"/>
        <v>1.2540512286990533</v>
      </c>
      <c r="T88" s="135">
        <f t="shared" si="108"/>
        <v>0</v>
      </c>
      <c r="U88" s="127">
        <f t="shared" si="109"/>
        <v>0</v>
      </c>
      <c r="V88" s="217">
        <v>0</v>
      </c>
      <c r="W88" s="191">
        <v>0</v>
      </c>
      <c r="X88" s="133">
        <v>0</v>
      </c>
      <c r="Y88" s="131">
        <f t="shared" si="110"/>
        <v>2438.5</v>
      </c>
      <c r="Z88" s="131">
        <f t="shared" si="111"/>
        <v>619.50392118264142</v>
      </c>
      <c r="AA88" s="242">
        <f t="shared" si="112"/>
        <v>3058.0039211826415</v>
      </c>
      <c r="AB88" s="131">
        <f t="shared" si="113"/>
        <v>0</v>
      </c>
      <c r="AC88" s="131">
        <f t="shared" si="114"/>
        <v>139.48055684730568</v>
      </c>
      <c r="AD88" s="131">
        <f t="shared" si="115"/>
        <v>0</v>
      </c>
      <c r="AE88" s="131">
        <f t="shared" si="116"/>
        <v>0</v>
      </c>
      <c r="AF88" s="131">
        <f t="shared" si="117"/>
        <v>75.260000000000005</v>
      </c>
      <c r="AG88" s="131">
        <f t="shared" si="118"/>
        <v>0</v>
      </c>
      <c r="AH88" s="131">
        <f t="shared" si="119"/>
        <v>0</v>
      </c>
      <c r="AI88" s="131">
        <f t="shared" si="120"/>
        <v>0</v>
      </c>
      <c r="AJ88" s="131">
        <f t="shared" si="121"/>
        <v>0</v>
      </c>
      <c r="AK88" s="131"/>
      <c r="AL88" s="131">
        <f t="shared" si="122"/>
        <v>0</v>
      </c>
      <c r="AM88" s="131"/>
      <c r="AN88" s="243">
        <f t="shared" si="123"/>
        <v>0</v>
      </c>
      <c r="AO88" s="131">
        <f t="shared" si="124"/>
        <v>0</v>
      </c>
      <c r="AP88" s="131">
        <f t="shared" si="125"/>
        <v>0</v>
      </c>
      <c r="AQ88" s="131"/>
      <c r="AR88" s="131">
        <f t="shared" si="126"/>
        <v>0</v>
      </c>
      <c r="AS88" s="131">
        <f t="shared" si="172"/>
        <v>0</v>
      </c>
      <c r="AT88" s="131">
        <f t="shared" si="127"/>
        <v>0</v>
      </c>
      <c r="AU88" s="131">
        <f t="shared" si="128"/>
        <v>0</v>
      </c>
      <c r="AV88" s="131"/>
      <c r="AW88" s="131">
        <f t="shared" si="129"/>
        <v>353.75</v>
      </c>
      <c r="AX88" s="131">
        <f t="shared" si="183"/>
        <v>0</v>
      </c>
      <c r="AY88" s="131">
        <f t="shared" si="130"/>
        <v>0</v>
      </c>
      <c r="AZ88" s="131"/>
      <c r="BA88" s="131">
        <f t="shared" si="184"/>
        <v>0</v>
      </c>
      <c r="BB88" s="131"/>
      <c r="BC88" s="131"/>
      <c r="BD88" s="131">
        <f t="shared" si="131"/>
        <v>0</v>
      </c>
      <c r="BE88" s="131"/>
      <c r="BF88" s="131">
        <f t="shared" si="173"/>
        <v>0</v>
      </c>
      <c r="BG88" s="131">
        <f t="shared" si="174"/>
        <v>0</v>
      </c>
      <c r="BH88" s="131"/>
      <c r="BI88" s="131"/>
      <c r="BJ88" s="131"/>
      <c r="BK88" s="131">
        <f t="shared" si="175"/>
        <v>0</v>
      </c>
      <c r="BL88" s="131"/>
      <c r="BM88" s="131"/>
      <c r="BN88" s="131">
        <f t="shared" si="176"/>
        <v>0</v>
      </c>
      <c r="BO88" s="131"/>
      <c r="BP88" s="131">
        <f t="shared" si="177"/>
        <v>0</v>
      </c>
      <c r="BQ88" s="131"/>
      <c r="BR88" s="131"/>
      <c r="BS88" s="131"/>
      <c r="BT88" s="131"/>
      <c r="BU88" s="131"/>
      <c r="BV88" s="131">
        <f t="shared" si="178"/>
        <v>0</v>
      </c>
      <c r="BW88" s="131"/>
      <c r="BX88" s="131"/>
      <c r="BY88" s="131"/>
      <c r="BZ88" s="131">
        <f t="shared" si="179"/>
        <v>0</v>
      </c>
      <c r="CA88" s="131"/>
      <c r="CB88" s="136">
        <f t="shared" si="132"/>
        <v>165.08663357180151</v>
      </c>
      <c r="CC88" s="131">
        <f t="shared" si="133"/>
        <v>0</v>
      </c>
      <c r="CD88" s="136">
        <f t="shared" si="134"/>
        <v>0</v>
      </c>
      <c r="CE88" s="131">
        <f t="shared" si="182"/>
        <v>0</v>
      </c>
      <c r="CF88" s="136">
        <f t="shared" si="135"/>
        <v>0</v>
      </c>
      <c r="CG88" s="136"/>
      <c r="CH88" s="136">
        <f t="shared" si="181"/>
        <v>0</v>
      </c>
      <c r="CI88" s="131">
        <f t="shared" si="136"/>
        <v>0</v>
      </c>
      <c r="CJ88" s="131"/>
      <c r="CK88" s="136">
        <f t="shared" si="137"/>
        <v>0</v>
      </c>
      <c r="CL88" s="136">
        <f t="shared" si="138"/>
        <v>0</v>
      </c>
      <c r="CM88" s="131">
        <f t="shared" si="139"/>
        <v>0</v>
      </c>
      <c r="CN88" s="136">
        <f t="shared" si="140"/>
        <v>0</v>
      </c>
      <c r="CO88" s="136">
        <f t="shared" si="141"/>
        <v>0</v>
      </c>
      <c r="CP88" s="136">
        <f t="shared" si="142"/>
        <v>0</v>
      </c>
      <c r="CQ88" s="136"/>
      <c r="CR88" s="136">
        <f t="shared" si="143"/>
        <v>0</v>
      </c>
      <c r="CS88" s="136"/>
      <c r="CT88" s="136"/>
      <c r="CU88" s="136"/>
      <c r="CV88" s="136"/>
      <c r="CW88" s="136"/>
      <c r="CX88" s="136"/>
      <c r="CY88" s="136"/>
      <c r="CZ88" s="136">
        <f t="shared" si="144"/>
        <v>0</v>
      </c>
      <c r="DA88" s="136">
        <f t="shared" si="145"/>
        <v>0</v>
      </c>
      <c r="DB88" s="136">
        <f t="shared" si="146"/>
        <v>0</v>
      </c>
      <c r="DC88" s="131">
        <f t="shared" si="105"/>
        <v>0</v>
      </c>
      <c r="DD88" s="131">
        <f t="shared" si="147"/>
        <v>0</v>
      </c>
      <c r="DE88" s="131">
        <f t="shared" si="148"/>
        <v>0</v>
      </c>
      <c r="DF88" s="131">
        <f t="shared" si="149"/>
        <v>0</v>
      </c>
      <c r="DG88" s="131">
        <f t="shared" si="150"/>
        <v>0</v>
      </c>
      <c r="DH88" s="131"/>
      <c r="DI88" s="131"/>
      <c r="DJ88" s="131"/>
      <c r="DK88" s="137">
        <f t="shared" si="180"/>
        <v>3791.5811116017489</v>
      </c>
      <c r="DL88" s="227" t="e">
        <f t="shared" si="151"/>
        <v>#REF!</v>
      </c>
      <c r="DM88" s="227" t="e">
        <f t="shared" si="152"/>
        <v>#REF!</v>
      </c>
      <c r="DN88" s="228" t="e">
        <f t="shared" si="106"/>
        <v>#REF!</v>
      </c>
      <c r="DO88" s="228">
        <f t="shared" si="153"/>
        <v>181.81087083894022</v>
      </c>
      <c r="DP88" s="228" t="e">
        <f t="shared" si="154"/>
        <v>#REF!</v>
      </c>
      <c r="DQ88" s="228" t="e">
        <f t="shared" si="155"/>
        <v>#REF!</v>
      </c>
    </row>
    <row r="89" spans="1:121">
      <c r="A89" s="132">
        <f t="shared" si="107"/>
        <v>79</v>
      </c>
      <c r="B89" s="18">
        <f t="shared" si="156"/>
        <v>79</v>
      </c>
      <c r="C89" s="18">
        <f>IF(A89=0," ",VLOOKUP(B89,'tosafot '!$A$7:$B$234,2,0))</f>
        <v>7.2013999999999996</v>
      </c>
      <c r="D89" s="220">
        <f t="shared" si="157"/>
        <v>228</v>
      </c>
      <c r="E89" s="130">
        <f t="shared" si="158"/>
        <v>12.2026</v>
      </c>
      <c r="F89" s="126">
        <f t="shared" si="159"/>
        <v>9</v>
      </c>
      <c r="G89" s="18" t="str">
        <f t="shared" si="160"/>
        <v>הבריאות</v>
      </c>
      <c r="H89" s="189">
        <f t="shared" si="161"/>
        <v>107</v>
      </c>
      <c r="I89" s="18">
        <f t="shared" si="162"/>
        <v>1</v>
      </c>
      <c r="J89" s="18" t="str">
        <f t="shared" si="163"/>
        <v>מינהלי - עובדי מדינה</v>
      </c>
      <c r="K89" s="189">
        <f t="shared" si="164"/>
        <v>1</v>
      </c>
      <c r="L89" s="18">
        <f t="shared" si="165"/>
        <v>12</v>
      </c>
      <c r="M89" s="129" t="str">
        <f t="shared" si="166"/>
        <v>17+</v>
      </c>
      <c r="N89" s="189"/>
      <c r="O89" s="132">
        <f t="shared" si="167"/>
        <v>1012</v>
      </c>
      <c r="P89" s="127">
        <f t="shared" si="168"/>
        <v>37</v>
      </c>
      <c r="Q89" s="127">
        <f t="shared" si="169"/>
        <v>22.75</v>
      </c>
      <c r="R89" s="128">
        <f t="shared" si="170"/>
        <v>92</v>
      </c>
      <c r="S89" s="130">
        <f t="shared" si="171"/>
        <v>1.2540512286990533</v>
      </c>
      <c r="T89" s="135">
        <f t="shared" si="108"/>
        <v>0</v>
      </c>
      <c r="U89" s="127">
        <f t="shared" si="109"/>
        <v>0</v>
      </c>
      <c r="V89" s="217">
        <v>0</v>
      </c>
      <c r="W89" s="191">
        <v>0</v>
      </c>
      <c r="X89" s="133">
        <v>0</v>
      </c>
      <c r="Y89" s="131">
        <f t="shared" si="110"/>
        <v>2438.5</v>
      </c>
      <c r="Z89" s="131">
        <f t="shared" si="111"/>
        <v>619.50392118264142</v>
      </c>
      <c r="AA89" s="242">
        <f t="shared" si="112"/>
        <v>3058.0039211826415</v>
      </c>
      <c r="AB89" s="131">
        <f t="shared" si="113"/>
        <v>0</v>
      </c>
      <c r="AC89" s="131">
        <f t="shared" si="114"/>
        <v>139.48055684730568</v>
      </c>
      <c r="AD89" s="131">
        <f t="shared" si="115"/>
        <v>0</v>
      </c>
      <c r="AE89" s="131">
        <f t="shared" si="116"/>
        <v>0</v>
      </c>
      <c r="AF89" s="131">
        <f t="shared" si="117"/>
        <v>75.260000000000005</v>
      </c>
      <c r="AG89" s="131">
        <f t="shared" si="118"/>
        <v>0</v>
      </c>
      <c r="AH89" s="131">
        <f t="shared" si="119"/>
        <v>0</v>
      </c>
      <c r="AI89" s="131">
        <f t="shared" si="120"/>
        <v>0</v>
      </c>
      <c r="AJ89" s="131">
        <f t="shared" si="121"/>
        <v>0</v>
      </c>
      <c r="AK89" s="131"/>
      <c r="AL89" s="131">
        <f t="shared" si="122"/>
        <v>0</v>
      </c>
      <c r="AM89" s="131"/>
      <c r="AN89" s="243">
        <f t="shared" si="123"/>
        <v>0</v>
      </c>
      <c r="AO89" s="131">
        <f t="shared" si="124"/>
        <v>0</v>
      </c>
      <c r="AP89" s="131">
        <f t="shared" si="125"/>
        <v>0</v>
      </c>
      <c r="AQ89" s="131"/>
      <c r="AR89" s="131">
        <f t="shared" si="126"/>
        <v>0</v>
      </c>
      <c r="AS89" s="131">
        <f t="shared" si="172"/>
        <v>0</v>
      </c>
      <c r="AT89" s="131">
        <f t="shared" si="127"/>
        <v>0</v>
      </c>
      <c r="AU89" s="131">
        <f t="shared" si="128"/>
        <v>0</v>
      </c>
      <c r="AV89" s="131"/>
      <c r="AW89" s="131">
        <f t="shared" si="129"/>
        <v>353.75</v>
      </c>
      <c r="AX89" s="131">
        <f t="shared" si="183"/>
        <v>0</v>
      </c>
      <c r="AY89" s="131">
        <f t="shared" si="130"/>
        <v>0</v>
      </c>
      <c r="AZ89" s="131"/>
      <c r="BA89" s="131">
        <f t="shared" si="184"/>
        <v>0</v>
      </c>
      <c r="BB89" s="131"/>
      <c r="BC89" s="131"/>
      <c r="BD89" s="131">
        <f t="shared" si="131"/>
        <v>0</v>
      </c>
      <c r="BE89" s="131"/>
      <c r="BF89" s="131">
        <f t="shared" si="173"/>
        <v>0</v>
      </c>
      <c r="BG89" s="131">
        <f t="shared" si="174"/>
        <v>0</v>
      </c>
      <c r="BH89" s="131"/>
      <c r="BI89" s="131"/>
      <c r="BJ89" s="131"/>
      <c r="BK89" s="131">
        <f t="shared" si="175"/>
        <v>0</v>
      </c>
      <c r="BL89" s="131"/>
      <c r="BM89" s="131"/>
      <c r="BN89" s="131">
        <f t="shared" si="176"/>
        <v>0</v>
      </c>
      <c r="BO89" s="131"/>
      <c r="BP89" s="131">
        <f t="shared" si="177"/>
        <v>0</v>
      </c>
      <c r="BQ89" s="131"/>
      <c r="BR89" s="131"/>
      <c r="BS89" s="131"/>
      <c r="BT89" s="131"/>
      <c r="BU89" s="131"/>
      <c r="BV89" s="131">
        <f t="shared" si="178"/>
        <v>0</v>
      </c>
      <c r="BW89" s="131"/>
      <c r="BX89" s="131"/>
      <c r="BY89" s="131"/>
      <c r="BZ89" s="131">
        <f t="shared" si="179"/>
        <v>0</v>
      </c>
      <c r="CA89" s="131"/>
      <c r="CB89" s="136">
        <f t="shared" si="132"/>
        <v>165.08663357180151</v>
      </c>
      <c r="CC89" s="131">
        <f t="shared" si="133"/>
        <v>0</v>
      </c>
      <c r="CD89" s="136">
        <f t="shared" si="134"/>
        <v>0</v>
      </c>
      <c r="CE89" s="131">
        <f t="shared" si="182"/>
        <v>0</v>
      </c>
      <c r="CF89" s="136">
        <f t="shared" si="135"/>
        <v>0</v>
      </c>
      <c r="CG89" s="136"/>
      <c r="CH89" s="136">
        <f t="shared" si="181"/>
        <v>0</v>
      </c>
      <c r="CI89" s="131">
        <f t="shared" si="136"/>
        <v>0</v>
      </c>
      <c r="CJ89" s="131"/>
      <c r="CK89" s="136">
        <f t="shared" si="137"/>
        <v>0</v>
      </c>
      <c r="CL89" s="136">
        <f t="shared" si="138"/>
        <v>0</v>
      </c>
      <c r="CM89" s="131">
        <f t="shared" si="139"/>
        <v>0</v>
      </c>
      <c r="CN89" s="136">
        <f t="shared" si="140"/>
        <v>0</v>
      </c>
      <c r="CO89" s="136">
        <f t="shared" si="141"/>
        <v>0</v>
      </c>
      <c r="CP89" s="136">
        <f t="shared" si="142"/>
        <v>0</v>
      </c>
      <c r="CQ89" s="136"/>
      <c r="CR89" s="136">
        <f t="shared" si="143"/>
        <v>0</v>
      </c>
      <c r="CS89" s="136"/>
      <c r="CT89" s="136"/>
      <c r="CU89" s="136"/>
      <c r="CV89" s="136"/>
      <c r="CW89" s="136"/>
      <c r="CX89" s="136"/>
      <c r="CY89" s="136"/>
      <c r="CZ89" s="136">
        <f t="shared" si="144"/>
        <v>0</v>
      </c>
      <c r="DA89" s="136">
        <f t="shared" si="145"/>
        <v>0</v>
      </c>
      <c r="DB89" s="136">
        <f t="shared" si="146"/>
        <v>0</v>
      </c>
      <c r="DC89" s="131">
        <f t="shared" si="105"/>
        <v>0</v>
      </c>
      <c r="DD89" s="131">
        <f t="shared" si="147"/>
        <v>0</v>
      </c>
      <c r="DE89" s="131">
        <f t="shared" si="148"/>
        <v>0</v>
      </c>
      <c r="DF89" s="131">
        <f t="shared" si="149"/>
        <v>0</v>
      </c>
      <c r="DG89" s="131">
        <f t="shared" si="150"/>
        <v>0</v>
      </c>
      <c r="DH89" s="131"/>
      <c r="DI89" s="131"/>
      <c r="DJ89" s="131"/>
      <c r="DK89" s="137">
        <f t="shared" si="180"/>
        <v>3791.5811116017489</v>
      </c>
      <c r="DL89" s="227" t="e">
        <f t="shared" si="151"/>
        <v>#REF!</v>
      </c>
      <c r="DM89" s="227" t="e">
        <f t="shared" si="152"/>
        <v>#REF!</v>
      </c>
      <c r="DN89" s="228" t="e">
        <f t="shared" si="106"/>
        <v>#REF!</v>
      </c>
      <c r="DO89" s="228">
        <f t="shared" si="153"/>
        <v>181.81087083894022</v>
      </c>
      <c r="DP89" s="228" t="e">
        <f t="shared" si="154"/>
        <v>#REF!</v>
      </c>
      <c r="DQ89" s="228" t="e">
        <f t="shared" si="155"/>
        <v>#REF!</v>
      </c>
    </row>
    <row r="90" spans="1:121">
      <c r="A90" s="132">
        <f t="shared" si="107"/>
        <v>80</v>
      </c>
      <c r="B90" s="18">
        <f t="shared" si="156"/>
        <v>80</v>
      </c>
      <c r="C90" s="18">
        <f>IF(A90=0," ",VLOOKUP(B90,'tosafot '!$A$7:$B$234,2,0))</f>
        <v>8.2013999999999996</v>
      </c>
      <c r="D90" s="220">
        <f t="shared" si="157"/>
        <v>228</v>
      </c>
      <c r="E90" s="130">
        <f t="shared" si="158"/>
        <v>12.2026</v>
      </c>
      <c r="F90" s="126">
        <f t="shared" si="159"/>
        <v>9</v>
      </c>
      <c r="G90" s="18" t="str">
        <f t="shared" si="160"/>
        <v>הבריאות</v>
      </c>
      <c r="H90" s="189">
        <f t="shared" si="161"/>
        <v>107</v>
      </c>
      <c r="I90" s="18">
        <f t="shared" si="162"/>
        <v>1</v>
      </c>
      <c r="J90" s="18" t="str">
        <f t="shared" si="163"/>
        <v>מינהלי - עובדי מדינה</v>
      </c>
      <c r="K90" s="189">
        <f t="shared" si="164"/>
        <v>1</v>
      </c>
      <c r="L90" s="18">
        <f t="shared" si="165"/>
        <v>12</v>
      </c>
      <c r="M90" s="129" t="str">
        <f t="shared" si="166"/>
        <v>17+</v>
      </c>
      <c r="N90" s="189"/>
      <c r="O90" s="132">
        <f t="shared" si="167"/>
        <v>1012</v>
      </c>
      <c r="P90" s="127">
        <f t="shared" si="168"/>
        <v>37</v>
      </c>
      <c r="Q90" s="127">
        <f t="shared" si="169"/>
        <v>22.75</v>
      </c>
      <c r="R90" s="128">
        <f t="shared" si="170"/>
        <v>92</v>
      </c>
      <c r="S90" s="130">
        <f t="shared" si="171"/>
        <v>1.2540512286990533</v>
      </c>
      <c r="T90" s="135">
        <f t="shared" si="108"/>
        <v>0</v>
      </c>
      <c r="U90" s="127">
        <f t="shared" si="109"/>
        <v>0</v>
      </c>
      <c r="V90" s="217">
        <v>0</v>
      </c>
      <c r="W90" s="191">
        <v>0</v>
      </c>
      <c r="X90" s="133">
        <v>0</v>
      </c>
      <c r="Y90" s="131">
        <f t="shared" si="110"/>
        <v>2438.5</v>
      </c>
      <c r="Z90" s="131">
        <f t="shared" si="111"/>
        <v>619.50392118264142</v>
      </c>
      <c r="AA90" s="242">
        <f t="shared" si="112"/>
        <v>3058.0039211826415</v>
      </c>
      <c r="AB90" s="131">
        <f t="shared" si="113"/>
        <v>0</v>
      </c>
      <c r="AC90" s="131">
        <f t="shared" si="114"/>
        <v>139.48055684730568</v>
      </c>
      <c r="AD90" s="131">
        <f t="shared" si="115"/>
        <v>0</v>
      </c>
      <c r="AE90" s="131">
        <f t="shared" si="116"/>
        <v>0</v>
      </c>
      <c r="AF90" s="131">
        <f t="shared" si="117"/>
        <v>75.260000000000005</v>
      </c>
      <c r="AG90" s="131">
        <f t="shared" si="118"/>
        <v>0</v>
      </c>
      <c r="AH90" s="131">
        <f t="shared" si="119"/>
        <v>0</v>
      </c>
      <c r="AI90" s="131">
        <f t="shared" si="120"/>
        <v>0</v>
      </c>
      <c r="AJ90" s="131">
        <f t="shared" si="121"/>
        <v>0</v>
      </c>
      <c r="AK90" s="131"/>
      <c r="AL90" s="131">
        <f t="shared" si="122"/>
        <v>0</v>
      </c>
      <c r="AM90" s="131"/>
      <c r="AN90" s="243">
        <f t="shared" si="123"/>
        <v>0</v>
      </c>
      <c r="AO90" s="131">
        <f t="shared" si="124"/>
        <v>0</v>
      </c>
      <c r="AP90" s="131">
        <f t="shared" si="125"/>
        <v>0</v>
      </c>
      <c r="AQ90" s="131"/>
      <c r="AR90" s="131">
        <f t="shared" si="126"/>
        <v>0</v>
      </c>
      <c r="AS90" s="131">
        <f t="shared" si="172"/>
        <v>0</v>
      </c>
      <c r="AT90" s="131">
        <f t="shared" si="127"/>
        <v>0</v>
      </c>
      <c r="AU90" s="131">
        <f t="shared" si="128"/>
        <v>0</v>
      </c>
      <c r="AV90" s="131"/>
      <c r="AW90" s="131">
        <f t="shared" si="129"/>
        <v>353.75</v>
      </c>
      <c r="AX90" s="131">
        <f t="shared" si="183"/>
        <v>0</v>
      </c>
      <c r="AY90" s="131">
        <f t="shared" si="130"/>
        <v>0</v>
      </c>
      <c r="AZ90" s="131"/>
      <c r="BA90" s="131">
        <f t="shared" si="184"/>
        <v>0</v>
      </c>
      <c r="BB90" s="131"/>
      <c r="BC90" s="131"/>
      <c r="BD90" s="131">
        <f t="shared" si="131"/>
        <v>0</v>
      </c>
      <c r="BE90" s="131"/>
      <c r="BF90" s="131">
        <f t="shared" si="173"/>
        <v>0</v>
      </c>
      <c r="BG90" s="131">
        <f t="shared" si="174"/>
        <v>0</v>
      </c>
      <c r="BH90" s="131"/>
      <c r="BI90" s="131"/>
      <c r="BJ90" s="131"/>
      <c r="BK90" s="131">
        <f t="shared" si="175"/>
        <v>0</v>
      </c>
      <c r="BL90" s="131"/>
      <c r="BM90" s="131"/>
      <c r="BN90" s="131">
        <f t="shared" si="176"/>
        <v>0</v>
      </c>
      <c r="BO90" s="131"/>
      <c r="BP90" s="131">
        <f t="shared" si="177"/>
        <v>0</v>
      </c>
      <c r="BQ90" s="131"/>
      <c r="BR90" s="131"/>
      <c r="BS90" s="131"/>
      <c r="BT90" s="131"/>
      <c r="BU90" s="131"/>
      <c r="BV90" s="131">
        <f t="shared" si="178"/>
        <v>0</v>
      </c>
      <c r="BW90" s="131"/>
      <c r="BX90" s="131"/>
      <c r="BY90" s="131"/>
      <c r="BZ90" s="131">
        <f t="shared" si="179"/>
        <v>0</v>
      </c>
      <c r="CA90" s="131"/>
      <c r="CB90" s="136">
        <f t="shared" si="132"/>
        <v>165.08663357180151</v>
      </c>
      <c r="CC90" s="131">
        <f t="shared" si="133"/>
        <v>0</v>
      </c>
      <c r="CD90" s="136">
        <f t="shared" si="134"/>
        <v>0</v>
      </c>
      <c r="CE90" s="131">
        <f t="shared" si="182"/>
        <v>0</v>
      </c>
      <c r="CF90" s="136">
        <f t="shared" si="135"/>
        <v>0</v>
      </c>
      <c r="CG90" s="136"/>
      <c r="CH90" s="136">
        <f t="shared" si="181"/>
        <v>0</v>
      </c>
      <c r="CI90" s="131">
        <f t="shared" si="136"/>
        <v>0</v>
      </c>
      <c r="CJ90" s="131"/>
      <c r="CK90" s="136">
        <f t="shared" si="137"/>
        <v>0</v>
      </c>
      <c r="CL90" s="136">
        <f t="shared" si="138"/>
        <v>0</v>
      </c>
      <c r="CM90" s="131">
        <f t="shared" si="139"/>
        <v>0</v>
      </c>
      <c r="CN90" s="136">
        <f t="shared" si="140"/>
        <v>0</v>
      </c>
      <c r="CO90" s="136">
        <f t="shared" si="141"/>
        <v>0</v>
      </c>
      <c r="CP90" s="136">
        <f t="shared" si="142"/>
        <v>0</v>
      </c>
      <c r="CQ90" s="136"/>
      <c r="CR90" s="136">
        <f t="shared" si="143"/>
        <v>0</v>
      </c>
      <c r="CS90" s="136"/>
      <c r="CT90" s="136"/>
      <c r="CU90" s="136"/>
      <c r="CV90" s="136"/>
      <c r="CW90" s="136"/>
      <c r="CX90" s="136"/>
      <c r="CY90" s="136"/>
      <c r="CZ90" s="136">
        <f t="shared" si="144"/>
        <v>0</v>
      </c>
      <c r="DA90" s="136">
        <f t="shared" si="145"/>
        <v>0</v>
      </c>
      <c r="DB90" s="136">
        <f t="shared" si="146"/>
        <v>0</v>
      </c>
      <c r="DC90" s="131">
        <f t="shared" si="105"/>
        <v>0</v>
      </c>
      <c r="DD90" s="131">
        <f t="shared" si="147"/>
        <v>0</v>
      </c>
      <c r="DE90" s="131">
        <f t="shared" si="148"/>
        <v>0</v>
      </c>
      <c r="DF90" s="131">
        <f t="shared" si="149"/>
        <v>0</v>
      </c>
      <c r="DG90" s="131">
        <f t="shared" si="150"/>
        <v>0</v>
      </c>
      <c r="DH90" s="131"/>
      <c r="DI90" s="131"/>
      <c r="DJ90" s="131"/>
      <c r="DK90" s="137">
        <f t="shared" si="180"/>
        <v>3791.5811116017489</v>
      </c>
      <c r="DL90" s="227" t="e">
        <f t="shared" si="151"/>
        <v>#REF!</v>
      </c>
      <c r="DM90" s="227" t="e">
        <f t="shared" si="152"/>
        <v>#REF!</v>
      </c>
      <c r="DN90" s="228" t="e">
        <f t="shared" si="106"/>
        <v>#REF!</v>
      </c>
      <c r="DO90" s="228">
        <f t="shared" si="153"/>
        <v>181.81087083894022</v>
      </c>
      <c r="DP90" s="228" t="e">
        <f t="shared" si="154"/>
        <v>#REF!</v>
      </c>
      <c r="DQ90" s="228" t="e">
        <f t="shared" si="155"/>
        <v>#REF!</v>
      </c>
    </row>
    <row r="91" spans="1:121">
      <c r="A91" s="132">
        <f t="shared" si="107"/>
        <v>81</v>
      </c>
      <c r="B91" s="18">
        <f t="shared" si="156"/>
        <v>81</v>
      </c>
      <c r="C91" s="18">
        <f>IF(A91=0," ",VLOOKUP(B91,'tosafot '!$A$7:$B$234,2,0))</f>
        <v>9.2013999999999996</v>
      </c>
      <c r="D91" s="220">
        <f t="shared" si="157"/>
        <v>228</v>
      </c>
      <c r="E91" s="130">
        <f t="shared" si="158"/>
        <v>12.2026</v>
      </c>
      <c r="F91" s="126">
        <f t="shared" si="159"/>
        <v>9</v>
      </c>
      <c r="G91" s="18" t="str">
        <f t="shared" si="160"/>
        <v>הבריאות</v>
      </c>
      <c r="H91" s="189">
        <f t="shared" si="161"/>
        <v>107</v>
      </c>
      <c r="I91" s="18">
        <f t="shared" si="162"/>
        <v>1</v>
      </c>
      <c r="J91" s="18" t="str">
        <f t="shared" si="163"/>
        <v>מינהלי - עובדי מדינה</v>
      </c>
      <c r="K91" s="189">
        <f t="shared" si="164"/>
        <v>1</v>
      </c>
      <c r="L91" s="18">
        <f t="shared" si="165"/>
        <v>12</v>
      </c>
      <c r="M91" s="129" t="str">
        <f t="shared" si="166"/>
        <v>17+</v>
      </c>
      <c r="N91" s="189"/>
      <c r="O91" s="132">
        <f t="shared" si="167"/>
        <v>1012</v>
      </c>
      <c r="P91" s="127">
        <f t="shared" si="168"/>
        <v>37</v>
      </c>
      <c r="Q91" s="127">
        <f t="shared" si="169"/>
        <v>22.75</v>
      </c>
      <c r="R91" s="128">
        <f t="shared" si="170"/>
        <v>92</v>
      </c>
      <c r="S91" s="130">
        <f t="shared" si="171"/>
        <v>1.2540512286990533</v>
      </c>
      <c r="T91" s="135">
        <f t="shared" si="108"/>
        <v>0</v>
      </c>
      <c r="U91" s="127">
        <f t="shared" si="109"/>
        <v>0</v>
      </c>
      <c r="V91" s="217">
        <v>0</v>
      </c>
      <c r="W91" s="191">
        <v>0</v>
      </c>
      <c r="X91" s="133">
        <v>0</v>
      </c>
      <c r="Y91" s="131">
        <f t="shared" si="110"/>
        <v>2438.5</v>
      </c>
      <c r="Z91" s="131">
        <f t="shared" si="111"/>
        <v>619.50392118264142</v>
      </c>
      <c r="AA91" s="242">
        <f t="shared" si="112"/>
        <v>3058.0039211826415</v>
      </c>
      <c r="AB91" s="131">
        <f t="shared" si="113"/>
        <v>0</v>
      </c>
      <c r="AC91" s="131">
        <f t="shared" si="114"/>
        <v>139.48055684730568</v>
      </c>
      <c r="AD91" s="131">
        <f t="shared" si="115"/>
        <v>0</v>
      </c>
      <c r="AE91" s="131">
        <f t="shared" si="116"/>
        <v>0</v>
      </c>
      <c r="AF91" s="131">
        <f t="shared" si="117"/>
        <v>75.260000000000005</v>
      </c>
      <c r="AG91" s="131">
        <f t="shared" si="118"/>
        <v>0</v>
      </c>
      <c r="AH91" s="131">
        <f t="shared" si="119"/>
        <v>0</v>
      </c>
      <c r="AI91" s="131">
        <f t="shared" si="120"/>
        <v>0</v>
      </c>
      <c r="AJ91" s="131">
        <f t="shared" si="121"/>
        <v>0</v>
      </c>
      <c r="AK91" s="131"/>
      <c r="AL91" s="131">
        <f t="shared" si="122"/>
        <v>0</v>
      </c>
      <c r="AM91" s="131"/>
      <c r="AN91" s="243">
        <f t="shared" si="123"/>
        <v>0</v>
      </c>
      <c r="AO91" s="131">
        <f t="shared" si="124"/>
        <v>0</v>
      </c>
      <c r="AP91" s="131">
        <f t="shared" si="125"/>
        <v>0</v>
      </c>
      <c r="AQ91" s="131"/>
      <c r="AR91" s="131">
        <f t="shared" si="126"/>
        <v>0</v>
      </c>
      <c r="AS91" s="131">
        <f t="shared" si="172"/>
        <v>0</v>
      </c>
      <c r="AT91" s="131">
        <f t="shared" si="127"/>
        <v>0</v>
      </c>
      <c r="AU91" s="131">
        <f t="shared" si="128"/>
        <v>0</v>
      </c>
      <c r="AV91" s="131"/>
      <c r="AW91" s="131">
        <f t="shared" si="129"/>
        <v>353.75</v>
      </c>
      <c r="AX91" s="131">
        <f t="shared" si="183"/>
        <v>0</v>
      </c>
      <c r="AY91" s="131">
        <f t="shared" si="130"/>
        <v>0</v>
      </c>
      <c r="AZ91" s="131"/>
      <c r="BA91" s="131">
        <f t="shared" si="184"/>
        <v>0</v>
      </c>
      <c r="BB91" s="131"/>
      <c r="BC91" s="131"/>
      <c r="BD91" s="131">
        <f t="shared" si="131"/>
        <v>0</v>
      </c>
      <c r="BE91" s="131"/>
      <c r="BF91" s="131">
        <f t="shared" si="173"/>
        <v>0</v>
      </c>
      <c r="BG91" s="131">
        <f t="shared" si="174"/>
        <v>0</v>
      </c>
      <c r="BH91" s="131"/>
      <c r="BI91" s="131"/>
      <c r="BJ91" s="131"/>
      <c r="BK91" s="131">
        <f t="shared" si="175"/>
        <v>0</v>
      </c>
      <c r="BL91" s="131"/>
      <c r="BM91" s="131"/>
      <c r="BN91" s="131">
        <f t="shared" si="176"/>
        <v>0</v>
      </c>
      <c r="BO91" s="131"/>
      <c r="BP91" s="131">
        <f t="shared" si="177"/>
        <v>0</v>
      </c>
      <c r="BQ91" s="131"/>
      <c r="BR91" s="131"/>
      <c r="BS91" s="131"/>
      <c r="BT91" s="131"/>
      <c r="BU91" s="131"/>
      <c r="BV91" s="131">
        <f t="shared" si="178"/>
        <v>0</v>
      </c>
      <c r="BW91" s="131"/>
      <c r="BX91" s="131"/>
      <c r="BY91" s="131"/>
      <c r="BZ91" s="131">
        <f t="shared" si="179"/>
        <v>0</v>
      </c>
      <c r="CA91" s="131"/>
      <c r="CB91" s="136">
        <f t="shared" si="132"/>
        <v>165.08663357180151</v>
      </c>
      <c r="CC91" s="131">
        <f t="shared" si="133"/>
        <v>0</v>
      </c>
      <c r="CD91" s="136">
        <f t="shared" si="134"/>
        <v>0</v>
      </c>
      <c r="CE91" s="131">
        <f t="shared" si="182"/>
        <v>0</v>
      </c>
      <c r="CF91" s="136">
        <f t="shared" si="135"/>
        <v>0</v>
      </c>
      <c r="CG91" s="136"/>
      <c r="CH91" s="136">
        <f t="shared" si="181"/>
        <v>0</v>
      </c>
      <c r="CI91" s="131">
        <f t="shared" si="136"/>
        <v>0</v>
      </c>
      <c r="CJ91" s="131"/>
      <c r="CK91" s="136">
        <f t="shared" si="137"/>
        <v>0</v>
      </c>
      <c r="CL91" s="136">
        <f t="shared" si="138"/>
        <v>0</v>
      </c>
      <c r="CM91" s="131">
        <f t="shared" si="139"/>
        <v>0</v>
      </c>
      <c r="CN91" s="136">
        <f t="shared" si="140"/>
        <v>0</v>
      </c>
      <c r="CO91" s="136">
        <f t="shared" si="141"/>
        <v>0</v>
      </c>
      <c r="CP91" s="136">
        <f t="shared" si="142"/>
        <v>0</v>
      </c>
      <c r="CQ91" s="136"/>
      <c r="CR91" s="136">
        <f t="shared" si="143"/>
        <v>0</v>
      </c>
      <c r="CS91" s="136"/>
      <c r="CT91" s="136"/>
      <c r="CU91" s="136"/>
      <c r="CV91" s="136"/>
      <c r="CW91" s="136"/>
      <c r="CX91" s="136"/>
      <c r="CY91" s="136"/>
      <c r="CZ91" s="136">
        <f t="shared" si="144"/>
        <v>0</v>
      </c>
      <c r="DA91" s="136">
        <f t="shared" si="145"/>
        <v>0</v>
      </c>
      <c r="DB91" s="136">
        <f t="shared" si="146"/>
        <v>0</v>
      </c>
      <c r="DC91" s="131">
        <f t="shared" si="105"/>
        <v>0</v>
      </c>
      <c r="DD91" s="131">
        <f t="shared" si="147"/>
        <v>0</v>
      </c>
      <c r="DE91" s="131">
        <f t="shared" si="148"/>
        <v>0</v>
      </c>
      <c r="DF91" s="131">
        <f t="shared" si="149"/>
        <v>0</v>
      </c>
      <c r="DG91" s="131">
        <f t="shared" si="150"/>
        <v>0</v>
      </c>
      <c r="DH91" s="131"/>
      <c r="DI91" s="131"/>
      <c r="DJ91" s="131"/>
      <c r="DK91" s="137">
        <f t="shared" si="180"/>
        <v>3791.5811116017489</v>
      </c>
      <c r="DL91" s="227" t="e">
        <f t="shared" si="151"/>
        <v>#REF!</v>
      </c>
      <c r="DM91" s="227" t="e">
        <f t="shared" si="152"/>
        <v>#REF!</v>
      </c>
      <c r="DN91" s="228" t="e">
        <f t="shared" si="106"/>
        <v>#REF!</v>
      </c>
      <c r="DO91" s="228">
        <f t="shared" si="153"/>
        <v>181.81087083894022</v>
      </c>
      <c r="DP91" s="228" t="e">
        <f t="shared" si="154"/>
        <v>#REF!</v>
      </c>
      <c r="DQ91" s="228" t="e">
        <f t="shared" si="155"/>
        <v>#REF!</v>
      </c>
    </row>
    <row r="92" spans="1:121">
      <c r="A92" s="132">
        <f t="shared" si="107"/>
        <v>82</v>
      </c>
      <c r="B92" s="18">
        <f t="shared" si="156"/>
        <v>82</v>
      </c>
      <c r="C92" s="18">
        <f>IF(A92=0," ",VLOOKUP(B92,'tosafot '!$A$7:$B$234,2,0))</f>
        <v>10.2014</v>
      </c>
      <c r="D92" s="220">
        <f t="shared" si="157"/>
        <v>228</v>
      </c>
      <c r="E92" s="130">
        <f t="shared" si="158"/>
        <v>12.2026</v>
      </c>
      <c r="F92" s="126">
        <f t="shared" si="159"/>
        <v>9</v>
      </c>
      <c r="G92" s="18" t="str">
        <f t="shared" si="160"/>
        <v>הבריאות</v>
      </c>
      <c r="H92" s="189">
        <f t="shared" si="161"/>
        <v>107</v>
      </c>
      <c r="I92" s="18">
        <f t="shared" si="162"/>
        <v>1</v>
      </c>
      <c r="J92" s="18" t="str">
        <f t="shared" si="163"/>
        <v>מינהלי - עובדי מדינה</v>
      </c>
      <c r="K92" s="189">
        <f t="shared" si="164"/>
        <v>1</v>
      </c>
      <c r="L92" s="18">
        <f t="shared" si="165"/>
        <v>12</v>
      </c>
      <c r="M92" s="129" t="str">
        <f t="shared" si="166"/>
        <v>17+</v>
      </c>
      <c r="N92" s="189"/>
      <c r="O92" s="132">
        <f t="shared" si="167"/>
        <v>1012</v>
      </c>
      <c r="P92" s="127">
        <f t="shared" si="168"/>
        <v>37</v>
      </c>
      <c r="Q92" s="127">
        <f t="shared" si="169"/>
        <v>22.75</v>
      </c>
      <c r="R92" s="128">
        <f t="shared" si="170"/>
        <v>92</v>
      </c>
      <c r="S92" s="130">
        <f t="shared" si="171"/>
        <v>1.2540512286990533</v>
      </c>
      <c r="T92" s="135">
        <f t="shared" si="108"/>
        <v>0</v>
      </c>
      <c r="U92" s="127">
        <f t="shared" si="109"/>
        <v>0</v>
      </c>
      <c r="V92" s="217">
        <v>0</v>
      </c>
      <c r="W92" s="191">
        <v>0</v>
      </c>
      <c r="X92" s="133">
        <v>0</v>
      </c>
      <c r="Y92" s="131">
        <f t="shared" si="110"/>
        <v>2438.5</v>
      </c>
      <c r="Z92" s="131">
        <f t="shared" si="111"/>
        <v>619.50392118264142</v>
      </c>
      <c r="AA92" s="242">
        <f t="shared" si="112"/>
        <v>3058.0039211826415</v>
      </c>
      <c r="AB92" s="131">
        <f t="shared" si="113"/>
        <v>0</v>
      </c>
      <c r="AC92" s="131">
        <f t="shared" si="114"/>
        <v>139.48055684730568</v>
      </c>
      <c r="AD92" s="131">
        <f t="shared" si="115"/>
        <v>0</v>
      </c>
      <c r="AE92" s="131">
        <f t="shared" si="116"/>
        <v>0</v>
      </c>
      <c r="AF92" s="131">
        <f t="shared" si="117"/>
        <v>75.260000000000005</v>
      </c>
      <c r="AG92" s="131">
        <f t="shared" si="118"/>
        <v>0</v>
      </c>
      <c r="AH92" s="131">
        <f t="shared" si="119"/>
        <v>0</v>
      </c>
      <c r="AI92" s="131">
        <f t="shared" si="120"/>
        <v>0</v>
      </c>
      <c r="AJ92" s="131">
        <f t="shared" si="121"/>
        <v>0</v>
      </c>
      <c r="AK92" s="131"/>
      <c r="AL92" s="131">
        <f t="shared" si="122"/>
        <v>0</v>
      </c>
      <c r="AM92" s="131"/>
      <c r="AN92" s="243">
        <f t="shared" si="123"/>
        <v>0</v>
      </c>
      <c r="AO92" s="131">
        <f t="shared" si="124"/>
        <v>0</v>
      </c>
      <c r="AP92" s="131">
        <f t="shared" si="125"/>
        <v>0</v>
      </c>
      <c r="AQ92" s="131"/>
      <c r="AR92" s="131">
        <f t="shared" si="126"/>
        <v>0</v>
      </c>
      <c r="AS92" s="131">
        <f t="shared" si="172"/>
        <v>0</v>
      </c>
      <c r="AT92" s="131">
        <f t="shared" si="127"/>
        <v>0</v>
      </c>
      <c r="AU92" s="131">
        <f t="shared" si="128"/>
        <v>0</v>
      </c>
      <c r="AV92" s="131"/>
      <c r="AW92" s="131">
        <f t="shared" si="129"/>
        <v>353.75</v>
      </c>
      <c r="AX92" s="131">
        <f t="shared" si="183"/>
        <v>0</v>
      </c>
      <c r="AY92" s="131">
        <f t="shared" si="130"/>
        <v>0</v>
      </c>
      <c r="AZ92" s="131"/>
      <c r="BA92" s="131">
        <f t="shared" si="184"/>
        <v>0</v>
      </c>
      <c r="BB92" s="131"/>
      <c r="BC92" s="131"/>
      <c r="BD92" s="131">
        <f t="shared" si="131"/>
        <v>0</v>
      </c>
      <c r="BE92" s="131"/>
      <c r="BF92" s="131">
        <f t="shared" si="173"/>
        <v>0</v>
      </c>
      <c r="BG92" s="131">
        <f t="shared" si="174"/>
        <v>0</v>
      </c>
      <c r="BH92" s="131"/>
      <c r="BI92" s="131"/>
      <c r="BJ92" s="131"/>
      <c r="BK92" s="131">
        <f t="shared" si="175"/>
        <v>0</v>
      </c>
      <c r="BL92" s="131"/>
      <c r="BM92" s="131"/>
      <c r="BN92" s="131">
        <f t="shared" si="176"/>
        <v>0</v>
      </c>
      <c r="BO92" s="131"/>
      <c r="BP92" s="131">
        <f t="shared" si="177"/>
        <v>0</v>
      </c>
      <c r="BQ92" s="131"/>
      <c r="BR92" s="131"/>
      <c r="BS92" s="131"/>
      <c r="BT92" s="131"/>
      <c r="BU92" s="131"/>
      <c r="BV92" s="131">
        <f t="shared" si="178"/>
        <v>0</v>
      </c>
      <c r="BW92" s="131"/>
      <c r="BX92" s="131"/>
      <c r="BY92" s="131"/>
      <c r="BZ92" s="131">
        <f t="shared" si="179"/>
        <v>0</v>
      </c>
      <c r="CA92" s="131"/>
      <c r="CB92" s="136">
        <f t="shared" si="132"/>
        <v>165.08663357180151</v>
      </c>
      <c r="CC92" s="131">
        <f t="shared" si="133"/>
        <v>0</v>
      </c>
      <c r="CD92" s="136">
        <f t="shared" si="134"/>
        <v>0</v>
      </c>
      <c r="CE92" s="131">
        <f t="shared" si="182"/>
        <v>0</v>
      </c>
      <c r="CF92" s="136">
        <f t="shared" si="135"/>
        <v>0</v>
      </c>
      <c r="CG92" s="136"/>
      <c r="CH92" s="136">
        <f t="shared" si="181"/>
        <v>0</v>
      </c>
      <c r="CI92" s="131">
        <f t="shared" si="136"/>
        <v>0</v>
      </c>
      <c r="CJ92" s="131"/>
      <c r="CK92" s="136">
        <f t="shared" si="137"/>
        <v>0</v>
      </c>
      <c r="CL92" s="136">
        <f t="shared" si="138"/>
        <v>0</v>
      </c>
      <c r="CM92" s="131">
        <f t="shared" si="139"/>
        <v>0</v>
      </c>
      <c r="CN92" s="136">
        <f t="shared" si="140"/>
        <v>0</v>
      </c>
      <c r="CO92" s="136">
        <f t="shared" si="141"/>
        <v>0</v>
      </c>
      <c r="CP92" s="136">
        <f t="shared" si="142"/>
        <v>0</v>
      </c>
      <c r="CQ92" s="136"/>
      <c r="CR92" s="136">
        <f t="shared" si="143"/>
        <v>0</v>
      </c>
      <c r="CS92" s="136"/>
      <c r="CT92" s="136"/>
      <c r="CU92" s="136"/>
      <c r="CV92" s="136"/>
      <c r="CW92" s="136"/>
      <c r="CX92" s="136"/>
      <c r="CY92" s="136"/>
      <c r="CZ92" s="136">
        <f t="shared" si="144"/>
        <v>0</v>
      </c>
      <c r="DA92" s="136">
        <f t="shared" si="145"/>
        <v>0</v>
      </c>
      <c r="DB92" s="136">
        <f t="shared" si="146"/>
        <v>0</v>
      </c>
      <c r="DC92" s="131">
        <f t="shared" si="105"/>
        <v>0</v>
      </c>
      <c r="DD92" s="131">
        <f t="shared" si="147"/>
        <v>0</v>
      </c>
      <c r="DE92" s="131">
        <f t="shared" si="148"/>
        <v>0</v>
      </c>
      <c r="DF92" s="131">
        <f t="shared" si="149"/>
        <v>0</v>
      </c>
      <c r="DG92" s="131">
        <f t="shared" si="150"/>
        <v>0</v>
      </c>
      <c r="DH92" s="131"/>
      <c r="DI92" s="131"/>
      <c r="DJ92" s="131"/>
      <c r="DK92" s="137">
        <f t="shared" si="180"/>
        <v>3791.5811116017489</v>
      </c>
      <c r="DL92" s="227" t="e">
        <f t="shared" si="151"/>
        <v>#REF!</v>
      </c>
      <c r="DM92" s="227" t="e">
        <f t="shared" si="152"/>
        <v>#REF!</v>
      </c>
      <c r="DN92" s="228" t="e">
        <f t="shared" si="106"/>
        <v>#REF!</v>
      </c>
      <c r="DO92" s="228">
        <f t="shared" si="153"/>
        <v>181.81087083894022</v>
      </c>
      <c r="DP92" s="228" t="e">
        <f t="shared" si="154"/>
        <v>#REF!</v>
      </c>
      <c r="DQ92" s="228" t="e">
        <f t="shared" si="155"/>
        <v>#REF!</v>
      </c>
    </row>
    <row r="93" spans="1:121">
      <c r="A93" s="132">
        <f t="shared" si="107"/>
        <v>83</v>
      </c>
      <c r="B93" s="18">
        <f t="shared" si="156"/>
        <v>83</v>
      </c>
      <c r="C93" s="18">
        <f>IF(A93=0," ",VLOOKUP(B93,'tosafot '!$A$7:$B$234,2,0))</f>
        <v>11.2014</v>
      </c>
      <c r="D93" s="220">
        <f t="shared" si="157"/>
        <v>228</v>
      </c>
      <c r="E93" s="130">
        <f t="shared" si="158"/>
        <v>12.2026</v>
      </c>
      <c r="F93" s="126">
        <f t="shared" si="159"/>
        <v>9</v>
      </c>
      <c r="G93" s="18" t="str">
        <f t="shared" si="160"/>
        <v>הבריאות</v>
      </c>
      <c r="H93" s="189">
        <f t="shared" si="161"/>
        <v>107</v>
      </c>
      <c r="I93" s="18">
        <f t="shared" si="162"/>
        <v>1</v>
      </c>
      <c r="J93" s="18" t="str">
        <f t="shared" si="163"/>
        <v>מינהלי - עובדי מדינה</v>
      </c>
      <c r="K93" s="189">
        <f t="shared" si="164"/>
        <v>1</v>
      </c>
      <c r="L93" s="18">
        <f t="shared" si="165"/>
        <v>12</v>
      </c>
      <c r="M93" s="129" t="str">
        <f t="shared" si="166"/>
        <v>17+</v>
      </c>
      <c r="N93" s="189"/>
      <c r="O93" s="132">
        <f t="shared" si="167"/>
        <v>1012</v>
      </c>
      <c r="P93" s="127">
        <f t="shared" si="168"/>
        <v>37</v>
      </c>
      <c r="Q93" s="127">
        <f t="shared" si="169"/>
        <v>22.75</v>
      </c>
      <c r="R93" s="128">
        <f t="shared" si="170"/>
        <v>92</v>
      </c>
      <c r="S93" s="130">
        <f t="shared" si="171"/>
        <v>1.2540512286990533</v>
      </c>
      <c r="T93" s="135">
        <f t="shared" si="108"/>
        <v>0</v>
      </c>
      <c r="U93" s="127">
        <f t="shared" si="109"/>
        <v>0</v>
      </c>
      <c r="V93" s="217">
        <v>0</v>
      </c>
      <c r="W93" s="191">
        <v>0</v>
      </c>
      <c r="X93" s="133">
        <v>0</v>
      </c>
      <c r="Y93" s="131">
        <f t="shared" si="110"/>
        <v>2438.5</v>
      </c>
      <c r="Z93" s="131">
        <f t="shared" si="111"/>
        <v>619.50392118264142</v>
      </c>
      <c r="AA93" s="242">
        <f t="shared" si="112"/>
        <v>3058.0039211826415</v>
      </c>
      <c r="AB93" s="131">
        <f t="shared" si="113"/>
        <v>0</v>
      </c>
      <c r="AC93" s="131">
        <f t="shared" si="114"/>
        <v>139.48055684730568</v>
      </c>
      <c r="AD93" s="131">
        <f t="shared" si="115"/>
        <v>0</v>
      </c>
      <c r="AE93" s="131">
        <f t="shared" si="116"/>
        <v>0</v>
      </c>
      <c r="AF93" s="131">
        <f t="shared" si="117"/>
        <v>75.260000000000005</v>
      </c>
      <c r="AG93" s="131">
        <f t="shared" si="118"/>
        <v>0</v>
      </c>
      <c r="AH93" s="131">
        <f t="shared" si="119"/>
        <v>0</v>
      </c>
      <c r="AI93" s="131">
        <f t="shared" si="120"/>
        <v>0</v>
      </c>
      <c r="AJ93" s="131">
        <f t="shared" si="121"/>
        <v>0</v>
      </c>
      <c r="AK93" s="131"/>
      <c r="AL93" s="131">
        <f t="shared" si="122"/>
        <v>0</v>
      </c>
      <c r="AM93" s="131"/>
      <c r="AN93" s="243">
        <f t="shared" si="123"/>
        <v>0</v>
      </c>
      <c r="AO93" s="131">
        <f t="shared" si="124"/>
        <v>0</v>
      </c>
      <c r="AP93" s="131">
        <f t="shared" si="125"/>
        <v>0</v>
      </c>
      <c r="AQ93" s="131"/>
      <c r="AR93" s="131">
        <f t="shared" si="126"/>
        <v>0</v>
      </c>
      <c r="AS93" s="131">
        <f t="shared" si="172"/>
        <v>0</v>
      </c>
      <c r="AT93" s="131">
        <f t="shared" si="127"/>
        <v>0</v>
      </c>
      <c r="AU93" s="131">
        <f t="shared" si="128"/>
        <v>0</v>
      </c>
      <c r="AV93" s="131"/>
      <c r="AW93" s="131">
        <f t="shared" si="129"/>
        <v>353.75</v>
      </c>
      <c r="AX93" s="131">
        <f t="shared" si="183"/>
        <v>0</v>
      </c>
      <c r="AY93" s="131">
        <f t="shared" si="130"/>
        <v>0</v>
      </c>
      <c r="AZ93" s="131"/>
      <c r="BA93" s="131">
        <f t="shared" si="184"/>
        <v>0</v>
      </c>
      <c r="BB93" s="131"/>
      <c r="BC93" s="131"/>
      <c r="BD93" s="131">
        <f t="shared" si="131"/>
        <v>0</v>
      </c>
      <c r="BE93" s="131"/>
      <c r="BF93" s="131">
        <f t="shared" si="173"/>
        <v>0</v>
      </c>
      <c r="BG93" s="131">
        <f t="shared" si="174"/>
        <v>0</v>
      </c>
      <c r="BH93" s="131"/>
      <c r="BI93" s="131"/>
      <c r="BJ93" s="131"/>
      <c r="BK93" s="131">
        <f t="shared" si="175"/>
        <v>0</v>
      </c>
      <c r="BL93" s="131"/>
      <c r="BM93" s="131"/>
      <c r="BN93" s="131">
        <f t="shared" si="176"/>
        <v>0</v>
      </c>
      <c r="BO93" s="131"/>
      <c r="BP93" s="131">
        <f t="shared" si="177"/>
        <v>0</v>
      </c>
      <c r="BQ93" s="131"/>
      <c r="BR93" s="131"/>
      <c r="BS93" s="131"/>
      <c r="BT93" s="131"/>
      <c r="BU93" s="131"/>
      <c r="BV93" s="131">
        <f t="shared" si="178"/>
        <v>0</v>
      </c>
      <c r="BW93" s="131"/>
      <c r="BX93" s="131"/>
      <c r="BY93" s="131"/>
      <c r="BZ93" s="131">
        <f t="shared" si="179"/>
        <v>0</v>
      </c>
      <c r="CA93" s="131"/>
      <c r="CB93" s="136">
        <f t="shared" si="132"/>
        <v>165.08663357180151</v>
      </c>
      <c r="CC93" s="131">
        <f t="shared" si="133"/>
        <v>0</v>
      </c>
      <c r="CD93" s="136">
        <f t="shared" si="134"/>
        <v>0</v>
      </c>
      <c r="CE93" s="131">
        <f t="shared" si="182"/>
        <v>0</v>
      </c>
      <c r="CF93" s="136">
        <f t="shared" si="135"/>
        <v>0</v>
      </c>
      <c r="CG93" s="136"/>
      <c r="CH93" s="136">
        <f t="shared" si="181"/>
        <v>0</v>
      </c>
      <c r="CI93" s="131">
        <f t="shared" si="136"/>
        <v>0</v>
      </c>
      <c r="CJ93" s="131"/>
      <c r="CK93" s="136">
        <f t="shared" si="137"/>
        <v>0</v>
      </c>
      <c r="CL93" s="136">
        <f t="shared" si="138"/>
        <v>0</v>
      </c>
      <c r="CM93" s="131">
        <f t="shared" si="139"/>
        <v>0</v>
      </c>
      <c r="CN93" s="136">
        <f t="shared" si="140"/>
        <v>0</v>
      </c>
      <c r="CO93" s="136">
        <f t="shared" si="141"/>
        <v>0</v>
      </c>
      <c r="CP93" s="136">
        <f t="shared" si="142"/>
        <v>0</v>
      </c>
      <c r="CQ93" s="136"/>
      <c r="CR93" s="136">
        <f t="shared" si="143"/>
        <v>0</v>
      </c>
      <c r="CS93" s="136"/>
      <c r="CT93" s="136"/>
      <c r="CU93" s="136"/>
      <c r="CV93" s="136"/>
      <c r="CW93" s="136"/>
      <c r="CX93" s="136"/>
      <c r="CY93" s="136"/>
      <c r="CZ93" s="136">
        <f t="shared" si="144"/>
        <v>0</v>
      </c>
      <c r="DA93" s="136">
        <f t="shared" si="145"/>
        <v>0</v>
      </c>
      <c r="DB93" s="136">
        <f t="shared" si="146"/>
        <v>0</v>
      </c>
      <c r="DC93" s="131">
        <f t="shared" si="105"/>
        <v>0</v>
      </c>
      <c r="DD93" s="131">
        <f t="shared" si="147"/>
        <v>0</v>
      </c>
      <c r="DE93" s="131">
        <f t="shared" si="148"/>
        <v>0</v>
      </c>
      <c r="DF93" s="131">
        <f t="shared" si="149"/>
        <v>0</v>
      </c>
      <c r="DG93" s="131">
        <f t="shared" si="150"/>
        <v>0</v>
      </c>
      <c r="DH93" s="131"/>
      <c r="DI93" s="131"/>
      <c r="DJ93" s="131"/>
      <c r="DK93" s="137">
        <f t="shared" si="180"/>
        <v>3791.5811116017489</v>
      </c>
      <c r="DL93" s="227" t="e">
        <f t="shared" si="151"/>
        <v>#REF!</v>
      </c>
      <c r="DM93" s="227" t="e">
        <f t="shared" si="152"/>
        <v>#REF!</v>
      </c>
      <c r="DN93" s="228" t="e">
        <f t="shared" si="106"/>
        <v>#REF!</v>
      </c>
      <c r="DO93" s="228">
        <f t="shared" si="153"/>
        <v>181.81087083894022</v>
      </c>
      <c r="DP93" s="228" t="e">
        <f t="shared" si="154"/>
        <v>#REF!</v>
      </c>
      <c r="DQ93" s="228" t="e">
        <f t="shared" si="155"/>
        <v>#REF!</v>
      </c>
    </row>
    <row r="94" spans="1:121">
      <c r="A94" s="132">
        <f t="shared" si="107"/>
        <v>84</v>
      </c>
      <c r="B94" s="18">
        <f t="shared" si="156"/>
        <v>84</v>
      </c>
      <c r="C94" s="18">
        <f>IF(A94=0," ",VLOOKUP(B94,'tosafot '!$A$7:$B$234,2,0))</f>
        <v>12.2014</v>
      </c>
      <c r="D94" s="220">
        <f t="shared" si="157"/>
        <v>228</v>
      </c>
      <c r="E94" s="130">
        <f t="shared" si="158"/>
        <v>12.2026</v>
      </c>
      <c r="F94" s="126">
        <f t="shared" si="159"/>
        <v>9</v>
      </c>
      <c r="G94" s="18" t="str">
        <f t="shared" si="160"/>
        <v>הבריאות</v>
      </c>
      <c r="H94" s="189">
        <f t="shared" si="161"/>
        <v>107</v>
      </c>
      <c r="I94" s="18">
        <f t="shared" si="162"/>
        <v>1</v>
      </c>
      <c r="J94" s="18" t="str">
        <f t="shared" si="163"/>
        <v>מינהלי - עובדי מדינה</v>
      </c>
      <c r="K94" s="189">
        <f t="shared" si="164"/>
        <v>1</v>
      </c>
      <c r="L94" s="18">
        <f t="shared" si="165"/>
        <v>12</v>
      </c>
      <c r="M94" s="129" t="str">
        <f t="shared" si="166"/>
        <v>17+</v>
      </c>
      <c r="N94" s="189"/>
      <c r="O94" s="132">
        <f t="shared" si="167"/>
        <v>1012</v>
      </c>
      <c r="P94" s="127">
        <f t="shared" si="168"/>
        <v>37</v>
      </c>
      <c r="Q94" s="127">
        <f t="shared" si="169"/>
        <v>22.75</v>
      </c>
      <c r="R94" s="128">
        <f t="shared" si="170"/>
        <v>92</v>
      </c>
      <c r="S94" s="130">
        <f t="shared" si="171"/>
        <v>1.2540512286990533</v>
      </c>
      <c r="T94" s="135">
        <f t="shared" si="108"/>
        <v>0</v>
      </c>
      <c r="U94" s="127">
        <f t="shared" si="109"/>
        <v>0</v>
      </c>
      <c r="V94" s="217">
        <v>0</v>
      </c>
      <c r="W94" s="191">
        <v>0</v>
      </c>
      <c r="X94" s="133">
        <v>0</v>
      </c>
      <c r="Y94" s="131">
        <f t="shared" si="110"/>
        <v>2438.5</v>
      </c>
      <c r="Z94" s="131">
        <f t="shared" si="111"/>
        <v>619.50392118264142</v>
      </c>
      <c r="AA94" s="242">
        <f t="shared" si="112"/>
        <v>3058.0039211826415</v>
      </c>
      <c r="AB94" s="131">
        <f t="shared" si="113"/>
        <v>0</v>
      </c>
      <c r="AC94" s="131">
        <f t="shared" si="114"/>
        <v>139.48055684730568</v>
      </c>
      <c r="AD94" s="131">
        <f t="shared" si="115"/>
        <v>0</v>
      </c>
      <c r="AE94" s="131">
        <f t="shared" si="116"/>
        <v>0</v>
      </c>
      <c r="AF94" s="131">
        <f t="shared" si="117"/>
        <v>75.260000000000005</v>
      </c>
      <c r="AG94" s="131">
        <f t="shared" si="118"/>
        <v>0</v>
      </c>
      <c r="AH94" s="131">
        <f t="shared" si="119"/>
        <v>0</v>
      </c>
      <c r="AI94" s="131">
        <f t="shared" si="120"/>
        <v>0</v>
      </c>
      <c r="AJ94" s="131">
        <f t="shared" si="121"/>
        <v>0</v>
      </c>
      <c r="AK94" s="131"/>
      <c r="AL94" s="131">
        <f t="shared" si="122"/>
        <v>0</v>
      </c>
      <c r="AM94" s="131"/>
      <c r="AN94" s="243">
        <f t="shared" si="123"/>
        <v>0</v>
      </c>
      <c r="AO94" s="131">
        <f t="shared" si="124"/>
        <v>0</v>
      </c>
      <c r="AP94" s="131">
        <f t="shared" si="125"/>
        <v>0</v>
      </c>
      <c r="AQ94" s="131"/>
      <c r="AR94" s="131">
        <f t="shared" si="126"/>
        <v>0</v>
      </c>
      <c r="AS94" s="131">
        <f t="shared" si="172"/>
        <v>0</v>
      </c>
      <c r="AT94" s="131">
        <f t="shared" si="127"/>
        <v>0</v>
      </c>
      <c r="AU94" s="131">
        <f t="shared" si="128"/>
        <v>0</v>
      </c>
      <c r="AV94" s="131"/>
      <c r="AW94" s="131">
        <f t="shared" si="129"/>
        <v>353.75</v>
      </c>
      <c r="AX94" s="131">
        <f t="shared" si="183"/>
        <v>0</v>
      </c>
      <c r="AY94" s="131">
        <f t="shared" si="130"/>
        <v>0</v>
      </c>
      <c r="AZ94" s="131"/>
      <c r="BA94" s="131">
        <f t="shared" si="184"/>
        <v>0</v>
      </c>
      <c r="BB94" s="131"/>
      <c r="BC94" s="131"/>
      <c r="BD94" s="131">
        <f t="shared" si="131"/>
        <v>0</v>
      </c>
      <c r="BE94" s="131"/>
      <c r="BF94" s="131">
        <f t="shared" si="173"/>
        <v>0</v>
      </c>
      <c r="BG94" s="131">
        <f t="shared" si="174"/>
        <v>0</v>
      </c>
      <c r="BH94" s="131"/>
      <c r="BI94" s="131"/>
      <c r="BJ94" s="131"/>
      <c r="BK94" s="131">
        <f t="shared" si="175"/>
        <v>0</v>
      </c>
      <c r="BL94" s="131"/>
      <c r="BM94" s="131"/>
      <c r="BN94" s="131">
        <f t="shared" si="176"/>
        <v>0</v>
      </c>
      <c r="BO94" s="131"/>
      <c r="BP94" s="131">
        <f t="shared" si="177"/>
        <v>0</v>
      </c>
      <c r="BQ94" s="131"/>
      <c r="BR94" s="131"/>
      <c r="BS94" s="131"/>
      <c r="BT94" s="131"/>
      <c r="BU94" s="131"/>
      <c r="BV94" s="131">
        <f t="shared" si="178"/>
        <v>0</v>
      </c>
      <c r="BW94" s="131"/>
      <c r="BX94" s="131"/>
      <c r="BY94" s="131"/>
      <c r="BZ94" s="131">
        <f t="shared" si="179"/>
        <v>0</v>
      </c>
      <c r="CA94" s="131"/>
      <c r="CB94" s="136">
        <f t="shared" si="132"/>
        <v>165.08663357180151</v>
      </c>
      <c r="CC94" s="131">
        <f t="shared" si="133"/>
        <v>0</v>
      </c>
      <c r="CD94" s="136">
        <f t="shared" si="134"/>
        <v>0</v>
      </c>
      <c r="CE94" s="131">
        <f t="shared" si="182"/>
        <v>0</v>
      </c>
      <c r="CF94" s="136">
        <f t="shared" si="135"/>
        <v>0</v>
      </c>
      <c r="CG94" s="136"/>
      <c r="CH94" s="136">
        <f t="shared" si="181"/>
        <v>0</v>
      </c>
      <c r="CI94" s="131">
        <f t="shared" si="136"/>
        <v>0</v>
      </c>
      <c r="CJ94" s="131"/>
      <c r="CK94" s="136">
        <f t="shared" si="137"/>
        <v>0</v>
      </c>
      <c r="CL94" s="136">
        <f t="shared" si="138"/>
        <v>0</v>
      </c>
      <c r="CM94" s="131">
        <f t="shared" si="139"/>
        <v>0</v>
      </c>
      <c r="CN94" s="136">
        <f t="shared" si="140"/>
        <v>0</v>
      </c>
      <c r="CO94" s="136">
        <f t="shared" si="141"/>
        <v>0</v>
      </c>
      <c r="CP94" s="136">
        <f t="shared" si="142"/>
        <v>0</v>
      </c>
      <c r="CQ94" s="136"/>
      <c r="CR94" s="136">
        <f t="shared" si="143"/>
        <v>0</v>
      </c>
      <c r="CS94" s="136"/>
      <c r="CT94" s="136"/>
      <c r="CU94" s="136"/>
      <c r="CV94" s="136"/>
      <c r="CW94" s="136"/>
      <c r="CX94" s="136"/>
      <c r="CY94" s="136"/>
      <c r="CZ94" s="136">
        <f t="shared" si="144"/>
        <v>0</v>
      </c>
      <c r="DA94" s="136">
        <f t="shared" si="145"/>
        <v>0</v>
      </c>
      <c r="DB94" s="136">
        <f t="shared" si="146"/>
        <v>0</v>
      </c>
      <c r="DC94" s="131">
        <f t="shared" si="105"/>
        <v>0</v>
      </c>
      <c r="DD94" s="131">
        <f t="shared" si="147"/>
        <v>0</v>
      </c>
      <c r="DE94" s="131">
        <f t="shared" si="148"/>
        <v>0</v>
      </c>
      <c r="DF94" s="131">
        <f t="shared" si="149"/>
        <v>0</v>
      </c>
      <c r="DG94" s="131">
        <f t="shared" si="150"/>
        <v>0</v>
      </c>
      <c r="DH94" s="131"/>
      <c r="DI94" s="131"/>
      <c r="DJ94" s="131"/>
      <c r="DK94" s="137">
        <f t="shared" si="180"/>
        <v>3791.5811116017489</v>
      </c>
      <c r="DL94" s="227" t="e">
        <f t="shared" si="151"/>
        <v>#REF!</v>
      </c>
      <c r="DM94" s="227" t="e">
        <f t="shared" si="152"/>
        <v>#REF!</v>
      </c>
      <c r="DN94" s="228" t="e">
        <f t="shared" si="106"/>
        <v>#REF!</v>
      </c>
      <c r="DO94" s="228">
        <f t="shared" si="153"/>
        <v>181.81087083894022</v>
      </c>
      <c r="DP94" s="228" t="e">
        <f t="shared" si="154"/>
        <v>#REF!</v>
      </c>
      <c r="DQ94" s="228" t="e">
        <f t="shared" si="155"/>
        <v>#REF!</v>
      </c>
    </row>
    <row r="95" spans="1:121">
      <c r="A95" s="132">
        <f t="shared" si="107"/>
        <v>85</v>
      </c>
      <c r="B95" s="18">
        <f t="shared" si="156"/>
        <v>85</v>
      </c>
      <c r="C95" s="18">
        <f>IF(A95=0," ",VLOOKUP(B95,'tosafot '!$A$7:$B$234,2,0))</f>
        <v>1.2015</v>
      </c>
      <c r="D95" s="220">
        <f t="shared" si="157"/>
        <v>228</v>
      </c>
      <c r="E95" s="130">
        <f t="shared" si="158"/>
        <v>12.2026</v>
      </c>
      <c r="F95" s="126">
        <f t="shared" si="159"/>
        <v>9</v>
      </c>
      <c r="G95" s="18" t="str">
        <f t="shared" si="160"/>
        <v>הבריאות</v>
      </c>
      <c r="H95" s="189">
        <f t="shared" si="161"/>
        <v>107</v>
      </c>
      <c r="I95" s="18">
        <f t="shared" si="162"/>
        <v>1</v>
      </c>
      <c r="J95" s="18" t="str">
        <f t="shared" si="163"/>
        <v>מינהלי - עובדי מדינה</v>
      </c>
      <c r="K95" s="189">
        <f t="shared" si="164"/>
        <v>1</v>
      </c>
      <c r="L95" s="18">
        <f t="shared" si="165"/>
        <v>12</v>
      </c>
      <c r="M95" s="129" t="str">
        <f t="shared" si="166"/>
        <v>17+</v>
      </c>
      <c r="N95" s="189"/>
      <c r="O95" s="132">
        <f t="shared" si="167"/>
        <v>1012</v>
      </c>
      <c r="P95" s="127">
        <f t="shared" si="168"/>
        <v>37</v>
      </c>
      <c r="Q95" s="127">
        <f t="shared" si="169"/>
        <v>22.75</v>
      </c>
      <c r="R95" s="128">
        <f t="shared" si="170"/>
        <v>92</v>
      </c>
      <c r="S95" s="130">
        <f t="shared" si="171"/>
        <v>1.2540512286990533</v>
      </c>
      <c r="T95" s="135">
        <f t="shared" si="108"/>
        <v>0</v>
      </c>
      <c r="U95" s="127">
        <f t="shared" si="109"/>
        <v>0</v>
      </c>
      <c r="V95" s="217">
        <v>0</v>
      </c>
      <c r="W95" s="191">
        <v>0</v>
      </c>
      <c r="X95" s="133">
        <v>0</v>
      </c>
      <c r="Y95" s="131">
        <f t="shared" si="110"/>
        <v>2438.5</v>
      </c>
      <c r="Z95" s="131">
        <f t="shared" si="111"/>
        <v>619.50392118264142</v>
      </c>
      <c r="AA95" s="242">
        <f t="shared" si="112"/>
        <v>3058.0039211826415</v>
      </c>
      <c r="AB95" s="131">
        <f t="shared" si="113"/>
        <v>0</v>
      </c>
      <c r="AC95" s="131">
        <f t="shared" si="114"/>
        <v>139.48055684730568</v>
      </c>
      <c r="AD95" s="131">
        <f t="shared" si="115"/>
        <v>0</v>
      </c>
      <c r="AE95" s="131">
        <f t="shared" si="116"/>
        <v>0</v>
      </c>
      <c r="AF95" s="131">
        <f t="shared" si="117"/>
        <v>75.260000000000005</v>
      </c>
      <c r="AG95" s="131">
        <f t="shared" si="118"/>
        <v>0</v>
      </c>
      <c r="AH95" s="131">
        <f t="shared" si="119"/>
        <v>0</v>
      </c>
      <c r="AI95" s="131">
        <f t="shared" si="120"/>
        <v>0</v>
      </c>
      <c r="AJ95" s="131">
        <f t="shared" si="121"/>
        <v>0</v>
      </c>
      <c r="AK95" s="131"/>
      <c r="AL95" s="131">
        <f t="shared" si="122"/>
        <v>0</v>
      </c>
      <c r="AM95" s="131"/>
      <c r="AN95" s="243">
        <f t="shared" si="123"/>
        <v>0</v>
      </c>
      <c r="AO95" s="131">
        <f t="shared" si="124"/>
        <v>0</v>
      </c>
      <c r="AP95" s="131">
        <f t="shared" si="125"/>
        <v>0</v>
      </c>
      <c r="AQ95" s="131"/>
      <c r="AR95" s="131">
        <f t="shared" si="126"/>
        <v>0</v>
      </c>
      <c r="AS95" s="131">
        <f t="shared" si="172"/>
        <v>0</v>
      </c>
      <c r="AT95" s="131">
        <f t="shared" si="127"/>
        <v>0</v>
      </c>
      <c r="AU95" s="131">
        <f t="shared" si="128"/>
        <v>0</v>
      </c>
      <c r="AV95" s="131"/>
      <c r="AW95" s="131">
        <f t="shared" si="129"/>
        <v>353.75</v>
      </c>
      <c r="AX95" s="131">
        <f t="shared" si="183"/>
        <v>0</v>
      </c>
      <c r="AY95" s="131">
        <f t="shared" si="130"/>
        <v>0</v>
      </c>
      <c r="AZ95" s="131"/>
      <c r="BA95" s="131">
        <f t="shared" si="184"/>
        <v>0</v>
      </c>
      <c r="BB95" s="131"/>
      <c r="BC95" s="131"/>
      <c r="BD95" s="131">
        <f t="shared" si="131"/>
        <v>0</v>
      </c>
      <c r="BE95" s="131"/>
      <c r="BF95" s="131">
        <f t="shared" si="173"/>
        <v>0</v>
      </c>
      <c r="BG95" s="131">
        <f t="shared" si="174"/>
        <v>0</v>
      </c>
      <c r="BH95" s="131"/>
      <c r="BI95" s="131"/>
      <c r="BJ95" s="131"/>
      <c r="BK95" s="131">
        <f t="shared" si="175"/>
        <v>0</v>
      </c>
      <c r="BL95" s="131"/>
      <c r="BM95" s="131"/>
      <c r="BN95" s="131">
        <f t="shared" si="176"/>
        <v>0</v>
      </c>
      <c r="BO95" s="131"/>
      <c r="BP95" s="131">
        <f t="shared" si="177"/>
        <v>0</v>
      </c>
      <c r="BQ95" s="131"/>
      <c r="BR95" s="131"/>
      <c r="BS95" s="131"/>
      <c r="BT95" s="131"/>
      <c r="BU95" s="131"/>
      <c r="BV95" s="131">
        <f t="shared" si="178"/>
        <v>0</v>
      </c>
      <c r="BW95" s="131"/>
      <c r="BX95" s="131"/>
      <c r="BY95" s="131"/>
      <c r="BZ95" s="131">
        <f t="shared" si="179"/>
        <v>0</v>
      </c>
      <c r="CA95" s="131"/>
      <c r="CB95" s="136">
        <f t="shared" si="132"/>
        <v>165.08663357180151</v>
      </c>
      <c r="CC95" s="131">
        <f t="shared" si="133"/>
        <v>0</v>
      </c>
      <c r="CD95" s="136">
        <f t="shared" si="134"/>
        <v>0</v>
      </c>
      <c r="CE95" s="131">
        <f t="shared" si="182"/>
        <v>0</v>
      </c>
      <c r="CF95" s="136">
        <f t="shared" si="135"/>
        <v>0</v>
      </c>
      <c r="CG95" s="136"/>
      <c r="CH95" s="136">
        <f t="shared" si="181"/>
        <v>0</v>
      </c>
      <c r="CI95" s="131">
        <f t="shared" si="136"/>
        <v>0</v>
      </c>
      <c r="CJ95" s="131"/>
      <c r="CK95" s="136">
        <f t="shared" si="137"/>
        <v>0</v>
      </c>
      <c r="CL95" s="136">
        <f t="shared" si="138"/>
        <v>0</v>
      </c>
      <c r="CM95" s="131">
        <f t="shared" si="139"/>
        <v>0</v>
      </c>
      <c r="CN95" s="136">
        <f t="shared" si="140"/>
        <v>0</v>
      </c>
      <c r="CO95" s="136">
        <f t="shared" si="141"/>
        <v>0</v>
      </c>
      <c r="CP95" s="136">
        <f t="shared" si="142"/>
        <v>0</v>
      </c>
      <c r="CQ95" s="136"/>
      <c r="CR95" s="136">
        <f t="shared" si="143"/>
        <v>0</v>
      </c>
      <c r="CS95" s="136"/>
      <c r="CT95" s="136"/>
      <c r="CU95" s="136"/>
      <c r="CV95" s="136"/>
      <c r="CW95" s="136"/>
      <c r="CX95" s="136"/>
      <c r="CY95" s="136"/>
      <c r="CZ95" s="136">
        <f t="shared" si="144"/>
        <v>0</v>
      </c>
      <c r="DA95" s="136">
        <f t="shared" si="145"/>
        <v>0</v>
      </c>
      <c r="DB95" s="136">
        <f t="shared" si="146"/>
        <v>0</v>
      </c>
      <c r="DC95" s="131">
        <f t="shared" si="105"/>
        <v>0</v>
      </c>
      <c r="DD95" s="131">
        <f t="shared" si="147"/>
        <v>0</v>
      </c>
      <c r="DE95" s="131">
        <f t="shared" si="148"/>
        <v>0</v>
      </c>
      <c r="DF95" s="131">
        <f t="shared" si="149"/>
        <v>0</v>
      </c>
      <c r="DG95" s="131">
        <f t="shared" si="150"/>
        <v>0</v>
      </c>
      <c r="DH95" s="131"/>
      <c r="DI95" s="131"/>
      <c r="DJ95" s="131"/>
      <c r="DK95" s="137">
        <f t="shared" si="180"/>
        <v>3791.5811116017489</v>
      </c>
      <c r="DL95" s="227" t="e">
        <f t="shared" si="151"/>
        <v>#REF!</v>
      </c>
      <c r="DM95" s="227" t="e">
        <f t="shared" si="152"/>
        <v>#REF!</v>
      </c>
      <c r="DN95" s="228" t="e">
        <f t="shared" si="106"/>
        <v>#REF!</v>
      </c>
      <c r="DO95" s="228">
        <f t="shared" si="153"/>
        <v>181.81087083894022</v>
      </c>
      <c r="DP95" s="228" t="e">
        <f t="shared" si="154"/>
        <v>#REF!</v>
      </c>
      <c r="DQ95" s="228" t="e">
        <f t="shared" si="155"/>
        <v>#REF!</v>
      </c>
    </row>
    <row r="96" spans="1:121">
      <c r="A96" s="132">
        <f t="shared" si="107"/>
        <v>86</v>
      </c>
      <c r="B96" s="18">
        <f t="shared" si="156"/>
        <v>86</v>
      </c>
      <c r="C96" s="18">
        <f>IF(A96=0," ",VLOOKUP(B96,'tosafot '!$A$7:$B$234,2,0))</f>
        <v>2.2014999999999998</v>
      </c>
      <c r="D96" s="220">
        <f t="shared" si="157"/>
        <v>228</v>
      </c>
      <c r="E96" s="130">
        <f t="shared" si="158"/>
        <v>12.2026</v>
      </c>
      <c r="F96" s="126">
        <f t="shared" si="159"/>
        <v>9</v>
      </c>
      <c r="G96" s="18" t="str">
        <f t="shared" si="160"/>
        <v>הבריאות</v>
      </c>
      <c r="H96" s="189">
        <f t="shared" si="161"/>
        <v>107</v>
      </c>
      <c r="I96" s="18">
        <f t="shared" si="162"/>
        <v>1</v>
      </c>
      <c r="J96" s="18" t="str">
        <f t="shared" si="163"/>
        <v>מינהלי - עובדי מדינה</v>
      </c>
      <c r="K96" s="189">
        <f t="shared" si="164"/>
        <v>1</v>
      </c>
      <c r="L96" s="18">
        <f t="shared" si="165"/>
        <v>12</v>
      </c>
      <c r="M96" s="129" t="str">
        <f t="shared" si="166"/>
        <v>17+</v>
      </c>
      <c r="N96" s="189"/>
      <c r="O96" s="132">
        <f t="shared" si="167"/>
        <v>1012</v>
      </c>
      <c r="P96" s="127">
        <f t="shared" si="168"/>
        <v>37</v>
      </c>
      <c r="Q96" s="127">
        <f t="shared" si="169"/>
        <v>22.75</v>
      </c>
      <c r="R96" s="128">
        <f t="shared" si="170"/>
        <v>92</v>
      </c>
      <c r="S96" s="130">
        <f t="shared" si="171"/>
        <v>1.2540512286990533</v>
      </c>
      <c r="T96" s="135">
        <f t="shared" si="108"/>
        <v>0</v>
      </c>
      <c r="U96" s="127">
        <f t="shared" si="109"/>
        <v>0</v>
      </c>
      <c r="V96" s="217">
        <v>0</v>
      </c>
      <c r="W96" s="191">
        <v>0</v>
      </c>
      <c r="X96" s="133">
        <v>0</v>
      </c>
      <c r="Y96" s="131">
        <f t="shared" si="110"/>
        <v>2438.5</v>
      </c>
      <c r="Z96" s="131">
        <f t="shared" si="111"/>
        <v>619.50392118264142</v>
      </c>
      <c r="AA96" s="242">
        <f t="shared" si="112"/>
        <v>3058.0039211826415</v>
      </c>
      <c r="AB96" s="131">
        <f t="shared" si="113"/>
        <v>0</v>
      </c>
      <c r="AC96" s="131">
        <f t="shared" si="114"/>
        <v>139.48055684730568</v>
      </c>
      <c r="AD96" s="131">
        <f t="shared" si="115"/>
        <v>0</v>
      </c>
      <c r="AE96" s="131">
        <f t="shared" si="116"/>
        <v>0</v>
      </c>
      <c r="AF96" s="131">
        <f t="shared" si="117"/>
        <v>75.260000000000005</v>
      </c>
      <c r="AG96" s="131">
        <f t="shared" si="118"/>
        <v>0</v>
      </c>
      <c r="AH96" s="131">
        <f t="shared" si="119"/>
        <v>0</v>
      </c>
      <c r="AI96" s="131">
        <f t="shared" si="120"/>
        <v>0</v>
      </c>
      <c r="AJ96" s="131">
        <f t="shared" si="121"/>
        <v>0</v>
      </c>
      <c r="AK96" s="131"/>
      <c r="AL96" s="131">
        <f t="shared" si="122"/>
        <v>0</v>
      </c>
      <c r="AM96" s="131"/>
      <c r="AN96" s="243">
        <f t="shared" si="123"/>
        <v>0</v>
      </c>
      <c r="AO96" s="131">
        <f t="shared" si="124"/>
        <v>0</v>
      </c>
      <c r="AP96" s="131">
        <f t="shared" si="125"/>
        <v>0</v>
      </c>
      <c r="AQ96" s="131"/>
      <c r="AR96" s="131">
        <f t="shared" si="126"/>
        <v>0</v>
      </c>
      <c r="AS96" s="131">
        <f t="shared" si="172"/>
        <v>0</v>
      </c>
      <c r="AT96" s="131">
        <f t="shared" si="127"/>
        <v>0</v>
      </c>
      <c r="AU96" s="131">
        <f t="shared" si="128"/>
        <v>0</v>
      </c>
      <c r="AV96" s="131"/>
      <c r="AW96" s="131">
        <f t="shared" si="129"/>
        <v>353.75</v>
      </c>
      <c r="AX96" s="131">
        <f t="shared" si="183"/>
        <v>0</v>
      </c>
      <c r="AY96" s="131">
        <f t="shared" si="130"/>
        <v>0</v>
      </c>
      <c r="AZ96" s="131"/>
      <c r="BA96" s="131">
        <f t="shared" si="184"/>
        <v>0</v>
      </c>
      <c r="BB96" s="131"/>
      <c r="BC96" s="131"/>
      <c r="BD96" s="131">
        <f t="shared" si="131"/>
        <v>0</v>
      </c>
      <c r="BE96" s="131"/>
      <c r="BF96" s="131">
        <f t="shared" si="173"/>
        <v>0</v>
      </c>
      <c r="BG96" s="131">
        <f t="shared" si="174"/>
        <v>0</v>
      </c>
      <c r="BH96" s="131"/>
      <c r="BI96" s="131"/>
      <c r="BJ96" s="131"/>
      <c r="BK96" s="131">
        <f t="shared" si="175"/>
        <v>0</v>
      </c>
      <c r="BL96" s="131"/>
      <c r="BM96" s="131"/>
      <c r="BN96" s="131">
        <f t="shared" si="176"/>
        <v>0</v>
      </c>
      <c r="BO96" s="131"/>
      <c r="BP96" s="131">
        <f t="shared" si="177"/>
        <v>0</v>
      </c>
      <c r="BQ96" s="131"/>
      <c r="BR96" s="131"/>
      <c r="BS96" s="131"/>
      <c r="BT96" s="131"/>
      <c r="BU96" s="131"/>
      <c r="BV96" s="131">
        <f t="shared" si="178"/>
        <v>0</v>
      </c>
      <c r="BW96" s="131"/>
      <c r="BX96" s="131"/>
      <c r="BY96" s="131"/>
      <c r="BZ96" s="131">
        <f t="shared" si="179"/>
        <v>0</v>
      </c>
      <c r="CA96" s="131"/>
      <c r="CB96" s="136">
        <f t="shared" si="132"/>
        <v>165.08663357180151</v>
      </c>
      <c r="CC96" s="131">
        <f t="shared" si="133"/>
        <v>0</v>
      </c>
      <c r="CD96" s="136">
        <f t="shared" si="134"/>
        <v>0</v>
      </c>
      <c r="CE96" s="131">
        <f t="shared" si="182"/>
        <v>0</v>
      </c>
      <c r="CF96" s="136">
        <f t="shared" si="135"/>
        <v>0</v>
      </c>
      <c r="CG96" s="136"/>
      <c r="CH96" s="136">
        <f t="shared" si="181"/>
        <v>0</v>
      </c>
      <c r="CI96" s="131">
        <f t="shared" si="136"/>
        <v>0</v>
      </c>
      <c r="CJ96" s="131"/>
      <c r="CK96" s="136">
        <f t="shared" si="137"/>
        <v>0</v>
      </c>
      <c r="CL96" s="136">
        <f t="shared" si="138"/>
        <v>0</v>
      </c>
      <c r="CM96" s="131">
        <f t="shared" si="139"/>
        <v>0</v>
      </c>
      <c r="CN96" s="136">
        <f t="shared" si="140"/>
        <v>0</v>
      </c>
      <c r="CO96" s="136">
        <f t="shared" si="141"/>
        <v>0</v>
      </c>
      <c r="CP96" s="136">
        <f t="shared" si="142"/>
        <v>0</v>
      </c>
      <c r="CQ96" s="136"/>
      <c r="CR96" s="136">
        <f t="shared" si="143"/>
        <v>0</v>
      </c>
      <c r="CS96" s="136"/>
      <c r="CT96" s="136"/>
      <c r="CU96" s="136"/>
      <c r="CV96" s="136"/>
      <c r="CW96" s="136"/>
      <c r="CX96" s="136"/>
      <c r="CY96" s="136"/>
      <c r="CZ96" s="136">
        <f t="shared" si="144"/>
        <v>0</v>
      </c>
      <c r="DA96" s="136">
        <f t="shared" si="145"/>
        <v>0</v>
      </c>
      <c r="DB96" s="136">
        <f t="shared" si="146"/>
        <v>0</v>
      </c>
      <c r="DC96" s="131">
        <f t="shared" si="105"/>
        <v>0</v>
      </c>
      <c r="DD96" s="131">
        <f t="shared" si="147"/>
        <v>0</v>
      </c>
      <c r="DE96" s="131">
        <f t="shared" si="148"/>
        <v>0</v>
      </c>
      <c r="DF96" s="131">
        <f t="shared" si="149"/>
        <v>0</v>
      </c>
      <c r="DG96" s="131">
        <f t="shared" si="150"/>
        <v>0</v>
      </c>
      <c r="DH96" s="131"/>
      <c r="DI96" s="131"/>
      <c r="DJ96" s="131"/>
      <c r="DK96" s="137">
        <f t="shared" si="180"/>
        <v>3791.5811116017489</v>
      </c>
      <c r="DL96" s="227" t="e">
        <f t="shared" si="151"/>
        <v>#REF!</v>
      </c>
      <c r="DM96" s="227" t="e">
        <f t="shared" si="152"/>
        <v>#REF!</v>
      </c>
      <c r="DN96" s="228" t="e">
        <f t="shared" si="106"/>
        <v>#REF!</v>
      </c>
      <c r="DO96" s="228">
        <f t="shared" si="153"/>
        <v>181.81087083894022</v>
      </c>
      <c r="DP96" s="228" t="e">
        <f t="shared" si="154"/>
        <v>#REF!</v>
      </c>
      <c r="DQ96" s="228" t="e">
        <f t="shared" si="155"/>
        <v>#REF!</v>
      </c>
    </row>
    <row r="97" spans="1:121">
      <c r="A97" s="132">
        <f t="shared" si="107"/>
        <v>87</v>
      </c>
      <c r="B97" s="18">
        <f t="shared" si="156"/>
        <v>87</v>
      </c>
      <c r="C97" s="18">
        <f>IF(A97=0," ",VLOOKUP(B97,'tosafot '!$A$7:$B$234,2,0))</f>
        <v>3.2014999999999998</v>
      </c>
      <c r="D97" s="220">
        <f t="shared" si="157"/>
        <v>228</v>
      </c>
      <c r="E97" s="130">
        <f t="shared" si="158"/>
        <v>12.2026</v>
      </c>
      <c r="F97" s="126">
        <f t="shared" si="159"/>
        <v>9</v>
      </c>
      <c r="G97" s="18" t="str">
        <f t="shared" si="160"/>
        <v>הבריאות</v>
      </c>
      <c r="H97" s="189">
        <f t="shared" si="161"/>
        <v>107</v>
      </c>
      <c r="I97" s="18">
        <f t="shared" si="162"/>
        <v>1</v>
      </c>
      <c r="J97" s="18" t="str">
        <f t="shared" si="163"/>
        <v>מינהלי - עובדי מדינה</v>
      </c>
      <c r="K97" s="189">
        <f t="shared" si="164"/>
        <v>1</v>
      </c>
      <c r="L97" s="18">
        <f t="shared" si="165"/>
        <v>12</v>
      </c>
      <c r="M97" s="129" t="str">
        <f t="shared" si="166"/>
        <v>17+</v>
      </c>
      <c r="N97" s="189"/>
      <c r="O97" s="132">
        <f t="shared" si="167"/>
        <v>1012</v>
      </c>
      <c r="P97" s="127">
        <f t="shared" si="168"/>
        <v>37</v>
      </c>
      <c r="Q97" s="127">
        <f t="shared" si="169"/>
        <v>22.75</v>
      </c>
      <c r="R97" s="128">
        <f t="shared" si="170"/>
        <v>92</v>
      </c>
      <c r="S97" s="130">
        <f t="shared" si="171"/>
        <v>1.2540512286990533</v>
      </c>
      <c r="T97" s="135">
        <f t="shared" si="108"/>
        <v>0</v>
      </c>
      <c r="U97" s="127">
        <f t="shared" si="109"/>
        <v>0</v>
      </c>
      <c r="V97" s="217">
        <v>0</v>
      </c>
      <c r="W97" s="191">
        <v>0</v>
      </c>
      <c r="X97" s="133">
        <v>0</v>
      </c>
      <c r="Y97" s="131">
        <f t="shared" si="110"/>
        <v>2438.5</v>
      </c>
      <c r="Z97" s="131">
        <f t="shared" si="111"/>
        <v>619.50392118264142</v>
      </c>
      <c r="AA97" s="242">
        <f t="shared" si="112"/>
        <v>3058.0039211826415</v>
      </c>
      <c r="AB97" s="131">
        <f t="shared" si="113"/>
        <v>0</v>
      </c>
      <c r="AC97" s="131">
        <f t="shared" si="114"/>
        <v>139.48055684730568</v>
      </c>
      <c r="AD97" s="131">
        <f t="shared" si="115"/>
        <v>0</v>
      </c>
      <c r="AE97" s="131">
        <f t="shared" si="116"/>
        <v>0</v>
      </c>
      <c r="AF97" s="131">
        <f t="shared" si="117"/>
        <v>75.260000000000005</v>
      </c>
      <c r="AG97" s="131">
        <f t="shared" si="118"/>
        <v>0</v>
      </c>
      <c r="AH97" s="131">
        <f t="shared" si="119"/>
        <v>0</v>
      </c>
      <c r="AI97" s="131">
        <f t="shared" si="120"/>
        <v>0</v>
      </c>
      <c r="AJ97" s="131">
        <f t="shared" si="121"/>
        <v>0</v>
      </c>
      <c r="AK97" s="131"/>
      <c r="AL97" s="131">
        <f t="shared" si="122"/>
        <v>0</v>
      </c>
      <c r="AM97" s="131"/>
      <c r="AN97" s="243">
        <f t="shared" si="123"/>
        <v>0</v>
      </c>
      <c r="AO97" s="131">
        <f t="shared" si="124"/>
        <v>0</v>
      </c>
      <c r="AP97" s="131">
        <f t="shared" si="125"/>
        <v>0</v>
      </c>
      <c r="AQ97" s="131"/>
      <c r="AR97" s="131">
        <f t="shared" si="126"/>
        <v>0</v>
      </c>
      <c r="AS97" s="131">
        <f t="shared" si="172"/>
        <v>0</v>
      </c>
      <c r="AT97" s="131">
        <f t="shared" si="127"/>
        <v>0</v>
      </c>
      <c r="AU97" s="131">
        <f t="shared" si="128"/>
        <v>0</v>
      </c>
      <c r="AV97" s="131"/>
      <c r="AW97" s="131">
        <f t="shared" si="129"/>
        <v>353.75</v>
      </c>
      <c r="AX97" s="131">
        <f t="shared" si="183"/>
        <v>0</v>
      </c>
      <c r="AY97" s="131">
        <f t="shared" si="130"/>
        <v>0</v>
      </c>
      <c r="AZ97" s="131"/>
      <c r="BA97" s="131">
        <f t="shared" si="184"/>
        <v>0</v>
      </c>
      <c r="BB97" s="131"/>
      <c r="BC97" s="131"/>
      <c r="BD97" s="131">
        <f t="shared" si="131"/>
        <v>0</v>
      </c>
      <c r="BE97" s="131"/>
      <c r="BF97" s="131">
        <f t="shared" si="173"/>
        <v>0</v>
      </c>
      <c r="BG97" s="131">
        <f t="shared" si="174"/>
        <v>0</v>
      </c>
      <c r="BH97" s="131"/>
      <c r="BI97" s="131"/>
      <c r="BJ97" s="131"/>
      <c r="BK97" s="131">
        <f t="shared" si="175"/>
        <v>0</v>
      </c>
      <c r="BL97" s="131"/>
      <c r="BM97" s="131"/>
      <c r="BN97" s="131">
        <f t="shared" si="176"/>
        <v>0</v>
      </c>
      <c r="BO97" s="131"/>
      <c r="BP97" s="131">
        <f t="shared" si="177"/>
        <v>0</v>
      </c>
      <c r="BQ97" s="131"/>
      <c r="BR97" s="131"/>
      <c r="BS97" s="131"/>
      <c r="BT97" s="131"/>
      <c r="BU97" s="131"/>
      <c r="BV97" s="131">
        <f t="shared" si="178"/>
        <v>0</v>
      </c>
      <c r="BW97" s="131"/>
      <c r="BX97" s="131"/>
      <c r="BY97" s="131"/>
      <c r="BZ97" s="131">
        <f t="shared" si="179"/>
        <v>0</v>
      </c>
      <c r="CA97" s="131"/>
      <c r="CB97" s="136">
        <f t="shared" si="132"/>
        <v>165.08663357180151</v>
      </c>
      <c r="CC97" s="131">
        <f t="shared" si="133"/>
        <v>0</v>
      </c>
      <c r="CD97" s="136">
        <f t="shared" si="134"/>
        <v>0</v>
      </c>
      <c r="CE97" s="131">
        <f t="shared" si="182"/>
        <v>0</v>
      </c>
      <c r="CF97" s="136">
        <f t="shared" si="135"/>
        <v>0</v>
      </c>
      <c r="CG97" s="136"/>
      <c r="CH97" s="136">
        <f t="shared" si="181"/>
        <v>0</v>
      </c>
      <c r="CI97" s="131">
        <f t="shared" si="136"/>
        <v>0</v>
      </c>
      <c r="CJ97" s="131"/>
      <c r="CK97" s="136">
        <f t="shared" si="137"/>
        <v>0</v>
      </c>
      <c r="CL97" s="136">
        <f t="shared" si="138"/>
        <v>0</v>
      </c>
      <c r="CM97" s="131">
        <f t="shared" si="139"/>
        <v>0</v>
      </c>
      <c r="CN97" s="136">
        <f t="shared" si="140"/>
        <v>0</v>
      </c>
      <c r="CO97" s="136">
        <f t="shared" si="141"/>
        <v>0</v>
      </c>
      <c r="CP97" s="136">
        <f t="shared" si="142"/>
        <v>0</v>
      </c>
      <c r="CQ97" s="136"/>
      <c r="CR97" s="136">
        <f t="shared" si="143"/>
        <v>0</v>
      </c>
      <c r="CS97" s="136"/>
      <c r="CT97" s="136"/>
      <c r="CU97" s="136"/>
      <c r="CV97" s="136"/>
      <c r="CW97" s="136"/>
      <c r="CX97" s="136"/>
      <c r="CY97" s="136"/>
      <c r="CZ97" s="136">
        <f t="shared" si="144"/>
        <v>0</v>
      </c>
      <c r="DA97" s="136">
        <f t="shared" si="145"/>
        <v>0</v>
      </c>
      <c r="DB97" s="136">
        <f t="shared" si="146"/>
        <v>0</v>
      </c>
      <c r="DC97" s="131">
        <f t="shared" si="105"/>
        <v>0</v>
      </c>
      <c r="DD97" s="131">
        <f t="shared" si="147"/>
        <v>0</v>
      </c>
      <c r="DE97" s="131">
        <f t="shared" si="148"/>
        <v>0</v>
      </c>
      <c r="DF97" s="131">
        <f t="shared" si="149"/>
        <v>0</v>
      </c>
      <c r="DG97" s="131">
        <f t="shared" si="150"/>
        <v>0</v>
      </c>
      <c r="DH97" s="131"/>
      <c r="DI97" s="131"/>
      <c r="DJ97" s="131"/>
      <c r="DK97" s="137">
        <f t="shared" si="180"/>
        <v>3791.5811116017489</v>
      </c>
      <c r="DL97" s="227" t="e">
        <f t="shared" si="151"/>
        <v>#REF!</v>
      </c>
      <c r="DM97" s="227" t="e">
        <f t="shared" si="152"/>
        <v>#REF!</v>
      </c>
      <c r="DN97" s="228" t="e">
        <f t="shared" si="106"/>
        <v>#REF!</v>
      </c>
      <c r="DO97" s="228">
        <f t="shared" si="153"/>
        <v>181.81087083894022</v>
      </c>
      <c r="DP97" s="228" t="e">
        <f t="shared" si="154"/>
        <v>#REF!</v>
      </c>
      <c r="DQ97" s="228" t="e">
        <f t="shared" si="155"/>
        <v>#REF!</v>
      </c>
    </row>
    <row r="98" spans="1:121">
      <c r="A98" s="132">
        <f t="shared" si="107"/>
        <v>88</v>
      </c>
      <c r="B98" s="18">
        <f t="shared" si="156"/>
        <v>88</v>
      </c>
      <c r="C98" s="18">
        <f>IF(A98=0," ",VLOOKUP(B98,'tosafot '!$A$7:$B$234,2,0))</f>
        <v>4.2015000000000002</v>
      </c>
      <c r="D98" s="220">
        <f t="shared" si="157"/>
        <v>228</v>
      </c>
      <c r="E98" s="130">
        <f t="shared" si="158"/>
        <v>12.2026</v>
      </c>
      <c r="F98" s="126">
        <f t="shared" si="159"/>
        <v>9</v>
      </c>
      <c r="G98" s="18" t="str">
        <f t="shared" si="160"/>
        <v>הבריאות</v>
      </c>
      <c r="H98" s="189">
        <f t="shared" si="161"/>
        <v>107</v>
      </c>
      <c r="I98" s="18">
        <f t="shared" si="162"/>
        <v>1</v>
      </c>
      <c r="J98" s="18" t="str">
        <f t="shared" si="163"/>
        <v>מינהלי - עובדי מדינה</v>
      </c>
      <c r="K98" s="189">
        <f t="shared" si="164"/>
        <v>1</v>
      </c>
      <c r="L98" s="18">
        <f t="shared" si="165"/>
        <v>12</v>
      </c>
      <c r="M98" s="129" t="str">
        <f t="shared" si="166"/>
        <v>17+</v>
      </c>
      <c r="N98" s="189"/>
      <c r="O98" s="132">
        <f t="shared" si="167"/>
        <v>1012</v>
      </c>
      <c r="P98" s="127">
        <f t="shared" si="168"/>
        <v>37</v>
      </c>
      <c r="Q98" s="127">
        <f t="shared" si="169"/>
        <v>22.75</v>
      </c>
      <c r="R98" s="128">
        <f t="shared" si="170"/>
        <v>92</v>
      </c>
      <c r="S98" s="130">
        <f t="shared" si="171"/>
        <v>1.2540512286990533</v>
      </c>
      <c r="T98" s="135">
        <f t="shared" si="108"/>
        <v>0</v>
      </c>
      <c r="U98" s="127">
        <f t="shared" si="109"/>
        <v>0</v>
      </c>
      <c r="V98" s="217">
        <v>0</v>
      </c>
      <c r="W98" s="191">
        <v>0</v>
      </c>
      <c r="X98" s="133">
        <v>0</v>
      </c>
      <c r="Y98" s="131">
        <f t="shared" si="110"/>
        <v>2438.5</v>
      </c>
      <c r="Z98" s="131">
        <f t="shared" si="111"/>
        <v>619.50392118264142</v>
      </c>
      <c r="AA98" s="242">
        <f t="shared" si="112"/>
        <v>3058.0039211826415</v>
      </c>
      <c r="AB98" s="131">
        <f t="shared" si="113"/>
        <v>0</v>
      </c>
      <c r="AC98" s="131">
        <f t="shared" si="114"/>
        <v>139.48055684730568</v>
      </c>
      <c r="AD98" s="131">
        <f t="shared" si="115"/>
        <v>0</v>
      </c>
      <c r="AE98" s="131">
        <f t="shared" si="116"/>
        <v>0</v>
      </c>
      <c r="AF98" s="131">
        <f t="shared" si="117"/>
        <v>75.260000000000005</v>
      </c>
      <c r="AG98" s="131">
        <f t="shared" si="118"/>
        <v>0</v>
      </c>
      <c r="AH98" s="131">
        <f t="shared" si="119"/>
        <v>0</v>
      </c>
      <c r="AI98" s="131">
        <f t="shared" si="120"/>
        <v>0</v>
      </c>
      <c r="AJ98" s="131">
        <f t="shared" si="121"/>
        <v>0</v>
      </c>
      <c r="AK98" s="131"/>
      <c r="AL98" s="131">
        <f t="shared" si="122"/>
        <v>0</v>
      </c>
      <c r="AM98" s="131"/>
      <c r="AN98" s="243">
        <f t="shared" si="123"/>
        <v>0</v>
      </c>
      <c r="AO98" s="131">
        <f t="shared" si="124"/>
        <v>0</v>
      </c>
      <c r="AP98" s="131">
        <f t="shared" si="125"/>
        <v>0</v>
      </c>
      <c r="AQ98" s="131"/>
      <c r="AR98" s="131">
        <f t="shared" si="126"/>
        <v>0</v>
      </c>
      <c r="AS98" s="131">
        <f t="shared" si="172"/>
        <v>0</v>
      </c>
      <c r="AT98" s="131">
        <f t="shared" si="127"/>
        <v>0</v>
      </c>
      <c r="AU98" s="131">
        <f t="shared" si="128"/>
        <v>0</v>
      </c>
      <c r="AV98" s="131"/>
      <c r="AW98" s="131">
        <f t="shared" si="129"/>
        <v>353.75</v>
      </c>
      <c r="AX98" s="131">
        <f t="shared" si="183"/>
        <v>0</v>
      </c>
      <c r="AY98" s="131">
        <f t="shared" si="130"/>
        <v>0</v>
      </c>
      <c r="AZ98" s="131"/>
      <c r="BA98" s="131">
        <f t="shared" si="184"/>
        <v>0</v>
      </c>
      <c r="BB98" s="131"/>
      <c r="BC98" s="131"/>
      <c r="BD98" s="131">
        <f t="shared" si="131"/>
        <v>0</v>
      </c>
      <c r="BE98" s="131"/>
      <c r="BF98" s="131">
        <f t="shared" si="173"/>
        <v>0</v>
      </c>
      <c r="BG98" s="131">
        <f t="shared" si="174"/>
        <v>0</v>
      </c>
      <c r="BH98" s="131"/>
      <c r="BI98" s="131"/>
      <c r="BJ98" s="131"/>
      <c r="BK98" s="131">
        <f t="shared" si="175"/>
        <v>0</v>
      </c>
      <c r="BL98" s="131"/>
      <c r="BM98" s="131"/>
      <c r="BN98" s="131">
        <f t="shared" si="176"/>
        <v>0</v>
      </c>
      <c r="BO98" s="131"/>
      <c r="BP98" s="131">
        <f t="shared" si="177"/>
        <v>0</v>
      </c>
      <c r="BQ98" s="131"/>
      <c r="BR98" s="131"/>
      <c r="BS98" s="131"/>
      <c r="BT98" s="131"/>
      <c r="BU98" s="131"/>
      <c r="BV98" s="131">
        <f t="shared" si="178"/>
        <v>0</v>
      </c>
      <c r="BW98" s="131"/>
      <c r="BX98" s="131"/>
      <c r="BY98" s="131"/>
      <c r="BZ98" s="131">
        <f t="shared" si="179"/>
        <v>0</v>
      </c>
      <c r="CA98" s="131"/>
      <c r="CB98" s="136">
        <f t="shared" si="132"/>
        <v>165.08663357180151</v>
      </c>
      <c r="CC98" s="131">
        <f t="shared" si="133"/>
        <v>0</v>
      </c>
      <c r="CD98" s="136">
        <f t="shared" si="134"/>
        <v>0</v>
      </c>
      <c r="CE98" s="131">
        <f t="shared" si="182"/>
        <v>0</v>
      </c>
      <c r="CF98" s="136">
        <f t="shared" si="135"/>
        <v>0</v>
      </c>
      <c r="CG98" s="136"/>
      <c r="CH98" s="136">
        <f t="shared" si="181"/>
        <v>0</v>
      </c>
      <c r="CI98" s="131">
        <f t="shared" si="136"/>
        <v>0</v>
      </c>
      <c r="CJ98" s="131"/>
      <c r="CK98" s="136">
        <f t="shared" si="137"/>
        <v>0</v>
      </c>
      <c r="CL98" s="136">
        <f t="shared" si="138"/>
        <v>0</v>
      </c>
      <c r="CM98" s="131">
        <f t="shared" si="139"/>
        <v>0</v>
      </c>
      <c r="CN98" s="136">
        <f t="shared" si="140"/>
        <v>0</v>
      </c>
      <c r="CO98" s="136">
        <f t="shared" si="141"/>
        <v>0</v>
      </c>
      <c r="CP98" s="136">
        <f t="shared" si="142"/>
        <v>0</v>
      </c>
      <c r="CQ98" s="136"/>
      <c r="CR98" s="136">
        <f t="shared" si="143"/>
        <v>0</v>
      </c>
      <c r="CS98" s="136"/>
      <c r="CT98" s="136"/>
      <c r="CU98" s="136"/>
      <c r="CV98" s="136"/>
      <c r="CW98" s="136"/>
      <c r="CX98" s="136"/>
      <c r="CY98" s="136"/>
      <c r="CZ98" s="136">
        <f t="shared" si="144"/>
        <v>0</v>
      </c>
      <c r="DA98" s="136">
        <f t="shared" si="145"/>
        <v>0</v>
      </c>
      <c r="DB98" s="136">
        <f t="shared" si="146"/>
        <v>0</v>
      </c>
      <c r="DC98" s="131">
        <f t="shared" si="105"/>
        <v>0</v>
      </c>
      <c r="DD98" s="131">
        <f t="shared" si="147"/>
        <v>0</v>
      </c>
      <c r="DE98" s="131">
        <f t="shared" si="148"/>
        <v>0</v>
      </c>
      <c r="DF98" s="131">
        <f t="shared" si="149"/>
        <v>0</v>
      </c>
      <c r="DG98" s="131">
        <f t="shared" si="150"/>
        <v>0</v>
      </c>
      <c r="DH98" s="131"/>
      <c r="DI98" s="131"/>
      <c r="DJ98" s="131"/>
      <c r="DK98" s="137">
        <f t="shared" si="180"/>
        <v>3791.5811116017489</v>
      </c>
      <c r="DL98" s="227" t="e">
        <f t="shared" si="151"/>
        <v>#REF!</v>
      </c>
      <c r="DM98" s="227" t="e">
        <f t="shared" si="152"/>
        <v>#REF!</v>
      </c>
      <c r="DN98" s="228" t="e">
        <f t="shared" si="106"/>
        <v>#REF!</v>
      </c>
      <c r="DO98" s="228">
        <f t="shared" si="153"/>
        <v>181.81087083894022</v>
      </c>
      <c r="DP98" s="228" t="e">
        <f t="shared" si="154"/>
        <v>#REF!</v>
      </c>
      <c r="DQ98" s="228" t="e">
        <f t="shared" si="155"/>
        <v>#REF!</v>
      </c>
    </row>
    <row r="99" spans="1:121">
      <c r="A99" s="132">
        <f t="shared" si="107"/>
        <v>89</v>
      </c>
      <c r="B99" s="18">
        <f t="shared" si="156"/>
        <v>89</v>
      </c>
      <c r="C99" s="18">
        <f>IF(A99=0," ",VLOOKUP(B99,'tosafot '!$A$7:$B$234,2,0))</f>
        <v>5.2015000000000002</v>
      </c>
      <c r="D99" s="220">
        <f t="shared" si="157"/>
        <v>228</v>
      </c>
      <c r="E99" s="130">
        <f t="shared" si="158"/>
        <v>12.2026</v>
      </c>
      <c r="F99" s="126">
        <f t="shared" si="159"/>
        <v>9</v>
      </c>
      <c r="G99" s="18" t="str">
        <f t="shared" si="160"/>
        <v>הבריאות</v>
      </c>
      <c r="H99" s="189">
        <f t="shared" si="161"/>
        <v>107</v>
      </c>
      <c r="I99" s="18">
        <f t="shared" si="162"/>
        <v>1</v>
      </c>
      <c r="J99" s="18" t="str">
        <f t="shared" si="163"/>
        <v>מינהלי - עובדי מדינה</v>
      </c>
      <c r="K99" s="189">
        <f t="shared" si="164"/>
        <v>1</v>
      </c>
      <c r="L99" s="18">
        <f t="shared" si="165"/>
        <v>12</v>
      </c>
      <c r="M99" s="129" t="str">
        <f t="shared" si="166"/>
        <v>17+</v>
      </c>
      <c r="N99" s="189"/>
      <c r="O99" s="132">
        <f t="shared" si="167"/>
        <v>1012</v>
      </c>
      <c r="P99" s="127">
        <f t="shared" si="168"/>
        <v>37</v>
      </c>
      <c r="Q99" s="127">
        <f t="shared" si="169"/>
        <v>22.75</v>
      </c>
      <c r="R99" s="128">
        <f t="shared" si="170"/>
        <v>92</v>
      </c>
      <c r="S99" s="130">
        <f t="shared" si="171"/>
        <v>1.2540512286990533</v>
      </c>
      <c r="T99" s="135">
        <f t="shared" si="108"/>
        <v>0</v>
      </c>
      <c r="U99" s="127">
        <f t="shared" si="109"/>
        <v>0</v>
      </c>
      <c r="V99" s="217">
        <v>0</v>
      </c>
      <c r="W99" s="191">
        <v>0</v>
      </c>
      <c r="X99" s="133">
        <v>0</v>
      </c>
      <c r="Y99" s="131">
        <f t="shared" si="110"/>
        <v>2438.5</v>
      </c>
      <c r="Z99" s="131">
        <f t="shared" si="111"/>
        <v>619.50392118264142</v>
      </c>
      <c r="AA99" s="242">
        <f t="shared" si="112"/>
        <v>3058.0039211826415</v>
      </c>
      <c r="AB99" s="131">
        <f t="shared" si="113"/>
        <v>0</v>
      </c>
      <c r="AC99" s="131">
        <f t="shared" si="114"/>
        <v>139.48055684730568</v>
      </c>
      <c r="AD99" s="131">
        <f t="shared" si="115"/>
        <v>0</v>
      </c>
      <c r="AE99" s="131">
        <f t="shared" si="116"/>
        <v>0</v>
      </c>
      <c r="AF99" s="131">
        <f t="shared" si="117"/>
        <v>75.260000000000005</v>
      </c>
      <c r="AG99" s="131">
        <f t="shared" si="118"/>
        <v>0</v>
      </c>
      <c r="AH99" s="131">
        <f t="shared" si="119"/>
        <v>0</v>
      </c>
      <c r="AI99" s="131">
        <f t="shared" si="120"/>
        <v>0</v>
      </c>
      <c r="AJ99" s="131">
        <f t="shared" si="121"/>
        <v>0</v>
      </c>
      <c r="AK99" s="131"/>
      <c r="AL99" s="131">
        <f t="shared" si="122"/>
        <v>0</v>
      </c>
      <c r="AM99" s="131"/>
      <c r="AN99" s="243">
        <f t="shared" si="123"/>
        <v>0</v>
      </c>
      <c r="AO99" s="131">
        <f t="shared" si="124"/>
        <v>0</v>
      </c>
      <c r="AP99" s="131">
        <f t="shared" si="125"/>
        <v>0</v>
      </c>
      <c r="AQ99" s="131"/>
      <c r="AR99" s="131">
        <f t="shared" si="126"/>
        <v>0</v>
      </c>
      <c r="AS99" s="131">
        <f t="shared" si="172"/>
        <v>0</v>
      </c>
      <c r="AT99" s="131">
        <f t="shared" si="127"/>
        <v>0</v>
      </c>
      <c r="AU99" s="131">
        <f t="shared" si="128"/>
        <v>0</v>
      </c>
      <c r="AV99" s="131"/>
      <c r="AW99" s="131">
        <f t="shared" si="129"/>
        <v>353.75</v>
      </c>
      <c r="AX99" s="131">
        <f t="shared" si="183"/>
        <v>0</v>
      </c>
      <c r="AY99" s="131">
        <f t="shared" si="130"/>
        <v>0</v>
      </c>
      <c r="AZ99" s="131"/>
      <c r="BA99" s="131">
        <f t="shared" si="184"/>
        <v>0</v>
      </c>
      <c r="BB99" s="131"/>
      <c r="BC99" s="131"/>
      <c r="BD99" s="131">
        <f t="shared" si="131"/>
        <v>0</v>
      </c>
      <c r="BE99" s="131"/>
      <c r="BF99" s="131">
        <f t="shared" si="173"/>
        <v>0</v>
      </c>
      <c r="BG99" s="131">
        <f t="shared" si="174"/>
        <v>0</v>
      </c>
      <c r="BH99" s="131"/>
      <c r="BI99" s="131"/>
      <c r="BJ99" s="131"/>
      <c r="BK99" s="131">
        <f t="shared" si="175"/>
        <v>0</v>
      </c>
      <c r="BL99" s="131"/>
      <c r="BM99" s="131"/>
      <c r="BN99" s="131">
        <f t="shared" si="176"/>
        <v>0</v>
      </c>
      <c r="BO99" s="131"/>
      <c r="BP99" s="131">
        <f t="shared" si="177"/>
        <v>0</v>
      </c>
      <c r="BQ99" s="131"/>
      <c r="BR99" s="131"/>
      <c r="BS99" s="131"/>
      <c r="BT99" s="131"/>
      <c r="BU99" s="131"/>
      <c r="BV99" s="131">
        <f t="shared" si="178"/>
        <v>0</v>
      </c>
      <c r="BW99" s="131"/>
      <c r="BX99" s="131"/>
      <c r="BY99" s="131"/>
      <c r="BZ99" s="131">
        <f t="shared" si="179"/>
        <v>0</v>
      </c>
      <c r="CA99" s="131"/>
      <c r="CB99" s="136">
        <f t="shared" si="132"/>
        <v>165.08663357180151</v>
      </c>
      <c r="CC99" s="131">
        <f t="shared" si="133"/>
        <v>0</v>
      </c>
      <c r="CD99" s="136">
        <f t="shared" si="134"/>
        <v>0</v>
      </c>
      <c r="CE99" s="131">
        <f t="shared" si="182"/>
        <v>0</v>
      </c>
      <c r="CF99" s="136">
        <f t="shared" si="135"/>
        <v>0</v>
      </c>
      <c r="CG99" s="136"/>
      <c r="CH99" s="136">
        <f t="shared" si="181"/>
        <v>0</v>
      </c>
      <c r="CI99" s="131">
        <f t="shared" si="136"/>
        <v>0</v>
      </c>
      <c r="CJ99" s="131"/>
      <c r="CK99" s="136">
        <f t="shared" si="137"/>
        <v>0</v>
      </c>
      <c r="CL99" s="136">
        <f t="shared" si="138"/>
        <v>0</v>
      </c>
      <c r="CM99" s="131">
        <f t="shared" si="139"/>
        <v>0</v>
      </c>
      <c r="CN99" s="136">
        <f t="shared" si="140"/>
        <v>0</v>
      </c>
      <c r="CO99" s="136">
        <f t="shared" si="141"/>
        <v>0</v>
      </c>
      <c r="CP99" s="136">
        <f t="shared" si="142"/>
        <v>0</v>
      </c>
      <c r="CQ99" s="136"/>
      <c r="CR99" s="136">
        <f t="shared" si="143"/>
        <v>0</v>
      </c>
      <c r="CS99" s="136"/>
      <c r="CT99" s="136"/>
      <c r="CU99" s="136"/>
      <c r="CV99" s="136"/>
      <c r="CW99" s="136"/>
      <c r="CX99" s="136"/>
      <c r="CY99" s="136"/>
      <c r="CZ99" s="136">
        <f t="shared" si="144"/>
        <v>0</v>
      </c>
      <c r="DA99" s="136">
        <f t="shared" si="145"/>
        <v>0</v>
      </c>
      <c r="DB99" s="136">
        <f t="shared" si="146"/>
        <v>0</v>
      </c>
      <c r="DC99" s="131">
        <f t="shared" si="105"/>
        <v>0</v>
      </c>
      <c r="DD99" s="131">
        <f t="shared" si="147"/>
        <v>0</v>
      </c>
      <c r="DE99" s="131">
        <f t="shared" si="148"/>
        <v>0</v>
      </c>
      <c r="DF99" s="131">
        <f t="shared" si="149"/>
        <v>0</v>
      </c>
      <c r="DG99" s="131">
        <f t="shared" si="150"/>
        <v>0</v>
      </c>
      <c r="DH99" s="131"/>
      <c r="DI99" s="131"/>
      <c r="DJ99" s="131"/>
      <c r="DK99" s="137">
        <f t="shared" si="180"/>
        <v>3791.5811116017489</v>
      </c>
      <c r="DL99" s="227" t="e">
        <f t="shared" si="151"/>
        <v>#REF!</v>
      </c>
      <c r="DM99" s="227" t="e">
        <f t="shared" si="152"/>
        <v>#REF!</v>
      </c>
      <c r="DN99" s="228" t="e">
        <f t="shared" si="106"/>
        <v>#REF!</v>
      </c>
      <c r="DO99" s="228">
        <f t="shared" si="153"/>
        <v>181.81087083894022</v>
      </c>
      <c r="DP99" s="228" t="e">
        <f t="shared" si="154"/>
        <v>#REF!</v>
      </c>
      <c r="DQ99" s="228" t="e">
        <f t="shared" si="155"/>
        <v>#REF!</v>
      </c>
    </row>
    <row r="100" spans="1:121">
      <c r="A100" s="132">
        <f t="shared" si="107"/>
        <v>90</v>
      </c>
      <c r="B100" s="18">
        <f t="shared" si="156"/>
        <v>90</v>
      </c>
      <c r="C100" s="18">
        <f>IF(A100=0," ",VLOOKUP(B100,'tosafot '!$A$7:$B$234,2,0))</f>
        <v>6.2015000000000002</v>
      </c>
      <c r="D100" s="220">
        <f t="shared" si="157"/>
        <v>228</v>
      </c>
      <c r="E100" s="130">
        <f t="shared" si="158"/>
        <v>12.2026</v>
      </c>
      <c r="F100" s="126">
        <f t="shared" si="159"/>
        <v>9</v>
      </c>
      <c r="G100" s="18" t="str">
        <f t="shared" si="160"/>
        <v>הבריאות</v>
      </c>
      <c r="H100" s="189">
        <f t="shared" si="161"/>
        <v>107</v>
      </c>
      <c r="I100" s="18">
        <f t="shared" si="162"/>
        <v>1</v>
      </c>
      <c r="J100" s="18" t="str">
        <f t="shared" si="163"/>
        <v>מינהלי - עובדי מדינה</v>
      </c>
      <c r="K100" s="189">
        <f t="shared" si="164"/>
        <v>1</v>
      </c>
      <c r="L100" s="18">
        <f t="shared" si="165"/>
        <v>12</v>
      </c>
      <c r="M100" s="129" t="str">
        <f t="shared" si="166"/>
        <v>17+</v>
      </c>
      <c r="N100" s="189"/>
      <c r="O100" s="132">
        <f t="shared" si="167"/>
        <v>1012</v>
      </c>
      <c r="P100" s="127">
        <f t="shared" si="168"/>
        <v>37</v>
      </c>
      <c r="Q100" s="127">
        <f t="shared" si="169"/>
        <v>22.75</v>
      </c>
      <c r="R100" s="128">
        <f t="shared" si="170"/>
        <v>92</v>
      </c>
      <c r="S100" s="130">
        <f t="shared" si="171"/>
        <v>1.2540512286990533</v>
      </c>
      <c r="T100" s="135">
        <f t="shared" si="108"/>
        <v>0</v>
      </c>
      <c r="U100" s="127">
        <f t="shared" si="109"/>
        <v>0</v>
      </c>
      <c r="V100" s="217">
        <v>0</v>
      </c>
      <c r="W100" s="191">
        <v>0</v>
      </c>
      <c r="X100" s="133">
        <v>0</v>
      </c>
      <c r="Y100" s="131">
        <f t="shared" si="110"/>
        <v>2438.5</v>
      </c>
      <c r="Z100" s="131">
        <f t="shared" si="111"/>
        <v>619.50392118264142</v>
      </c>
      <c r="AA100" s="242">
        <f t="shared" si="112"/>
        <v>3058.0039211826415</v>
      </c>
      <c r="AB100" s="131">
        <f t="shared" si="113"/>
        <v>0</v>
      </c>
      <c r="AC100" s="131">
        <f t="shared" si="114"/>
        <v>139.48055684730568</v>
      </c>
      <c r="AD100" s="131">
        <f t="shared" si="115"/>
        <v>0</v>
      </c>
      <c r="AE100" s="131">
        <f t="shared" si="116"/>
        <v>0</v>
      </c>
      <c r="AF100" s="131">
        <f t="shared" si="117"/>
        <v>75.260000000000005</v>
      </c>
      <c r="AG100" s="131">
        <f t="shared" si="118"/>
        <v>0</v>
      </c>
      <c r="AH100" s="131">
        <f t="shared" si="119"/>
        <v>0</v>
      </c>
      <c r="AI100" s="131">
        <f t="shared" si="120"/>
        <v>0</v>
      </c>
      <c r="AJ100" s="131">
        <f t="shared" si="121"/>
        <v>0</v>
      </c>
      <c r="AK100" s="131"/>
      <c r="AL100" s="131">
        <f t="shared" si="122"/>
        <v>0</v>
      </c>
      <c r="AM100" s="131"/>
      <c r="AN100" s="243">
        <f t="shared" si="123"/>
        <v>0</v>
      </c>
      <c r="AO100" s="131">
        <f t="shared" si="124"/>
        <v>0</v>
      </c>
      <c r="AP100" s="131">
        <f t="shared" si="125"/>
        <v>0</v>
      </c>
      <c r="AQ100" s="131"/>
      <c r="AR100" s="131">
        <f t="shared" si="126"/>
        <v>0</v>
      </c>
      <c r="AS100" s="131">
        <f t="shared" si="172"/>
        <v>0</v>
      </c>
      <c r="AT100" s="131">
        <f t="shared" si="127"/>
        <v>0</v>
      </c>
      <c r="AU100" s="131">
        <f t="shared" si="128"/>
        <v>0</v>
      </c>
      <c r="AV100" s="131"/>
      <c r="AW100" s="131">
        <f t="shared" si="129"/>
        <v>353.75</v>
      </c>
      <c r="AX100" s="131">
        <f t="shared" si="183"/>
        <v>0</v>
      </c>
      <c r="AY100" s="131">
        <f t="shared" si="130"/>
        <v>0</v>
      </c>
      <c r="AZ100" s="131"/>
      <c r="BA100" s="131">
        <f t="shared" si="184"/>
        <v>0</v>
      </c>
      <c r="BB100" s="131"/>
      <c r="BC100" s="131"/>
      <c r="BD100" s="131">
        <f t="shared" si="131"/>
        <v>0</v>
      </c>
      <c r="BE100" s="131"/>
      <c r="BF100" s="131">
        <f t="shared" si="173"/>
        <v>0</v>
      </c>
      <c r="BG100" s="131">
        <f t="shared" si="174"/>
        <v>0</v>
      </c>
      <c r="BH100" s="131"/>
      <c r="BI100" s="131"/>
      <c r="BJ100" s="131"/>
      <c r="BK100" s="131">
        <f t="shared" si="175"/>
        <v>0</v>
      </c>
      <c r="BL100" s="131"/>
      <c r="BM100" s="131"/>
      <c r="BN100" s="131">
        <f t="shared" si="176"/>
        <v>0</v>
      </c>
      <c r="BO100" s="131"/>
      <c r="BP100" s="131">
        <f t="shared" si="177"/>
        <v>0</v>
      </c>
      <c r="BQ100" s="131"/>
      <c r="BR100" s="131"/>
      <c r="BS100" s="131"/>
      <c r="BT100" s="131"/>
      <c r="BU100" s="131"/>
      <c r="BV100" s="131">
        <f t="shared" si="178"/>
        <v>0</v>
      </c>
      <c r="BW100" s="131"/>
      <c r="BX100" s="131"/>
      <c r="BY100" s="131"/>
      <c r="BZ100" s="131">
        <f t="shared" si="179"/>
        <v>0</v>
      </c>
      <c r="CA100" s="131"/>
      <c r="CB100" s="136">
        <f t="shared" si="132"/>
        <v>165.08663357180151</v>
      </c>
      <c r="CC100" s="131">
        <f t="shared" si="133"/>
        <v>0</v>
      </c>
      <c r="CD100" s="136">
        <f t="shared" si="134"/>
        <v>0</v>
      </c>
      <c r="CE100" s="131">
        <f t="shared" si="182"/>
        <v>0</v>
      </c>
      <c r="CF100" s="136">
        <f t="shared" si="135"/>
        <v>0</v>
      </c>
      <c r="CG100" s="136"/>
      <c r="CH100" s="136">
        <f t="shared" si="181"/>
        <v>0</v>
      </c>
      <c r="CI100" s="131">
        <f t="shared" si="136"/>
        <v>0</v>
      </c>
      <c r="CJ100" s="131"/>
      <c r="CK100" s="136">
        <f t="shared" si="137"/>
        <v>0</v>
      </c>
      <c r="CL100" s="136">
        <f t="shared" si="138"/>
        <v>0</v>
      </c>
      <c r="CM100" s="131">
        <f t="shared" si="139"/>
        <v>0</v>
      </c>
      <c r="CN100" s="136">
        <f t="shared" si="140"/>
        <v>0</v>
      </c>
      <c r="CO100" s="136">
        <f t="shared" si="141"/>
        <v>0</v>
      </c>
      <c r="CP100" s="136">
        <f t="shared" si="142"/>
        <v>0</v>
      </c>
      <c r="CQ100" s="136"/>
      <c r="CR100" s="136">
        <f t="shared" si="143"/>
        <v>0</v>
      </c>
      <c r="CS100" s="136"/>
      <c r="CT100" s="136"/>
      <c r="CU100" s="136"/>
      <c r="CV100" s="136"/>
      <c r="CW100" s="136"/>
      <c r="CX100" s="136"/>
      <c r="CY100" s="136"/>
      <c r="CZ100" s="136">
        <f t="shared" si="144"/>
        <v>0</v>
      </c>
      <c r="DA100" s="136">
        <f t="shared" si="145"/>
        <v>0</v>
      </c>
      <c r="DB100" s="136">
        <f t="shared" si="146"/>
        <v>0</v>
      </c>
      <c r="DC100" s="131">
        <f t="shared" si="105"/>
        <v>0</v>
      </c>
      <c r="DD100" s="131">
        <f t="shared" si="147"/>
        <v>0</v>
      </c>
      <c r="DE100" s="131">
        <f t="shared" si="148"/>
        <v>0</v>
      </c>
      <c r="DF100" s="131">
        <f t="shared" si="149"/>
        <v>0</v>
      </c>
      <c r="DG100" s="131">
        <f t="shared" si="150"/>
        <v>0</v>
      </c>
      <c r="DH100" s="131"/>
      <c r="DI100" s="131"/>
      <c r="DJ100" s="131"/>
      <c r="DK100" s="137">
        <f t="shared" si="180"/>
        <v>3791.5811116017489</v>
      </c>
      <c r="DL100" s="227" t="e">
        <f t="shared" si="151"/>
        <v>#REF!</v>
      </c>
      <c r="DM100" s="227" t="e">
        <f t="shared" si="152"/>
        <v>#REF!</v>
      </c>
      <c r="DN100" s="228" t="e">
        <f t="shared" si="106"/>
        <v>#REF!</v>
      </c>
      <c r="DO100" s="228">
        <f t="shared" si="153"/>
        <v>181.81087083894022</v>
      </c>
      <c r="DP100" s="228" t="e">
        <f t="shared" si="154"/>
        <v>#REF!</v>
      </c>
      <c r="DQ100" s="228" t="e">
        <f t="shared" si="155"/>
        <v>#REF!</v>
      </c>
    </row>
    <row r="101" spans="1:121">
      <c r="A101" s="132">
        <f t="shared" si="107"/>
        <v>91</v>
      </c>
      <c r="B101" s="18">
        <f t="shared" si="156"/>
        <v>91</v>
      </c>
      <c r="C101" s="18">
        <f>IF(A101=0," ",VLOOKUP(B101,'tosafot '!$A$7:$B$234,2,0))</f>
        <v>7.2015000000000002</v>
      </c>
      <c r="D101" s="220">
        <f t="shared" si="157"/>
        <v>228</v>
      </c>
      <c r="E101" s="130">
        <f t="shared" si="158"/>
        <v>12.2026</v>
      </c>
      <c r="F101" s="126">
        <f t="shared" si="159"/>
        <v>9</v>
      </c>
      <c r="G101" s="18" t="str">
        <f t="shared" si="160"/>
        <v>הבריאות</v>
      </c>
      <c r="H101" s="189">
        <f t="shared" si="161"/>
        <v>107</v>
      </c>
      <c r="I101" s="18">
        <f t="shared" si="162"/>
        <v>1</v>
      </c>
      <c r="J101" s="18" t="str">
        <f t="shared" si="163"/>
        <v>מינהלי - עובדי מדינה</v>
      </c>
      <c r="K101" s="189">
        <f t="shared" si="164"/>
        <v>1</v>
      </c>
      <c r="L101" s="18">
        <f t="shared" si="165"/>
        <v>12</v>
      </c>
      <c r="M101" s="129" t="str">
        <f t="shared" si="166"/>
        <v>17+</v>
      </c>
      <c r="N101" s="189"/>
      <c r="O101" s="132">
        <f t="shared" si="167"/>
        <v>1012</v>
      </c>
      <c r="P101" s="127">
        <f t="shared" si="168"/>
        <v>37</v>
      </c>
      <c r="Q101" s="127">
        <f t="shared" si="169"/>
        <v>22.75</v>
      </c>
      <c r="R101" s="128">
        <f t="shared" si="170"/>
        <v>92</v>
      </c>
      <c r="S101" s="130">
        <f t="shared" si="171"/>
        <v>1.2540512286990533</v>
      </c>
      <c r="T101" s="135">
        <f t="shared" si="108"/>
        <v>0</v>
      </c>
      <c r="U101" s="127">
        <f t="shared" si="109"/>
        <v>0</v>
      </c>
      <c r="V101" s="217">
        <v>0</v>
      </c>
      <c r="W101" s="191">
        <v>0</v>
      </c>
      <c r="X101" s="133">
        <v>0</v>
      </c>
      <c r="Y101" s="131">
        <f t="shared" si="110"/>
        <v>2438.5</v>
      </c>
      <c r="Z101" s="131">
        <f t="shared" si="111"/>
        <v>619.50392118264142</v>
      </c>
      <c r="AA101" s="242">
        <f t="shared" si="112"/>
        <v>3058.0039211826415</v>
      </c>
      <c r="AB101" s="131">
        <f t="shared" si="113"/>
        <v>0</v>
      </c>
      <c r="AC101" s="131">
        <f t="shared" si="114"/>
        <v>139.48055684730568</v>
      </c>
      <c r="AD101" s="131">
        <f t="shared" si="115"/>
        <v>0</v>
      </c>
      <c r="AE101" s="131">
        <f t="shared" si="116"/>
        <v>0</v>
      </c>
      <c r="AF101" s="131">
        <f t="shared" si="117"/>
        <v>75.260000000000005</v>
      </c>
      <c r="AG101" s="131">
        <f t="shared" si="118"/>
        <v>0</v>
      </c>
      <c r="AH101" s="131">
        <f t="shared" si="119"/>
        <v>0</v>
      </c>
      <c r="AI101" s="131">
        <f t="shared" si="120"/>
        <v>0</v>
      </c>
      <c r="AJ101" s="131">
        <f t="shared" si="121"/>
        <v>0</v>
      </c>
      <c r="AK101" s="131"/>
      <c r="AL101" s="131">
        <f t="shared" si="122"/>
        <v>0</v>
      </c>
      <c r="AM101" s="131"/>
      <c r="AN101" s="243">
        <f t="shared" si="123"/>
        <v>0</v>
      </c>
      <c r="AO101" s="131">
        <f t="shared" si="124"/>
        <v>0</v>
      </c>
      <c r="AP101" s="131">
        <f t="shared" si="125"/>
        <v>0</v>
      </c>
      <c r="AQ101" s="131"/>
      <c r="AR101" s="131">
        <f t="shared" si="126"/>
        <v>0</v>
      </c>
      <c r="AS101" s="131">
        <f t="shared" si="172"/>
        <v>0</v>
      </c>
      <c r="AT101" s="131">
        <f t="shared" si="127"/>
        <v>0</v>
      </c>
      <c r="AU101" s="131">
        <f t="shared" si="128"/>
        <v>0</v>
      </c>
      <c r="AV101" s="131"/>
      <c r="AW101" s="131">
        <f t="shared" si="129"/>
        <v>353.75</v>
      </c>
      <c r="AX101" s="131">
        <f t="shared" si="183"/>
        <v>0</v>
      </c>
      <c r="AY101" s="131">
        <f t="shared" si="130"/>
        <v>0</v>
      </c>
      <c r="AZ101" s="131"/>
      <c r="BA101" s="131">
        <f t="shared" si="184"/>
        <v>0</v>
      </c>
      <c r="BB101" s="131"/>
      <c r="BC101" s="131"/>
      <c r="BD101" s="131">
        <f t="shared" si="131"/>
        <v>0</v>
      </c>
      <c r="BE101" s="131"/>
      <c r="BF101" s="131">
        <f t="shared" si="173"/>
        <v>0</v>
      </c>
      <c r="BG101" s="131">
        <f t="shared" si="174"/>
        <v>0</v>
      </c>
      <c r="BH101" s="131"/>
      <c r="BI101" s="131"/>
      <c r="BJ101" s="131"/>
      <c r="BK101" s="131">
        <f t="shared" si="175"/>
        <v>0</v>
      </c>
      <c r="BL101" s="131"/>
      <c r="BM101" s="131"/>
      <c r="BN101" s="131">
        <f t="shared" si="176"/>
        <v>0</v>
      </c>
      <c r="BO101" s="131"/>
      <c r="BP101" s="131">
        <f t="shared" si="177"/>
        <v>0</v>
      </c>
      <c r="BQ101" s="131"/>
      <c r="BR101" s="131"/>
      <c r="BS101" s="131"/>
      <c r="BT101" s="131"/>
      <c r="BU101" s="131"/>
      <c r="BV101" s="131">
        <f t="shared" si="178"/>
        <v>0</v>
      </c>
      <c r="BW101" s="131"/>
      <c r="BX101" s="131"/>
      <c r="BY101" s="131"/>
      <c r="BZ101" s="131">
        <f t="shared" si="179"/>
        <v>0</v>
      </c>
      <c r="CA101" s="131"/>
      <c r="CB101" s="136">
        <f t="shared" si="132"/>
        <v>165.08663357180151</v>
      </c>
      <c r="CC101" s="131">
        <f t="shared" si="133"/>
        <v>0</v>
      </c>
      <c r="CD101" s="136">
        <f t="shared" si="134"/>
        <v>0</v>
      </c>
      <c r="CE101" s="131">
        <f t="shared" si="182"/>
        <v>0</v>
      </c>
      <c r="CF101" s="136">
        <f t="shared" si="135"/>
        <v>0</v>
      </c>
      <c r="CG101" s="136"/>
      <c r="CH101" s="136">
        <f t="shared" si="181"/>
        <v>0</v>
      </c>
      <c r="CI101" s="131">
        <f t="shared" si="136"/>
        <v>0</v>
      </c>
      <c r="CJ101" s="131"/>
      <c r="CK101" s="136">
        <f t="shared" si="137"/>
        <v>0</v>
      </c>
      <c r="CL101" s="136">
        <f t="shared" si="138"/>
        <v>0</v>
      </c>
      <c r="CM101" s="131">
        <f t="shared" si="139"/>
        <v>0</v>
      </c>
      <c r="CN101" s="136">
        <f t="shared" si="140"/>
        <v>0</v>
      </c>
      <c r="CO101" s="136">
        <f t="shared" si="141"/>
        <v>0</v>
      </c>
      <c r="CP101" s="136">
        <f t="shared" si="142"/>
        <v>0</v>
      </c>
      <c r="CQ101" s="136"/>
      <c r="CR101" s="136">
        <f t="shared" si="143"/>
        <v>0</v>
      </c>
      <c r="CS101" s="136"/>
      <c r="CT101" s="136"/>
      <c r="CU101" s="136"/>
      <c r="CV101" s="136"/>
      <c r="CW101" s="136"/>
      <c r="CX101" s="136"/>
      <c r="CY101" s="136"/>
      <c r="CZ101" s="136">
        <f t="shared" si="144"/>
        <v>0</v>
      </c>
      <c r="DA101" s="136">
        <f t="shared" si="145"/>
        <v>0</v>
      </c>
      <c r="DB101" s="136">
        <f t="shared" si="146"/>
        <v>0</v>
      </c>
      <c r="DC101" s="131">
        <f t="shared" si="105"/>
        <v>0</v>
      </c>
      <c r="DD101" s="131">
        <f t="shared" si="147"/>
        <v>0</v>
      </c>
      <c r="DE101" s="131">
        <f t="shared" si="148"/>
        <v>0</v>
      </c>
      <c r="DF101" s="131">
        <f t="shared" si="149"/>
        <v>0</v>
      </c>
      <c r="DG101" s="131">
        <f t="shared" si="150"/>
        <v>0</v>
      </c>
      <c r="DH101" s="131"/>
      <c r="DI101" s="131"/>
      <c r="DJ101" s="131"/>
      <c r="DK101" s="137">
        <f t="shared" si="180"/>
        <v>3791.5811116017489</v>
      </c>
      <c r="DL101" s="227" t="e">
        <f t="shared" si="151"/>
        <v>#REF!</v>
      </c>
      <c r="DM101" s="227" t="e">
        <f t="shared" si="152"/>
        <v>#REF!</v>
      </c>
      <c r="DN101" s="228" t="e">
        <f t="shared" si="106"/>
        <v>#REF!</v>
      </c>
      <c r="DO101" s="228">
        <f t="shared" si="153"/>
        <v>181.81087083894022</v>
      </c>
      <c r="DP101" s="228" t="e">
        <f t="shared" si="154"/>
        <v>#REF!</v>
      </c>
      <c r="DQ101" s="228" t="e">
        <f t="shared" si="155"/>
        <v>#REF!</v>
      </c>
    </row>
    <row r="102" spans="1:121">
      <c r="A102" s="132">
        <f t="shared" si="107"/>
        <v>92</v>
      </c>
      <c r="B102" s="18">
        <f t="shared" si="156"/>
        <v>92</v>
      </c>
      <c r="C102" s="18">
        <f>IF(A102=0," ",VLOOKUP(B102,'tosafot '!$A$7:$B$234,2,0))</f>
        <v>8.2014999999999993</v>
      </c>
      <c r="D102" s="220">
        <f t="shared" si="157"/>
        <v>228</v>
      </c>
      <c r="E102" s="130">
        <f t="shared" si="158"/>
        <v>12.2026</v>
      </c>
      <c r="F102" s="126">
        <f t="shared" si="159"/>
        <v>9</v>
      </c>
      <c r="G102" s="18" t="str">
        <f t="shared" si="160"/>
        <v>הבריאות</v>
      </c>
      <c r="H102" s="189">
        <f t="shared" si="161"/>
        <v>107</v>
      </c>
      <c r="I102" s="18">
        <f t="shared" si="162"/>
        <v>1</v>
      </c>
      <c r="J102" s="18" t="str">
        <f t="shared" si="163"/>
        <v>מינהלי - עובדי מדינה</v>
      </c>
      <c r="K102" s="189">
        <f t="shared" si="164"/>
        <v>1</v>
      </c>
      <c r="L102" s="18">
        <f t="shared" si="165"/>
        <v>12</v>
      </c>
      <c r="M102" s="129" t="str">
        <f t="shared" si="166"/>
        <v>17+</v>
      </c>
      <c r="N102" s="189"/>
      <c r="O102" s="132">
        <f t="shared" si="167"/>
        <v>1012</v>
      </c>
      <c r="P102" s="127">
        <f t="shared" si="168"/>
        <v>37</v>
      </c>
      <c r="Q102" s="127">
        <f t="shared" si="169"/>
        <v>22.75</v>
      </c>
      <c r="R102" s="128">
        <f t="shared" si="170"/>
        <v>92</v>
      </c>
      <c r="S102" s="130">
        <f t="shared" si="171"/>
        <v>1.2540512286990533</v>
      </c>
      <c r="T102" s="135">
        <f t="shared" si="108"/>
        <v>0</v>
      </c>
      <c r="U102" s="127">
        <f t="shared" si="109"/>
        <v>0</v>
      </c>
      <c r="V102" s="217">
        <v>0</v>
      </c>
      <c r="W102" s="191">
        <v>0</v>
      </c>
      <c r="X102" s="133">
        <v>0</v>
      </c>
      <c r="Y102" s="131">
        <f t="shared" si="110"/>
        <v>2438.5</v>
      </c>
      <c r="Z102" s="131">
        <f t="shared" si="111"/>
        <v>619.50392118264142</v>
      </c>
      <c r="AA102" s="242">
        <f t="shared" si="112"/>
        <v>3058.0039211826415</v>
      </c>
      <c r="AB102" s="131">
        <f t="shared" si="113"/>
        <v>0</v>
      </c>
      <c r="AC102" s="131">
        <f t="shared" si="114"/>
        <v>139.48055684730568</v>
      </c>
      <c r="AD102" s="131">
        <f t="shared" si="115"/>
        <v>0</v>
      </c>
      <c r="AE102" s="131">
        <f t="shared" si="116"/>
        <v>0</v>
      </c>
      <c r="AF102" s="131">
        <f t="shared" si="117"/>
        <v>75.260000000000005</v>
      </c>
      <c r="AG102" s="131">
        <f t="shared" si="118"/>
        <v>0</v>
      </c>
      <c r="AH102" s="131">
        <f t="shared" si="119"/>
        <v>0</v>
      </c>
      <c r="AI102" s="131">
        <f t="shared" si="120"/>
        <v>0</v>
      </c>
      <c r="AJ102" s="131">
        <f t="shared" si="121"/>
        <v>0</v>
      </c>
      <c r="AK102" s="131"/>
      <c r="AL102" s="131">
        <f t="shared" si="122"/>
        <v>0</v>
      </c>
      <c r="AM102" s="131"/>
      <c r="AN102" s="243">
        <f t="shared" si="123"/>
        <v>0</v>
      </c>
      <c r="AO102" s="131">
        <f t="shared" si="124"/>
        <v>0</v>
      </c>
      <c r="AP102" s="131">
        <f t="shared" si="125"/>
        <v>0</v>
      </c>
      <c r="AQ102" s="131"/>
      <c r="AR102" s="131">
        <f t="shared" si="126"/>
        <v>0</v>
      </c>
      <c r="AS102" s="131">
        <f t="shared" si="172"/>
        <v>0</v>
      </c>
      <c r="AT102" s="131">
        <f t="shared" si="127"/>
        <v>0</v>
      </c>
      <c r="AU102" s="131">
        <f t="shared" si="128"/>
        <v>0</v>
      </c>
      <c r="AV102" s="131"/>
      <c r="AW102" s="131">
        <f t="shared" si="129"/>
        <v>353.75</v>
      </c>
      <c r="AX102" s="131">
        <f t="shared" si="183"/>
        <v>0</v>
      </c>
      <c r="AY102" s="131">
        <f t="shared" si="130"/>
        <v>0</v>
      </c>
      <c r="AZ102" s="131"/>
      <c r="BA102" s="131">
        <f t="shared" si="184"/>
        <v>0</v>
      </c>
      <c r="BB102" s="131"/>
      <c r="BC102" s="131"/>
      <c r="BD102" s="131">
        <f t="shared" si="131"/>
        <v>0</v>
      </c>
      <c r="BE102" s="131"/>
      <c r="BF102" s="131">
        <f t="shared" si="173"/>
        <v>0</v>
      </c>
      <c r="BG102" s="131">
        <f t="shared" si="174"/>
        <v>0</v>
      </c>
      <c r="BH102" s="131"/>
      <c r="BI102" s="131"/>
      <c r="BJ102" s="131"/>
      <c r="BK102" s="131">
        <f t="shared" si="175"/>
        <v>0</v>
      </c>
      <c r="BL102" s="131"/>
      <c r="BM102" s="131"/>
      <c r="BN102" s="131">
        <f t="shared" si="176"/>
        <v>0</v>
      </c>
      <c r="BO102" s="131"/>
      <c r="BP102" s="131">
        <f t="shared" si="177"/>
        <v>0</v>
      </c>
      <c r="BQ102" s="131"/>
      <c r="BR102" s="131"/>
      <c r="BS102" s="131"/>
      <c r="BT102" s="131"/>
      <c r="BU102" s="131"/>
      <c r="BV102" s="131">
        <f t="shared" si="178"/>
        <v>0</v>
      </c>
      <c r="BW102" s="131"/>
      <c r="BX102" s="131"/>
      <c r="BY102" s="131"/>
      <c r="BZ102" s="131">
        <f t="shared" si="179"/>
        <v>0</v>
      </c>
      <c r="CA102" s="131"/>
      <c r="CB102" s="136">
        <f t="shared" si="132"/>
        <v>165.08663357180151</v>
      </c>
      <c r="CC102" s="131">
        <f t="shared" si="133"/>
        <v>0</v>
      </c>
      <c r="CD102" s="136">
        <f t="shared" si="134"/>
        <v>0</v>
      </c>
      <c r="CE102" s="131">
        <f t="shared" si="182"/>
        <v>0</v>
      </c>
      <c r="CF102" s="136">
        <f t="shared" si="135"/>
        <v>0</v>
      </c>
      <c r="CG102" s="136"/>
      <c r="CH102" s="136">
        <f t="shared" si="181"/>
        <v>0</v>
      </c>
      <c r="CI102" s="131">
        <f t="shared" si="136"/>
        <v>0</v>
      </c>
      <c r="CJ102" s="131"/>
      <c r="CK102" s="136">
        <f t="shared" si="137"/>
        <v>0</v>
      </c>
      <c r="CL102" s="136">
        <f t="shared" si="138"/>
        <v>0</v>
      </c>
      <c r="CM102" s="131">
        <f t="shared" si="139"/>
        <v>0</v>
      </c>
      <c r="CN102" s="136">
        <f t="shared" si="140"/>
        <v>0</v>
      </c>
      <c r="CO102" s="136">
        <f t="shared" si="141"/>
        <v>0</v>
      </c>
      <c r="CP102" s="136">
        <f t="shared" si="142"/>
        <v>0</v>
      </c>
      <c r="CQ102" s="136"/>
      <c r="CR102" s="136">
        <f t="shared" si="143"/>
        <v>0</v>
      </c>
      <c r="CS102" s="136"/>
      <c r="CT102" s="136"/>
      <c r="CU102" s="136"/>
      <c r="CV102" s="136"/>
      <c r="CW102" s="136"/>
      <c r="CX102" s="136"/>
      <c r="CY102" s="136"/>
      <c r="CZ102" s="136">
        <f t="shared" si="144"/>
        <v>0</v>
      </c>
      <c r="DA102" s="136">
        <f t="shared" si="145"/>
        <v>0</v>
      </c>
      <c r="DB102" s="136">
        <f t="shared" si="146"/>
        <v>0</v>
      </c>
      <c r="DC102" s="131">
        <f t="shared" si="105"/>
        <v>0</v>
      </c>
      <c r="DD102" s="131">
        <f t="shared" si="147"/>
        <v>0</v>
      </c>
      <c r="DE102" s="131">
        <f t="shared" si="148"/>
        <v>0</v>
      </c>
      <c r="DF102" s="131">
        <f t="shared" si="149"/>
        <v>0</v>
      </c>
      <c r="DG102" s="131">
        <f t="shared" si="150"/>
        <v>0</v>
      </c>
      <c r="DH102" s="131"/>
      <c r="DI102" s="131"/>
      <c r="DJ102" s="131"/>
      <c r="DK102" s="137">
        <f t="shared" si="180"/>
        <v>3791.5811116017489</v>
      </c>
      <c r="DL102" s="227" t="e">
        <f t="shared" si="151"/>
        <v>#REF!</v>
      </c>
      <c r="DM102" s="227" t="e">
        <f t="shared" si="152"/>
        <v>#REF!</v>
      </c>
      <c r="DN102" s="228" t="e">
        <f t="shared" si="106"/>
        <v>#REF!</v>
      </c>
      <c r="DO102" s="228">
        <f t="shared" si="153"/>
        <v>181.81087083894022</v>
      </c>
      <c r="DP102" s="228" t="e">
        <f t="shared" si="154"/>
        <v>#REF!</v>
      </c>
      <c r="DQ102" s="228" t="e">
        <f t="shared" si="155"/>
        <v>#REF!</v>
      </c>
    </row>
    <row r="103" spans="1:121">
      <c r="A103" s="132">
        <f t="shared" si="107"/>
        <v>93</v>
      </c>
      <c r="B103" s="18">
        <f t="shared" si="156"/>
        <v>93</v>
      </c>
      <c r="C103" s="18">
        <f>IF(A103=0," ",VLOOKUP(B103,'tosafot '!$A$7:$B$234,2,0))</f>
        <v>9.2014999999999993</v>
      </c>
      <c r="D103" s="220">
        <f t="shared" si="157"/>
        <v>228</v>
      </c>
      <c r="E103" s="130">
        <f t="shared" si="158"/>
        <v>12.2026</v>
      </c>
      <c r="F103" s="126">
        <f t="shared" si="159"/>
        <v>9</v>
      </c>
      <c r="G103" s="18" t="str">
        <f t="shared" si="160"/>
        <v>הבריאות</v>
      </c>
      <c r="H103" s="189">
        <f t="shared" si="161"/>
        <v>107</v>
      </c>
      <c r="I103" s="18">
        <f t="shared" si="162"/>
        <v>1</v>
      </c>
      <c r="J103" s="18" t="str">
        <f t="shared" si="163"/>
        <v>מינהלי - עובדי מדינה</v>
      </c>
      <c r="K103" s="189">
        <f t="shared" si="164"/>
        <v>1</v>
      </c>
      <c r="L103" s="18">
        <f t="shared" si="165"/>
        <v>12</v>
      </c>
      <c r="M103" s="129" t="str">
        <f t="shared" si="166"/>
        <v>17+</v>
      </c>
      <c r="N103" s="189"/>
      <c r="O103" s="132">
        <f t="shared" si="167"/>
        <v>1012</v>
      </c>
      <c r="P103" s="127">
        <f t="shared" si="168"/>
        <v>37</v>
      </c>
      <c r="Q103" s="127">
        <f t="shared" si="169"/>
        <v>22.75</v>
      </c>
      <c r="R103" s="128">
        <f t="shared" si="170"/>
        <v>92</v>
      </c>
      <c r="S103" s="130">
        <f t="shared" si="171"/>
        <v>1.2540512286990533</v>
      </c>
      <c r="T103" s="135">
        <f t="shared" si="108"/>
        <v>0</v>
      </c>
      <c r="U103" s="127">
        <f t="shared" si="109"/>
        <v>0</v>
      </c>
      <c r="V103" s="217">
        <v>0</v>
      </c>
      <c r="W103" s="191">
        <v>0</v>
      </c>
      <c r="X103" s="133">
        <v>0</v>
      </c>
      <c r="Y103" s="131">
        <f t="shared" si="110"/>
        <v>2438.5</v>
      </c>
      <c r="Z103" s="131">
        <f t="shared" si="111"/>
        <v>619.50392118264142</v>
      </c>
      <c r="AA103" s="242">
        <f t="shared" si="112"/>
        <v>3058.0039211826415</v>
      </c>
      <c r="AB103" s="131">
        <f t="shared" si="113"/>
        <v>0</v>
      </c>
      <c r="AC103" s="131">
        <f t="shared" si="114"/>
        <v>139.48055684730568</v>
      </c>
      <c r="AD103" s="131">
        <f t="shared" si="115"/>
        <v>0</v>
      </c>
      <c r="AE103" s="131">
        <f t="shared" si="116"/>
        <v>0</v>
      </c>
      <c r="AF103" s="131">
        <f t="shared" si="117"/>
        <v>75.260000000000005</v>
      </c>
      <c r="AG103" s="131">
        <f t="shared" si="118"/>
        <v>0</v>
      </c>
      <c r="AH103" s="131">
        <f t="shared" si="119"/>
        <v>0</v>
      </c>
      <c r="AI103" s="131">
        <f t="shared" si="120"/>
        <v>0</v>
      </c>
      <c r="AJ103" s="131">
        <f t="shared" si="121"/>
        <v>0</v>
      </c>
      <c r="AK103" s="131"/>
      <c r="AL103" s="131">
        <f t="shared" si="122"/>
        <v>0</v>
      </c>
      <c r="AM103" s="131"/>
      <c r="AN103" s="243">
        <f t="shared" si="123"/>
        <v>0</v>
      </c>
      <c r="AO103" s="131">
        <f t="shared" si="124"/>
        <v>0</v>
      </c>
      <c r="AP103" s="131">
        <f t="shared" si="125"/>
        <v>0</v>
      </c>
      <c r="AQ103" s="131"/>
      <c r="AR103" s="131">
        <f t="shared" si="126"/>
        <v>0</v>
      </c>
      <c r="AS103" s="131">
        <f t="shared" si="172"/>
        <v>0</v>
      </c>
      <c r="AT103" s="131">
        <f t="shared" si="127"/>
        <v>0</v>
      </c>
      <c r="AU103" s="131">
        <f t="shared" si="128"/>
        <v>0</v>
      </c>
      <c r="AV103" s="131"/>
      <c r="AW103" s="131">
        <f t="shared" si="129"/>
        <v>353.75</v>
      </c>
      <c r="AX103" s="131">
        <f t="shared" si="183"/>
        <v>0</v>
      </c>
      <c r="AY103" s="131">
        <f t="shared" si="130"/>
        <v>0</v>
      </c>
      <c r="AZ103" s="131"/>
      <c r="BA103" s="131">
        <f t="shared" si="184"/>
        <v>0</v>
      </c>
      <c r="BB103" s="131"/>
      <c r="BC103" s="131"/>
      <c r="BD103" s="131">
        <f t="shared" si="131"/>
        <v>0</v>
      </c>
      <c r="BE103" s="131"/>
      <c r="BF103" s="131">
        <f t="shared" si="173"/>
        <v>0</v>
      </c>
      <c r="BG103" s="131">
        <f t="shared" si="174"/>
        <v>0</v>
      </c>
      <c r="BH103" s="131"/>
      <c r="BI103" s="131"/>
      <c r="BJ103" s="131"/>
      <c r="BK103" s="131">
        <f t="shared" si="175"/>
        <v>0</v>
      </c>
      <c r="BL103" s="131"/>
      <c r="BM103" s="131"/>
      <c r="BN103" s="131">
        <f t="shared" si="176"/>
        <v>0</v>
      </c>
      <c r="BO103" s="131"/>
      <c r="BP103" s="131">
        <f t="shared" si="177"/>
        <v>0</v>
      </c>
      <c r="BQ103" s="131"/>
      <c r="BR103" s="131"/>
      <c r="BS103" s="131"/>
      <c r="BT103" s="131"/>
      <c r="BU103" s="131"/>
      <c r="BV103" s="131">
        <f t="shared" si="178"/>
        <v>0</v>
      </c>
      <c r="BW103" s="131"/>
      <c r="BX103" s="131"/>
      <c r="BY103" s="131"/>
      <c r="BZ103" s="131">
        <f t="shared" si="179"/>
        <v>0</v>
      </c>
      <c r="CA103" s="131"/>
      <c r="CB103" s="136">
        <f t="shared" si="132"/>
        <v>165.08663357180151</v>
      </c>
      <c r="CC103" s="131">
        <f t="shared" si="133"/>
        <v>0</v>
      </c>
      <c r="CD103" s="136">
        <f t="shared" si="134"/>
        <v>0</v>
      </c>
      <c r="CE103" s="131">
        <f t="shared" si="182"/>
        <v>0</v>
      </c>
      <c r="CF103" s="136">
        <f t="shared" si="135"/>
        <v>0</v>
      </c>
      <c r="CG103" s="136"/>
      <c r="CH103" s="136">
        <f t="shared" si="181"/>
        <v>0</v>
      </c>
      <c r="CI103" s="131">
        <f t="shared" si="136"/>
        <v>0</v>
      </c>
      <c r="CJ103" s="131"/>
      <c r="CK103" s="136">
        <f t="shared" si="137"/>
        <v>0</v>
      </c>
      <c r="CL103" s="136">
        <f t="shared" si="138"/>
        <v>0</v>
      </c>
      <c r="CM103" s="131">
        <f t="shared" si="139"/>
        <v>0</v>
      </c>
      <c r="CN103" s="136">
        <f t="shared" si="140"/>
        <v>0</v>
      </c>
      <c r="CO103" s="136">
        <f t="shared" si="141"/>
        <v>0</v>
      </c>
      <c r="CP103" s="136">
        <f t="shared" si="142"/>
        <v>0</v>
      </c>
      <c r="CQ103" s="136"/>
      <c r="CR103" s="136">
        <f t="shared" si="143"/>
        <v>0</v>
      </c>
      <c r="CS103" s="136"/>
      <c r="CT103" s="136"/>
      <c r="CU103" s="136"/>
      <c r="CV103" s="136"/>
      <c r="CW103" s="136"/>
      <c r="CX103" s="136"/>
      <c r="CY103" s="136"/>
      <c r="CZ103" s="136">
        <f t="shared" si="144"/>
        <v>0</v>
      </c>
      <c r="DA103" s="136">
        <f t="shared" si="145"/>
        <v>0</v>
      </c>
      <c r="DB103" s="136">
        <f t="shared" si="146"/>
        <v>0</v>
      </c>
      <c r="DC103" s="131">
        <f t="shared" si="105"/>
        <v>0</v>
      </c>
      <c r="DD103" s="131">
        <f t="shared" si="147"/>
        <v>0</v>
      </c>
      <c r="DE103" s="131">
        <f t="shared" si="148"/>
        <v>0</v>
      </c>
      <c r="DF103" s="131">
        <f t="shared" si="149"/>
        <v>0</v>
      </c>
      <c r="DG103" s="131">
        <f t="shared" si="150"/>
        <v>0</v>
      </c>
      <c r="DH103" s="131"/>
      <c r="DI103" s="131"/>
      <c r="DJ103" s="131"/>
      <c r="DK103" s="137">
        <f t="shared" si="180"/>
        <v>3791.5811116017489</v>
      </c>
      <c r="DL103" s="227" t="e">
        <f t="shared" si="151"/>
        <v>#REF!</v>
      </c>
      <c r="DM103" s="227" t="e">
        <f t="shared" si="152"/>
        <v>#REF!</v>
      </c>
      <c r="DN103" s="228" t="e">
        <f t="shared" si="106"/>
        <v>#REF!</v>
      </c>
      <c r="DO103" s="228">
        <f t="shared" si="153"/>
        <v>181.81087083894022</v>
      </c>
      <c r="DP103" s="228" t="e">
        <f t="shared" si="154"/>
        <v>#REF!</v>
      </c>
      <c r="DQ103" s="228" t="e">
        <f t="shared" si="155"/>
        <v>#REF!</v>
      </c>
    </row>
    <row r="104" spans="1:121">
      <c r="A104" s="132">
        <f t="shared" si="107"/>
        <v>94</v>
      </c>
      <c r="B104" s="18">
        <f t="shared" si="156"/>
        <v>94</v>
      </c>
      <c r="C104" s="18">
        <f>IF(A104=0," ",VLOOKUP(B104,'tosafot '!$A$7:$B$234,2,0))</f>
        <v>10.201499999999999</v>
      </c>
      <c r="D104" s="220">
        <f t="shared" si="157"/>
        <v>228</v>
      </c>
      <c r="E104" s="130">
        <f t="shared" si="158"/>
        <v>12.2026</v>
      </c>
      <c r="F104" s="126">
        <f t="shared" si="159"/>
        <v>9</v>
      </c>
      <c r="G104" s="18" t="str">
        <f t="shared" si="160"/>
        <v>הבריאות</v>
      </c>
      <c r="H104" s="189">
        <f t="shared" si="161"/>
        <v>107</v>
      </c>
      <c r="I104" s="18">
        <f t="shared" si="162"/>
        <v>1</v>
      </c>
      <c r="J104" s="18" t="str">
        <f t="shared" si="163"/>
        <v>מינהלי - עובדי מדינה</v>
      </c>
      <c r="K104" s="189">
        <f t="shared" si="164"/>
        <v>1</v>
      </c>
      <c r="L104" s="18">
        <f t="shared" si="165"/>
        <v>12</v>
      </c>
      <c r="M104" s="129" t="str">
        <f t="shared" si="166"/>
        <v>17+</v>
      </c>
      <c r="N104" s="189"/>
      <c r="O104" s="132">
        <f t="shared" si="167"/>
        <v>1012</v>
      </c>
      <c r="P104" s="127">
        <f t="shared" si="168"/>
        <v>37</v>
      </c>
      <c r="Q104" s="127">
        <f t="shared" si="169"/>
        <v>22.75</v>
      </c>
      <c r="R104" s="128">
        <f t="shared" si="170"/>
        <v>92</v>
      </c>
      <c r="S104" s="130">
        <f t="shared" si="171"/>
        <v>1.2540512286990533</v>
      </c>
      <c r="T104" s="135">
        <f t="shared" si="108"/>
        <v>0</v>
      </c>
      <c r="U104" s="127">
        <f t="shared" si="109"/>
        <v>0</v>
      </c>
      <c r="V104" s="217">
        <v>0</v>
      </c>
      <c r="W104" s="191">
        <v>0</v>
      </c>
      <c r="X104" s="133">
        <v>0</v>
      </c>
      <c r="Y104" s="131">
        <f t="shared" si="110"/>
        <v>2438.5</v>
      </c>
      <c r="Z104" s="131">
        <f t="shared" si="111"/>
        <v>619.50392118264142</v>
      </c>
      <c r="AA104" s="242">
        <f t="shared" si="112"/>
        <v>3058.0039211826415</v>
      </c>
      <c r="AB104" s="131">
        <f t="shared" si="113"/>
        <v>0</v>
      </c>
      <c r="AC104" s="131">
        <f t="shared" si="114"/>
        <v>139.48055684730568</v>
      </c>
      <c r="AD104" s="131">
        <f t="shared" si="115"/>
        <v>0</v>
      </c>
      <c r="AE104" s="131">
        <f t="shared" si="116"/>
        <v>0</v>
      </c>
      <c r="AF104" s="131">
        <f t="shared" si="117"/>
        <v>75.260000000000005</v>
      </c>
      <c r="AG104" s="131">
        <f t="shared" si="118"/>
        <v>0</v>
      </c>
      <c r="AH104" s="131">
        <f t="shared" si="119"/>
        <v>0</v>
      </c>
      <c r="AI104" s="131">
        <f t="shared" si="120"/>
        <v>0</v>
      </c>
      <c r="AJ104" s="131">
        <f t="shared" si="121"/>
        <v>0</v>
      </c>
      <c r="AK104" s="131"/>
      <c r="AL104" s="131">
        <f t="shared" si="122"/>
        <v>0</v>
      </c>
      <c r="AM104" s="131"/>
      <c r="AN104" s="243">
        <f t="shared" si="123"/>
        <v>0</v>
      </c>
      <c r="AO104" s="131">
        <f t="shared" si="124"/>
        <v>0</v>
      </c>
      <c r="AP104" s="131">
        <f t="shared" si="125"/>
        <v>0</v>
      </c>
      <c r="AQ104" s="131"/>
      <c r="AR104" s="131">
        <f t="shared" si="126"/>
        <v>0</v>
      </c>
      <c r="AS104" s="131">
        <f t="shared" si="172"/>
        <v>0</v>
      </c>
      <c r="AT104" s="131">
        <f t="shared" si="127"/>
        <v>0</v>
      </c>
      <c r="AU104" s="131">
        <f t="shared" si="128"/>
        <v>0</v>
      </c>
      <c r="AV104" s="131"/>
      <c r="AW104" s="131">
        <f t="shared" si="129"/>
        <v>353.75</v>
      </c>
      <c r="AX104" s="131">
        <f t="shared" si="183"/>
        <v>0</v>
      </c>
      <c r="AY104" s="131">
        <f t="shared" si="130"/>
        <v>0</v>
      </c>
      <c r="AZ104" s="131"/>
      <c r="BA104" s="131">
        <f t="shared" si="184"/>
        <v>0</v>
      </c>
      <c r="BB104" s="131"/>
      <c r="BC104" s="131"/>
      <c r="BD104" s="131">
        <f t="shared" si="131"/>
        <v>0</v>
      </c>
      <c r="BE104" s="131"/>
      <c r="BF104" s="131">
        <f t="shared" si="173"/>
        <v>0</v>
      </c>
      <c r="BG104" s="131">
        <f t="shared" si="174"/>
        <v>0</v>
      </c>
      <c r="BH104" s="131"/>
      <c r="BI104" s="131"/>
      <c r="BJ104" s="131"/>
      <c r="BK104" s="131">
        <f t="shared" si="175"/>
        <v>0</v>
      </c>
      <c r="BL104" s="131"/>
      <c r="BM104" s="131"/>
      <c r="BN104" s="131">
        <f t="shared" si="176"/>
        <v>0</v>
      </c>
      <c r="BO104" s="131"/>
      <c r="BP104" s="131">
        <f t="shared" si="177"/>
        <v>0</v>
      </c>
      <c r="BQ104" s="131"/>
      <c r="BR104" s="131"/>
      <c r="BS104" s="131"/>
      <c r="BT104" s="131"/>
      <c r="BU104" s="131"/>
      <c r="BV104" s="131">
        <f t="shared" si="178"/>
        <v>0</v>
      </c>
      <c r="BW104" s="131"/>
      <c r="BX104" s="131"/>
      <c r="BY104" s="131"/>
      <c r="BZ104" s="131">
        <f t="shared" si="179"/>
        <v>0</v>
      </c>
      <c r="CA104" s="131"/>
      <c r="CB104" s="136">
        <f t="shared" si="132"/>
        <v>165.08663357180151</v>
      </c>
      <c r="CC104" s="131">
        <f t="shared" si="133"/>
        <v>0</v>
      </c>
      <c r="CD104" s="136">
        <f t="shared" si="134"/>
        <v>0</v>
      </c>
      <c r="CE104" s="131">
        <f t="shared" si="182"/>
        <v>0</v>
      </c>
      <c r="CF104" s="136">
        <f t="shared" si="135"/>
        <v>0</v>
      </c>
      <c r="CG104" s="136"/>
      <c r="CH104" s="136">
        <f t="shared" si="181"/>
        <v>0</v>
      </c>
      <c r="CI104" s="131">
        <f t="shared" si="136"/>
        <v>0</v>
      </c>
      <c r="CJ104" s="131"/>
      <c r="CK104" s="136">
        <f t="shared" si="137"/>
        <v>0</v>
      </c>
      <c r="CL104" s="136">
        <f t="shared" si="138"/>
        <v>0</v>
      </c>
      <c r="CM104" s="131">
        <f t="shared" si="139"/>
        <v>0</v>
      </c>
      <c r="CN104" s="136">
        <f t="shared" si="140"/>
        <v>0</v>
      </c>
      <c r="CO104" s="136">
        <f t="shared" si="141"/>
        <v>0</v>
      </c>
      <c r="CP104" s="136">
        <f t="shared" si="142"/>
        <v>0</v>
      </c>
      <c r="CQ104" s="136"/>
      <c r="CR104" s="136">
        <f t="shared" si="143"/>
        <v>0</v>
      </c>
      <c r="CS104" s="136"/>
      <c r="CT104" s="136"/>
      <c r="CU104" s="136"/>
      <c r="CV104" s="136"/>
      <c r="CW104" s="136"/>
      <c r="CX104" s="136"/>
      <c r="CY104" s="136"/>
      <c r="CZ104" s="136">
        <f t="shared" si="144"/>
        <v>0</v>
      </c>
      <c r="DA104" s="136">
        <f t="shared" si="145"/>
        <v>0</v>
      </c>
      <c r="DB104" s="136">
        <f t="shared" si="146"/>
        <v>0</v>
      </c>
      <c r="DC104" s="131">
        <f t="shared" si="105"/>
        <v>0</v>
      </c>
      <c r="DD104" s="131">
        <f t="shared" si="147"/>
        <v>0</v>
      </c>
      <c r="DE104" s="131">
        <f t="shared" si="148"/>
        <v>0</v>
      </c>
      <c r="DF104" s="131">
        <f t="shared" si="149"/>
        <v>0</v>
      </c>
      <c r="DG104" s="131">
        <f t="shared" si="150"/>
        <v>0</v>
      </c>
      <c r="DH104" s="131"/>
      <c r="DI104" s="131"/>
      <c r="DJ104" s="131"/>
      <c r="DK104" s="137">
        <f t="shared" si="180"/>
        <v>3791.5811116017489</v>
      </c>
      <c r="DL104" s="227" t="e">
        <f t="shared" si="151"/>
        <v>#REF!</v>
      </c>
      <c r="DM104" s="227" t="e">
        <f t="shared" si="152"/>
        <v>#REF!</v>
      </c>
      <c r="DN104" s="228" t="e">
        <f t="shared" si="106"/>
        <v>#REF!</v>
      </c>
      <c r="DO104" s="228">
        <f t="shared" si="153"/>
        <v>181.81087083894022</v>
      </c>
      <c r="DP104" s="228" t="e">
        <f t="shared" si="154"/>
        <v>#REF!</v>
      </c>
      <c r="DQ104" s="228" t="e">
        <f t="shared" si="155"/>
        <v>#REF!</v>
      </c>
    </row>
    <row r="105" spans="1:121">
      <c r="A105" s="132">
        <f t="shared" si="107"/>
        <v>95</v>
      </c>
      <c r="B105" s="18">
        <f t="shared" si="156"/>
        <v>95</v>
      </c>
      <c r="C105" s="18">
        <f>IF(A105=0," ",VLOOKUP(B105,'tosafot '!$A$7:$B$234,2,0))</f>
        <v>11.201499999999999</v>
      </c>
      <c r="D105" s="220">
        <f t="shared" si="157"/>
        <v>228</v>
      </c>
      <c r="E105" s="130">
        <f t="shared" si="158"/>
        <v>12.2026</v>
      </c>
      <c r="F105" s="126">
        <f t="shared" si="159"/>
        <v>9</v>
      </c>
      <c r="G105" s="18" t="str">
        <f t="shared" si="160"/>
        <v>הבריאות</v>
      </c>
      <c r="H105" s="189">
        <f t="shared" si="161"/>
        <v>107</v>
      </c>
      <c r="I105" s="18">
        <f t="shared" si="162"/>
        <v>1</v>
      </c>
      <c r="J105" s="18" t="str">
        <f t="shared" si="163"/>
        <v>מינהלי - עובדי מדינה</v>
      </c>
      <c r="K105" s="189">
        <f t="shared" si="164"/>
        <v>1</v>
      </c>
      <c r="L105" s="18">
        <f t="shared" si="165"/>
        <v>12</v>
      </c>
      <c r="M105" s="129" t="str">
        <f t="shared" si="166"/>
        <v>17+</v>
      </c>
      <c r="N105" s="189"/>
      <c r="O105" s="132">
        <f t="shared" si="167"/>
        <v>1012</v>
      </c>
      <c r="P105" s="127">
        <f t="shared" si="168"/>
        <v>37</v>
      </c>
      <c r="Q105" s="127">
        <f t="shared" si="169"/>
        <v>22.75</v>
      </c>
      <c r="R105" s="128">
        <f t="shared" si="170"/>
        <v>92</v>
      </c>
      <c r="S105" s="130">
        <f t="shared" si="171"/>
        <v>1.2540512286990533</v>
      </c>
      <c r="T105" s="135">
        <f t="shared" si="108"/>
        <v>0</v>
      </c>
      <c r="U105" s="127">
        <f t="shared" si="109"/>
        <v>0</v>
      </c>
      <c r="V105" s="217">
        <v>0</v>
      </c>
      <c r="W105" s="191">
        <v>0</v>
      </c>
      <c r="X105" s="133">
        <v>0</v>
      </c>
      <c r="Y105" s="131">
        <f t="shared" si="110"/>
        <v>2438.5</v>
      </c>
      <c r="Z105" s="131">
        <f t="shared" si="111"/>
        <v>619.50392118264142</v>
      </c>
      <c r="AA105" s="242">
        <f t="shared" si="112"/>
        <v>3058.0039211826415</v>
      </c>
      <c r="AB105" s="131">
        <f t="shared" si="113"/>
        <v>0</v>
      </c>
      <c r="AC105" s="131">
        <f t="shared" si="114"/>
        <v>139.48055684730568</v>
      </c>
      <c r="AD105" s="131">
        <f t="shared" si="115"/>
        <v>0</v>
      </c>
      <c r="AE105" s="131">
        <f t="shared" si="116"/>
        <v>0</v>
      </c>
      <c r="AF105" s="131">
        <f t="shared" si="117"/>
        <v>75.260000000000005</v>
      </c>
      <c r="AG105" s="131">
        <f t="shared" si="118"/>
        <v>0</v>
      </c>
      <c r="AH105" s="131">
        <f t="shared" si="119"/>
        <v>0</v>
      </c>
      <c r="AI105" s="131">
        <f t="shared" si="120"/>
        <v>0</v>
      </c>
      <c r="AJ105" s="131">
        <f t="shared" si="121"/>
        <v>0</v>
      </c>
      <c r="AK105" s="131"/>
      <c r="AL105" s="131">
        <f t="shared" si="122"/>
        <v>0</v>
      </c>
      <c r="AM105" s="131"/>
      <c r="AN105" s="243">
        <f t="shared" si="123"/>
        <v>0</v>
      </c>
      <c r="AO105" s="131">
        <f t="shared" si="124"/>
        <v>0</v>
      </c>
      <c r="AP105" s="131">
        <f t="shared" si="125"/>
        <v>0</v>
      </c>
      <c r="AQ105" s="131"/>
      <c r="AR105" s="131">
        <f t="shared" si="126"/>
        <v>0</v>
      </c>
      <c r="AS105" s="131">
        <f t="shared" si="172"/>
        <v>0</v>
      </c>
      <c r="AT105" s="131">
        <f t="shared" si="127"/>
        <v>0</v>
      </c>
      <c r="AU105" s="131">
        <f t="shared" si="128"/>
        <v>0</v>
      </c>
      <c r="AV105" s="131"/>
      <c r="AW105" s="131">
        <f t="shared" si="129"/>
        <v>353.75</v>
      </c>
      <c r="AX105" s="131">
        <f t="shared" si="183"/>
        <v>0</v>
      </c>
      <c r="AY105" s="131">
        <f t="shared" si="130"/>
        <v>0</v>
      </c>
      <c r="AZ105" s="131"/>
      <c r="BA105" s="131">
        <f t="shared" si="184"/>
        <v>0</v>
      </c>
      <c r="BB105" s="131"/>
      <c r="BC105" s="131"/>
      <c r="BD105" s="131">
        <f t="shared" si="131"/>
        <v>0</v>
      </c>
      <c r="BE105" s="131"/>
      <c r="BF105" s="131">
        <f t="shared" si="173"/>
        <v>0</v>
      </c>
      <c r="BG105" s="131">
        <f t="shared" si="174"/>
        <v>0</v>
      </c>
      <c r="BH105" s="131"/>
      <c r="BI105" s="131"/>
      <c r="BJ105" s="131"/>
      <c r="BK105" s="131">
        <f t="shared" si="175"/>
        <v>0</v>
      </c>
      <c r="BL105" s="131"/>
      <c r="BM105" s="131"/>
      <c r="BN105" s="131">
        <f t="shared" si="176"/>
        <v>0</v>
      </c>
      <c r="BO105" s="131"/>
      <c r="BP105" s="131">
        <f t="shared" si="177"/>
        <v>0</v>
      </c>
      <c r="BQ105" s="131"/>
      <c r="BR105" s="131"/>
      <c r="BS105" s="131"/>
      <c r="BT105" s="131"/>
      <c r="BU105" s="131"/>
      <c r="BV105" s="131">
        <f t="shared" si="178"/>
        <v>0</v>
      </c>
      <c r="BW105" s="131"/>
      <c r="BX105" s="131"/>
      <c r="BY105" s="131"/>
      <c r="BZ105" s="131">
        <f t="shared" si="179"/>
        <v>0</v>
      </c>
      <c r="CA105" s="131"/>
      <c r="CB105" s="136">
        <f t="shared" si="132"/>
        <v>165.08663357180151</v>
      </c>
      <c r="CC105" s="131">
        <f t="shared" si="133"/>
        <v>0</v>
      </c>
      <c r="CD105" s="136">
        <f t="shared" si="134"/>
        <v>0</v>
      </c>
      <c r="CE105" s="131">
        <f t="shared" si="182"/>
        <v>0</v>
      </c>
      <c r="CF105" s="136">
        <f t="shared" si="135"/>
        <v>0</v>
      </c>
      <c r="CG105" s="136"/>
      <c r="CH105" s="136">
        <f t="shared" si="181"/>
        <v>0</v>
      </c>
      <c r="CI105" s="131">
        <f t="shared" si="136"/>
        <v>0</v>
      </c>
      <c r="CJ105" s="131"/>
      <c r="CK105" s="136">
        <f t="shared" si="137"/>
        <v>0</v>
      </c>
      <c r="CL105" s="136">
        <f t="shared" si="138"/>
        <v>0</v>
      </c>
      <c r="CM105" s="131">
        <f t="shared" si="139"/>
        <v>0</v>
      </c>
      <c r="CN105" s="136">
        <f t="shared" si="140"/>
        <v>0</v>
      </c>
      <c r="CO105" s="136">
        <f t="shared" si="141"/>
        <v>0</v>
      </c>
      <c r="CP105" s="136">
        <f t="shared" si="142"/>
        <v>0</v>
      </c>
      <c r="CQ105" s="136"/>
      <c r="CR105" s="136">
        <f t="shared" si="143"/>
        <v>0</v>
      </c>
      <c r="CS105" s="136"/>
      <c r="CT105" s="136"/>
      <c r="CU105" s="136"/>
      <c r="CV105" s="136"/>
      <c r="CW105" s="136"/>
      <c r="CX105" s="136"/>
      <c r="CY105" s="136"/>
      <c r="CZ105" s="136">
        <f t="shared" si="144"/>
        <v>0</v>
      </c>
      <c r="DA105" s="136">
        <f t="shared" si="145"/>
        <v>0</v>
      </c>
      <c r="DB105" s="136">
        <f t="shared" si="146"/>
        <v>0</v>
      </c>
      <c r="DC105" s="131">
        <f t="shared" si="105"/>
        <v>0</v>
      </c>
      <c r="DD105" s="131">
        <f t="shared" si="147"/>
        <v>0</v>
      </c>
      <c r="DE105" s="131">
        <f t="shared" si="148"/>
        <v>0</v>
      </c>
      <c r="DF105" s="131">
        <f t="shared" si="149"/>
        <v>0</v>
      </c>
      <c r="DG105" s="131">
        <f t="shared" si="150"/>
        <v>0</v>
      </c>
      <c r="DH105" s="131"/>
      <c r="DI105" s="131"/>
      <c r="DJ105" s="131"/>
      <c r="DK105" s="137">
        <f t="shared" si="180"/>
        <v>3791.5811116017489</v>
      </c>
      <c r="DL105" s="227" t="e">
        <f t="shared" si="151"/>
        <v>#REF!</v>
      </c>
      <c r="DM105" s="227" t="e">
        <f t="shared" si="152"/>
        <v>#REF!</v>
      </c>
      <c r="DN105" s="228" t="e">
        <f t="shared" si="106"/>
        <v>#REF!</v>
      </c>
      <c r="DO105" s="228">
        <f t="shared" si="153"/>
        <v>181.81087083894022</v>
      </c>
      <c r="DP105" s="228" t="e">
        <f t="shared" si="154"/>
        <v>#REF!</v>
      </c>
      <c r="DQ105" s="228" t="e">
        <f t="shared" si="155"/>
        <v>#REF!</v>
      </c>
    </row>
    <row r="106" spans="1:121">
      <c r="A106" s="132">
        <f t="shared" si="107"/>
        <v>96</v>
      </c>
      <c r="B106" s="18">
        <f t="shared" si="156"/>
        <v>96</v>
      </c>
      <c r="C106" s="18">
        <f>IF(A106=0," ",VLOOKUP(B106,'tosafot '!$A$7:$B$234,2,0))</f>
        <v>12.201499999999999</v>
      </c>
      <c r="D106" s="220">
        <f t="shared" si="157"/>
        <v>228</v>
      </c>
      <c r="E106" s="130">
        <f t="shared" si="158"/>
        <v>12.2026</v>
      </c>
      <c r="F106" s="126">
        <f t="shared" si="159"/>
        <v>9</v>
      </c>
      <c r="G106" s="18" t="str">
        <f t="shared" si="160"/>
        <v>הבריאות</v>
      </c>
      <c r="H106" s="189">
        <f t="shared" si="161"/>
        <v>107</v>
      </c>
      <c r="I106" s="18">
        <f t="shared" si="162"/>
        <v>1</v>
      </c>
      <c r="J106" s="18" t="str">
        <f t="shared" si="163"/>
        <v>מינהלי - עובדי מדינה</v>
      </c>
      <c r="K106" s="189">
        <f t="shared" si="164"/>
        <v>1</v>
      </c>
      <c r="L106" s="18">
        <f t="shared" si="165"/>
        <v>12</v>
      </c>
      <c r="M106" s="129" t="str">
        <f t="shared" si="166"/>
        <v>17+</v>
      </c>
      <c r="N106" s="189"/>
      <c r="O106" s="132">
        <f t="shared" si="167"/>
        <v>1012</v>
      </c>
      <c r="P106" s="127">
        <f t="shared" si="168"/>
        <v>37</v>
      </c>
      <c r="Q106" s="127">
        <f t="shared" si="169"/>
        <v>22.75</v>
      </c>
      <c r="R106" s="128">
        <f t="shared" si="170"/>
        <v>92</v>
      </c>
      <c r="S106" s="130">
        <f t="shared" si="171"/>
        <v>1.2540512286990533</v>
      </c>
      <c r="T106" s="135">
        <f t="shared" si="108"/>
        <v>0</v>
      </c>
      <c r="U106" s="127">
        <f t="shared" si="109"/>
        <v>0</v>
      </c>
      <c r="V106" s="217">
        <v>0</v>
      </c>
      <c r="W106" s="191">
        <v>0</v>
      </c>
      <c r="X106" s="133">
        <v>0</v>
      </c>
      <c r="Y106" s="131">
        <f t="shared" si="110"/>
        <v>2438.5</v>
      </c>
      <c r="Z106" s="131">
        <f t="shared" si="111"/>
        <v>619.50392118264142</v>
      </c>
      <c r="AA106" s="242">
        <f t="shared" si="112"/>
        <v>3058.0039211826415</v>
      </c>
      <c r="AB106" s="131">
        <f t="shared" si="113"/>
        <v>0</v>
      </c>
      <c r="AC106" s="131">
        <f t="shared" si="114"/>
        <v>139.48055684730568</v>
      </c>
      <c r="AD106" s="131">
        <f t="shared" si="115"/>
        <v>0</v>
      </c>
      <c r="AE106" s="131">
        <f t="shared" si="116"/>
        <v>0</v>
      </c>
      <c r="AF106" s="131">
        <f t="shared" si="117"/>
        <v>75.260000000000005</v>
      </c>
      <c r="AG106" s="131">
        <f t="shared" si="118"/>
        <v>0</v>
      </c>
      <c r="AH106" s="131">
        <f t="shared" si="119"/>
        <v>0</v>
      </c>
      <c r="AI106" s="131">
        <f t="shared" si="120"/>
        <v>0</v>
      </c>
      <c r="AJ106" s="131">
        <f t="shared" si="121"/>
        <v>0</v>
      </c>
      <c r="AK106" s="131"/>
      <c r="AL106" s="131">
        <f t="shared" si="122"/>
        <v>0</v>
      </c>
      <c r="AM106" s="131"/>
      <c r="AN106" s="243">
        <f t="shared" si="123"/>
        <v>0</v>
      </c>
      <c r="AO106" s="131">
        <f t="shared" si="124"/>
        <v>0</v>
      </c>
      <c r="AP106" s="131">
        <f t="shared" si="125"/>
        <v>0</v>
      </c>
      <c r="AQ106" s="131"/>
      <c r="AR106" s="131">
        <f t="shared" si="126"/>
        <v>0</v>
      </c>
      <c r="AS106" s="131">
        <f t="shared" si="172"/>
        <v>0</v>
      </c>
      <c r="AT106" s="131">
        <f t="shared" si="127"/>
        <v>0</v>
      </c>
      <c r="AU106" s="131">
        <f t="shared" si="128"/>
        <v>0</v>
      </c>
      <c r="AV106" s="131"/>
      <c r="AW106" s="131">
        <f t="shared" si="129"/>
        <v>353.75</v>
      </c>
      <c r="AX106" s="131">
        <f t="shared" si="183"/>
        <v>0</v>
      </c>
      <c r="AY106" s="131">
        <f t="shared" si="130"/>
        <v>0</v>
      </c>
      <c r="AZ106" s="131"/>
      <c r="BA106" s="131">
        <f t="shared" si="184"/>
        <v>0</v>
      </c>
      <c r="BB106" s="131"/>
      <c r="BC106" s="131"/>
      <c r="BD106" s="131">
        <f t="shared" si="131"/>
        <v>0</v>
      </c>
      <c r="BE106" s="131"/>
      <c r="BF106" s="131">
        <f t="shared" si="173"/>
        <v>0</v>
      </c>
      <c r="BG106" s="131">
        <f t="shared" si="174"/>
        <v>0</v>
      </c>
      <c r="BH106" s="131"/>
      <c r="BI106" s="131"/>
      <c r="BJ106" s="131"/>
      <c r="BK106" s="131">
        <f t="shared" si="175"/>
        <v>0</v>
      </c>
      <c r="BL106" s="131"/>
      <c r="BM106" s="131"/>
      <c r="BN106" s="131">
        <f t="shared" si="176"/>
        <v>0</v>
      </c>
      <c r="BO106" s="131"/>
      <c r="BP106" s="131">
        <f t="shared" si="177"/>
        <v>0</v>
      </c>
      <c r="BQ106" s="131"/>
      <c r="BR106" s="131"/>
      <c r="BS106" s="131"/>
      <c r="BT106" s="131"/>
      <c r="BU106" s="131"/>
      <c r="BV106" s="131">
        <f t="shared" si="178"/>
        <v>0</v>
      </c>
      <c r="BW106" s="131"/>
      <c r="BX106" s="131"/>
      <c r="BY106" s="131"/>
      <c r="BZ106" s="131">
        <f t="shared" si="179"/>
        <v>0</v>
      </c>
      <c r="CA106" s="131"/>
      <c r="CB106" s="136">
        <f t="shared" si="132"/>
        <v>165.08663357180151</v>
      </c>
      <c r="CC106" s="131">
        <f t="shared" si="133"/>
        <v>0</v>
      </c>
      <c r="CD106" s="136">
        <f t="shared" si="134"/>
        <v>0</v>
      </c>
      <c r="CE106" s="131">
        <f t="shared" si="182"/>
        <v>0</v>
      </c>
      <c r="CF106" s="136">
        <f t="shared" si="135"/>
        <v>0</v>
      </c>
      <c r="CG106" s="136"/>
      <c r="CH106" s="136">
        <f t="shared" si="181"/>
        <v>0</v>
      </c>
      <c r="CI106" s="131">
        <f t="shared" si="136"/>
        <v>0</v>
      </c>
      <c r="CJ106" s="131"/>
      <c r="CK106" s="136">
        <f t="shared" si="137"/>
        <v>0</v>
      </c>
      <c r="CL106" s="136">
        <f t="shared" si="138"/>
        <v>0</v>
      </c>
      <c r="CM106" s="131">
        <f t="shared" si="139"/>
        <v>0</v>
      </c>
      <c r="CN106" s="136">
        <f t="shared" si="140"/>
        <v>0</v>
      </c>
      <c r="CO106" s="136">
        <f t="shared" si="141"/>
        <v>0</v>
      </c>
      <c r="CP106" s="136">
        <f t="shared" si="142"/>
        <v>0</v>
      </c>
      <c r="CQ106" s="136"/>
      <c r="CR106" s="136">
        <f t="shared" si="143"/>
        <v>0</v>
      </c>
      <c r="CS106" s="136"/>
      <c r="CT106" s="136"/>
      <c r="CU106" s="136"/>
      <c r="CV106" s="136"/>
      <c r="CW106" s="136"/>
      <c r="CX106" s="136"/>
      <c r="CY106" s="136"/>
      <c r="CZ106" s="136">
        <f t="shared" si="144"/>
        <v>0</v>
      </c>
      <c r="DA106" s="136">
        <f t="shared" si="145"/>
        <v>0</v>
      </c>
      <c r="DB106" s="136">
        <f t="shared" si="146"/>
        <v>0</v>
      </c>
      <c r="DC106" s="131">
        <f t="shared" si="105"/>
        <v>0</v>
      </c>
      <c r="DD106" s="131">
        <f t="shared" si="147"/>
        <v>0</v>
      </c>
      <c r="DE106" s="131">
        <f t="shared" si="148"/>
        <v>0</v>
      </c>
      <c r="DF106" s="131">
        <f t="shared" si="149"/>
        <v>0</v>
      </c>
      <c r="DG106" s="131">
        <f t="shared" si="150"/>
        <v>0</v>
      </c>
      <c r="DH106" s="131"/>
      <c r="DI106" s="131"/>
      <c r="DJ106" s="131"/>
      <c r="DK106" s="137">
        <f t="shared" si="180"/>
        <v>3791.5811116017489</v>
      </c>
      <c r="DL106" s="227" t="e">
        <f t="shared" si="151"/>
        <v>#REF!</v>
      </c>
      <c r="DM106" s="227" t="e">
        <f t="shared" si="152"/>
        <v>#REF!</v>
      </c>
      <c r="DN106" s="228" t="e">
        <f t="shared" si="106"/>
        <v>#REF!</v>
      </c>
      <c r="DO106" s="228">
        <f t="shared" si="153"/>
        <v>181.81087083894022</v>
      </c>
      <c r="DP106" s="228" t="e">
        <f t="shared" si="154"/>
        <v>#REF!</v>
      </c>
      <c r="DQ106" s="228" t="e">
        <f t="shared" si="155"/>
        <v>#REF!</v>
      </c>
    </row>
    <row r="107" spans="1:121">
      <c r="A107" s="132">
        <f t="shared" si="107"/>
        <v>97</v>
      </c>
      <c r="B107" s="18">
        <f t="shared" si="156"/>
        <v>97</v>
      </c>
      <c r="C107" s="18">
        <f>IF(A107=0," ",VLOOKUP(B107,'tosafot '!$A$7:$B$234,2,0))</f>
        <v>1.2016</v>
      </c>
      <c r="D107" s="220">
        <f t="shared" si="157"/>
        <v>228</v>
      </c>
      <c r="E107" s="130">
        <f t="shared" si="158"/>
        <v>12.2026</v>
      </c>
      <c r="F107" s="126">
        <f t="shared" si="159"/>
        <v>9</v>
      </c>
      <c r="G107" s="18" t="str">
        <f t="shared" si="160"/>
        <v>הבריאות</v>
      </c>
      <c r="H107" s="189">
        <f t="shared" si="161"/>
        <v>107</v>
      </c>
      <c r="I107" s="18">
        <f t="shared" si="162"/>
        <v>1</v>
      </c>
      <c r="J107" s="18" t="str">
        <f t="shared" si="163"/>
        <v>מינהלי - עובדי מדינה</v>
      </c>
      <c r="K107" s="189">
        <f t="shared" si="164"/>
        <v>1</v>
      </c>
      <c r="L107" s="18">
        <f t="shared" si="165"/>
        <v>12</v>
      </c>
      <c r="M107" s="129" t="str">
        <f t="shared" si="166"/>
        <v>17+</v>
      </c>
      <c r="N107" s="189"/>
      <c r="O107" s="132">
        <f t="shared" si="167"/>
        <v>1012</v>
      </c>
      <c r="P107" s="127">
        <f t="shared" si="168"/>
        <v>37</v>
      </c>
      <c r="Q107" s="127">
        <f t="shared" si="169"/>
        <v>22.75</v>
      </c>
      <c r="R107" s="128">
        <f t="shared" si="170"/>
        <v>92</v>
      </c>
      <c r="S107" s="130">
        <f t="shared" si="171"/>
        <v>1.2540512286990533</v>
      </c>
      <c r="T107" s="135">
        <f t="shared" si="108"/>
        <v>0</v>
      </c>
      <c r="U107" s="127">
        <f t="shared" si="109"/>
        <v>0</v>
      </c>
      <c r="V107" s="217">
        <v>0</v>
      </c>
      <c r="W107" s="191">
        <v>0</v>
      </c>
      <c r="X107" s="133">
        <v>0</v>
      </c>
      <c r="Y107" s="131">
        <f t="shared" si="110"/>
        <v>2438.5</v>
      </c>
      <c r="Z107" s="131">
        <f t="shared" si="111"/>
        <v>619.50392118264142</v>
      </c>
      <c r="AA107" s="242">
        <f t="shared" si="112"/>
        <v>3058.0039211826415</v>
      </c>
      <c r="AB107" s="131">
        <f t="shared" si="113"/>
        <v>0</v>
      </c>
      <c r="AC107" s="131">
        <f t="shared" si="114"/>
        <v>139.48055684730568</v>
      </c>
      <c r="AD107" s="131">
        <f t="shared" si="115"/>
        <v>0</v>
      </c>
      <c r="AE107" s="131">
        <f t="shared" si="116"/>
        <v>0</v>
      </c>
      <c r="AF107" s="131">
        <f t="shared" si="117"/>
        <v>75.260000000000005</v>
      </c>
      <c r="AG107" s="131">
        <f t="shared" si="118"/>
        <v>0</v>
      </c>
      <c r="AH107" s="131">
        <f t="shared" si="119"/>
        <v>0</v>
      </c>
      <c r="AI107" s="131">
        <f t="shared" si="120"/>
        <v>0</v>
      </c>
      <c r="AJ107" s="131">
        <f t="shared" si="121"/>
        <v>0</v>
      </c>
      <c r="AK107" s="131"/>
      <c r="AL107" s="131">
        <f t="shared" si="122"/>
        <v>0</v>
      </c>
      <c r="AM107" s="131"/>
      <c r="AN107" s="243">
        <f t="shared" si="123"/>
        <v>0</v>
      </c>
      <c r="AO107" s="131">
        <f t="shared" si="124"/>
        <v>0</v>
      </c>
      <c r="AP107" s="131">
        <f t="shared" si="125"/>
        <v>0</v>
      </c>
      <c r="AQ107" s="131"/>
      <c r="AR107" s="131">
        <f t="shared" si="126"/>
        <v>0</v>
      </c>
      <c r="AS107" s="131">
        <f t="shared" si="172"/>
        <v>0</v>
      </c>
      <c r="AT107" s="131">
        <f t="shared" si="127"/>
        <v>0</v>
      </c>
      <c r="AU107" s="131">
        <f t="shared" si="128"/>
        <v>0</v>
      </c>
      <c r="AV107" s="131"/>
      <c r="AW107" s="131">
        <f t="shared" si="129"/>
        <v>353.75</v>
      </c>
      <c r="AX107" s="131">
        <f t="shared" si="183"/>
        <v>0</v>
      </c>
      <c r="AY107" s="131">
        <f t="shared" si="130"/>
        <v>0</v>
      </c>
      <c r="AZ107" s="131"/>
      <c r="BA107" s="131">
        <f t="shared" si="184"/>
        <v>0</v>
      </c>
      <c r="BB107" s="131"/>
      <c r="BC107" s="131"/>
      <c r="BD107" s="131">
        <f t="shared" si="131"/>
        <v>0</v>
      </c>
      <c r="BE107" s="131"/>
      <c r="BF107" s="131">
        <f t="shared" si="173"/>
        <v>0</v>
      </c>
      <c r="BG107" s="131">
        <f t="shared" si="174"/>
        <v>0</v>
      </c>
      <c r="BH107" s="131"/>
      <c r="BI107" s="131"/>
      <c r="BJ107" s="131"/>
      <c r="BK107" s="131">
        <f t="shared" si="175"/>
        <v>0</v>
      </c>
      <c r="BL107" s="131"/>
      <c r="BM107" s="131"/>
      <c r="BN107" s="131">
        <f t="shared" si="176"/>
        <v>0</v>
      </c>
      <c r="BO107" s="131"/>
      <c r="BP107" s="131">
        <f t="shared" si="177"/>
        <v>0</v>
      </c>
      <c r="BQ107" s="131"/>
      <c r="BR107" s="131"/>
      <c r="BS107" s="131"/>
      <c r="BT107" s="131"/>
      <c r="BU107" s="131"/>
      <c r="BV107" s="131">
        <f t="shared" si="178"/>
        <v>0</v>
      </c>
      <c r="BW107" s="131"/>
      <c r="BX107" s="131"/>
      <c r="BY107" s="131"/>
      <c r="BZ107" s="131">
        <f t="shared" si="179"/>
        <v>0</v>
      </c>
      <c r="CA107" s="131"/>
      <c r="CB107" s="136">
        <f t="shared" si="132"/>
        <v>165.08663357180151</v>
      </c>
      <c r="CC107" s="131">
        <f t="shared" si="133"/>
        <v>0</v>
      </c>
      <c r="CD107" s="136">
        <f t="shared" si="134"/>
        <v>0</v>
      </c>
      <c r="CE107" s="131">
        <f t="shared" si="182"/>
        <v>0</v>
      </c>
      <c r="CF107" s="136">
        <f t="shared" si="135"/>
        <v>0</v>
      </c>
      <c r="CG107" s="136"/>
      <c r="CH107" s="136">
        <f t="shared" si="181"/>
        <v>0</v>
      </c>
      <c r="CI107" s="131">
        <f t="shared" si="136"/>
        <v>0</v>
      </c>
      <c r="CJ107" s="131"/>
      <c r="CK107" s="136">
        <f t="shared" si="137"/>
        <v>0</v>
      </c>
      <c r="CL107" s="136">
        <f t="shared" si="138"/>
        <v>0</v>
      </c>
      <c r="CM107" s="131">
        <f t="shared" si="139"/>
        <v>0</v>
      </c>
      <c r="CN107" s="136">
        <f t="shared" si="140"/>
        <v>0</v>
      </c>
      <c r="CO107" s="136">
        <f t="shared" si="141"/>
        <v>0</v>
      </c>
      <c r="CP107" s="136">
        <f t="shared" si="142"/>
        <v>0</v>
      </c>
      <c r="CQ107" s="136"/>
      <c r="CR107" s="136">
        <f t="shared" si="143"/>
        <v>0</v>
      </c>
      <c r="CS107" s="136"/>
      <c r="CT107" s="136"/>
      <c r="CU107" s="136"/>
      <c r="CV107" s="136"/>
      <c r="CW107" s="136"/>
      <c r="CX107" s="136"/>
      <c r="CY107" s="136"/>
      <c r="CZ107" s="136">
        <f t="shared" si="144"/>
        <v>0</v>
      </c>
      <c r="DA107" s="136">
        <f t="shared" si="145"/>
        <v>0</v>
      </c>
      <c r="DB107" s="136">
        <f t="shared" si="146"/>
        <v>0</v>
      </c>
      <c r="DC107" s="131">
        <f t="shared" si="105"/>
        <v>0</v>
      </c>
      <c r="DD107" s="131">
        <f t="shared" si="147"/>
        <v>0</v>
      </c>
      <c r="DE107" s="131">
        <f t="shared" si="148"/>
        <v>0</v>
      </c>
      <c r="DF107" s="131">
        <f t="shared" si="149"/>
        <v>0</v>
      </c>
      <c r="DG107" s="131">
        <f t="shared" si="150"/>
        <v>0</v>
      </c>
      <c r="DH107" s="131"/>
      <c r="DI107" s="131"/>
      <c r="DJ107" s="131"/>
      <c r="DK107" s="137">
        <f t="shared" si="180"/>
        <v>3791.5811116017489</v>
      </c>
      <c r="DL107" s="227" t="e">
        <f t="shared" si="151"/>
        <v>#REF!</v>
      </c>
      <c r="DM107" s="227" t="e">
        <f t="shared" si="152"/>
        <v>#REF!</v>
      </c>
      <c r="DN107" s="228" t="e">
        <f t="shared" si="106"/>
        <v>#REF!</v>
      </c>
      <c r="DO107" s="228">
        <f t="shared" si="153"/>
        <v>181.81087083894022</v>
      </c>
      <c r="DP107" s="228" t="e">
        <f t="shared" si="154"/>
        <v>#REF!</v>
      </c>
      <c r="DQ107" s="228" t="e">
        <f t="shared" si="155"/>
        <v>#REF!</v>
      </c>
    </row>
    <row r="108" spans="1:121">
      <c r="A108" s="132">
        <f t="shared" si="107"/>
        <v>98</v>
      </c>
      <c r="B108" s="18">
        <f t="shared" si="156"/>
        <v>98</v>
      </c>
      <c r="C108" s="18">
        <f>IF(A108=0," ",VLOOKUP(B108,'tosafot '!$A$7:$B$234,2,0))</f>
        <v>2.2016</v>
      </c>
      <c r="D108" s="220">
        <f t="shared" si="157"/>
        <v>228</v>
      </c>
      <c r="E108" s="130">
        <f t="shared" si="158"/>
        <v>12.2026</v>
      </c>
      <c r="F108" s="126">
        <f t="shared" si="159"/>
        <v>9</v>
      </c>
      <c r="G108" s="18" t="str">
        <f t="shared" si="160"/>
        <v>הבריאות</v>
      </c>
      <c r="H108" s="189">
        <f t="shared" si="161"/>
        <v>107</v>
      </c>
      <c r="I108" s="18">
        <f t="shared" si="162"/>
        <v>1</v>
      </c>
      <c r="J108" s="18" t="str">
        <f t="shared" si="163"/>
        <v>מינהלי - עובדי מדינה</v>
      </c>
      <c r="K108" s="189">
        <f t="shared" si="164"/>
        <v>1</v>
      </c>
      <c r="L108" s="18">
        <f t="shared" si="165"/>
        <v>12</v>
      </c>
      <c r="M108" s="129" t="str">
        <f t="shared" si="166"/>
        <v>17+</v>
      </c>
      <c r="N108" s="189"/>
      <c r="O108" s="132">
        <f t="shared" si="167"/>
        <v>1012</v>
      </c>
      <c r="P108" s="127">
        <f t="shared" si="168"/>
        <v>37</v>
      </c>
      <c r="Q108" s="127">
        <f t="shared" si="169"/>
        <v>22.75</v>
      </c>
      <c r="R108" s="128">
        <f t="shared" si="170"/>
        <v>92</v>
      </c>
      <c r="S108" s="130">
        <f t="shared" si="171"/>
        <v>1.2540512286990533</v>
      </c>
      <c r="T108" s="135">
        <f t="shared" si="108"/>
        <v>0</v>
      </c>
      <c r="U108" s="127">
        <f t="shared" si="109"/>
        <v>0</v>
      </c>
      <c r="V108" s="217">
        <v>0</v>
      </c>
      <c r="W108" s="191">
        <v>0</v>
      </c>
      <c r="X108" s="133">
        <v>0</v>
      </c>
      <c r="Y108" s="131">
        <f t="shared" si="110"/>
        <v>2438.5</v>
      </c>
      <c r="Z108" s="131">
        <f t="shared" si="111"/>
        <v>619.50392118264142</v>
      </c>
      <c r="AA108" s="242">
        <f t="shared" si="112"/>
        <v>3058.0039211826415</v>
      </c>
      <c r="AB108" s="131">
        <f t="shared" si="113"/>
        <v>0</v>
      </c>
      <c r="AC108" s="131">
        <f t="shared" si="114"/>
        <v>139.48055684730568</v>
      </c>
      <c r="AD108" s="131">
        <f t="shared" si="115"/>
        <v>0</v>
      </c>
      <c r="AE108" s="131">
        <f t="shared" si="116"/>
        <v>0</v>
      </c>
      <c r="AF108" s="131">
        <f t="shared" si="117"/>
        <v>75.260000000000005</v>
      </c>
      <c r="AG108" s="131">
        <f t="shared" si="118"/>
        <v>0</v>
      </c>
      <c r="AH108" s="131">
        <f t="shared" si="119"/>
        <v>0</v>
      </c>
      <c r="AI108" s="131">
        <f t="shared" si="120"/>
        <v>0</v>
      </c>
      <c r="AJ108" s="131">
        <f t="shared" si="121"/>
        <v>0</v>
      </c>
      <c r="AK108" s="131"/>
      <c r="AL108" s="131">
        <f t="shared" si="122"/>
        <v>0</v>
      </c>
      <c r="AM108" s="131"/>
      <c r="AN108" s="243">
        <f t="shared" si="123"/>
        <v>0</v>
      </c>
      <c r="AO108" s="131">
        <f t="shared" si="124"/>
        <v>0</v>
      </c>
      <c r="AP108" s="131">
        <f t="shared" si="125"/>
        <v>0</v>
      </c>
      <c r="AQ108" s="131"/>
      <c r="AR108" s="131">
        <f t="shared" si="126"/>
        <v>0</v>
      </c>
      <c r="AS108" s="131">
        <f t="shared" si="172"/>
        <v>0</v>
      </c>
      <c r="AT108" s="131">
        <f t="shared" si="127"/>
        <v>0</v>
      </c>
      <c r="AU108" s="131">
        <f t="shared" si="128"/>
        <v>0</v>
      </c>
      <c r="AV108" s="131"/>
      <c r="AW108" s="131">
        <f t="shared" si="129"/>
        <v>353.75</v>
      </c>
      <c r="AX108" s="131">
        <f t="shared" si="183"/>
        <v>0</v>
      </c>
      <c r="AY108" s="131">
        <f t="shared" si="130"/>
        <v>0</v>
      </c>
      <c r="AZ108" s="131"/>
      <c r="BA108" s="131">
        <f t="shared" si="184"/>
        <v>0</v>
      </c>
      <c r="BB108" s="131"/>
      <c r="BC108" s="131"/>
      <c r="BD108" s="131">
        <f t="shared" si="131"/>
        <v>0</v>
      </c>
      <c r="BE108" s="131"/>
      <c r="BF108" s="131">
        <f t="shared" si="173"/>
        <v>0</v>
      </c>
      <c r="BG108" s="131">
        <f t="shared" si="174"/>
        <v>0</v>
      </c>
      <c r="BH108" s="131"/>
      <c r="BI108" s="131"/>
      <c r="BJ108" s="131"/>
      <c r="BK108" s="131">
        <f t="shared" si="175"/>
        <v>0</v>
      </c>
      <c r="BL108" s="131"/>
      <c r="BM108" s="131"/>
      <c r="BN108" s="131">
        <f t="shared" si="176"/>
        <v>0</v>
      </c>
      <c r="BO108" s="131"/>
      <c r="BP108" s="131">
        <f t="shared" si="177"/>
        <v>0</v>
      </c>
      <c r="BQ108" s="131"/>
      <c r="BR108" s="131"/>
      <c r="BS108" s="131"/>
      <c r="BT108" s="131"/>
      <c r="BU108" s="131"/>
      <c r="BV108" s="131">
        <f t="shared" si="178"/>
        <v>0</v>
      </c>
      <c r="BW108" s="131"/>
      <c r="BX108" s="131"/>
      <c r="BY108" s="131"/>
      <c r="BZ108" s="131">
        <f t="shared" si="179"/>
        <v>0</v>
      </c>
      <c r="CA108" s="131"/>
      <c r="CB108" s="136">
        <f t="shared" si="132"/>
        <v>165.08663357180151</v>
      </c>
      <c r="CC108" s="131">
        <f t="shared" si="133"/>
        <v>0</v>
      </c>
      <c r="CD108" s="136">
        <f t="shared" si="134"/>
        <v>0</v>
      </c>
      <c r="CE108" s="131">
        <f t="shared" si="182"/>
        <v>0</v>
      </c>
      <c r="CF108" s="136">
        <f t="shared" si="135"/>
        <v>0</v>
      </c>
      <c r="CG108" s="136"/>
      <c r="CH108" s="136">
        <f t="shared" si="181"/>
        <v>0</v>
      </c>
      <c r="CI108" s="131">
        <f t="shared" si="136"/>
        <v>0</v>
      </c>
      <c r="CJ108" s="131"/>
      <c r="CK108" s="136">
        <f t="shared" si="137"/>
        <v>0</v>
      </c>
      <c r="CL108" s="136">
        <f t="shared" si="138"/>
        <v>0</v>
      </c>
      <c r="CM108" s="131">
        <f t="shared" si="139"/>
        <v>0</v>
      </c>
      <c r="CN108" s="136">
        <f t="shared" si="140"/>
        <v>0</v>
      </c>
      <c r="CO108" s="136">
        <f t="shared" si="141"/>
        <v>0</v>
      </c>
      <c r="CP108" s="136">
        <f t="shared" si="142"/>
        <v>0</v>
      </c>
      <c r="CQ108" s="136"/>
      <c r="CR108" s="136">
        <f t="shared" si="143"/>
        <v>0</v>
      </c>
      <c r="CS108" s="136"/>
      <c r="CT108" s="136"/>
      <c r="CU108" s="136"/>
      <c r="CV108" s="136"/>
      <c r="CW108" s="136"/>
      <c r="CX108" s="136"/>
      <c r="CY108" s="136"/>
      <c r="CZ108" s="136">
        <f t="shared" si="144"/>
        <v>0</v>
      </c>
      <c r="DA108" s="136">
        <f t="shared" si="145"/>
        <v>0</v>
      </c>
      <c r="DB108" s="136">
        <f t="shared" si="146"/>
        <v>0</v>
      </c>
      <c r="DC108" s="131">
        <f t="shared" si="105"/>
        <v>0</v>
      </c>
      <c r="DD108" s="131">
        <f t="shared" si="147"/>
        <v>0</v>
      </c>
      <c r="DE108" s="131">
        <f t="shared" si="148"/>
        <v>0</v>
      </c>
      <c r="DF108" s="131">
        <f t="shared" si="149"/>
        <v>0</v>
      </c>
      <c r="DG108" s="131">
        <f t="shared" si="150"/>
        <v>0</v>
      </c>
      <c r="DH108" s="131"/>
      <c r="DI108" s="131"/>
      <c r="DJ108" s="131"/>
      <c r="DK108" s="137">
        <f t="shared" si="180"/>
        <v>3791.5811116017489</v>
      </c>
      <c r="DL108" s="227" t="e">
        <f t="shared" si="151"/>
        <v>#REF!</v>
      </c>
      <c r="DM108" s="227" t="e">
        <f t="shared" si="152"/>
        <v>#REF!</v>
      </c>
      <c r="DN108" s="228" t="e">
        <f t="shared" si="106"/>
        <v>#REF!</v>
      </c>
      <c r="DO108" s="228">
        <f t="shared" si="153"/>
        <v>181.81087083894022</v>
      </c>
      <c r="DP108" s="228" t="e">
        <f t="shared" si="154"/>
        <v>#REF!</v>
      </c>
      <c r="DQ108" s="228" t="e">
        <f t="shared" si="155"/>
        <v>#REF!</v>
      </c>
    </row>
    <row r="109" spans="1:121">
      <c r="A109" s="132">
        <f t="shared" si="107"/>
        <v>99</v>
      </c>
      <c r="B109" s="18">
        <f t="shared" si="156"/>
        <v>99</v>
      </c>
      <c r="C109" s="18">
        <f>IF(A109=0," ",VLOOKUP(B109,'tosafot '!$A$7:$B$234,2,0))</f>
        <v>3.2016</v>
      </c>
      <c r="D109" s="220">
        <f t="shared" si="157"/>
        <v>228</v>
      </c>
      <c r="E109" s="130">
        <f t="shared" si="158"/>
        <v>12.2026</v>
      </c>
      <c r="F109" s="126">
        <f t="shared" si="159"/>
        <v>9</v>
      </c>
      <c r="G109" s="18" t="str">
        <f t="shared" si="160"/>
        <v>הבריאות</v>
      </c>
      <c r="H109" s="189">
        <f t="shared" si="161"/>
        <v>107</v>
      </c>
      <c r="I109" s="18">
        <f t="shared" si="162"/>
        <v>1</v>
      </c>
      <c r="J109" s="18" t="str">
        <f t="shared" si="163"/>
        <v>מינהלי - עובדי מדינה</v>
      </c>
      <c r="K109" s="189">
        <f t="shared" si="164"/>
        <v>1</v>
      </c>
      <c r="L109" s="18">
        <f t="shared" si="165"/>
        <v>12</v>
      </c>
      <c r="M109" s="129" t="str">
        <f t="shared" si="166"/>
        <v>17+</v>
      </c>
      <c r="N109" s="189"/>
      <c r="O109" s="132">
        <f t="shared" si="167"/>
        <v>1012</v>
      </c>
      <c r="P109" s="127">
        <f t="shared" si="168"/>
        <v>37</v>
      </c>
      <c r="Q109" s="127">
        <f t="shared" si="169"/>
        <v>22.75</v>
      </c>
      <c r="R109" s="128">
        <f t="shared" si="170"/>
        <v>92</v>
      </c>
      <c r="S109" s="130">
        <f t="shared" si="171"/>
        <v>1.2540512286990533</v>
      </c>
      <c r="T109" s="135">
        <f t="shared" si="108"/>
        <v>0</v>
      </c>
      <c r="U109" s="127">
        <f t="shared" si="109"/>
        <v>0</v>
      </c>
      <c r="V109" s="217">
        <v>0</v>
      </c>
      <c r="W109" s="191">
        <v>0</v>
      </c>
      <c r="X109" s="133">
        <v>0</v>
      </c>
      <c r="Y109" s="131">
        <f t="shared" si="110"/>
        <v>2438.5</v>
      </c>
      <c r="Z109" s="131">
        <f t="shared" si="111"/>
        <v>619.50392118264142</v>
      </c>
      <c r="AA109" s="242">
        <f t="shared" si="112"/>
        <v>3058.0039211826415</v>
      </c>
      <c r="AB109" s="131">
        <f t="shared" si="113"/>
        <v>0</v>
      </c>
      <c r="AC109" s="131">
        <f t="shared" si="114"/>
        <v>139.48055684730568</v>
      </c>
      <c r="AD109" s="131">
        <f t="shared" si="115"/>
        <v>0</v>
      </c>
      <c r="AE109" s="131">
        <f t="shared" si="116"/>
        <v>0</v>
      </c>
      <c r="AF109" s="131">
        <f t="shared" si="117"/>
        <v>75.260000000000005</v>
      </c>
      <c r="AG109" s="131">
        <f t="shared" si="118"/>
        <v>0</v>
      </c>
      <c r="AH109" s="131">
        <f t="shared" si="119"/>
        <v>0</v>
      </c>
      <c r="AI109" s="131">
        <f t="shared" si="120"/>
        <v>0</v>
      </c>
      <c r="AJ109" s="131">
        <f t="shared" si="121"/>
        <v>0</v>
      </c>
      <c r="AK109" s="131"/>
      <c r="AL109" s="131">
        <f t="shared" si="122"/>
        <v>0</v>
      </c>
      <c r="AM109" s="131"/>
      <c r="AN109" s="243">
        <f t="shared" si="123"/>
        <v>0</v>
      </c>
      <c r="AO109" s="131">
        <f t="shared" si="124"/>
        <v>0</v>
      </c>
      <c r="AP109" s="131">
        <f t="shared" si="125"/>
        <v>0</v>
      </c>
      <c r="AQ109" s="131"/>
      <c r="AR109" s="131">
        <f t="shared" si="126"/>
        <v>0</v>
      </c>
      <c r="AS109" s="131">
        <f t="shared" si="172"/>
        <v>0</v>
      </c>
      <c r="AT109" s="131">
        <f t="shared" si="127"/>
        <v>0</v>
      </c>
      <c r="AU109" s="131">
        <f t="shared" si="128"/>
        <v>0</v>
      </c>
      <c r="AV109" s="131"/>
      <c r="AW109" s="131">
        <f t="shared" si="129"/>
        <v>353.75</v>
      </c>
      <c r="AX109" s="131">
        <f t="shared" si="183"/>
        <v>0</v>
      </c>
      <c r="AY109" s="131">
        <f t="shared" si="130"/>
        <v>0</v>
      </c>
      <c r="AZ109" s="131"/>
      <c r="BA109" s="131">
        <f t="shared" si="184"/>
        <v>0</v>
      </c>
      <c r="BB109" s="131"/>
      <c r="BC109" s="131"/>
      <c r="BD109" s="131">
        <f t="shared" si="131"/>
        <v>0</v>
      </c>
      <c r="BE109" s="131"/>
      <c r="BF109" s="131">
        <f t="shared" si="173"/>
        <v>0</v>
      </c>
      <c r="BG109" s="131">
        <f t="shared" si="174"/>
        <v>0</v>
      </c>
      <c r="BH109" s="131"/>
      <c r="BI109" s="131"/>
      <c r="BJ109" s="131"/>
      <c r="BK109" s="131">
        <f t="shared" si="175"/>
        <v>0</v>
      </c>
      <c r="BL109" s="131"/>
      <c r="BM109" s="131"/>
      <c r="BN109" s="131">
        <f t="shared" si="176"/>
        <v>0</v>
      </c>
      <c r="BO109" s="131"/>
      <c r="BP109" s="131">
        <f t="shared" si="177"/>
        <v>0</v>
      </c>
      <c r="BQ109" s="131"/>
      <c r="BR109" s="131"/>
      <c r="BS109" s="131"/>
      <c r="BT109" s="131"/>
      <c r="BU109" s="131"/>
      <c r="BV109" s="131">
        <f t="shared" si="178"/>
        <v>0</v>
      </c>
      <c r="BW109" s="131"/>
      <c r="BX109" s="131"/>
      <c r="BY109" s="131"/>
      <c r="BZ109" s="131">
        <f t="shared" si="179"/>
        <v>0</v>
      </c>
      <c r="CA109" s="131"/>
      <c r="CB109" s="136">
        <f t="shared" si="132"/>
        <v>165.08663357180151</v>
      </c>
      <c r="CC109" s="131">
        <f t="shared" si="133"/>
        <v>0</v>
      </c>
      <c r="CD109" s="136">
        <f t="shared" si="134"/>
        <v>0</v>
      </c>
      <c r="CE109" s="131">
        <f t="shared" si="182"/>
        <v>0</v>
      </c>
      <c r="CF109" s="136">
        <f t="shared" si="135"/>
        <v>0</v>
      </c>
      <c r="CG109" s="136"/>
      <c r="CH109" s="136">
        <f t="shared" si="181"/>
        <v>0</v>
      </c>
      <c r="CI109" s="131">
        <f t="shared" si="136"/>
        <v>0</v>
      </c>
      <c r="CJ109" s="131"/>
      <c r="CK109" s="136">
        <f t="shared" si="137"/>
        <v>0</v>
      </c>
      <c r="CL109" s="136">
        <f t="shared" si="138"/>
        <v>0</v>
      </c>
      <c r="CM109" s="131">
        <f t="shared" si="139"/>
        <v>0</v>
      </c>
      <c r="CN109" s="136">
        <f t="shared" si="140"/>
        <v>0</v>
      </c>
      <c r="CO109" s="136">
        <f t="shared" si="141"/>
        <v>0</v>
      </c>
      <c r="CP109" s="136">
        <f t="shared" si="142"/>
        <v>0</v>
      </c>
      <c r="CQ109" s="136"/>
      <c r="CR109" s="136">
        <f t="shared" si="143"/>
        <v>0</v>
      </c>
      <c r="CS109" s="136"/>
      <c r="CT109" s="136"/>
      <c r="CU109" s="136"/>
      <c r="CV109" s="136"/>
      <c r="CW109" s="136"/>
      <c r="CX109" s="136"/>
      <c r="CY109" s="136"/>
      <c r="CZ109" s="136">
        <f t="shared" si="144"/>
        <v>0</v>
      </c>
      <c r="DA109" s="136">
        <f t="shared" si="145"/>
        <v>0</v>
      </c>
      <c r="DB109" s="136">
        <f t="shared" si="146"/>
        <v>0</v>
      </c>
      <c r="DC109" s="131">
        <f t="shared" si="105"/>
        <v>0</v>
      </c>
      <c r="DD109" s="131">
        <f t="shared" si="147"/>
        <v>0</v>
      </c>
      <c r="DE109" s="131">
        <f t="shared" si="148"/>
        <v>0</v>
      </c>
      <c r="DF109" s="131">
        <f t="shared" si="149"/>
        <v>0</v>
      </c>
      <c r="DG109" s="131">
        <f t="shared" si="150"/>
        <v>0</v>
      </c>
      <c r="DH109" s="131"/>
      <c r="DI109" s="131"/>
      <c r="DJ109" s="131"/>
      <c r="DK109" s="137">
        <f t="shared" si="180"/>
        <v>3791.5811116017489</v>
      </c>
      <c r="DL109" s="227" t="e">
        <f t="shared" si="151"/>
        <v>#REF!</v>
      </c>
      <c r="DM109" s="227" t="e">
        <f t="shared" si="152"/>
        <v>#REF!</v>
      </c>
      <c r="DN109" s="228" t="e">
        <f t="shared" si="106"/>
        <v>#REF!</v>
      </c>
      <c r="DO109" s="228">
        <f t="shared" si="153"/>
        <v>181.81087083894022</v>
      </c>
      <c r="DP109" s="228" t="e">
        <f t="shared" si="154"/>
        <v>#REF!</v>
      </c>
      <c r="DQ109" s="228" t="e">
        <f t="shared" si="155"/>
        <v>#REF!</v>
      </c>
    </row>
    <row r="110" spans="1:121">
      <c r="A110" s="132">
        <f t="shared" si="107"/>
        <v>100</v>
      </c>
      <c r="B110" s="18">
        <f t="shared" si="156"/>
        <v>100</v>
      </c>
      <c r="C110" s="18">
        <f>IF(A110=0," ",VLOOKUP(B110,'tosafot '!$A$7:$B$234,2,0))</f>
        <v>4.2016</v>
      </c>
      <c r="D110" s="220">
        <f t="shared" si="157"/>
        <v>228</v>
      </c>
      <c r="E110" s="130">
        <f t="shared" si="158"/>
        <v>12.2026</v>
      </c>
      <c r="F110" s="126">
        <f t="shared" si="159"/>
        <v>9</v>
      </c>
      <c r="G110" s="18" t="str">
        <f t="shared" si="160"/>
        <v>הבריאות</v>
      </c>
      <c r="H110" s="189">
        <f t="shared" si="161"/>
        <v>107</v>
      </c>
      <c r="I110" s="18">
        <f t="shared" si="162"/>
        <v>1</v>
      </c>
      <c r="J110" s="18" t="str">
        <f t="shared" si="163"/>
        <v>מינהלי - עובדי מדינה</v>
      </c>
      <c r="K110" s="189">
        <f t="shared" si="164"/>
        <v>1</v>
      </c>
      <c r="L110" s="18">
        <f t="shared" si="165"/>
        <v>12</v>
      </c>
      <c r="M110" s="129" t="str">
        <f t="shared" si="166"/>
        <v>17+</v>
      </c>
      <c r="N110" s="189"/>
      <c r="O110" s="132">
        <f t="shared" si="167"/>
        <v>1012</v>
      </c>
      <c r="P110" s="127">
        <f t="shared" si="168"/>
        <v>37</v>
      </c>
      <c r="Q110" s="127">
        <f t="shared" si="169"/>
        <v>22.75</v>
      </c>
      <c r="R110" s="128">
        <f t="shared" si="170"/>
        <v>92</v>
      </c>
      <c r="S110" s="130">
        <f t="shared" si="171"/>
        <v>1.2540512286990533</v>
      </c>
      <c r="T110" s="135">
        <f t="shared" si="108"/>
        <v>0</v>
      </c>
      <c r="U110" s="127">
        <f t="shared" si="109"/>
        <v>0</v>
      </c>
      <c r="V110" s="217">
        <v>0</v>
      </c>
      <c r="W110" s="191">
        <v>0</v>
      </c>
      <c r="X110" s="133">
        <v>0</v>
      </c>
      <c r="Y110" s="131">
        <f t="shared" si="110"/>
        <v>2438.5</v>
      </c>
      <c r="Z110" s="131">
        <f t="shared" si="111"/>
        <v>619.50392118264142</v>
      </c>
      <c r="AA110" s="242">
        <f t="shared" si="112"/>
        <v>3058.0039211826415</v>
      </c>
      <c r="AB110" s="131">
        <f t="shared" si="113"/>
        <v>0</v>
      </c>
      <c r="AC110" s="131">
        <f t="shared" si="114"/>
        <v>139.48055684730568</v>
      </c>
      <c r="AD110" s="131">
        <f t="shared" si="115"/>
        <v>0</v>
      </c>
      <c r="AE110" s="131">
        <f t="shared" si="116"/>
        <v>0</v>
      </c>
      <c r="AF110" s="131">
        <f t="shared" si="117"/>
        <v>75.260000000000005</v>
      </c>
      <c r="AG110" s="131">
        <f t="shared" si="118"/>
        <v>0</v>
      </c>
      <c r="AH110" s="131">
        <f t="shared" si="119"/>
        <v>0</v>
      </c>
      <c r="AI110" s="131">
        <f t="shared" si="120"/>
        <v>0</v>
      </c>
      <c r="AJ110" s="131">
        <f t="shared" si="121"/>
        <v>0</v>
      </c>
      <c r="AK110" s="131"/>
      <c r="AL110" s="131">
        <f t="shared" si="122"/>
        <v>0</v>
      </c>
      <c r="AM110" s="131"/>
      <c r="AN110" s="243">
        <f t="shared" si="123"/>
        <v>0</v>
      </c>
      <c r="AO110" s="131">
        <f t="shared" si="124"/>
        <v>0</v>
      </c>
      <c r="AP110" s="131">
        <f t="shared" si="125"/>
        <v>0</v>
      </c>
      <c r="AQ110" s="131"/>
      <c r="AR110" s="131">
        <f t="shared" si="126"/>
        <v>0</v>
      </c>
      <c r="AS110" s="131">
        <f t="shared" si="172"/>
        <v>0</v>
      </c>
      <c r="AT110" s="131">
        <f t="shared" si="127"/>
        <v>0</v>
      </c>
      <c r="AU110" s="131">
        <f t="shared" si="128"/>
        <v>0</v>
      </c>
      <c r="AV110" s="131"/>
      <c r="AW110" s="131">
        <f t="shared" si="129"/>
        <v>353.75</v>
      </c>
      <c r="AX110" s="131">
        <f t="shared" si="183"/>
        <v>0</v>
      </c>
      <c r="AY110" s="131">
        <f t="shared" si="130"/>
        <v>0</v>
      </c>
      <c r="AZ110" s="131"/>
      <c r="BA110" s="131">
        <f t="shared" si="184"/>
        <v>0</v>
      </c>
      <c r="BB110" s="131"/>
      <c r="BC110" s="131"/>
      <c r="BD110" s="131">
        <f t="shared" si="131"/>
        <v>0</v>
      </c>
      <c r="BE110" s="131"/>
      <c r="BF110" s="131">
        <f t="shared" si="173"/>
        <v>0</v>
      </c>
      <c r="BG110" s="131">
        <f t="shared" si="174"/>
        <v>0</v>
      </c>
      <c r="BH110" s="131"/>
      <c r="BI110" s="131"/>
      <c r="BJ110" s="131"/>
      <c r="BK110" s="131">
        <f t="shared" si="175"/>
        <v>0</v>
      </c>
      <c r="BL110" s="131"/>
      <c r="BM110" s="131"/>
      <c r="BN110" s="131">
        <f t="shared" si="176"/>
        <v>0</v>
      </c>
      <c r="BO110" s="131"/>
      <c r="BP110" s="131">
        <f t="shared" si="177"/>
        <v>0</v>
      </c>
      <c r="BQ110" s="131"/>
      <c r="BR110" s="131"/>
      <c r="BS110" s="131"/>
      <c r="BT110" s="131"/>
      <c r="BU110" s="131"/>
      <c r="BV110" s="131">
        <f t="shared" si="178"/>
        <v>0</v>
      </c>
      <c r="BW110" s="131"/>
      <c r="BX110" s="131"/>
      <c r="BY110" s="131"/>
      <c r="BZ110" s="131">
        <f t="shared" si="179"/>
        <v>0</v>
      </c>
      <c r="CA110" s="131"/>
      <c r="CB110" s="136">
        <f t="shared" si="132"/>
        <v>165.08663357180151</v>
      </c>
      <c r="CC110" s="131">
        <f t="shared" si="133"/>
        <v>0</v>
      </c>
      <c r="CD110" s="136">
        <f t="shared" si="134"/>
        <v>0</v>
      </c>
      <c r="CE110" s="131">
        <f t="shared" si="182"/>
        <v>0</v>
      </c>
      <c r="CF110" s="136">
        <f t="shared" si="135"/>
        <v>0</v>
      </c>
      <c r="CG110" s="136"/>
      <c r="CH110" s="136">
        <f t="shared" si="181"/>
        <v>0</v>
      </c>
      <c r="CI110" s="131">
        <f t="shared" si="136"/>
        <v>0</v>
      </c>
      <c r="CJ110" s="131"/>
      <c r="CK110" s="136">
        <f t="shared" si="137"/>
        <v>0</v>
      </c>
      <c r="CL110" s="136">
        <f t="shared" si="138"/>
        <v>0</v>
      </c>
      <c r="CM110" s="131">
        <f t="shared" si="139"/>
        <v>0</v>
      </c>
      <c r="CN110" s="136">
        <f t="shared" si="140"/>
        <v>0</v>
      </c>
      <c r="CO110" s="136">
        <f t="shared" si="141"/>
        <v>0</v>
      </c>
      <c r="CP110" s="136">
        <f t="shared" si="142"/>
        <v>0</v>
      </c>
      <c r="CQ110" s="136"/>
      <c r="CR110" s="136">
        <f t="shared" si="143"/>
        <v>0</v>
      </c>
      <c r="CS110" s="136"/>
      <c r="CT110" s="136"/>
      <c r="CU110" s="136"/>
      <c r="CV110" s="136"/>
      <c r="CW110" s="136"/>
      <c r="CX110" s="136"/>
      <c r="CY110" s="136"/>
      <c r="CZ110" s="136">
        <f t="shared" si="144"/>
        <v>0</v>
      </c>
      <c r="DA110" s="136">
        <f t="shared" si="145"/>
        <v>0</v>
      </c>
      <c r="DB110" s="136">
        <f t="shared" si="146"/>
        <v>0</v>
      </c>
      <c r="DC110" s="131">
        <f t="shared" si="105"/>
        <v>0</v>
      </c>
      <c r="DD110" s="131">
        <f t="shared" si="147"/>
        <v>0</v>
      </c>
      <c r="DE110" s="131">
        <f t="shared" si="148"/>
        <v>0</v>
      </c>
      <c r="DF110" s="131">
        <f t="shared" si="149"/>
        <v>0</v>
      </c>
      <c r="DG110" s="131">
        <f t="shared" si="150"/>
        <v>0</v>
      </c>
      <c r="DH110" s="131"/>
      <c r="DI110" s="131"/>
      <c r="DJ110" s="131"/>
      <c r="DK110" s="137">
        <f t="shared" si="180"/>
        <v>3791.5811116017489</v>
      </c>
      <c r="DL110" s="227" t="e">
        <f t="shared" si="151"/>
        <v>#REF!</v>
      </c>
      <c r="DM110" s="227" t="e">
        <f t="shared" si="152"/>
        <v>#REF!</v>
      </c>
      <c r="DN110" s="228" t="e">
        <f t="shared" si="106"/>
        <v>#REF!</v>
      </c>
      <c r="DO110" s="228">
        <f t="shared" si="153"/>
        <v>181.81087083894022</v>
      </c>
      <c r="DP110" s="228" t="e">
        <f t="shared" si="154"/>
        <v>#REF!</v>
      </c>
      <c r="DQ110" s="228" t="e">
        <f t="shared" si="155"/>
        <v>#REF!</v>
      </c>
    </row>
    <row r="111" spans="1:121">
      <c r="A111" s="132">
        <f t="shared" si="107"/>
        <v>101</v>
      </c>
      <c r="B111" s="18">
        <f t="shared" si="156"/>
        <v>101</v>
      </c>
      <c r="C111" s="18">
        <f>IF(A111=0," ",VLOOKUP(B111,'tosafot '!$A$7:$B$234,2,0))</f>
        <v>5.2016</v>
      </c>
      <c r="D111" s="220">
        <f t="shared" si="157"/>
        <v>228</v>
      </c>
      <c r="E111" s="130">
        <f t="shared" si="158"/>
        <v>12.2026</v>
      </c>
      <c r="F111" s="126">
        <f t="shared" si="159"/>
        <v>9</v>
      </c>
      <c r="G111" s="18" t="str">
        <f t="shared" si="160"/>
        <v>הבריאות</v>
      </c>
      <c r="H111" s="189">
        <f t="shared" si="161"/>
        <v>107</v>
      </c>
      <c r="I111" s="18">
        <f t="shared" si="162"/>
        <v>1</v>
      </c>
      <c r="J111" s="18" t="str">
        <f t="shared" si="163"/>
        <v>מינהלי - עובדי מדינה</v>
      </c>
      <c r="K111" s="189">
        <f t="shared" si="164"/>
        <v>1</v>
      </c>
      <c r="L111" s="18">
        <f t="shared" si="165"/>
        <v>12</v>
      </c>
      <c r="M111" s="129" t="str">
        <f t="shared" si="166"/>
        <v>17+</v>
      </c>
      <c r="N111" s="189"/>
      <c r="O111" s="132">
        <f t="shared" si="167"/>
        <v>1012</v>
      </c>
      <c r="P111" s="127">
        <f t="shared" si="168"/>
        <v>37</v>
      </c>
      <c r="Q111" s="127">
        <f t="shared" si="169"/>
        <v>22.75</v>
      </c>
      <c r="R111" s="128">
        <f t="shared" si="170"/>
        <v>92</v>
      </c>
      <c r="S111" s="130">
        <f t="shared" si="171"/>
        <v>1.2540512286990533</v>
      </c>
      <c r="T111" s="135">
        <f t="shared" si="108"/>
        <v>0</v>
      </c>
      <c r="U111" s="127">
        <f t="shared" si="109"/>
        <v>0</v>
      </c>
      <c r="V111" s="217">
        <v>0</v>
      </c>
      <c r="W111" s="191">
        <v>0</v>
      </c>
      <c r="X111" s="133">
        <v>0</v>
      </c>
      <c r="Y111" s="131">
        <f t="shared" si="110"/>
        <v>2438.5</v>
      </c>
      <c r="Z111" s="131">
        <f t="shared" si="111"/>
        <v>619.50392118264142</v>
      </c>
      <c r="AA111" s="242">
        <f t="shared" si="112"/>
        <v>3058.0039211826415</v>
      </c>
      <c r="AB111" s="131">
        <f t="shared" si="113"/>
        <v>0</v>
      </c>
      <c r="AC111" s="131">
        <f t="shared" si="114"/>
        <v>139.48055684730568</v>
      </c>
      <c r="AD111" s="131">
        <f t="shared" si="115"/>
        <v>0</v>
      </c>
      <c r="AE111" s="131">
        <f t="shared" si="116"/>
        <v>0</v>
      </c>
      <c r="AF111" s="131">
        <f t="shared" si="117"/>
        <v>75.260000000000005</v>
      </c>
      <c r="AG111" s="131">
        <f t="shared" si="118"/>
        <v>0</v>
      </c>
      <c r="AH111" s="131">
        <f t="shared" si="119"/>
        <v>0</v>
      </c>
      <c r="AI111" s="131">
        <f t="shared" si="120"/>
        <v>0</v>
      </c>
      <c r="AJ111" s="131">
        <f t="shared" si="121"/>
        <v>0</v>
      </c>
      <c r="AK111" s="131"/>
      <c r="AL111" s="131">
        <f t="shared" si="122"/>
        <v>0</v>
      </c>
      <c r="AM111" s="131"/>
      <c r="AN111" s="243">
        <f t="shared" si="123"/>
        <v>0</v>
      </c>
      <c r="AO111" s="131">
        <f t="shared" si="124"/>
        <v>0</v>
      </c>
      <c r="AP111" s="131">
        <f t="shared" si="125"/>
        <v>0</v>
      </c>
      <c r="AQ111" s="131"/>
      <c r="AR111" s="131">
        <f t="shared" si="126"/>
        <v>0</v>
      </c>
      <c r="AS111" s="131">
        <f t="shared" si="172"/>
        <v>0</v>
      </c>
      <c r="AT111" s="131">
        <f t="shared" si="127"/>
        <v>0</v>
      </c>
      <c r="AU111" s="131">
        <f t="shared" si="128"/>
        <v>0</v>
      </c>
      <c r="AV111" s="131"/>
      <c r="AW111" s="131">
        <f t="shared" si="129"/>
        <v>353.75</v>
      </c>
      <c r="AX111" s="131">
        <f t="shared" si="183"/>
        <v>0</v>
      </c>
      <c r="AY111" s="131">
        <f t="shared" si="130"/>
        <v>0</v>
      </c>
      <c r="AZ111" s="131"/>
      <c r="BA111" s="131">
        <f t="shared" si="184"/>
        <v>0</v>
      </c>
      <c r="BB111" s="131"/>
      <c r="BC111" s="131"/>
      <c r="BD111" s="131">
        <f t="shared" si="131"/>
        <v>0</v>
      </c>
      <c r="BE111" s="131"/>
      <c r="BF111" s="131">
        <f t="shared" si="173"/>
        <v>0</v>
      </c>
      <c r="BG111" s="131">
        <f t="shared" si="174"/>
        <v>0</v>
      </c>
      <c r="BH111" s="131"/>
      <c r="BI111" s="131"/>
      <c r="BJ111" s="131"/>
      <c r="BK111" s="131">
        <f t="shared" si="175"/>
        <v>0</v>
      </c>
      <c r="BL111" s="131"/>
      <c r="BM111" s="131"/>
      <c r="BN111" s="131">
        <f t="shared" si="176"/>
        <v>0</v>
      </c>
      <c r="BO111" s="131"/>
      <c r="BP111" s="131">
        <f t="shared" si="177"/>
        <v>0</v>
      </c>
      <c r="BQ111" s="131"/>
      <c r="BR111" s="131"/>
      <c r="BS111" s="131"/>
      <c r="BT111" s="131"/>
      <c r="BU111" s="131"/>
      <c r="BV111" s="131">
        <f t="shared" si="178"/>
        <v>0</v>
      </c>
      <c r="BW111" s="131"/>
      <c r="BX111" s="131"/>
      <c r="BY111" s="131"/>
      <c r="BZ111" s="131">
        <f t="shared" si="179"/>
        <v>0</v>
      </c>
      <c r="CA111" s="131"/>
      <c r="CB111" s="136">
        <f t="shared" si="132"/>
        <v>165.08663357180151</v>
      </c>
      <c r="CC111" s="131">
        <f t="shared" si="133"/>
        <v>0</v>
      </c>
      <c r="CD111" s="136">
        <f t="shared" si="134"/>
        <v>0</v>
      </c>
      <c r="CE111" s="131">
        <f t="shared" si="182"/>
        <v>0</v>
      </c>
      <c r="CF111" s="136">
        <f t="shared" si="135"/>
        <v>0</v>
      </c>
      <c r="CG111" s="136"/>
      <c r="CH111" s="136">
        <f t="shared" si="181"/>
        <v>0</v>
      </c>
      <c r="CI111" s="131">
        <f t="shared" si="136"/>
        <v>0</v>
      </c>
      <c r="CJ111" s="131"/>
      <c r="CK111" s="136">
        <f t="shared" si="137"/>
        <v>0</v>
      </c>
      <c r="CL111" s="136">
        <f t="shared" si="138"/>
        <v>0</v>
      </c>
      <c r="CM111" s="131">
        <f t="shared" si="139"/>
        <v>0</v>
      </c>
      <c r="CN111" s="136">
        <f t="shared" si="140"/>
        <v>0</v>
      </c>
      <c r="CO111" s="136">
        <f t="shared" si="141"/>
        <v>0</v>
      </c>
      <c r="CP111" s="136">
        <f t="shared" si="142"/>
        <v>0</v>
      </c>
      <c r="CQ111" s="136"/>
      <c r="CR111" s="136">
        <f t="shared" si="143"/>
        <v>0</v>
      </c>
      <c r="CS111" s="136"/>
      <c r="CT111" s="136"/>
      <c r="CU111" s="136"/>
      <c r="CV111" s="136"/>
      <c r="CW111" s="136"/>
      <c r="CX111" s="136"/>
      <c r="CY111" s="136"/>
      <c r="CZ111" s="136">
        <f t="shared" si="144"/>
        <v>0</v>
      </c>
      <c r="DA111" s="136">
        <f t="shared" si="145"/>
        <v>0</v>
      </c>
      <c r="DB111" s="136">
        <f t="shared" si="146"/>
        <v>0</v>
      </c>
      <c r="DC111" s="131">
        <f t="shared" si="105"/>
        <v>0</v>
      </c>
      <c r="DD111" s="131">
        <f t="shared" si="147"/>
        <v>0</v>
      </c>
      <c r="DE111" s="131">
        <f t="shared" si="148"/>
        <v>0</v>
      </c>
      <c r="DF111" s="131">
        <f t="shared" si="149"/>
        <v>0</v>
      </c>
      <c r="DG111" s="131">
        <f t="shared" si="150"/>
        <v>0</v>
      </c>
      <c r="DH111" s="131"/>
      <c r="DI111" s="131"/>
      <c r="DJ111" s="131"/>
      <c r="DK111" s="137">
        <f t="shared" si="180"/>
        <v>3791.5811116017489</v>
      </c>
      <c r="DL111" s="227" t="e">
        <f t="shared" si="151"/>
        <v>#REF!</v>
      </c>
      <c r="DM111" s="227" t="e">
        <f t="shared" si="152"/>
        <v>#REF!</v>
      </c>
      <c r="DN111" s="228" t="e">
        <f t="shared" si="106"/>
        <v>#REF!</v>
      </c>
      <c r="DO111" s="228">
        <f t="shared" si="153"/>
        <v>181.81087083894022</v>
      </c>
      <c r="DP111" s="228" t="e">
        <f t="shared" si="154"/>
        <v>#REF!</v>
      </c>
      <c r="DQ111" s="228" t="e">
        <f t="shared" si="155"/>
        <v>#REF!</v>
      </c>
    </row>
    <row r="112" spans="1:121">
      <c r="A112" s="132">
        <f t="shared" si="107"/>
        <v>102</v>
      </c>
      <c r="B112" s="18">
        <f t="shared" si="156"/>
        <v>102</v>
      </c>
      <c r="C112" s="18">
        <f>IF(A112=0," ",VLOOKUP(B112,'tosafot '!$A$7:$B$234,2,0))</f>
        <v>6.2016</v>
      </c>
      <c r="D112" s="220">
        <f t="shared" si="157"/>
        <v>228</v>
      </c>
      <c r="E112" s="130">
        <f t="shared" si="158"/>
        <v>12.2026</v>
      </c>
      <c r="F112" s="126">
        <f t="shared" si="159"/>
        <v>9</v>
      </c>
      <c r="G112" s="18" t="str">
        <f t="shared" si="160"/>
        <v>הבריאות</v>
      </c>
      <c r="H112" s="189">
        <f t="shared" si="161"/>
        <v>107</v>
      </c>
      <c r="I112" s="18">
        <f t="shared" si="162"/>
        <v>1</v>
      </c>
      <c r="J112" s="18" t="str">
        <f t="shared" si="163"/>
        <v>מינהלי - עובדי מדינה</v>
      </c>
      <c r="K112" s="189">
        <f t="shared" si="164"/>
        <v>1</v>
      </c>
      <c r="L112" s="18">
        <f t="shared" si="165"/>
        <v>12</v>
      </c>
      <c r="M112" s="129" t="str">
        <f t="shared" si="166"/>
        <v>17+</v>
      </c>
      <c r="N112" s="189"/>
      <c r="O112" s="132">
        <f t="shared" si="167"/>
        <v>1012</v>
      </c>
      <c r="P112" s="127">
        <f t="shared" si="168"/>
        <v>37</v>
      </c>
      <c r="Q112" s="127">
        <f t="shared" si="169"/>
        <v>22.75</v>
      </c>
      <c r="R112" s="128">
        <f t="shared" si="170"/>
        <v>92</v>
      </c>
      <c r="S112" s="130">
        <f t="shared" si="171"/>
        <v>1.2540512286990533</v>
      </c>
      <c r="T112" s="135">
        <f t="shared" si="108"/>
        <v>0</v>
      </c>
      <c r="U112" s="127">
        <f t="shared" si="109"/>
        <v>0</v>
      </c>
      <c r="V112" s="217">
        <v>0</v>
      </c>
      <c r="W112" s="191">
        <v>0</v>
      </c>
      <c r="X112" s="133">
        <v>0</v>
      </c>
      <c r="Y112" s="131">
        <f t="shared" si="110"/>
        <v>2438.5</v>
      </c>
      <c r="Z112" s="131">
        <f t="shared" si="111"/>
        <v>619.50392118264142</v>
      </c>
      <c r="AA112" s="242">
        <f t="shared" si="112"/>
        <v>3058.0039211826415</v>
      </c>
      <c r="AB112" s="131">
        <f t="shared" si="113"/>
        <v>0</v>
      </c>
      <c r="AC112" s="131">
        <f t="shared" si="114"/>
        <v>139.48055684730568</v>
      </c>
      <c r="AD112" s="131">
        <f t="shared" si="115"/>
        <v>0</v>
      </c>
      <c r="AE112" s="131">
        <f t="shared" si="116"/>
        <v>0</v>
      </c>
      <c r="AF112" s="131">
        <f t="shared" si="117"/>
        <v>75.260000000000005</v>
      </c>
      <c r="AG112" s="131">
        <f t="shared" si="118"/>
        <v>0</v>
      </c>
      <c r="AH112" s="131">
        <f t="shared" si="119"/>
        <v>0</v>
      </c>
      <c r="AI112" s="131">
        <f t="shared" si="120"/>
        <v>0</v>
      </c>
      <c r="AJ112" s="131">
        <f t="shared" si="121"/>
        <v>0</v>
      </c>
      <c r="AK112" s="131"/>
      <c r="AL112" s="131">
        <f t="shared" si="122"/>
        <v>0</v>
      </c>
      <c r="AM112" s="131"/>
      <c r="AN112" s="243">
        <f t="shared" si="123"/>
        <v>0</v>
      </c>
      <c r="AO112" s="131">
        <f t="shared" si="124"/>
        <v>0</v>
      </c>
      <c r="AP112" s="131">
        <f t="shared" si="125"/>
        <v>0</v>
      </c>
      <c r="AQ112" s="131"/>
      <c r="AR112" s="131">
        <f t="shared" si="126"/>
        <v>0</v>
      </c>
      <c r="AS112" s="131">
        <f t="shared" si="172"/>
        <v>0</v>
      </c>
      <c r="AT112" s="131">
        <f t="shared" si="127"/>
        <v>0</v>
      </c>
      <c r="AU112" s="131">
        <f t="shared" si="128"/>
        <v>0</v>
      </c>
      <c r="AV112" s="131"/>
      <c r="AW112" s="131">
        <f t="shared" si="129"/>
        <v>353.75</v>
      </c>
      <c r="AX112" s="131">
        <f t="shared" si="183"/>
        <v>0</v>
      </c>
      <c r="AY112" s="131">
        <f t="shared" si="130"/>
        <v>0</v>
      </c>
      <c r="AZ112" s="131"/>
      <c r="BA112" s="131">
        <f t="shared" si="184"/>
        <v>0</v>
      </c>
      <c r="BB112" s="131"/>
      <c r="BC112" s="131"/>
      <c r="BD112" s="131">
        <f t="shared" si="131"/>
        <v>0</v>
      </c>
      <c r="BE112" s="131"/>
      <c r="BF112" s="131">
        <f t="shared" si="173"/>
        <v>0</v>
      </c>
      <c r="BG112" s="131">
        <f t="shared" si="174"/>
        <v>0</v>
      </c>
      <c r="BH112" s="131"/>
      <c r="BI112" s="131"/>
      <c r="BJ112" s="131"/>
      <c r="BK112" s="131">
        <f t="shared" si="175"/>
        <v>0</v>
      </c>
      <c r="BL112" s="131"/>
      <c r="BM112" s="131"/>
      <c r="BN112" s="131">
        <f t="shared" si="176"/>
        <v>0</v>
      </c>
      <c r="BO112" s="131"/>
      <c r="BP112" s="131">
        <f t="shared" si="177"/>
        <v>0</v>
      </c>
      <c r="BQ112" s="131"/>
      <c r="BR112" s="131"/>
      <c r="BS112" s="131"/>
      <c r="BT112" s="131"/>
      <c r="BU112" s="131"/>
      <c r="BV112" s="131">
        <f t="shared" si="178"/>
        <v>0</v>
      </c>
      <c r="BW112" s="131"/>
      <c r="BX112" s="131"/>
      <c r="BY112" s="131"/>
      <c r="BZ112" s="131">
        <f t="shared" si="179"/>
        <v>0</v>
      </c>
      <c r="CA112" s="131"/>
      <c r="CB112" s="136">
        <f t="shared" si="132"/>
        <v>165.08663357180151</v>
      </c>
      <c r="CC112" s="131">
        <f t="shared" si="133"/>
        <v>0</v>
      </c>
      <c r="CD112" s="136">
        <f t="shared" si="134"/>
        <v>0</v>
      </c>
      <c r="CE112" s="131">
        <f t="shared" si="182"/>
        <v>0</v>
      </c>
      <c r="CF112" s="136">
        <f t="shared" si="135"/>
        <v>0</v>
      </c>
      <c r="CG112" s="136"/>
      <c r="CH112" s="136">
        <f t="shared" si="181"/>
        <v>0</v>
      </c>
      <c r="CI112" s="131">
        <f t="shared" si="136"/>
        <v>0</v>
      </c>
      <c r="CJ112" s="131"/>
      <c r="CK112" s="136">
        <f t="shared" si="137"/>
        <v>0</v>
      </c>
      <c r="CL112" s="136">
        <f t="shared" si="138"/>
        <v>0</v>
      </c>
      <c r="CM112" s="131">
        <f t="shared" si="139"/>
        <v>0</v>
      </c>
      <c r="CN112" s="136">
        <f t="shared" si="140"/>
        <v>0</v>
      </c>
      <c r="CO112" s="136">
        <f t="shared" si="141"/>
        <v>0</v>
      </c>
      <c r="CP112" s="136">
        <f t="shared" si="142"/>
        <v>0</v>
      </c>
      <c r="CQ112" s="136"/>
      <c r="CR112" s="136">
        <f t="shared" si="143"/>
        <v>0</v>
      </c>
      <c r="CS112" s="136"/>
      <c r="CT112" s="136"/>
      <c r="CU112" s="136"/>
      <c r="CV112" s="136"/>
      <c r="CW112" s="136"/>
      <c r="CX112" s="136"/>
      <c r="CY112" s="136"/>
      <c r="CZ112" s="136">
        <f t="shared" si="144"/>
        <v>0</v>
      </c>
      <c r="DA112" s="136">
        <f t="shared" si="145"/>
        <v>0</v>
      </c>
      <c r="DB112" s="136">
        <f t="shared" si="146"/>
        <v>0</v>
      </c>
      <c r="DC112" s="131">
        <f t="shared" si="105"/>
        <v>0</v>
      </c>
      <c r="DD112" s="131">
        <f t="shared" si="147"/>
        <v>0</v>
      </c>
      <c r="DE112" s="131">
        <f t="shared" si="148"/>
        <v>0</v>
      </c>
      <c r="DF112" s="131">
        <f t="shared" si="149"/>
        <v>0</v>
      </c>
      <c r="DG112" s="131">
        <f t="shared" si="150"/>
        <v>0</v>
      </c>
      <c r="DH112" s="131"/>
      <c r="DI112" s="131"/>
      <c r="DJ112" s="131"/>
      <c r="DK112" s="137">
        <f t="shared" si="180"/>
        <v>3791.5811116017489</v>
      </c>
      <c r="DL112" s="227" t="e">
        <f t="shared" si="151"/>
        <v>#REF!</v>
      </c>
      <c r="DM112" s="227" t="e">
        <f t="shared" si="152"/>
        <v>#REF!</v>
      </c>
      <c r="DN112" s="228" t="e">
        <f t="shared" si="106"/>
        <v>#REF!</v>
      </c>
      <c r="DO112" s="228">
        <f t="shared" si="153"/>
        <v>181.81087083894022</v>
      </c>
      <c r="DP112" s="228" t="e">
        <f t="shared" si="154"/>
        <v>#REF!</v>
      </c>
      <c r="DQ112" s="228" t="e">
        <f t="shared" si="155"/>
        <v>#REF!</v>
      </c>
    </row>
    <row r="113" spans="1:121">
      <c r="A113" s="132">
        <f t="shared" si="107"/>
        <v>103</v>
      </c>
      <c r="B113" s="18">
        <f t="shared" si="156"/>
        <v>103</v>
      </c>
      <c r="C113" s="18">
        <f>IF(A113=0," ",VLOOKUP(B113,'tosafot '!$A$7:$B$234,2,0))</f>
        <v>7.2016</v>
      </c>
      <c r="D113" s="220">
        <f t="shared" si="157"/>
        <v>228</v>
      </c>
      <c r="E113" s="130">
        <f t="shared" si="158"/>
        <v>12.2026</v>
      </c>
      <c r="F113" s="126">
        <f t="shared" si="159"/>
        <v>9</v>
      </c>
      <c r="G113" s="18" t="str">
        <f t="shared" si="160"/>
        <v>הבריאות</v>
      </c>
      <c r="H113" s="189">
        <f t="shared" si="161"/>
        <v>107</v>
      </c>
      <c r="I113" s="18">
        <f t="shared" si="162"/>
        <v>1</v>
      </c>
      <c r="J113" s="18" t="str">
        <f t="shared" si="163"/>
        <v>מינהלי - עובדי מדינה</v>
      </c>
      <c r="K113" s="189">
        <f t="shared" si="164"/>
        <v>1</v>
      </c>
      <c r="L113" s="18">
        <f t="shared" si="165"/>
        <v>12</v>
      </c>
      <c r="M113" s="129" t="str">
        <f t="shared" si="166"/>
        <v>17+</v>
      </c>
      <c r="N113" s="189"/>
      <c r="O113" s="132">
        <f t="shared" si="167"/>
        <v>1012</v>
      </c>
      <c r="P113" s="127">
        <f t="shared" si="168"/>
        <v>37</v>
      </c>
      <c r="Q113" s="127">
        <f t="shared" si="169"/>
        <v>22.75</v>
      </c>
      <c r="R113" s="128">
        <f t="shared" si="170"/>
        <v>92</v>
      </c>
      <c r="S113" s="130">
        <f t="shared" si="171"/>
        <v>1.2540512286990533</v>
      </c>
      <c r="T113" s="135">
        <f t="shared" si="108"/>
        <v>0</v>
      </c>
      <c r="U113" s="127">
        <f t="shared" si="109"/>
        <v>0</v>
      </c>
      <c r="V113" s="217">
        <v>0</v>
      </c>
      <c r="W113" s="191">
        <v>0</v>
      </c>
      <c r="X113" s="133">
        <v>0</v>
      </c>
      <c r="Y113" s="131">
        <f t="shared" si="110"/>
        <v>2438.5</v>
      </c>
      <c r="Z113" s="131">
        <f t="shared" si="111"/>
        <v>619.50392118264142</v>
      </c>
      <c r="AA113" s="242">
        <f t="shared" si="112"/>
        <v>3058.0039211826415</v>
      </c>
      <c r="AB113" s="131">
        <f t="shared" si="113"/>
        <v>0</v>
      </c>
      <c r="AC113" s="131">
        <f t="shared" si="114"/>
        <v>139.48055684730568</v>
      </c>
      <c r="AD113" s="131">
        <f t="shared" si="115"/>
        <v>0</v>
      </c>
      <c r="AE113" s="131">
        <f t="shared" si="116"/>
        <v>0</v>
      </c>
      <c r="AF113" s="131">
        <f t="shared" si="117"/>
        <v>75.260000000000005</v>
      </c>
      <c r="AG113" s="131">
        <f t="shared" si="118"/>
        <v>0</v>
      </c>
      <c r="AH113" s="131">
        <f t="shared" si="119"/>
        <v>0</v>
      </c>
      <c r="AI113" s="131">
        <f t="shared" si="120"/>
        <v>0</v>
      </c>
      <c r="AJ113" s="131">
        <f t="shared" si="121"/>
        <v>0</v>
      </c>
      <c r="AK113" s="131"/>
      <c r="AL113" s="131">
        <f t="shared" si="122"/>
        <v>0</v>
      </c>
      <c r="AM113" s="131"/>
      <c r="AN113" s="243">
        <f t="shared" si="123"/>
        <v>0</v>
      </c>
      <c r="AO113" s="131">
        <f t="shared" si="124"/>
        <v>0</v>
      </c>
      <c r="AP113" s="131">
        <f t="shared" si="125"/>
        <v>0</v>
      </c>
      <c r="AQ113" s="131"/>
      <c r="AR113" s="131">
        <f t="shared" si="126"/>
        <v>0</v>
      </c>
      <c r="AS113" s="131">
        <f t="shared" si="172"/>
        <v>0</v>
      </c>
      <c r="AT113" s="131">
        <f t="shared" si="127"/>
        <v>0</v>
      </c>
      <c r="AU113" s="131">
        <f t="shared" si="128"/>
        <v>0</v>
      </c>
      <c r="AV113" s="131"/>
      <c r="AW113" s="131">
        <f t="shared" si="129"/>
        <v>353.75</v>
      </c>
      <c r="AX113" s="131">
        <f t="shared" si="183"/>
        <v>0</v>
      </c>
      <c r="AY113" s="131">
        <f t="shared" si="130"/>
        <v>0</v>
      </c>
      <c r="AZ113" s="131"/>
      <c r="BA113" s="131">
        <f t="shared" si="184"/>
        <v>0</v>
      </c>
      <c r="BB113" s="131"/>
      <c r="BC113" s="131"/>
      <c r="BD113" s="131">
        <f t="shared" si="131"/>
        <v>0</v>
      </c>
      <c r="BE113" s="131"/>
      <c r="BF113" s="131">
        <f t="shared" si="173"/>
        <v>0</v>
      </c>
      <c r="BG113" s="131">
        <f t="shared" si="174"/>
        <v>0</v>
      </c>
      <c r="BH113" s="131"/>
      <c r="BI113" s="131"/>
      <c r="BJ113" s="131"/>
      <c r="BK113" s="131">
        <f t="shared" si="175"/>
        <v>0</v>
      </c>
      <c r="BL113" s="131"/>
      <c r="BM113" s="131"/>
      <c r="BN113" s="131">
        <f t="shared" si="176"/>
        <v>0</v>
      </c>
      <c r="BO113" s="131"/>
      <c r="BP113" s="131">
        <f t="shared" si="177"/>
        <v>0</v>
      </c>
      <c r="BQ113" s="131"/>
      <c r="BR113" s="131"/>
      <c r="BS113" s="131"/>
      <c r="BT113" s="131"/>
      <c r="BU113" s="131"/>
      <c r="BV113" s="131">
        <f t="shared" si="178"/>
        <v>0</v>
      </c>
      <c r="BW113" s="131"/>
      <c r="BX113" s="131"/>
      <c r="BY113" s="131"/>
      <c r="BZ113" s="131">
        <f t="shared" si="179"/>
        <v>0</v>
      </c>
      <c r="CA113" s="131"/>
      <c r="CB113" s="136">
        <f t="shared" si="132"/>
        <v>165.08663357180151</v>
      </c>
      <c r="CC113" s="131">
        <f t="shared" si="133"/>
        <v>0</v>
      </c>
      <c r="CD113" s="136">
        <f t="shared" si="134"/>
        <v>0</v>
      </c>
      <c r="CE113" s="131">
        <f t="shared" si="182"/>
        <v>0</v>
      </c>
      <c r="CF113" s="136">
        <f t="shared" si="135"/>
        <v>0</v>
      </c>
      <c r="CG113" s="136"/>
      <c r="CH113" s="136">
        <f t="shared" si="181"/>
        <v>0</v>
      </c>
      <c r="CI113" s="131">
        <f t="shared" si="136"/>
        <v>0</v>
      </c>
      <c r="CJ113" s="131"/>
      <c r="CK113" s="136">
        <f t="shared" si="137"/>
        <v>0</v>
      </c>
      <c r="CL113" s="136">
        <f t="shared" si="138"/>
        <v>0</v>
      </c>
      <c r="CM113" s="131">
        <f t="shared" si="139"/>
        <v>0</v>
      </c>
      <c r="CN113" s="136">
        <f t="shared" si="140"/>
        <v>0</v>
      </c>
      <c r="CO113" s="136">
        <f t="shared" si="141"/>
        <v>0</v>
      </c>
      <c r="CP113" s="136">
        <f t="shared" si="142"/>
        <v>0</v>
      </c>
      <c r="CQ113" s="136"/>
      <c r="CR113" s="136">
        <f t="shared" si="143"/>
        <v>0</v>
      </c>
      <c r="CS113" s="136"/>
      <c r="CT113" s="136"/>
      <c r="CU113" s="136"/>
      <c r="CV113" s="136"/>
      <c r="CW113" s="136"/>
      <c r="CX113" s="136"/>
      <c r="CY113" s="136"/>
      <c r="CZ113" s="136">
        <f t="shared" si="144"/>
        <v>0</v>
      </c>
      <c r="DA113" s="136">
        <f t="shared" si="145"/>
        <v>0</v>
      </c>
      <c r="DB113" s="136">
        <f t="shared" si="146"/>
        <v>0</v>
      </c>
      <c r="DC113" s="131">
        <f t="shared" si="105"/>
        <v>0</v>
      </c>
      <c r="DD113" s="131">
        <f t="shared" si="147"/>
        <v>0</v>
      </c>
      <c r="DE113" s="131">
        <f t="shared" si="148"/>
        <v>0</v>
      </c>
      <c r="DF113" s="131">
        <f t="shared" si="149"/>
        <v>0</v>
      </c>
      <c r="DG113" s="131">
        <f t="shared" si="150"/>
        <v>0</v>
      </c>
      <c r="DH113" s="131"/>
      <c r="DI113" s="131"/>
      <c r="DJ113" s="131"/>
      <c r="DK113" s="137">
        <f t="shared" si="180"/>
        <v>3791.5811116017489</v>
      </c>
      <c r="DL113" s="227" t="e">
        <f t="shared" si="151"/>
        <v>#REF!</v>
      </c>
      <c r="DM113" s="227" t="e">
        <f t="shared" si="152"/>
        <v>#REF!</v>
      </c>
      <c r="DN113" s="228" t="e">
        <f t="shared" si="106"/>
        <v>#REF!</v>
      </c>
      <c r="DO113" s="228">
        <f t="shared" si="153"/>
        <v>181.81087083894022</v>
      </c>
      <c r="DP113" s="228" t="e">
        <f t="shared" si="154"/>
        <v>#REF!</v>
      </c>
      <c r="DQ113" s="228" t="e">
        <f t="shared" si="155"/>
        <v>#REF!</v>
      </c>
    </row>
    <row r="114" spans="1:121">
      <c r="A114" s="132">
        <f t="shared" si="107"/>
        <v>104</v>
      </c>
      <c r="B114" s="18">
        <f t="shared" si="156"/>
        <v>104</v>
      </c>
      <c r="C114" s="18">
        <f>IF(A114=0," ",VLOOKUP(B114,'tosafot '!$A$7:$B$234,2,0))</f>
        <v>8.2015999999999991</v>
      </c>
      <c r="D114" s="220">
        <f t="shared" si="157"/>
        <v>228</v>
      </c>
      <c r="E114" s="130">
        <f t="shared" si="158"/>
        <v>12.2026</v>
      </c>
      <c r="F114" s="126">
        <f t="shared" si="159"/>
        <v>9</v>
      </c>
      <c r="G114" s="18" t="str">
        <f t="shared" si="160"/>
        <v>הבריאות</v>
      </c>
      <c r="H114" s="189">
        <f t="shared" si="161"/>
        <v>107</v>
      </c>
      <c r="I114" s="18">
        <f t="shared" si="162"/>
        <v>1</v>
      </c>
      <c r="J114" s="18" t="str">
        <f t="shared" si="163"/>
        <v>מינהלי - עובדי מדינה</v>
      </c>
      <c r="K114" s="189">
        <f t="shared" si="164"/>
        <v>1</v>
      </c>
      <c r="L114" s="18">
        <f t="shared" si="165"/>
        <v>12</v>
      </c>
      <c r="M114" s="129" t="str">
        <f t="shared" si="166"/>
        <v>17+</v>
      </c>
      <c r="N114" s="189"/>
      <c r="O114" s="132">
        <f t="shared" si="167"/>
        <v>1012</v>
      </c>
      <c r="P114" s="127">
        <f t="shared" si="168"/>
        <v>37</v>
      </c>
      <c r="Q114" s="127">
        <f t="shared" si="169"/>
        <v>22.75</v>
      </c>
      <c r="R114" s="128">
        <f t="shared" si="170"/>
        <v>92</v>
      </c>
      <c r="S114" s="130">
        <f t="shared" si="171"/>
        <v>1.2540512286990533</v>
      </c>
      <c r="T114" s="135">
        <f t="shared" si="108"/>
        <v>0</v>
      </c>
      <c r="U114" s="127">
        <f t="shared" si="109"/>
        <v>0</v>
      </c>
      <c r="V114" s="217">
        <v>0</v>
      </c>
      <c r="W114" s="191">
        <v>0</v>
      </c>
      <c r="X114" s="133">
        <v>0</v>
      </c>
      <c r="Y114" s="131">
        <f t="shared" si="110"/>
        <v>2438.5</v>
      </c>
      <c r="Z114" s="131">
        <f t="shared" si="111"/>
        <v>619.50392118264142</v>
      </c>
      <c r="AA114" s="242">
        <f t="shared" si="112"/>
        <v>3058.0039211826415</v>
      </c>
      <c r="AB114" s="131">
        <f t="shared" si="113"/>
        <v>0</v>
      </c>
      <c r="AC114" s="131">
        <f t="shared" si="114"/>
        <v>139.48055684730568</v>
      </c>
      <c r="AD114" s="131">
        <f t="shared" si="115"/>
        <v>0</v>
      </c>
      <c r="AE114" s="131">
        <f t="shared" si="116"/>
        <v>0</v>
      </c>
      <c r="AF114" s="131">
        <f t="shared" si="117"/>
        <v>75.260000000000005</v>
      </c>
      <c r="AG114" s="131">
        <f t="shared" si="118"/>
        <v>0</v>
      </c>
      <c r="AH114" s="131">
        <f t="shared" si="119"/>
        <v>0</v>
      </c>
      <c r="AI114" s="131">
        <f t="shared" si="120"/>
        <v>0</v>
      </c>
      <c r="AJ114" s="131">
        <f t="shared" si="121"/>
        <v>0</v>
      </c>
      <c r="AK114" s="131"/>
      <c r="AL114" s="131">
        <f t="shared" si="122"/>
        <v>0</v>
      </c>
      <c r="AM114" s="131"/>
      <c r="AN114" s="243">
        <f t="shared" si="123"/>
        <v>0</v>
      </c>
      <c r="AO114" s="131">
        <f t="shared" si="124"/>
        <v>0</v>
      </c>
      <c r="AP114" s="131">
        <f t="shared" si="125"/>
        <v>0</v>
      </c>
      <c r="AQ114" s="131"/>
      <c r="AR114" s="131">
        <f t="shared" si="126"/>
        <v>0</v>
      </c>
      <c r="AS114" s="131">
        <f t="shared" si="172"/>
        <v>0</v>
      </c>
      <c r="AT114" s="131">
        <f t="shared" si="127"/>
        <v>0</v>
      </c>
      <c r="AU114" s="131">
        <f t="shared" si="128"/>
        <v>0</v>
      </c>
      <c r="AV114" s="131"/>
      <c r="AW114" s="131">
        <f t="shared" si="129"/>
        <v>353.75</v>
      </c>
      <c r="AX114" s="131">
        <f t="shared" si="183"/>
        <v>0</v>
      </c>
      <c r="AY114" s="131">
        <f t="shared" si="130"/>
        <v>0</v>
      </c>
      <c r="AZ114" s="131"/>
      <c r="BA114" s="131">
        <f t="shared" si="184"/>
        <v>0</v>
      </c>
      <c r="BB114" s="131"/>
      <c r="BC114" s="131"/>
      <c r="BD114" s="131">
        <f t="shared" si="131"/>
        <v>0</v>
      </c>
      <c r="BE114" s="131"/>
      <c r="BF114" s="131">
        <f t="shared" si="173"/>
        <v>0</v>
      </c>
      <c r="BG114" s="131">
        <f t="shared" si="174"/>
        <v>0</v>
      </c>
      <c r="BH114" s="131"/>
      <c r="BI114" s="131"/>
      <c r="BJ114" s="131"/>
      <c r="BK114" s="131">
        <f t="shared" si="175"/>
        <v>0</v>
      </c>
      <c r="BL114" s="131"/>
      <c r="BM114" s="131"/>
      <c r="BN114" s="131">
        <f t="shared" si="176"/>
        <v>0</v>
      </c>
      <c r="BO114" s="131"/>
      <c r="BP114" s="131">
        <f t="shared" si="177"/>
        <v>0</v>
      </c>
      <c r="BQ114" s="131"/>
      <c r="BR114" s="131"/>
      <c r="BS114" s="131"/>
      <c r="BT114" s="131"/>
      <c r="BU114" s="131"/>
      <c r="BV114" s="131">
        <f t="shared" si="178"/>
        <v>0</v>
      </c>
      <c r="BW114" s="131"/>
      <c r="BX114" s="131"/>
      <c r="BY114" s="131"/>
      <c r="BZ114" s="131">
        <f t="shared" si="179"/>
        <v>0</v>
      </c>
      <c r="CA114" s="131"/>
      <c r="CB114" s="136">
        <f t="shared" si="132"/>
        <v>165.08663357180151</v>
      </c>
      <c r="CC114" s="131">
        <f t="shared" si="133"/>
        <v>0</v>
      </c>
      <c r="CD114" s="136">
        <f t="shared" si="134"/>
        <v>0</v>
      </c>
      <c r="CE114" s="131">
        <f t="shared" si="182"/>
        <v>0</v>
      </c>
      <c r="CF114" s="136">
        <f t="shared" si="135"/>
        <v>0</v>
      </c>
      <c r="CG114" s="136"/>
      <c r="CH114" s="136">
        <f t="shared" si="181"/>
        <v>0</v>
      </c>
      <c r="CI114" s="131">
        <f t="shared" si="136"/>
        <v>0</v>
      </c>
      <c r="CJ114" s="131"/>
      <c r="CK114" s="136">
        <f t="shared" si="137"/>
        <v>0</v>
      </c>
      <c r="CL114" s="136">
        <f t="shared" si="138"/>
        <v>0</v>
      </c>
      <c r="CM114" s="131">
        <f t="shared" si="139"/>
        <v>0</v>
      </c>
      <c r="CN114" s="136">
        <f t="shared" si="140"/>
        <v>0</v>
      </c>
      <c r="CO114" s="136">
        <f t="shared" si="141"/>
        <v>0</v>
      </c>
      <c r="CP114" s="136">
        <f t="shared" si="142"/>
        <v>0</v>
      </c>
      <c r="CQ114" s="136"/>
      <c r="CR114" s="136">
        <f t="shared" si="143"/>
        <v>0</v>
      </c>
      <c r="CS114" s="136"/>
      <c r="CT114" s="136"/>
      <c r="CU114" s="136"/>
      <c r="CV114" s="136"/>
      <c r="CW114" s="136"/>
      <c r="CX114" s="136"/>
      <c r="CY114" s="136"/>
      <c r="CZ114" s="136">
        <f t="shared" si="144"/>
        <v>0</v>
      </c>
      <c r="DA114" s="136">
        <f t="shared" si="145"/>
        <v>0</v>
      </c>
      <c r="DB114" s="136">
        <f t="shared" si="146"/>
        <v>0</v>
      </c>
      <c r="DC114" s="131">
        <f t="shared" si="105"/>
        <v>0</v>
      </c>
      <c r="DD114" s="131">
        <f t="shared" si="147"/>
        <v>0</v>
      </c>
      <c r="DE114" s="131">
        <f t="shared" si="148"/>
        <v>0</v>
      </c>
      <c r="DF114" s="131">
        <f t="shared" si="149"/>
        <v>0</v>
      </c>
      <c r="DG114" s="131">
        <f t="shared" si="150"/>
        <v>0</v>
      </c>
      <c r="DH114" s="131"/>
      <c r="DI114" s="131"/>
      <c r="DJ114" s="131"/>
      <c r="DK114" s="137">
        <f t="shared" si="180"/>
        <v>3791.5811116017489</v>
      </c>
      <c r="DL114" s="227" t="e">
        <f t="shared" si="151"/>
        <v>#REF!</v>
      </c>
      <c r="DM114" s="227" t="e">
        <f t="shared" si="152"/>
        <v>#REF!</v>
      </c>
      <c r="DN114" s="228" t="e">
        <f t="shared" si="106"/>
        <v>#REF!</v>
      </c>
      <c r="DO114" s="228">
        <f t="shared" si="153"/>
        <v>181.81087083894022</v>
      </c>
      <c r="DP114" s="228" t="e">
        <f t="shared" si="154"/>
        <v>#REF!</v>
      </c>
      <c r="DQ114" s="228" t="e">
        <f t="shared" si="155"/>
        <v>#REF!</v>
      </c>
    </row>
    <row r="115" spans="1:121">
      <c r="A115" s="132">
        <f t="shared" si="107"/>
        <v>105</v>
      </c>
      <c r="B115" s="18">
        <f t="shared" si="156"/>
        <v>105</v>
      </c>
      <c r="C115" s="18">
        <f>IF(A115=0," ",VLOOKUP(B115,'tosafot '!$A$7:$B$234,2,0))</f>
        <v>9.2015999999999991</v>
      </c>
      <c r="D115" s="220">
        <f t="shared" si="157"/>
        <v>228</v>
      </c>
      <c r="E115" s="130">
        <f t="shared" si="158"/>
        <v>12.2026</v>
      </c>
      <c r="F115" s="126">
        <f t="shared" si="159"/>
        <v>9</v>
      </c>
      <c r="G115" s="18" t="str">
        <f t="shared" si="160"/>
        <v>הבריאות</v>
      </c>
      <c r="H115" s="189">
        <f t="shared" si="161"/>
        <v>107</v>
      </c>
      <c r="I115" s="18">
        <f t="shared" si="162"/>
        <v>1</v>
      </c>
      <c r="J115" s="18" t="str">
        <f t="shared" si="163"/>
        <v>מינהלי - עובדי מדינה</v>
      </c>
      <c r="K115" s="189">
        <f t="shared" si="164"/>
        <v>1</v>
      </c>
      <c r="L115" s="18">
        <f t="shared" si="165"/>
        <v>12</v>
      </c>
      <c r="M115" s="129" t="str">
        <f t="shared" si="166"/>
        <v>17+</v>
      </c>
      <c r="N115" s="189"/>
      <c r="O115" s="132">
        <f t="shared" si="167"/>
        <v>1012</v>
      </c>
      <c r="P115" s="127">
        <f t="shared" si="168"/>
        <v>37</v>
      </c>
      <c r="Q115" s="127">
        <f t="shared" si="169"/>
        <v>22.75</v>
      </c>
      <c r="R115" s="128">
        <f t="shared" si="170"/>
        <v>92</v>
      </c>
      <c r="S115" s="130">
        <f t="shared" si="171"/>
        <v>1.2540512286990533</v>
      </c>
      <c r="T115" s="135">
        <f t="shared" si="108"/>
        <v>0</v>
      </c>
      <c r="U115" s="127">
        <f t="shared" si="109"/>
        <v>0</v>
      </c>
      <c r="V115" s="217">
        <v>0</v>
      </c>
      <c r="W115" s="191">
        <v>0</v>
      </c>
      <c r="X115" s="133">
        <v>0</v>
      </c>
      <c r="Y115" s="131">
        <f t="shared" si="110"/>
        <v>2438.5</v>
      </c>
      <c r="Z115" s="131">
        <f t="shared" si="111"/>
        <v>619.50392118264142</v>
      </c>
      <c r="AA115" s="242">
        <f t="shared" si="112"/>
        <v>3058.0039211826415</v>
      </c>
      <c r="AB115" s="131">
        <f t="shared" si="113"/>
        <v>0</v>
      </c>
      <c r="AC115" s="131">
        <f t="shared" si="114"/>
        <v>139.48055684730568</v>
      </c>
      <c r="AD115" s="131">
        <f t="shared" si="115"/>
        <v>0</v>
      </c>
      <c r="AE115" s="131">
        <f t="shared" si="116"/>
        <v>0</v>
      </c>
      <c r="AF115" s="131">
        <f t="shared" si="117"/>
        <v>75.260000000000005</v>
      </c>
      <c r="AG115" s="131">
        <f t="shared" si="118"/>
        <v>0</v>
      </c>
      <c r="AH115" s="131">
        <f t="shared" si="119"/>
        <v>0</v>
      </c>
      <c r="AI115" s="131">
        <f t="shared" si="120"/>
        <v>0</v>
      </c>
      <c r="AJ115" s="131">
        <f t="shared" si="121"/>
        <v>0</v>
      </c>
      <c r="AK115" s="131"/>
      <c r="AL115" s="131">
        <f t="shared" si="122"/>
        <v>0</v>
      </c>
      <c r="AM115" s="131"/>
      <c r="AN115" s="243">
        <f t="shared" si="123"/>
        <v>0</v>
      </c>
      <c r="AO115" s="131">
        <f t="shared" si="124"/>
        <v>0</v>
      </c>
      <c r="AP115" s="131">
        <f t="shared" si="125"/>
        <v>0</v>
      </c>
      <c r="AQ115" s="131"/>
      <c r="AR115" s="131">
        <f t="shared" si="126"/>
        <v>0</v>
      </c>
      <c r="AS115" s="131">
        <f t="shared" si="172"/>
        <v>0</v>
      </c>
      <c r="AT115" s="131">
        <f t="shared" si="127"/>
        <v>0</v>
      </c>
      <c r="AU115" s="131">
        <f t="shared" si="128"/>
        <v>0</v>
      </c>
      <c r="AV115" s="131"/>
      <c r="AW115" s="131">
        <f t="shared" si="129"/>
        <v>353.75</v>
      </c>
      <c r="AX115" s="131">
        <f t="shared" si="183"/>
        <v>0</v>
      </c>
      <c r="AY115" s="131">
        <f t="shared" si="130"/>
        <v>0</v>
      </c>
      <c r="AZ115" s="131"/>
      <c r="BA115" s="131">
        <f t="shared" si="184"/>
        <v>0</v>
      </c>
      <c r="BB115" s="131"/>
      <c r="BC115" s="131"/>
      <c r="BD115" s="131">
        <f t="shared" si="131"/>
        <v>0</v>
      </c>
      <c r="BE115" s="131"/>
      <c r="BF115" s="131">
        <f t="shared" si="173"/>
        <v>0</v>
      </c>
      <c r="BG115" s="131">
        <f t="shared" si="174"/>
        <v>0</v>
      </c>
      <c r="BH115" s="131"/>
      <c r="BI115" s="131"/>
      <c r="BJ115" s="131"/>
      <c r="BK115" s="131">
        <f t="shared" si="175"/>
        <v>0</v>
      </c>
      <c r="BL115" s="131"/>
      <c r="BM115" s="131"/>
      <c r="BN115" s="131">
        <f t="shared" si="176"/>
        <v>0</v>
      </c>
      <c r="BO115" s="131"/>
      <c r="BP115" s="131">
        <f t="shared" si="177"/>
        <v>0</v>
      </c>
      <c r="BQ115" s="131"/>
      <c r="BR115" s="131"/>
      <c r="BS115" s="131"/>
      <c r="BT115" s="131"/>
      <c r="BU115" s="131"/>
      <c r="BV115" s="131">
        <f t="shared" si="178"/>
        <v>0</v>
      </c>
      <c r="BW115" s="131"/>
      <c r="BX115" s="131"/>
      <c r="BY115" s="131"/>
      <c r="BZ115" s="131">
        <f t="shared" si="179"/>
        <v>0</v>
      </c>
      <c r="CA115" s="131"/>
      <c r="CB115" s="136">
        <f t="shared" si="132"/>
        <v>165.08663357180151</v>
      </c>
      <c r="CC115" s="131">
        <f t="shared" si="133"/>
        <v>0</v>
      </c>
      <c r="CD115" s="136">
        <f t="shared" si="134"/>
        <v>0</v>
      </c>
      <c r="CE115" s="131">
        <f t="shared" si="182"/>
        <v>0</v>
      </c>
      <c r="CF115" s="136">
        <f t="shared" si="135"/>
        <v>0</v>
      </c>
      <c r="CG115" s="136"/>
      <c r="CH115" s="136">
        <f t="shared" si="181"/>
        <v>0</v>
      </c>
      <c r="CI115" s="131">
        <f t="shared" si="136"/>
        <v>0</v>
      </c>
      <c r="CJ115" s="131"/>
      <c r="CK115" s="136">
        <f t="shared" si="137"/>
        <v>0</v>
      </c>
      <c r="CL115" s="136">
        <f t="shared" si="138"/>
        <v>0</v>
      </c>
      <c r="CM115" s="131">
        <f t="shared" si="139"/>
        <v>0</v>
      </c>
      <c r="CN115" s="136">
        <f t="shared" si="140"/>
        <v>0</v>
      </c>
      <c r="CO115" s="136">
        <f t="shared" si="141"/>
        <v>0</v>
      </c>
      <c r="CP115" s="136">
        <f t="shared" si="142"/>
        <v>0</v>
      </c>
      <c r="CQ115" s="136"/>
      <c r="CR115" s="136">
        <f t="shared" si="143"/>
        <v>0</v>
      </c>
      <c r="CS115" s="136"/>
      <c r="CT115" s="136"/>
      <c r="CU115" s="136"/>
      <c r="CV115" s="136"/>
      <c r="CW115" s="136"/>
      <c r="CX115" s="136"/>
      <c r="CY115" s="136"/>
      <c r="CZ115" s="136">
        <f t="shared" si="144"/>
        <v>0</v>
      </c>
      <c r="DA115" s="136">
        <f t="shared" si="145"/>
        <v>0</v>
      </c>
      <c r="DB115" s="136">
        <f t="shared" si="146"/>
        <v>0</v>
      </c>
      <c r="DC115" s="131">
        <f t="shared" si="105"/>
        <v>0</v>
      </c>
      <c r="DD115" s="131">
        <f t="shared" si="147"/>
        <v>0</v>
      </c>
      <c r="DE115" s="131">
        <f t="shared" si="148"/>
        <v>0</v>
      </c>
      <c r="DF115" s="131">
        <f t="shared" si="149"/>
        <v>0</v>
      </c>
      <c r="DG115" s="131">
        <f t="shared" si="150"/>
        <v>0</v>
      </c>
      <c r="DH115" s="131"/>
      <c r="DI115" s="131"/>
      <c r="DJ115" s="131"/>
      <c r="DK115" s="137">
        <f t="shared" si="180"/>
        <v>3791.5811116017489</v>
      </c>
      <c r="DL115" s="227" t="e">
        <f t="shared" si="151"/>
        <v>#REF!</v>
      </c>
      <c r="DM115" s="227" t="e">
        <f t="shared" si="152"/>
        <v>#REF!</v>
      </c>
      <c r="DN115" s="228" t="e">
        <f t="shared" si="106"/>
        <v>#REF!</v>
      </c>
      <c r="DO115" s="228">
        <f t="shared" si="153"/>
        <v>181.81087083894022</v>
      </c>
      <c r="DP115" s="228" t="e">
        <f t="shared" si="154"/>
        <v>#REF!</v>
      </c>
      <c r="DQ115" s="228" t="e">
        <f t="shared" si="155"/>
        <v>#REF!</v>
      </c>
    </row>
    <row r="116" spans="1:121">
      <c r="A116" s="132">
        <f t="shared" si="107"/>
        <v>106</v>
      </c>
      <c r="B116" s="18">
        <f t="shared" si="156"/>
        <v>106</v>
      </c>
      <c r="C116" s="18">
        <f>IF(A116=0," ",VLOOKUP(B116,'tosafot '!$A$7:$B$234,2,0))</f>
        <v>10.201599999999999</v>
      </c>
      <c r="D116" s="220">
        <f t="shared" si="157"/>
        <v>228</v>
      </c>
      <c r="E116" s="130">
        <f t="shared" si="158"/>
        <v>12.2026</v>
      </c>
      <c r="F116" s="126">
        <f t="shared" si="159"/>
        <v>9</v>
      </c>
      <c r="G116" s="18" t="str">
        <f t="shared" si="160"/>
        <v>הבריאות</v>
      </c>
      <c r="H116" s="189">
        <f t="shared" si="161"/>
        <v>107</v>
      </c>
      <c r="I116" s="18">
        <f t="shared" si="162"/>
        <v>1</v>
      </c>
      <c r="J116" s="18" t="str">
        <f t="shared" si="163"/>
        <v>מינהלי - עובדי מדינה</v>
      </c>
      <c r="K116" s="189">
        <f t="shared" si="164"/>
        <v>1</v>
      </c>
      <c r="L116" s="18">
        <f t="shared" si="165"/>
        <v>12</v>
      </c>
      <c r="M116" s="129" t="str">
        <f t="shared" si="166"/>
        <v>17+</v>
      </c>
      <c r="N116" s="189"/>
      <c r="O116" s="132">
        <f t="shared" si="167"/>
        <v>1012</v>
      </c>
      <c r="P116" s="127">
        <f t="shared" si="168"/>
        <v>37</v>
      </c>
      <c r="Q116" s="127">
        <f t="shared" si="169"/>
        <v>22.75</v>
      </c>
      <c r="R116" s="128">
        <f t="shared" si="170"/>
        <v>92</v>
      </c>
      <c r="S116" s="130">
        <f t="shared" si="171"/>
        <v>1.2540512286990533</v>
      </c>
      <c r="T116" s="135">
        <f t="shared" si="108"/>
        <v>0</v>
      </c>
      <c r="U116" s="127">
        <f t="shared" si="109"/>
        <v>0</v>
      </c>
      <c r="V116" s="217">
        <v>0</v>
      </c>
      <c r="W116" s="191">
        <v>0</v>
      </c>
      <c r="X116" s="133">
        <v>0</v>
      </c>
      <c r="Y116" s="131">
        <f t="shared" si="110"/>
        <v>2438.5</v>
      </c>
      <c r="Z116" s="131">
        <f t="shared" si="111"/>
        <v>619.50392118264142</v>
      </c>
      <c r="AA116" s="242">
        <f t="shared" si="112"/>
        <v>3058.0039211826415</v>
      </c>
      <c r="AB116" s="131">
        <f t="shared" si="113"/>
        <v>0</v>
      </c>
      <c r="AC116" s="131">
        <f t="shared" si="114"/>
        <v>139.48055684730568</v>
      </c>
      <c r="AD116" s="131">
        <f t="shared" si="115"/>
        <v>0</v>
      </c>
      <c r="AE116" s="131">
        <f t="shared" si="116"/>
        <v>0</v>
      </c>
      <c r="AF116" s="131">
        <f t="shared" si="117"/>
        <v>75.260000000000005</v>
      </c>
      <c r="AG116" s="131">
        <f t="shared" si="118"/>
        <v>0</v>
      </c>
      <c r="AH116" s="131">
        <f t="shared" si="119"/>
        <v>0</v>
      </c>
      <c r="AI116" s="131">
        <f t="shared" si="120"/>
        <v>0</v>
      </c>
      <c r="AJ116" s="131">
        <f t="shared" si="121"/>
        <v>0</v>
      </c>
      <c r="AK116" s="131"/>
      <c r="AL116" s="131">
        <f t="shared" si="122"/>
        <v>0</v>
      </c>
      <c r="AM116" s="131"/>
      <c r="AN116" s="243">
        <f t="shared" si="123"/>
        <v>0</v>
      </c>
      <c r="AO116" s="131">
        <f t="shared" si="124"/>
        <v>0</v>
      </c>
      <c r="AP116" s="131">
        <f t="shared" si="125"/>
        <v>0</v>
      </c>
      <c r="AQ116" s="131"/>
      <c r="AR116" s="131">
        <f t="shared" si="126"/>
        <v>0</v>
      </c>
      <c r="AS116" s="131">
        <f t="shared" si="172"/>
        <v>0</v>
      </c>
      <c r="AT116" s="131">
        <f t="shared" si="127"/>
        <v>0</v>
      </c>
      <c r="AU116" s="131">
        <f t="shared" si="128"/>
        <v>0</v>
      </c>
      <c r="AV116" s="131"/>
      <c r="AW116" s="131">
        <f t="shared" si="129"/>
        <v>353.75</v>
      </c>
      <c r="AX116" s="131">
        <f t="shared" si="183"/>
        <v>0</v>
      </c>
      <c r="AY116" s="131">
        <f t="shared" si="130"/>
        <v>0</v>
      </c>
      <c r="AZ116" s="131"/>
      <c r="BA116" s="131">
        <f t="shared" si="184"/>
        <v>0</v>
      </c>
      <c r="BB116" s="131"/>
      <c r="BC116" s="131"/>
      <c r="BD116" s="131">
        <f t="shared" si="131"/>
        <v>0</v>
      </c>
      <c r="BE116" s="131"/>
      <c r="BF116" s="131">
        <f t="shared" si="173"/>
        <v>0</v>
      </c>
      <c r="BG116" s="131">
        <f t="shared" si="174"/>
        <v>0</v>
      </c>
      <c r="BH116" s="131"/>
      <c r="BI116" s="131"/>
      <c r="BJ116" s="131"/>
      <c r="BK116" s="131">
        <f t="shared" si="175"/>
        <v>0</v>
      </c>
      <c r="BL116" s="131"/>
      <c r="BM116" s="131"/>
      <c r="BN116" s="131">
        <f t="shared" si="176"/>
        <v>0</v>
      </c>
      <c r="BO116" s="131"/>
      <c r="BP116" s="131">
        <f t="shared" si="177"/>
        <v>0</v>
      </c>
      <c r="BQ116" s="131"/>
      <c r="BR116" s="131"/>
      <c r="BS116" s="131"/>
      <c r="BT116" s="131"/>
      <c r="BU116" s="131"/>
      <c r="BV116" s="131">
        <f t="shared" si="178"/>
        <v>0</v>
      </c>
      <c r="BW116" s="131"/>
      <c r="BX116" s="131"/>
      <c r="BY116" s="131"/>
      <c r="BZ116" s="131">
        <f t="shared" si="179"/>
        <v>0</v>
      </c>
      <c r="CA116" s="131"/>
      <c r="CB116" s="136">
        <f t="shared" si="132"/>
        <v>165.08663357180151</v>
      </c>
      <c r="CC116" s="131">
        <f t="shared" si="133"/>
        <v>0</v>
      </c>
      <c r="CD116" s="136">
        <f t="shared" si="134"/>
        <v>0</v>
      </c>
      <c r="CE116" s="131">
        <f t="shared" si="182"/>
        <v>0</v>
      </c>
      <c r="CF116" s="136">
        <f t="shared" si="135"/>
        <v>0</v>
      </c>
      <c r="CG116" s="136"/>
      <c r="CH116" s="136">
        <f t="shared" si="181"/>
        <v>0</v>
      </c>
      <c r="CI116" s="131">
        <f t="shared" si="136"/>
        <v>0</v>
      </c>
      <c r="CJ116" s="131"/>
      <c r="CK116" s="136">
        <f t="shared" si="137"/>
        <v>0</v>
      </c>
      <c r="CL116" s="136">
        <f t="shared" si="138"/>
        <v>0</v>
      </c>
      <c r="CM116" s="131">
        <f t="shared" si="139"/>
        <v>0</v>
      </c>
      <c r="CN116" s="136">
        <f t="shared" si="140"/>
        <v>0</v>
      </c>
      <c r="CO116" s="136">
        <f t="shared" si="141"/>
        <v>0</v>
      </c>
      <c r="CP116" s="136">
        <f t="shared" si="142"/>
        <v>0</v>
      </c>
      <c r="CQ116" s="136"/>
      <c r="CR116" s="136">
        <f t="shared" si="143"/>
        <v>0</v>
      </c>
      <c r="CS116" s="136"/>
      <c r="CT116" s="136"/>
      <c r="CU116" s="136"/>
      <c r="CV116" s="136"/>
      <c r="CW116" s="136"/>
      <c r="CX116" s="136"/>
      <c r="CY116" s="136"/>
      <c r="CZ116" s="136">
        <f t="shared" si="144"/>
        <v>0</v>
      </c>
      <c r="DA116" s="136">
        <f t="shared" si="145"/>
        <v>0</v>
      </c>
      <c r="DB116" s="136">
        <f t="shared" si="146"/>
        <v>0</v>
      </c>
      <c r="DC116" s="131">
        <f t="shared" si="105"/>
        <v>0</v>
      </c>
      <c r="DD116" s="131">
        <f t="shared" si="147"/>
        <v>0</v>
      </c>
      <c r="DE116" s="131">
        <f t="shared" si="148"/>
        <v>0</v>
      </c>
      <c r="DF116" s="131">
        <f t="shared" si="149"/>
        <v>0</v>
      </c>
      <c r="DG116" s="131">
        <f t="shared" si="150"/>
        <v>0</v>
      </c>
      <c r="DH116" s="131"/>
      <c r="DI116" s="131"/>
      <c r="DJ116" s="131"/>
      <c r="DK116" s="137">
        <f t="shared" si="180"/>
        <v>3791.5811116017489</v>
      </c>
      <c r="DL116" s="227" t="e">
        <f t="shared" si="151"/>
        <v>#REF!</v>
      </c>
      <c r="DM116" s="227" t="e">
        <f t="shared" si="152"/>
        <v>#REF!</v>
      </c>
      <c r="DN116" s="228" t="e">
        <f t="shared" si="106"/>
        <v>#REF!</v>
      </c>
      <c r="DO116" s="228">
        <f t="shared" si="153"/>
        <v>181.81087083894022</v>
      </c>
      <c r="DP116" s="228" t="e">
        <f t="shared" si="154"/>
        <v>#REF!</v>
      </c>
      <c r="DQ116" s="228" t="e">
        <f t="shared" si="155"/>
        <v>#REF!</v>
      </c>
    </row>
    <row r="117" spans="1:121">
      <c r="A117" s="132">
        <f t="shared" si="107"/>
        <v>107</v>
      </c>
      <c r="B117" s="18">
        <f t="shared" si="156"/>
        <v>107</v>
      </c>
      <c r="C117" s="18">
        <f>IF(A117=0," ",VLOOKUP(B117,'tosafot '!$A$7:$B$234,2,0))</f>
        <v>11.201599999999999</v>
      </c>
      <c r="D117" s="220">
        <f t="shared" si="157"/>
        <v>228</v>
      </c>
      <c r="E117" s="130">
        <f t="shared" si="158"/>
        <v>12.2026</v>
      </c>
      <c r="F117" s="126">
        <f t="shared" si="159"/>
        <v>9</v>
      </c>
      <c r="G117" s="18" t="str">
        <f t="shared" si="160"/>
        <v>הבריאות</v>
      </c>
      <c r="H117" s="189">
        <f t="shared" si="161"/>
        <v>107</v>
      </c>
      <c r="I117" s="18">
        <f t="shared" si="162"/>
        <v>1</v>
      </c>
      <c r="J117" s="18" t="str">
        <f t="shared" si="163"/>
        <v>מינהלי - עובדי מדינה</v>
      </c>
      <c r="K117" s="189">
        <f t="shared" si="164"/>
        <v>1</v>
      </c>
      <c r="L117" s="18">
        <f t="shared" si="165"/>
        <v>12</v>
      </c>
      <c r="M117" s="129" t="str">
        <f t="shared" si="166"/>
        <v>17+</v>
      </c>
      <c r="N117" s="189"/>
      <c r="O117" s="132">
        <f t="shared" si="167"/>
        <v>1012</v>
      </c>
      <c r="P117" s="127">
        <f t="shared" si="168"/>
        <v>37</v>
      </c>
      <c r="Q117" s="127">
        <f t="shared" si="169"/>
        <v>22.75</v>
      </c>
      <c r="R117" s="128">
        <f t="shared" si="170"/>
        <v>92</v>
      </c>
      <c r="S117" s="130">
        <f t="shared" si="171"/>
        <v>1.2540512286990533</v>
      </c>
      <c r="T117" s="135">
        <f t="shared" si="108"/>
        <v>0</v>
      </c>
      <c r="U117" s="127">
        <f t="shared" si="109"/>
        <v>0</v>
      </c>
      <c r="V117" s="217">
        <v>0</v>
      </c>
      <c r="W117" s="191">
        <v>0</v>
      </c>
      <c r="X117" s="133">
        <v>0</v>
      </c>
      <c r="Y117" s="131">
        <f t="shared" si="110"/>
        <v>2438.5</v>
      </c>
      <c r="Z117" s="131">
        <f t="shared" si="111"/>
        <v>619.50392118264142</v>
      </c>
      <c r="AA117" s="242">
        <f t="shared" si="112"/>
        <v>3058.0039211826415</v>
      </c>
      <c r="AB117" s="131">
        <f t="shared" si="113"/>
        <v>0</v>
      </c>
      <c r="AC117" s="131">
        <f t="shared" si="114"/>
        <v>139.48055684730568</v>
      </c>
      <c r="AD117" s="131">
        <f t="shared" si="115"/>
        <v>0</v>
      </c>
      <c r="AE117" s="131">
        <f t="shared" si="116"/>
        <v>0</v>
      </c>
      <c r="AF117" s="131">
        <f t="shared" si="117"/>
        <v>75.260000000000005</v>
      </c>
      <c r="AG117" s="131">
        <f t="shared" si="118"/>
        <v>0</v>
      </c>
      <c r="AH117" s="131">
        <f t="shared" si="119"/>
        <v>0</v>
      </c>
      <c r="AI117" s="131">
        <f t="shared" si="120"/>
        <v>0</v>
      </c>
      <c r="AJ117" s="131">
        <f t="shared" si="121"/>
        <v>0</v>
      </c>
      <c r="AK117" s="131"/>
      <c r="AL117" s="131">
        <f t="shared" si="122"/>
        <v>0</v>
      </c>
      <c r="AM117" s="131"/>
      <c r="AN117" s="243">
        <f t="shared" si="123"/>
        <v>0</v>
      </c>
      <c r="AO117" s="131">
        <f t="shared" si="124"/>
        <v>0</v>
      </c>
      <c r="AP117" s="131">
        <f t="shared" si="125"/>
        <v>0</v>
      </c>
      <c r="AQ117" s="131"/>
      <c r="AR117" s="131">
        <f t="shared" si="126"/>
        <v>0</v>
      </c>
      <c r="AS117" s="131">
        <f t="shared" si="172"/>
        <v>0</v>
      </c>
      <c r="AT117" s="131">
        <f t="shared" si="127"/>
        <v>0</v>
      </c>
      <c r="AU117" s="131">
        <f t="shared" si="128"/>
        <v>0</v>
      </c>
      <c r="AV117" s="131"/>
      <c r="AW117" s="131">
        <f t="shared" si="129"/>
        <v>353.75</v>
      </c>
      <c r="AX117" s="131">
        <f t="shared" si="183"/>
        <v>0</v>
      </c>
      <c r="AY117" s="131">
        <f t="shared" si="130"/>
        <v>0</v>
      </c>
      <c r="AZ117" s="131"/>
      <c r="BA117" s="131">
        <f t="shared" si="184"/>
        <v>0</v>
      </c>
      <c r="BB117" s="131"/>
      <c r="BC117" s="131"/>
      <c r="BD117" s="131">
        <f t="shared" si="131"/>
        <v>0</v>
      </c>
      <c r="BE117" s="131"/>
      <c r="BF117" s="131">
        <f t="shared" si="173"/>
        <v>0</v>
      </c>
      <c r="BG117" s="131">
        <f t="shared" si="174"/>
        <v>0</v>
      </c>
      <c r="BH117" s="131"/>
      <c r="BI117" s="131"/>
      <c r="BJ117" s="131"/>
      <c r="BK117" s="131">
        <f t="shared" si="175"/>
        <v>0</v>
      </c>
      <c r="BL117" s="131"/>
      <c r="BM117" s="131"/>
      <c r="BN117" s="131">
        <f t="shared" si="176"/>
        <v>0</v>
      </c>
      <c r="BO117" s="131"/>
      <c r="BP117" s="131">
        <f t="shared" si="177"/>
        <v>0</v>
      </c>
      <c r="BQ117" s="131"/>
      <c r="BR117" s="131"/>
      <c r="BS117" s="131"/>
      <c r="BT117" s="131"/>
      <c r="BU117" s="131"/>
      <c r="BV117" s="131">
        <f t="shared" si="178"/>
        <v>0</v>
      </c>
      <c r="BW117" s="131"/>
      <c r="BX117" s="131"/>
      <c r="BY117" s="131"/>
      <c r="BZ117" s="131">
        <f t="shared" si="179"/>
        <v>0</v>
      </c>
      <c r="CA117" s="131"/>
      <c r="CB117" s="136">
        <f t="shared" si="132"/>
        <v>165.08663357180151</v>
      </c>
      <c r="CC117" s="131">
        <f t="shared" si="133"/>
        <v>0</v>
      </c>
      <c r="CD117" s="136">
        <f t="shared" si="134"/>
        <v>0</v>
      </c>
      <c r="CE117" s="131">
        <f t="shared" si="182"/>
        <v>0</v>
      </c>
      <c r="CF117" s="136">
        <f t="shared" si="135"/>
        <v>0</v>
      </c>
      <c r="CG117" s="136"/>
      <c r="CH117" s="136">
        <f t="shared" si="181"/>
        <v>0</v>
      </c>
      <c r="CI117" s="131">
        <f t="shared" si="136"/>
        <v>0</v>
      </c>
      <c r="CJ117" s="131"/>
      <c r="CK117" s="136">
        <f t="shared" si="137"/>
        <v>0</v>
      </c>
      <c r="CL117" s="136">
        <f t="shared" si="138"/>
        <v>0</v>
      </c>
      <c r="CM117" s="131">
        <f t="shared" si="139"/>
        <v>0</v>
      </c>
      <c r="CN117" s="136">
        <f t="shared" si="140"/>
        <v>0</v>
      </c>
      <c r="CO117" s="136">
        <f t="shared" si="141"/>
        <v>0</v>
      </c>
      <c r="CP117" s="136">
        <f t="shared" si="142"/>
        <v>0</v>
      </c>
      <c r="CQ117" s="136"/>
      <c r="CR117" s="136">
        <f t="shared" si="143"/>
        <v>0</v>
      </c>
      <c r="CS117" s="136"/>
      <c r="CT117" s="136"/>
      <c r="CU117" s="136"/>
      <c r="CV117" s="136"/>
      <c r="CW117" s="136"/>
      <c r="CX117" s="136"/>
      <c r="CY117" s="136"/>
      <c r="CZ117" s="136">
        <f t="shared" si="144"/>
        <v>0</v>
      </c>
      <c r="DA117" s="136">
        <f t="shared" si="145"/>
        <v>0</v>
      </c>
      <c r="DB117" s="136">
        <f t="shared" si="146"/>
        <v>0</v>
      </c>
      <c r="DC117" s="131">
        <f t="shared" si="105"/>
        <v>0</v>
      </c>
      <c r="DD117" s="131">
        <f t="shared" si="147"/>
        <v>0</v>
      </c>
      <c r="DE117" s="131">
        <f t="shared" si="148"/>
        <v>0</v>
      </c>
      <c r="DF117" s="131">
        <f t="shared" si="149"/>
        <v>0</v>
      </c>
      <c r="DG117" s="131">
        <f t="shared" si="150"/>
        <v>0</v>
      </c>
      <c r="DH117" s="131"/>
      <c r="DI117" s="131"/>
      <c r="DJ117" s="131"/>
      <c r="DK117" s="137">
        <f t="shared" si="180"/>
        <v>3791.5811116017489</v>
      </c>
      <c r="DL117" s="227" t="e">
        <f t="shared" si="151"/>
        <v>#REF!</v>
      </c>
      <c r="DM117" s="227" t="e">
        <f t="shared" si="152"/>
        <v>#REF!</v>
      </c>
      <c r="DN117" s="228" t="e">
        <f t="shared" si="106"/>
        <v>#REF!</v>
      </c>
      <c r="DO117" s="228">
        <f t="shared" si="153"/>
        <v>181.81087083894022</v>
      </c>
      <c r="DP117" s="228" t="e">
        <f t="shared" si="154"/>
        <v>#REF!</v>
      </c>
      <c r="DQ117" s="228" t="e">
        <f t="shared" si="155"/>
        <v>#REF!</v>
      </c>
    </row>
    <row r="118" spans="1:121">
      <c r="A118" s="132">
        <f t="shared" si="107"/>
        <v>108</v>
      </c>
      <c r="B118" s="18">
        <f t="shared" si="156"/>
        <v>108</v>
      </c>
      <c r="C118" s="18">
        <f>IF(A118=0," ",VLOOKUP(B118,'tosafot '!$A$7:$B$234,2,0))</f>
        <v>12.201599999999999</v>
      </c>
      <c r="D118" s="220">
        <f t="shared" si="157"/>
        <v>228</v>
      </c>
      <c r="E118" s="130">
        <f t="shared" si="158"/>
        <v>12.2026</v>
      </c>
      <c r="F118" s="126">
        <f t="shared" si="159"/>
        <v>9</v>
      </c>
      <c r="G118" s="18" t="str">
        <f t="shared" si="160"/>
        <v>הבריאות</v>
      </c>
      <c r="H118" s="189">
        <f t="shared" si="161"/>
        <v>107</v>
      </c>
      <c r="I118" s="18">
        <f t="shared" si="162"/>
        <v>1</v>
      </c>
      <c r="J118" s="18" t="str">
        <f t="shared" si="163"/>
        <v>מינהלי - עובדי מדינה</v>
      </c>
      <c r="K118" s="189">
        <f t="shared" si="164"/>
        <v>1</v>
      </c>
      <c r="L118" s="18">
        <f t="shared" si="165"/>
        <v>12</v>
      </c>
      <c r="M118" s="129" t="str">
        <f t="shared" si="166"/>
        <v>17+</v>
      </c>
      <c r="N118" s="189"/>
      <c r="O118" s="132">
        <f t="shared" si="167"/>
        <v>1012</v>
      </c>
      <c r="P118" s="127">
        <f t="shared" si="168"/>
        <v>37</v>
      </c>
      <c r="Q118" s="127">
        <f t="shared" si="169"/>
        <v>22.75</v>
      </c>
      <c r="R118" s="128">
        <f t="shared" si="170"/>
        <v>92</v>
      </c>
      <c r="S118" s="130">
        <f t="shared" si="171"/>
        <v>1.2540512286990533</v>
      </c>
      <c r="T118" s="135">
        <f t="shared" si="108"/>
        <v>0</v>
      </c>
      <c r="U118" s="127">
        <f t="shared" si="109"/>
        <v>0</v>
      </c>
      <c r="V118" s="217">
        <v>0</v>
      </c>
      <c r="W118" s="191">
        <v>0</v>
      </c>
      <c r="X118" s="133">
        <v>0</v>
      </c>
      <c r="Y118" s="131">
        <f t="shared" si="110"/>
        <v>2438.5</v>
      </c>
      <c r="Z118" s="131">
        <f t="shared" si="111"/>
        <v>619.50392118264142</v>
      </c>
      <c r="AA118" s="242">
        <f t="shared" si="112"/>
        <v>3058.0039211826415</v>
      </c>
      <c r="AB118" s="131">
        <f t="shared" si="113"/>
        <v>0</v>
      </c>
      <c r="AC118" s="131">
        <f t="shared" si="114"/>
        <v>139.48055684730568</v>
      </c>
      <c r="AD118" s="131">
        <f t="shared" si="115"/>
        <v>0</v>
      </c>
      <c r="AE118" s="131">
        <f t="shared" si="116"/>
        <v>0</v>
      </c>
      <c r="AF118" s="131">
        <f t="shared" si="117"/>
        <v>75.260000000000005</v>
      </c>
      <c r="AG118" s="131">
        <f t="shared" si="118"/>
        <v>0</v>
      </c>
      <c r="AH118" s="131">
        <f t="shared" si="119"/>
        <v>0</v>
      </c>
      <c r="AI118" s="131">
        <f t="shared" si="120"/>
        <v>0</v>
      </c>
      <c r="AJ118" s="131">
        <f t="shared" si="121"/>
        <v>0</v>
      </c>
      <c r="AK118" s="131"/>
      <c r="AL118" s="131">
        <f t="shared" si="122"/>
        <v>0</v>
      </c>
      <c r="AM118" s="131"/>
      <c r="AN118" s="243">
        <f t="shared" si="123"/>
        <v>0</v>
      </c>
      <c r="AO118" s="131">
        <f t="shared" si="124"/>
        <v>0</v>
      </c>
      <c r="AP118" s="131">
        <f t="shared" si="125"/>
        <v>0</v>
      </c>
      <c r="AQ118" s="131"/>
      <c r="AR118" s="131">
        <f t="shared" si="126"/>
        <v>0</v>
      </c>
      <c r="AS118" s="131">
        <f t="shared" si="172"/>
        <v>0</v>
      </c>
      <c r="AT118" s="131">
        <f t="shared" si="127"/>
        <v>0</v>
      </c>
      <c r="AU118" s="131">
        <f t="shared" si="128"/>
        <v>0</v>
      </c>
      <c r="AV118" s="131"/>
      <c r="AW118" s="131">
        <f t="shared" si="129"/>
        <v>353.75</v>
      </c>
      <c r="AX118" s="131">
        <f t="shared" si="183"/>
        <v>0</v>
      </c>
      <c r="AY118" s="131">
        <f t="shared" si="130"/>
        <v>0</v>
      </c>
      <c r="AZ118" s="131"/>
      <c r="BA118" s="131">
        <f t="shared" si="184"/>
        <v>0</v>
      </c>
      <c r="BB118" s="131"/>
      <c r="BC118" s="131"/>
      <c r="BD118" s="131">
        <f t="shared" si="131"/>
        <v>0</v>
      </c>
      <c r="BE118" s="131"/>
      <c r="BF118" s="131">
        <f t="shared" si="173"/>
        <v>0</v>
      </c>
      <c r="BG118" s="131">
        <f t="shared" si="174"/>
        <v>0</v>
      </c>
      <c r="BH118" s="131"/>
      <c r="BI118" s="131"/>
      <c r="BJ118" s="131"/>
      <c r="BK118" s="131">
        <f t="shared" si="175"/>
        <v>0</v>
      </c>
      <c r="BL118" s="131"/>
      <c r="BM118" s="131"/>
      <c r="BN118" s="131">
        <f t="shared" si="176"/>
        <v>0</v>
      </c>
      <c r="BO118" s="131"/>
      <c r="BP118" s="131">
        <f t="shared" si="177"/>
        <v>0</v>
      </c>
      <c r="BQ118" s="131"/>
      <c r="BR118" s="131"/>
      <c r="BS118" s="131"/>
      <c r="BT118" s="131"/>
      <c r="BU118" s="131"/>
      <c r="BV118" s="131">
        <f t="shared" si="178"/>
        <v>0</v>
      </c>
      <c r="BW118" s="131"/>
      <c r="BX118" s="131"/>
      <c r="BY118" s="131"/>
      <c r="BZ118" s="131">
        <f t="shared" si="179"/>
        <v>0</v>
      </c>
      <c r="CA118" s="131"/>
      <c r="CB118" s="136">
        <f t="shared" si="132"/>
        <v>165.08663357180151</v>
      </c>
      <c r="CC118" s="131">
        <f t="shared" si="133"/>
        <v>0</v>
      </c>
      <c r="CD118" s="136">
        <f t="shared" si="134"/>
        <v>0</v>
      </c>
      <c r="CE118" s="131">
        <f t="shared" si="182"/>
        <v>0</v>
      </c>
      <c r="CF118" s="136">
        <f t="shared" si="135"/>
        <v>0</v>
      </c>
      <c r="CG118" s="136"/>
      <c r="CH118" s="136">
        <f t="shared" si="181"/>
        <v>0</v>
      </c>
      <c r="CI118" s="131">
        <f t="shared" si="136"/>
        <v>0</v>
      </c>
      <c r="CJ118" s="131"/>
      <c r="CK118" s="136">
        <f t="shared" si="137"/>
        <v>0</v>
      </c>
      <c r="CL118" s="136">
        <f t="shared" si="138"/>
        <v>0</v>
      </c>
      <c r="CM118" s="131">
        <f t="shared" si="139"/>
        <v>0</v>
      </c>
      <c r="CN118" s="136">
        <f t="shared" si="140"/>
        <v>0</v>
      </c>
      <c r="CO118" s="136">
        <f t="shared" si="141"/>
        <v>0</v>
      </c>
      <c r="CP118" s="136">
        <f t="shared" si="142"/>
        <v>0</v>
      </c>
      <c r="CQ118" s="136"/>
      <c r="CR118" s="136">
        <f t="shared" si="143"/>
        <v>0</v>
      </c>
      <c r="CS118" s="136"/>
      <c r="CT118" s="136"/>
      <c r="CU118" s="136"/>
      <c r="CV118" s="136"/>
      <c r="CW118" s="136"/>
      <c r="CX118" s="136"/>
      <c r="CY118" s="136"/>
      <c r="CZ118" s="136">
        <f t="shared" si="144"/>
        <v>0</v>
      </c>
      <c r="DA118" s="136">
        <f t="shared" si="145"/>
        <v>0</v>
      </c>
      <c r="DB118" s="136">
        <f t="shared" si="146"/>
        <v>0</v>
      </c>
      <c r="DC118" s="131">
        <f t="shared" si="105"/>
        <v>0</v>
      </c>
      <c r="DD118" s="131">
        <f t="shared" si="147"/>
        <v>0</v>
      </c>
      <c r="DE118" s="131">
        <f t="shared" si="148"/>
        <v>0</v>
      </c>
      <c r="DF118" s="131">
        <f t="shared" si="149"/>
        <v>0</v>
      </c>
      <c r="DG118" s="131">
        <f t="shared" si="150"/>
        <v>0</v>
      </c>
      <c r="DH118" s="131"/>
      <c r="DI118" s="131"/>
      <c r="DJ118" s="131"/>
      <c r="DK118" s="137">
        <f t="shared" si="180"/>
        <v>3791.5811116017489</v>
      </c>
      <c r="DL118" s="227" t="e">
        <f t="shared" si="151"/>
        <v>#REF!</v>
      </c>
      <c r="DM118" s="227" t="e">
        <f t="shared" si="152"/>
        <v>#REF!</v>
      </c>
      <c r="DN118" s="228" t="e">
        <f t="shared" si="106"/>
        <v>#REF!</v>
      </c>
      <c r="DO118" s="228">
        <f t="shared" si="153"/>
        <v>181.81087083894022</v>
      </c>
      <c r="DP118" s="228" t="e">
        <f t="shared" si="154"/>
        <v>#REF!</v>
      </c>
      <c r="DQ118" s="228" t="e">
        <f t="shared" si="155"/>
        <v>#REF!</v>
      </c>
    </row>
    <row r="119" spans="1:121">
      <c r="A119" s="132">
        <f t="shared" si="107"/>
        <v>109</v>
      </c>
      <c r="B119" s="18">
        <f t="shared" si="156"/>
        <v>109</v>
      </c>
      <c r="C119" s="18">
        <f>IF(A119=0," ",VLOOKUP(B119,'tosafot '!$A$7:$B$234,2,0))</f>
        <v>1.2017</v>
      </c>
      <c r="D119" s="220">
        <f t="shared" si="157"/>
        <v>228</v>
      </c>
      <c r="E119" s="130">
        <f t="shared" si="158"/>
        <v>12.2026</v>
      </c>
      <c r="F119" s="126">
        <f t="shared" si="159"/>
        <v>9</v>
      </c>
      <c r="G119" s="18" t="str">
        <f t="shared" si="160"/>
        <v>הבריאות</v>
      </c>
      <c r="H119" s="189">
        <f t="shared" si="161"/>
        <v>107</v>
      </c>
      <c r="I119" s="18">
        <f t="shared" si="162"/>
        <v>1</v>
      </c>
      <c r="J119" s="18" t="str">
        <f t="shared" si="163"/>
        <v>מינהלי - עובדי מדינה</v>
      </c>
      <c r="K119" s="189">
        <f t="shared" si="164"/>
        <v>1</v>
      </c>
      <c r="L119" s="18">
        <f t="shared" si="165"/>
        <v>12</v>
      </c>
      <c r="M119" s="129" t="str">
        <f t="shared" si="166"/>
        <v>17+</v>
      </c>
      <c r="N119" s="189"/>
      <c r="O119" s="132">
        <f t="shared" si="167"/>
        <v>1012</v>
      </c>
      <c r="P119" s="127">
        <f t="shared" si="168"/>
        <v>37</v>
      </c>
      <c r="Q119" s="127">
        <f t="shared" si="169"/>
        <v>22.75</v>
      </c>
      <c r="R119" s="128">
        <f t="shared" si="170"/>
        <v>92</v>
      </c>
      <c r="S119" s="130">
        <f t="shared" si="171"/>
        <v>1.2540512286990533</v>
      </c>
      <c r="T119" s="135">
        <f t="shared" si="108"/>
        <v>0</v>
      </c>
      <c r="U119" s="127">
        <f t="shared" si="109"/>
        <v>0</v>
      </c>
      <c r="V119" s="217">
        <v>0</v>
      </c>
      <c r="W119" s="191">
        <v>0</v>
      </c>
      <c r="X119" s="133">
        <v>0</v>
      </c>
      <c r="Y119" s="131">
        <f t="shared" si="110"/>
        <v>2438.5</v>
      </c>
      <c r="Z119" s="131">
        <f t="shared" si="111"/>
        <v>619.50392118264142</v>
      </c>
      <c r="AA119" s="242">
        <f t="shared" si="112"/>
        <v>3058.0039211826415</v>
      </c>
      <c r="AB119" s="131">
        <f t="shared" si="113"/>
        <v>0</v>
      </c>
      <c r="AC119" s="131">
        <f t="shared" si="114"/>
        <v>139.48055684730568</v>
      </c>
      <c r="AD119" s="131">
        <f t="shared" si="115"/>
        <v>0</v>
      </c>
      <c r="AE119" s="131">
        <f t="shared" si="116"/>
        <v>0</v>
      </c>
      <c r="AF119" s="131">
        <f t="shared" si="117"/>
        <v>75.260000000000005</v>
      </c>
      <c r="AG119" s="131">
        <f t="shared" si="118"/>
        <v>0</v>
      </c>
      <c r="AH119" s="131">
        <f t="shared" si="119"/>
        <v>0</v>
      </c>
      <c r="AI119" s="131">
        <f t="shared" si="120"/>
        <v>0</v>
      </c>
      <c r="AJ119" s="131">
        <f t="shared" si="121"/>
        <v>0</v>
      </c>
      <c r="AK119" s="131"/>
      <c r="AL119" s="131">
        <f t="shared" si="122"/>
        <v>0</v>
      </c>
      <c r="AM119" s="131"/>
      <c r="AN119" s="243">
        <f t="shared" si="123"/>
        <v>0</v>
      </c>
      <c r="AO119" s="131">
        <f t="shared" si="124"/>
        <v>0</v>
      </c>
      <c r="AP119" s="131">
        <f t="shared" si="125"/>
        <v>0</v>
      </c>
      <c r="AQ119" s="131"/>
      <c r="AR119" s="131">
        <f t="shared" si="126"/>
        <v>0</v>
      </c>
      <c r="AS119" s="131">
        <f t="shared" si="172"/>
        <v>0</v>
      </c>
      <c r="AT119" s="131">
        <f t="shared" si="127"/>
        <v>0</v>
      </c>
      <c r="AU119" s="131">
        <f t="shared" si="128"/>
        <v>0</v>
      </c>
      <c r="AV119" s="131"/>
      <c r="AW119" s="131">
        <f t="shared" si="129"/>
        <v>353.75</v>
      </c>
      <c r="AX119" s="131">
        <f t="shared" si="183"/>
        <v>0</v>
      </c>
      <c r="AY119" s="131">
        <f t="shared" si="130"/>
        <v>0</v>
      </c>
      <c r="AZ119" s="131"/>
      <c r="BA119" s="131">
        <f t="shared" si="184"/>
        <v>0</v>
      </c>
      <c r="BB119" s="131"/>
      <c r="BC119" s="131"/>
      <c r="BD119" s="131">
        <f t="shared" si="131"/>
        <v>0</v>
      </c>
      <c r="BE119" s="131"/>
      <c r="BF119" s="131">
        <f t="shared" si="173"/>
        <v>0</v>
      </c>
      <c r="BG119" s="131">
        <f t="shared" si="174"/>
        <v>0</v>
      </c>
      <c r="BH119" s="131"/>
      <c r="BI119" s="131"/>
      <c r="BJ119" s="131"/>
      <c r="BK119" s="131">
        <f t="shared" si="175"/>
        <v>0</v>
      </c>
      <c r="BL119" s="131"/>
      <c r="BM119" s="131"/>
      <c r="BN119" s="131">
        <f t="shared" si="176"/>
        <v>0</v>
      </c>
      <c r="BO119" s="131"/>
      <c r="BP119" s="131">
        <f t="shared" si="177"/>
        <v>0</v>
      </c>
      <c r="BQ119" s="131"/>
      <c r="BR119" s="131"/>
      <c r="BS119" s="131"/>
      <c r="BT119" s="131"/>
      <c r="BU119" s="131"/>
      <c r="BV119" s="131">
        <f t="shared" si="178"/>
        <v>0</v>
      </c>
      <c r="BW119" s="131"/>
      <c r="BX119" s="131"/>
      <c r="BY119" s="131"/>
      <c r="BZ119" s="131">
        <f t="shared" si="179"/>
        <v>0</v>
      </c>
      <c r="CA119" s="131"/>
      <c r="CB119" s="136">
        <f t="shared" si="132"/>
        <v>165.08663357180151</v>
      </c>
      <c r="CC119" s="131">
        <f t="shared" si="133"/>
        <v>0</v>
      </c>
      <c r="CD119" s="136">
        <f t="shared" si="134"/>
        <v>0</v>
      </c>
      <c r="CE119" s="131">
        <f t="shared" si="182"/>
        <v>0</v>
      </c>
      <c r="CF119" s="136">
        <f t="shared" si="135"/>
        <v>0</v>
      </c>
      <c r="CG119" s="136"/>
      <c r="CH119" s="136">
        <f t="shared" si="181"/>
        <v>0</v>
      </c>
      <c r="CI119" s="131">
        <f t="shared" si="136"/>
        <v>0</v>
      </c>
      <c r="CJ119" s="131"/>
      <c r="CK119" s="136">
        <f t="shared" si="137"/>
        <v>0</v>
      </c>
      <c r="CL119" s="136">
        <f t="shared" si="138"/>
        <v>0</v>
      </c>
      <c r="CM119" s="131">
        <f t="shared" si="139"/>
        <v>0</v>
      </c>
      <c r="CN119" s="136">
        <f t="shared" si="140"/>
        <v>0</v>
      </c>
      <c r="CO119" s="136">
        <f t="shared" si="141"/>
        <v>0</v>
      </c>
      <c r="CP119" s="136">
        <f t="shared" si="142"/>
        <v>0</v>
      </c>
      <c r="CQ119" s="136"/>
      <c r="CR119" s="136">
        <f t="shared" si="143"/>
        <v>0</v>
      </c>
      <c r="CS119" s="136"/>
      <c r="CT119" s="136"/>
      <c r="CU119" s="136"/>
      <c r="CV119" s="136"/>
      <c r="CW119" s="136"/>
      <c r="CX119" s="136"/>
      <c r="CY119" s="136"/>
      <c r="CZ119" s="136">
        <f t="shared" si="144"/>
        <v>0</v>
      </c>
      <c r="DA119" s="136">
        <f t="shared" si="145"/>
        <v>0</v>
      </c>
      <c r="DB119" s="136">
        <f t="shared" si="146"/>
        <v>0</v>
      </c>
      <c r="DC119" s="131">
        <f t="shared" si="105"/>
        <v>0</v>
      </c>
      <c r="DD119" s="131">
        <f t="shared" si="147"/>
        <v>0</v>
      </c>
      <c r="DE119" s="131">
        <f t="shared" si="148"/>
        <v>0</v>
      </c>
      <c r="DF119" s="131">
        <f t="shared" si="149"/>
        <v>0</v>
      </c>
      <c r="DG119" s="131">
        <f t="shared" si="150"/>
        <v>0</v>
      </c>
      <c r="DH119" s="131"/>
      <c r="DI119" s="131"/>
      <c r="DJ119" s="131"/>
      <c r="DK119" s="137">
        <f t="shared" si="180"/>
        <v>3791.5811116017489</v>
      </c>
      <c r="DL119" s="227" t="e">
        <f t="shared" si="151"/>
        <v>#REF!</v>
      </c>
      <c r="DM119" s="227" t="e">
        <f t="shared" si="152"/>
        <v>#REF!</v>
      </c>
      <c r="DN119" s="228" t="e">
        <f t="shared" si="106"/>
        <v>#REF!</v>
      </c>
      <c r="DO119" s="228">
        <f t="shared" si="153"/>
        <v>181.81087083894022</v>
      </c>
      <c r="DP119" s="228" t="e">
        <f t="shared" si="154"/>
        <v>#REF!</v>
      </c>
      <c r="DQ119" s="228" t="e">
        <f t="shared" si="155"/>
        <v>#REF!</v>
      </c>
    </row>
    <row r="120" spans="1:121">
      <c r="A120" s="132">
        <f t="shared" si="107"/>
        <v>110</v>
      </c>
      <c r="B120" s="18">
        <f t="shared" si="156"/>
        <v>110</v>
      </c>
      <c r="C120" s="18">
        <f>IF(A120=0," ",VLOOKUP(B120,'tosafot '!$A$7:$B$234,2,0))</f>
        <v>2.2017000000000002</v>
      </c>
      <c r="D120" s="220">
        <f t="shared" si="157"/>
        <v>228</v>
      </c>
      <c r="E120" s="130">
        <f t="shared" si="158"/>
        <v>12.2026</v>
      </c>
      <c r="F120" s="126">
        <f t="shared" si="159"/>
        <v>9</v>
      </c>
      <c r="G120" s="18" t="str">
        <f t="shared" si="160"/>
        <v>הבריאות</v>
      </c>
      <c r="H120" s="189">
        <f t="shared" si="161"/>
        <v>107</v>
      </c>
      <c r="I120" s="18">
        <f t="shared" si="162"/>
        <v>1</v>
      </c>
      <c r="J120" s="18" t="str">
        <f t="shared" si="163"/>
        <v>מינהלי - עובדי מדינה</v>
      </c>
      <c r="K120" s="189">
        <f t="shared" si="164"/>
        <v>1</v>
      </c>
      <c r="L120" s="18">
        <f t="shared" si="165"/>
        <v>12</v>
      </c>
      <c r="M120" s="129" t="str">
        <f t="shared" si="166"/>
        <v>17+</v>
      </c>
      <c r="N120" s="189"/>
      <c r="O120" s="132">
        <f t="shared" si="167"/>
        <v>1012</v>
      </c>
      <c r="P120" s="127">
        <f t="shared" si="168"/>
        <v>37</v>
      </c>
      <c r="Q120" s="127">
        <f t="shared" si="169"/>
        <v>22.75</v>
      </c>
      <c r="R120" s="128">
        <f t="shared" si="170"/>
        <v>92</v>
      </c>
      <c r="S120" s="130">
        <f t="shared" si="171"/>
        <v>1.2540512286990533</v>
      </c>
      <c r="T120" s="135">
        <f t="shared" si="108"/>
        <v>0</v>
      </c>
      <c r="U120" s="127">
        <f t="shared" si="109"/>
        <v>0</v>
      </c>
      <c r="V120" s="217">
        <v>0</v>
      </c>
      <c r="W120" s="191">
        <v>0</v>
      </c>
      <c r="X120" s="133">
        <v>0</v>
      </c>
      <c r="Y120" s="131">
        <f t="shared" si="110"/>
        <v>2438.5</v>
      </c>
      <c r="Z120" s="131">
        <f t="shared" si="111"/>
        <v>619.50392118264142</v>
      </c>
      <c r="AA120" s="242">
        <f t="shared" si="112"/>
        <v>3058.0039211826415</v>
      </c>
      <c r="AB120" s="131">
        <f t="shared" si="113"/>
        <v>0</v>
      </c>
      <c r="AC120" s="131">
        <f t="shared" si="114"/>
        <v>139.48055684730568</v>
      </c>
      <c r="AD120" s="131">
        <f t="shared" si="115"/>
        <v>0</v>
      </c>
      <c r="AE120" s="131">
        <f t="shared" si="116"/>
        <v>0</v>
      </c>
      <c r="AF120" s="131">
        <f t="shared" si="117"/>
        <v>75.260000000000005</v>
      </c>
      <c r="AG120" s="131">
        <f t="shared" si="118"/>
        <v>0</v>
      </c>
      <c r="AH120" s="131">
        <f t="shared" si="119"/>
        <v>0</v>
      </c>
      <c r="AI120" s="131">
        <f t="shared" si="120"/>
        <v>0</v>
      </c>
      <c r="AJ120" s="131">
        <f t="shared" si="121"/>
        <v>0</v>
      </c>
      <c r="AK120" s="131"/>
      <c r="AL120" s="131">
        <f t="shared" si="122"/>
        <v>0</v>
      </c>
      <c r="AM120" s="131"/>
      <c r="AN120" s="243">
        <f t="shared" si="123"/>
        <v>0</v>
      </c>
      <c r="AO120" s="131">
        <f t="shared" si="124"/>
        <v>0</v>
      </c>
      <c r="AP120" s="131">
        <f t="shared" si="125"/>
        <v>0</v>
      </c>
      <c r="AQ120" s="131"/>
      <c r="AR120" s="131">
        <f t="shared" si="126"/>
        <v>0</v>
      </c>
      <c r="AS120" s="131">
        <f t="shared" si="172"/>
        <v>0</v>
      </c>
      <c r="AT120" s="131">
        <f t="shared" si="127"/>
        <v>0</v>
      </c>
      <c r="AU120" s="131">
        <f t="shared" si="128"/>
        <v>0</v>
      </c>
      <c r="AV120" s="131"/>
      <c r="AW120" s="131">
        <f t="shared" si="129"/>
        <v>353.75</v>
      </c>
      <c r="AX120" s="131">
        <f t="shared" si="183"/>
        <v>0</v>
      </c>
      <c r="AY120" s="131">
        <f t="shared" si="130"/>
        <v>0</v>
      </c>
      <c r="AZ120" s="131"/>
      <c r="BA120" s="131">
        <f t="shared" si="184"/>
        <v>0</v>
      </c>
      <c r="BB120" s="131"/>
      <c r="BC120" s="131"/>
      <c r="BD120" s="131">
        <f t="shared" si="131"/>
        <v>0</v>
      </c>
      <c r="BE120" s="131"/>
      <c r="BF120" s="131">
        <f t="shared" si="173"/>
        <v>0</v>
      </c>
      <c r="BG120" s="131">
        <f t="shared" si="174"/>
        <v>0</v>
      </c>
      <c r="BH120" s="131"/>
      <c r="BI120" s="131"/>
      <c r="BJ120" s="131"/>
      <c r="BK120" s="131">
        <f t="shared" si="175"/>
        <v>0</v>
      </c>
      <c r="BL120" s="131"/>
      <c r="BM120" s="131"/>
      <c r="BN120" s="131">
        <f t="shared" si="176"/>
        <v>0</v>
      </c>
      <c r="BO120" s="131"/>
      <c r="BP120" s="131">
        <f t="shared" si="177"/>
        <v>0</v>
      </c>
      <c r="BQ120" s="131"/>
      <c r="BR120" s="131"/>
      <c r="BS120" s="131"/>
      <c r="BT120" s="131"/>
      <c r="BU120" s="131"/>
      <c r="BV120" s="131">
        <f t="shared" si="178"/>
        <v>0</v>
      </c>
      <c r="BW120" s="131"/>
      <c r="BX120" s="131"/>
      <c r="BY120" s="131"/>
      <c r="BZ120" s="131">
        <f t="shared" si="179"/>
        <v>0</v>
      </c>
      <c r="CA120" s="131"/>
      <c r="CB120" s="136">
        <f t="shared" si="132"/>
        <v>165.08663357180151</v>
      </c>
      <c r="CC120" s="131">
        <f t="shared" si="133"/>
        <v>0</v>
      </c>
      <c r="CD120" s="136">
        <f t="shared" si="134"/>
        <v>0</v>
      </c>
      <c r="CE120" s="131">
        <f t="shared" si="182"/>
        <v>0</v>
      </c>
      <c r="CF120" s="136">
        <f t="shared" si="135"/>
        <v>0</v>
      </c>
      <c r="CG120" s="136"/>
      <c r="CH120" s="136">
        <f t="shared" si="181"/>
        <v>0</v>
      </c>
      <c r="CI120" s="131">
        <f t="shared" si="136"/>
        <v>0</v>
      </c>
      <c r="CJ120" s="131"/>
      <c r="CK120" s="136">
        <f t="shared" si="137"/>
        <v>0</v>
      </c>
      <c r="CL120" s="136">
        <f t="shared" si="138"/>
        <v>0</v>
      </c>
      <c r="CM120" s="131">
        <f t="shared" si="139"/>
        <v>0</v>
      </c>
      <c r="CN120" s="136">
        <f t="shared" si="140"/>
        <v>0</v>
      </c>
      <c r="CO120" s="136">
        <f t="shared" si="141"/>
        <v>0</v>
      </c>
      <c r="CP120" s="136">
        <f t="shared" si="142"/>
        <v>0</v>
      </c>
      <c r="CQ120" s="136"/>
      <c r="CR120" s="136">
        <f t="shared" si="143"/>
        <v>0</v>
      </c>
      <c r="CS120" s="136"/>
      <c r="CT120" s="136"/>
      <c r="CU120" s="136"/>
      <c r="CV120" s="136"/>
      <c r="CW120" s="136"/>
      <c r="CX120" s="136"/>
      <c r="CY120" s="136"/>
      <c r="CZ120" s="136">
        <f t="shared" si="144"/>
        <v>0</v>
      </c>
      <c r="DA120" s="136">
        <f t="shared" si="145"/>
        <v>0</v>
      </c>
      <c r="DB120" s="136">
        <f t="shared" si="146"/>
        <v>0</v>
      </c>
      <c r="DC120" s="131">
        <f t="shared" si="105"/>
        <v>0</v>
      </c>
      <c r="DD120" s="131">
        <f t="shared" si="147"/>
        <v>0</v>
      </c>
      <c r="DE120" s="131">
        <f t="shared" si="148"/>
        <v>0</v>
      </c>
      <c r="DF120" s="131">
        <f t="shared" si="149"/>
        <v>0</v>
      </c>
      <c r="DG120" s="131">
        <f t="shared" si="150"/>
        <v>0</v>
      </c>
      <c r="DH120" s="131"/>
      <c r="DI120" s="131"/>
      <c r="DJ120" s="131"/>
      <c r="DK120" s="137">
        <f t="shared" si="180"/>
        <v>3791.5811116017489</v>
      </c>
      <c r="DL120" s="227" t="e">
        <f t="shared" si="151"/>
        <v>#REF!</v>
      </c>
      <c r="DM120" s="227" t="e">
        <f t="shared" si="152"/>
        <v>#REF!</v>
      </c>
      <c r="DN120" s="228" t="e">
        <f t="shared" si="106"/>
        <v>#REF!</v>
      </c>
      <c r="DO120" s="228">
        <f t="shared" si="153"/>
        <v>181.81087083894022</v>
      </c>
      <c r="DP120" s="228" t="e">
        <f t="shared" si="154"/>
        <v>#REF!</v>
      </c>
      <c r="DQ120" s="228" t="e">
        <f t="shared" si="155"/>
        <v>#REF!</v>
      </c>
    </row>
    <row r="121" spans="1:121">
      <c r="A121" s="132">
        <f t="shared" si="107"/>
        <v>111</v>
      </c>
      <c r="B121" s="18">
        <f t="shared" si="156"/>
        <v>111</v>
      </c>
      <c r="C121" s="18">
        <f>IF(A121=0," ",VLOOKUP(B121,'tosafot '!$A$7:$B$234,2,0))</f>
        <v>3.2017000000000002</v>
      </c>
      <c r="D121" s="220">
        <f t="shared" si="157"/>
        <v>228</v>
      </c>
      <c r="E121" s="130">
        <f t="shared" si="158"/>
        <v>12.2026</v>
      </c>
      <c r="F121" s="126">
        <f t="shared" si="159"/>
        <v>9</v>
      </c>
      <c r="G121" s="18" t="str">
        <f t="shared" si="160"/>
        <v>הבריאות</v>
      </c>
      <c r="H121" s="189">
        <f t="shared" si="161"/>
        <v>107</v>
      </c>
      <c r="I121" s="18">
        <f t="shared" si="162"/>
        <v>1</v>
      </c>
      <c r="J121" s="18" t="str">
        <f t="shared" si="163"/>
        <v>מינהלי - עובדי מדינה</v>
      </c>
      <c r="K121" s="189">
        <f t="shared" si="164"/>
        <v>1</v>
      </c>
      <c r="L121" s="18">
        <f t="shared" si="165"/>
        <v>12</v>
      </c>
      <c r="M121" s="129" t="str">
        <f t="shared" si="166"/>
        <v>17+</v>
      </c>
      <c r="N121" s="189"/>
      <c r="O121" s="132">
        <f t="shared" si="167"/>
        <v>1012</v>
      </c>
      <c r="P121" s="127">
        <f t="shared" si="168"/>
        <v>37</v>
      </c>
      <c r="Q121" s="127">
        <f t="shared" si="169"/>
        <v>22.75</v>
      </c>
      <c r="R121" s="128">
        <f t="shared" si="170"/>
        <v>92</v>
      </c>
      <c r="S121" s="130">
        <f t="shared" si="171"/>
        <v>1.2540512286990533</v>
      </c>
      <c r="T121" s="135">
        <f t="shared" si="108"/>
        <v>0</v>
      </c>
      <c r="U121" s="127">
        <f t="shared" si="109"/>
        <v>0</v>
      </c>
      <c r="V121" s="217">
        <v>0</v>
      </c>
      <c r="W121" s="191">
        <v>0</v>
      </c>
      <c r="X121" s="133">
        <v>0</v>
      </c>
      <c r="Y121" s="131">
        <f t="shared" si="110"/>
        <v>2438.5</v>
      </c>
      <c r="Z121" s="131">
        <f t="shared" si="111"/>
        <v>619.50392118264142</v>
      </c>
      <c r="AA121" s="242">
        <f t="shared" si="112"/>
        <v>3058.0039211826415</v>
      </c>
      <c r="AB121" s="131">
        <f t="shared" si="113"/>
        <v>0</v>
      </c>
      <c r="AC121" s="131">
        <f t="shared" si="114"/>
        <v>139.48055684730568</v>
      </c>
      <c r="AD121" s="131">
        <f t="shared" si="115"/>
        <v>0</v>
      </c>
      <c r="AE121" s="131">
        <f t="shared" si="116"/>
        <v>0</v>
      </c>
      <c r="AF121" s="131">
        <f t="shared" si="117"/>
        <v>75.260000000000005</v>
      </c>
      <c r="AG121" s="131">
        <f t="shared" si="118"/>
        <v>0</v>
      </c>
      <c r="AH121" s="131">
        <f t="shared" si="119"/>
        <v>0</v>
      </c>
      <c r="AI121" s="131">
        <f t="shared" si="120"/>
        <v>0</v>
      </c>
      <c r="AJ121" s="131">
        <f t="shared" si="121"/>
        <v>0</v>
      </c>
      <c r="AK121" s="131"/>
      <c r="AL121" s="131">
        <f t="shared" si="122"/>
        <v>0</v>
      </c>
      <c r="AM121" s="131"/>
      <c r="AN121" s="243">
        <f t="shared" si="123"/>
        <v>0</v>
      </c>
      <c r="AO121" s="131">
        <f t="shared" si="124"/>
        <v>0</v>
      </c>
      <c r="AP121" s="131">
        <f t="shared" si="125"/>
        <v>0</v>
      </c>
      <c r="AQ121" s="131"/>
      <c r="AR121" s="131">
        <f t="shared" si="126"/>
        <v>0</v>
      </c>
      <c r="AS121" s="131">
        <f t="shared" si="172"/>
        <v>0</v>
      </c>
      <c r="AT121" s="131">
        <f t="shared" si="127"/>
        <v>0</v>
      </c>
      <c r="AU121" s="131">
        <f t="shared" si="128"/>
        <v>0</v>
      </c>
      <c r="AV121" s="131"/>
      <c r="AW121" s="131">
        <f t="shared" si="129"/>
        <v>353.75</v>
      </c>
      <c r="AX121" s="131">
        <f t="shared" si="183"/>
        <v>0</v>
      </c>
      <c r="AY121" s="131">
        <f t="shared" si="130"/>
        <v>0</v>
      </c>
      <c r="AZ121" s="131"/>
      <c r="BA121" s="131">
        <f t="shared" si="184"/>
        <v>0</v>
      </c>
      <c r="BB121" s="131"/>
      <c r="BC121" s="131"/>
      <c r="BD121" s="131">
        <f t="shared" si="131"/>
        <v>0</v>
      </c>
      <c r="BE121" s="131"/>
      <c r="BF121" s="131">
        <f t="shared" si="173"/>
        <v>0</v>
      </c>
      <c r="BG121" s="131">
        <f t="shared" si="174"/>
        <v>0</v>
      </c>
      <c r="BH121" s="131"/>
      <c r="BI121" s="131"/>
      <c r="BJ121" s="131"/>
      <c r="BK121" s="131">
        <f t="shared" si="175"/>
        <v>0</v>
      </c>
      <c r="BL121" s="131"/>
      <c r="BM121" s="131"/>
      <c r="BN121" s="131">
        <f t="shared" si="176"/>
        <v>0</v>
      </c>
      <c r="BO121" s="131"/>
      <c r="BP121" s="131">
        <f t="shared" si="177"/>
        <v>0</v>
      </c>
      <c r="BQ121" s="131"/>
      <c r="BR121" s="131"/>
      <c r="BS121" s="131"/>
      <c r="BT121" s="131"/>
      <c r="BU121" s="131"/>
      <c r="BV121" s="131">
        <f t="shared" si="178"/>
        <v>0</v>
      </c>
      <c r="BW121" s="131"/>
      <c r="BX121" s="131"/>
      <c r="BY121" s="131"/>
      <c r="BZ121" s="131">
        <f t="shared" si="179"/>
        <v>0</v>
      </c>
      <c r="CA121" s="131"/>
      <c r="CB121" s="136">
        <f t="shared" si="132"/>
        <v>165.08663357180151</v>
      </c>
      <c r="CC121" s="131">
        <f t="shared" si="133"/>
        <v>0</v>
      </c>
      <c r="CD121" s="136">
        <f t="shared" si="134"/>
        <v>0</v>
      </c>
      <c r="CE121" s="131">
        <f t="shared" si="182"/>
        <v>0</v>
      </c>
      <c r="CF121" s="136">
        <f t="shared" si="135"/>
        <v>0</v>
      </c>
      <c r="CG121" s="136"/>
      <c r="CH121" s="136">
        <f t="shared" si="181"/>
        <v>0</v>
      </c>
      <c r="CI121" s="131">
        <f t="shared" si="136"/>
        <v>0</v>
      </c>
      <c r="CJ121" s="131"/>
      <c r="CK121" s="136">
        <f t="shared" si="137"/>
        <v>0</v>
      </c>
      <c r="CL121" s="136">
        <f t="shared" si="138"/>
        <v>0</v>
      </c>
      <c r="CM121" s="131">
        <f t="shared" si="139"/>
        <v>0</v>
      </c>
      <c r="CN121" s="136">
        <f t="shared" si="140"/>
        <v>0</v>
      </c>
      <c r="CO121" s="136">
        <f t="shared" si="141"/>
        <v>0</v>
      </c>
      <c r="CP121" s="136">
        <f t="shared" si="142"/>
        <v>0</v>
      </c>
      <c r="CQ121" s="136"/>
      <c r="CR121" s="136">
        <f t="shared" si="143"/>
        <v>0</v>
      </c>
      <c r="CS121" s="136"/>
      <c r="CT121" s="136"/>
      <c r="CU121" s="136"/>
      <c r="CV121" s="136"/>
      <c r="CW121" s="136"/>
      <c r="CX121" s="136"/>
      <c r="CY121" s="136"/>
      <c r="CZ121" s="136">
        <f t="shared" si="144"/>
        <v>0</v>
      </c>
      <c r="DA121" s="136">
        <f t="shared" si="145"/>
        <v>0</v>
      </c>
      <c r="DB121" s="136">
        <f t="shared" si="146"/>
        <v>0</v>
      </c>
      <c r="DC121" s="131">
        <f t="shared" si="105"/>
        <v>0</v>
      </c>
      <c r="DD121" s="131">
        <f t="shared" si="147"/>
        <v>0</v>
      </c>
      <c r="DE121" s="131">
        <f t="shared" si="148"/>
        <v>0</v>
      </c>
      <c r="DF121" s="131">
        <f t="shared" si="149"/>
        <v>0</v>
      </c>
      <c r="DG121" s="131">
        <f t="shared" si="150"/>
        <v>0</v>
      </c>
      <c r="DH121" s="131"/>
      <c r="DI121" s="131"/>
      <c r="DJ121" s="131"/>
      <c r="DK121" s="137">
        <f t="shared" si="180"/>
        <v>3791.5811116017489</v>
      </c>
      <c r="DL121" s="227" t="e">
        <f t="shared" si="151"/>
        <v>#REF!</v>
      </c>
      <c r="DM121" s="227" t="e">
        <f t="shared" si="152"/>
        <v>#REF!</v>
      </c>
      <c r="DN121" s="228" t="e">
        <f t="shared" si="106"/>
        <v>#REF!</v>
      </c>
      <c r="DO121" s="228">
        <f t="shared" si="153"/>
        <v>181.81087083894022</v>
      </c>
      <c r="DP121" s="228" t="e">
        <f t="shared" si="154"/>
        <v>#REF!</v>
      </c>
      <c r="DQ121" s="228" t="e">
        <f t="shared" si="155"/>
        <v>#REF!</v>
      </c>
    </row>
    <row r="122" spans="1:121">
      <c r="A122" s="132">
        <f t="shared" si="107"/>
        <v>112</v>
      </c>
      <c r="B122" s="18">
        <f t="shared" si="156"/>
        <v>112</v>
      </c>
      <c r="C122" s="18">
        <f>IF(A122=0," ",VLOOKUP(B122,'tosafot '!$A$7:$B$234,2,0))</f>
        <v>4.2016999999999998</v>
      </c>
      <c r="D122" s="220">
        <f t="shared" si="157"/>
        <v>228</v>
      </c>
      <c r="E122" s="130">
        <f t="shared" si="158"/>
        <v>12.2026</v>
      </c>
      <c r="F122" s="126">
        <f t="shared" si="159"/>
        <v>9</v>
      </c>
      <c r="G122" s="18" t="str">
        <f t="shared" si="160"/>
        <v>הבריאות</v>
      </c>
      <c r="H122" s="189">
        <f t="shared" si="161"/>
        <v>107</v>
      </c>
      <c r="I122" s="18">
        <f t="shared" si="162"/>
        <v>1</v>
      </c>
      <c r="J122" s="18" t="str">
        <f t="shared" si="163"/>
        <v>מינהלי - עובדי מדינה</v>
      </c>
      <c r="K122" s="189">
        <f t="shared" si="164"/>
        <v>1</v>
      </c>
      <c r="L122" s="18">
        <f t="shared" si="165"/>
        <v>12</v>
      </c>
      <c r="M122" s="129" t="str">
        <f t="shared" si="166"/>
        <v>17+</v>
      </c>
      <c r="N122" s="189"/>
      <c r="O122" s="132">
        <f t="shared" si="167"/>
        <v>1012</v>
      </c>
      <c r="P122" s="127">
        <f t="shared" si="168"/>
        <v>37</v>
      </c>
      <c r="Q122" s="127">
        <f t="shared" si="169"/>
        <v>22.75</v>
      </c>
      <c r="R122" s="128">
        <f t="shared" si="170"/>
        <v>92</v>
      </c>
      <c r="S122" s="130">
        <f t="shared" si="171"/>
        <v>1.2540512286990533</v>
      </c>
      <c r="T122" s="135">
        <f t="shared" si="108"/>
        <v>0</v>
      </c>
      <c r="U122" s="127">
        <f t="shared" si="109"/>
        <v>0</v>
      </c>
      <c r="V122" s="217">
        <v>0</v>
      </c>
      <c r="W122" s="191">
        <v>0</v>
      </c>
      <c r="X122" s="133">
        <v>0</v>
      </c>
      <c r="Y122" s="131">
        <f t="shared" si="110"/>
        <v>2438.5</v>
      </c>
      <c r="Z122" s="131">
        <f t="shared" si="111"/>
        <v>619.50392118264142</v>
      </c>
      <c r="AA122" s="242">
        <f t="shared" si="112"/>
        <v>3058.0039211826415</v>
      </c>
      <c r="AB122" s="131">
        <f t="shared" si="113"/>
        <v>0</v>
      </c>
      <c r="AC122" s="131">
        <f t="shared" si="114"/>
        <v>139.48055684730568</v>
      </c>
      <c r="AD122" s="131">
        <f t="shared" si="115"/>
        <v>0</v>
      </c>
      <c r="AE122" s="131">
        <f t="shared" si="116"/>
        <v>0</v>
      </c>
      <c r="AF122" s="131">
        <f t="shared" si="117"/>
        <v>75.260000000000005</v>
      </c>
      <c r="AG122" s="131">
        <f t="shared" si="118"/>
        <v>0</v>
      </c>
      <c r="AH122" s="131">
        <f t="shared" si="119"/>
        <v>0</v>
      </c>
      <c r="AI122" s="131">
        <f t="shared" si="120"/>
        <v>0</v>
      </c>
      <c r="AJ122" s="131">
        <f t="shared" si="121"/>
        <v>0</v>
      </c>
      <c r="AK122" s="131"/>
      <c r="AL122" s="131">
        <f t="shared" si="122"/>
        <v>0</v>
      </c>
      <c r="AM122" s="131"/>
      <c r="AN122" s="243">
        <f t="shared" si="123"/>
        <v>0</v>
      </c>
      <c r="AO122" s="131">
        <f t="shared" si="124"/>
        <v>0</v>
      </c>
      <c r="AP122" s="131">
        <f t="shared" si="125"/>
        <v>0</v>
      </c>
      <c r="AQ122" s="131"/>
      <c r="AR122" s="131">
        <f t="shared" si="126"/>
        <v>0</v>
      </c>
      <c r="AS122" s="131">
        <f t="shared" si="172"/>
        <v>0</v>
      </c>
      <c r="AT122" s="131">
        <f t="shared" si="127"/>
        <v>0</v>
      </c>
      <c r="AU122" s="131">
        <f t="shared" si="128"/>
        <v>0</v>
      </c>
      <c r="AV122" s="131"/>
      <c r="AW122" s="131">
        <f t="shared" si="129"/>
        <v>353.75</v>
      </c>
      <c r="AX122" s="131">
        <f t="shared" si="183"/>
        <v>0</v>
      </c>
      <c r="AY122" s="131">
        <f t="shared" si="130"/>
        <v>0</v>
      </c>
      <c r="AZ122" s="131"/>
      <c r="BA122" s="131">
        <f t="shared" si="184"/>
        <v>0</v>
      </c>
      <c r="BB122" s="131"/>
      <c r="BC122" s="131"/>
      <c r="BD122" s="131">
        <f t="shared" si="131"/>
        <v>0</v>
      </c>
      <c r="BE122" s="131"/>
      <c r="BF122" s="131">
        <f t="shared" si="173"/>
        <v>0</v>
      </c>
      <c r="BG122" s="131">
        <f t="shared" si="174"/>
        <v>0</v>
      </c>
      <c r="BH122" s="131"/>
      <c r="BI122" s="131"/>
      <c r="BJ122" s="131"/>
      <c r="BK122" s="131">
        <f t="shared" si="175"/>
        <v>0</v>
      </c>
      <c r="BL122" s="131"/>
      <c r="BM122" s="131"/>
      <c r="BN122" s="131">
        <f t="shared" si="176"/>
        <v>0</v>
      </c>
      <c r="BO122" s="131"/>
      <c r="BP122" s="131">
        <f t="shared" si="177"/>
        <v>0</v>
      </c>
      <c r="BQ122" s="131"/>
      <c r="BR122" s="131"/>
      <c r="BS122" s="131"/>
      <c r="BT122" s="131"/>
      <c r="BU122" s="131"/>
      <c r="BV122" s="131">
        <f t="shared" si="178"/>
        <v>0</v>
      </c>
      <c r="BW122" s="131"/>
      <c r="BX122" s="131"/>
      <c r="BY122" s="131"/>
      <c r="BZ122" s="131">
        <f t="shared" si="179"/>
        <v>0</v>
      </c>
      <c r="CA122" s="131"/>
      <c r="CB122" s="136">
        <f t="shared" si="132"/>
        <v>165.08663357180151</v>
      </c>
      <c r="CC122" s="131">
        <f t="shared" si="133"/>
        <v>0</v>
      </c>
      <c r="CD122" s="136">
        <f t="shared" si="134"/>
        <v>0</v>
      </c>
      <c r="CE122" s="131">
        <f t="shared" si="182"/>
        <v>0</v>
      </c>
      <c r="CF122" s="136">
        <f t="shared" si="135"/>
        <v>0</v>
      </c>
      <c r="CG122" s="136"/>
      <c r="CH122" s="136">
        <f t="shared" si="181"/>
        <v>0</v>
      </c>
      <c r="CI122" s="131">
        <f t="shared" si="136"/>
        <v>0</v>
      </c>
      <c r="CJ122" s="131"/>
      <c r="CK122" s="136">
        <f t="shared" si="137"/>
        <v>0</v>
      </c>
      <c r="CL122" s="136">
        <f t="shared" si="138"/>
        <v>0</v>
      </c>
      <c r="CM122" s="131">
        <f t="shared" si="139"/>
        <v>0</v>
      </c>
      <c r="CN122" s="136">
        <f t="shared" si="140"/>
        <v>0</v>
      </c>
      <c r="CO122" s="136">
        <f t="shared" si="141"/>
        <v>0</v>
      </c>
      <c r="CP122" s="136">
        <f t="shared" si="142"/>
        <v>0</v>
      </c>
      <c r="CQ122" s="136"/>
      <c r="CR122" s="136">
        <f t="shared" si="143"/>
        <v>0</v>
      </c>
      <c r="CS122" s="136"/>
      <c r="CT122" s="136"/>
      <c r="CU122" s="136"/>
      <c r="CV122" s="136"/>
      <c r="CW122" s="136"/>
      <c r="CX122" s="136"/>
      <c r="CY122" s="136"/>
      <c r="CZ122" s="136">
        <f t="shared" si="144"/>
        <v>0</v>
      </c>
      <c r="DA122" s="136">
        <f t="shared" si="145"/>
        <v>0</v>
      </c>
      <c r="DB122" s="136">
        <f t="shared" si="146"/>
        <v>0</v>
      </c>
      <c r="DC122" s="131">
        <f t="shared" si="105"/>
        <v>0</v>
      </c>
      <c r="DD122" s="131">
        <f t="shared" si="147"/>
        <v>0</v>
      </c>
      <c r="DE122" s="131">
        <f t="shared" si="148"/>
        <v>0</v>
      </c>
      <c r="DF122" s="131">
        <f t="shared" si="149"/>
        <v>0</v>
      </c>
      <c r="DG122" s="131">
        <f t="shared" si="150"/>
        <v>0</v>
      </c>
      <c r="DH122" s="131"/>
      <c r="DI122" s="131"/>
      <c r="DJ122" s="131"/>
      <c r="DK122" s="137">
        <f t="shared" si="180"/>
        <v>3791.5811116017489</v>
      </c>
      <c r="DL122" s="227" t="e">
        <f t="shared" si="151"/>
        <v>#REF!</v>
      </c>
      <c r="DM122" s="227" t="e">
        <f t="shared" si="152"/>
        <v>#REF!</v>
      </c>
      <c r="DN122" s="228" t="e">
        <f t="shared" si="106"/>
        <v>#REF!</v>
      </c>
      <c r="DO122" s="228">
        <f t="shared" si="153"/>
        <v>181.81087083894022</v>
      </c>
      <c r="DP122" s="228" t="e">
        <f t="shared" si="154"/>
        <v>#REF!</v>
      </c>
      <c r="DQ122" s="228" t="e">
        <f t="shared" si="155"/>
        <v>#REF!</v>
      </c>
    </row>
    <row r="123" spans="1:121">
      <c r="A123" s="132">
        <f t="shared" si="107"/>
        <v>113</v>
      </c>
      <c r="B123" s="18">
        <f t="shared" si="156"/>
        <v>113</v>
      </c>
      <c r="C123" s="18">
        <f>IF(A123=0," ",VLOOKUP(B123,'tosafot '!$A$7:$B$234,2,0))</f>
        <v>5.2016999999999998</v>
      </c>
      <c r="D123" s="220">
        <f t="shared" si="157"/>
        <v>228</v>
      </c>
      <c r="E123" s="130">
        <f t="shared" si="158"/>
        <v>12.2026</v>
      </c>
      <c r="F123" s="126">
        <f t="shared" si="159"/>
        <v>9</v>
      </c>
      <c r="G123" s="18" t="str">
        <f t="shared" si="160"/>
        <v>הבריאות</v>
      </c>
      <c r="H123" s="189">
        <f t="shared" si="161"/>
        <v>107</v>
      </c>
      <c r="I123" s="18">
        <f t="shared" si="162"/>
        <v>1</v>
      </c>
      <c r="J123" s="18" t="str">
        <f t="shared" si="163"/>
        <v>מינהלי - עובדי מדינה</v>
      </c>
      <c r="K123" s="189">
        <f t="shared" si="164"/>
        <v>1</v>
      </c>
      <c r="L123" s="18">
        <f t="shared" si="165"/>
        <v>12</v>
      </c>
      <c r="M123" s="129" t="str">
        <f t="shared" si="166"/>
        <v>17+</v>
      </c>
      <c r="N123" s="189"/>
      <c r="O123" s="132">
        <f t="shared" si="167"/>
        <v>1012</v>
      </c>
      <c r="P123" s="127">
        <f t="shared" si="168"/>
        <v>37</v>
      </c>
      <c r="Q123" s="127">
        <f t="shared" si="169"/>
        <v>22.75</v>
      </c>
      <c r="R123" s="128">
        <f t="shared" si="170"/>
        <v>92</v>
      </c>
      <c r="S123" s="130">
        <f t="shared" si="171"/>
        <v>1.2540512286990533</v>
      </c>
      <c r="T123" s="135">
        <f t="shared" si="108"/>
        <v>0</v>
      </c>
      <c r="U123" s="127">
        <f t="shared" si="109"/>
        <v>0</v>
      </c>
      <c r="V123" s="217">
        <v>0</v>
      </c>
      <c r="W123" s="191">
        <v>0</v>
      </c>
      <c r="X123" s="133">
        <v>0</v>
      </c>
      <c r="Y123" s="131">
        <f t="shared" si="110"/>
        <v>2438.5</v>
      </c>
      <c r="Z123" s="131">
        <f t="shared" si="111"/>
        <v>619.50392118264142</v>
      </c>
      <c r="AA123" s="242">
        <f t="shared" si="112"/>
        <v>3058.0039211826415</v>
      </c>
      <c r="AB123" s="131">
        <f t="shared" si="113"/>
        <v>0</v>
      </c>
      <c r="AC123" s="131">
        <f t="shared" si="114"/>
        <v>139.48055684730568</v>
      </c>
      <c r="AD123" s="131">
        <f t="shared" si="115"/>
        <v>0</v>
      </c>
      <c r="AE123" s="131">
        <f t="shared" si="116"/>
        <v>0</v>
      </c>
      <c r="AF123" s="131">
        <f t="shared" si="117"/>
        <v>75.260000000000005</v>
      </c>
      <c r="AG123" s="131">
        <f t="shared" si="118"/>
        <v>0</v>
      </c>
      <c r="AH123" s="131">
        <f t="shared" si="119"/>
        <v>0</v>
      </c>
      <c r="AI123" s="131">
        <f t="shared" si="120"/>
        <v>0</v>
      </c>
      <c r="AJ123" s="131">
        <f t="shared" si="121"/>
        <v>0</v>
      </c>
      <c r="AK123" s="131"/>
      <c r="AL123" s="131">
        <f t="shared" si="122"/>
        <v>0</v>
      </c>
      <c r="AM123" s="131"/>
      <c r="AN123" s="243">
        <f t="shared" si="123"/>
        <v>0</v>
      </c>
      <c r="AO123" s="131">
        <f t="shared" si="124"/>
        <v>0</v>
      </c>
      <c r="AP123" s="131">
        <f t="shared" si="125"/>
        <v>0</v>
      </c>
      <c r="AQ123" s="131"/>
      <c r="AR123" s="131">
        <f t="shared" si="126"/>
        <v>0</v>
      </c>
      <c r="AS123" s="131">
        <f t="shared" si="172"/>
        <v>0</v>
      </c>
      <c r="AT123" s="131">
        <f t="shared" si="127"/>
        <v>0</v>
      </c>
      <c r="AU123" s="131">
        <f t="shared" si="128"/>
        <v>0</v>
      </c>
      <c r="AV123" s="131"/>
      <c r="AW123" s="131">
        <f t="shared" si="129"/>
        <v>353.75</v>
      </c>
      <c r="AX123" s="131">
        <f t="shared" si="183"/>
        <v>0</v>
      </c>
      <c r="AY123" s="131">
        <f t="shared" si="130"/>
        <v>0</v>
      </c>
      <c r="AZ123" s="131"/>
      <c r="BA123" s="131">
        <f t="shared" si="184"/>
        <v>0</v>
      </c>
      <c r="BB123" s="131"/>
      <c r="BC123" s="131"/>
      <c r="BD123" s="131">
        <f t="shared" si="131"/>
        <v>0</v>
      </c>
      <c r="BE123" s="131"/>
      <c r="BF123" s="131">
        <f t="shared" si="173"/>
        <v>0</v>
      </c>
      <c r="BG123" s="131">
        <f t="shared" si="174"/>
        <v>0</v>
      </c>
      <c r="BH123" s="131"/>
      <c r="BI123" s="131"/>
      <c r="BJ123" s="131"/>
      <c r="BK123" s="131">
        <f t="shared" si="175"/>
        <v>0</v>
      </c>
      <c r="BL123" s="131"/>
      <c r="BM123" s="131"/>
      <c r="BN123" s="131">
        <f t="shared" si="176"/>
        <v>0</v>
      </c>
      <c r="BO123" s="131"/>
      <c r="BP123" s="131">
        <f t="shared" si="177"/>
        <v>0</v>
      </c>
      <c r="BQ123" s="131"/>
      <c r="BR123" s="131"/>
      <c r="BS123" s="131"/>
      <c r="BT123" s="131"/>
      <c r="BU123" s="131"/>
      <c r="BV123" s="131">
        <f t="shared" si="178"/>
        <v>0</v>
      </c>
      <c r="BW123" s="131"/>
      <c r="BX123" s="131"/>
      <c r="BY123" s="131"/>
      <c r="BZ123" s="131">
        <f t="shared" si="179"/>
        <v>0</v>
      </c>
      <c r="CA123" s="131"/>
      <c r="CB123" s="136">
        <f t="shared" si="132"/>
        <v>165.08663357180151</v>
      </c>
      <c r="CC123" s="131">
        <f t="shared" si="133"/>
        <v>0</v>
      </c>
      <c r="CD123" s="136">
        <f t="shared" si="134"/>
        <v>0</v>
      </c>
      <c r="CE123" s="131">
        <f t="shared" si="182"/>
        <v>0</v>
      </c>
      <c r="CF123" s="136">
        <f t="shared" si="135"/>
        <v>0</v>
      </c>
      <c r="CG123" s="136"/>
      <c r="CH123" s="136">
        <f t="shared" si="181"/>
        <v>0</v>
      </c>
      <c r="CI123" s="131">
        <f t="shared" si="136"/>
        <v>0</v>
      </c>
      <c r="CJ123" s="131"/>
      <c r="CK123" s="136">
        <f t="shared" si="137"/>
        <v>0</v>
      </c>
      <c r="CL123" s="136">
        <f t="shared" si="138"/>
        <v>0</v>
      </c>
      <c r="CM123" s="131">
        <f t="shared" si="139"/>
        <v>0</v>
      </c>
      <c r="CN123" s="136">
        <f t="shared" si="140"/>
        <v>0</v>
      </c>
      <c r="CO123" s="136">
        <f t="shared" si="141"/>
        <v>0</v>
      </c>
      <c r="CP123" s="136">
        <f t="shared" si="142"/>
        <v>0</v>
      </c>
      <c r="CQ123" s="136"/>
      <c r="CR123" s="136">
        <f t="shared" si="143"/>
        <v>0</v>
      </c>
      <c r="CS123" s="136"/>
      <c r="CT123" s="136"/>
      <c r="CU123" s="136"/>
      <c r="CV123" s="136"/>
      <c r="CW123" s="136"/>
      <c r="CX123" s="136"/>
      <c r="CY123" s="136"/>
      <c r="CZ123" s="136">
        <f t="shared" si="144"/>
        <v>0</v>
      </c>
      <c r="DA123" s="136">
        <f t="shared" si="145"/>
        <v>0</v>
      </c>
      <c r="DB123" s="136">
        <f t="shared" si="146"/>
        <v>0</v>
      </c>
      <c r="DC123" s="131">
        <f t="shared" si="105"/>
        <v>0</v>
      </c>
      <c r="DD123" s="131">
        <f t="shared" si="147"/>
        <v>0</v>
      </c>
      <c r="DE123" s="131">
        <f t="shared" si="148"/>
        <v>0</v>
      </c>
      <c r="DF123" s="131">
        <f t="shared" si="149"/>
        <v>0</v>
      </c>
      <c r="DG123" s="131">
        <f t="shared" si="150"/>
        <v>0</v>
      </c>
      <c r="DH123" s="131"/>
      <c r="DI123" s="131"/>
      <c r="DJ123" s="131"/>
      <c r="DK123" s="137">
        <f t="shared" si="180"/>
        <v>3791.5811116017489</v>
      </c>
      <c r="DL123" s="227" t="e">
        <f t="shared" si="151"/>
        <v>#REF!</v>
      </c>
      <c r="DM123" s="227" t="e">
        <f t="shared" si="152"/>
        <v>#REF!</v>
      </c>
      <c r="DN123" s="228" t="e">
        <f t="shared" si="106"/>
        <v>#REF!</v>
      </c>
      <c r="DO123" s="228">
        <f t="shared" si="153"/>
        <v>181.81087083894022</v>
      </c>
      <c r="DP123" s="228" t="e">
        <f t="shared" si="154"/>
        <v>#REF!</v>
      </c>
      <c r="DQ123" s="228" t="e">
        <f t="shared" si="155"/>
        <v>#REF!</v>
      </c>
    </row>
    <row r="124" spans="1:121">
      <c r="A124" s="132">
        <f t="shared" si="107"/>
        <v>114</v>
      </c>
      <c r="B124" s="18">
        <f t="shared" si="156"/>
        <v>114</v>
      </c>
      <c r="C124" s="18">
        <f>IF(A124=0," ",VLOOKUP(B124,'tosafot '!$A$7:$B$234,2,0))</f>
        <v>6.2016999999999998</v>
      </c>
      <c r="D124" s="220">
        <f t="shared" si="157"/>
        <v>228</v>
      </c>
      <c r="E124" s="130">
        <f t="shared" si="158"/>
        <v>12.2026</v>
      </c>
      <c r="F124" s="126">
        <f t="shared" si="159"/>
        <v>9</v>
      </c>
      <c r="G124" s="18" t="str">
        <f t="shared" si="160"/>
        <v>הבריאות</v>
      </c>
      <c r="H124" s="189">
        <f t="shared" si="161"/>
        <v>107</v>
      </c>
      <c r="I124" s="18">
        <f t="shared" si="162"/>
        <v>1</v>
      </c>
      <c r="J124" s="18" t="str">
        <f t="shared" si="163"/>
        <v>מינהלי - עובדי מדינה</v>
      </c>
      <c r="K124" s="189">
        <f t="shared" si="164"/>
        <v>1</v>
      </c>
      <c r="L124" s="18">
        <f t="shared" si="165"/>
        <v>12</v>
      </c>
      <c r="M124" s="129" t="str">
        <f t="shared" si="166"/>
        <v>17+</v>
      </c>
      <c r="N124" s="189"/>
      <c r="O124" s="132">
        <f t="shared" si="167"/>
        <v>1012</v>
      </c>
      <c r="P124" s="127">
        <f t="shared" si="168"/>
        <v>37</v>
      </c>
      <c r="Q124" s="127">
        <f t="shared" si="169"/>
        <v>22.75</v>
      </c>
      <c r="R124" s="128">
        <f t="shared" si="170"/>
        <v>92</v>
      </c>
      <c r="S124" s="130">
        <f t="shared" si="171"/>
        <v>1.2540512286990533</v>
      </c>
      <c r="T124" s="135">
        <f t="shared" si="108"/>
        <v>0</v>
      </c>
      <c r="U124" s="127">
        <f t="shared" si="109"/>
        <v>0</v>
      </c>
      <c r="V124" s="217">
        <v>0</v>
      </c>
      <c r="W124" s="191">
        <v>0</v>
      </c>
      <c r="X124" s="133">
        <v>0</v>
      </c>
      <c r="Y124" s="131">
        <f t="shared" si="110"/>
        <v>2438.5</v>
      </c>
      <c r="Z124" s="131">
        <f t="shared" si="111"/>
        <v>619.50392118264142</v>
      </c>
      <c r="AA124" s="242">
        <f t="shared" si="112"/>
        <v>3058.0039211826415</v>
      </c>
      <c r="AB124" s="131">
        <f t="shared" si="113"/>
        <v>0</v>
      </c>
      <c r="AC124" s="131">
        <f t="shared" si="114"/>
        <v>139.48055684730568</v>
      </c>
      <c r="AD124" s="131">
        <f t="shared" si="115"/>
        <v>0</v>
      </c>
      <c r="AE124" s="131">
        <f t="shared" si="116"/>
        <v>0</v>
      </c>
      <c r="AF124" s="131">
        <f t="shared" si="117"/>
        <v>75.260000000000005</v>
      </c>
      <c r="AG124" s="131">
        <f t="shared" si="118"/>
        <v>0</v>
      </c>
      <c r="AH124" s="131">
        <f t="shared" si="119"/>
        <v>0</v>
      </c>
      <c r="AI124" s="131">
        <f t="shared" si="120"/>
        <v>0</v>
      </c>
      <c r="AJ124" s="131">
        <f t="shared" si="121"/>
        <v>0</v>
      </c>
      <c r="AK124" s="131"/>
      <c r="AL124" s="131">
        <f t="shared" si="122"/>
        <v>0</v>
      </c>
      <c r="AM124" s="131"/>
      <c r="AN124" s="243">
        <f t="shared" si="123"/>
        <v>0</v>
      </c>
      <c r="AO124" s="131">
        <f t="shared" si="124"/>
        <v>0</v>
      </c>
      <c r="AP124" s="131">
        <f t="shared" si="125"/>
        <v>0</v>
      </c>
      <c r="AQ124" s="131"/>
      <c r="AR124" s="131">
        <f t="shared" si="126"/>
        <v>0</v>
      </c>
      <c r="AS124" s="131">
        <f t="shared" si="172"/>
        <v>0</v>
      </c>
      <c r="AT124" s="131">
        <f t="shared" si="127"/>
        <v>0</v>
      </c>
      <c r="AU124" s="131">
        <f t="shared" si="128"/>
        <v>0</v>
      </c>
      <c r="AV124" s="131"/>
      <c r="AW124" s="131">
        <f t="shared" si="129"/>
        <v>353.75</v>
      </c>
      <c r="AX124" s="131">
        <f t="shared" si="183"/>
        <v>0</v>
      </c>
      <c r="AY124" s="131">
        <f t="shared" si="130"/>
        <v>0</v>
      </c>
      <c r="AZ124" s="131"/>
      <c r="BA124" s="131">
        <f t="shared" si="184"/>
        <v>0</v>
      </c>
      <c r="BB124" s="131"/>
      <c r="BC124" s="131"/>
      <c r="BD124" s="131">
        <f t="shared" si="131"/>
        <v>0</v>
      </c>
      <c r="BE124" s="131"/>
      <c r="BF124" s="131">
        <f t="shared" si="173"/>
        <v>0</v>
      </c>
      <c r="BG124" s="131">
        <f t="shared" si="174"/>
        <v>0</v>
      </c>
      <c r="BH124" s="131"/>
      <c r="BI124" s="131"/>
      <c r="BJ124" s="131"/>
      <c r="BK124" s="131">
        <f t="shared" si="175"/>
        <v>0</v>
      </c>
      <c r="BL124" s="131"/>
      <c r="BM124" s="131"/>
      <c r="BN124" s="131">
        <f t="shared" si="176"/>
        <v>0</v>
      </c>
      <c r="BO124" s="131"/>
      <c r="BP124" s="131">
        <f t="shared" si="177"/>
        <v>0</v>
      </c>
      <c r="BQ124" s="131"/>
      <c r="BR124" s="131"/>
      <c r="BS124" s="131"/>
      <c r="BT124" s="131"/>
      <c r="BU124" s="131"/>
      <c r="BV124" s="131">
        <f t="shared" si="178"/>
        <v>0</v>
      </c>
      <c r="BW124" s="131"/>
      <c r="BX124" s="131"/>
      <c r="BY124" s="131"/>
      <c r="BZ124" s="131">
        <f t="shared" si="179"/>
        <v>0</v>
      </c>
      <c r="CA124" s="131"/>
      <c r="CB124" s="136">
        <f t="shared" si="132"/>
        <v>165.08663357180151</v>
      </c>
      <c r="CC124" s="131">
        <f t="shared" si="133"/>
        <v>0</v>
      </c>
      <c r="CD124" s="136">
        <f t="shared" si="134"/>
        <v>0</v>
      </c>
      <c r="CE124" s="131">
        <f t="shared" si="182"/>
        <v>0</v>
      </c>
      <c r="CF124" s="136">
        <f t="shared" si="135"/>
        <v>0</v>
      </c>
      <c r="CG124" s="136"/>
      <c r="CH124" s="136">
        <f t="shared" si="181"/>
        <v>0</v>
      </c>
      <c r="CI124" s="131">
        <f t="shared" si="136"/>
        <v>0</v>
      </c>
      <c r="CJ124" s="131"/>
      <c r="CK124" s="136">
        <f t="shared" si="137"/>
        <v>0</v>
      </c>
      <c r="CL124" s="136">
        <f t="shared" si="138"/>
        <v>0</v>
      </c>
      <c r="CM124" s="131">
        <f t="shared" si="139"/>
        <v>0</v>
      </c>
      <c r="CN124" s="136">
        <f t="shared" si="140"/>
        <v>0</v>
      </c>
      <c r="CO124" s="136">
        <f t="shared" si="141"/>
        <v>0</v>
      </c>
      <c r="CP124" s="136">
        <f t="shared" si="142"/>
        <v>0</v>
      </c>
      <c r="CQ124" s="136"/>
      <c r="CR124" s="136">
        <f t="shared" si="143"/>
        <v>0</v>
      </c>
      <c r="CS124" s="136"/>
      <c r="CT124" s="136"/>
      <c r="CU124" s="136"/>
      <c r="CV124" s="136"/>
      <c r="CW124" s="136"/>
      <c r="CX124" s="136"/>
      <c r="CY124" s="136"/>
      <c r="CZ124" s="136">
        <f t="shared" si="144"/>
        <v>0</v>
      </c>
      <c r="DA124" s="136">
        <f t="shared" si="145"/>
        <v>0</v>
      </c>
      <c r="DB124" s="136">
        <f t="shared" si="146"/>
        <v>0</v>
      </c>
      <c r="DC124" s="131">
        <f t="shared" si="105"/>
        <v>0</v>
      </c>
      <c r="DD124" s="131">
        <f t="shared" si="147"/>
        <v>0</v>
      </c>
      <c r="DE124" s="131">
        <f t="shared" si="148"/>
        <v>0</v>
      </c>
      <c r="DF124" s="131">
        <f t="shared" si="149"/>
        <v>0</v>
      </c>
      <c r="DG124" s="131">
        <f t="shared" si="150"/>
        <v>0</v>
      </c>
      <c r="DH124" s="131"/>
      <c r="DI124" s="131"/>
      <c r="DJ124" s="131"/>
      <c r="DK124" s="137">
        <f t="shared" si="180"/>
        <v>3791.5811116017489</v>
      </c>
      <c r="DL124" s="227" t="e">
        <f t="shared" si="151"/>
        <v>#REF!</v>
      </c>
      <c r="DM124" s="227" t="e">
        <f t="shared" si="152"/>
        <v>#REF!</v>
      </c>
      <c r="DN124" s="228" t="e">
        <f t="shared" si="106"/>
        <v>#REF!</v>
      </c>
      <c r="DO124" s="228">
        <f t="shared" si="153"/>
        <v>181.81087083894022</v>
      </c>
      <c r="DP124" s="228" t="e">
        <f t="shared" si="154"/>
        <v>#REF!</v>
      </c>
      <c r="DQ124" s="228" t="e">
        <f t="shared" si="155"/>
        <v>#REF!</v>
      </c>
    </row>
    <row r="125" spans="1:121">
      <c r="A125" s="132">
        <f t="shared" si="107"/>
        <v>115</v>
      </c>
      <c r="B125" s="18">
        <f t="shared" si="156"/>
        <v>115</v>
      </c>
      <c r="C125" s="18">
        <f>IF(A125=0," ",VLOOKUP(B125,'tosafot '!$A$7:$B$234,2,0))</f>
        <v>7.2016999999999998</v>
      </c>
      <c r="D125" s="220">
        <f t="shared" si="157"/>
        <v>228</v>
      </c>
      <c r="E125" s="130">
        <f t="shared" si="158"/>
        <v>12.2026</v>
      </c>
      <c r="F125" s="126">
        <f t="shared" si="159"/>
        <v>9</v>
      </c>
      <c r="G125" s="18" t="str">
        <f t="shared" si="160"/>
        <v>הבריאות</v>
      </c>
      <c r="H125" s="189">
        <f t="shared" si="161"/>
        <v>107</v>
      </c>
      <c r="I125" s="18">
        <f t="shared" si="162"/>
        <v>1</v>
      </c>
      <c r="J125" s="18" t="str">
        <f t="shared" si="163"/>
        <v>מינהלי - עובדי מדינה</v>
      </c>
      <c r="K125" s="189">
        <f t="shared" si="164"/>
        <v>1</v>
      </c>
      <c r="L125" s="18">
        <f t="shared" si="165"/>
        <v>12</v>
      </c>
      <c r="M125" s="129" t="str">
        <f t="shared" si="166"/>
        <v>17+</v>
      </c>
      <c r="N125" s="189"/>
      <c r="O125" s="132">
        <f t="shared" si="167"/>
        <v>1012</v>
      </c>
      <c r="P125" s="127">
        <f t="shared" si="168"/>
        <v>37</v>
      </c>
      <c r="Q125" s="127">
        <f t="shared" si="169"/>
        <v>22.75</v>
      </c>
      <c r="R125" s="128">
        <f t="shared" si="170"/>
        <v>92</v>
      </c>
      <c r="S125" s="130">
        <f t="shared" si="171"/>
        <v>1.2540512286990533</v>
      </c>
      <c r="T125" s="135">
        <f t="shared" si="108"/>
        <v>0</v>
      </c>
      <c r="U125" s="127">
        <f t="shared" si="109"/>
        <v>0</v>
      </c>
      <c r="V125" s="217">
        <v>0</v>
      </c>
      <c r="W125" s="191">
        <v>0</v>
      </c>
      <c r="X125" s="133">
        <v>0</v>
      </c>
      <c r="Y125" s="131">
        <f t="shared" si="110"/>
        <v>2438.5</v>
      </c>
      <c r="Z125" s="131">
        <f t="shared" si="111"/>
        <v>619.50392118264142</v>
      </c>
      <c r="AA125" s="242">
        <f t="shared" si="112"/>
        <v>3058.0039211826415</v>
      </c>
      <c r="AB125" s="131">
        <f t="shared" si="113"/>
        <v>0</v>
      </c>
      <c r="AC125" s="131">
        <f t="shared" si="114"/>
        <v>139.48055684730568</v>
      </c>
      <c r="AD125" s="131">
        <f t="shared" si="115"/>
        <v>0</v>
      </c>
      <c r="AE125" s="131">
        <f t="shared" si="116"/>
        <v>0</v>
      </c>
      <c r="AF125" s="131">
        <f t="shared" si="117"/>
        <v>75.260000000000005</v>
      </c>
      <c r="AG125" s="131">
        <f t="shared" si="118"/>
        <v>0</v>
      </c>
      <c r="AH125" s="131">
        <f t="shared" si="119"/>
        <v>0</v>
      </c>
      <c r="AI125" s="131">
        <f t="shared" si="120"/>
        <v>0</v>
      </c>
      <c r="AJ125" s="131">
        <f t="shared" si="121"/>
        <v>0</v>
      </c>
      <c r="AK125" s="131"/>
      <c r="AL125" s="131">
        <f t="shared" si="122"/>
        <v>0</v>
      </c>
      <c r="AM125" s="131"/>
      <c r="AN125" s="243">
        <f t="shared" si="123"/>
        <v>0</v>
      </c>
      <c r="AO125" s="131">
        <f t="shared" si="124"/>
        <v>0</v>
      </c>
      <c r="AP125" s="131">
        <f t="shared" si="125"/>
        <v>0</v>
      </c>
      <c r="AQ125" s="131"/>
      <c r="AR125" s="131">
        <f t="shared" si="126"/>
        <v>0</v>
      </c>
      <c r="AS125" s="131">
        <f t="shared" si="172"/>
        <v>0</v>
      </c>
      <c r="AT125" s="131">
        <f t="shared" si="127"/>
        <v>0</v>
      </c>
      <c r="AU125" s="131">
        <f t="shared" si="128"/>
        <v>0</v>
      </c>
      <c r="AV125" s="131"/>
      <c r="AW125" s="131">
        <f t="shared" si="129"/>
        <v>353.75</v>
      </c>
      <c r="AX125" s="131">
        <f t="shared" si="183"/>
        <v>0</v>
      </c>
      <c r="AY125" s="131">
        <f t="shared" si="130"/>
        <v>0</v>
      </c>
      <c r="AZ125" s="131"/>
      <c r="BA125" s="131">
        <f t="shared" si="184"/>
        <v>0</v>
      </c>
      <c r="BB125" s="131"/>
      <c r="BC125" s="131"/>
      <c r="BD125" s="131">
        <f t="shared" si="131"/>
        <v>0</v>
      </c>
      <c r="BE125" s="131"/>
      <c r="BF125" s="131">
        <f t="shared" si="173"/>
        <v>0</v>
      </c>
      <c r="BG125" s="131">
        <f t="shared" si="174"/>
        <v>0</v>
      </c>
      <c r="BH125" s="131"/>
      <c r="BI125" s="131"/>
      <c r="BJ125" s="131"/>
      <c r="BK125" s="131">
        <f t="shared" si="175"/>
        <v>0</v>
      </c>
      <c r="BL125" s="131"/>
      <c r="BM125" s="131"/>
      <c r="BN125" s="131">
        <f t="shared" si="176"/>
        <v>0</v>
      </c>
      <c r="BO125" s="131"/>
      <c r="BP125" s="131">
        <f t="shared" si="177"/>
        <v>0</v>
      </c>
      <c r="BQ125" s="131"/>
      <c r="BR125" s="131"/>
      <c r="BS125" s="131"/>
      <c r="BT125" s="131"/>
      <c r="BU125" s="131"/>
      <c r="BV125" s="131">
        <f t="shared" si="178"/>
        <v>0</v>
      </c>
      <c r="BW125" s="131"/>
      <c r="BX125" s="131"/>
      <c r="BY125" s="131"/>
      <c r="BZ125" s="131">
        <f t="shared" si="179"/>
        <v>0</v>
      </c>
      <c r="CA125" s="131"/>
      <c r="CB125" s="136">
        <f t="shared" si="132"/>
        <v>165.08663357180151</v>
      </c>
      <c r="CC125" s="131">
        <f t="shared" si="133"/>
        <v>0</v>
      </c>
      <c r="CD125" s="136">
        <f t="shared" si="134"/>
        <v>0</v>
      </c>
      <c r="CE125" s="131">
        <f t="shared" si="182"/>
        <v>0</v>
      </c>
      <c r="CF125" s="136">
        <f t="shared" si="135"/>
        <v>0</v>
      </c>
      <c r="CG125" s="136"/>
      <c r="CH125" s="136">
        <f t="shared" si="181"/>
        <v>0</v>
      </c>
      <c r="CI125" s="131">
        <f t="shared" si="136"/>
        <v>0</v>
      </c>
      <c r="CJ125" s="131"/>
      <c r="CK125" s="136">
        <f t="shared" si="137"/>
        <v>0</v>
      </c>
      <c r="CL125" s="136">
        <f t="shared" si="138"/>
        <v>0</v>
      </c>
      <c r="CM125" s="131">
        <f t="shared" si="139"/>
        <v>0</v>
      </c>
      <c r="CN125" s="136">
        <f t="shared" si="140"/>
        <v>0</v>
      </c>
      <c r="CO125" s="136">
        <f t="shared" si="141"/>
        <v>0</v>
      </c>
      <c r="CP125" s="136">
        <f t="shared" si="142"/>
        <v>0</v>
      </c>
      <c r="CQ125" s="136"/>
      <c r="CR125" s="136">
        <f t="shared" si="143"/>
        <v>0</v>
      </c>
      <c r="CS125" s="136"/>
      <c r="CT125" s="136"/>
      <c r="CU125" s="136"/>
      <c r="CV125" s="136"/>
      <c r="CW125" s="136"/>
      <c r="CX125" s="136"/>
      <c r="CY125" s="136"/>
      <c r="CZ125" s="136">
        <f t="shared" si="144"/>
        <v>0</v>
      </c>
      <c r="DA125" s="136">
        <f t="shared" si="145"/>
        <v>0</v>
      </c>
      <c r="DB125" s="136">
        <f t="shared" si="146"/>
        <v>0</v>
      </c>
      <c r="DC125" s="131">
        <f t="shared" si="105"/>
        <v>0</v>
      </c>
      <c r="DD125" s="131">
        <f t="shared" si="147"/>
        <v>0</v>
      </c>
      <c r="DE125" s="131">
        <f t="shared" si="148"/>
        <v>0</v>
      </c>
      <c r="DF125" s="131">
        <f t="shared" si="149"/>
        <v>0</v>
      </c>
      <c r="DG125" s="131">
        <f t="shared" si="150"/>
        <v>0</v>
      </c>
      <c r="DH125" s="131"/>
      <c r="DI125" s="131"/>
      <c r="DJ125" s="131"/>
      <c r="DK125" s="137">
        <f t="shared" si="180"/>
        <v>3791.5811116017489</v>
      </c>
      <c r="DL125" s="227" t="e">
        <f t="shared" si="151"/>
        <v>#REF!</v>
      </c>
      <c r="DM125" s="227" t="e">
        <f t="shared" si="152"/>
        <v>#REF!</v>
      </c>
      <c r="DN125" s="228" t="e">
        <f t="shared" si="106"/>
        <v>#REF!</v>
      </c>
      <c r="DO125" s="228">
        <f t="shared" si="153"/>
        <v>181.81087083894022</v>
      </c>
      <c r="DP125" s="228" t="e">
        <f t="shared" si="154"/>
        <v>#REF!</v>
      </c>
      <c r="DQ125" s="228" t="e">
        <f t="shared" si="155"/>
        <v>#REF!</v>
      </c>
    </row>
    <row r="126" spans="1:121">
      <c r="A126" s="132">
        <f t="shared" si="107"/>
        <v>116</v>
      </c>
      <c r="B126" s="18">
        <f t="shared" si="156"/>
        <v>116</v>
      </c>
      <c r="C126" s="18">
        <f>IF(A126=0," ",VLOOKUP(B126,'tosafot '!$A$7:$B$234,2,0))</f>
        <v>8.2017000000000007</v>
      </c>
      <c r="D126" s="220">
        <f t="shared" si="157"/>
        <v>228</v>
      </c>
      <c r="E126" s="130">
        <f t="shared" si="158"/>
        <v>12.2026</v>
      </c>
      <c r="F126" s="126">
        <f t="shared" si="159"/>
        <v>9</v>
      </c>
      <c r="G126" s="18" t="str">
        <f t="shared" si="160"/>
        <v>הבריאות</v>
      </c>
      <c r="H126" s="189">
        <f t="shared" si="161"/>
        <v>107</v>
      </c>
      <c r="I126" s="18">
        <f t="shared" si="162"/>
        <v>1</v>
      </c>
      <c r="J126" s="18" t="str">
        <f t="shared" si="163"/>
        <v>מינהלי - עובדי מדינה</v>
      </c>
      <c r="K126" s="189">
        <f t="shared" si="164"/>
        <v>1</v>
      </c>
      <c r="L126" s="18">
        <f t="shared" si="165"/>
        <v>12</v>
      </c>
      <c r="M126" s="129" t="str">
        <f t="shared" si="166"/>
        <v>17+</v>
      </c>
      <c r="N126" s="189"/>
      <c r="O126" s="132">
        <f t="shared" si="167"/>
        <v>1012</v>
      </c>
      <c r="P126" s="127">
        <f t="shared" si="168"/>
        <v>37</v>
      </c>
      <c r="Q126" s="127">
        <f t="shared" si="169"/>
        <v>22.75</v>
      </c>
      <c r="R126" s="128">
        <f t="shared" si="170"/>
        <v>92</v>
      </c>
      <c r="S126" s="130">
        <f t="shared" si="171"/>
        <v>1.2540512286990533</v>
      </c>
      <c r="T126" s="135">
        <f t="shared" si="108"/>
        <v>0</v>
      </c>
      <c r="U126" s="127">
        <f t="shared" si="109"/>
        <v>0</v>
      </c>
      <c r="V126" s="217">
        <v>0</v>
      </c>
      <c r="W126" s="191">
        <v>0</v>
      </c>
      <c r="X126" s="133">
        <v>0</v>
      </c>
      <c r="Y126" s="131">
        <f t="shared" si="110"/>
        <v>2438.5</v>
      </c>
      <c r="Z126" s="131">
        <f t="shared" si="111"/>
        <v>619.50392118264142</v>
      </c>
      <c r="AA126" s="242">
        <f t="shared" si="112"/>
        <v>3058.0039211826415</v>
      </c>
      <c r="AB126" s="131">
        <f t="shared" si="113"/>
        <v>0</v>
      </c>
      <c r="AC126" s="131">
        <f t="shared" si="114"/>
        <v>139.48055684730568</v>
      </c>
      <c r="AD126" s="131">
        <f t="shared" si="115"/>
        <v>0</v>
      </c>
      <c r="AE126" s="131">
        <f t="shared" si="116"/>
        <v>0</v>
      </c>
      <c r="AF126" s="131">
        <f t="shared" si="117"/>
        <v>75.260000000000005</v>
      </c>
      <c r="AG126" s="131">
        <f t="shared" si="118"/>
        <v>0</v>
      </c>
      <c r="AH126" s="131">
        <f t="shared" si="119"/>
        <v>0</v>
      </c>
      <c r="AI126" s="131">
        <f t="shared" si="120"/>
        <v>0</v>
      </c>
      <c r="AJ126" s="131">
        <f t="shared" si="121"/>
        <v>0</v>
      </c>
      <c r="AK126" s="131"/>
      <c r="AL126" s="131">
        <f t="shared" si="122"/>
        <v>0</v>
      </c>
      <c r="AM126" s="131"/>
      <c r="AN126" s="243">
        <f t="shared" si="123"/>
        <v>0</v>
      </c>
      <c r="AO126" s="131">
        <f t="shared" si="124"/>
        <v>0</v>
      </c>
      <c r="AP126" s="131">
        <f t="shared" si="125"/>
        <v>0</v>
      </c>
      <c r="AQ126" s="131"/>
      <c r="AR126" s="131">
        <f t="shared" si="126"/>
        <v>0</v>
      </c>
      <c r="AS126" s="131">
        <f t="shared" si="172"/>
        <v>0</v>
      </c>
      <c r="AT126" s="131">
        <f t="shared" si="127"/>
        <v>0</v>
      </c>
      <c r="AU126" s="131">
        <f t="shared" si="128"/>
        <v>0</v>
      </c>
      <c r="AV126" s="131"/>
      <c r="AW126" s="131">
        <f t="shared" si="129"/>
        <v>353.75</v>
      </c>
      <c r="AX126" s="131">
        <f t="shared" si="183"/>
        <v>0</v>
      </c>
      <c r="AY126" s="131">
        <f t="shared" si="130"/>
        <v>0</v>
      </c>
      <c r="AZ126" s="131"/>
      <c r="BA126" s="131">
        <f t="shared" si="184"/>
        <v>0</v>
      </c>
      <c r="BB126" s="131"/>
      <c r="BC126" s="131"/>
      <c r="BD126" s="131">
        <f t="shared" si="131"/>
        <v>0</v>
      </c>
      <c r="BE126" s="131"/>
      <c r="BF126" s="131">
        <f t="shared" si="173"/>
        <v>0</v>
      </c>
      <c r="BG126" s="131">
        <f t="shared" si="174"/>
        <v>0</v>
      </c>
      <c r="BH126" s="131"/>
      <c r="BI126" s="131"/>
      <c r="BJ126" s="131"/>
      <c r="BK126" s="131">
        <f t="shared" si="175"/>
        <v>0</v>
      </c>
      <c r="BL126" s="131"/>
      <c r="BM126" s="131"/>
      <c r="BN126" s="131">
        <f t="shared" si="176"/>
        <v>0</v>
      </c>
      <c r="BO126" s="131"/>
      <c r="BP126" s="131">
        <f t="shared" si="177"/>
        <v>0</v>
      </c>
      <c r="BQ126" s="131"/>
      <c r="BR126" s="131"/>
      <c r="BS126" s="131"/>
      <c r="BT126" s="131"/>
      <c r="BU126" s="131"/>
      <c r="BV126" s="131">
        <f t="shared" si="178"/>
        <v>0</v>
      </c>
      <c r="BW126" s="131"/>
      <c r="BX126" s="131"/>
      <c r="BY126" s="131"/>
      <c r="BZ126" s="131">
        <f t="shared" si="179"/>
        <v>0</v>
      </c>
      <c r="CA126" s="131"/>
      <c r="CB126" s="136">
        <f t="shared" si="132"/>
        <v>165.08663357180151</v>
      </c>
      <c r="CC126" s="131">
        <f t="shared" si="133"/>
        <v>0</v>
      </c>
      <c r="CD126" s="136">
        <f t="shared" si="134"/>
        <v>0</v>
      </c>
      <c r="CE126" s="131">
        <f t="shared" si="182"/>
        <v>0</v>
      </c>
      <c r="CF126" s="136">
        <f t="shared" si="135"/>
        <v>0</v>
      </c>
      <c r="CG126" s="136"/>
      <c r="CH126" s="136">
        <f t="shared" si="181"/>
        <v>0</v>
      </c>
      <c r="CI126" s="131">
        <f t="shared" si="136"/>
        <v>0</v>
      </c>
      <c r="CJ126" s="131"/>
      <c r="CK126" s="136">
        <f t="shared" si="137"/>
        <v>0</v>
      </c>
      <c r="CL126" s="136">
        <f t="shared" si="138"/>
        <v>0</v>
      </c>
      <c r="CM126" s="131">
        <f t="shared" si="139"/>
        <v>0</v>
      </c>
      <c r="CN126" s="136">
        <f t="shared" si="140"/>
        <v>0</v>
      </c>
      <c r="CO126" s="136">
        <f t="shared" si="141"/>
        <v>0</v>
      </c>
      <c r="CP126" s="136">
        <f t="shared" si="142"/>
        <v>0</v>
      </c>
      <c r="CQ126" s="136"/>
      <c r="CR126" s="136">
        <f t="shared" si="143"/>
        <v>0</v>
      </c>
      <c r="CS126" s="136"/>
      <c r="CT126" s="136"/>
      <c r="CU126" s="136"/>
      <c r="CV126" s="136"/>
      <c r="CW126" s="136"/>
      <c r="CX126" s="136"/>
      <c r="CY126" s="136"/>
      <c r="CZ126" s="136">
        <f t="shared" si="144"/>
        <v>0</v>
      </c>
      <c r="DA126" s="136">
        <f t="shared" si="145"/>
        <v>0</v>
      </c>
      <c r="DB126" s="136">
        <f t="shared" si="146"/>
        <v>0</v>
      </c>
      <c r="DC126" s="131">
        <f t="shared" si="105"/>
        <v>0</v>
      </c>
      <c r="DD126" s="131">
        <f t="shared" si="147"/>
        <v>0</v>
      </c>
      <c r="DE126" s="131">
        <f t="shared" si="148"/>
        <v>0</v>
      </c>
      <c r="DF126" s="131">
        <f t="shared" si="149"/>
        <v>0</v>
      </c>
      <c r="DG126" s="131">
        <f t="shared" si="150"/>
        <v>0</v>
      </c>
      <c r="DH126" s="131"/>
      <c r="DI126" s="131"/>
      <c r="DJ126" s="131"/>
      <c r="DK126" s="137">
        <f t="shared" si="180"/>
        <v>3791.5811116017489</v>
      </c>
      <c r="DL126" s="227" t="e">
        <f t="shared" si="151"/>
        <v>#REF!</v>
      </c>
      <c r="DM126" s="227" t="e">
        <f t="shared" si="152"/>
        <v>#REF!</v>
      </c>
      <c r="DN126" s="228" t="e">
        <f t="shared" si="106"/>
        <v>#REF!</v>
      </c>
      <c r="DO126" s="228">
        <f t="shared" si="153"/>
        <v>181.81087083894022</v>
      </c>
      <c r="DP126" s="228" t="e">
        <f t="shared" si="154"/>
        <v>#REF!</v>
      </c>
      <c r="DQ126" s="228" t="e">
        <f t="shared" si="155"/>
        <v>#REF!</v>
      </c>
    </row>
    <row r="127" spans="1:121">
      <c r="A127" s="132">
        <f t="shared" si="107"/>
        <v>117</v>
      </c>
      <c r="B127" s="18">
        <f t="shared" si="156"/>
        <v>117</v>
      </c>
      <c r="C127" s="18">
        <f>IF(A127=0," ",VLOOKUP(B127,'tosafot '!$A$7:$B$234,2,0))</f>
        <v>9.2017000000000007</v>
      </c>
      <c r="D127" s="220">
        <f t="shared" si="157"/>
        <v>228</v>
      </c>
      <c r="E127" s="130">
        <f t="shared" si="158"/>
        <v>12.2026</v>
      </c>
      <c r="F127" s="126">
        <f t="shared" si="159"/>
        <v>9</v>
      </c>
      <c r="G127" s="18" t="str">
        <f t="shared" si="160"/>
        <v>הבריאות</v>
      </c>
      <c r="H127" s="189">
        <f t="shared" si="161"/>
        <v>107</v>
      </c>
      <c r="I127" s="18">
        <f t="shared" si="162"/>
        <v>1</v>
      </c>
      <c r="J127" s="18" t="str">
        <f t="shared" si="163"/>
        <v>מינהלי - עובדי מדינה</v>
      </c>
      <c r="K127" s="189">
        <f t="shared" si="164"/>
        <v>1</v>
      </c>
      <c r="L127" s="18">
        <f t="shared" si="165"/>
        <v>12</v>
      </c>
      <c r="M127" s="129" t="str">
        <f t="shared" si="166"/>
        <v>17+</v>
      </c>
      <c r="N127" s="189"/>
      <c r="O127" s="132">
        <f t="shared" si="167"/>
        <v>1012</v>
      </c>
      <c r="P127" s="127">
        <f t="shared" si="168"/>
        <v>37</v>
      </c>
      <c r="Q127" s="127">
        <f t="shared" si="169"/>
        <v>22.75</v>
      </c>
      <c r="R127" s="128">
        <f t="shared" si="170"/>
        <v>92</v>
      </c>
      <c r="S127" s="130">
        <f t="shared" si="171"/>
        <v>1.2540512286990533</v>
      </c>
      <c r="T127" s="135">
        <f t="shared" si="108"/>
        <v>0</v>
      </c>
      <c r="U127" s="127">
        <f t="shared" si="109"/>
        <v>0</v>
      </c>
      <c r="V127" s="217">
        <v>0</v>
      </c>
      <c r="W127" s="191">
        <v>0</v>
      </c>
      <c r="X127" s="133">
        <v>0</v>
      </c>
      <c r="Y127" s="131">
        <f t="shared" si="110"/>
        <v>2438.5</v>
      </c>
      <c r="Z127" s="131">
        <f t="shared" si="111"/>
        <v>619.50392118264142</v>
      </c>
      <c r="AA127" s="242">
        <f t="shared" si="112"/>
        <v>3058.0039211826415</v>
      </c>
      <c r="AB127" s="131">
        <f t="shared" si="113"/>
        <v>0</v>
      </c>
      <c r="AC127" s="131">
        <f t="shared" si="114"/>
        <v>139.48055684730568</v>
      </c>
      <c r="AD127" s="131">
        <f t="shared" si="115"/>
        <v>0</v>
      </c>
      <c r="AE127" s="131">
        <f t="shared" si="116"/>
        <v>0</v>
      </c>
      <c r="AF127" s="131">
        <f t="shared" si="117"/>
        <v>75.260000000000005</v>
      </c>
      <c r="AG127" s="131">
        <f t="shared" si="118"/>
        <v>0</v>
      </c>
      <c r="AH127" s="131">
        <f t="shared" si="119"/>
        <v>0</v>
      </c>
      <c r="AI127" s="131">
        <f t="shared" si="120"/>
        <v>0</v>
      </c>
      <c r="AJ127" s="131">
        <f t="shared" si="121"/>
        <v>0</v>
      </c>
      <c r="AK127" s="131"/>
      <c r="AL127" s="131">
        <f t="shared" si="122"/>
        <v>0</v>
      </c>
      <c r="AM127" s="131"/>
      <c r="AN127" s="243">
        <f t="shared" si="123"/>
        <v>0</v>
      </c>
      <c r="AO127" s="131">
        <f t="shared" si="124"/>
        <v>0</v>
      </c>
      <c r="AP127" s="131">
        <f t="shared" si="125"/>
        <v>0</v>
      </c>
      <c r="AQ127" s="131"/>
      <c r="AR127" s="131">
        <f t="shared" si="126"/>
        <v>0</v>
      </c>
      <c r="AS127" s="131">
        <f t="shared" si="172"/>
        <v>0</v>
      </c>
      <c r="AT127" s="131">
        <f t="shared" si="127"/>
        <v>0</v>
      </c>
      <c r="AU127" s="131">
        <f t="shared" si="128"/>
        <v>0</v>
      </c>
      <c r="AV127" s="131"/>
      <c r="AW127" s="131">
        <f t="shared" si="129"/>
        <v>353.75</v>
      </c>
      <c r="AX127" s="131">
        <f t="shared" si="183"/>
        <v>0</v>
      </c>
      <c r="AY127" s="131">
        <f t="shared" si="130"/>
        <v>0</v>
      </c>
      <c r="AZ127" s="131"/>
      <c r="BA127" s="131">
        <f t="shared" si="184"/>
        <v>0</v>
      </c>
      <c r="BB127" s="131"/>
      <c r="BC127" s="131"/>
      <c r="BD127" s="131">
        <f t="shared" si="131"/>
        <v>0</v>
      </c>
      <c r="BE127" s="131"/>
      <c r="BF127" s="131">
        <f t="shared" si="173"/>
        <v>0</v>
      </c>
      <c r="BG127" s="131">
        <f t="shared" si="174"/>
        <v>0</v>
      </c>
      <c r="BH127" s="131"/>
      <c r="BI127" s="131"/>
      <c r="BJ127" s="131"/>
      <c r="BK127" s="131">
        <f t="shared" si="175"/>
        <v>0</v>
      </c>
      <c r="BL127" s="131"/>
      <c r="BM127" s="131"/>
      <c r="BN127" s="131">
        <f t="shared" si="176"/>
        <v>0</v>
      </c>
      <c r="BO127" s="131"/>
      <c r="BP127" s="131">
        <f t="shared" si="177"/>
        <v>0</v>
      </c>
      <c r="BQ127" s="131"/>
      <c r="BR127" s="131"/>
      <c r="BS127" s="131"/>
      <c r="BT127" s="131"/>
      <c r="BU127" s="131"/>
      <c r="BV127" s="131">
        <f t="shared" si="178"/>
        <v>0</v>
      </c>
      <c r="BW127" s="131"/>
      <c r="BX127" s="131"/>
      <c r="BY127" s="131"/>
      <c r="BZ127" s="131">
        <f t="shared" si="179"/>
        <v>0</v>
      </c>
      <c r="CA127" s="131"/>
      <c r="CB127" s="136">
        <f t="shared" si="132"/>
        <v>165.08663357180151</v>
      </c>
      <c r="CC127" s="131">
        <f t="shared" si="133"/>
        <v>0</v>
      </c>
      <c r="CD127" s="136">
        <f t="shared" si="134"/>
        <v>0</v>
      </c>
      <c r="CE127" s="131">
        <f t="shared" si="182"/>
        <v>0</v>
      </c>
      <c r="CF127" s="136">
        <f t="shared" si="135"/>
        <v>0</v>
      </c>
      <c r="CG127" s="136"/>
      <c r="CH127" s="136">
        <f t="shared" si="181"/>
        <v>0</v>
      </c>
      <c r="CI127" s="131">
        <f t="shared" si="136"/>
        <v>0</v>
      </c>
      <c r="CJ127" s="131"/>
      <c r="CK127" s="136">
        <f t="shared" si="137"/>
        <v>0</v>
      </c>
      <c r="CL127" s="136">
        <f t="shared" si="138"/>
        <v>0</v>
      </c>
      <c r="CM127" s="131">
        <f t="shared" si="139"/>
        <v>0</v>
      </c>
      <c r="CN127" s="136">
        <f t="shared" si="140"/>
        <v>0</v>
      </c>
      <c r="CO127" s="136">
        <f t="shared" si="141"/>
        <v>0</v>
      </c>
      <c r="CP127" s="136">
        <f t="shared" si="142"/>
        <v>0</v>
      </c>
      <c r="CQ127" s="136"/>
      <c r="CR127" s="136">
        <f t="shared" si="143"/>
        <v>0</v>
      </c>
      <c r="CS127" s="136"/>
      <c r="CT127" s="136"/>
      <c r="CU127" s="136"/>
      <c r="CV127" s="136"/>
      <c r="CW127" s="136"/>
      <c r="CX127" s="136"/>
      <c r="CY127" s="136"/>
      <c r="CZ127" s="136">
        <f t="shared" si="144"/>
        <v>0</v>
      </c>
      <c r="DA127" s="136">
        <f t="shared" si="145"/>
        <v>0</v>
      </c>
      <c r="DB127" s="136">
        <f t="shared" si="146"/>
        <v>0</v>
      </c>
      <c r="DC127" s="131">
        <f t="shared" si="105"/>
        <v>0</v>
      </c>
      <c r="DD127" s="131">
        <f t="shared" si="147"/>
        <v>0</v>
      </c>
      <c r="DE127" s="131">
        <f t="shared" si="148"/>
        <v>0</v>
      </c>
      <c r="DF127" s="131">
        <f t="shared" si="149"/>
        <v>0</v>
      </c>
      <c r="DG127" s="131">
        <f t="shared" si="150"/>
        <v>0</v>
      </c>
      <c r="DH127" s="131"/>
      <c r="DI127" s="131"/>
      <c r="DJ127" s="131"/>
      <c r="DK127" s="137">
        <f t="shared" si="180"/>
        <v>3791.5811116017489</v>
      </c>
      <c r="DL127" s="227" t="e">
        <f t="shared" si="151"/>
        <v>#REF!</v>
      </c>
      <c r="DM127" s="227" t="e">
        <f t="shared" si="152"/>
        <v>#REF!</v>
      </c>
      <c r="DN127" s="228" t="e">
        <f t="shared" si="106"/>
        <v>#REF!</v>
      </c>
      <c r="DO127" s="228">
        <f t="shared" si="153"/>
        <v>181.81087083894022</v>
      </c>
      <c r="DP127" s="228" t="e">
        <f t="shared" si="154"/>
        <v>#REF!</v>
      </c>
      <c r="DQ127" s="228" t="e">
        <f t="shared" si="155"/>
        <v>#REF!</v>
      </c>
    </row>
    <row r="128" spans="1:121">
      <c r="A128" s="132">
        <f t="shared" si="107"/>
        <v>118</v>
      </c>
      <c r="B128" s="18">
        <f t="shared" si="156"/>
        <v>118</v>
      </c>
      <c r="C128" s="18">
        <f>IF(A128=0," ",VLOOKUP(B128,'tosafot '!$A$7:$B$234,2,0))</f>
        <v>10.201700000000001</v>
      </c>
      <c r="D128" s="220">
        <f t="shared" si="157"/>
        <v>228</v>
      </c>
      <c r="E128" s="130">
        <f t="shared" si="158"/>
        <v>12.2026</v>
      </c>
      <c r="F128" s="126">
        <f t="shared" si="159"/>
        <v>9</v>
      </c>
      <c r="G128" s="18" t="str">
        <f t="shared" si="160"/>
        <v>הבריאות</v>
      </c>
      <c r="H128" s="189">
        <f t="shared" si="161"/>
        <v>107</v>
      </c>
      <c r="I128" s="18">
        <f t="shared" si="162"/>
        <v>1</v>
      </c>
      <c r="J128" s="18" t="str">
        <f t="shared" si="163"/>
        <v>מינהלי - עובדי מדינה</v>
      </c>
      <c r="K128" s="189">
        <f t="shared" si="164"/>
        <v>1</v>
      </c>
      <c r="L128" s="18">
        <f t="shared" si="165"/>
        <v>12</v>
      </c>
      <c r="M128" s="129" t="str">
        <f t="shared" si="166"/>
        <v>17+</v>
      </c>
      <c r="N128" s="189"/>
      <c r="O128" s="132">
        <f t="shared" si="167"/>
        <v>1012</v>
      </c>
      <c r="P128" s="127">
        <f t="shared" si="168"/>
        <v>37</v>
      </c>
      <c r="Q128" s="127">
        <f t="shared" si="169"/>
        <v>22.75</v>
      </c>
      <c r="R128" s="128">
        <f t="shared" si="170"/>
        <v>92</v>
      </c>
      <c r="S128" s="130">
        <f t="shared" si="171"/>
        <v>1.2540512286990533</v>
      </c>
      <c r="T128" s="135">
        <f t="shared" si="108"/>
        <v>0</v>
      </c>
      <c r="U128" s="127">
        <f t="shared" si="109"/>
        <v>0</v>
      </c>
      <c r="V128" s="217">
        <v>0</v>
      </c>
      <c r="W128" s="191">
        <v>0</v>
      </c>
      <c r="X128" s="133">
        <v>0</v>
      </c>
      <c r="Y128" s="131">
        <f t="shared" si="110"/>
        <v>2438.5</v>
      </c>
      <c r="Z128" s="131">
        <f t="shared" si="111"/>
        <v>619.50392118264142</v>
      </c>
      <c r="AA128" s="242">
        <f t="shared" si="112"/>
        <v>3058.0039211826415</v>
      </c>
      <c r="AB128" s="131">
        <f t="shared" si="113"/>
        <v>0</v>
      </c>
      <c r="AC128" s="131">
        <f t="shared" si="114"/>
        <v>139.48055684730568</v>
      </c>
      <c r="AD128" s="131">
        <f t="shared" si="115"/>
        <v>0</v>
      </c>
      <c r="AE128" s="131">
        <f t="shared" si="116"/>
        <v>0</v>
      </c>
      <c r="AF128" s="131">
        <f t="shared" si="117"/>
        <v>75.260000000000005</v>
      </c>
      <c r="AG128" s="131">
        <f t="shared" si="118"/>
        <v>0</v>
      </c>
      <c r="AH128" s="131">
        <f t="shared" si="119"/>
        <v>0</v>
      </c>
      <c r="AI128" s="131">
        <f t="shared" si="120"/>
        <v>0</v>
      </c>
      <c r="AJ128" s="131">
        <f t="shared" si="121"/>
        <v>0</v>
      </c>
      <c r="AK128" s="131"/>
      <c r="AL128" s="131">
        <f t="shared" si="122"/>
        <v>0</v>
      </c>
      <c r="AM128" s="131"/>
      <c r="AN128" s="243">
        <f t="shared" si="123"/>
        <v>0</v>
      </c>
      <c r="AO128" s="131">
        <f t="shared" si="124"/>
        <v>0</v>
      </c>
      <c r="AP128" s="131">
        <f t="shared" si="125"/>
        <v>0</v>
      </c>
      <c r="AQ128" s="131"/>
      <c r="AR128" s="131">
        <f t="shared" si="126"/>
        <v>0</v>
      </c>
      <c r="AS128" s="131">
        <f t="shared" si="172"/>
        <v>0</v>
      </c>
      <c r="AT128" s="131">
        <f t="shared" si="127"/>
        <v>0</v>
      </c>
      <c r="AU128" s="131">
        <f t="shared" si="128"/>
        <v>0</v>
      </c>
      <c r="AV128" s="131"/>
      <c r="AW128" s="131">
        <f t="shared" si="129"/>
        <v>353.75</v>
      </c>
      <c r="AX128" s="131">
        <f t="shared" si="183"/>
        <v>0</v>
      </c>
      <c r="AY128" s="131">
        <f t="shared" si="130"/>
        <v>0</v>
      </c>
      <c r="AZ128" s="131"/>
      <c r="BA128" s="131">
        <f t="shared" si="184"/>
        <v>0</v>
      </c>
      <c r="BB128" s="131"/>
      <c r="BC128" s="131"/>
      <c r="BD128" s="131">
        <f t="shared" si="131"/>
        <v>0</v>
      </c>
      <c r="BE128" s="131"/>
      <c r="BF128" s="131">
        <f t="shared" si="173"/>
        <v>0</v>
      </c>
      <c r="BG128" s="131">
        <f t="shared" si="174"/>
        <v>0</v>
      </c>
      <c r="BH128" s="131"/>
      <c r="BI128" s="131"/>
      <c r="BJ128" s="131"/>
      <c r="BK128" s="131">
        <f t="shared" si="175"/>
        <v>0</v>
      </c>
      <c r="BL128" s="131"/>
      <c r="BM128" s="131"/>
      <c r="BN128" s="131">
        <f t="shared" si="176"/>
        <v>0</v>
      </c>
      <c r="BO128" s="131"/>
      <c r="BP128" s="131">
        <f t="shared" si="177"/>
        <v>0</v>
      </c>
      <c r="BQ128" s="131"/>
      <c r="BR128" s="131"/>
      <c r="BS128" s="131"/>
      <c r="BT128" s="131"/>
      <c r="BU128" s="131"/>
      <c r="BV128" s="131">
        <f t="shared" si="178"/>
        <v>0</v>
      </c>
      <c r="BW128" s="131"/>
      <c r="BX128" s="131"/>
      <c r="BY128" s="131"/>
      <c r="BZ128" s="131">
        <f t="shared" si="179"/>
        <v>0</v>
      </c>
      <c r="CA128" s="131"/>
      <c r="CB128" s="136">
        <f t="shared" si="132"/>
        <v>165.08663357180151</v>
      </c>
      <c r="CC128" s="131">
        <f t="shared" si="133"/>
        <v>0</v>
      </c>
      <c r="CD128" s="136">
        <f t="shared" si="134"/>
        <v>0</v>
      </c>
      <c r="CE128" s="131">
        <f t="shared" si="182"/>
        <v>0</v>
      </c>
      <c r="CF128" s="136">
        <f t="shared" si="135"/>
        <v>0</v>
      </c>
      <c r="CG128" s="136"/>
      <c r="CH128" s="136">
        <f t="shared" si="181"/>
        <v>0</v>
      </c>
      <c r="CI128" s="131">
        <f t="shared" si="136"/>
        <v>0</v>
      </c>
      <c r="CJ128" s="131"/>
      <c r="CK128" s="136">
        <f t="shared" si="137"/>
        <v>0</v>
      </c>
      <c r="CL128" s="136">
        <f t="shared" si="138"/>
        <v>0</v>
      </c>
      <c r="CM128" s="131">
        <f t="shared" si="139"/>
        <v>0</v>
      </c>
      <c r="CN128" s="136">
        <f t="shared" si="140"/>
        <v>0</v>
      </c>
      <c r="CO128" s="136">
        <f t="shared" si="141"/>
        <v>0</v>
      </c>
      <c r="CP128" s="136">
        <f t="shared" si="142"/>
        <v>0</v>
      </c>
      <c r="CQ128" s="136"/>
      <c r="CR128" s="136">
        <f t="shared" si="143"/>
        <v>0</v>
      </c>
      <c r="CS128" s="136"/>
      <c r="CT128" s="136"/>
      <c r="CU128" s="136"/>
      <c r="CV128" s="136"/>
      <c r="CW128" s="136"/>
      <c r="CX128" s="136"/>
      <c r="CY128" s="136"/>
      <c r="CZ128" s="136">
        <f t="shared" si="144"/>
        <v>0</v>
      </c>
      <c r="DA128" s="136">
        <f t="shared" si="145"/>
        <v>0</v>
      </c>
      <c r="DB128" s="136">
        <f t="shared" si="146"/>
        <v>0</v>
      </c>
      <c r="DC128" s="131">
        <f t="shared" si="105"/>
        <v>0</v>
      </c>
      <c r="DD128" s="131">
        <f t="shared" si="147"/>
        <v>0</v>
      </c>
      <c r="DE128" s="131">
        <f t="shared" si="148"/>
        <v>0</v>
      </c>
      <c r="DF128" s="131">
        <f t="shared" si="149"/>
        <v>0</v>
      </c>
      <c r="DG128" s="131">
        <f t="shared" si="150"/>
        <v>0</v>
      </c>
      <c r="DH128" s="131"/>
      <c r="DI128" s="131"/>
      <c r="DJ128" s="131"/>
      <c r="DK128" s="137">
        <f t="shared" si="180"/>
        <v>3791.5811116017489</v>
      </c>
      <c r="DL128" s="227" t="e">
        <f t="shared" si="151"/>
        <v>#REF!</v>
      </c>
      <c r="DM128" s="227" t="e">
        <f t="shared" si="152"/>
        <v>#REF!</v>
      </c>
      <c r="DN128" s="228" t="e">
        <f t="shared" si="106"/>
        <v>#REF!</v>
      </c>
      <c r="DO128" s="228">
        <f t="shared" si="153"/>
        <v>181.81087083894022</v>
      </c>
      <c r="DP128" s="228" t="e">
        <f t="shared" si="154"/>
        <v>#REF!</v>
      </c>
      <c r="DQ128" s="228" t="e">
        <f t="shared" si="155"/>
        <v>#REF!</v>
      </c>
    </row>
    <row r="129" spans="1:121">
      <c r="A129" s="132">
        <f t="shared" si="107"/>
        <v>119</v>
      </c>
      <c r="B129" s="18">
        <f t="shared" si="156"/>
        <v>119</v>
      </c>
      <c r="C129" s="18">
        <f>IF(A129=0," ",VLOOKUP(B129,'tosafot '!$A$7:$B$234,2,0))</f>
        <v>11.201700000000001</v>
      </c>
      <c r="D129" s="220">
        <f t="shared" si="157"/>
        <v>228</v>
      </c>
      <c r="E129" s="130">
        <f t="shared" si="158"/>
        <v>12.2026</v>
      </c>
      <c r="F129" s="126">
        <f t="shared" si="159"/>
        <v>9</v>
      </c>
      <c r="G129" s="18" t="str">
        <f t="shared" si="160"/>
        <v>הבריאות</v>
      </c>
      <c r="H129" s="189">
        <f t="shared" si="161"/>
        <v>107</v>
      </c>
      <c r="I129" s="18">
        <f t="shared" si="162"/>
        <v>1</v>
      </c>
      <c r="J129" s="18" t="str">
        <f t="shared" si="163"/>
        <v>מינהלי - עובדי מדינה</v>
      </c>
      <c r="K129" s="189">
        <f t="shared" si="164"/>
        <v>1</v>
      </c>
      <c r="L129" s="18">
        <f t="shared" si="165"/>
        <v>12</v>
      </c>
      <c r="M129" s="129" t="str">
        <f t="shared" si="166"/>
        <v>17+</v>
      </c>
      <c r="N129" s="189"/>
      <c r="O129" s="132">
        <f t="shared" si="167"/>
        <v>1012</v>
      </c>
      <c r="P129" s="127">
        <f t="shared" si="168"/>
        <v>37</v>
      </c>
      <c r="Q129" s="127">
        <f t="shared" si="169"/>
        <v>22.75</v>
      </c>
      <c r="R129" s="128">
        <f t="shared" si="170"/>
        <v>92</v>
      </c>
      <c r="S129" s="130">
        <f t="shared" si="171"/>
        <v>1.2540512286990533</v>
      </c>
      <c r="T129" s="135">
        <f t="shared" si="108"/>
        <v>0</v>
      </c>
      <c r="U129" s="127">
        <f t="shared" si="109"/>
        <v>0</v>
      </c>
      <c r="V129" s="217">
        <v>0</v>
      </c>
      <c r="W129" s="191">
        <v>0</v>
      </c>
      <c r="X129" s="133">
        <v>0</v>
      </c>
      <c r="Y129" s="131">
        <f t="shared" si="110"/>
        <v>2438.5</v>
      </c>
      <c r="Z129" s="131">
        <f t="shared" si="111"/>
        <v>619.50392118264142</v>
      </c>
      <c r="AA129" s="242">
        <f t="shared" si="112"/>
        <v>3058.0039211826415</v>
      </c>
      <c r="AB129" s="131">
        <f t="shared" si="113"/>
        <v>0</v>
      </c>
      <c r="AC129" s="131">
        <f t="shared" si="114"/>
        <v>139.48055684730568</v>
      </c>
      <c r="AD129" s="131">
        <f t="shared" si="115"/>
        <v>0</v>
      </c>
      <c r="AE129" s="131">
        <f t="shared" si="116"/>
        <v>0</v>
      </c>
      <c r="AF129" s="131">
        <f t="shared" si="117"/>
        <v>75.260000000000005</v>
      </c>
      <c r="AG129" s="131">
        <f t="shared" si="118"/>
        <v>0</v>
      </c>
      <c r="AH129" s="131">
        <f t="shared" si="119"/>
        <v>0</v>
      </c>
      <c r="AI129" s="131">
        <f t="shared" si="120"/>
        <v>0</v>
      </c>
      <c r="AJ129" s="131">
        <f t="shared" si="121"/>
        <v>0</v>
      </c>
      <c r="AK129" s="131"/>
      <c r="AL129" s="131">
        <f t="shared" si="122"/>
        <v>0</v>
      </c>
      <c r="AM129" s="131"/>
      <c r="AN129" s="243">
        <f t="shared" si="123"/>
        <v>0</v>
      </c>
      <c r="AO129" s="131">
        <f t="shared" si="124"/>
        <v>0</v>
      </c>
      <c r="AP129" s="131">
        <f t="shared" si="125"/>
        <v>0</v>
      </c>
      <c r="AQ129" s="131"/>
      <c r="AR129" s="131">
        <f t="shared" si="126"/>
        <v>0</v>
      </c>
      <c r="AS129" s="131">
        <f t="shared" si="172"/>
        <v>0</v>
      </c>
      <c r="AT129" s="131">
        <f t="shared" si="127"/>
        <v>0</v>
      </c>
      <c r="AU129" s="131">
        <f t="shared" si="128"/>
        <v>0</v>
      </c>
      <c r="AV129" s="131"/>
      <c r="AW129" s="131">
        <f t="shared" si="129"/>
        <v>353.75</v>
      </c>
      <c r="AX129" s="131">
        <f t="shared" si="183"/>
        <v>0</v>
      </c>
      <c r="AY129" s="131">
        <f t="shared" si="130"/>
        <v>0</v>
      </c>
      <c r="AZ129" s="131"/>
      <c r="BA129" s="131">
        <f t="shared" si="184"/>
        <v>0</v>
      </c>
      <c r="BB129" s="131"/>
      <c r="BC129" s="131"/>
      <c r="BD129" s="131">
        <f t="shared" si="131"/>
        <v>0</v>
      </c>
      <c r="BE129" s="131"/>
      <c r="BF129" s="131">
        <f t="shared" si="173"/>
        <v>0</v>
      </c>
      <c r="BG129" s="131">
        <f t="shared" si="174"/>
        <v>0</v>
      </c>
      <c r="BH129" s="131"/>
      <c r="BI129" s="131"/>
      <c r="BJ129" s="131"/>
      <c r="BK129" s="131">
        <f t="shared" si="175"/>
        <v>0</v>
      </c>
      <c r="BL129" s="131"/>
      <c r="BM129" s="131"/>
      <c r="BN129" s="131">
        <f t="shared" si="176"/>
        <v>0</v>
      </c>
      <c r="BO129" s="131"/>
      <c r="BP129" s="131">
        <f t="shared" si="177"/>
        <v>0</v>
      </c>
      <c r="BQ129" s="131"/>
      <c r="BR129" s="131"/>
      <c r="BS129" s="131"/>
      <c r="BT129" s="131"/>
      <c r="BU129" s="131"/>
      <c r="BV129" s="131">
        <f t="shared" si="178"/>
        <v>0</v>
      </c>
      <c r="BW129" s="131"/>
      <c r="BX129" s="131"/>
      <c r="BY129" s="131"/>
      <c r="BZ129" s="131">
        <f t="shared" si="179"/>
        <v>0</v>
      </c>
      <c r="CA129" s="131"/>
      <c r="CB129" s="136">
        <f t="shared" si="132"/>
        <v>165.08663357180151</v>
      </c>
      <c r="CC129" s="131">
        <f t="shared" si="133"/>
        <v>0</v>
      </c>
      <c r="CD129" s="136">
        <f t="shared" si="134"/>
        <v>0</v>
      </c>
      <c r="CE129" s="131">
        <f t="shared" si="182"/>
        <v>0</v>
      </c>
      <c r="CF129" s="136">
        <f t="shared" si="135"/>
        <v>0</v>
      </c>
      <c r="CG129" s="136"/>
      <c r="CH129" s="136">
        <f t="shared" si="181"/>
        <v>0</v>
      </c>
      <c r="CI129" s="131">
        <f t="shared" si="136"/>
        <v>0</v>
      </c>
      <c r="CJ129" s="131"/>
      <c r="CK129" s="136">
        <f t="shared" si="137"/>
        <v>0</v>
      </c>
      <c r="CL129" s="136">
        <f t="shared" si="138"/>
        <v>0</v>
      </c>
      <c r="CM129" s="131">
        <f t="shared" si="139"/>
        <v>0</v>
      </c>
      <c r="CN129" s="136">
        <f t="shared" si="140"/>
        <v>0</v>
      </c>
      <c r="CO129" s="136">
        <f t="shared" si="141"/>
        <v>0</v>
      </c>
      <c r="CP129" s="136">
        <f t="shared" si="142"/>
        <v>0</v>
      </c>
      <c r="CQ129" s="136"/>
      <c r="CR129" s="136">
        <f t="shared" si="143"/>
        <v>0</v>
      </c>
      <c r="CS129" s="136"/>
      <c r="CT129" s="136"/>
      <c r="CU129" s="136"/>
      <c r="CV129" s="136"/>
      <c r="CW129" s="136"/>
      <c r="CX129" s="136"/>
      <c r="CY129" s="136"/>
      <c r="CZ129" s="136">
        <f t="shared" si="144"/>
        <v>0</v>
      </c>
      <c r="DA129" s="136">
        <f t="shared" si="145"/>
        <v>0</v>
      </c>
      <c r="DB129" s="136">
        <f t="shared" si="146"/>
        <v>0</v>
      </c>
      <c r="DC129" s="131">
        <f t="shared" si="105"/>
        <v>0</v>
      </c>
      <c r="DD129" s="131">
        <f t="shared" si="147"/>
        <v>0</v>
      </c>
      <c r="DE129" s="131">
        <f t="shared" si="148"/>
        <v>0</v>
      </c>
      <c r="DF129" s="131">
        <f t="shared" si="149"/>
        <v>0</v>
      </c>
      <c r="DG129" s="131">
        <f t="shared" si="150"/>
        <v>0</v>
      </c>
      <c r="DH129" s="131"/>
      <c r="DI129" s="131"/>
      <c r="DJ129" s="131"/>
      <c r="DK129" s="137">
        <f t="shared" si="180"/>
        <v>3791.5811116017489</v>
      </c>
      <c r="DL129" s="227" t="e">
        <f t="shared" si="151"/>
        <v>#REF!</v>
      </c>
      <c r="DM129" s="227" t="e">
        <f t="shared" si="152"/>
        <v>#REF!</v>
      </c>
      <c r="DN129" s="228" t="e">
        <f t="shared" si="106"/>
        <v>#REF!</v>
      </c>
      <c r="DO129" s="228">
        <f t="shared" si="153"/>
        <v>181.81087083894022</v>
      </c>
      <c r="DP129" s="228" t="e">
        <f t="shared" si="154"/>
        <v>#REF!</v>
      </c>
      <c r="DQ129" s="228" t="e">
        <f t="shared" si="155"/>
        <v>#REF!</v>
      </c>
    </row>
    <row r="130" spans="1:121">
      <c r="A130" s="132">
        <f t="shared" si="107"/>
        <v>120</v>
      </c>
      <c r="B130" s="18">
        <f t="shared" si="156"/>
        <v>120</v>
      </c>
      <c r="C130" s="18">
        <f>IF(A130=0," ",VLOOKUP(B130,'tosafot '!$A$7:$B$234,2,0))</f>
        <v>12.201700000000001</v>
      </c>
      <c r="D130" s="220">
        <f t="shared" si="157"/>
        <v>228</v>
      </c>
      <c r="E130" s="130">
        <f t="shared" si="158"/>
        <v>12.2026</v>
      </c>
      <c r="F130" s="126">
        <f t="shared" si="159"/>
        <v>9</v>
      </c>
      <c r="G130" s="18" t="str">
        <f t="shared" si="160"/>
        <v>הבריאות</v>
      </c>
      <c r="H130" s="189">
        <f t="shared" si="161"/>
        <v>107</v>
      </c>
      <c r="I130" s="18">
        <f t="shared" si="162"/>
        <v>1</v>
      </c>
      <c r="J130" s="18" t="str">
        <f t="shared" si="163"/>
        <v>מינהלי - עובדי מדינה</v>
      </c>
      <c r="K130" s="189">
        <f t="shared" si="164"/>
        <v>1</v>
      </c>
      <c r="L130" s="18">
        <f t="shared" si="165"/>
        <v>12</v>
      </c>
      <c r="M130" s="129" t="str">
        <f t="shared" si="166"/>
        <v>17+</v>
      </c>
      <c r="N130" s="189"/>
      <c r="O130" s="132">
        <f t="shared" si="167"/>
        <v>1012</v>
      </c>
      <c r="P130" s="127">
        <f t="shared" si="168"/>
        <v>37</v>
      </c>
      <c r="Q130" s="127">
        <f t="shared" si="169"/>
        <v>22.75</v>
      </c>
      <c r="R130" s="128">
        <f t="shared" si="170"/>
        <v>92</v>
      </c>
      <c r="S130" s="130">
        <f t="shared" si="171"/>
        <v>1.2540512286990533</v>
      </c>
      <c r="T130" s="135">
        <f t="shared" si="108"/>
        <v>0</v>
      </c>
      <c r="U130" s="127">
        <f t="shared" si="109"/>
        <v>0</v>
      </c>
      <c r="V130" s="217">
        <v>0</v>
      </c>
      <c r="W130" s="191">
        <v>0</v>
      </c>
      <c r="X130" s="133">
        <v>0</v>
      </c>
      <c r="Y130" s="131">
        <f t="shared" si="110"/>
        <v>2438.5</v>
      </c>
      <c r="Z130" s="131">
        <f t="shared" si="111"/>
        <v>619.50392118264142</v>
      </c>
      <c r="AA130" s="242">
        <f t="shared" si="112"/>
        <v>3058.0039211826415</v>
      </c>
      <c r="AB130" s="131">
        <f t="shared" si="113"/>
        <v>0</v>
      </c>
      <c r="AC130" s="131">
        <f t="shared" si="114"/>
        <v>139.48055684730568</v>
      </c>
      <c r="AD130" s="131">
        <f t="shared" si="115"/>
        <v>0</v>
      </c>
      <c r="AE130" s="131">
        <f t="shared" si="116"/>
        <v>0</v>
      </c>
      <c r="AF130" s="131">
        <f t="shared" si="117"/>
        <v>75.260000000000005</v>
      </c>
      <c r="AG130" s="131">
        <f t="shared" si="118"/>
        <v>0</v>
      </c>
      <c r="AH130" s="131">
        <f t="shared" si="119"/>
        <v>0</v>
      </c>
      <c r="AI130" s="131">
        <f t="shared" si="120"/>
        <v>0</v>
      </c>
      <c r="AJ130" s="131">
        <f t="shared" si="121"/>
        <v>0</v>
      </c>
      <c r="AK130" s="131"/>
      <c r="AL130" s="131">
        <f t="shared" si="122"/>
        <v>0</v>
      </c>
      <c r="AM130" s="131"/>
      <c r="AN130" s="243">
        <f t="shared" si="123"/>
        <v>0</v>
      </c>
      <c r="AO130" s="131">
        <f t="shared" si="124"/>
        <v>0</v>
      </c>
      <c r="AP130" s="131">
        <f t="shared" si="125"/>
        <v>0</v>
      </c>
      <c r="AQ130" s="131"/>
      <c r="AR130" s="131">
        <f t="shared" si="126"/>
        <v>0</v>
      </c>
      <c r="AS130" s="131">
        <f t="shared" si="172"/>
        <v>0</v>
      </c>
      <c r="AT130" s="131">
        <f t="shared" si="127"/>
        <v>0</v>
      </c>
      <c r="AU130" s="131">
        <f t="shared" si="128"/>
        <v>0</v>
      </c>
      <c r="AV130" s="131"/>
      <c r="AW130" s="131">
        <f t="shared" si="129"/>
        <v>353.75</v>
      </c>
      <c r="AX130" s="131">
        <f t="shared" si="183"/>
        <v>0</v>
      </c>
      <c r="AY130" s="131">
        <f t="shared" si="130"/>
        <v>0</v>
      </c>
      <c r="AZ130" s="131"/>
      <c r="BA130" s="131">
        <f t="shared" si="184"/>
        <v>0</v>
      </c>
      <c r="BB130" s="131"/>
      <c r="BC130" s="131"/>
      <c r="BD130" s="131">
        <f t="shared" si="131"/>
        <v>0</v>
      </c>
      <c r="BE130" s="131"/>
      <c r="BF130" s="131">
        <f t="shared" si="173"/>
        <v>0</v>
      </c>
      <c r="BG130" s="131">
        <f t="shared" si="174"/>
        <v>0</v>
      </c>
      <c r="BH130" s="131"/>
      <c r="BI130" s="131"/>
      <c r="BJ130" s="131"/>
      <c r="BK130" s="131">
        <f t="shared" si="175"/>
        <v>0</v>
      </c>
      <c r="BL130" s="131"/>
      <c r="BM130" s="131"/>
      <c r="BN130" s="131">
        <f t="shared" si="176"/>
        <v>0</v>
      </c>
      <c r="BO130" s="131"/>
      <c r="BP130" s="131">
        <f t="shared" si="177"/>
        <v>0</v>
      </c>
      <c r="BQ130" s="131"/>
      <c r="BR130" s="131"/>
      <c r="BS130" s="131"/>
      <c r="BT130" s="131"/>
      <c r="BU130" s="131"/>
      <c r="BV130" s="131">
        <f t="shared" si="178"/>
        <v>0</v>
      </c>
      <c r="BW130" s="131"/>
      <c r="BX130" s="131"/>
      <c r="BY130" s="131"/>
      <c r="BZ130" s="131">
        <f t="shared" si="179"/>
        <v>0</v>
      </c>
      <c r="CA130" s="131"/>
      <c r="CB130" s="136">
        <f t="shared" si="132"/>
        <v>165.08663357180151</v>
      </c>
      <c r="CC130" s="131">
        <f t="shared" si="133"/>
        <v>0</v>
      </c>
      <c r="CD130" s="136">
        <f t="shared" si="134"/>
        <v>0</v>
      </c>
      <c r="CE130" s="131">
        <f t="shared" si="182"/>
        <v>0</v>
      </c>
      <c r="CF130" s="136">
        <f t="shared" si="135"/>
        <v>0</v>
      </c>
      <c r="CG130" s="136"/>
      <c r="CH130" s="136">
        <f t="shared" si="181"/>
        <v>0</v>
      </c>
      <c r="CI130" s="131">
        <f t="shared" si="136"/>
        <v>0</v>
      </c>
      <c r="CJ130" s="131"/>
      <c r="CK130" s="136">
        <f t="shared" si="137"/>
        <v>0</v>
      </c>
      <c r="CL130" s="136">
        <f t="shared" si="138"/>
        <v>0</v>
      </c>
      <c r="CM130" s="131">
        <f t="shared" si="139"/>
        <v>0</v>
      </c>
      <c r="CN130" s="136">
        <f t="shared" si="140"/>
        <v>0</v>
      </c>
      <c r="CO130" s="136">
        <f t="shared" si="141"/>
        <v>0</v>
      </c>
      <c r="CP130" s="136">
        <f t="shared" si="142"/>
        <v>0</v>
      </c>
      <c r="CQ130" s="136"/>
      <c r="CR130" s="136">
        <f t="shared" si="143"/>
        <v>0</v>
      </c>
      <c r="CS130" s="136"/>
      <c r="CT130" s="136"/>
      <c r="CU130" s="136"/>
      <c r="CV130" s="136"/>
      <c r="CW130" s="136"/>
      <c r="CX130" s="136"/>
      <c r="CY130" s="136"/>
      <c r="CZ130" s="136">
        <f t="shared" si="144"/>
        <v>0</v>
      </c>
      <c r="DA130" s="136">
        <f t="shared" si="145"/>
        <v>0</v>
      </c>
      <c r="DB130" s="136">
        <f t="shared" si="146"/>
        <v>0</v>
      </c>
      <c r="DC130" s="131">
        <f t="shared" si="105"/>
        <v>0</v>
      </c>
      <c r="DD130" s="131">
        <f t="shared" si="147"/>
        <v>0</v>
      </c>
      <c r="DE130" s="131">
        <f t="shared" si="148"/>
        <v>0</v>
      </c>
      <c r="DF130" s="131">
        <f t="shared" si="149"/>
        <v>0</v>
      </c>
      <c r="DG130" s="131">
        <f t="shared" si="150"/>
        <v>0</v>
      </c>
      <c r="DH130" s="131"/>
      <c r="DI130" s="131"/>
      <c r="DJ130" s="131"/>
      <c r="DK130" s="137">
        <f t="shared" si="180"/>
        <v>3791.5811116017489</v>
      </c>
      <c r="DL130" s="227" t="e">
        <f t="shared" si="151"/>
        <v>#REF!</v>
      </c>
      <c r="DM130" s="227" t="e">
        <f t="shared" si="152"/>
        <v>#REF!</v>
      </c>
      <c r="DN130" s="228" t="e">
        <f t="shared" si="106"/>
        <v>#REF!</v>
      </c>
      <c r="DO130" s="228">
        <f t="shared" si="153"/>
        <v>181.81087083894022</v>
      </c>
      <c r="DP130" s="228" t="e">
        <f t="shared" si="154"/>
        <v>#REF!</v>
      </c>
      <c r="DQ130" s="228" t="e">
        <f t="shared" si="155"/>
        <v>#REF!</v>
      </c>
    </row>
    <row r="131" spans="1:121">
      <c r="A131" s="132">
        <f t="shared" si="107"/>
        <v>121</v>
      </c>
      <c r="B131" s="18">
        <f t="shared" si="156"/>
        <v>121</v>
      </c>
      <c r="C131" s="18">
        <f>IF(A131=0," ",VLOOKUP(B131,'tosafot '!$A$7:$B$234,2,0))</f>
        <v>1.2018</v>
      </c>
      <c r="D131" s="220">
        <f t="shared" si="157"/>
        <v>228</v>
      </c>
      <c r="E131" s="130">
        <f t="shared" si="158"/>
        <v>12.2026</v>
      </c>
      <c r="F131" s="126">
        <f t="shared" si="159"/>
        <v>9</v>
      </c>
      <c r="G131" s="18" t="str">
        <f t="shared" si="160"/>
        <v>הבריאות</v>
      </c>
      <c r="H131" s="189">
        <f t="shared" si="161"/>
        <v>107</v>
      </c>
      <c r="I131" s="18">
        <f t="shared" si="162"/>
        <v>1</v>
      </c>
      <c r="J131" s="18" t="str">
        <f t="shared" si="163"/>
        <v>מינהלי - עובדי מדינה</v>
      </c>
      <c r="K131" s="189">
        <f t="shared" si="164"/>
        <v>1</v>
      </c>
      <c r="L131" s="18">
        <f t="shared" si="165"/>
        <v>12</v>
      </c>
      <c r="M131" s="129" t="str">
        <f t="shared" si="166"/>
        <v>17+</v>
      </c>
      <c r="N131" s="189"/>
      <c r="O131" s="132">
        <f t="shared" si="167"/>
        <v>1012</v>
      </c>
      <c r="P131" s="127">
        <f t="shared" si="168"/>
        <v>37</v>
      </c>
      <c r="Q131" s="127">
        <f t="shared" si="169"/>
        <v>22.75</v>
      </c>
      <c r="R131" s="128">
        <f t="shared" si="170"/>
        <v>92</v>
      </c>
      <c r="S131" s="130">
        <f t="shared" si="171"/>
        <v>1.2540512286990533</v>
      </c>
      <c r="T131" s="135">
        <f t="shared" si="108"/>
        <v>0</v>
      </c>
      <c r="U131" s="127">
        <f t="shared" si="109"/>
        <v>0</v>
      </c>
      <c r="V131" s="217">
        <v>0</v>
      </c>
      <c r="W131" s="191">
        <v>0</v>
      </c>
      <c r="X131" s="133">
        <v>0</v>
      </c>
      <c r="Y131" s="131">
        <f t="shared" si="110"/>
        <v>2438.5</v>
      </c>
      <c r="Z131" s="131">
        <f t="shared" si="111"/>
        <v>619.50392118264142</v>
      </c>
      <c r="AA131" s="242">
        <f t="shared" si="112"/>
        <v>3058.0039211826415</v>
      </c>
      <c r="AB131" s="131">
        <f t="shared" si="113"/>
        <v>0</v>
      </c>
      <c r="AC131" s="131">
        <f t="shared" si="114"/>
        <v>139.48055684730568</v>
      </c>
      <c r="AD131" s="131">
        <f t="shared" si="115"/>
        <v>0</v>
      </c>
      <c r="AE131" s="131">
        <f t="shared" si="116"/>
        <v>0</v>
      </c>
      <c r="AF131" s="131">
        <f t="shared" si="117"/>
        <v>75.260000000000005</v>
      </c>
      <c r="AG131" s="131">
        <f t="shared" si="118"/>
        <v>0</v>
      </c>
      <c r="AH131" s="131">
        <f t="shared" si="119"/>
        <v>0</v>
      </c>
      <c r="AI131" s="131">
        <f t="shared" si="120"/>
        <v>0</v>
      </c>
      <c r="AJ131" s="131">
        <f t="shared" si="121"/>
        <v>0</v>
      </c>
      <c r="AK131" s="131"/>
      <c r="AL131" s="131">
        <f t="shared" si="122"/>
        <v>0</v>
      </c>
      <c r="AM131" s="131"/>
      <c r="AN131" s="243">
        <f t="shared" si="123"/>
        <v>0</v>
      </c>
      <c r="AO131" s="131">
        <f t="shared" si="124"/>
        <v>0</v>
      </c>
      <c r="AP131" s="131">
        <f t="shared" si="125"/>
        <v>0</v>
      </c>
      <c r="AQ131" s="131"/>
      <c r="AR131" s="131">
        <f t="shared" si="126"/>
        <v>0</v>
      </c>
      <c r="AS131" s="131">
        <f t="shared" si="172"/>
        <v>0</v>
      </c>
      <c r="AT131" s="131">
        <f t="shared" si="127"/>
        <v>0</v>
      </c>
      <c r="AU131" s="131">
        <f t="shared" si="128"/>
        <v>0</v>
      </c>
      <c r="AV131" s="131"/>
      <c r="AW131" s="131">
        <f t="shared" si="129"/>
        <v>353.75</v>
      </c>
      <c r="AX131" s="131">
        <f t="shared" si="183"/>
        <v>0</v>
      </c>
      <c r="AY131" s="131">
        <f t="shared" si="130"/>
        <v>0</v>
      </c>
      <c r="AZ131" s="131"/>
      <c r="BA131" s="131">
        <f t="shared" si="184"/>
        <v>0</v>
      </c>
      <c r="BB131" s="131"/>
      <c r="BC131" s="131"/>
      <c r="BD131" s="131">
        <f t="shared" si="131"/>
        <v>0</v>
      </c>
      <c r="BE131" s="131"/>
      <c r="BF131" s="131">
        <f t="shared" si="173"/>
        <v>0</v>
      </c>
      <c r="BG131" s="131">
        <f t="shared" si="174"/>
        <v>0</v>
      </c>
      <c r="BH131" s="131"/>
      <c r="BI131" s="131"/>
      <c r="BJ131" s="131"/>
      <c r="BK131" s="131">
        <f t="shared" si="175"/>
        <v>0</v>
      </c>
      <c r="BL131" s="131"/>
      <c r="BM131" s="131"/>
      <c r="BN131" s="131">
        <f t="shared" si="176"/>
        <v>0</v>
      </c>
      <c r="BO131" s="131"/>
      <c r="BP131" s="131">
        <f t="shared" si="177"/>
        <v>0</v>
      </c>
      <c r="BQ131" s="131"/>
      <c r="BR131" s="131"/>
      <c r="BS131" s="131"/>
      <c r="BT131" s="131"/>
      <c r="BU131" s="131"/>
      <c r="BV131" s="131">
        <f t="shared" si="178"/>
        <v>0</v>
      </c>
      <c r="BW131" s="131"/>
      <c r="BX131" s="131"/>
      <c r="BY131" s="131"/>
      <c r="BZ131" s="131">
        <f t="shared" si="179"/>
        <v>0</v>
      </c>
      <c r="CA131" s="131"/>
      <c r="CB131" s="136">
        <f t="shared" si="132"/>
        <v>165.08663357180151</v>
      </c>
      <c r="CC131" s="131">
        <f t="shared" si="133"/>
        <v>0</v>
      </c>
      <c r="CD131" s="136">
        <f t="shared" si="134"/>
        <v>0</v>
      </c>
      <c r="CE131" s="131">
        <f t="shared" si="182"/>
        <v>0</v>
      </c>
      <c r="CF131" s="136">
        <f t="shared" si="135"/>
        <v>0</v>
      </c>
      <c r="CG131" s="136"/>
      <c r="CH131" s="136">
        <f t="shared" si="181"/>
        <v>0</v>
      </c>
      <c r="CI131" s="131">
        <f t="shared" si="136"/>
        <v>0</v>
      </c>
      <c r="CJ131" s="131"/>
      <c r="CK131" s="136">
        <f t="shared" si="137"/>
        <v>0</v>
      </c>
      <c r="CL131" s="136">
        <f t="shared" si="138"/>
        <v>0</v>
      </c>
      <c r="CM131" s="131">
        <f t="shared" si="139"/>
        <v>0</v>
      </c>
      <c r="CN131" s="136">
        <f t="shared" si="140"/>
        <v>0</v>
      </c>
      <c r="CO131" s="136">
        <f t="shared" si="141"/>
        <v>0</v>
      </c>
      <c r="CP131" s="136">
        <f t="shared" si="142"/>
        <v>0</v>
      </c>
      <c r="CQ131" s="136"/>
      <c r="CR131" s="136">
        <f t="shared" si="143"/>
        <v>0</v>
      </c>
      <c r="CS131" s="136"/>
      <c r="CT131" s="136"/>
      <c r="CU131" s="136"/>
      <c r="CV131" s="136"/>
      <c r="CW131" s="136"/>
      <c r="CX131" s="136"/>
      <c r="CY131" s="136"/>
      <c r="CZ131" s="136">
        <f t="shared" si="144"/>
        <v>0</v>
      </c>
      <c r="DA131" s="136">
        <f t="shared" si="145"/>
        <v>0</v>
      </c>
      <c r="DB131" s="136">
        <f t="shared" si="146"/>
        <v>0</v>
      </c>
      <c r="DC131" s="131">
        <f t="shared" si="105"/>
        <v>0</v>
      </c>
      <c r="DD131" s="131">
        <f t="shared" si="147"/>
        <v>0</v>
      </c>
      <c r="DE131" s="131">
        <f t="shared" si="148"/>
        <v>0</v>
      </c>
      <c r="DF131" s="131">
        <f t="shared" si="149"/>
        <v>0</v>
      </c>
      <c r="DG131" s="131">
        <f t="shared" si="150"/>
        <v>0</v>
      </c>
      <c r="DH131" s="131"/>
      <c r="DI131" s="131"/>
      <c r="DJ131" s="131"/>
      <c r="DK131" s="137">
        <f t="shared" si="180"/>
        <v>3791.5811116017489</v>
      </c>
      <c r="DL131" s="227" t="e">
        <f t="shared" si="151"/>
        <v>#REF!</v>
      </c>
      <c r="DM131" s="227" t="e">
        <f t="shared" si="152"/>
        <v>#REF!</v>
      </c>
      <c r="DN131" s="228" t="e">
        <f t="shared" si="106"/>
        <v>#REF!</v>
      </c>
      <c r="DO131" s="228">
        <f t="shared" si="153"/>
        <v>181.81087083894022</v>
      </c>
      <c r="DP131" s="228" t="e">
        <f t="shared" si="154"/>
        <v>#REF!</v>
      </c>
      <c r="DQ131" s="228" t="e">
        <f t="shared" si="155"/>
        <v>#REF!</v>
      </c>
    </row>
    <row r="132" spans="1:121">
      <c r="A132" s="132">
        <f t="shared" si="107"/>
        <v>122</v>
      </c>
      <c r="B132" s="18">
        <f t="shared" si="156"/>
        <v>122</v>
      </c>
      <c r="C132" s="18">
        <f>IF(A132=0," ",VLOOKUP(B132,'tosafot '!$A$7:$B$234,2,0))</f>
        <v>2.2018</v>
      </c>
      <c r="D132" s="220">
        <f t="shared" si="157"/>
        <v>228</v>
      </c>
      <c r="E132" s="130">
        <f t="shared" si="158"/>
        <v>12.2026</v>
      </c>
      <c r="F132" s="126">
        <f t="shared" si="159"/>
        <v>9</v>
      </c>
      <c r="G132" s="18" t="str">
        <f t="shared" si="160"/>
        <v>הבריאות</v>
      </c>
      <c r="H132" s="189">
        <f t="shared" si="161"/>
        <v>107</v>
      </c>
      <c r="I132" s="18">
        <f t="shared" si="162"/>
        <v>1</v>
      </c>
      <c r="J132" s="18" t="str">
        <f t="shared" si="163"/>
        <v>מינהלי - עובדי מדינה</v>
      </c>
      <c r="K132" s="189">
        <f t="shared" si="164"/>
        <v>1</v>
      </c>
      <c r="L132" s="18">
        <f t="shared" si="165"/>
        <v>12</v>
      </c>
      <c r="M132" s="129" t="str">
        <f t="shared" si="166"/>
        <v>17+</v>
      </c>
      <c r="N132" s="189"/>
      <c r="O132" s="132">
        <f t="shared" si="167"/>
        <v>1012</v>
      </c>
      <c r="P132" s="127">
        <f t="shared" si="168"/>
        <v>37</v>
      </c>
      <c r="Q132" s="127">
        <f t="shared" si="169"/>
        <v>22.75</v>
      </c>
      <c r="R132" s="128">
        <f t="shared" si="170"/>
        <v>92</v>
      </c>
      <c r="S132" s="130">
        <f t="shared" si="171"/>
        <v>1.2540512286990533</v>
      </c>
      <c r="T132" s="135">
        <f t="shared" si="108"/>
        <v>0</v>
      </c>
      <c r="U132" s="127">
        <f t="shared" si="109"/>
        <v>0</v>
      </c>
      <c r="V132" s="217">
        <v>0</v>
      </c>
      <c r="W132" s="191">
        <v>0</v>
      </c>
      <c r="X132" s="133">
        <v>0</v>
      </c>
      <c r="Y132" s="131">
        <f t="shared" si="110"/>
        <v>2438.5</v>
      </c>
      <c r="Z132" s="131">
        <f t="shared" si="111"/>
        <v>619.50392118264142</v>
      </c>
      <c r="AA132" s="242">
        <f t="shared" si="112"/>
        <v>3058.0039211826415</v>
      </c>
      <c r="AB132" s="131">
        <f t="shared" si="113"/>
        <v>0</v>
      </c>
      <c r="AC132" s="131">
        <f t="shared" si="114"/>
        <v>139.48055684730568</v>
      </c>
      <c r="AD132" s="131">
        <f t="shared" si="115"/>
        <v>0</v>
      </c>
      <c r="AE132" s="131">
        <f t="shared" si="116"/>
        <v>0</v>
      </c>
      <c r="AF132" s="131">
        <f t="shared" si="117"/>
        <v>75.260000000000005</v>
      </c>
      <c r="AG132" s="131">
        <f t="shared" si="118"/>
        <v>0</v>
      </c>
      <c r="AH132" s="131">
        <f t="shared" si="119"/>
        <v>0</v>
      </c>
      <c r="AI132" s="131">
        <f t="shared" si="120"/>
        <v>0</v>
      </c>
      <c r="AJ132" s="131">
        <f t="shared" si="121"/>
        <v>0</v>
      </c>
      <c r="AK132" s="131"/>
      <c r="AL132" s="131">
        <f t="shared" si="122"/>
        <v>0</v>
      </c>
      <c r="AM132" s="131"/>
      <c r="AN132" s="243">
        <f t="shared" si="123"/>
        <v>0</v>
      </c>
      <c r="AO132" s="131">
        <f t="shared" si="124"/>
        <v>0</v>
      </c>
      <c r="AP132" s="131">
        <f t="shared" si="125"/>
        <v>0</v>
      </c>
      <c r="AQ132" s="131"/>
      <c r="AR132" s="131">
        <f t="shared" si="126"/>
        <v>0</v>
      </c>
      <c r="AS132" s="131">
        <f t="shared" si="172"/>
        <v>0</v>
      </c>
      <c r="AT132" s="131">
        <f t="shared" si="127"/>
        <v>0</v>
      </c>
      <c r="AU132" s="131">
        <f t="shared" si="128"/>
        <v>0</v>
      </c>
      <c r="AV132" s="131"/>
      <c r="AW132" s="131">
        <f t="shared" si="129"/>
        <v>353.75</v>
      </c>
      <c r="AX132" s="131">
        <f t="shared" si="183"/>
        <v>0</v>
      </c>
      <c r="AY132" s="131">
        <f t="shared" si="130"/>
        <v>0</v>
      </c>
      <c r="AZ132" s="131"/>
      <c r="BA132" s="131">
        <f t="shared" si="184"/>
        <v>0</v>
      </c>
      <c r="BB132" s="131"/>
      <c r="BC132" s="131"/>
      <c r="BD132" s="131">
        <f t="shared" si="131"/>
        <v>0</v>
      </c>
      <c r="BE132" s="131"/>
      <c r="BF132" s="131">
        <f t="shared" si="173"/>
        <v>0</v>
      </c>
      <c r="BG132" s="131">
        <f t="shared" si="174"/>
        <v>0</v>
      </c>
      <c r="BH132" s="131"/>
      <c r="BI132" s="131"/>
      <c r="BJ132" s="131"/>
      <c r="BK132" s="131">
        <f t="shared" si="175"/>
        <v>0</v>
      </c>
      <c r="BL132" s="131"/>
      <c r="BM132" s="131"/>
      <c r="BN132" s="131">
        <f t="shared" si="176"/>
        <v>0</v>
      </c>
      <c r="BO132" s="131"/>
      <c r="BP132" s="131">
        <f t="shared" si="177"/>
        <v>0</v>
      </c>
      <c r="BQ132" s="131"/>
      <c r="BR132" s="131"/>
      <c r="BS132" s="131"/>
      <c r="BT132" s="131"/>
      <c r="BU132" s="131"/>
      <c r="BV132" s="131">
        <f t="shared" si="178"/>
        <v>0</v>
      </c>
      <c r="BW132" s="131"/>
      <c r="BX132" s="131"/>
      <c r="BY132" s="131"/>
      <c r="BZ132" s="131">
        <f t="shared" si="179"/>
        <v>0</v>
      </c>
      <c r="CA132" s="131"/>
      <c r="CB132" s="136">
        <f t="shared" si="132"/>
        <v>165.08663357180151</v>
      </c>
      <c r="CC132" s="131">
        <f t="shared" si="133"/>
        <v>0</v>
      </c>
      <c r="CD132" s="136">
        <f t="shared" si="134"/>
        <v>0</v>
      </c>
      <c r="CE132" s="131">
        <f t="shared" si="182"/>
        <v>0</v>
      </c>
      <c r="CF132" s="136">
        <f t="shared" si="135"/>
        <v>0</v>
      </c>
      <c r="CG132" s="136"/>
      <c r="CH132" s="136">
        <f t="shared" si="181"/>
        <v>0</v>
      </c>
      <c r="CI132" s="131">
        <f t="shared" si="136"/>
        <v>0</v>
      </c>
      <c r="CJ132" s="131"/>
      <c r="CK132" s="136">
        <f t="shared" si="137"/>
        <v>0</v>
      </c>
      <c r="CL132" s="136">
        <f t="shared" si="138"/>
        <v>0</v>
      </c>
      <c r="CM132" s="131">
        <f t="shared" si="139"/>
        <v>0</v>
      </c>
      <c r="CN132" s="136">
        <f t="shared" si="140"/>
        <v>0</v>
      </c>
      <c r="CO132" s="136">
        <f t="shared" si="141"/>
        <v>0</v>
      </c>
      <c r="CP132" s="136">
        <f t="shared" si="142"/>
        <v>0</v>
      </c>
      <c r="CQ132" s="136"/>
      <c r="CR132" s="136">
        <f t="shared" si="143"/>
        <v>0</v>
      </c>
      <c r="CS132" s="136"/>
      <c r="CT132" s="136"/>
      <c r="CU132" s="136"/>
      <c r="CV132" s="136"/>
      <c r="CW132" s="136"/>
      <c r="CX132" s="136"/>
      <c r="CY132" s="136"/>
      <c r="CZ132" s="136">
        <f t="shared" si="144"/>
        <v>0</v>
      </c>
      <c r="DA132" s="136">
        <f t="shared" si="145"/>
        <v>0</v>
      </c>
      <c r="DB132" s="136">
        <f t="shared" si="146"/>
        <v>0</v>
      </c>
      <c r="DC132" s="131">
        <f t="shared" si="105"/>
        <v>0</v>
      </c>
      <c r="DD132" s="131">
        <f t="shared" si="147"/>
        <v>0</v>
      </c>
      <c r="DE132" s="131">
        <f t="shared" si="148"/>
        <v>0</v>
      </c>
      <c r="DF132" s="131">
        <f t="shared" si="149"/>
        <v>0</v>
      </c>
      <c r="DG132" s="131">
        <f t="shared" si="150"/>
        <v>0</v>
      </c>
      <c r="DH132" s="131"/>
      <c r="DI132" s="131"/>
      <c r="DJ132" s="131"/>
      <c r="DK132" s="137">
        <f t="shared" si="180"/>
        <v>3791.5811116017489</v>
      </c>
      <c r="DL132" s="227" t="e">
        <f t="shared" si="151"/>
        <v>#REF!</v>
      </c>
      <c r="DM132" s="227" t="e">
        <f t="shared" si="152"/>
        <v>#REF!</v>
      </c>
      <c r="DN132" s="228" t="e">
        <f t="shared" si="106"/>
        <v>#REF!</v>
      </c>
      <c r="DO132" s="228">
        <f t="shared" si="153"/>
        <v>181.81087083894022</v>
      </c>
      <c r="DP132" s="228" t="e">
        <f t="shared" si="154"/>
        <v>#REF!</v>
      </c>
      <c r="DQ132" s="228" t="e">
        <f t="shared" si="155"/>
        <v>#REF!</v>
      </c>
    </row>
    <row r="133" spans="1:121">
      <c r="A133" s="132">
        <f t="shared" si="107"/>
        <v>123</v>
      </c>
      <c r="B133" s="18">
        <f t="shared" si="156"/>
        <v>123</v>
      </c>
      <c r="C133" s="18">
        <f>IF(A133=0," ",VLOOKUP(B133,'tosafot '!$A$7:$B$234,2,0))</f>
        <v>3.2018</v>
      </c>
      <c r="D133" s="220">
        <f t="shared" si="157"/>
        <v>228</v>
      </c>
      <c r="E133" s="130">
        <f t="shared" si="158"/>
        <v>12.2026</v>
      </c>
      <c r="F133" s="126">
        <f t="shared" si="159"/>
        <v>9</v>
      </c>
      <c r="G133" s="18" t="str">
        <f t="shared" si="160"/>
        <v>הבריאות</v>
      </c>
      <c r="H133" s="189">
        <f t="shared" si="161"/>
        <v>107</v>
      </c>
      <c r="I133" s="18">
        <f t="shared" si="162"/>
        <v>1</v>
      </c>
      <c r="J133" s="18" t="str">
        <f t="shared" si="163"/>
        <v>מינהלי - עובדי מדינה</v>
      </c>
      <c r="K133" s="189">
        <f t="shared" si="164"/>
        <v>1</v>
      </c>
      <c r="L133" s="18">
        <f t="shared" si="165"/>
        <v>12</v>
      </c>
      <c r="M133" s="129" t="str">
        <f t="shared" si="166"/>
        <v>17+</v>
      </c>
      <c r="N133" s="189"/>
      <c r="O133" s="132">
        <f t="shared" si="167"/>
        <v>1012</v>
      </c>
      <c r="P133" s="127">
        <f t="shared" si="168"/>
        <v>37</v>
      </c>
      <c r="Q133" s="127">
        <f t="shared" si="169"/>
        <v>22.75</v>
      </c>
      <c r="R133" s="128">
        <f t="shared" si="170"/>
        <v>92</v>
      </c>
      <c r="S133" s="130">
        <f t="shared" si="171"/>
        <v>1.2540512286990533</v>
      </c>
      <c r="T133" s="135">
        <f t="shared" si="108"/>
        <v>0</v>
      </c>
      <c r="U133" s="127">
        <f t="shared" si="109"/>
        <v>0</v>
      </c>
      <c r="V133" s="217">
        <v>0</v>
      </c>
      <c r="W133" s="191">
        <v>0</v>
      </c>
      <c r="X133" s="133">
        <v>0</v>
      </c>
      <c r="Y133" s="131">
        <f t="shared" si="110"/>
        <v>2438.5</v>
      </c>
      <c r="Z133" s="131">
        <f t="shared" si="111"/>
        <v>619.50392118264142</v>
      </c>
      <c r="AA133" s="242">
        <f t="shared" si="112"/>
        <v>3058.0039211826415</v>
      </c>
      <c r="AB133" s="131">
        <f t="shared" si="113"/>
        <v>0</v>
      </c>
      <c r="AC133" s="131">
        <f t="shared" si="114"/>
        <v>139.48055684730568</v>
      </c>
      <c r="AD133" s="131">
        <f t="shared" si="115"/>
        <v>0</v>
      </c>
      <c r="AE133" s="131">
        <f t="shared" si="116"/>
        <v>0</v>
      </c>
      <c r="AF133" s="131">
        <f t="shared" si="117"/>
        <v>75.260000000000005</v>
      </c>
      <c r="AG133" s="131">
        <f t="shared" si="118"/>
        <v>0</v>
      </c>
      <c r="AH133" s="131">
        <f t="shared" si="119"/>
        <v>0</v>
      </c>
      <c r="AI133" s="131">
        <f t="shared" si="120"/>
        <v>0</v>
      </c>
      <c r="AJ133" s="131">
        <f t="shared" si="121"/>
        <v>0</v>
      </c>
      <c r="AK133" s="131"/>
      <c r="AL133" s="131">
        <f t="shared" si="122"/>
        <v>0</v>
      </c>
      <c r="AM133" s="131"/>
      <c r="AN133" s="243">
        <f t="shared" si="123"/>
        <v>0</v>
      </c>
      <c r="AO133" s="131">
        <f t="shared" si="124"/>
        <v>0</v>
      </c>
      <c r="AP133" s="131">
        <f t="shared" si="125"/>
        <v>0</v>
      </c>
      <c r="AQ133" s="131"/>
      <c r="AR133" s="131">
        <f t="shared" si="126"/>
        <v>0</v>
      </c>
      <c r="AS133" s="131">
        <f t="shared" si="172"/>
        <v>0</v>
      </c>
      <c r="AT133" s="131">
        <f t="shared" si="127"/>
        <v>0</v>
      </c>
      <c r="AU133" s="131">
        <f t="shared" si="128"/>
        <v>0</v>
      </c>
      <c r="AV133" s="131"/>
      <c r="AW133" s="131">
        <f t="shared" si="129"/>
        <v>353.75</v>
      </c>
      <c r="AX133" s="131">
        <f t="shared" si="183"/>
        <v>0</v>
      </c>
      <c r="AY133" s="131">
        <f t="shared" si="130"/>
        <v>0</v>
      </c>
      <c r="AZ133" s="131"/>
      <c r="BA133" s="131">
        <f t="shared" si="184"/>
        <v>0</v>
      </c>
      <c r="BB133" s="131"/>
      <c r="BC133" s="131"/>
      <c r="BD133" s="131">
        <f t="shared" si="131"/>
        <v>0</v>
      </c>
      <c r="BE133" s="131"/>
      <c r="BF133" s="131">
        <f t="shared" si="173"/>
        <v>0</v>
      </c>
      <c r="BG133" s="131">
        <f t="shared" si="174"/>
        <v>0</v>
      </c>
      <c r="BH133" s="131"/>
      <c r="BI133" s="131"/>
      <c r="BJ133" s="131"/>
      <c r="BK133" s="131">
        <f t="shared" si="175"/>
        <v>0</v>
      </c>
      <c r="BL133" s="131"/>
      <c r="BM133" s="131"/>
      <c r="BN133" s="131">
        <f t="shared" si="176"/>
        <v>0</v>
      </c>
      <c r="BO133" s="131"/>
      <c r="BP133" s="131">
        <f t="shared" si="177"/>
        <v>0</v>
      </c>
      <c r="BQ133" s="131"/>
      <c r="BR133" s="131"/>
      <c r="BS133" s="131"/>
      <c r="BT133" s="131"/>
      <c r="BU133" s="131"/>
      <c r="BV133" s="131">
        <f t="shared" si="178"/>
        <v>0</v>
      </c>
      <c r="BW133" s="131"/>
      <c r="BX133" s="131"/>
      <c r="BY133" s="131"/>
      <c r="BZ133" s="131">
        <f t="shared" si="179"/>
        <v>0</v>
      </c>
      <c r="CA133" s="131"/>
      <c r="CB133" s="136">
        <f t="shared" si="132"/>
        <v>165.08663357180151</v>
      </c>
      <c r="CC133" s="131">
        <f t="shared" si="133"/>
        <v>0</v>
      </c>
      <c r="CD133" s="136">
        <f t="shared" si="134"/>
        <v>0</v>
      </c>
      <c r="CE133" s="131">
        <f t="shared" si="182"/>
        <v>0</v>
      </c>
      <c r="CF133" s="136">
        <f t="shared" si="135"/>
        <v>0</v>
      </c>
      <c r="CG133" s="136"/>
      <c r="CH133" s="136">
        <f t="shared" si="181"/>
        <v>0</v>
      </c>
      <c r="CI133" s="131">
        <f t="shared" si="136"/>
        <v>0</v>
      </c>
      <c r="CJ133" s="131"/>
      <c r="CK133" s="136">
        <f t="shared" si="137"/>
        <v>0</v>
      </c>
      <c r="CL133" s="136">
        <f t="shared" si="138"/>
        <v>0</v>
      </c>
      <c r="CM133" s="131">
        <f t="shared" si="139"/>
        <v>0</v>
      </c>
      <c r="CN133" s="136">
        <f t="shared" si="140"/>
        <v>0</v>
      </c>
      <c r="CO133" s="136">
        <f t="shared" si="141"/>
        <v>0</v>
      </c>
      <c r="CP133" s="136">
        <f t="shared" si="142"/>
        <v>0</v>
      </c>
      <c r="CQ133" s="136"/>
      <c r="CR133" s="136">
        <f t="shared" si="143"/>
        <v>0</v>
      </c>
      <c r="CS133" s="136"/>
      <c r="CT133" s="136"/>
      <c r="CU133" s="136"/>
      <c r="CV133" s="136"/>
      <c r="CW133" s="136"/>
      <c r="CX133" s="136"/>
      <c r="CY133" s="136"/>
      <c r="CZ133" s="136">
        <f t="shared" si="144"/>
        <v>0</v>
      </c>
      <c r="DA133" s="136">
        <f t="shared" si="145"/>
        <v>0</v>
      </c>
      <c r="DB133" s="136">
        <f t="shared" si="146"/>
        <v>0</v>
      </c>
      <c r="DC133" s="131">
        <f t="shared" si="105"/>
        <v>0</v>
      </c>
      <c r="DD133" s="131">
        <f t="shared" si="147"/>
        <v>0</v>
      </c>
      <c r="DE133" s="131">
        <f t="shared" si="148"/>
        <v>0</v>
      </c>
      <c r="DF133" s="131">
        <f t="shared" si="149"/>
        <v>0</v>
      </c>
      <c r="DG133" s="131">
        <f t="shared" si="150"/>
        <v>0</v>
      </c>
      <c r="DH133" s="131"/>
      <c r="DI133" s="131"/>
      <c r="DJ133" s="131"/>
      <c r="DK133" s="137">
        <f t="shared" si="180"/>
        <v>3791.5811116017489</v>
      </c>
      <c r="DL133" s="227" t="e">
        <f t="shared" si="151"/>
        <v>#REF!</v>
      </c>
      <c r="DM133" s="227" t="e">
        <f t="shared" si="152"/>
        <v>#REF!</v>
      </c>
      <c r="DN133" s="228" t="e">
        <f t="shared" si="106"/>
        <v>#REF!</v>
      </c>
      <c r="DO133" s="228">
        <f t="shared" si="153"/>
        <v>181.81087083894022</v>
      </c>
      <c r="DP133" s="228" t="e">
        <f t="shared" si="154"/>
        <v>#REF!</v>
      </c>
      <c r="DQ133" s="228" t="e">
        <f t="shared" si="155"/>
        <v>#REF!</v>
      </c>
    </row>
    <row r="134" spans="1:121">
      <c r="A134" s="132">
        <f t="shared" si="107"/>
        <v>124</v>
      </c>
      <c r="B134" s="18">
        <f t="shared" si="156"/>
        <v>124</v>
      </c>
      <c r="C134" s="18">
        <f>IF(A134=0," ",VLOOKUP(B134,'tosafot '!$A$7:$B$234,2,0))</f>
        <v>4.2018000000000004</v>
      </c>
      <c r="D134" s="220">
        <f t="shared" si="157"/>
        <v>228</v>
      </c>
      <c r="E134" s="130">
        <f t="shared" si="158"/>
        <v>12.2026</v>
      </c>
      <c r="F134" s="126">
        <f t="shared" si="159"/>
        <v>9</v>
      </c>
      <c r="G134" s="18" t="str">
        <f t="shared" si="160"/>
        <v>הבריאות</v>
      </c>
      <c r="H134" s="189">
        <f t="shared" si="161"/>
        <v>107</v>
      </c>
      <c r="I134" s="18">
        <f t="shared" si="162"/>
        <v>1</v>
      </c>
      <c r="J134" s="18" t="str">
        <f t="shared" si="163"/>
        <v>מינהלי - עובדי מדינה</v>
      </c>
      <c r="K134" s="189">
        <f t="shared" si="164"/>
        <v>1</v>
      </c>
      <c r="L134" s="18">
        <f t="shared" si="165"/>
        <v>12</v>
      </c>
      <c r="M134" s="129" t="str">
        <f t="shared" si="166"/>
        <v>17+</v>
      </c>
      <c r="N134" s="189"/>
      <c r="O134" s="132">
        <f t="shared" si="167"/>
        <v>1012</v>
      </c>
      <c r="P134" s="127">
        <f t="shared" si="168"/>
        <v>37</v>
      </c>
      <c r="Q134" s="127">
        <f t="shared" si="169"/>
        <v>22.75</v>
      </c>
      <c r="R134" s="128">
        <f t="shared" si="170"/>
        <v>92</v>
      </c>
      <c r="S134" s="130">
        <f t="shared" si="171"/>
        <v>1.2540512286990533</v>
      </c>
      <c r="T134" s="135">
        <f t="shared" si="108"/>
        <v>0</v>
      </c>
      <c r="U134" s="127">
        <f t="shared" si="109"/>
        <v>0</v>
      </c>
      <c r="V134" s="217">
        <v>0</v>
      </c>
      <c r="W134" s="191">
        <v>0</v>
      </c>
      <c r="X134" s="133">
        <v>0</v>
      </c>
      <c r="Y134" s="131">
        <f t="shared" si="110"/>
        <v>2438.5</v>
      </c>
      <c r="Z134" s="131">
        <f t="shared" si="111"/>
        <v>619.50392118264142</v>
      </c>
      <c r="AA134" s="242">
        <f t="shared" si="112"/>
        <v>3058.0039211826415</v>
      </c>
      <c r="AB134" s="131">
        <f t="shared" si="113"/>
        <v>0</v>
      </c>
      <c r="AC134" s="131">
        <f t="shared" si="114"/>
        <v>139.48055684730568</v>
      </c>
      <c r="AD134" s="131">
        <f t="shared" si="115"/>
        <v>0</v>
      </c>
      <c r="AE134" s="131">
        <f t="shared" si="116"/>
        <v>0</v>
      </c>
      <c r="AF134" s="131">
        <f t="shared" si="117"/>
        <v>75.260000000000005</v>
      </c>
      <c r="AG134" s="131">
        <f t="shared" si="118"/>
        <v>0</v>
      </c>
      <c r="AH134" s="131">
        <f t="shared" si="119"/>
        <v>0</v>
      </c>
      <c r="AI134" s="131">
        <f t="shared" si="120"/>
        <v>0</v>
      </c>
      <c r="AJ134" s="131">
        <f t="shared" si="121"/>
        <v>0</v>
      </c>
      <c r="AK134" s="131"/>
      <c r="AL134" s="131">
        <f t="shared" si="122"/>
        <v>0</v>
      </c>
      <c r="AM134" s="131"/>
      <c r="AN134" s="243">
        <f t="shared" si="123"/>
        <v>0</v>
      </c>
      <c r="AO134" s="131">
        <f t="shared" si="124"/>
        <v>0</v>
      </c>
      <c r="AP134" s="131">
        <f t="shared" si="125"/>
        <v>0</v>
      </c>
      <c r="AQ134" s="131"/>
      <c r="AR134" s="131">
        <f t="shared" si="126"/>
        <v>0</v>
      </c>
      <c r="AS134" s="131">
        <f t="shared" si="172"/>
        <v>0</v>
      </c>
      <c r="AT134" s="131">
        <f t="shared" si="127"/>
        <v>0</v>
      </c>
      <c r="AU134" s="131">
        <f t="shared" si="128"/>
        <v>0</v>
      </c>
      <c r="AV134" s="131"/>
      <c r="AW134" s="131">
        <f t="shared" si="129"/>
        <v>353.75</v>
      </c>
      <c r="AX134" s="131">
        <f t="shared" si="183"/>
        <v>0</v>
      </c>
      <c r="AY134" s="131">
        <f t="shared" si="130"/>
        <v>0</v>
      </c>
      <c r="AZ134" s="131"/>
      <c r="BA134" s="131">
        <f t="shared" si="184"/>
        <v>0</v>
      </c>
      <c r="BB134" s="131"/>
      <c r="BC134" s="131"/>
      <c r="BD134" s="131">
        <f t="shared" si="131"/>
        <v>0</v>
      </c>
      <c r="BE134" s="131"/>
      <c r="BF134" s="131">
        <f t="shared" si="173"/>
        <v>0</v>
      </c>
      <c r="BG134" s="131">
        <f t="shared" si="174"/>
        <v>0</v>
      </c>
      <c r="BH134" s="131"/>
      <c r="BI134" s="131"/>
      <c r="BJ134" s="131"/>
      <c r="BK134" s="131">
        <f t="shared" si="175"/>
        <v>0</v>
      </c>
      <c r="BL134" s="131"/>
      <c r="BM134" s="131"/>
      <c r="BN134" s="131">
        <f t="shared" si="176"/>
        <v>0</v>
      </c>
      <c r="BO134" s="131"/>
      <c r="BP134" s="131">
        <f t="shared" si="177"/>
        <v>0</v>
      </c>
      <c r="BQ134" s="131"/>
      <c r="BR134" s="131"/>
      <c r="BS134" s="131"/>
      <c r="BT134" s="131"/>
      <c r="BU134" s="131"/>
      <c r="BV134" s="131">
        <f t="shared" si="178"/>
        <v>0</v>
      </c>
      <c r="BW134" s="131"/>
      <c r="BX134" s="131"/>
      <c r="BY134" s="131"/>
      <c r="BZ134" s="131">
        <f t="shared" si="179"/>
        <v>0</v>
      </c>
      <c r="CA134" s="131"/>
      <c r="CB134" s="136">
        <f t="shared" si="132"/>
        <v>165.08663357180151</v>
      </c>
      <c r="CC134" s="131">
        <f t="shared" si="133"/>
        <v>0</v>
      </c>
      <c r="CD134" s="136">
        <f t="shared" si="134"/>
        <v>0</v>
      </c>
      <c r="CE134" s="131">
        <f t="shared" si="182"/>
        <v>0</v>
      </c>
      <c r="CF134" s="136">
        <f t="shared" si="135"/>
        <v>0</v>
      </c>
      <c r="CG134" s="136"/>
      <c r="CH134" s="136">
        <f t="shared" si="181"/>
        <v>0</v>
      </c>
      <c r="CI134" s="131">
        <f t="shared" si="136"/>
        <v>0</v>
      </c>
      <c r="CJ134" s="131"/>
      <c r="CK134" s="136">
        <f t="shared" si="137"/>
        <v>0</v>
      </c>
      <c r="CL134" s="136">
        <f t="shared" si="138"/>
        <v>0</v>
      </c>
      <c r="CM134" s="131">
        <f t="shared" si="139"/>
        <v>0</v>
      </c>
      <c r="CN134" s="136">
        <f t="shared" si="140"/>
        <v>0</v>
      </c>
      <c r="CO134" s="136">
        <f t="shared" si="141"/>
        <v>0</v>
      </c>
      <c r="CP134" s="136">
        <f t="shared" si="142"/>
        <v>0</v>
      </c>
      <c r="CQ134" s="136"/>
      <c r="CR134" s="136">
        <f t="shared" si="143"/>
        <v>0</v>
      </c>
      <c r="CS134" s="136"/>
      <c r="CT134" s="136"/>
      <c r="CU134" s="136"/>
      <c r="CV134" s="136"/>
      <c r="CW134" s="136"/>
      <c r="CX134" s="136"/>
      <c r="CY134" s="136"/>
      <c r="CZ134" s="136">
        <f t="shared" si="144"/>
        <v>0</v>
      </c>
      <c r="DA134" s="136">
        <f t="shared" si="145"/>
        <v>0</v>
      </c>
      <c r="DB134" s="136">
        <f t="shared" si="146"/>
        <v>0</v>
      </c>
      <c r="DC134" s="131">
        <f t="shared" si="105"/>
        <v>0</v>
      </c>
      <c r="DD134" s="131">
        <f t="shared" si="147"/>
        <v>0</v>
      </c>
      <c r="DE134" s="131">
        <f t="shared" si="148"/>
        <v>0</v>
      </c>
      <c r="DF134" s="131">
        <f t="shared" si="149"/>
        <v>0</v>
      </c>
      <c r="DG134" s="131">
        <f t="shared" si="150"/>
        <v>0</v>
      </c>
      <c r="DH134" s="131"/>
      <c r="DI134" s="131"/>
      <c r="DJ134" s="131"/>
      <c r="DK134" s="137">
        <f t="shared" si="180"/>
        <v>3791.5811116017489</v>
      </c>
      <c r="DL134" s="227" t="e">
        <f t="shared" si="151"/>
        <v>#REF!</v>
      </c>
      <c r="DM134" s="227" t="e">
        <f t="shared" si="152"/>
        <v>#REF!</v>
      </c>
      <c r="DN134" s="228" t="e">
        <f t="shared" si="106"/>
        <v>#REF!</v>
      </c>
      <c r="DO134" s="228">
        <f t="shared" si="153"/>
        <v>181.81087083894022</v>
      </c>
      <c r="DP134" s="228" t="e">
        <f t="shared" si="154"/>
        <v>#REF!</v>
      </c>
      <c r="DQ134" s="228" t="e">
        <f t="shared" si="155"/>
        <v>#REF!</v>
      </c>
    </row>
    <row r="135" spans="1:121">
      <c r="A135" s="132">
        <f t="shared" si="107"/>
        <v>125</v>
      </c>
      <c r="B135" s="18">
        <f t="shared" si="156"/>
        <v>125</v>
      </c>
      <c r="C135" s="18">
        <f>IF(A135=0," ",VLOOKUP(B135,'tosafot '!$A$7:$B$234,2,0))</f>
        <v>5.2018000000000004</v>
      </c>
      <c r="D135" s="220">
        <f t="shared" si="157"/>
        <v>228</v>
      </c>
      <c r="E135" s="130">
        <f t="shared" si="158"/>
        <v>12.2026</v>
      </c>
      <c r="F135" s="126">
        <f t="shared" si="159"/>
        <v>9</v>
      </c>
      <c r="G135" s="18" t="str">
        <f t="shared" si="160"/>
        <v>הבריאות</v>
      </c>
      <c r="H135" s="189">
        <f t="shared" si="161"/>
        <v>107</v>
      </c>
      <c r="I135" s="18">
        <f t="shared" si="162"/>
        <v>1</v>
      </c>
      <c r="J135" s="18" t="str">
        <f t="shared" si="163"/>
        <v>מינהלי - עובדי מדינה</v>
      </c>
      <c r="K135" s="189">
        <f t="shared" si="164"/>
        <v>1</v>
      </c>
      <c r="L135" s="18">
        <f t="shared" si="165"/>
        <v>12</v>
      </c>
      <c r="M135" s="129" t="str">
        <f t="shared" si="166"/>
        <v>17+</v>
      </c>
      <c r="N135" s="189"/>
      <c r="O135" s="132">
        <f t="shared" si="167"/>
        <v>1012</v>
      </c>
      <c r="P135" s="127">
        <f t="shared" si="168"/>
        <v>37</v>
      </c>
      <c r="Q135" s="127">
        <f t="shared" si="169"/>
        <v>22.75</v>
      </c>
      <c r="R135" s="128">
        <f t="shared" si="170"/>
        <v>92</v>
      </c>
      <c r="S135" s="130">
        <f t="shared" si="171"/>
        <v>1.2540512286990533</v>
      </c>
      <c r="T135" s="135">
        <f t="shared" si="108"/>
        <v>0</v>
      </c>
      <c r="U135" s="127">
        <f t="shared" si="109"/>
        <v>0</v>
      </c>
      <c r="V135" s="217">
        <v>0</v>
      </c>
      <c r="W135" s="191">
        <v>0</v>
      </c>
      <c r="X135" s="133">
        <v>0</v>
      </c>
      <c r="Y135" s="131">
        <f t="shared" si="110"/>
        <v>2438.5</v>
      </c>
      <c r="Z135" s="131">
        <f t="shared" si="111"/>
        <v>619.50392118264142</v>
      </c>
      <c r="AA135" s="242">
        <f t="shared" si="112"/>
        <v>3058.0039211826415</v>
      </c>
      <c r="AB135" s="131">
        <f t="shared" si="113"/>
        <v>0</v>
      </c>
      <c r="AC135" s="131">
        <f t="shared" si="114"/>
        <v>139.48055684730568</v>
      </c>
      <c r="AD135" s="131">
        <f t="shared" si="115"/>
        <v>0</v>
      </c>
      <c r="AE135" s="131">
        <f t="shared" si="116"/>
        <v>0</v>
      </c>
      <c r="AF135" s="131">
        <f t="shared" si="117"/>
        <v>75.260000000000005</v>
      </c>
      <c r="AG135" s="131">
        <f t="shared" si="118"/>
        <v>0</v>
      </c>
      <c r="AH135" s="131">
        <f t="shared" si="119"/>
        <v>0</v>
      </c>
      <c r="AI135" s="131">
        <f t="shared" si="120"/>
        <v>0</v>
      </c>
      <c r="AJ135" s="131">
        <f t="shared" si="121"/>
        <v>0</v>
      </c>
      <c r="AK135" s="131"/>
      <c r="AL135" s="131">
        <f t="shared" si="122"/>
        <v>0</v>
      </c>
      <c r="AM135" s="131"/>
      <c r="AN135" s="243">
        <f t="shared" si="123"/>
        <v>0</v>
      </c>
      <c r="AO135" s="131">
        <f t="shared" si="124"/>
        <v>0</v>
      </c>
      <c r="AP135" s="131">
        <f t="shared" si="125"/>
        <v>0</v>
      </c>
      <c r="AQ135" s="131"/>
      <c r="AR135" s="131">
        <f t="shared" si="126"/>
        <v>0</v>
      </c>
      <c r="AS135" s="131">
        <f t="shared" si="172"/>
        <v>0</v>
      </c>
      <c r="AT135" s="131">
        <f t="shared" si="127"/>
        <v>0</v>
      </c>
      <c r="AU135" s="131">
        <f t="shared" si="128"/>
        <v>0</v>
      </c>
      <c r="AV135" s="131"/>
      <c r="AW135" s="131">
        <f t="shared" si="129"/>
        <v>353.75</v>
      </c>
      <c r="AX135" s="131">
        <f t="shared" si="183"/>
        <v>0</v>
      </c>
      <c r="AY135" s="131">
        <f t="shared" si="130"/>
        <v>0</v>
      </c>
      <c r="AZ135" s="131"/>
      <c r="BA135" s="131">
        <f t="shared" si="184"/>
        <v>0</v>
      </c>
      <c r="BB135" s="131"/>
      <c r="BC135" s="131"/>
      <c r="BD135" s="131">
        <f t="shared" si="131"/>
        <v>0</v>
      </c>
      <c r="BE135" s="131"/>
      <c r="BF135" s="131">
        <f t="shared" si="173"/>
        <v>0</v>
      </c>
      <c r="BG135" s="131">
        <f t="shared" si="174"/>
        <v>0</v>
      </c>
      <c r="BH135" s="131"/>
      <c r="BI135" s="131"/>
      <c r="BJ135" s="131"/>
      <c r="BK135" s="131">
        <f t="shared" si="175"/>
        <v>0</v>
      </c>
      <c r="BL135" s="131"/>
      <c r="BM135" s="131"/>
      <c r="BN135" s="131">
        <f t="shared" si="176"/>
        <v>0</v>
      </c>
      <c r="BO135" s="131"/>
      <c r="BP135" s="131">
        <f t="shared" si="177"/>
        <v>0</v>
      </c>
      <c r="BQ135" s="131"/>
      <c r="BR135" s="131"/>
      <c r="BS135" s="131"/>
      <c r="BT135" s="131"/>
      <c r="BU135" s="131"/>
      <c r="BV135" s="131">
        <f t="shared" si="178"/>
        <v>0</v>
      </c>
      <c r="BW135" s="131"/>
      <c r="BX135" s="131"/>
      <c r="BY135" s="131"/>
      <c r="BZ135" s="131">
        <f t="shared" si="179"/>
        <v>0</v>
      </c>
      <c r="CA135" s="131"/>
      <c r="CB135" s="136">
        <f t="shared" si="132"/>
        <v>165.08663357180151</v>
      </c>
      <c r="CC135" s="131">
        <f t="shared" si="133"/>
        <v>0</v>
      </c>
      <c r="CD135" s="136">
        <f t="shared" si="134"/>
        <v>0</v>
      </c>
      <c r="CE135" s="131">
        <f t="shared" si="182"/>
        <v>0</v>
      </c>
      <c r="CF135" s="136">
        <f t="shared" si="135"/>
        <v>0</v>
      </c>
      <c r="CG135" s="136"/>
      <c r="CH135" s="136">
        <f t="shared" si="181"/>
        <v>0</v>
      </c>
      <c r="CI135" s="131">
        <f t="shared" si="136"/>
        <v>0</v>
      </c>
      <c r="CJ135" s="131"/>
      <c r="CK135" s="136">
        <f t="shared" si="137"/>
        <v>0</v>
      </c>
      <c r="CL135" s="136">
        <f t="shared" si="138"/>
        <v>0</v>
      </c>
      <c r="CM135" s="131">
        <f t="shared" si="139"/>
        <v>0</v>
      </c>
      <c r="CN135" s="136">
        <f t="shared" si="140"/>
        <v>0</v>
      </c>
      <c r="CO135" s="136">
        <f t="shared" si="141"/>
        <v>0</v>
      </c>
      <c r="CP135" s="136">
        <f t="shared" si="142"/>
        <v>0</v>
      </c>
      <c r="CQ135" s="136"/>
      <c r="CR135" s="136">
        <f t="shared" si="143"/>
        <v>0</v>
      </c>
      <c r="CS135" s="136"/>
      <c r="CT135" s="136"/>
      <c r="CU135" s="136"/>
      <c r="CV135" s="136"/>
      <c r="CW135" s="136"/>
      <c r="CX135" s="136"/>
      <c r="CY135" s="136"/>
      <c r="CZ135" s="136">
        <f t="shared" si="144"/>
        <v>0</v>
      </c>
      <c r="DA135" s="136">
        <f t="shared" si="145"/>
        <v>0</v>
      </c>
      <c r="DB135" s="136">
        <f t="shared" si="146"/>
        <v>0</v>
      </c>
      <c r="DC135" s="131">
        <f t="shared" si="105"/>
        <v>0</v>
      </c>
      <c r="DD135" s="131">
        <f t="shared" si="147"/>
        <v>0</v>
      </c>
      <c r="DE135" s="131">
        <f t="shared" si="148"/>
        <v>0</v>
      </c>
      <c r="DF135" s="131">
        <f t="shared" si="149"/>
        <v>0</v>
      </c>
      <c r="DG135" s="131">
        <f t="shared" si="150"/>
        <v>0</v>
      </c>
      <c r="DH135" s="131"/>
      <c r="DI135" s="131"/>
      <c r="DJ135" s="131"/>
      <c r="DK135" s="137">
        <f t="shared" si="180"/>
        <v>3791.5811116017489</v>
      </c>
      <c r="DL135" s="227" t="e">
        <f t="shared" si="151"/>
        <v>#REF!</v>
      </c>
      <c r="DM135" s="227" t="e">
        <f t="shared" si="152"/>
        <v>#REF!</v>
      </c>
      <c r="DN135" s="228" t="e">
        <f t="shared" si="106"/>
        <v>#REF!</v>
      </c>
      <c r="DO135" s="228">
        <f t="shared" si="153"/>
        <v>181.81087083894022</v>
      </c>
      <c r="DP135" s="228" t="e">
        <f t="shared" si="154"/>
        <v>#REF!</v>
      </c>
      <c r="DQ135" s="228" t="e">
        <f t="shared" si="155"/>
        <v>#REF!</v>
      </c>
    </row>
    <row r="136" spans="1:121">
      <c r="A136" s="132">
        <f t="shared" si="107"/>
        <v>126</v>
      </c>
      <c r="B136" s="18">
        <f t="shared" si="156"/>
        <v>126</v>
      </c>
      <c r="C136" s="18">
        <f>IF(A136=0," ",VLOOKUP(B136,'tosafot '!$A$7:$B$234,2,0))</f>
        <v>6.2018000000000004</v>
      </c>
      <c r="D136" s="220">
        <f t="shared" si="157"/>
        <v>228</v>
      </c>
      <c r="E136" s="130">
        <f t="shared" si="158"/>
        <v>12.2026</v>
      </c>
      <c r="F136" s="126">
        <f t="shared" si="159"/>
        <v>9</v>
      </c>
      <c r="G136" s="18" t="str">
        <f t="shared" si="160"/>
        <v>הבריאות</v>
      </c>
      <c r="H136" s="189">
        <f t="shared" si="161"/>
        <v>107</v>
      </c>
      <c r="I136" s="18">
        <f t="shared" si="162"/>
        <v>1</v>
      </c>
      <c r="J136" s="18" t="str">
        <f t="shared" si="163"/>
        <v>מינהלי - עובדי מדינה</v>
      </c>
      <c r="K136" s="189">
        <f t="shared" si="164"/>
        <v>1</v>
      </c>
      <c r="L136" s="18">
        <f t="shared" si="165"/>
        <v>12</v>
      </c>
      <c r="M136" s="129" t="str">
        <f t="shared" si="166"/>
        <v>17+</v>
      </c>
      <c r="N136" s="189"/>
      <c r="O136" s="132">
        <f t="shared" si="167"/>
        <v>1012</v>
      </c>
      <c r="P136" s="127">
        <f t="shared" si="168"/>
        <v>37</v>
      </c>
      <c r="Q136" s="127">
        <f t="shared" si="169"/>
        <v>22.75</v>
      </c>
      <c r="R136" s="128">
        <f t="shared" si="170"/>
        <v>92</v>
      </c>
      <c r="S136" s="130">
        <f t="shared" si="171"/>
        <v>1.2540512286990533</v>
      </c>
      <c r="T136" s="135">
        <f t="shared" si="108"/>
        <v>0</v>
      </c>
      <c r="U136" s="127">
        <f t="shared" si="109"/>
        <v>0</v>
      </c>
      <c r="V136" s="217">
        <v>0</v>
      </c>
      <c r="W136" s="191">
        <v>0</v>
      </c>
      <c r="X136" s="133">
        <v>0</v>
      </c>
      <c r="Y136" s="131">
        <f t="shared" si="110"/>
        <v>2438.5</v>
      </c>
      <c r="Z136" s="131">
        <f t="shared" si="111"/>
        <v>619.50392118264142</v>
      </c>
      <c r="AA136" s="242">
        <f t="shared" si="112"/>
        <v>3058.0039211826415</v>
      </c>
      <c r="AB136" s="131">
        <f t="shared" si="113"/>
        <v>0</v>
      </c>
      <c r="AC136" s="131">
        <f t="shared" si="114"/>
        <v>139.48055684730568</v>
      </c>
      <c r="AD136" s="131">
        <f t="shared" si="115"/>
        <v>0</v>
      </c>
      <c r="AE136" s="131">
        <f t="shared" si="116"/>
        <v>0</v>
      </c>
      <c r="AF136" s="131">
        <f t="shared" si="117"/>
        <v>75.260000000000005</v>
      </c>
      <c r="AG136" s="131">
        <f t="shared" si="118"/>
        <v>0</v>
      </c>
      <c r="AH136" s="131">
        <f t="shared" si="119"/>
        <v>0</v>
      </c>
      <c r="AI136" s="131">
        <f t="shared" si="120"/>
        <v>0</v>
      </c>
      <c r="AJ136" s="131">
        <f t="shared" si="121"/>
        <v>0</v>
      </c>
      <c r="AK136" s="131"/>
      <c r="AL136" s="131">
        <f t="shared" si="122"/>
        <v>0</v>
      </c>
      <c r="AM136" s="131"/>
      <c r="AN136" s="243">
        <f t="shared" si="123"/>
        <v>0</v>
      </c>
      <c r="AO136" s="131">
        <f t="shared" si="124"/>
        <v>0</v>
      </c>
      <c r="AP136" s="131">
        <f t="shared" si="125"/>
        <v>0</v>
      </c>
      <c r="AQ136" s="131"/>
      <c r="AR136" s="131">
        <f t="shared" si="126"/>
        <v>0</v>
      </c>
      <c r="AS136" s="131">
        <f t="shared" si="172"/>
        <v>0</v>
      </c>
      <c r="AT136" s="131">
        <f t="shared" si="127"/>
        <v>0</v>
      </c>
      <c r="AU136" s="131">
        <f t="shared" si="128"/>
        <v>0</v>
      </c>
      <c r="AV136" s="131"/>
      <c r="AW136" s="131">
        <f t="shared" si="129"/>
        <v>353.75</v>
      </c>
      <c r="AX136" s="131">
        <f t="shared" si="183"/>
        <v>0</v>
      </c>
      <c r="AY136" s="131">
        <f t="shared" si="130"/>
        <v>0</v>
      </c>
      <c r="AZ136" s="131"/>
      <c r="BA136" s="131">
        <f t="shared" si="184"/>
        <v>0</v>
      </c>
      <c r="BB136" s="131"/>
      <c r="BC136" s="131"/>
      <c r="BD136" s="131">
        <f t="shared" si="131"/>
        <v>0</v>
      </c>
      <c r="BE136" s="131"/>
      <c r="BF136" s="131">
        <f t="shared" si="173"/>
        <v>0</v>
      </c>
      <c r="BG136" s="131">
        <f t="shared" si="174"/>
        <v>0</v>
      </c>
      <c r="BH136" s="131"/>
      <c r="BI136" s="131"/>
      <c r="BJ136" s="131"/>
      <c r="BK136" s="131">
        <f t="shared" si="175"/>
        <v>0</v>
      </c>
      <c r="BL136" s="131"/>
      <c r="BM136" s="131"/>
      <c r="BN136" s="131">
        <f t="shared" si="176"/>
        <v>0</v>
      </c>
      <c r="BO136" s="131"/>
      <c r="BP136" s="131">
        <f t="shared" si="177"/>
        <v>0</v>
      </c>
      <c r="BQ136" s="131"/>
      <c r="BR136" s="131"/>
      <c r="BS136" s="131"/>
      <c r="BT136" s="131"/>
      <c r="BU136" s="131"/>
      <c r="BV136" s="131">
        <f t="shared" si="178"/>
        <v>0</v>
      </c>
      <c r="BW136" s="131"/>
      <c r="BX136" s="131"/>
      <c r="BY136" s="131"/>
      <c r="BZ136" s="131">
        <f t="shared" si="179"/>
        <v>0</v>
      </c>
      <c r="CA136" s="131"/>
      <c r="CB136" s="136">
        <f t="shared" si="132"/>
        <v>165.08663357180151</v>
      </c>
      <c r="CC136" s="131">
        <f t="shared" si="133"/>
        <v>0</v>
      </c>
      <c r="CD136" s="136">
        <f t="shared" si="134"/>
        <v>0</v>
      </c>
      <c r="CE136" s="131">
        <f t="shared" si="182"/>
        <v>0</v>
      </c>
      <c r="CF136" s="136">
        <f t="shared" si="135"/>
        <v>0</v>
      </c>
      <c r="CG136" s="136"/>
      <c r="CH136" s="136">
        <f t="shared" si="181"/>
        <v>0</v>
      </c>
      <c r="CI136" s="131">
        <f t="shared" si="136"/>
        <v>0</v>
      </c>
      <c r="CJ136" s="131"/>
      <c r="CK136" s="136">
        <f t="shared" si="137"/>
        <v>0</v>
      </c>
      <c r="CL136" s="136">
        <f t="shared" si="138"/>
        <v>0</v>
      </c>
      <c r="CM136" s="131">
        <f t="shared" si="139"/>
        <v>0</v>
      </c>
      <c r="CN136" s="136">
        <f t="shared" si="140"/>
        <v>0</v>
      </c>
      <c r="CO136" s="136">
        <f t="shared" si="141"/>
        <v>0</v>
      </c>
      <c r="CP136" s="136">
        <f t="shared" si="142"/>
        <v>0</v>
      </c>
      <c r="CQ136" s="136"/>
      <c r="CR136" s="136">
        <f t="shared" si="143"/>
        <v>0</v>
      </c>
      <c r="CS136" s="136"/>
      <c r="CT136" s="136"/>
      <c r="CU136" s="136"/>
      <c r="CV136" s="136"/>
      <c r="CW136" s="136"/>
      <c r="CX136" s="136"/>
      <c r="CY136" s="136"/>
      <c r="CZ136" s="136">
        <f t="shared" si="144"/>
        <v>0</v>
      </c>
      <c r="DA136" s="136">
        <f t="shared" si="145"/>
        <v>0</v>
      </c>
      <c r="DB136" s="136">
        <f t="shared" si="146"/>
        <v>0</v>
      </c>
      <c r="DC136" s="131">
        <f t="shared" si="105"/>
        <v>0</v>
      </c>
      <c r="DD136" s="131">
        <f t="shared" si="147"/>
        <v>0</v>
      </c>
      <c r="DE136" s="131">
        <f t="shared" si="148"/>
        <v>0</v>
      </c>
      <c r="DF136" s="131">
        <f t="shared" si="149"/>
        <v>0</v>
      </c>
      <c r="DG136" s="131">
        <f t="shared" si="150"/>
        <v>0</v>
      </c>
      <c r="DH136" s="131"/>
      <c r="DI136" s="131"/>
      <c r="DJ136" s="131"/>
      <c r="DK136" s="137">
        <f t="shared" si="180"/>
        <v>3791.5811116017489</v>
      </c>
      <c r="DL136" s="227" t="e">
        <f t="shared" si="151"/>
        <v>#REF!</v>
      </c>
      <c r="DM136" s="227" t="e">
        <f t="shared" si="152"/>
        <v>#REF!</v>
      </c>
      <c r="DN136" s="228" t="e">
        <f t="shared" si="106"/>
        <v>#REF!</v>
      </c>
      <c r="DO136" s="228">
        <f t="shared" si="153"/>
        <v>181.81087083894022</v>
      </c>
      <c r="DP136" s="228" t="e">
        <f t="shared" si="154"/>
        <v>#REF!</v>
      </c>
      <c r="DQ136" s="228" t="e">
        <f t="shared" si="155"/>
        <v>#REF!</v>
      </c>
    </row>
    <row r="137" spans="1:121">
      <c r="A137" s="132">
        <f t="shared" si="107"/>
        <v>127</v>
      </c>
      <c r="B137" s="18">
        <f t="shared" si="156"/>
        <v>127</v>
      </c>
      <c r="C137" s="18">
        <f>IF(A137=0," ",VLOOKUP(B137,'tosafot '!$A$7:$B$234,2,0))</f>
        <v>7.2018000000000004</v>
      </c>
      <c r="D137" s="220">
        <f t="shared" si="157"/>
        <v>228</v>
      </c>
      <c r="E137" s="130">
        <f t="shared" si="158"/>
        <v>12.2026</v>
      </c>
      <c r="F137" s="126">
        <f t="shared" si="159"/>
        <v>9</v>
      </c>
      <c r="G137" s="18" t="str">
        <f t="shared" si="160"/>
        <v>הבריאות</v>
      </c>
      <c r="H137" s="189">
        <f t="shared" si="161"/>
        <v>107</v>
      </c>
      <c r="I137" s="18">
        <f t="shared" si="162"/>
        <v>1</v>
      </c>
      <c r="J137" s="18" t="str">
        <f t="shared" si="163"/>
        <v>מינהלי - עובדי מדינה</v>
      </c>
      <c r="K137" s="189">
        <f t="shared" si="164"/>
        <v>1</v>
      </c>
      <c r="L137" s="18">
        <f t="shared" si="165"/>
        <v>12</v>
      </c>
      <c r="M137" s="129" t="str">
        <f t="shared" si="166"/>
        <v>17+</v>
      </c>
      <c r="N137" s="189"/>
      <c r="O137" s="132">
        <f t="shared" si="167"/>
        <v>1012</v>
      </c>
      <c r="P137" s="127">
        <f t="shared" si="168"/>
        <v>37</v>
      </c>
      <c r="Q137" s="127">
        <f t="shared" si="169"/>
        <v>22.75</v>
      </c>
      <c r="R137" s="128">
        <f t="shared" si="170"/>
        <v>92</v>
      </c>
      <c r="S137" s="130">
        <f t="shared" si="171"/>
        <v>1.2540512286990533</v>
      </c>
      <c r="T137" s="135">
        <f t="shared" si="108"/>
        <v>0</v>
      </c>
      <c r="U137" s="127">
        <f t="shared" si="109"/>
        <v>0</v>
      </c>
      <c r="V137" s="217">
        <v>0</v>
      </c>
      <c r="W137" s="191">
        <v>0</v>
      </c>
      <c r="X137" s="133">
        <v>0</v>
      </c>
      <c r="Y137" s="131">
        <f t="shared" si="110"/>
        <v>2438.5</v>
      </c>
      <c r="Z137" s="131">
        <f t="shared" si="111"/>
        <v>619.50392118264142</v>
      </c>
      <c r="AA137" s="242">
        <f t="shared" si="112"/>
        <v>3058.0039211826415</v>
      </c>
      <c r="AB137" s="131">
        <f t="shared" si="113"/>
        <v>0</v>
      </c>
      <c r="AC137" s="131">
        <f t="shared" si="114"/>
        <v>139.48055684730568</v>
      </c>
      <c r="AD137" s="131">
        <f t="shared" si="115"/>
        <v>0</v>
      </c>
      <c r="AE137" s="131">
        <f t="shared" si="116"/>
        <v>0</v>
      </c>
      <c r="AF137" s="131">
        <f t="shared" si="117"/>
        <v>75.260000000000005</v>
      </c>
      <c r="AG137" s="131">
        <f t="shared" si="118"/>
        <v>0</v>
      </c>
      <c r="AH137" s="131">
        <f t="shared" si="119"/>
        <v>0</v>
      </c>
      <c r="AI137" s="131">
        <f t="shared" si="120"/>
        <v>0</v>
      </c>
      <c r="AJ137" s="131">
        <f t="shared" si="121"/>
        <v>0</v>
      </c>
      <c r="AK137" s="131"/>
      <c r="AL137" s="131">
        <f t="shared" si="122"/>
        <v>0</v>
      </c>
      <c r="AM137" s="131"/>
      <c r="AN137" s="243">
        <f t="shared" si="123"/>
        <v>0</v>
      </c>
      <c r="AO137" s="131">
        <f t="shared" si="124"/>
        <v>0</v>
      </c>
      <c r="AP137" s="131">
        <f t="shared" si="125"/>
        <v>0</v>
      </c>
      <c r="AQ137" s="131"/>
      <c r="AR137" s="131">
        <f t="shared" si="126"/>
        <v>0</v>
      </c>
      <c r="AS137" s="131">
        <f t="shared" si="172"/>
        <v>0</v>
      </c>
      <c r="AT137" s="131">
        <f t="shared" si="127"/>
        <v>0</v>
      </c>
      <c r="AU137" s="131">
        <f t="shared" si="128"/>
        <v>0</v>
      </c>
      <c r="AV137" s="131"/>
      <c r="AW137" s="131">
        <f t="shared" si="129"/>
        <v>353.75</v>
      </c>
      <c r="AX137" s="131">
        <f t="shared" si="183"/>
        <v>0</v>
      </c>
      <c r="AY137" s="131">
        <f t="shared" si="130"/>
        <v>0</v>
      </c>
      <c r="AZ137" s="131"/>
      <c r="BA137" s="131">
        <f t="shared" si="184"/>
        <v>0</v>
      </c>
      <c r="BB137" s="131"/>
      <c r="BC137" s="131"/>
      <c r="BD137" s="131">
        <f t="shared" si="131"/>
        <v>0</v>
      </c>
      <c r="BE137" s="131"/>
      <c r="BF137" s="131">
        <f t="shared" si="173"/>
        <v>0</v>
      </c>
      <c r="BG137" s="131">
        <f t="shared" si="174"/>
        <v>0</v>
      </c>
      <c r="BH137" s="131"/>
      <c r="BI137" s="131"/>
      <c r="BJ137" s="131"/>
      <c r="BK137" s="131">
        <f t="shared" si="175"/>
        <v>0</v>
      </c>
      <c r="BL137" s="131"/>
      <c r="BM137" s="131"/>
      <c r="BN137" s="131">
        <f t="shared" si="176"/>
        <v>0</v>
      </c>
      <c r="BO137" s="131"/>
      <c r="BP137" s="131">
        <f t="shared" si="177"/>
        <v>0</v>
      </c>
      <c r="BQ137" s="131"/>
      <c r="BR137" s="131"/>
      <c r="BS137" s="131"/>
      <c r="BT137" s="131"/>
      <c r="BU137" s="131"/>
      <c r="BV137" s="131">
        <f t="shared" si="178"/>
        <v>0</v>
      </c>
      <c r="BW137" s="131"/>
      <c r="BX137" s="131"/>
      <c r="BY137" s="131"/>
      <c r="BZ137" s="131">
        <f t="shared" si="179"/>
        <v>0</v>
      </c>
      <c r="CA137" s="131"/>
      <c r="CB137" s="136">
        <f t="shared" si="132"/>
        <v>165.08663357180151</v>
      </c>
      <c r="CC137" s="131">
        <f t="shared" si="133"/>
        <v>0</v>
      </c>
      <c r="CD137" s="136">
        <f t="shared" si="134"/>
        <v>0</v>
      </c>
      <c r="CE137" s="131">
        <f t="shared" si="182"/>
        <v>0</v>
      </c>
      <c r="CF137" s="136">
        <f t="shared" si="135"/>
        <v>0</v>
      </c>
      <c r="CG137" s="136"/>
      <c r="CH137" s="136">
        <f t="shared" si="181"/>
        <v>0</v>
      </c>
      <c r="CI137" s="131">
        <f t="shared" si="136"/>
        <v>0</v>
      </c>
      <c r="CJ137" s="131"/>
      <c r="CK137" s="136">
        <f t="shared" si="137"/>
        <v>0</v>
      </c>
      <c r="CL137" s="136">
        <f t="shared" si="138"/>
        <v>0</v>
      </c>
      <c r="CM137" s="131">
        <f t="shared" si="139"/>
        <v>0</v>
      </c>
      <c r="CN137" s="136">
        <f t="shared" si="140"/>
        <v>0</v>
      </c>
      <c r="CO137" s="136">
        <f t="shared" si="141"/>
        <v>0</v>
      </c>
      <c r="CP137" s="136">
        <f t="shared" si="142"/>
        <v>0</v>
      </c>
      <c r="CQ137" s="136"/>
      <c r="CR137" s="136">
        <f t="shared" si="143"/>
        <v>0</v>
      </c>
      <c r="CS137" s="136"/>
      <c r="CT137" s="136"/>
      <c r="CU137" s="136"/>
      <c r="CV137" s="136"/>
      <c r="CW137" s="136"/>
      <c r="CX137" s="136"/>
      <c r="CY137" s="136"/>
      <c r="CZ137" s="136">
        <f t="shared" si="144"/>
        <v>0</v>
      </c>
      <c r="DA137" s="136">
        <f t="shared" si="145"/>
        <v>0</v>
      </c>
      <c r="DB137" s="136">
        <f t="shared" si="146"/>
        <v>0</v>
      </c>
      <c r="DC137" s="131">
        <f t="shared" si="105"/>
        <v>0</v>
      </c>
      <c r="DD137" s="131">
        <f t="shared" si="147"/>
        <v>0</v>
      </c>
      <c r="DE137" s="131">
        <f t="shared" si="148"/>
        <v>0</v>
      </c>
      <c r="DF137" s="131">
        <f t="shared" si="149"/>
        <v>0</v>
      </c>
      <c r="DG137" s="131">
        <f t="shared" si="150"/>
        <v>0</v>
      </c>
      <c r="DH137" s="131"/>
      <c r="DI137" s="131"/>
      <c r="DJ137" s="131"/>
      <c r="DK137" s="137">
        <f t="shared" si="180"/>
        <v>3791.5811116017489</v>
      </c>
      <c r="DL137" s="227" t="e">
        <f t="shared" si="151"/>
        <v>#REF!</v>
      </c>
      <c r="DM137" s="227" t="e">
        <f t="shared" si="152"/>
        <v>#REF!</v>
      </c>
      <c r="DN137" s="228" t="e">
        <f t="shared" si="106"/>
        <v>#REF!</v>
      </c>
      <c r="DO137" s="228">
        <f t="shared" si="153"/>
        <v>181.81087083894022</v>
      </c>
      <c r="DP137" s="228" t="e">
        <f t="shared" si="154"/>
        <v>#REF!</v>
      </c>
      <c r="DQ137" s="228" t="e">
        <f t="shared" si="155"/>
        <v>#REF!</v>
      </c>
    </row>
    <row r="138" spans="1:121">
      <c r="A138" s="132">
        <f t="shared" si="107"/>
        <v>128</v>
      </c>
      <c r="B138" s="18">
        <f t="shared" si="156"/>
        <v>128</v>
      </c>
      <c r="C138" s="18">
        <f>IF(A138=0," ",VLOOKUP(B138,'tosafot '!$A$7:$B$234,2,0))</f>
        <v>8.2018000000000004</v>
      </c>
      <c r="D138" s="220">
        <f t="shared" si="157"/>
        <v>228</v>
      </c>
      <c r="E138" s="130">
        <f t="shared" si="158"/>
        <v>12.2026</v>
      </c>
      <c r="F138" s="126">
        <f t="shared" si="159"/>
        <v>9</v>
      </c>
      <c r="G138" s="18" t="str">
        <f t="shared" si="160"/>
        <v>הבריאות</v>
      </c>
      <c r="H138" s="189">
        <f t="shared" si="161"/>
        <v>107</v>
      </c>
      <c r="I138" s="18">
        <f t="shared" si="162"/>
        <v>1</v>
      </c>
      <c r="J138" s="18" t="str">
        <f t="shared" si="163"/>
        <v>מינהלי - עובדי מדינה</v>
      </c>
      <c r="K138" s="189">
        <f t="shared" si="164"/>
        <v>1</v>
      </c>
      <c r="L138" s="18">
        <f t="shared" si="165"/>
        <v>12</v>
      </c>
      <c r="M138" s="129" t="str">
        <f t="shared" si="166"/>
        <v>17+</v>
      </c>
      <c r="N138" s="189"/>
      <c r="O138" s="132">
        <f t="shared" si="167"/>
        <v>1012</v>
      </c>
      <c r="P138" s="127">
        <f t="shared" si="168"/>
        <v>37</v>
      </c>
      <c r="Q138" s="127">
        <f t="shared" si="169"/>
        <v>22.75</v>
      </c>
      <c r="R138" s="128">
        <f t="shared" si="170"/>
        <v>92</v>
      </c>
      <c r="S138" s="130">
        <f t="shared" si="171"/>
        <v>1.2540512286990533</v>
      </c>
      <c r="T138" s="135">
        <f t="shared" si="108"/>
        <v>0</v>
      </c>
      <c r="U138" s="127">
        <f t="shared" si="109"/>
        <v>0</v>
      </c>
      <c r="V138" s="217">
        <v>0</v>
      </c>
      <c r="W138" s="191">
        <v>0</v>
      </c>
      <c r="X138" s="133">
        <v>0</v>
      </c>
      <c r="Y138" s="131">
        <f t="shared" si="110"/>
        <v>2438.5</v>
      </c>
      <c r="Z138" s="131">
        <f t="shared" si="111"/>
        <v>619.50392118264142</v>
      </c>
      <c r="AA138" s="242">
        <f t="shared" si="112"/>
        <v>3058.0039211826415</v>
      </c>
      <c r="AB138" s="131">
        <f t="shared" si="113"/>
        <v>0</v>
      </c>
      <c r="AC138" s="131">
        <f t="shared" si="114"/>
        <v>139.48055684730568</v>
      </c>
      <c r="AD138" s="131">
        <f t="shared" si="115"/>
        <v>0</v>
      </c>
      <c r="AE138" s="131">
        <f t="shared" si="116"/>
        <v>0</v>
      </c>
      <c r="AF138" s="131">
        <f t="shared" si="117"/>
        <v>75.260000000000005</v>
      </c>
      <c r="AG138" s="131">
        <f t="shared" si="118"/>
        <v>0</v>
      </c>
      <c r="AH138" s="131">
        <f t="shared" si="119"/>
        <v>0</v>
      </c>
      <c r="AI138" s="131">
        <f t="shared" si="120"/>
        <v>0</v>
      </c>
      <c r="AJ138" s="131">
        <f t="shared" si="121"/>
        <v>0</v>
      </c>
      <c r="AK138" s="131"/>
      <c r="AL138" s="131">
        <f t="shared" si="122"/>
        <v>0</v>
      </c>
      <c r="AM138" s="131"/>
      <c r="AN138" s="243">
        <f t="shared" si="123"/>
        <v>0</v>
      </c>
      <c r="AO138" s="131">
        <f t="shared" si="124"/>
        <v>0</v>
      </c>
      <c r="AP138" s="131">
        <f t="shared" si="125"/>
        <v>0</v>
      </c>
      <c r="AQ138" s="131"/>
      <c r="AR138" s="131">
        <f t="shared" si="126"/>
        <v>0</v>
      </c>
      <c r="AS138" s="131">
        <f t="shared" si="172"/>
        <v>0</v>
      </c>
      <c r="AT138" s="131">
        <f t="shared" si="127"/>
        <v>0</v>
      </c>
      <c r="AU138" s="131">
        <f t="shared" si="128"/>
        <v>0</v>
      </c>
      <c r="AV138" s="131"/>
      <c r="AW138" s="131">
        <f t="shared" si="129"/>
        <v>353.75</v>
      </c>
      <c r="AX138" s="131">
        <f t="shared" si="183"/>
        <v>0</v>
      </c>
      <c r="AY138" s="131">
        <f t="shared" si="130"/>
        <v>0</v>
      </c>
      <c r="AZ138" s="131"/>
      <c r="BA138" s="131">
        <f t="shared" si="184"/>
        <v>0</v>
      </c>
      <c r="BB138" s="131"/>
      <c r="BC138" s="131"/>
      <c r="BD138" s="131">
        <f t="shared" si="131"/>
        <v>0</v>
      </c>
      <c r="BE138" s="131"/>
      <c r="BF138" s="131">
        <f t="shared" si="173"/>
        <v>0</v>
      </c>
      <c r="BG138" s="131">
        <f t="shared" si="174"/>
        <v>0</v>
      </c>
      <c r="BH138" s="131"/>
      <c r="BI138" s="131"/>
      <c r="BJ138" s="131"/>
      <c r="BK138" s="131">
        <f t="shared" si="175"/>
        <v>0</v>
      </c>
      <c r="BL138" s="131"/>
      <c r="BM138" s="131"/>
      <c r="BN138" s="131">
        <f t="shared" si="176"/>
        <v>0</v>
      </c>
      <c r="BO138" s="131"/>
      <c r="BP138" s="131">
        <f t="shared" si="177"/>
        <v>0</v>
      </c>
      <c r="BQ138" s="131"/>
      <c r="BR138" s="131"/>
      <c r="BS138" s="131"/>
      <c r="BT138" s="131"/>
      <c r="BU138" s="131"/>
      <c r="BV138" s="131">
        <f t="shared" si="178"/>
        <v>0</v>
      </c>
      <c r="BW138" s="131"/>
      <c r="BX138" s="131"/>
      <c r="BY138" s="131"/>
      <c r="BZ138" s="131">
        <f t="shared" si="179"/>
        <v>0</v>
      </c>
      <c r="CA138" s="131"/>
      <c r="CB138" s="136">
        <f t="shared" si="132"/>
        <v>165.08663357180151</v>
      </c>
      <c r="CC138" s="131">
        <f t="shared" si="133"/>
        <v>0</v>
      </c>
      <c r="CD138" s="136">
        <f t="shared" si="134"/>
        <v>0</v>
      </c>
      <c r="CE138" s="131">
        <f t="shared" si="182"/>
        <v>0</v>
      </c>
      <c r="CF138" s="136">
        <f t="shared" si="135"/>
        <v>0</v>
      </c>
      <c r="CG138" s="136"/>
      <c r="CH138" s="136">
        <f t="shared" si="181"/>
        <v>0</v>
      </c>
      <c r="CI138" s="131">
        <f t="shared" si="136"/>
        <v>0</v>
      </c>
      <c r="CJ138" s="131"/>
      <c r="CK138" s="136">
        <f t="shared" si="137"/>
        <v>0</v>
      </c>
      <c r="CL138" s="136">
        <f t="shared" si="138"/>
        <v>0</v>
      </c>
      <c r="CM138" s="131">
        <f t="shared" si="139"/>
        <v>0</v>
      </c>
      <c r="CN138" s="136">
        <f t="shared" si="140"/>
        <v>0</v>
      </c>
      <c r="CO138" s="136">
        <f t="shared" si="141"/>
        <v>0</v>
      </c>
      <c r="CP138" s="136">
        <f t="shared" si="142"/>
        <v>0</v>
      </c>
      <c r="CQ138" s="136"/>
      <c r="CR138" s="136">
        <f t="shared" si="143"/>
        <v>0</v>
      </c>
      <c r="CS138" s="136"/>
      <c r="CT138" s="136"/>
      <c r="CU138" s="136"/>
      <c r="CV138" s="136"/>
      <c r="CW138" s="136"/>
      <c r="CX138" s="136"/>
      <c r="CY138" s="136"/>
      <c r="CZ138" s="136">
        <f t="shared" si="144"/>
        <v>0</v>
      </c>
      <c r="DA138" s="136">
        <f t="shared" si="145"/>
        <v>0</v>
      </c>
      <c r="DB138" s="136">
        <f t="shared" si="146"/>
        <v>0</v>
      </c>
      <c r="DC138" s="131">
        <f t="shared" si="105"/>
        <v>0</v>
      </c>
      <c r="DD138" s="131">
        <f t="shared" si="147"/>
        <v>0</v>
      </c>
      <c r="DE138" s="131">
        <f t="shared" si="148"/>
        <v>0</v>
      </c>
      <c r="DF138" s="131">
        <f t="shared" si="149"/>
        <v>0</v>
      </c>
      <c r="DG138" s="131">
        <f t="shared" si="150"/>
        <v>0</v>
      </c>
      <c r="DH138" s="131"/>
      <c r="DI138" s="131"/>
      <c r="DJ138" s="131"/>
      <c r="DK138" s="137">
        <f t="shared" si="180"/>
        <v>3791.5811116017489</v>
      </c>
      <c r="DL138" s="227" t="e">
        <f t="shared" si="151"/>
        <v>#REF!</v>
      </c>
      <c r="DM138" s="227" t="e">
        <f t="shared" si="152"/>
        <v>#REF!</v>
      </c>
      <c r="DN138" s="228" t="e">
        <f t="shared" si="106"/>
        <v>#REF!</v>
      </c>
      <c r="DO138" s="228">
        <f t="shared" si="153"/>
        <v>181.81087083894022</v>
      </c>
      <c r="DP138" s="228" t="e">
        <f t="shared" si="154"/>
        <v>#REF!</v>
      </c>
      <c r="DQ138" s="228" t="e">
        <f t="shared" si="155"/>
        <v>#REF!</v>
      </c>
    </row>
    <row r="139" spans="1:121">
      <c r="A139" s="132">
        <f t="shared" si="107"/>
        <v>129</v>
      </c>
      <c r="B139" s="18">
        <f t="shared" si="156"/>
        <v>129</v>
      </c>
      <c r="C139" s="18">
        <f>IF(A139=0," ",VLOOKUP(B139,'tosafot '!$A$7:$B$234,2,0))</f>
        <v>9.2018000000000004</v>
      </c>
      <c r="D139" s="220">
        <f t="shared" si="157"/>
        <v>228</v>
      </c>
      <c r="E139" s="130">
        <f t="shared" si="158"/>
        <v>12.2026</v>
      </c>
      <c r="F139" s="126">
        <f t="shared" si="159"/>
        <v>9</v>
      </c>
      <c r="G139" s="18" t="str">
        <f t="shared" si="160"/>
        <v>הבריאות</v>
      </c>
      <c r="H139" s="189">
        <f t="shared" si="161"/>
        <v>107</v>
      </c>
      <c r="I139" s="18">
        <f t="shared" si="162"/>
        <v>1</v>
      </c>
      <c r="J139" s="18" t="str">
        <f t="shared" si="163"/>
        <v>מינהלי - עובדי מדינה</v>
      </c>
      <c r="K139" s="189">
        <f t="shared" si="164"/>
        <v>1</v>
      </c>
      <c r="L139" s="18">
        <f t="shared" si="165"/>
        <v>12</v>
      </c>
      <c r="M139" s="129" t="str">
        <f t="shared" si="166"/>
        <v>17+</v>
      </c>
      <c r="N139" s="189"/>
      <c r="O139" s="132">
        <f t="shared" si="167"/>
        <v>1012</v>
      </c>
      <c r="P139" s="127">
        <f t="shared" si="168"/>
        <v>37</v>
      </c>
      <c r="Q139" s="127">
        <f t="shared" si="169"/>
        <v>22.75</v>
      </c>
      <c r="R139" s="128">
        <f t="shared" si="170"/>
        <v>92</v>
      </c>
      <c r="S139" s="130">
        <f t="shared" si="171"/>
        <v>1.2540512286990533</v>
      </c>
      <c r="T139" s="135">
        <f t="shared" si="108"/>
        <v>0</v>
      </c>
      <c r="U139" s="127">
        <f t="shared" si="109"/>
        <v>0</v>
      </c>
      <c r="V139" s="217">
        <v>0</v>
      </c>
      <c r="W139" s="191">
        <v>0</v>
      </c>
      <c r="X139" s="133">
        <v>0</v>
      </c>
      <c r="Y139" s="131">
        <f t="shared" si="110"/>
        <v>2438.5</v>
      </c>
      <c r="Z139" s="131">
        <f t="shared" si="111"/>
        <v>619.50392118264142</v>
      </c>
      <c r="AA139" s="242">
        <f t="shared" si="112"/>
        <v>3058.0039211826415</v>
      </c>
      <c r="AB139" s="131">
        <f t="shared" si="113"/>
        <v>0</v>
      </c>
      <c r="AC139" s="131">
        <f t="shared" si="114"/>
        <v>139.48055684730568</v>
      </c>
      <c r="AD139" s="131">
        <f t="shared" si="115"/>
        <v>0</v>
      </c>
      <c r="AE139" s="131">
        <f t="shared" si="116"/>
        <v>0</v>
      </c>
      <c r="AF139" s="131">
        <f t="shared" si="117"/>
        <v>75.260000000000005</v>
      </c>
      <c r="AG139" s="131">
        <f t="shared" si="118"/>
        <v>0</v>
      </c>
      <c r="AH139" s="131">
        <f t="shared" si="119"/>
        <v>0</v>
      </c>
      <c r="AI139" s="131">
        <f t="shared" si="120"/>
        <v>0</v>
      </c>
      <c r="AJ139" s="131">
        <f t="shared" si="121"/>
        <v>0</v>
      </c>
      <c r="AK139" s="131"/>
      <c r="AL139" s="131">
        <f t="shared" si="122"/>
        <v>0</v>
      </c>
      <c r="AM139" s="131"/>
      <c r="AN139" s="243">
        <f t="shared" si="123"/>
        <v>0</v>
      </c>
      <c r="AO139" s="131">
        <f t="shared" si="124"/>
        <v>0</v>
      </c>
      <c r="AP139" s="131">
        <f t="shared" si="125"/>
        <v>0</v>
      </c>
      <c r="AQ139" s="131"/>
      <c r="AR139" s="131">
        <f t="shared" si="126"/>
        <v>0</v>
      </c>
      <c r="AS139" s="131">
        <f t="shared" si="172"/>
        <v>0</v>
      </c>
      <c r="AT139" s="131">
        <f t="shared" si="127"/>
        <v>0</v>
      </c>
      <c r="AU139" s="131">
        <f t="shared" si="128"/>
        <v>0</v>
      </c>
      <c r="AV139" s="131"/>
      <c r="AW139" s="131">
        <f t="shared" si="129"/>
        <v>353.75</v>
      </c>
      <c r="AX139" s="131">
        <f t="shared" si="183"/>
        <v>0</v>
      </c>
      <c r="AY139" s="131">
        <f t="shared" si="130"/>
        <v>0</v>
      </c>
      <c r="AZ139" s="131"/>
      <c r="BA139" s="131">
        <f t="shared" si="184"/>
        <v>0</v>
      </c>
      <c r="BB139" s="131"/>
      <c r="BC139" s="131"/>
      <c r="BD139" s="131">
        <f t="shared" si="131"/>
        <v>0</v>
      </c>
      <c r="BE139" s="131"/>
      <c r="BF139" s="131">
        <f t="shared" si="173"/>
        <v>0</v>
      </c>
      <c r="BG139" s="131">
        <f t="shared" si="174"/>
        <v>0</v>
      </c>
      <c r="BH139" s="131"/>
      <c r="BI139" s="131"/>
      <c r="BJ139" s="131"/>
      <c r="BK139" s="131">
        <f t="shared" si="175"/>
        <v>0</v>
      </c>
      <c r="BL139" s="131"/>
      <c r="BM139" s="131"/>
      <c r="BN139" s="131">
        <f t="shared" si="176"/>
        <v>0</v>
      </c>
      <c r="BO139" s="131"/>
      <c r="BP139" s="131">
        <f t="shared" si="177"/>
        <v>0</v>
      </c>
      <c r="BQ139" s="131"/>
      <c r="BR139" s="131"/>
      <c r="BS139" s="131"/>
      <c r="BT139" s="131"/>
      <c r="BU139" s="131"/>
      <c r="BV139" s="131">
        <f t="shared" si="178"/>
        <v>0</v>
      </c>
      <c r="BW139" s="131"/>
      <c r="BX139" s="131"/>
      <c r="BY139" s="131"/>
      <c r="BZ139" s="131">
        <f t="shared" si="179"/>
        <v>0</v>
      </c>
      <c r="CA139" s="131"/>
      <c r="CB139" s="136">
        <f t="shared" si="132"/>
        <v>165.08663357180151</v>
      </c>
      <c r="CC139" s="131">
        <f t="shared" si="133"/>
        <v>0</v>
      </c>
      <c r="CD139" s="136">
        <f t="shared" si="134"/>
        <v>0</v>
      </c>
      <c r="CE139" s="131">
        <f t="shared" si="182"/>
        <v>0</v>
      </c>
      <c r="CF139" s="136">
        <f t="shared" si="135"/>
        <v>0</v>
      </c>
      <c r="CG139" s="136"/>
      <c r="CH139" s="136">
        <f t="shared" si="181"/>
        <v>0</v>
      </c>
      <c r="CI139" s="131">
        <f t="shared" si="136"/>
        <v>0</v>
      </c>
      <c r="CJ139" s="131"/>
      <c r="CK139" s="136">
        <f t="shared" si="137"/>
        <v>0</v>
      </c>
      <c r="CL139" s="136">
        <f t="shared" si="138"/>
        <v>0</v>
      </c>
      <c r="CM139" s="131">
        <f t="shared" si="139"/>
        <v>0</v>
      </c>
      <c r="CN139" s="136">
        <f t="shared" si="140"/>
        <v>0</v>
      </c>
      <c r="CO139" s="136">
        <f t="shared" si="141"/>
        <v>0</v>
      </c>
      <c r="CP139" s="136">
        <f t="shared" si="142"/>
        <v>0</v>
      </c>
      <c r="CQ139" s="136"/>
      <c r="CR139" s="136">
        <f t="shared" si="143"/>
        <v>0</v>
      </c>
      <c r="CS139" s="136"/>
      <c r="CT139" s="136"/>
      <c r="CU139" s="136"/>
      <c r="CV139" s="136"/>
      <c r="CW139" s="136"/>
      <c r="CX139" s="136"/>
      <c r="CY139" s="136"/>
      <c r="CZ139" s="136">
        <f t="shared" si="144"/>
        <v>0</v>
      </c>
      <c r="DA139" s="136">
        <f t="shared" si="145"/>
        <v>0</v>
      </c>
      <c r="DB139" s="136">
        <f t="shared" si="146"/>
        <v>0</v>
      </c>
      <c r="DC139" s="131">
        <f t="shared" ref="DC139:DC202" si="185">IF(A139=0," ",+U139)</f>
        <v>0</v>
      </c>
      <c r="DD139" s="131">
        <f t="shared" si="147"/>
        <v>0</v>
      </c>
      <c r="DE139" s="131">
        <f t="shared" si="148"/>
        <v>0</v>
      </c>
      <c r="DF139" s="131">
        <f t="shared" si="149"/>
        <v>0</v>
      </c>
      <c r="DG139" s="131">
        <f t="shared" si="150"/>
        <v>0</v>
      </c>
      <c r="DH139" s="131"/>
      <c r="DI139" s="131"/>
      <c r="DJ139" s="131"/>
      <c r="DK139" s="137">
        <f t="shared" si="180"/>
        <v>3791.5811116017489</v>
      </c>
      <c r="DL139" s="227" t="e">
        <f t="shared" si="151"/>
        <v>#REF!</v>
      </c>
      <c r="DM139" s="227" t="e">
        <f t="shared" si="152"/>
        <v>#REF!</v>
      </c>
      <c r="DN139" s="228" t="e">
        <f t="shared" ref="DN139:DN202" si="186">IF(A139=0," ",+DK139*DL139*DM139)</f>
        <v>#REF!</v>
      </c>
      <c r="DO139" s="228">
        <f t="shared" si="153"/>
        <v>181.81087083894022</v>
      </c>
      <c r="DP139" s="228" t="e">
        <f t="shared" si="154"/>
        <v>#REF!</v>
      </c>
      <c r="DQ139" s="228" t="e">
        <f t="shared" si="155"/>
        <v>#REF!</v>
      </c>
    </row>
    <row r="140" spans="1:121">
      <c r="A140" s="132">
        <f t="shared" ref="A140:A161" si="187">IF(A139=0,0,IF(B139+1&gt;$D$9,0,A139+1))</f>
        <v>130</v>
      </c>
      <c r="B140" s="18">
        <f t="shared" si="156"/>
        <v>130</v>
      </c>
      <c r="C140" s="18">
        <f>IF(A140=0," ",VLOOKUP(B140,'tosafot '!$A$7:$B$234,2,0))</f>
        <v>10.2018</v>
      </c>
      <c r="D140" s="220">
        <f t="shared" si="157"/>
        <v>228</v>
      </c>
      <c r="E140" s="130">
        <f t="shared" si="158"/>
        <v>12.2026</v>
      </c>
      <c r="F140" s="126">
        <f t="shared" si="159"/>
        <v>9</v>
      </c>
      <c r="G140" s="18" t="str">
        <f t="shared" si="160"/>
        <v>הבריאות</v>
      </c>
      <c r="H140" s="189">
        <f t="shared" si="161"/>
        <v>107</v>
      </c>
      <c r="I140" s="18">
        <f t="shared" si="162"/>
        <v>1</v>
      </c>
      <c r="J140" s="18" t="str">
        <f t="shared" si="163"/>
        <v>מינהלי - עובדי מדינה</v>
      </c>
      <c r="K140" s="189">
        <f t="shared" si="164"/>
        <v>1</v>
      </c>
      <c r="L140" s="18">
        <f t="shared" si="165"/>
        <v>12</v>
      </c>
      <c r="M140" s="129" t="str">
        <f t="shared" si="166"/>
        <v>17+</v>
      </c>
      <c r="N140" s="189"/>
      <c r="O140" s="132">
        <f t="shared" si="167"/>
        <v>1012</v>
      </c>
      <c r="P140" s="127">
        <f t="shared" si="168"/>
        <v>37</v>
      </c>
      <c r="Q140" s="127">
        <f t="shared" si="169"/>
        <v>22.75</v>
      </c>
      <c r="R140" s="128">
        <f t="shared" si="170"/>
        <v>92</v>
      </c>
      <c r="S140" s="130">
        <f t="shared" si="171"/>
        <v>1.2540512286990533</v>
      </c>
      <c r="T140" s="135">
        <f t="shared" ref="T140:T203" si="188">IF(A140=0," ",+T139)</f>
        <v>0</v>
      </c>
      <c r="U140" s="127">
        <f t="shared" ref="U140:U203" si="189">IF(A140=0," ",+U139)</f>
        <v>0</v>
      </c>
      <c r="V140" s="217">
        <v>0</v>
      </c>
      <c r="W140" s="191">
        <v>0</v>
      </c>
      <c r="X140" s="133">
        <v>0</v>
      </c>
      <c r="Y140" s="131">
        <f t="shared" ref="Y140:Y203" si="190">IF(A140=0," ",+Y139)</f>
        <v>2438.5</v>
      </c>
      <c r="Z140" s="131">
        <f t="shared" ref="Z140:Z203" si="191">IF(A140=0," ",+Z139)</f>
        <v>619.50392118264142</v>
      </c>
      <c r="AA140" s="242">
        <f t="shared" ref="AA140:AA203" si="192">IF(A140=0," ",AA139)</f>
        <v>3058.0039211826415</v>
      </c>
      <c r="AB140" s="131">
        <f t="shared" ref="AB140:AB203" si="193">IF(A140=0," ",AB139)</f>
        <v>0</v>
      </c>
      <c r="AC140" s="131">
        <f t="shared" ref="AC140:AC203" si="194">IF(A140=0," ",AC139)</f>
        <v>139.48055684730568</v>
      </c>
      <c r="AD140" s="131">
        <f t="shared" ref="AD140:AD203" si="195">IF(A140=0," ",AD139)</f>
        <v>0</v>
      </c>
      <c r="AE140" s="131">
        <f t="shared" ref="AE140:AE203" si="196">IF(A140=0," ",AE139)</f>
        <v>0</v>
      </c>
      <c r="AF140" s="131">
        <f t="shared" ref="AF140:AF203" si="197">IF(A140=0," ",AF139)</f>
        <v>75.260000000000005</v>
      </c>
      <c r="AG140" s="131">
        <f t="shared" ref="AG140:AG203" si="198">IF(A140=0," ",AG139)</f>
        <v>0</v>
      </c>
      <c r="AH140" s="131">
        <f t="shared" ref="AH140:AH203" si="199">IF(A140=0," ",AH139)</f>
        <v>0</v>
      </c>
      <c r="AI140" s="131">
        <f t="shared" ref="AI140:AI203" si="200">IF(A140=0," ",AI139)</f>
        <v>0</v>
      </c>
      <c r="AJ140" s="131">
        <f t="shared" ref="AJ140:AJ203" si="201">IF(A140=0," ",AJ139)</f>
        <v>0</v>
      </c>
      <c r="AK140" s="131"/>
      <c r="AL140" s="131">
        <f t="shared" ref="AL140:AL203" si="202">IF(A140=0," ",AL139)</f>
        <v>0</v>
      </c>
      <c r="AM140" s="131"/>
      <c r="AN140" s="243">
        <f t="shared" ref="AN140:AN203" si="203">IF(A140=0," ",AN139)</f>
        <v>0</v>
      </c>
      <c r="AO140" s="131">
        <f t="shared" ref="AO140:AO203" si="204">IF(A140=0," ",AO139)</f>
        <v>0</v>
      </c>
      <c r="AP140" s="131">
        <f t="shared" ref="AP140:AP203" si="205">IF(A140=0," ",AP139)</f>
        <v>0</v>
      </c>
      <c r="AQ140" s="131"/>
      <c r="AR140" s="131">
        <f t="shared" ref="AR140:AR203" si="206">IF(A140=0," ",AR139)</f>
        <v>0</v>
      </c>
      <c r="AS140" s="131">
        <f t="shared" si="172"/>
        <v>0</v>
      </c>
      <c r="AT140" s="131">
        <f t="shared" ref="AT140:AT203" si="207">IF(A140=0," ",AT139)</f>
        <v>0</v>
      </c>
      <c r="AU140" s="131">
        <f t="shared" ref="AU140:AU203" si="208">IF(A140=0," ",AU139)</f>
        <v>0</v>
      </c>
      <c r="AV140" s="131"/>
      <c r="AW140" s="131">
        <f t="shared" ref="AW140:AW203" si="209">IF(A140=0," ",AW139)</f>
        <v>353.75</v>
      </c>
      <c r="AX140" s="131">
        <f t="shared" si="183"/>
        <v>0</v>
      </c>
      <c r="AY140" s="131">
        <f t="shared" ref="AY140:AY203" si="210">IF(A140=0," ",AY139)</f>
        <v>0</v>
      </c>
      <c r="AZ140" s="131"/>
      <c r="BA140" s="131">
        <f t="shared" si="184"/>
        <v>0</v>
      </c>
      <c r="BB140" s="131"/>
      <c r="BC140" s="131"/>
      <c r="BD140" s="131">
        <f t="shared" ref="BD140:BD203" si="211">IF(A140=0," ",BD139)</f>
        <v>0</v>
      </c>
      <c r="BE140" s="131"/>
      <c r="BF140" s="131">
        <f t="shared" si="173"/>
        <v>0</v>
      </c>
      <c r="BG140" s="131">
        <f t="shared" si="174"/>
        <v>0</v>
      </c>
      <c r="BH140" s="131"/>
      <c r="BI140" s="131"/>
      <c r="BJ140" s="131"/>
      <c r="BK140" s="131">
        <f t="shared" si="175"/>
        <v>0</v>
      </c>
      <c r="BL140" s="131"/>
      <c r="BM140" s="131"/>
      <c r="BN140" s="131">
        <f t="shared" si="176"/>
        <v>0</v>
      </c>
      <c r="BO140" s="131"/>
      <c r="BP140" s="131">
        <f t="shared" si="177"/>
        <v>0</v>
      </c>
      <c r="BQ140" s="131"/>
      <c r="BR140" s="131"/>
      <c r="BS140" s="131"/>
      <c r="BT140" s="131"/>
      <c r="BU140" s="131"/>
      <c r="BV140" s="131">
        <f t="shared" si="178"/>
        <v>0</v>
      </c>
      <c r="BW140" s="131"/>
      <c r="BX140" s="131"/>
      <c r="BY140" s="131"/>
      <c r="BZ140" s="131">
        <f t="shared" si="179"/>
        <v>0</v>
      </c>
      <c r="CA140" s="131"/>
      <c r="CB140" s="136">
        <f t="shared" ref="CB140:CB203" si="212">IF(A140=0," ",+CB139)</f>
        <v>165.08663357180151</v>
      </c>
      <c r="CC140" s="131">
        <f t="shared" ref="CC140:CC203" si="213">IF(A140=0," ",CC139)</f>
        <v>0</v>
      </c>
      <c r="CD140" s="136">
        <f t="shared" ref="CD140:CD203" si="214">IF(A140=0," ",CD139)</f>
        <v>0</v>
      </c>
      <c r="CE140" s="131">
        <f t="shared" si="182"/>
        <v>0</v>
      </c>
      <c r="CF140" s="136">
        <f t="shared" ref="CF140:CF203" si="215">IF(A140=0," ",+CF139)</f>
        <v>0</v>
      </c>
      <c r="CG140" s="136"/>
      <c r="CH140" s="136">
        <f t="shared" si="181"/>
        <v>0</v>
      </c>
      <c r="CI140" s="131">
        <f t="shared" ref="CI140:CI203" si="216">IF(A140=0," ",CI139)</f>
        <v>0</v>
      </c>
      <c r="CJ140" s="131"/>
      <c r="CK140" s="136">
        <f t="shared" ref="CK140:CK203" si="217">IF(A140=0," ",+CK139)</f>
        <v>0</v>
      </c>
      <c r="CL140" s="136">
        <f t="shared" ref="CL140:CL203" si="218">IF(A140=0," ",+CL139)</f>
        <v>0</v>
      </c>
      <c r="CM140" s="131">
        <f t="shared" ref="CM140:CM203" si="219">IF(A140=0," ",CM139)</f>
        <v>0</v>
      </c>
      <c r="CN140" s="136">
        <f t="shared" ref="CN140:CN203" si="220">IF(A140=0," ",+CN139)</f>
        <v>0</v>
      </c>
      <c r="CO140" s="136">
        <f t="shared" ref="CO140:CO203" si="221">IF(A140=0," ",+CO139)</f>
        <v>0</v>
      </c>
      <c r="CP140" s="136">
        <f t="shared" ref="CP140:CP203" si="222">IF(A140=0," ",+CP139)</f>
        <v>0</v>
      </c>
      <c r="CQ140" s="136"/>
      <c r="CR140" s="136">
        <f t="shared" ref="CR140:CR203" si="223">IF(A140=0," ",+CR139)</f>
        <v>0</v>
      </c>
      <c r="CS140" s="136"/>
      <c r="CT140" s="136"/>
      <c r="CU140" s="136"/>
      <c r="CV140" s="136"/>
      <c r="CW140" s="136"/>
      <c r="CX140" s="136"/>
      <c r="CY140" s="136"/>
      <c r="CZ140" s="136">
        <f t="shared" ref="CZ140:CZ203" si="224">IF(A140=0," ",+CZ139)</f>
        <v>0</v>
      </c>
      <c r="DA140" s="136">
        <f t="shared" ref="DA140:DA203" si="225">IF(A140=0," ",+DA139)</f>
        <v>0</v>
      </c>
      <c r="DB140" s="136">
        <f t="shared" ref="DB140:DB203" si="226">IF(A140=0," ",+DB139)</f>
        <v>0</v>
      </c>
      <c r="DC140" s="131">
        <f t="shared" si="185"/>
        <v>0</v>
      </c>
      <c r="DD140" s="131">
        <f t="shared" ref="DD140:DD203" si="227">IF(A140=0," ",DD139)</f>
        <v>0</v>
      </c>
      <c r="DE140" s="131">
        <f t="shared" ref="DE140:DE203" si="228">IF(A140=0," ",DE139)</f>
        <v>0</v>
      </c>
      <c r="DF140" s="131">
        <f t="shared" ref="DF140:DF203" si="229">IF(A140=0," ",DF139)</f>
        <v>0</v>
      </c>
      <c r="DG140" s="131">
        <f t="shared" ref="DG140:DG203" si="230">IF(A140=0," ",DG139)</f>
        <v>0</v>
      </c>
      <c r="DH140" s="131"/>
      <c r="DI140" s="131"/>
      <c r="DJ140" s="131"/>
      <c r="DK140" s="137">
        <f t="shared" si="180"/>
        <v>3791.5811116017489</v>
      </c>
      <c r="DL140" s="227" t="e">
        <f t="shared" ref="DL140:DL203" si="231">IF(A140=0," ",DL139)</f>
        <v>#REF!</v>
      </c>
      <c r="DM140" s="227" t="e">
        <f t="shared" ref="DM140:DM203" si="232">IF(A140=0," ",DM139)</f>
        <v>#REF!</v>
      </c>
      <c r="DN140" s="228" t="e">
        <f t="shared" si="186"/>
        <v>#REF!</v>
      </c>
      <c r="DO140" s="228">
        <f t="shared" ref="DO140:DO203" si="233">IF(A140=0," ",DO139)</f>
        <v>181.81087083894022</v>
      </c>
      <c r="DP140" s="228" t="e">
        <f t="shared" ref="DP140:DP203" si="234">IF(A139=0," ",DP139)</f>
        <v>#REF!</v>
      </c>
      <c r="DQ140" s="228" t="e">
        <f t="shared" ref="DQ140:DQ203" si="235">IF(A139=0," ",DQ139)</f>
        <v>#REF!</v>
      </c>
    </row>
    <row r="141" spans="1:121">
      <c r="A141" s="132">
        <f t="shared" si="187"/>
        <v>131</v>
      </c>
      <c r="B141" s="18">
        <f t="shared" ref="B141:B204" si="236">IF(A141=0," ",B140+1)</f>
        <v>131</v>
      </c>
      <c r="C141" s="18">
        <f>IF(A141=0," ",VLOOKUP(B141,'tosafot '!$A$7:$B$234,2,0))</f>
        <v>11.2018</v>
      </c>
      <c r="D141" s="220">
        <f t="shared" ref="D141:D204" si="237">IF(A141=0," ",+D140)</f>
        <v>228</v>
      </c>
      <c r="E141" s="130">
        <f t="shared" ref="E141:E204" si="238">IF(A141=0," ",+E140)</f>
        <v>12.2026</v>
      </c>
      <c r="F141" s="126">
        <f t="shared" ref="F141:F204" si="239">IF(A141=0," ",+F140)</f>
        <v>9</v>
      </c>
      <c r="G141" s="18" t="str">
        <f t="shared" ref="G141:G204" si="240">IF(A141=0," ",+G140)</f>
        <v>הבריאות</v>
      </c>
      <c r="H141" s="189">
        <f t="shared" ref="H141:H204" si="241">IF(A141=0," ",+H140)</f>
        <v>107</v>
      </c>
      <c r="I141" s="18">
        <f t="shared" ref="I141:I204" si="242">IF(A141=0," ",+I140)</f>
        <v>1</v>
      </c>
      <c r="J141" s="18" t="str">
        <f t="shared" ref="J141:J204" si="243">IF(A141=0," ",+J140)</f>
        <v>מינהלי - עובדי מדינה</v>
      </c>
      <c r="K141" s="189">
        <f t="shared" ref="K141:K204" si="244">IF(A141=0," ",+K140)</f>
        <v>1</v>
      </c>
      <c r="L141" s="18">
        <f t="shared" ref="L141:L204" si="245">IF(A141=0," ",+L140)</f>
        <v>12</v>
      </c>
      <c r="M141" s="129" t="str">
        <f t="shared" ref="M141:M204" si="246">IF(A141=0," ",+M140)</f>
        <v>17+</v>
      </c>
      <c r="N141" s="189"/>
      <c r="O141" s="132">
        <f t="shared" ref="O141:O204" si="247">IF(A141=0," ",+O140)</f>
        <v>1012</v>
      </c>
      <c r="P141" s="127">
        <f t="shared" ref="P141:P204" si="248">IF(A141=0," ",P140)</f>
        <v>37</v>
      </c>
      <c r="Q141" s="127">
        <f t="shared" ref="Q141:Q204" si="249">IF(A141=0," ",+Q140)</f>
        <v>22.75</v>
      </c>
      <c r="R141" s="128">
        <f t="shared" ref="R141:R204" si="250">IF(A141=0," ",+R140)</f>
        <v>92</v>
      </c>
      <c r="S141" s="130">
        <f t="shared" ref="S141:S204" si="251">IF(A141=0," ",+S140)</f>
        <v>1.2540512286990533</v>
      </c>
      <c r="T141" s="135">
        <f t="shared" si="188"/>
        <v>0</v>
      </c>
      <c r="U141" s="127">
        <f t="shared" si="189"/>
        <v>0</v>
      </c>
      <c r="V141" s="217">
        <v>0</v>
      </c>
      <c r="W141" s="191">
        <v>0</v>
      </c>
      <c r="X141" s="133">
        <v>0</v>
      </c>
      <c r="Y141" s="131">
        <f t="shared" si="190"/>
        <v>2438.5</v>
      </c>
      <c r="Z141" s="131">
        <f t="shared" si="191"/>
        <v>619.50392118264142</v>
      </c>
      <c r="AA141" s="242">
        <f t="shared" si="192"/>
        <v>3058.0039211826415</v>
      </c>
      <c r="AB141" s="131">
        <f t="shared" si="193"/>
        <v>0</v>
      </c>
      <c r="AC141" s="131">
        <f t="shared" si="194"/>
        <v>139.48055684730568</v>
      </c>
      <c r="AD141" s="131">
        <f t="shared" si="195"/>
        <v>0</v>
      </c>
      <c r="AE141" s="131">
        <f t="shared" si="196"/>
        <v>0</v>
      </c>
      <c r="AF141" s="131">
        <f t="shared" si="197"/>
        <v>75.260000000000005</v>
      </c>
      <c r="AG141" s="131">
        <f t="shared" si="198"/>
        <v>0</v>
      </c>
      <c r="AH141" s="131">
        <f t="shared" si="199"/>
        <v>0</v>
      </c>
      <c r="AI141" s="131">
        <f t="shared" si="200"/>
        <v>0</v>
      </c>
      <c r="AJ141" s="131">
        <f t="shared" si="201"/>
        <v>0</v>
      </c>
      <c r="AK141" s="131"/>
      <c r="AL141" s="131">
        <f t="shared" si="202"/>
        <v>0</v>
      </c>
      <c r="AM141" s="131"/>
      <c r="AN141" s="243">
        <f t="shared" si="203"/>
        <v>0</v>
      </c>
      <c r="AO141" s="131">
        <f t="shared" si="204"/>
        <v>0</v>
      </c>
      <c r="AP141" s="131">
        <f t="shared" si="205"/>
        <v>0</v>
      </c>
      <c r="AQ141" s="131"/>
      <c r="AR141" s="131">
        <f t="shared" si="206"/>
        <v>0</v>
      </c>
      <c r="AS141" s="131">
        <f t="shared" ref="AS141:AS204" si="252">IF(A141=0," ",AS140)</f>
        <v>0</v>
      </c>
      <c r="AT141" s="131">
        <f t="shared" si="207"/>
        <v>0</v>
      </c>
      <c r="AU141" s="131">
        <f t="shared" si="208"/>
        <v>0</v>
      </c>
      <c r="AV141" s="131"/>
      <c r="AW141" s="131">
        <f t="shared" si="209"/>
        <v>353.75</v>
      </c>
      <c r="AX141" s="131">
        <f t="shared" si="183"/>
        <v>0</v>
      </c>
      <c r="AY141" s="131">
        <f t="shared" si="210"/>
        <v>0</v>
      </c>
      <c r="AZ141" s="131"/>
      <c r="BA141" s="131">
        <f t="shared" si="184"/>
        <v>0</v>
      </c>
      <c r="BB141" s="131"/>
      <c r="BC141" s="131"/>
      <c r="BD141" s="131">
        <f t="shared" si="211"/>
        <v>0</v>
      </c>
      <c r="BE141" s="131"/>
      <c r="BF141" s="131">
        <f t="shared" ref="BF141:BF204" si="253">IF(A141=0," ",BF140)</f>
        <v>0</v>
      </c>
      <c r="BG141" s="131">
        <f t="shared" ref="BG141:BG204" si="254">IF(A141=0," ",BG140)</f>
        <v>0</v>
      </c>
      <c r="BH141" s="131"/>
      <c r="BI141" s="131"/>
      <c r="BJ141" s="131"/>
      <c r="BK141" s="131">
        <f t="shared" ref="BK141:BK204" si="255">IF(A141=0," ",BK140)</f>
        <v>0</v>
      </c>
      <c r="BL141" s="131"/>
      <c r="BM141" s="131"/>
      <c r="BN141" s="131">
        <f t="shared" ref="BN141:BN204" si="256">IF(A141=0," ",BN140)</f>
        <v>0</v>
      </c>
      <c r="BO141" s="131"/>
      <c r="BP141" s="131">
        <f t="shared" ref="BP141:BP204" si="257">IF(A141=0," ",BP140)</f>
        <v>0</v>
      </c>
      <c r="BQ141" s="131"/>
      <c r="BR141" s="131"/>
      <c r="BS141" s="131"/>
      <c r="BT141" s="131"/>
      <c r="BU141" s="131"/>
      <c r="BV141" s="131">
        <f t="shared" ref="BV141:BV204" si="258">IF(A140=0," ",BV140)</f>
        <v>0</v>
      </c>
      <c r="BW141" s="131"/>
      <c r="BX141" s="131"/>
      <c r="BY141" s="131"/>
      <c r="BZ141" s="131">
        <f t="shared" ref="BZ141:BZ204" si="259">IF(A141=0," ",BZ140)</f>
        <v>0</v>
      </c>
      <c r="CA141" s="131"/>
      <c r="CB141" s="136">
        <f t="shared" si="212"/>
        <v>165.08663357180151</v>
      </c>
      <c r="CC141" s="131">
        <f t="shared" si="213"/>
        <v>0</v>
      </c>
      <c r="CD141" s="136">
        <f t="shared" si="214"/>
        <v>0</v>
      </c>
      <c r="CE141" s="131">
        <f t="shared" si="182"/>
        <v>0</v>
      </c>
      <c r="CF141" s="136">
        <f t="shared" si="215"/>
        <v>0</v>
      </c>
      <c r="CG141" s="136"/>
      <c r="CH141" s="136">
        <f t="shared" si="181"/>
        <v>0</v>
      </c>
      <c r="CI141" s="131">
        <f t="shared" si="216"/>
        <v>0</v>
      </c>
      <c r="CJ141" s="131"/>
      <c r="CK141" s="136">
        <f t="shared" si="217"/>
        <v>0</v>
      </c>
      <c r="CL141" s="136">
        <f t="shared" si="218"/>
        <v>0</v>
      </c>
      <c r="CM141" s="131">
        <f t="shared" si="219"/>
        <v>0</v>
      </c>
      <c r="CN141" s="136">
        <f t="shared" si="220"/>
        <v>0</v>
      </c>
      <c r="CO141" s="136">
        <f t="shared" si="221"/>
        <v>0</v>
      </c>
      <c r="CP141" s="136">
        <f t="shared" si="222"/>
        <v>0</v>
      </c>
      <c r="CQ141" s="136"/>
      <c r="CR141" s="136">
        <f t="shared" si="223"/>
        <v>0</v>
      </c>
      <c r="CS141" s="136"/>
      <c r="CT141" s="136"/>
      <c r="CU141" s="136"/>
      <c r="CV141" s="136"/>
      <c r="CW141" s="136"/>
      <c r="CX141" s="136"/>
      <c r="CY141" s="136"/>
      <c r="CZ141" s="136">
        <f t="shared" si="224"/>
        <v>0</v>
      </c>
      <c r="DA141" s="136">
        <f t="shared" si="225"/>
        <v>0</v>
      </c>
      <c r="DB141" s="136">
        <f t="shared" si="226"/>
        <v>0</v>
      </c>
      <c r="DC141" s="131">
        <f t="shared" si="185"/>
        <v>0</v>
      </c>
      <c r="DD141" s="131">
        <f t="shared" si="227"/>
        <v>0</v>
      </c>
      <c r="DE141" s="131">
        <f t="shared" si="228"/>
        <v>0</v>
      </c>
      <c r="DF141" s="131">
        <f t="shared" si="229"/>
        <v>0</v>
      </c>
      <c r="DG141" s="131">
        <f t="shared" si="230"/>
        <v>0</v>
      </c>
      <c r="DH141" s="131"/>
      <c r="DI141" s="131"/>
      <c r="DJ141" s="131"/>
      <c r="DK141" s="137">
        <f t="shared" ref="DK141:DK204" si="260">IF(A141=0," ",SUM(AA141:DG141))</f>
        <v>3791.5811116017489</v>
      </c>
      <c r="DL141" s="227" t="e">
        <f t="shared" si="231"/>
        <v>#REF!</v>
      </c>
      <c r="DM141" s="227" t="e">
        <f t="shared" si="232"/>
        <v>#REF!</v>
      </c>
      <c r="DN141" s="228" t="e">
        <f t="shared" si="186"/>
        <v>#REF!</v>
      </c>
      <c r="DO141" s="228">
        <f t="shared" si="233"/>
        <v>181.81087083894022</v>
      </c>
      <c r="DP141" s="228" t="e">
        <f t="shared" si="234"/>
        <v>#REF!</v>
      </c>
      <c r="DQ141" s="228" t="e">
        <f t="shared" si="235"/>
        <v>#REF!</v>
      </c>
    </row>
    <row r="142" spans="1:121">
      <c r="A142" s="132">
        <f t="shared" si="187"/>
        <v>132</v>
      </c>
      <c r="B142" s="18">
        <f t="shared" si="236"/>
        <v>132</v>
      </c>
      <c r="C142" s="18">
        <f>IF(A142=0," ",VLOOKUP(B142,'tosafot '!$A$7:$B$234,2,0))</f>
        <v>12.2018</v>
      </c>
      <c r="D142" s="220">
        <f t="shared" si="237"/>
        <v>228</v>
      </c>
      <c r="E142" s="130">
        <f t="shared" si="238"/>
        <v>12.2026</v>
      </c>
      <c r="F142" s="126">
        <f t="shared" si="239"/>
        <v>9</v>
      </c>
      <c r="G142" s="18" t="str">
        <f t="shared" si="240"/>
        <v>הבריאות</v>
      </c>
      <c r="H142" s="189">
        <f t="shared" si="241"/>
        <v>107</v>
      </c>
      <c r="I142" s="18">
        <f t="shared" si="242"/>
        <v>1</v>
      </c>
      <c r="J142" s="18" t="str">
        <f t="shared" si="243"/>
        <v>מינהלי - עובדי מדינה</v>
      </c>
      <c r="K142" s="189">
        <f t="shared" si="244"/>
        <v>1</v>
      </c>
      <c r="L142" s="18">
        <f t="shared" si="245"/>
        <v>12</v>
      </c>
      <c r="M142" s="129" t="str">
        <f t="shared" si="246"/>
        <v>17+</v>
      </c>
      <c r="N142" s="189"/>
      <c r="O142" s="132">
        <f t="shared" si="247"/>
        <v>1012</v>
      </c>
      <c r="P142" s="127">
        <f t="shared" si="248"/>
        <v>37</v>
      </c>
      <c r="Q142" s="127">
        <f t="shared" si="249"/>
        <v>22.75</v>
      </c>
      <c r="R142" s="128">
        <f t="shared" si="250"/>
        <v>92</v>
      </c>
      <c r="S142" s="130">
        <f t="shared" si="251"/>
        <v>1.2540512286990533</v>
      </c>
      <c r="T142" s="135">
        <f t="shared" si="188"/>
        <v>0</v>
      </c>
      <c r="U142" s="127">
        <f t="shared" si="189"/>
        <v>0</v>
      </c>
      <c r="V142" s="217">
        <v>0</v>
      </c>
      <c r="W142" s="191">
        <v>0</v>
      </c>
      <c r="X142" s="133">
        <v>0</v>
      </c>
      <c r="Y142" s="131">
        <f t="shared" si="190"/>
        <v>2438.5</v>
      </c>
      <c r="Z142" s="131">
        <f t="shared" si="191"/>
        <v>619.50392118264142</v>
      </c>
      <c r="AA142" s="242">
        <f t="shared" si="192"/>
        <v>3058.0039211826415</v>
      </c>
      <c r="AB142" s="131">
        <f t="shared" si="193"/>
        <v>0</v>
      </c>
      <c r="AC142" s="131">
        <f t="shared" si="194"/>
        <v>139.48055684730568</v>
      </c>
      <c r="AD142" s="131">
        <f t="shared" si="195"/>
        <v>0</v>
      </c>
      <c r="AE142" s="131">
        <f t="shared" si="196"/>
        <v>0</v>
      </c>
      <c r="AF142" s="131">
        <f t="shared" si="197"/>
        <v>75.260000000000005</v>
      </c>
      <c r="AG142" s="131">
        <f t="shared" si="198"/>
        <v>0</v>
      </c>
      <c r="AH142" s="131">
        <f t="shared" si="199"/>
        <v>0</v>
      </c>
      <c r="AI142" s="131">
        <f t="shared" si="200"/>
        <v>0</v>
      </c>
      <c r="AJ142" s="131">
        <f t="shared" si="201"/>
        <v>0</v>
      </c>
      <c r="AK142" s="131"/>
      <c r="AL142" s="131">
        <f t="shared" si="202"/>
        <v>0</v>
      </c>
      <c r="AM142" s="131"/>
      <c r="AN142" s="243">
        <f t="shared" si="203"/>
        <v>0</v>
      </c>
      <c r="AO142" s="131">
        <f t="shared" si="204"/>
        <v>0</v>
      </c>
      <c r="AP142" s="131">
        <f t="shared" si="205"/>
        <v>0</v>
      </c>
      <c r="AQ142" s="131"/>
      <c r="AR142" s="131">
        <f t="shared" si="206"/>
        <v>0</v>
      </c>
      <c r="AS142" s="131">
        <f t="shared" si="252"/>
        <v>0</v>
      </c>
      <c r="AT142" s="131">
        <f t="shared" si="207"/>
        <v>0</v>
      </c>
      <c r="AU142" s="131">
        <f t="shared" si="208"/>
        <v>0</v>
      </c>
      <c r="AV142" s="131"/>
      <c r="AW142" s="131">
        <f t="shared" si="209"/>
        <v>353.75</v>
      </c>
      <c r="AX142" s="131">
        <f t="shared" si="183"/>
        <v>0</v>
      </c>
      <c r="AY142" s="131">
        <f t="shared" si="210"/>
        <v>0</v>
      </c>
      <c r="AZ142" s="131"/>
      <c r="BA142" s="131">
        <f t="shared" si="184"/>
        <v>0</v>
      </c>
      <c r="BB142" s="131"/>
      <c r="BC142" s="131"/>
      <c r="BD142" s="131">
        <f t="shared" si="211"/>
        <v>0</v>
      </c>
      <c r="BE142" s="131"/>
      <c r="BF142" s="131">
        <f t="shared" si="253"/>
        <v>0</v>
      </c>
      <c r="BG142" s="131">
        <f t="shared" si="254"/>
        <v>0</v>
      </c>
      <c r="BH142" s="131"/>
      <c r="BI142" s="131"/>
      <c r="BJ142" s="131"/>
      <c r="BK142" s="131">
        <f t="shared" si="255"/>
        <v>0</v>
      </c>
      <c r="BL142" s="131"/>
      <c r="BM142" s="131"/>
      <c r="BN142" s="131">
        <f t="shared" si="256"/>
        <v>0</v>
      </c>
      <c r="BO142" s="131"/>
      <c r="BP142" s="131">
        <f t="shared" si="257"/>
        <v>0</v>
      </c>
      <c r="BQ142" s="131"/>
      <c r="BR142" s="131"/>
      <c r="BS142" s="131"/>
      <c r="BT142" s="131"/>
      <c r="BU142" s="131"/>
      <c r="BV142" s="131">
        <f t="shared" si="258"/>
        <v>0</v>
      </c>
      <c r="BW142" s="131"/>
      <c r="BX142" s="131"/>
      <c r="BY142" s="131"/>
      <c r="BZ142" s="131">
        <f t="shared" si="259"/>
        <v>0</v>
      </c>
      <c r="CA142" s="131"/>
      <c r="CB142" s="136">
        <f t="shared" si="212"/>
        <v>165.08663357180151</v>
      </c>
      <c r="CC142" s="131">
        <f t="shared" si="213"/>
        <v>0</v>
      </c>
      <c r="CD142" s="136">
        <f t="shared" si="214"/>
        <v>0</v>
      </c>
      <c r="CE142" s="131">
        <f t="shared" si="182"/>
        <v>0</v>
      </c>
      <c r="CF142" s="136">
        <f t="shared" si="215"/>
        <v>0</v>
      </c>
      <c r="CG142" s="136"/>
      <c r="CH142" s="136">
        <f t="shared" ref="CH142:CH205" si="261">IF(A142=0," ",+CH141)</f>
        <v>0</v>
      </c>
      <c r="CI142" s="131">
        <f t="shared" si="216"/>
        <v>0</v>
      </c>
      <c r="CJ142" s="131"/>
      <c r="CK142" s="136">
        <f t="shared" si="217"/>
        <v>0</v>
      </c>
      <c r="CL142" s="136">
        <f t="shared" si="218"/>
        <v>0</v>
      </c>
      <c r="CM142" s="131">
        <f t="shared" si="219"/>
        <v>0</v>
      </c>
      <c r="CN142" s="136">
        <f t="shared" si="220"/>
        <v>0</v>
      </c>
      <c r="CO142" s="136">
        <f t="shared" si="221"/>
        <v>0</v>
      </c>
      <c r="CP142" s="136">
        <f t="shared" si="222"/>
        <v>0</v>
      </c>
      <c r="CQ142" s="136"/>
      <c r="CR142" s="136">
        <f t="shared" si="223"/>
        <v>0</v>
      </c>
      <c r="CS142" s="136"/>
      <c r="CT142" s="136"/>
      <c r="CU142" s="136"/>
      <c r="CV142" s="136"/>
      <c r="CW142" s="136"/>
      <c r="CX142" s="136"/>
      <c r="CY142" s="136"/>
      <c r="CZ142" s="136">
        <f t="shared" si="224"/>
        <v>0</v>
      </c>
      <c r="DA142" s="136">
        <f t="shared" si="225"/>
        <v>0</v>
      </c>
      <c r="DB142" s="136">
        <f t="shared" si="226"/>
        <v>0</v>
      </c>
      <c r="DC142" s="131">
        <f t="shared" si="185"/>
        <v>0</v>
      </c>
      <c r="DD142" s="131">
        <f t="shared" si="227"/>
        <v>0</v>
      </c>
      <c r="DE142" s="131">
        <f t="shared" si="228"/>
        <v>0</v>
      </c>
      <c r="DF142" s="131">
        <f t="shared" si="229"/>
        <v>0</v>
      </c>
      <c r="DG142" s="131">
        <f t="shared" si="230"/>
        <v>0</v>
      </c>
      <c r="DH142" s="131"/>
      <c r="DI142" s="131"/>
      <c r="DJ142" s="131"/>
      <c r="DK142" s="137">
        <f t="shared" si="260"/>
        <v>3791.5811116017489</v>
      </c>
      <c r="DL142" s="227" t="e">
        <f t="shared" si="231"/>
        <v>#REF!</v>
      </c>
      <c r="DM142" s="227" t="e">
        <f t="shared" si="232"/>
        <v>#REF!</v>
      </c>
      <c r="DN142" s="228" t="e">
        <f t="shared" si="186"/>
        <v>#REF!</v>
      </c>
      <c r="DO142" s="228">
        <f t="shared" si="233"/>
        <v>181.81087083894022</v>
      </c>
      <c r="DP142" s="228" t="e">
        <f t="shared" si="234"/>
        <v>#REF!</v>
      </c>
      <c r="DQ142" s="228" t="e">
        <f t="shared" si="235"/>
        <v>#REF!</v>
      </c>
    </row>
    <row r="143" spans="1:121">
      <c r="A143" s="132">
        <f t="shared" si="187"/>
        <v>133</v>
      </c>
      <c r="B143" s="18">
        <f t="shared" si="236"/>
        <v>133</v>
      </c>
      <c r="C143" s="18">
        <f>IF(A143=0," ",VLOOKUP(B143,'tosafot '!$A$7:$B$234,2,0))</f>
        <v>1.2019</v>
      </c>
      <c r="D143" s="220">
        <f t="shared" si="237"/>
        <v>228</v>
      </c>
      <c r="E143" s="130">
        <f t="shared" si="238"/>
        <v>12.2026</v>
      </c>
      <c r="F143" s="126">
        <f t="shared" si="239"/>
        <v>9</v>
      </c>
      <c r="G143" s="18" t="str">
        <f t="shared" si="240"/>
        <v>הבריאות</v>
      </c>
      <c r="H143" s="189">
        <f t="shared" si="241"/>
        <v>107</v>
      </c>
      <c r="I143" s="18">
        <f t="shared" si="242"/>
        <v>1</v>
      </c>
      <c r="J143" s="18" t="str">
        <f t="shared" si="243"/>
        <v>מינהלי - עובדי מדינה</v>
      </c>
      <c r="K143" s="189">
        <f t="shared" si="244"/>
        <v>1</v>
      </c>
      <c r="L143" s="18">
        <f t="shared" si="245"/>
        <v>12</v>
      </c>
      <c r="M143" s="129" t="str">
        <f t="shared" si="246"/>
        <v>17+</v>
      </c>
      <c r="N143" s="189"/>
      <c r="O143" s="132">
        <f t="shared" si="247"/>
        <v>1012</v>
      </c>
      <c r="P143" s="127">
        <f t="shared" si="248"/>
        <v>37</v>
      </c>
      <c r="Q143" s="127">
        <f t="shared" si="249"/>
        <v>22.75</v>
      </c>
      <c r="R143" s="128">
        <f t="shared" si="250"/>
        <v>92</v>
      </c>
      <c r="S143" s="130">
        <f t="shared" si="251"/>
        <v>1.2540512286990533</v>
      </c>
      <c r="T143" s="135">
        <f t="shared" si="188"/>
        <v>0</v>
      </c>
      <c r="U143" s="127">
        <f t="shared" si="189"/>
        <v>0</v>
      </c>
      <c r="V143" s="217">
        <v>0</v>
      </c>
      <c r="W143" s="191">
        <v>0</v>
      </c>
      <c r="X143" s="133">
        <v>0</v>
      </c>
      <c r="Y143" s="131">
        <f t="shared" si="190"/>
        <v>2438.5</v>
      </c>
      <c r="Z143" s="131">
        <f t="shared" si="191"/>
        <v>619.50392118264142</v>
      </c>
      <c r="AA143" s="242">
        <f t="shared" si="192"/>
        <v>3058.0039211826415</v>
      </c>
      <c r="AB143" s="131">
        <f t="shared" si="193"/>
        <v>0</v>
      </c>
      <c r="AC143" s="131">
        <f t="shared" si="194"/>
        <v>139.48055684730568</v>
      </c>
      <c r="AD143" s="131">
        <f t="shared" si="195"/>
        <v>0</v>
      </c>
      <c r="AE143" s="131">
        <f t="shared" si="196"/>
        <v>0</v>
      </c>
      <c r="AF143" s="131">
        <f t="shared" si="197"/>
        <v>75.260000000000005</v>
      </c>
      <c r="AG143" s="131">
        <f t="shared" si="198"/>
        <v>0</v>
      </c>
      <c r="AH143" s="131">
        <f t="shared" si="199"/>
        <v>0</v>
      </c>
      <c r="AI143" s="131">
        <f t="shared" si="200"/>
        <v>0</v>
      </c>
      <c r="AJ143" s="131">
        <f t="shared" si="201"/>
        <v>0</v>
      </c>
      <c r="AK143" s="131"/>
      <c r="AL143" s="131">
        <f t="shared" si="202"/>
        <v>0</v>
      </c>
      <c r="AM143" s="131"/>
      <c r="AN143" s="243">
        <f t="shared" si="203"/>
        <v>0</v>
      </c>
      <c r="AO143" s="131">
        <f t="shared" si="204"/>
        <v>0</v>
      </c>
      <c r="AP143" s="131">
        <f t="shared" si="205"/>
        <v>0</v>
      </c>
      <c r="AQ143" s="131"/>
      <c r="AR143" s="131">
        <f t="shared" si="206"/>
        <v>0</v>
      </c>
      <c r="AS143" s="131">
        <f t="shared" si="252"/>
        <v>0</v>
      </c>
      <c r="AT143" s="131">
        <f t="shared" si="207"/>
        <v>0</v>
      </c>
      <c r="AU143" s="131">
        <f t="shared" si="208"/>
        <v>0</v>
      </c>
      <c r="AV143" s="131"/>
      <c r="AW143" s="131">
        <f t="shared" si="209"/>
        <v>353.75</v>
      </c>
      <c r="AX143" s="131">
        <f t="shared" si="183"/>
        <v>0</v>
      </c>
      <c r="AY143" s="131">
        <f t="shared" si="210"/>
        <v>0</v>
      </c>
      <c r="AZ143" s="131"/>
      <c r="BA143" s="131">
        <f t="shared" si="184"/>
        <v>0</v>
      </c>
      <c r="BB143" s="131"/>
      <c r="BC143" s="131"/>
      <c r="BD143" s="131">
        <f t="shared" si="211"/>
        <v>0</v>
      </c>
      <c r="BE143" s="131"/>
      <c r="BF143" s="131">
        <f t="shared" si="253"/>
        <v>0</v>
      </c>
      <c r="BG143" s="131">
        <f t="shared" si="254"/>
        <v>0</v>
      </c>
      <c r="BH143" s="131"/>
      <c r="BI143" s="131"/>
      <c r="BJ143" s="131"/>
      <c r="BK143" s="131">
        <f t="shared" si="255"/>
        <v>0</v>
      </c>
      <c r="BL143" s="131"/>
      <c r="BM143" s="131"/>
      <c r="BN143" s="131">
        <f t="shared" si="256"/>
        <v>0</v>
      </c>
      <c r="BO143" s="131"/>
      <c r="BP143" s="131">
        <f t="shared" si="257"/>
        <v>0</v>
      </c>
      <c r="BQ143" s="131"/>
      <c r="BR143" s="131"/>
      <c r="BS143" s="131"/>
      <c r="BT143" s="131"/>
      <c r="BU143" s="131"/>
      <c r="BV143" s="131">
        <f t="shared" si="258"/>
        <v>0</v>
      </c>
      <c r="BW143" s="131"/>
      <c r="BX143" s="131"/>
      <c r="BY143" s="131"/>
      <c r="BZ143" s="131">
        <f t="shared" si="259"/>
        <v>0</v>
      </c>
      <c r="CA143" s="131"/>
      <c r="CB143" s="136">
        <f t="shared" si="212"/>
        <v>165.08663357180151</v>
      </c>
      <c r="CC143" s="131">
        <f t="shared" si="213"/>
        <v>0</v>
      </c>
      <c r="CD143" s="136">
        <f t="shared" si="214"/>
        <v>0</v>
      </c>
      <c r="CE143" s="131">
        <f t="shared" si="182"/>
        <v>0</v>
      </c>
      <c r="CF143" s="136">
        <f t="shared" si="215"/>
        <v>0</v>
      </c>
      <c r="CG143" s="136"/>
      <c r="CH143" s="136">
        <f t="shared" si="261"/>
        <v>0</v>
      </c>
      <c r="CI143" s="131">
        <f t="shared" si="216"/>
        <v>0</v>
      </c>
      <c r="CJ143" s="131"/>
      <c r="CK143" s="136">
        <f t="shared" si="217"/>
        <v>0</v>
      </c>
      <c r="CL143" s="136">
        <f t="shared" si="218"/>
        <v>0</v>
      </c>
      <c r="CM143" s="131">
        <f t="shared" si="219"/>
        <v>0</v>
      </c>
      <c r="CN143" s="136">
        <f t="shared" si="220"/>
        <v>0</v>
      </c>
      <c r="CO143" s="136">
        <f t="shared" si="221"/>
        <v>0</v>
      </c>
      <c r="CP143" s="136">
        <f t="shared" si="222"/>
        <v>0</v>
      </c>
      <c r="CQ143" s="136"/>
      <c r="CR143" s="136">
        <f t="shared" si="223"/>
        <v>0</v>
      </c>
      <c r="CS143" s="136"/>
      <c r="CT143" s="136"/>
      <c r="CU143" s="136"/>
      <c r="CV143" s="136"/>
      <c r="CW143" s="136"/>
      <c r="CX143" s="136"/>
      <c r="CY143" s="136"/>
      <c r="CZ143" s="136">
        <f t="shared" si="224"/>
        <v>0</v>
      </c>
      <c r="DA143" s="136">
        <f t="shared" si="225"/>
        <v>0</v>
      </c>
      <c r="DB143" s="136">
        <f t="shared" si="226"/>
        <v>0</v>
      </c>
      <c r="DC143" s="131">
        <f t="shared" si="185"/>
        <v>0</v>
      </c>
      <c r="DD143" s="131">
        <f t="shared" si="227"/>
        <v>0</v>
      </c>
      <c r="DE143" s="131">
        <f t="shared" si="228"/>
        <v>0</v>
      </c>
      <c r="DF143" s="131">
        <f t="shared" si="229"/>
        <v>0</v>
      </c>
      <c r="DG143" s="131">
        <f t="shared" si="230"/>
        <v>0</v>
      </c>
      <c r="DH143" s="131"/>
      <c r="DI143" s="131"/>
      <c r="DJ143" s="131"/>
      <c r="DK143" s="137">
        <f t="shared" si="260"/>
        <v>3791.5811116017489</v>
      </c>
      <c r="DL143" s="227" t="e">
        <f t="shared" si="231"/>
        <v>#REF!</v>
      </c>
      <c r="DM143" s="227" t="e">
        <f t="shared" si="232"/>
        <v>#REF!</v>
      </c>
      <c r="DN143" s="228" t="e">
        <f t="shared" si="186"/>
        <v>#REF!</v>
      </c>
      <c r="DO143" s="228">
        <f t="shared" si="233"/>
        <v>181.81087083894022</v>
      </c>
      <c r="DP143" s="228" t="e">
        <f t="shared" si="234"/>
        <v>#REF!</v>
      </c>
      <c r="DQ143" s="228" t="e">
        <f t="shared" si="235"/>
        <v>#REF!</v>
      </c>
    </row>
    <row r="144" spans="1:121">
      <c r="A144" s="132">
        <f t="shared" si="187"/>
        <v>134</v>
      </c>
      <c r="B144" s="18">
        <f t="shared" si="236"/>
        <v>134</v>
      </c>
      <c r="C144" s="18">
        <f>IF(A144=0," ",VLOOKUP(B144,'tosafot '!$A$7:$B$234,2,0))</f>
        <v>2.2019000000000002</v>
      </c>
      <c r="D144" s="220">
        <f t="shared" si="237"/>
        <v>228</v>
      </c>
      <c r="E144" s="130">
        <f t="shared" si="238"/>
        <v>12.2026</v>
      </c>
      <c r="F144" s="126">
        <f t="shared" si="239"/>
        <v>9</v>
      </c>
      <c r="G144" s="18" t="str">
        <f t="shared" si="240"/>
        <v>הבריאות</v>
      </c>
      <c r="H144" s="189">
        <f t="shared" si="241"/>
        <v>107</v>
      </c>
      <c r="I144" s="18">
        <f t="shared" si="242"/>
        <v>1</v>
      </c>
      <c r="J144" s="18" t="str">
        <f t="shared" si="243"/>
        <v>מינהלי - עובדי מדינה</v>
      </c>
      <c r="K144" s="189">
        <f t="shared" si="244"/>
        <v>1</v>
      </c>
      <c r="L144" s="18">
        <f t="shared" si="245"/>
        <v>12</v>
      </c>
      <c r="M144" s="129" t="str">
        <f t="shared" si="246"/>
        <v>17+</v>
      </c>
      <c r="N144" s="189"/>
      <c r="O144" s="132">
        <f t="shared" si="247"/>
        <v>1012</v>
      </c>
      <c r="P144" s="127">
        <f t="shared" si="248"/>
        <v>37</v>
      </c>
      <c r="Q144" s="127">
        <f t="shared" si="249"/>
        <v>22.75</v>
      </c>
      <c r="R144" s="128">
        <f t="shared" si="250"/>
        <v>92</v>
      </c>
      <c r="S144" s="130">
        <f t="shared" si="251"/>
        <v>1.2540512286990533</v>
      </c>
      <c r="T144" s="135">
        <f t="shared" si="188"/>
        <v>0</v>
      </c>
      <c r="U144" s="127">
        <f t="shared" si="189"/>
        <v>0</v>
      </c>
      <c r="V144" s="217">
        <v>0</v>
      </c>
      <c r="W144" s="191">
        <v>0</v>
      </c>
      <c r="X144" s="133">
        <v>0</v>
      </c>
      <c r="Y144" s="131">
        <f t="shared" si="190"/>
        <v>2438.5</v>
      </c>
      <c r="Z144" s="131">
        <f t="shared" si="191"/>
        <v>619.50392118264142</v>
      </c>
      <c r="AA144" s="242">
        <f t="shared" si="192"/>
        <v>3058.0039211826415</v>
      </c>
      <c r="AB144" s="131">
        <f t="shared" si="193"/>
        <v>0</v>
      </c>
      <c r="AC144" s="131">
        <f t="shared" si="194"/>
        <v>139.48055684730568</v>
      </c>
      <c r="AD144" s="131">
        <f t="shared" si="195"/>
        <v>0</v>
      </c>
      <c r="AE144" s="131">
        <f t="shared" si="196"/>
        <v>0</v>
      </c>
      <c r="AF144" s="131">
        <f t="shared" si="197"/>
        <v>75.260000000000005</v>
      </c>
      <c r="AG144" s="131">
        <f t="shared" si="198"/>
        <v>0</v>
      </c>
      <c r="AH144" s="131">
        <f t="shared" si="199"/>
        <v>0</v>
      </c>
      <c r="AI144" s="131">
        <f t="shared" si="200"/>
        <v>0</v>
      </c>
      <c r="AJ144" s="131">
        <f t="shared" si="201"/>
        <v>0</v>
      </c>
      <c r="AK144" s="131"/>
      <c r="AL144" s="131">
        <f t="shared" si="202"/>
        <v>0</v>
      </c>
      <c r="AM144" s="131"/>
      <c r="AN144" s="243">
        <f t="shared" si="203"/>
        <v>0</v>
      </c>
      <c r="AO144" s="131">
        <f t="shared" si="204"/>
        <v>0</v>
      </c>
      <c r="AP144" s="131">
        <f t="shared" si="205"/>
        <v>0</v>
      </c>
      <c r="AQ144" s="131"/>
      <c r="AR144" s="131">
        <f t="shared" si="206"/>
        <v>0</v>
      </c>
      <c r="AS144" s="131">
        <f t="shared" si="252"/>
        <v>0</v>
      </c>
      <c r="AT144" s="131">
        <f t="shared" si="207"/>
        <v>0</v>
      </c>
      <c r="AU144" s="131">
        <f t="shared" si="208"/>
        <v>0</v>
      </c>
      <c r="AV144" s="131"/>
      <c r="AW144" s="131">
        <f t="shared" si="209"/>
        <v>353.75</v>
      </c>
      <c r="AX144" s="131">
        <f t="shared" si="183"/>
        <v>0</v>
      </c>
      <c r="AY144" s="131">
        <f t="shared" si="210"/>
        <v>0</v>
      </c>
      <c r="AZ144" s="131"/>
      <c r="BA144" s="131">
        <f t="shared" si="184"/>
        <v>0</v>
      </c>
      <c r="BB144" s="131"/>
      <c r="BC144" s="131"/>
      <c r="BD144" s="131">
        <f t="shared" si="211"/>
        <v>0</v>
      </c>
      <c r="BE144" s="131"/>
      <c r="BF144" s="131">
        <f t="shared" si="253"/>
        <v>0</v>
      </c>
      <c r="BG144" s="131">
        <f t="shared" si="254"/>
        <v>0</v>
      </c>
      <c r="BH144" s="131"/>
      <c r="BI144" s="131"/>
      <c r="BJ144" s="131"/>
      <c r="BK144" s="131">
        <f t="shared" si="255"/>
        <v>0</v>
      </c>
      <c r="BL144" s="131"/>
      <c r="BM144" s="131"/>
      <c r="BN144" s="131">
        <f t="shared" si="256"/>
        <v>0</v>
      </c>
      <c r="BO144" s="131"/>
      <c r="BP144" s="131">
        <f t="shared" si="257"/>
        <v>0</v>
      </c>
      <c r="BQ144" s="131"/>
      <c r="BR144" s="131"/>
      <c r="BS144" s="131"/>
      <c r="BT144" s="131"/>
      <c r="BU144" s="131"/>
      <c r="BV144" s="131">
        <f t="shared" si="258"/>
        <v>0</v>
      </c>
      <c r="BW144" s="131"/>
      <c r="BX144" s="131"/>
      <c r="BY144" s="131"/>
      <c r="BZ144" s="131">
        <f t="shared" si="259"/>
        <v>0</v>
      </c>
      <c r="CA144" s="131"/>
      <c r="CB144" s="136">
        <f t="shared" si="212"/>
        <v>165.08663357180151</v>
      </c>
      <c r="CC144" s="131">
        <f t="shared" si="213"/>
        <v>0</v>
      </c>
      <c r="CD144" s="136">
        <f t="shared" si="214"/>
        <v>0</v>
      </c>
      <c r="CE144" s="131">
        <f t="shared" si="182"/>
        <v>0</v>
      </c>
      <c r="CF144" s="136">
        <f t="shared" si="215"/>
        <v>0</v>
      </c>
      <c r="CG144" s="136"/>
      <c r="CH144" s="136">
        <f t="shared" si="261"/>
        <v>0</v>
      </c>
      <c r="CI144" s="131">
        <f t="shared" si="216"/>
        <v>0</v>
      </c>
      <c r="CJ144" s="131"/>
      <c r="CK144" s="136">
        <f t="shared" si="217"/>
        <v>0</v>
      </c>
      <c r="CL144" s="136">
        <f t="shared" si="218"/>
        <v>0</v>
      </c>
      <c r="CM144" s="131">
        <f t="shared" si="219"/>
        <v>0</v>
      </c>
      <c r="CN144" s="136">
        <f t="shared" si="220"/>
        <v>0</v>
      </c>
      <c r="CO144" s="136">
        <f t="shared" si="221"/>
        <v>0</v>
      </c>
      <c r="CP144" s="136">
        <f t="shared" si="222"/>
        <v>0</v>
      </c>
      <c r="CQ144" s="136"/>
      <c r="CR144" s="136">
        <f t="shared" si="223"/>
        <v>0</v>
      </c>
      <c r="CS144" s="136"/>
      <c r="CT144" s="136"/>
      <c r="CU144" s="136"/>
      <c r="CV144" s="136"/>
      <c r="CW144" s="136"/>
      <c r="CX144" s="136"/>
      <c r="CY144" s="136"/>
      <c r="CZ144" s="136">
        <f t="shared" si="224"/>
        <v>0</v>
      </c>
      <c r="DA144" s="136">
        <f t="shared" si="225"/>
        <v>0</v>
      </c>
      <c r="DB144" s="136">
        <f t="shared" si="226"/>
        <v>0</v>
      </c>
      <c r="DC144" s="131">
        <f t="shared" si="185"/>
        <v>0</v>
      </c>
      <c r="DD144" s="131">
        <f t="shared" si="227"/>
        <v>0</v>
      </c>
      <c r="DE144" s="131">
        <f t="shared" si="228"/>
        <v>0</v>
      </c>
      <c r="DF144" s="131">
        <f t="shared" si="229"/>
        <v>0</v>
      </c>
      <c r="DG144" s="131">
        <f t="shared" si="230"/>
        <v>0</v>
      </c>
      <c r="DH144" s="131"/>
      <c r="DI144" s="131"/>
      <c r="DJ144" s="131"/>
      <c r="DK144" s="137">
        <f t="shared" si="260"/>
        <v>3791.5811116017489</v>
      </c>
      <c r="DL144" s="227" t="e">
        <f t="shared" si="231"/>
        <v>#REF!</v>
      </c>
      <c r="DM144" s="227" t="e">
        <f t="shared" si="232"/>
        <v>#REF!</v>
      </c>
      <c r="DN144" s="228" t="e">
        <f t="shared" si="186"/>
        <v>#REF!</v>
      </c>
      <c r="DO144" s="228">
        <f t="shared" si="233"/>
        <v>181.81087083894022</v>
      </c>
      <c r="DP144" s="228" t="e">
        <f t="shared" si="234"/>
        <v>#REF!</v>
      </c>
      <c r="DQ144" s="228" t="e">
        <f t="shared" si="235"/>
        <v>#REF!</v>
      </c>
    </row>
    <row r="145" spans="1:121">
      <c r="A145" s="132">
        <f t="shared" si="187"/>
        <v>135</v>
      </c>
      <c r="B145" s="18">
        <f t="shared" si="236"/>
        <v>135</v>
      </c>
      <c r="C145" s="18">
        <f>IF(A145=0," ",VLOOKUP(B145,'tosafot '!$A$7:$B$234,2,0))</f>
        <v>3.2019000000000002</v>
      </c>
      <c r="D145" s="220">
        <f t="shared" si="237"/>
        <v>228</v>
      </c>
      <c r="E145" s="130">
        <f t="shared" si="238"/>
        <v>12.2026</v>
      </c>
      <c r="F145" s="126">
        <f t="shared" si="239"/>
        <v>9</v>
      </c>
      <c r="G145" s="18" t="str">
        <f t="shared" si="240"/>
        <v>הבריאות</v>
      </c>
      <c r="H145" s="189">
        <f t="shared" si="241"/>
        <v>107</v>
      </c>
      <c r="I145" s="18">
        <f t="shared" si="242"/>
        <v>1</v>
      </c>
      <c r="J145" s="18" t="str">
        <f t="shared" si="243"/>
        <v>מינהלי - עובדי מדינה</v>
      </c>
      <c r="K145" s="189">
        <f t="shared" si="244"/>
        <v>1</v>
      </c>
      <c r="L145" s="18">
        <f t="shared" si="245"/>
        <v>12</v>
      </c>
      <c r="M145" s="129" t="str">
        <f t="shared" si="246"/>
        <v>17+</v>
      </c>
      <c r="N145" s="189"/>
      <c r="O145" s="132">
        <f t="shared" si="247"/>
        <v>1012</v>
      </c>
      <c r="P145" s="127">
        <f t="shared" si="248"/>
        <v>37</v>
      </c>
      <c r="Q145" s="127">
        <f t="shared" si="249"/>
        <v>22.75</v>
      </c>
      <c r="R145" s="128">
        <f t="shared" si="250"/>
        <v>92</v>
      </c>
      <c r="S145" s="130">
        <f t="shared" si="251"/>
        <v>1.2540512286990533</v>
      </c>
      <c r="T145" s="135">
        <f t="shared" si="188"/>
        <v>0</v>
      </c>
      <c r="U145" s="127">
        <f t="shared" si="189"/>
        <v>0</v>
      </c>
      <c r="V145" s="217">
        <v>0</v>
      </c>
      <c r="W145" s="191">
        <v>0</v>
      </c>
      <c r="X145" s="133">
        <v>0</v>
      </c>
      <c r="Y145" s="131">
        <f t="shared" si="190"/>
        <v>2438.5</v>
      </c>
      <c r="Z145" s="131">
        <f t="shared" si="191"/>
        <v>619.50392118264142</v>
      </c>
      <c r="AA145" s="242">
        <f t="shared" si="192"/>
        <v>3058.0039211826415</v>
      </c>
      <c r="AB145" s="131">
        <f t="shared" si="193"/>
        <v>0</v>
      </c>
      <c r="AC145" s="131">
        <f t="shared" si="194"/>
        <v>139.48055684730568</v>
      </c>
      <c r="AD145" s="131">
        <f t="shared" si="195"/>
        <v>0</v>
      </c>
      <c r="AE145" s="131">
        <f t="shared" si="196"/>
        <v>0</v>
      </c>
      <c r="AF145" s="131">
        <f t="shared" si="197"/>
        <v>75.260000000000005</v>
      </c>
      <c r="AG145" s="131">
        <f t="shared" si="198"/>
        <v>0</v>
      </c>
      <c r="AH145" s="131">
        <f t="shared" si="199"/>
        <v>0</v>
      </c>
      <c r="AI145" s="131">
        <f t="shared" si="200"/>
        <v>0</v>
      </c>
      <c r="AJ145" s="131">
        <f t="shared" si="201"/>
        <v>0</v>
      </c>
      <c r="AK145" s="131"/>
      <c r="AL145" s="131">
        <f t="shared" si="202"/>
        <v>0</v>
      </c>
      <c r="AM145" s="131"/>
      <c r="AN145" s="243">
        <f t="shared" si="203"/>
        <v>0</v>
      </c>
      <c r="AO145" s="131">
        <f t="shared" si="204"/>
        <v>0</v>
      </c>
      <c r="AP145" s="131">
        <f t="shared" si="205"/>
        <v>0</v>
      </c>
      <c r="AQ145" s="131"/>
      <c r="AR145" s="131">
        <f t="shared" si="206"/>
        <v>0</v>
      </c>
      <c r="AS145" s="131">
        <f t="shared" si="252"/>
        <v>0</v>
      </c>
      <c r="AT145" s="131">
        <f t="shared" si="207"/>
        <v>0</v>
      </c>
      <c r="AU145" s="131">
        <f t="shared" si="208"/>
        <v>0</v>
      </c>
      <c r="AV145" s="131"/>
      <c r="AW145" s="131">
        <f t="shared" si="209"/>
        <v>353.75</v>
      </c>
      <c r="AX145" s="131">
        <f t="shared" si="183"/>
        <v>0</v>
      </c>
      <c r="AY145" s="131">
        <f t="shared" si="210"/>
        <v>0</v>
      </c>
      <c r="AZ145" s="131"/>
      <c r="BA145" s="131">
        <f t="shared" si="184"/>
        <v>0</v>
      </c>
      <c r="BB145" s="131"/>
      <c r="BC145" s="131"/>
      <c r="BD145" s="131">
        <f t="shared" si="211"/>
        <v>0</v>
      </c>
      <c r="BE145" s="131"/>
      <c r="BF145" s="131">
        <f t="shared" si="253"/>
        <v>0</v>
      </c>
      <c r="BG145" s="131">
        <f t="shared" si="254"/>
        <v>0</v>
      </c>
      <c r="BH145" s="131"/>
      <c r="BI145" s="131"/>
      <c r="BJ145" s="131"/>
      <c r="BK145" s="131">
        <f t="shared" si="255"/>
        <v>0</v>
      </c>
      <c r="BL145" s="131"/>
      <c r="BM145" s="131"/>
      <c r="BN145" s="131">
        <f t="shared" si="256"/>
        <v>0</v>
      </c>
      <c r="BO145" s="131"/>
      <c r="BP145" s="131">
        <f t="shared" si="257"/>
        <v>0</v>
      </c>
      <c r="BQ145" s="131"/>
      <c r="BR145" s="131"/>
      <c r="BS145" s="131"/>
      <c r="BT145" s="131"/>
      <c r="BU145" s="131"/>
      <c r="BV145" s="131">
        <f t="shared" si="258"/>
        <v>0</v>
      </c>
      <c r="BW145" s="131"/>
      <c r="BX145" s="131"/>
      <c r="BY145" s="131"/>
      <c r="BZ145" s="131">
        <f t="shared" si="259"/>
        <v>0</v>
      </c>
      <c r="CA145" s="131"/>
      <c r="CB145" s="136">
        <f t="shared" si="212"/>
        <v>165.08663357180151</v>
      </c>
      <c r="CC145" s="131">
        <f t="shared" si="213"/>
        <v>0</v>
      </c>
      <c r="CD145" s="136">
        <f t="shared" si="214"/>
        <v>0</v>
      </c>
      <c r="CE145" s="131">
        <f t="shared" ref="CE145:CE208" si="262">IF(A145=0," ",CE144)</f>
        <v>0</v>
      </c>
      <c r="CF145" s="136">
        <f t="shared" si="215"/>
        <v>0</v>
      </c>
      <c r="CG145" s="136"/>
      <c r="CH145" s="136">
        <f t="shared" si="261"/>
        <v>0</v>
      </c>
      <c r="CI145" s="131">
        <f t="shared" si="216"/>
        <v>0</v>
      </c>
      <c r="CJ145" s="131"/>
      <c r="CK145" s="136">
        <f t="shared" si="217"/>
        <v>0</v>
      </c>
      <c r="CL145" s="136">
        <f t="shared" si="218"/>
        <v>0</v>
      </c>
      <c r="CM145" s="131">
        <f t="shared" si="219"/>
        <v>0</v>
      </c>
      <c r="CN145" s="136">
        <f t="shared" si="220"/>
        <v>0</v>
      </c>
      <c r="CO145" s="136">
        <f t="shared" si="221"/>
        <v>0</v>
      </c>
      <c r="CP145" s="136">
        <f t="shared" si="222"/>
        <v>0</v>
      </c>
      <c r="CQ145" s="136"/>
      <c r="CR145" s="136">
        <f t="shared" si="223"/>
        <v>0</v>
      </c>
      <c r="CS145" s="136"/>
      <c r="CT145" s="136"/>
      <c r="CU145" s="136"/>
      <c r="CV145" s="136"/>
      <c r="CW145" s="136"/>
      <c r="CX145" s="136"/>
      <c r="CY145" s="136"/>
      <c r="CZ145" s="136">
        <f t="shared" si="224"/>
        <v>0</v>
      </c>
      <c r="DA145" s="136">
        <f t="shared" si="225"/>
        <v>0</v>
      </c>
      <c r="DB145" s="136">
        <f t="shared" si="226"/>
        <v>0</v>
      </c>
      <c r="DC145" s="131">
        <f t="shared" si="185"/>
        <v>0</v>
      </c>
      <c r="DD145" s="131">
        <f t="shared" si="227"/>
        <v>0</v>
      </c>
      <c r="DE145" s="131">
        <f t="shared" si="228"/>
        <v>0</v>
      </c>
      <c r="DF145" s="131">
        <f t="shared" si="229"/>
        <v>0</v>
      </c>
      <c r="DG145" s="131">
        <f t="shared" si="230"/>
        <v>0</v>
      </c>
      <c r="DH145" s="131"/>
      <c r="DI145" s="131"/>
      <c r="DJ145" s="131"/>
      <c r="DK145" s="137">
        <f t="shared" si="260"/>
        <v>3791.5811116017489</v>
      </c>
      <c r="DL145" s="227" t="e">
        <f t="shared" si="231"/>
        <v>#REF!</v>
      </c>
      <c r="DM145" s="227" t="e">
        <f t="shared" si="232"/>
        <v>#REF!</v>
      </c>
      <c r="DN145" s="228" t="e">
        <f t="shared" si="186"/>
        <v>#REF!</v>
      </c>
      <c r="DO145" s="228">
        <f t="shared" si="233"/>
        <v>181.81087083894022</v>
      </c>
      <c r="DP145" s="228" t="e">
        <f t="shared" si="234"/>
        <v>#REF!</v>
      </c>
      <c r="DQ145" s="228" t="e">
        <f t="shared" si="235"/>
        <v>#REF!</v>
      </c>
    </row>
    <row r="146" spans="1:121">
      <c r="A146" s="132">
        <f t="shared" si="187"/>
        <v>136</v>
      </c>
      <c r="B146" s="18">
        <f t="shared" si="236"/>
        <v>136</v>
      </c>
      <c r="C146" s="18">
        <f>IF(A146=0," ",VLOOKUP(B146,'tosafot '!$A$7:$B$234,2,0))</f>
        <v>4.2019000000000002</v>
      </c>
      <c r="D146" s="220">
        <f t="shared" si="237"/>
        <v>228</v>
      </c>
      <c r="E146" s="130">
        <f t="shared" si="238"/>
        <v>12.2026</v>
      </c>
      <c r="F146" s="126">
        <f t="shared" si="239"/>
        <v>9</v>
      </c>
      <c r="G146" s="18" t="str">
        <f t="shared" si="240"/>
        <v>הבריאות</v>
      </c>
      <c r="H146" s="189">
        <f t="shared" si="241"/>
        <v>107</v>
      </c>
      <c r="I146" s="18">
        <f t="shared" si="242"/>
        <v>1</v>
      </c>
      <c r="J146" s="18" t="str">
        <f t="shared" si="243"/>
        <v>מינהלי - עובדי מדינה</v>
      </c>
      <c r="K146" s="189">
        <f t="shared" si="244"/>
        <v>1</v>
      </c>
      <c r="L146" s="18">
        <f t="shared" si="245"/>
        <v>12</v>
      </c>
      <c r="M146" s="129" t="str">
        <f t="shared" si="246"/>
        <v>17+</v>
      </c>
      <c r="N146" s="189"/>
      <c r="O146" s="132">
        <f t="shared" si="247"/>
        <v>1012</v>
      </c>
      <c r="P146" s="127">
        <f t="shared" si="248"/>
        <v>37</v>
      </c>
      <c r="Q146" s="127">
        <f t="shared" si="249"/>
        <v>22.75</v>
      </c>
      <c r="R146" s="128">
        <f t="shared" si="250"/>
        <v>92</v>
      </c>
      <c r="S146" s="130">
        <f t="shared" si="251"/>
        <v>1.2540512286990533</v>
      </c>
      <c r="T146" s="135">
        <f t="shared" si="188"/>
        <v>0</v>
      </c>
      <c r="U146" s="127">
        <f t="shared" si="189"/>
        <v>0</v>
      </c>
      <c r="V146" s="217">
        <v>0</v>
      </c>
      <c r="W146" s="191">
        <v>0</v>
      </c>
      <c r="X146" s="133">
        <v>0</v>
      </c>
      <c r="Y146" s="131">
        <f t="shared" si="190"/>
        <v>2438.5</v>
      </c>
      <c r="Z146" s="131">
        <f t="shared" si="191"/>
        <v>619.50392118264142</v>
      </c>
      <c r="AA146" s="242">
        <f t="shared" si="192"/>
        <v>3058.0039211826415</v>
      </c>
      <c r="AB146" s="131">
        <f t="shared" si="193"/>
        <v>0</v>
      </c>
      <c r="AC146" s="131">
        <f t="shared" si="194"/>
        <v>139.48055684730568</v>
      </c>
      <c r="AD146" s="131">
        <f t="shared" si="195"/>
        <v>0</v>
      </c>
      <c r="AE146" s="131">
        <f t="shared" si="196"/>
        <v>0</v>
      </c>
      <c r="AF146" s="131">
        <f t="shared" si="197"/>
        <v>75.260000000000005</v>
      </c>
      <c r="AG146" s="131">
        <f t="shared" si="198"/>
        <v>0</v>
      </c>
      <c r="AH146" s="131">
        <f t="shared" si="199"/>
        <v>0</v>
      </c>
      <c r="AI146" s="131">
        <f t="shared" si="200"/>
        <v>0</v>
      </c>
      <c r="AJ146" s="131">
        <f t="shared" si="201"/>
        <v>0</v>
      </c>
      <c r="AK146" s="131"/>
      <c r="AL146" s="131">
        <f t="shared" si="202"/>
        <v>0</v>
      </c>
      <c r="AM146" s="131"/>
      <c r="AN146" s="243">
        <f t="shared" si="203"/>
        <v>0</v>
      </c>
      <c r="AO146" s="131">
        <f t="shared" si="204"/>
        <v>0</v>
      </c>
      <c r="AP146" s="131">
        <f t="shared" si="205"/>
        <v>0</v>
      </c>
      <c r="AQ146" s="131"/>
      <c r="AR146" s="131">
        <f t="shared" si="206"/>
        <v>0</v>
      </c>
      <c r="AS146" s="131">
        <f t="shared" si="252"/>
        <v>0</v>
      </c>
      <c r="AT146" s="131">
        <f t="shared" si="207"/>
        <v>0</v>
      </c>
      <c r="AU146" s="131">
        <f t="shared" si="208"/>
        <v>0</v>
      </c>
      <c r="AV146" s="131"/>
      <c r="AW146" s="131">
        <f t="shared" si="209"/>
        <v>353.75</v>
      </c>
      <c r="AX146" s="131">
        <f t="shared" ref="AX146:AX209" si="263">IF(A145=0," ",AX145)</f>
        <v>0</v>
      </c>
      <c r="AY146" s="131">
        <f t="shared" si="210"/>
        <v>0</v>
      </c>
      <c r="AZ146" s="131"/>
      <c r="BA146" s="131">
        <f t="shared" ref="BA146:BA209" si="264">IF(A145=0," ",BA145)</f>
        <v>0</v>
      </c>
      <c r="BB146" s="131"/>
      <c r="BC146" s="131"/>
      <c r="BD146" s="131">
        <f t="shared" si="211"/>
        <v>0</v>
      </c>
      <c r="BE146" s="131"/>
      <c r="BF146" s="131">
        <f t="shared" si="253"/>
        <v>0</v>
      </c>
      <c r="BG146" s="131">
        <f t="shared" si="254"/>
        <v>0</v>
      </c>
      <c r="BH146" s="131"/>
      <c r="BI146" s="131"/>
      <c r="BJ146" s="131"/>
      <c r="BK146" s="131">
        <f t="shared" si="255"/>
        <v>0</v>
      </c>
      <c r="BL146" s="131"/>
      <c r="BM146" s="131"/>
      <c r="BN146" s="131">
        <f t="shared" si="256"/>
        <v>0</v>
      </c>
      <c r="BO146" s="131"/>
      <c r="BP146" s="131">
        <f t="shared" si="257"/>
        <v>0</v>
      </c>
      <c r="BQ146" s="131"/>
      <c r="BR146" s="131"/>
      <c r="BS146" s="131"/>
      <c r="BT146" s="131"/>
      <c r="BU146" s="131"/>
      <c r="BV146" s="131">
        <f t="shared" si="258"/>
        <v>0</v>
      </c>
      <c r="BW146" s="131"/>
      <c r="BX146" s="131"/>
      <c r="BY146" s="131"/>
      <c r="BZ146" s="131">
        <f t="shared" si="259"/>
        <v>0</v>
      </c>
      <c r="CA146" s="131"/>
      <c r="CB146" s="136">
        <f t="shared" si="212"/>
        <v>165.08663357180151</v>
      </c>
      <c r="CC146" s="131">
        <f t="shared" si="213"/>
        <v>0</v>
      </c>
      <c r="CD146" s="136">
        <f t="shared" si="214"/>
        <v>0</v>
      </c>
      <c r="CE146" s="131">
        <f t="shared" si="262"/>
        <v>0</v>
      </c>
      <c r="CF146" s="136">
        <f t="shared" si="215"/>
        <v>0</v>
      </c>
      <c r="CG146" s="136"/>
      <c r="CH146" s="136">
        <f t="shared" si="261"/>
        <v>0</v>
      </c>
      <c r="CI146" s="131">
        <f t="shared" si="216"/>
        <v>0</v>
      </c>
      <c r="CJ146" s="131"/>
      <c r="CK146" s="136">
        <f t="shared" si="217"/>
        <v>0</v>
      </c>
      <c r="CL146" s="136">
        <f t="shared" si="218"/>
        <v>0</v>
      </c>
      <c r="CM146" s="131">
        <f t="shared" si="219"/>
        <v>0</v>
      </c>
      <c r="CN146" s="136">
        <f t="shared" si="220"/>
        <v>0</v>
      </c>
      <c r="CO146" s="136">
        <f t="shared" si="221"/>
        <v>0</v>
      </c>
      <c r="CP146" s="136">
        <f t="shared" si="222"/>
        <v>0</v>
      </c>
      <c r="CQ146" s="136"/>
      <c r="CR146" s="136">
        <f t="shared" si="223"/>
        <v>0</v>
      </c>
      <c r="CS146" s="136"/>
      <c r="CT146" s="136"/>
      <c r="CU146" s="136"/>
      <c r="CV146" s="136"/>
      <c r="CW146" s="136"/>
      <c r="CX146" s="136"/>
      <c r="CY146" s="136"/>
      <c r="CZ146" s="136">
        <f t="shared" si="224"/>
        <v>0</v>
      </c>
      <c r="DA146" s="136">
        <f t="shared" si="225"/>
        <v>0</v>
      </c>
      <c r="DB146" s="136">
        <f t="shared" si="226"/>
        <v>0</v>
      </c>
      <c r="DC146" s="131">
        <f t="shared" si="185"/>
        <v>0</v>
      </c>
      <c r="DD146" s="131">
        <f t="shared" si="227"/>
        <v>0</v>
      </c>
      <c r="DE146" s="131">
        <f t="shared" si="228"/>
        <v>0</v>
      </c>
      <c r="DF146" s="131">
        <f t="shared" si="229"/>
        <v>0</v>
      </c>
      <c r="DG146" s="131">
        <f t="shared" si="230"/>
        <v>0</v>
      </c>
      <c r="DH146" s="131"/>
      <c r="DI146" s="131"/>
      <c r="DJ146" s="131"/>
      <c r="DK146" s="137">
        <f t="shared" si="260"/>
        <v>3791.5811116017489</v>
      </c>
      <c r="DL146" s="227" t="e">
        <f t="shared" si="231"/>
        <v>#REF!</v>
      </c>
      <c r="DM146" s="227" t="e">
        <f t="shared" si="232"/>
        <v>#REF!</v>
      </c>
      <c r="DN146" s="228" t="e">
        <f t="shared" si="186"/>
        <v>#REF!</v>
      </c>
      <c r="DO146" s="228">
        <f t="shared" si="233"/>
        <v>181.81087083894022</v>
      </c>
      <c r="DP146" s="228" t="e">
        <f t="shared" si="234"/>
        <v>#REF!</v>
      </c>
      <c r="DQ146" s="228" t="e">
        <f t="shared" si="235"/>
        <v>#REF!</v>
      </c>
    </row>
    <row r="147" spans="1:121">
      <c r="A147" s="132">
        <f t="shared" si="187"/>
        <v>137</v>
      </c>
      <c r="B147" s="18">
        <f t="shared" si="236"/>
        <v>137</v>
      </c>
      <c r="C147" s="18">
        <f>IF(A147=0," ",VLOOKUP(B147,'tosafot '!$A$7:$B$234,2,0))</f>
        <v>5.2019000000000002</v>
      </c>
      <c r="D147" s="220">
        <f t="shared" si="237"/>
        <v>228</v>
      </c>
      <c r="E147" s="130">
        <f t="shared" si="238"/>
        <v>12.2026</v>
      </c>
      <c r="F147" s="126">
        <f t="shared" si="239"/>
        <v>9</v>
      </c>
      <c r="G147" s="18" t="str">
        <f t="shared" si="240"/>
        <v>הבריאות</v>
      </c>
      <c r="H147" s="189">
        <f t="shared" si="241"/>
        <v>107</v>
      </c>
      <c r="I147" s="18">
        <f t="shared" si="242"/>
        <v>1</v>
      </c>
      <c r="J147" s="18" t="str">
        <f t="shared" si="243"/>
        <v>מינהלי - עובדי מדינה</v>
      </c>
      <c r="K147" s="189">
        <f t="shared" si="244"/>
        <v>1</v>
      </c>
      <c r="L147" s="18">
        <f t="shared" si="245"/>
        <v>12</v>
      </c>
      <c r="M147" s="129" t="str">
        <f t="shared" si="246"/>
        <v>17+</v>
      </c>
      <c r="N147" s="189"/>
      <c r="O147" s="132">
        <f t="shared" si="247"/>
        <v>1012</v>
      </c>
      <c r="P147" s="127">
        <f t="shared" si="248"/>
        <v>37</v>
      </c>
      <c r="Q147" s="127">
        <f t="shared" si="249"/>
        <v>22.75</v>
      </c>
      <c r="R147" s="128">
        <f t="shared" si="250"/>
        <v>92</v>
      </c>
      <c r="S147" s="130">
        <f t="shared" si="251"/>
        <v>1.2540512286990533</v>
      </c>
      <c r="T147" s="135">
        <f t="shared" si="188"/>
        <v>0</v>
      </c>
      <c r="U147" s="127">
        <f t="shared" si="189"/>
        <v>0</v>
      </c>
      <c r="V147" s="217">
        <v>0</v>
      </c>
      <c r="W147" s="191">
        <v>0</v>
      </c>
      <c r="X147" s="133">
        <v>0</v>
      </c>
      <c r="Y147" s="131">
        <f t="shared" si="190"/>
        <v>2438.5</v>
      </c>
      <c r="Z147" s="131">
        <f t="shared" si="191"/>
        <v>619.50392118264142</v>
      </c>
      <c r="AA147" s="242">
        <f t="shared" si="192"/>
        <v>3058.0039211826415</v>
      </c>
      <c r="AB147" s="131">
        <f t="shared" si="193"/>
        <v>0</v>
      </c>
      <c r="AC147" s="131">
        <f t="shared" si="194"/>
        <v>139.48055684730568</v>
      </c>
      <c r="AD147" s="131">
        <f t="shared" si="195"/>
        <v>0</v>
      </c>
      <c r="AE147" s="131">
        <f t="shared" si="196"/>
        <v>0</v>
      </c>
      <c r="AF147" s="131">
        <f t="shared" si="197"/>
        <v>75.260000000000005</v>
      </c>
      <c r="AG147" s="131">
        <f t="shared" si="198"/>
        <v>0</v>
      </c>
      <c r="AH147" s="131">
        <f t="shared" si="199"/>
        <v>0</v>
      </c>
      <c r="AI147" s="131">
        <f t="shared" si="200"/>
        <v>0</v>
      </c>
      <c r="AJ147" s="131">
        <f t="shared" si="201"/>
        <v>0</v>
      </c>
      <c r="AK147" s="131"/>
      <c r="AL147" s="131">
        <f t="shared" si="202"/>
        <v>0</v>
      </c>
      <c r="AM147" s="131"/>
      <c r="AN147" s="243">
        <f t="shared" si="203"/>
        <v>0</v>
      </c>
      <c r="AO147" s="131">
        <f t="shared" si="204"/>
        <v>0</v>
      </c>
      <c r="AP147" s="131">
        <f t="shared" si="205"/>
        <v>0</v>
      </c>
      <c r="AQ147" s="131"/>
      <c r="AR147" s="131">
        <f t="shared" si="206"/>
        <v>0</v>
      </c>
      <c r="AS147" s="131">
        <f t="shared" si="252"/>
        <v>0</v>
      </c>
      <c r="AT147" s="131">
        <f t="shared" si="207"/>
        <v>0</v>
      </c>
      <c r="AU147" s="131">
        <f t="shared" si="208"/>
        <v>0</v>
      </c>
      <c r="AV147" s="131"/>
      <c r="AW147" s="131">
        <f t="shared" si="209"/>
        <v>353.75</v>
      </c>
      <c r="AX147" s="131">
        <f t="shared" si="263"/>
        <v>0</v>
      </c>
      <c r="AY147" s="131">
        <f t="shared" si="210"/>
        <v>0</v>
      </c>
      <c r="AZ147" s="131"/>
      <c r="BA147" s="131">
        <f t="shared" si="264"/>
        <v>0</v>
      </c>
      <c r="BB147" s="131"/>
      <c r="BC147" s="131"/>
      <c r="BD147" s="131">
        <f t="shared" si="211"/>
        <v>0</v>
      </c>
      <c r="BE147" s="131"/>
      <c r="BF147" s="131">
        <f t="shared" si="253"/>
        <v>0</v>
      </c>
      <c r="BG147" s="131">
        <f t="shared" si="254"/>
        <v>0</v>
      </c>
      <c r="BH147" s="131"/>
      <c r="BI147" s="131"/>
      <c r="BJ147" s="131"/>
      <c r="BK147" s="131">
        <f t="shared" si="255"/>
        <v>0</v>
      </c>
      <c r="BL147" s="131"/>
      <c r="BM147" s="131"/>
      <c r="BN147" s="131">
        <f t="shared" si="256"/>
        <v>0</v>
      </c>
      <c r="BO147" s="131"/>
      <c r="BP147" s="131">
        <f t="shared" si="257"/>
        <v>0</v>
      </c>
      <c r="BQ147" s="131"/>
      <c r="BR147" s="131"/>
      <c r="BS147" s="131"/>
      <c r="BT147" s="131"/>
      <c r="BU147" s="131"/>
      <c r="BV147" s="131">
        <f t="shared" si="258"/>
        <v>0</v>
      </c>
      <c r="BW147" s="131"/>
      <c r="BX147" s="131"/>
      <c r="BY147" s="131"/>
      <c r="BZ147" s="131">
        <f t="shared" si="259"/>
        <v>0</v>
      </c>
      <c r="CA147" s="131"/>
      <c r="CB147" s="136">
        <f t="shared" si="212"/>
        <v>165.08663357180151</v>
      </c>
      <c r="CC147" s="131">
        <f t="shared" si="213"/>
        <v>0</v>
      </c>
      <c r="CD147" s="136">
        <f t="shared" si="214"/>
        <v>0</v>
      </c>
      <c r="CE147" s="131">
        <f t="shared" si="262"/>
        <v>0</v>
      </c>
      <c r="CF147" s="136">
        <f t="shared" si="215"/>
        <v>0</v>
      </c>
      <c r="CG147" s="136"/>
      <c r="CH147" s="136">
        <f t="shared" si="261"/>
        <v>0</v>
      </c>
      <c r="CI147" s="131">
        <f t="shared" si="216"/>
        <v>0</v>
      </c>
      <c r="CJ147" s="131"/>
      <c r="CK147" s="136">
        <f t="shared" si="217"/>
        <v>0</v>
      </c>
      <c r="CL147" s="136">
        <f t="shared" si="218"/>
        <v>0</v>
      </c>
      <c r="CM147" s="131">
        <f t="shared" si="219"/>
        <v>0</v>
      </c>
      <c r="CN147" s="136">
        <f t="shared" si="220"/>
        <v>0</v>
      </c>
      <c r="CO147" s="136">
        <f t="shared" si="221"/>
        <v>0</v>
      </c>
      <c r="CP147" s="136">
        <f t="shared" si="222"/>
        <v>0</v>
      </c>
      <c r="CQ147" s="136"/>
      <c r="CR147" s="136">
        <f t="shared" si="223"/>
        <v>0</v>
      </c>
      <c r="CS147" s="136"/>
      <c r="CT147" s="136"/>
      <c r="CU147" s="136"/>
      <c r="CV147" s="136"/>
      <c r="CW147" s="136"/>
      <c r="CX147" s="136"/>
      <c r="CY147" s="136"/>
      <c r="CZ147" s="136">
        <f t="shared" si="224"/>
        <v>0</v>
      </c>
      <c r="DA147" s="136">
        <f t="shared" si="225"/>
        <v>0</v>
      </c>
      <c r="DB147" s="136">
        <f t="shared" si="226"/>
        <v>0</v>
      </c>
      <c r="DC147" s="131">
        <f t="shared" si="185"/>
        <v>0</v>
      </c>
      <c r="DD147" s="131">
        <f t="shared" si="227"/>
        <v>0</v>
      </c>
      <c r="DE147" s="131">
        <f t="shared" si="228"/>
        <v>0</v>
      </c>
      <c r="DF147" s="131">
        <f t="shared" si="229"/>
        <v>0</v>
      </c>
      <c r="DG147" s="131">
        <f t="shared" si="230"/>
        <v>0</v>
      </c>
      <c r="DH147" s="131"/>
      <c r="DI147" s="131"/>
      <c r="DJ147" s="131"/>
      <c r="DK147" s="137">
        <f t="shared" si="260"/>
        <v>3791.5811116017489</v>
      </c>
      <c r="DL147" s="227" t="e">
        <f t="shared" si="231"/>
        <v>#REF!</v>
      </c>
      <c r="DM147" s="227" t="e">
        <f t="shared" si="232"/>
        <v>#REF!</v>
      </c>
      <c r="DN147" s="228" t="e">
        <f t="shared" si="186"/>
        <v>#REF!</v>
      </c>
      <c r="DO147" s="228">
        <f t="shared" si="233"/>
        <v>181.81087083894022</v>
      </c>
      <c r="DP147" s="228" t="e">
        <f t="shared" si="234"/>
        <v>#REF!</v>
      </c>
      <c r="DQ147" s="228" t="e">
        <f t="shared" si="235"/>
        <v>#REF!</v>
      </c>
    </row>
    <row r="148" spans="1:121">
      <c r="A148" s="132">
        <f t="shared" si="187"/>
        <v>138</v>
      </c>
      <c r="B148" s="18">
        <f t="shared" si="236"/>
        <v>138</v>
      </c>
      <c r="C148" s="18">
        <f>IF(A148=0," ",VLOOKUP(B148,'tosafot '!$A$7:$B$234,2,0))</f>
        <v>6.2019000000000002</v>
      </c>
      <c r="D148" s="220">
        <f t="shared" si="237"/>
        <v>228</v>
      </c>
      <c r="E148" s="130">
        <f t="shared" si="238"/>
        <v>12.2026</v>
      </c>
      <c r="F148" s="126">
        <f t="shared" si="239"/>
        <v>9</v>
      </c>
      <c r="G148" s="18" t="str">
        <f t="shared" si="240"/>
        <v>הבריאות</v>
      </c>
      <c r="H148" s="189">
        <f t="shared" si="241"/>
        <v>107</v>
      </c>
      <c r="I148" s="18">
        <f t="shared" si="242"/>
        <v>1</v>
      </c>
      <c r="J148" s="18" t="str">
        <f t="shared" si="243"/>
        <v>מינהלי - עובדי מדינה</v>
      </c>
      <c r="K148" s="189">
        <f t="shared" si="244"/>
        <v>1</v>
      </c>
      <c r="L148" s="18">
        <f t="shared" si="245"/>
        <v>12</v>
      </c>
      <c r="M148" s="129" t="str">
        <f t="shared" si="246"/>
        <v>17+</v>
      </c>
      <c r="N148" s="189"/>
      <c r="O148" s="132">
        <f t="shared" si="247"/>
        <v>1012</v>
      </c>
      <c r="P148" s="127">
        <f t="shared" si="248"/>
        <v>37</v>
      </c>
      <c r="Q148" s="127">
        <f t="shared" si="249"/>
        <v>22.75</v>
      </c>
      <c r="R148" s="128">
        <f t="shared" si="250"/>
        <v>92</v>
      </c>
      <c r="S148" s="130">
        <f t="shared" si="251"/>
        <v>1.2540512286990533</v>
      </c>
      <c r="T148" s="135">
        <f t="shared" si="188"/>
        <v>0</v>
      </c>
      <c r="U148" s="127">
        <f t="shared" si="189"/>
        <v>0</v>
      </c>
      <c r="V148" s="217">
        <v>0</v>
      </c>
      <c r="W148" s="191">
        <v>0</v>
      </c>
      <c r="X148" s="133">
        <v>0</v>
      </c>
      <c r="Y148" s="131">
        <f t="shared" si="190"/>
        <v>2438.5</v>
      </c>
      <c r="Z148" s="131">
        <f t="shared" si="191"/>
        <v>619.50392118264142</v>
      </c>
      <c r="AA148" s="242">
        <f t="shared" si="192"/>
        <v>3058.0039211826415</v>
      </c>
      <c r="AB148" s="131">
        <f t="shared" si="193"/>
        <v>0</v>
      </c>
      <c r="AC148" s="131">
        <f t="shared" si="194"/>
        <v>139.48055684730568</v>
      </c>
      <c r="AD148" s="131">
        <f t="shared" si="195"/>
        <v>0</v>
      </c>
      <c r="AE148" s="131">
        <f t="shared" si="196"/>
        <v>0</v>
      </c>
      <c r="AF148" s="131">
        <f t="shared" si="197"/>
        <v>75.260000000000005</v>
      </c>
      <c r="AG148" s="131">
        <f t="shared" si="198"/>
        <v>0</v>
      </c>
      <c r="AH148" s="131">
        <f t="shared" si="199"/>
        <v>0</v>
      </c>
      <c r="AI148" s="131">
        <f t="shared" si="200"/>
        <v>0</v>
      </c>
      <c r="AJ148" s="131">
        <f t="shared" si="201"/>
        <v>0</v>
      </c>
      <c r="AK148" s="131"/>
      <c r="AL148" s="131">
        <f t="shared" si="202"/>
        <v>0</v>
      </c>
      <c r="AM148" s="131"/>
      <c r="AN148" s="243">
        <f t="shared" si="203"/>
        <v>0</v>
      </c>
      <c r="AO148" s="131">
        <f t="shared" si="204"/>
        <v>0</v>
      </c>
      <c r="AP148" s="131">
        <f t="shared" si="205"/>
        <v>0</v>
      </c>
      <c r="AQ148" s="131"/>
      <c r="AR148" s="131">
        <f t="shared" si="206"/>
        <v>0</v>
      </c>
      <c r="AS148" s="131">
        <f t="shared" si="252"/>
        <v>0</v>
      </c>
      <c r="AT148" s="131">
        <f t="shared" si="207"/>
        <v>0</v>
      </c>
      <c r="AU148" s="131">
        <f t="shared" si="208"/>
        <v>0</v>
      </c>
      <c r="AV148" s="131"/>
      <c r="AW148" s="131">
        <f t="shared" si="209"/>
        <v>353.75</v>
      </c>
      <c r="AX148" s="131">
        <f t="shared" si="263"/>
        <v>0</v>
      </c>
      <c r="AY148" s="131">
        <f t="shared" si="210"/>
        <v>0</v>
      </c>
      <c r="AZ148" s="131"/>
      <c r="BA148" s="131">
        <f t="shared" si="264"/>
        <v>0</v>
      </c>
      <c r="BB148" s="131"/>
      <c r="BC148" s="131"/>
      <c r="BD148" s="131">
        <f t="shared" si="211"/>
        <v>0</v>
      </c>
      <c r="BE148" s="131"/>
      <c r="BF148" s="131">
        <f t="shared" si="253"/>
        <v>0</v>
      </c>
      <c r="BG148" s="131">
        <f t="shared" si="254"/>
        <v>0</v>
      </c>
      <c r="BH148" s="131"/>
      <c r="BI148" s="131"/>
      <c r="BJ148" s="131"/>
      <c r="BK148" s="131">
        <f t="shared" si="255"/>
        <v>0</v>
      </c>
      <c r="BL148" s="131"/>
      <c r="BM148" s="131"/>
      <c r="BN148" s="131">
        <f t="shared" si="256"/>
        <v>0</v>
      </c>
      <c r="BO148" s="131"/>
      <c r="BP148" s="131">
        <f t="shared" si="257"/>
        <v>0</v>
      </c>
      <c r="BQ148" s="131"/>
      <c r="BR148" s="131"/>
      <c r="BS148" s="131"/>
      <c r="BT148" s="131"/>
      <c r="BU148" s="131"/>
      <c r="BV148" s="131">
        <f t="shared" si="258"/>
        <v>0</v>
      </c>
      <c r="BW148" s="131"/>
      <c r="BX148" s="131"/>
      <c r="BY148" s="131"/>
      <c r="BZ148" s="131">
        <f t="shared" si="259"/>
        <v>0</v>
      </c>
      <c r="CA148" s="131"/>
      <c r="CB148" s="136">
        <f t="shared" si="212"/>
        <v>165.08663357180151</v>
      </c>
      <c r="CC148" s="131">
        <f t="shared" si="213"/>
        <v>0</v>
      </c>
      <c r="CD148" s="136">
        <f t="shared" si="214"/>
        <v>0</v>
      </c>
      <c r="CE148" s="131">
        <f t="shared" si="262"/>
        <v>0</v>
      </c>
      <c r="CF148" s="136">
        <f t="shared" si="215"/>
        <v>0</v>
      </c>
      <c r="CG148" s="136"/>
      <c r="CH148" s="136">
        <f t="shared" si="261"/>
        <v>0</v>
      </c>
      <c r="CI148" s="131">
        <f t="shared" si="216"/>
        <v>0</v>
      </c>
      <c r="CJ148" s="131"/>
      <c r="CK148" s="136">
        <f t="shared" si="217"/>
        <v>0</v>
      </c>
      <c r="CL148" s="136">
        <f t="shared" si="218"/>
        <v>0</v>
      </c>
      <c r="CM148" s="131">
        <f t="shared" si="219"/>
        <v>0</v>
      </c>
      <c r="CN148" s="136">
        <f t="shared" si="220"/>
        <v>0</v>
      </c>
      <c r="CO148" s="136">
        <f t="shared" si="221"/>
        <v>0</v>
      </c>
      <c r="CP148" s="136">
        <f t="shared" si="222"/>
        <v>0</v>
      </c>
      <c r="CQ148" s="136"/>
      <c r="CR148" s="136">
        <f t="shared" si="223"/>
        <v>0</v>
      </c>
      <c r="CS148" s="136"/>
      <c r="CT148" s="136"/>
      <c r="CU148" s="136"/>
      <c r="CV148" s="136"/>
      <c r="CW148" s="136"/>
      <c r="CX148" s="136"/>
      <c r="CY148" s="136"/>
      <c r="CZ148" s="136">
        <f t="shared" si="224"/>
        <v>0</v>
      </c>
      <c r="DA148" s="136">
        <f t="shared" si="225"/>
        <v>0</v>
      </c>
      <c r="DB148" s="136">
        <f t="shared" si="226"/>
        <v>0</v>
      </c>
      <c r="DC148" s="131">
        <f t="shared" si="185"/>
        <v>0</v>
      </c>
      <c r="DD148" s="131">
        <f t="shared" si="227"/>
        <v>0</v>
      </c>
      <c r="DE148" s="131">
        <f t="shared" si="228"/>
        <v>0</v>
      </c>
      <c r="DF148" s="131">
        <f t="shared" si="229"/>
        <v>0</v>
      </c>
      <c r="DG148" s="131">
        <f t="shared" si="230"/>
        <v>0</v>
      </c>
      <c r="DH148" s="131"/>
      <c r="DI148" s="131"/>
      <c r="DJ148" s="131"/>
      <c r="DK148" s="137">
        <f t="shared" si="260"/>
        <v>3791.5811116017489</v>
      </c>
      <c r="DL148" s="227" t="e">
        <f t="shared" si="231"/>
        <v>#REF!</v>
      </c>
      <c r="DM148" s="227" t="e">
        <f t="shared" si="232"/>
        <v>#REF!</v>
      </c>
      <c r="DN148" s="228" t="e">
        <f t="shared" si="186"/>
        <v>#REF!</v>
      </c>
      <c r="DO148" s="228">
        <f t="shared" si="233"/>
        <v>181.81087083894022</v>
      </c>
      <c r="DP148" s="228" t="e">
        <f t="shared" si="234"/>
        <v>#REF!</v>
      </c>
      <c r="DQ148" s="228" t="e">
        <f t="shared" si="235"/>
        <v>#REF!</v>
      </c>
    </row>
    <row r="149" spans="1:121">
      <c r="A149" s="132">
        <f t="shared" si="187"/>
        <v>139</v>
      </c>
      <c r="B149" s="18">
        <f t="shared" si="236"/>
        <v>139</v>
      </c>
      <c r="C149" s="18">
        <f>IF(A149=0," ",VLOOKUP(B149,'tosafot '!$A$7:$B$234,2,0))</f>
        <v>7.2019000000000002</v>
      </c>
      <c r="D149" s="220">
        <f t="shared" si="237"/>
        <v>228</v>
      </c>
      <c r="E149" s="130">
        <f t="shared" si="238"/>
        <v>12.2026</v>
      </c>
      <c r="F149" s="126">
        <f t="shared" si="239"/>
        <v>9</v>
      </c>
      <c r="G149" s="18" t="str">
        <f t="shared" si="240"/>
        <v>הבריאות</v>
      </c>
      <c r="H149" s="189">
        <f t="shared" si="241"/>
        <v>107</v>
      </c>
      <c r="I149" s="18">
        <f t="shared" si="242"/>
        <v>1</v>
      </c>
      <c r="J149" s="18" t="str">
        <f t="shared" si="243"/>
        <v>מינהלי - עובדי מדינה</v>
      </c>
      <c r="K149" s="189">
        <f t="shared" si="244"/>
        <v>1</v>
      </c>
      <c r="L149" s="18">
        <f t="shared" si="245"/>
        <v>12</v>
      </c>
      <c r="M149" s="129" t="str">
        <f t="shared" si="246"/>
        <v>17+</v>
      </c>
      <c r="N149" s="189"/>
      <c r="O149" s="132">
        <f t="shared" si="247"/>
        <v>1012</v>
      </c>
      <c r="P149" s="127">
        <f t="shared" si="248"/>
        <v>37</v>
      </c>
      <c r="Q149" s="127">
        <f t="shared" si="249"/>
        <v>22.75</v>
      </c>
      <c r="R149" s="128">
        <f t="shared" si="250"/>
        <v>92</v>
      </c>
      <c r="S149" s="130">
        <f t="shared" si="251"/>
        <v>1.2540512286990533</v>
      </c>
      <c r="T149" s="135">
        <f t="shared" si="188"/>
        <v>0</v>
      </c>
      <c r="U149" s="127">
        <f t="shared" si="189"/>
        <v>0</v>
      </c>
      <c r="V149" s="217">
        <v>0</v>
      </c>
      <c r="W149" s="191">
        <v>0</v>
      </c>
      <c r="X149" s="133">
        <v>0</v>
      </c>
      <c r="Y149" s="131">
        <f t="shared" si="190"/>
        <v>2438.5</v>
      </c>
      <c r="Z149" s="131">
        <f t="shared" si="191"/>
        <v>619.50392118264142</v>
      </c>
      <c r="AA149" s="242">
        <f t="shared" si="192"/>
        <v>3058.0039211826415</v>
      </c>
      <c r="AB149" s="131">
        <f t="shared" si="193"/>
        <v>0</v>
      </c>
      <c r="AC149" s="131">
        <f t="shared" si="194"/>
        <v>139.48055684730568</v>
      </c>
      <c r="AD149" s="131">
        <f t="shared" si="195"/>
        <v>0</v>
      </c>
      <c r="AE149" s="131">
        <f t="shared" si="196"/>
        <v>0</v>
      </c>
      <c r="AF149" s="131">
        <f t="shared" si="197"/>
        <v>75.260000000000005</v>
      </c>
      <c r="AG149" s="131">
        <f t="shared" si="198"/>
        <v>0</v>
      </c>
      <c r="AH149" s="131">
        <f t="shared" si="199"/>
        <v>0</v>
      </c>
      <c r="AI149" s="131">
        <f t="shared" si="200"/>
        <v>0</v>
      </c>
      <c r="AJ149" s="131">
        <f t="shared" si="201"/>
        <v>0</v>
      </c>
      <c r="AK149" s="131"/>
      <c r="AL149" s="131">
        <f t="shared" si="202"/>
        <v>0</v>
      </c>
      <c r="AM149" s="131"/>
      <c r="AN149" s="243">
        <f t="shared" si="203"/>
        <v>0</v>
      </c>
      <c r="AO149" s="131">
        <f t="shared" si="204"/>
        <v>0</v>
      </c>
      <c r="AP149" s="131">
        <f t="shared" si="205"/>
        <v>0</v>
      </c>
      <c r="AQ149" s="131"/>
      <c r="AR149" s="131">
        <f t="shared" si="206"/>
        <v>0</v>
      </c>
      <c r="AS149" s="131">
        <f t="shared" si="252"/>
        <v>0</v>
      </c>
      <c r="AT149" s="131">
        <f t="shared" si="207"/>
        <v>0</v>
      </c>
      <c r="AU149" s="131">
        <f t="shared" si="208"/>
        <v>0</v>
      </c>
      <c r="AV149" s="131"/>
      <c r="AW149" s="131">
        <f t="shared" si="209"/>
        <v>353.75</v>
      </c>
      <c r="AX149" s="131">
        <f t="shared" si="263"/>
        <v>0</v>
      </c>
      <c r="AY149" s="131">
        <f t="shared" si="210"/>
        <v>0</v>
      </c>
      <c r="AZ149" s="131"/>
      <c r="BA149" s="131">
        <f t="shared" si="264"/>
        <v>0</v>
      </c>
      <c r="BB149" s="131"/>
      <c r="BC149" s="131"/>
      <c r="BD149" s="131">
        <f t="shared" si="211"/>
        <v>0</v>
      </c>
      <c r="BE149" s="131"/>
      <c r="BF149" s="131">
        <f t="shared" si="253"/>
        <v>0</v>
      </c>
      <c r="BG149" s="131">
        <f t="shared" si="254"/>
        <v>0</v>
      </c>
      <c r="BH149" s="131"/>
      <c r="BI149" s="131"/>
      <c r="BJ149" s="131"/>
      <c r="BK149" s="131">
        <f t="shared" si="255"/>
        <v>0</v>
      </c>
      <c r="BL149" s="131"/>
      <c r="BM149" s="131"/>
      <c r="BN149" s="131">
        <f t="shared" si="256"/>
        <v>0</v>
      </c>
      <c r="BO149" s="131"/>
      <c r="BP149" s="131">
        <f t="shared" si="257"/>
        <v>0</v>
      </c>
      <c r="BQ149" s="131"/>
      <c r="BR149" s="131"/>
      <c r="BS149" s="131"/>
      <c r="BT149" s="131"/>
      <c r="BU149" s="131"/>
      <c r="BV149" s="131">
        <f t="shared" si="258"/>
        <v>0</v>
      </c>
      <c r="BW149" s="131"/>
      <c r="BX149" s="131"/>
      <c r="BY149" s="131"/>
      <c r="BZ149" s="131">
        <f t="shared" si="259"/>
        <v>0</v>
      </c>
      <c r="CA149" s="131"/>
      <c r="CB149" s="136">
        <f t="shared" si="212"/>
        <v>165.08663357180151</v>
      </c>
      <c r="CC149" s="131">
        <f t="shared" si="213"/>
        <v>0</v>
      </c>
      <c r="CD149" s="136">
        <f t="shared" si="214"/>
        <v>0</v>
      </c>
      <c r="CE149" s="131">
        <f t="shared" si="262"/>
        <v>0</v>
      </c>
      <c r="CF149" s="136">
        <f t="shared" si="215"/>
        <v>0</v>
      </c>
      <c r="CG149" s="136"/>
      <c r="CH149" s="136">
        <f t="shared" si="261"/>
        <v>0</v>
      </c>
      <c r="CI149" s="131">
        <f t="shared" si="216"/>
        <v>0</v>
      </c>
      <c r="CJ149" s="131"/>
      <c r="CK149" s="136">
        <f t="shared" si="217"/>
        <v>0</v>
      </c>
      <c r="CL149" s="136">
        <f t="shared" si="218"/>
        <v>0</v>
      </c>
      <c r="CM149" s="131">
        <f t="shared" si="219"/>
        <v>0</v>
      </c>
      <c r="CN149" s="136">
        <f t="shared" si="220"/>
        <v>0</v>
      </c>
      <c r="CO149" s="136">
        <f t="shared" si="221"/>
        <v>0</v>
      </c>
      <c r="CP149" s="136">
        <f t="shared" si="222"/>
        <v>0</v>
      </c>
      <c r="CQ149" s="136"/>
      <c r="CR149" s="136">
        <f t="shared" si="223"/>
        <v>0</v>
      </c>
      <c r="CS149" s="136"/>
      <c r="CT149" s="136"/>
      <c r="CU149" s="136"/>
      <c r="CV149" s="136"/>
      <c r="CW149" s="136"/>
      <c r="CX149" s="136"/>
      <c r="CY149" s="136"/>
      <c r="CZ149" s="136">
        <f t="shared" si="224"/>
        <v>0</v>
      </c>
      <c r="DA149" s="136">
        <f t="shared" si="225"/>
        <v>0</v>
      </c>
      <c r="DB149" s="136">
        <f t="shared" si="226"/>
        <v>0</v>
      </c>
      <c r="DC149" s="131">
        <f t="shared" si="185"/>
        <v>0</v>
      </c>
      <c r="DD149" s="131">
        <f t="shared" si="227"/>
        <v>0</v>
      </c>
      <c r="DE149" s="131">
        <f t="shared" si="228"/>
        <v>0</v>
      </c>
      <c r="DF149" s="131">
        <f t="shared" si="229"/>
        <v>0</v>
      </c>
      <c r="DG149" s="131">
        <f t="shared" si="230"/>
        <v>0</v>
      </c>
      <c r="DH149" s="131"/>
      <c r="DI149" s="131"/>
      <c r="DJ149" s="131"/>
      <c r="DK149" s="137">
        <f t="shared" si="260"/>
        <v>3791.5811116017489</v>
      </c>
      <c r="DL149" s="227" t="e">
        <f t="shared" si="231"/>
        <v>#REF!</v>
      </c>
      <c r="DM149" s="227" t="e">
        <f t="shared" si="232"/>
        <v>#REF!</v>
      </c>
      <c r="DN149" s="228" t="e">
        <f t="shared" si="186"/>
        <v>#REF!</v>
      </c>
      <c r="DO149" s="228">
        <f t="shared" si="233"/>
        <v>181.81087083894022</v>
      </c>
      <c r="DP149" s="228" t="e">
        <f t="shared" si="234"/>
        <v>#REF!</v>
      </c>
      <c r="DQ149" s="228" t="e">
        <f t="shared" si="235"/>
        <v>#REF!</v>
      </c>
    </row>
    <row r="150" spans="1:121">
      <c r="A150" s="132">
        <f t="shared" si="187"/>
        <v>140</v>
      </c>
      <c r="B150" s="18">
        <f t="shared" si="236"/>
        <v>140</v>
      </c>
      <c r="C150" s="18">
        <f>IF(A150=0," ",VLOOKUP(B150,'tosafot '!$A$7:$B$234,2,0))</f>
        <v>8.2019000000000002</v>
      </c>
      <c r="D150" s="220">
        <f t="shared" si="237"/>
        <v>228</v>
      </c>
      <c r="E150" s="130">
        <f t="shared" si="238"/>
        <v>12.2026</v>
      </c>
      <c r="F150" s="126">
        <f t="shared" si="239"/>
        <v>9</v>
      </c>
      <c r="G150" s="18" t="str">
        <f t="shared" si="240"/>
        <v>הבריאות</v>
      </c>
      <c r="H150" s="189">
        <f t="shared" si="241"/>
        <v>107</v>
      </c>
      <c r="I150" s="18">
        <f t="shared" si="242"/>
        <v>1</v>
      </c>
      <c r="J150" s="18" t="str">
        <f t="shared" si="243"/>
        <v>מינהלי - עובדי מדינה</v>
      </c>
      <c r="K150" s="189">
        <f t="shared" si="244"/>
        <v>1</v>
      </c>
      <c r="L150" s="18">
        <f t="shared" si="245"/>
        <v>12</v>
      </c>
      <c r="M150" s="129" t="str">
        <f t="shared" si="246"/>
        <v>17+</v>
      </c>
      <c r="N150" s="189"/>
      <c r="O150" s="132">
        <f t="shared" si="247"/>
        <v>1012</v>
      </c>
      <c r="P150" s="127">
        <f t="shared" si="248"/>
        <v>37</v>
      </c>
      <c r="Q150" s="127">
        <f t="shared" si="249"/>
        <v>22.75</v>
      </c>
      <c r="R150" s="128">
        <f t="shared" si="250"/>
        <v>92</v>
      </c>
      <c r="S150" s="130">
        <f t="shared" si="251"/>
        <v>1.2540512286990533</v>
      </c>
      <c r="T150" s="135">
        <f t="shared" si="188"/>
        <v>0</v>
      </c>
      <c r="U150" s="127">
        <f t="shared" si="189"/>
        <v>0</v>
      </c>
      <c r="V150" s="217">
        <v>0</v>
      </c>
      <c r="W150" s="191">
        <v>0</v>
      </c>
      <c r="X150" s="133">
        <v>0</v>
      </c>
      <c r="Y150" s="131">
        <f t="shared" si="190"/>
        <v>2438.5</v>
      </c>
      <c r="Z150" s="131">
        <f t="shared" si="191"/>
        <v>619.50392118264142</v>
      </c>
      <c r="AA150" s="242">
        <f t="shared" si="192"/>
        <v>3058.0039211826415</v>
      </c>
      <c r="AB150" s="131">
        <f t="shared" si="193"/>
        <v>0</v>
      </c>
      <c r="AC150" s="131">
        <f t="shared" si="194"/>
        <v>139.48055684730568</v>
      </c>
      <c r="AD150" s="131">
        <f t="shared" si="195"/>
        <v>0</v>
      </c>
      <c r="AE150" s="131">
        <f t="shared" si="196"/>
        <v>0</v>
      </c>
      <c r="AF150" s="131">
        <f t="shared" si="197"/>
        <v>75.260000000000005</v>
      </c>
      <c r="AG150" s="131">
        <f t="shared" si="198"/>
        <v>0</v>
      </c>
      <c r="AH150" s="131">
        <f t="shared" si="199"/>
        <v>0</v>
      </c>
      <c r="AI150" s="131">
        <f t="shared" si="200"/>
        <v>0</v>
      </c>
      <c r="AJ150" s="131">
        <f t="shared" si="201"/>
        <v>0</v>
      </c>
      <c r="AK150" s="131"/>
      <c r="AL150" s="131">
        <f t="shared" si="202"/>
        <v>0</v>
      </c>
      <c r="AM150" s="131"/>
      <c r="AN150" s="243">
        <f t="shared" si="203"/>
        <v>0</v>
      </c>
      <c r="AO150" s="131">
        <f t="shared" si="204"/>
        <v>0</v>
      </c>
      <c r="AP150" s="131">
        <f t="shared" si="205"/>
        <v>0</v>
      </c>
      <c r="AQ150" s="131"/>
      <c r="AR150" s="131">
        <f t="shared" si="206"/>
        <v>0</v>
      </c>
      <c r="AS150" s="131">
        <f t="shared" si="252"/>
        <v>0</v>
      </c>
      <c r="AT150" s="131">
        <f t="shared" si="207"/>
        <v>0</v>
      </c>
      <c r="AU150" s="131">
        <f t="shared" si="208"/>
        <v>0</v>
      </c>
      <c r="AV150" s="131"/>
      <c r="AW150" s="131">
        <f t="shared" si="209"/>
        <v>353.75</v>
      </c>
      <c r="AX150" s="131">
        <f t="shared" si="263"/>
        <v>0</v>
      </c>
      <c r="AY150" s="131">
        <f t="shared" si="210"/>
        <v>0</v>
      </c>
      <c r="AZ150" s="131"/>
      <c r="BA150" s="131">
        <f t="shared" si="264"/>
        <v>0</v>
      </c>
      <c r="BB150" s="131"/>
      <c r="BC150" s="131"/>
      <c r="BD150" s="131">
        <f t="shared" si="211"/>
        <v>0</v>
      </c>
      <c r="BE150" s="131"/>
      <c r="BF150" s="131">
        <f t="shared" si="253"/>
        <v>0</v>
      </c>
      <c r="BG150" s="131">
        <f t="shared" si="254"/>
        <v>0</v>
      </c>
      <c r="BH150" s="131"/>
      <c r="BI150" s="131"/>
      <c r="BJ150" s="131"/>
      <c r="BK150" s="131">
        <f t="shared" si="255"/>
        <v>0</v>
      </c>
      <c r="BL150" s="131"/>
      <c r="BM150" s="131"/>
      <c r="BN150" s="131">
        <f t="shared" si="256"/>
        <v>0</v>
      </c>
      <c r="BO150" s="131"/>
      <c r="BP150" s="131">
        <f t="shared" si="257"/>
        <v>0</v>
      </c>
      <c r="BQ150" s="131"/>
      <c r="BR150" s="131"/>
      <c r="BS150" s="131"/>
      <c r="BT150" s="131"/>
      <c r="BU150" s="131"/>
      <c r="BV150" s="131">
        <f t="shared" si="258"/>
        <v>0</v>
      </c>
      <c r="BW150" s="131"/>
      <c r="BX150" s="131"/>
      <c r="BY150" s="131"/>
      <c r="BZ150" s="131">
        <f t="shared" si="259"/>
        <v>0</v>
      </c>
      <c r="CA150" s="131"/>
      <c r="CB150" s="136">
        <f t="shared" si="212"/>
        <v>165.08663357180151</v>
      </c>
      <c r="CC150" s="131">
        <f t="shared" si="213"/>
        <v>0</v>
      </c>
      <c r="CD150" s="136">
        <f t="shared" si="214"/>
        <v>0</v>
      </c>
      <c r="CE150" s="131">
        <f t="shared" si="262"/>
        <v>0</v>
      </c>
      <c r="CF150" s="136">
        <f t="shared" si="215"/>
        <v>0</v>
      </c>
      <c r="CG150" s="136"/>
      <c r="CH150" s="136">
        <f t="shared" si="261"/>
        <v>0</v>
      </c>
      <c r="CI150" s="131">
        <f t="shared" si="216"/>
        <v>0</v>
      </c>
      <c r="CJ150" s="131"/>
      <c r="CK150" s="136">
        <f t="shared" si="217"/>
        <v>0</v>
      </c>
      <c r="CL150" s="136">
        <f t="shared" si="218"/>
        <v>0</v>
      </c>
      <c r="CM150" s="131">
        <f t="shared" si="219"/>
        <v>0</v>
      </c>
      <c r="CN150" s="136">
        <f t="shared" si="220"/>
        <v>0</v>
      </c>
      <c r="CO150" s="136">
        <f t="shared" si="221"/>
        <v>0</v>
      </c>
      <c r="CP150" s="136">
        <f t="shared" si="222"/>
        <v>0</v>
      </c>
      <c r="CQ150" s="136"/>
      <c r="CR150" s="136">
        <f t="shared" si="223"/>
        <v>0</v>
      </c>
      <c r="CS150" s="136"/>
      <c r="CT150" s="136"/>
      <c r="CU150" s="136"/>
      <c r="CV150" s="136"/>
      <c r="CW150" s="136"/>
      <c r="CX150" s="136"/>
      <c r="CY150" s="136"/>
      <c r="CZ150" s="136">
        <f t="shared" si="224"/>
        <v>0</v>
      </c>
      <c r="DA150" s="136">
        <f t="shared" si="225"/>
        <v>0</v>
      </c>
      <c r="DB150" s="136">
        <f t="shared" si="226"/>
        <v>0</v>
      </c>
      <c r="DC150" s="131">
        <f t="shared" si="185"/>
        <v>0</v>
      </c>
      <c r="DD150" s="131">
        <f t="shared" si="227"/>
        <v>0</v>
      </c>
      <c r="DE150" s="131">
        <f t="shared" si="228"/>
        <v>0</v>
      </c>
      <c r="DF150" s="131">
        <f t="shared" si="229"/>
        <v>0</v>
      </c>
      <c r="DG150" s="131">
        <f t="shared" si="230"/>
        <v>0</v>
      </c>
      <c r="DH150" s="131"/>
      <c r="DI150" s="131"/>
      <c r="DJ150" s="131"/>
      <c r="DK150" s="137">
        <f t="shared" si="260"/>
        <v>3791.5811116017489</v>
      </c>
      <c r="DL150" s="227" t="e">
        <f t="shared" si="231"/>
        <v>#REF!</v>
      </c>
      <c r="DM150" s="227" t="e">
        <f t="shared" si="232"/>
        <v>#REF!</v>
      </c>
      <c r="DN150" s="228" t="e">
        <f t="shared" si="186"/>
        <v>#REF!</v>
      </c>
      <c r="DO150" s="228">
        <f t="shared" si="233"/>
        <v>181.81087083894022</v>
      </c>
      <c r="DP150" s="228" t="e">
        <f t="shared" si="234"/>
        <v>#REF!</v>
      </c>
      <c r="DQ150" s="228" t="e">
        <f t="shared" si="235"/>
        <v>#REF!</v>
      </c>
    </row>
    <row r="151" spans="1:121">
      <c r="A151" s="132">
        <f t="shared" si="187"/>
        <v>141</v>
      </c>
      <c r="B151" s="18">
        <f t="shared" si="236"/>
        <v>141</v>
      </c>
      <c r="C151" s="18">
        <f>IF(A151=0," ",VLOOKUP(B151,'tosafot '!$A$7:$B$234,2,0))</f>
        <v>9.2019000000000002</v>
      </c>
      <c r="D151" s="220">
        <f t="shared" si="237"/>
        <v>228</v>
      </c>
      <c r="E151" s="130">
        <f t="shared" si="238"/>
        <v>12.2026</v>
      </c>
      <c r="F151" s="126">
        <f t="shared" si="239"/>
        <v>9</v>
      </c>
      <c r="G151" s="18" t="str">
        <f t="shared" si="240"/>
        <v>הבריאות</v>
      </c>
      <c r="H151" s="189">
        <f t="shared" si="241"/>
        <v>107</v>
      </c>
      <c r="I151" s="18">
        <f t="shared" si="242"/>
        <v>1</v>
      </c>
      <c r="J151" s="18" t="str">
        <f t="shared" si="243"/>
        <v>מינהלי - עובדי מדינה</v>
      </c>
      <c r="K151" s="189">
        <f t="shared" si="244"/>
        <v>1</v>
      </c>
      <c r="L151" s="18">
        <f t="shared" si="245"/>
        <v>12</v>
      </c>
      <c r="M151" s="129" t="str">
        <f t="shared" si="246"/>
        <v>17+</v>
      </c>
      <c r="N151" s="189"/>
      <c r="O151" s="132">
        <f t="shared" si="247"/>
        <v>1012</v>
      </c>
      <c r="P151" s="127">
        <f t="shared" si="248"/>
        <v>37</v>
      </c>
      <c r="Q151" s="127">
        <f t="shared" si="249"/>
        <v>22.75</v>
      </c>
      <c r="R151" s="128">
        <f t="shared" si="250"/>
        <v>92</v>
      </c>
      <c r="S151" s="130">
        <f t="shared" si="251"/>
        <v>1.2540512286990533</v>
      </c>
      <c r="T151" s="135">
        <f t="shared" si="188"/>
        <v>0</v>
      </c>
      <c r="U151" s="127">
        <f t="shared" si="189"/>
        <v>0</v>
      </c>
      <c r="V151" s="217">
        <v>0</v>
      </c>
      <c r="W151" s="191">
        <v>0</v>
      </c>
      <c r="X151" s="133">
        <v>0</v>
      </c>
      <c r="Y151" s="131">
        <f t="shared" si="190"/>
        <v>2438.5</v>
      </c>
      <c r="Z151" s="131">
        <f t="shared" si="191"/>
        <v>619.50392118264142</v>
      </c>
      <c r="AA151" s="242">
        <f t="shared" si="192"/>
        <v>3058.0039211826415</v>
      </c>
      <c r="AB151" s="131">
        <f t="shared" si="193"/>
        <v>0</v>
      </c>
      <c r="AC151" s="131">
        <f t="shared" si="194"/>
        <v>139.48055684730568</v>
      </c>
      <c r="AD151" s="131">
        <f t="shared" si="195"/>
        <v>0</v>
      </c>
      <c r="AE151" s="131">
        <f t="shared" si="196"/>
        <v>0</v>
      </c>
      <c r="AF151" s="131">
        <f t="shared" si="197"/>
        <v>75.260000000000005</v>
      </c>
      <c r="AG151" s="131">
        <f t="shared" si="198"/>
        <v>0</v>
      </c>
      <c r="AH151" s="131">
        <f t="shared" si="199"/>
        <v>0</v>
      </c>
      <c r="AI151" s="131">
        <f t="shared" si="200"/>
        <v>0</v>
      </c>
      <c r="AJ151" s="131">
        <f t="shared" si="201"/>
        <v>0</v>
      </c>
      <c r="AK151" s="131"/>
      <c r="AL151" s="131">
        <f t="shared" si="202"/>
        <v>0</v>
      </c>
      <c r="AM151" s="131"/>
      <c r="AN151" s="243">
        <f t="shared" si="203"/>
        <v>0</v>
      </c>
      <c r="AO151" s="131">
        <f t="shared" si="204"/>
        <v>0</v>
      </c>
      <c r="AP151" s="131">
        <f t="shared" si="205"/>
        <v>0</v>
      </c>
      <c r="AQ151" s="131"/>
      <c r="AR151" s="131">
        <f t="shared" si="206"/>
        <v>0</v>
      </c>
      <c r="AS151" s="131">
        <f t="shared" si="252"/>
        <v>0</v>
      </c>
      <c r="AT151" s="131">
        <f t="shared" si="207"/>
        <v>0</v>
      </c>
      <c r="AU151" s="131">
        <f t="shared" si="208"/>
        <v>0</v>
      </c>
      <c r="AV151" s="131"/>
      <c r="AW151" s="131">
        <f t="shared" si="209"/>
        <v>353.75</v>
      </c>
      <c r="AX151" s="131">
        <f t="shared" si="263"/>
        <v>0</v>
      </c>
      <c r="AY151" s="131">
        <f t="shared" si="210"/>
        <v>0</v>
      </c>
      <c r="AZ151" s="131"/>
      <c r="BA151" s="131">
        <f t="shared" si="264"/>
        <v>0</v>
      </c>
      <c r="BB151" s="131"/>
      <c r="BC151" s="131"/>
      <c r="BD151" s="131">
        <f t="shared" si="211"/>
        <v>0</v>
      </c>
      <c r="BE151" s="131"/>
      <c r="BF151" s="131">
        <f t="shared" si="253"/>
        <v>0</v>
      </c>
      <c r="BG151" s="131">
        <f t="shared" si="254"/>
        <v>0</v>
      </c>
      <c r="BH151" s="131"/>
      <c r="BI151" s="131"/>
      <c r="BJ151" s="131"/>
      <c r="BK151" s="131">
        <f t="shared" si="255"/>
        <v>0</v>
      </c>
      <c r="BL151" s="131"/>
      <c r="BM151" s="131"/>
      <c r="BN151" s="131">
        <f t="shared" si="256"/>
        <v>0</v>
      </c>
      <c r="BO151" s="131"/>
      <c r="BP151" s="131">
        <f t="shared" si="257"/>
        <v>0</v>
      </c>
      <c r="BQ151" s="131"/>
      <c r="BR151" s="131"/>
      <c r="BS151" s="131"/>
      <c r="BT151" s="131"/>
      <c r="BU151" s="131"/>
      <c r="BV151" s="131">
        <f t="shared" si="258"/>
        <v>0</v>
      </c>
      <c r="BW151" s="131"/>
      <c r="BX151" s="131"/>
      <c r="BY151" s="131"/>
      <c r="BZ151" s="131">
        <f t="shared" si="259"/>
        <v>0</v>
      </c>
      <c r="CA151" s="131"/>
      <c r="CB151" s="136">
        <f t="shared" si="212"/>
        <v>165.08663357180151</v>
      </c>
      <c r="CC151" s="131">
        <f t="shared" si="213"/>
        <v>0</v>
      </c>
      <c r="CD151" s="136">
        <f t="shared" si="214"/>
        <v>0</v>
      </c>
      <c r="CE151" s="131">
        <f t="shared" si="262"/>
        <v>0</v>
      </c>
      <c r="CF151" s="136">
        <f t="shared" si="215"/>
        <v>0</v>
      </c>
      <c r="CG151" s="136"/>
      <c r="CH151" s="136">
        <f t="shared" si="261"/>
        <v>0</v>
      </c>
      <c r="CI151" s="131">
        <f t="shared" si="216"/>
        <v>0</v>
      </c>
      <c r="CJ151" s="131"/>
      <c r="CK151" s="136">
        <f t="shared" si="217"/>
        <v>0</v>
      </c>
      <c r="CL151" s="136">
        <f t="shared" si="218"/>
        <v>0</v>
      </c>
      <c r="CM151" s="131">
        <f t="shared" si="219"/>
        <v>0</v>
      </c>
      <c r="CN151" s="136">
        <f t="shared" si="220"/>
        <v>0</v>
      </c>
      <c r="CO151" s="136">
        <f t="shared" si="221"/>
        <v>0</v>
      </c>
      <c r="CP151" s="136">
        <f t="shared" si="222"/>
        <v>0</v>
      </c>
      <c r="CQ151" s="136"/>
      <c r="CR151" s="136">
        <f t="shared" si="223"/>
        <v>0</v>
      </c>
      <c r="CS151" s="136"/>
      <c r="CT151" s="136"/>
      <c r="CU151" s="136"/>
      <c r="CV151" s="136"/>
      <c r="CW151" s="136"/>
      <c r="CX151" s="136"/>
      <c r="CY151" s="136"/>
      <c r="CZ151" s="136">
        <f t="shared" si="224"/>
        <v>0</v>
      </c>
      <c r="DA151" s="136">
        <f t="shared" si="225"/>
        <v>0</v>
      </c>
      <c r="DB151" s="136">
        <f t="shared" si="226"/>
        <v>0</v>
      </c>
      <c r="DC151" s="131">
        <f t="shared" si="185"/>
        <v>0</v>
      </c>
      <c r="DD151" s="131">
        <f t="shared" si="227"/>
        <v>0</v>
      </c>
      <c r="DE151" s="131">
        <f t="shared" si="228"/>
        <v>0</v>
      </c>
      <c r="DF151" s="131">
        <f t="shared" si="229"/>
        <v>0</v>
      </c>
      <c r="DG151" s="131">
        <f t="shared" si="230"/>
        <v>0</v>
      </c>
      <c r="DH151" s="131"/>
      <c r="DI151" s="131"/>
      <c r="DJ151" s="131"/>
      <c r="DK151" s="137">
        <f t="shared" si="260"/>
        <v>3791.5811116017489</v>
      </c>
      <c r="DL151" s="227" t="e">
        <f t="shared" si="231"/>
        <v>#REF!</v>
      </c>
      <c r="DM151" s="227" t="e">
        <f t="shared" si="232"/>
        <v>#REF!</v>
      </c>
      <c r="DN151" s="228" t="e">
        <f t="shared" si="186"/>
        <v>#REF!</v>
      </c>
      <c r="DO151" s="228">
        <f t="shared" si="233"/>
        <v>181.81087083894022</v>
      </c>
      <c r="DP151" s="228" t="e">
        <f t="shared" si="234"/>
        <v>#REF!</v>
      </c>
      <c r="DQ151" s="228" t="e">
        <f t="shared" si="235"/>
        <v>#REF!</v>
      </c>
    </row>
    <row r="152" spans="1:121">
      <c r="A152" s="132">
        <f t="shared" si="187"/>
        <v>142</v>
      </c>
      <c r="B152" s="18">
        <f t="shared" si="236"/>
        <v>142</v>
      </c>
      <c r="C152" s="18">
        <f>IF(A152=0," ",VLOOKUP(B152,'tosafot '!$A$7:$B$234,2,0))</f>
        <v>10.2019</v>
      </c>
      <c r="D152" s="220">
        <f t="shared" si="237"/>
        <v>228</v>
      </c>
      <c r="E152" s="130">
        <f t="shared" si="238"/>
        <v>12.2026</v>
      </c>
      <c r="F152" s="126">
        <f t="shared" si="239"/>
        <v>9</v>
      </c>
      <c r="G152" s="18" t="str">
        <f t="shared" si="240"/>
        <v>הבריאות</v>
      </c>
      <c r="H152" s="189">
        <f t="shared" si="241"/>
        <v>107</v>
      </c>
      <c r="I152" s="18">
        <f t="shared" si="242"/>
        <v>1</v>
      </c>
      <c r="J152" s="18" t="str">
        <f t="shared" si="243"/>
        <v>מינהלי - עובדי מדינה</v>
      </c>
      <c r="K152" s="189">
        <f t="shared" si="244"/>
        <v>1</v>
      </c>
      <c r="L152" s="18">
        <f t="shared" si="245"/>
        <v>12</v>
      </c>
      <c r="M152" s="129" t="str">
        <f t="shared" si="246"/>
        <v>17+</v>
      </c>
      <c r="N152" s="189"/>
      <c r="O152" s="132">
        <f t="shared" si="247"/>
        <v>1012</v>
      </c>
      <c r="P152" s="127">
        <f t="shared" si="248"/>
        <v>37</v>
      </c>
      <c r="Q152" s="127">
        <f t="shared" si="249"/>
        <v>22.75</v>
      </c>
      <c r="R152" s="128">
        <f t="shared" si="250"/>
        <v>92</v>
      </c>
      <c r="S152" s="130">
        <f t="shared" si="251"/>
        <v>1.2540512286990533</v>
      </c>
      <c r="T152" s="135">
        <f t="shared" si="188"/>
        <v>0</v>
      </c>
      <c r="U152" s="127">
        <f t="shared" si="189"/>
        <v>0</v>
      </c>
      <c r="V152" s="217">
        <v>0</v>
      </c>
      <c r="W152" s="191">
        <v>0</v>
      </c>
      <c r="X152" s="133">
        <v>0</v>
      </c>
      <c r="Y152" s="131">
        <f t="shared" si="190"/>
        <v>2438.5</v>
      </c>
      <c r="Z152" s="131">
        <f t="shared" si="191"/>
        <v>619.50392118264142</v>
      </c>
      <c r="AA152" s="242">
        <f t="shared" si="192"/>
        <v>3058.0039211826415</v>
      </c>
      <c r="AB152" s="131">
        <f t="shared" si="193"/>
        <v>0</v>
      </c>
      <c r="AC152" s="131">
        <f t="shared" si="194"/>
        <v>139.48055684730568</v>
      </c>
      <c r="AD152" s="131">
        <f t="shared" si="195"/>
        <v>0</v>
      </c>
      <c r="AE152" s="131">
        <f t="shared" si="196"/>
        <v>0</v>
      </c>
      <c r="AF152" s="131">
        <f t="shared" si="197"/>
        <v>75.260000000000005</v>
      </c>
      <c r="AG152" s="131">
        <f t="shared" si="198"/>
        <v>0</v>
      </c>
      <c r="AH152" s="131">
        <f t="shared" si="199"/>
        <v>0</v>
      </c>
      <c r="AI152" s="131">
        <f t="shared" si="200"/>
        <v>0</v>
      </c>
      <c r="AJ152" s="131">
        <f t="shared" si="201"/>
        <v>0</v>
      </c>
      <c r="AK152" s="131"/>
      <c r="AL152" s="131">
        <f t="shared" si="202"/>
        <v>0</v>
      </c>
      <c r="AM152" s="131"/>
      <c r="AN152" s="243">
        <f t="shared" si="203"/>
        <v>0</v>
      </c>
      <c r="AO152" s="131">
        <f t="shared" si="204"/>
        <v>0</v>
      </c>
      <c r="AP152" s="131">
        <f t="shared" si="205"/>
        <v>0</v>
      </c>
      <c r="AQ152" s="131"/>
      <c r="AR152" s="131">
        <f t="shared" si="206"/>
        <v>0</v>
      </c>
      <c r="AS152" s="131">
        <f t="shared" si="252"/>
        <v>0</v>
      </c>
      <c r="AT152" s="131">
        <f t="shared" si="207"/>
        <v>0</v>
      </c>
      <c r="AU152" s="131">
        <f t="shared" si="208"/>
        <v>0</v>
      </c>
      <c r="AV152" s="131"/>
      <c r="AW152" s="131">
        <f t="shared" si="209"/>
        <v>353.75</v>
      </c>
      <c r="AX152" s="131">
        <f t="shared" si="263"/>
        <v>0</v>
      </c>
      <c r="AY152" s="131">
        <f t="shared" si="210"/>
        <v>0</v>
      </c>
      <c r="AZ152" s="131"/>
      <c r="BA152" s="131">
        <f t="shared" si="264"/>
        <v>0</v>
      </c>
      <c r="BB152" s="131"/>
      <c r="BC152" s="131"/>
      <c r="BD152" s="131">
        <f t="shared" si="211"/>
        <v>0</v>
      </c>
      <c r="BE152" s="131"/>
      <c r="BF152" s="131">
        <f t="shared" si="253"/>
        <v>0</v>
      </c>
      <c r="BG152" s="131">
        <f t="shared" si="254"/>
        <v>0</v>
      </c>
      <c r="BH152" s="131"/>
      <c r="BI152" s="131"/>
      <c r="BJ152" s="131"/>
      <c r="BK152" s="131">
        <f t="shared" si="255"/>
        <v>0</v>
      </c>
      <c r="BL152" s="131"/>
      <c r="BM152" s="131"/>
      <c r="BN152" s="131">
        <f t="shared" si="256"/>
        <v>0</v>
      </c>
      <c r="BO152" s="131"/>
      <c r="BP152" s="131">
        <f t="shared" si="257"/>
        <v>0</v>
      </c>
      <c r="BQ152" s="131"/>
      <c r="BR152" s="131"/>
      <c r="BS152" s="131"/>
      <c r="BT152" s="131"/>
      <c r="BU152" s="131"/>
      <c r="BV152" s="131">
        <f t="shared" si="258"/>
        <v>0</v>
      </c>
      <c r="BW152" s="131"/>
      <c r="BX152" s="131"/>
      <c r="BY152" s="131"/>
      <c r="BZ152" s="131">
        <f t="shared" si="259"/>
        <v>0</v>
      </c>
      <c r="CA152" s="131"/>
      <c r="CB152" s="136">
        <f t="shared" si="212"/>
        <v>165.08663357180151</v>
      </c>
      <c r="CC152" s="131">
        <f t="shared" si="213"/>
        <v>0</v>
      </c>
      <c r="CD152" s="136">
        <f t="shared" si="214"/>
        <v>0</v>
      </c>
      <c r="CE152" s="131">
        <f t="shared" si="262"/>
        <v>0</v>
      </c>
      <c r="CF152" s="136">
        <f t="shared" si="215"/>
        <v>0</v>
      </c>
      <c r="CG152" s="136"/>
      <c r="CH152" s="136">
        <f t="shared" si="261"/>
        <v>0</v>
      </c>
      <c r="CI152" s="131">
        <f t="shared" si="216"/>
        <v>0</v>
      </c>
      <c r="CJ152" s="131"/>
      <c r="CK152" s="136">
        <f t="shared" si="217"/>
        <v>0</v>
      </c>
      <c r="CL152" s="136">
        <f t="shared" si="218"/>
        <v>0</v>
      </c>
      <c r="CM152" s="131">
        <f t="shared" si="219"/>
        <v>0</v>
      </c>
      <c r="CN152" s="136">
        <f t="shared" si="220"/>
        <v>0</v>
      </c>
      <c r="CO152" s="136">
        <f t="shared" si="221"/>
        <v>0</v>
      </c>
      <c r="CP152" s="136">
        <f t="shared" si="222"/>
        <v>0</v>
      </c>
      <c r="CQ152" s="136"/>
      <c r="CR152" s="136">
        <f t="shared" si="223"/>
        <v>0</v>
      </c>
      <c r="CS152" s="136"/>
      <c r="CT152" s="136"/>
      <c r="CU152" s="136"/>
      <c r="CV152" s="136"/>
      <c r="CW152" s="136"/>
      <c r="CX152" s="136"/>
      <c r="CY152" s="136"/>
      <c r="CZ152" s="136">
        <f t="shared" si="224"/>
        <v>0</v>
      </c>
      <c r="DA152" s="136">
        <f t="shared" si="225"/>
        <v>0</v>
      </c>
      <c r="DB152" s="136">
        <f t="shared" si="226"/>
        <v>0</v>
      </c>
      <c r="DC152" s="131">
        <f t="shared" si="185"/>
        <v>0</v>
      </c>
      <c r="DD152" s="131">
        <f t="shared" si="227"/>
        <v>0</v>
      </c>
      <c r="DE152" s="131">
        <f t="shared" si="228"/>
        <v>0</v>
      </c>
      <c r="DF152" s="131">
        <f t="shared" si="229"/>
        <v>0</v>
      </c>
      <c r="DG152" s="131">
        <f t="shared" si="230"/>
        <v>0</v>
      </c>
      <c r="DH152" s="131"/>
      <c r="DI152" s="131"/>
      <c r="DJ152" s="131"/>
      <c r="DK152" s="137">
        <f t="shared" si="260"/>
        <v>3791.5811116017489</v>
      </c>
      <c r="DL152" s="227" t="e">
        <f t="shared" si="231"/>
        <v>#REF!</v>
      </c>
      <c r="DM152" s="227" t="e">
        <f t="shared" si="232"/>
        <v>#REF!</v>
      </c>
      <c r="DN152" s="228" t="e">
        <f t="shared" si="186"/>
        <v>#REF!</v>
      </c>
      <c r="DO152" s="228">
        <f t="shared" si="233"/>
        <v>181.81087083894022</v>
      </c>
      <c r="DP152" s="228" t="e">
        <f t="shared" si="234"/>
        <v>#REF!</v>
      </c>
      <c r="DQ152" s="228" t="e">
        <f t="shared" si="235"/>
        <v>#REF!</v>
      </c>
    </row>
    <row r="153" spans="1:121">
      <c r="A153" s="132">
        <f t="shared" si="187"/>
        <v>143</v>
      </c>
      <c r="B153" s="18">
        <f t="shared" si="236"/>
        <v>143</v>
      </c>
      <c r="C153" s="18">
        <f>IF(A153=0," ",VLOOKUP(B153,'tosafot '!$A$7:$B$234,2,0))</f>
        <v>11.2019</v>
      </c>
      <c r="D153" s="220">
        <f t="shared" si="237"/>
        <v>228</v>
      </c>
      <c r="E153" s="130">
        <f t="shared" si="238"/>
        <v>12.2026</v>
      </c>
      <c r="F153" s="126">
        <f t="shared" si="239"/>
        <v>9</v>
      </c>
      <c r="G153" s="18" t="str">
        <f t="shared" si="240"/>
        <v>הבריאות</v>
      </c>
      <c r="H153" s="189">
        <f t="shared" si="241"/>
        <v>107</v>
      </c>
      <c r="I153" s="18">
        <f t="shared" si="242"/>
        <v>1</v>
      </c>
      <c r="J153" s="18" t="str">
        <f t="shared" si="243"/>
        <v>מינהלי - עובדי מדינה</v>
      </c>
      <c r="K153" s="189">
        <f t="shared" si="244"/>
        <v>1</v>
      </c>
      <c r="L153" s="18">
        <f t="shared" si="245"/>
        <v>12</v>
      </c>
      <c r="M153" s="129" t="str">
        <f t="shared" si="246"/>
        <v>17+</v>
      </c>
      <c r="N153" s="189"/>
      <c r="O153" s="132">
        <f t="shared" si="247"/>
        <v>1012</v>
      </c>
      <c r="P153" s="127">
        <f t="shared" si="248"/>
        <v>37</v>
      </c>
      <c r="Q153" s="127">
        <f t="shared" si="249"/>
        <v>22.75</v>
      </c>
      <c r="R153" s="128">
        <f t="shared" si="250"/>
        <v>92</v>
      </c>
      <c r="S153" s="130">
        <f t="shared" si="251"/>
        <v>1.2540512286990533</v>
      </c>
      <c r="T153" s="135">
        <f t="shared" si="188"/>
        <v>0</v>
      </c>
      <c r="U153" s="127">
        <f t="shared" si="189"/>
        <v>0</v>
      </c>
      <c r="V153" s="217">
        <v>0</v>
      </c>
      <c r="W153" s="191">
        <v>0</v>
      </c>
      <c r="X153" s="133">
        <v>0</v>
      </c>
      <c r="Y153" s="131">
        <f t="shared" si="190"/>
        <v>2438.5</v>
      </c>
      <c r="Z153" s="131">
        <f t="shared" si="191"/>
        <v>619.50392118264142</v>
      </c>
      <c r="AA153" s="242">
        <f t="shared" si="192"/>
        <v>3058.0039211826415</v>
      </c>
      <c r="AB153" s="131">
        <f t="shared" si="193"/>
        <v>0</v>
      </c>
      <c r="AC153" s="131">
        <f t="shared" si="194"/>
        <v>139.48055684730568</v>
      </c>
      <c r="AD153" s="131">
        <f t="shared" si="195"/>
        <v>0</v>
      </c>
      <c r="AE153" s="131">
        <f t="shared" si="196"/>
        <v>0</v>
      </c>
      <c r="AF153" s="131">
        <f t="shared" si="197"/>
        <v>75.260000000000005</v>
      </c>
      <c r="AG153" s="131">
        <f t="shared" si="198"/>
        <v>0</v>
      </c>
      <c r="AH153" s="131">
        <f t="shared" si="199"/>
        <v>0</v>
      </c>
      <c r="AI153" s="131">
        <f t="shared" si="200"/>
        <v>0</v>
      </c>
      <c r="AJ153" s="131">
        <f t="shared" si="201"/>
        <v>0</v>
      </c>
      <c r="AK153" s="131"/>
      <c r="AL153" s="131">
        <f t="shared" si="202"/>
        <v>0</v>
      </c>
      <c r="AM153" s="131"/>
      <c r="AN153" s="243">
        <f t="shared" si="203"/>
        <v>0</v>
      </c>
      <c r="AO153" s="131">
        <f t="shared" si="204"/>
        <v>0</v>
      </c>
      <c r="AP153" s="131">
        <f t="shared" si="205"/>
        <v>0</v>
      </c>
      <c r="AQ153" s="131"/>
      <c r="AR153" s="131">
        <f t="shared" si="206"/>
        <v>0</v>
      </c>
      <c r="AS153" s="131">
        <f t="shared" si="252"/>
        <v>0</v>
      </c>
      <c r="AT153" s="131">
        <f t="shared" si="207"/>
        <v>0</v>
      </c>
      <c r="AU153" s="131">
        <f t="shared" si="208"/>
        <v>0</v>
      </c>
      <c r="AV153" s="131"/>
      <c r="AW153" s="131">
        <f t="shared" si="209"/>
        <v>353.75</v>
      </c>
      <c r="AX153" s="131">
        <f t="shared" si="263"/>
        <v>0</v>
      </c>
      <c r="AY153" s="131">
        <f t="shared" si="210"/>
        <v>0</v>
      </c>
      <c r="AZ153" s="131"/>
      <c r="BA153" s="131">
        <f t="shared" si="264"/>
        <v>0</v>
      </c>
      <c r="BB153" s="131"/>
      <c r="BC153" s="131"/>
      <c r="BD153" s="131">
        <f t="shared" si="211"/>
        <v>0</v>
      </c>
      <c r="BE153" s="131"/>
      <c r="BF153" s="131">
        <f t="shared" si="253"/>
        <v>0</v>
      </c>
      <c r="BG153" s="131">
        <f t="shared" si="254"/>
        <v>0</v>
      </c>
      <c r="BH153" s="131"/>
      <c r="BI153" s="131"/>
      <c r="BJ153" s="131"/>
      <c r="BK153" s="131">
        <f t="shared" si="255"/>
        <v>0</v>
      </c>
      <c r="BL153" s="131"/>
      <c r="BM153" s="131"/>
      <c r="BN153" s="131">
        <f t="shared" si="256"/>
        <v>0</v>
      </c>
      <c r="BO153" s="131"/>
      <c r="BP153" s="131">
        <f t="shared" si="257"/>
        <v>0</v>
      </c>
      <c r="BQ153" s="131"/>
      <c r="BR153" s="131"/>
      <c r="BS153" s="131"/>
      <c r="BT153" s="131"/>
      <c r="BU153" s="131"/>
      <c r="BV153" s="131">
        <f t="shared" si="258"/>
        <v>0</v>
      </c>
      <c r="BW153" s="131"/>
      <c r="BX153" s="131"/>
      <c r="BY153" s="131"/>
      <c r="BZ153" s="131">
        <f t="shared" si="259"/>
        <v>0</v>
      </c>
      <c r="CA153" s="131"/>
      <c r="CB153" s="136">
        <f t="shared" si="212"/>
        <v>165.08663357180151</v>
      </c>
      <c r="CC153" s="131">
        <f t="shared" si="213"/>
        <v>0</v>
      </c>
      <c r="CD153" s="136">
        <f t="shared" si="214"/>
        <v>0</v>
      </c>
      <c r="CE153" s="131">
        <f t="shared" si="262"/>
        <v>0</v>
      </c>
      <c r="CF153" s="136">
        <f t="shared" si="215"/>
        <v>0</v>
      </c>
      <c r="CG153" s="136"/>
      <c r="CH153" s="136">
        <f t="shared" si="261"/>
        <v>0</v>
      </c>
      <c r="CI153" s="131">
        <f t="shared" si="216"/>
        <v>0</v>
      </c>
      <c r="CJ153" s="131"/>
      <c r="CK153" s="136">
        <f t="shared" si="217"/>
        <v>0</v>
      </c>
      <c r="CL153" s="136">
        <f t="shared" si="218"/>
        <v>0</v>
      </c>
      <c r="CM153" s="131">
        <f t="shared" si="219"/>
        <v>0</v>
      </c>
      <c r="CN153" s="136">
        <f t="shared" si="220"/>
        <v>0</v>
      </c>
      <c r="CO153" s="136">
        <f t="shared" si="221"/>
        <v>0</v>
      </c>
      <c r="CP153" s="136">
        <f t="shared" si="222"/>
        <v>0</v>
      </c>
      <c r="CQ153" s="136"/>
      <c r="CR153" s="136">
        <f t="shared" si="223"/>
        <v>0</v>
      </c>
      <c r="CS153" s="136"/>
      <c r="CT153" s="136"/>
      <c r="CU153" s="136"/>
      <c r="CV153" s="136"/>
      <c r="CW153" s="136"/>
      <c r="CX153" s="136"/>
      <c r="CY153" s="136"/>
      <c r="CZ153" s="136">
        <f t="shared" si="224"/>
        <v>0</v>
      </c>
      <c r="DA153" s="136">
        <f t="shared" si="225"/>
        <v>0</v>
      </c>
      <c r="DB153" s="136">
        <f t="shared" si="226"/>
        <v>0</v>
      </c>
      <c r="DC153" s="131">
        <f t="shared" si="185"/>
        <v>0</v>
      </c>
      <c r="DD153" s="131">
        <f t="shared" si="227"/>
        <v>0</v>
      </c>
      <c r="DE153" s="131">
        <f t="shared" si="228"/>
        <v>0</v>
      </c>
      <c r="DF153" s="131">
        <f t="shared" si="229"/>
        <v>0</v>
      </c>
      <c r="DG153" s="131">
        <f t="shared" si="230"/>
        <v>0</v>
      </c>
      <c r="DH153" s="131"/>
      <c r="DI153" s="131"/>
      <c r="DJ153" s="131"/>
      <c r="DK153" s="137">
        <f t="shared" si="260"/>
        <v>3791.5811116017489</v>
      </c>
      <c r="DL153" s="227" t="e">
        <f t="shared" si="231"/>
        <v>#REF!</v>
      </c>
      <c r="DM153" s="227" t="e">
        <f t="shared" si="232"/>
        <v>#REF!</v>
      </c>
      <c r="DN153" s="228" t="e">
        <f t="shared" si="186"/>
        <v>#REF!</v>
      </c>
      <c r="DO153" s="228">
        <f t="shared" si="233"/>
        <v>181.81087083894022</v>
      </c>
      <c r="DP153" s="228" t="e">
        <f t="shared" si="234"/>
        <v>#REF!</v>
      </c>
      <c r="DQ153" s="228" t="e">
        <f t="shared" si="235"/>
        <v>#REF!</v>
      </c>
    </row>
    <row r="154" spans="1:121">
      <c r="A154" s="132">
        <f t="shared" si="187"/>
        <v>144</v>
      </c>
      <c r="B154" s="18">
        <f t="shared" si="236"/>
        <v>144</v>
      </c>
      <c r="C154" s="18">
        <f>IF(A154=0," ",VLOOKUP(B154,'tosafot '!$A$7:$B$234,2,0))</f>
        <v>12.2019</v>
      </c>
      <c r="D154" s="220">
        <f t="shared" si="237"/>
        <v>228</v>
      </c>
      <c r="E154" s="130">
        <f t="shared" si="238"/>
        <v>12.2026</v>
      </c>
      <c r="F154" s="126">
        <f t="shared" si="239"/>
        <v>9</v>
      </c>
      <c r="G154" s="18" t="str">
        <f t="shared" si="240"/>
        <v>הבריאות</v>
      </c>
      <c r="H154" s="189">
        <f t="shared" si="241"/>
        <v>107</v>
      </c>
      <c r="I154" s="18">
        <f t="shared" si="242"/>
        <v>1</v>
      </c>
      <c r="J154" s="18" t="str">
        <f t="shared" si="243"/>
        <v>מינהלי - עובדי מדינה</v>
      </c>
      <c r="K154" s="189">
        <f t="shared" si="244"/>
        <v>1</v>
      </c>
      <c r="L154" s="18">
        <f t="shared" si="245"/>
        <v>12</v>
      </c>
      <c r="M154" s="129" t="str">
        <f t="shared" si="246"/>
        <v>17+</v>
      </c>
      <c r="N154" s="189"/>
      <c r="O154" s="132">
        <f t="shared" si="247"/>
        <v>1012</v>
      </c>
      <c r="P154" s="127">
        <f t="shared" si="248"/>
        <v>37</v>
      </c>
      <c r="Q154" s="127">
        <f t="shared" si="249"/>
        <v>22.75</v>
      </c>
      <c r="R154" s="128">
        <f t="shared" si="250"/>
        <v>92</v>
      </c>
      <c r="S154" s="130">
        <f t="shared" si="251"/>
        <v>1.2540512286990533</v>
      </c>
      <c r="T154" s="135">
        <f t="shared" si="188"/>
        <v>0</v>
      </c>
      <c r="U154" s="127">
        <f t="shared" si="189"/>
        <v>0</v>
      </c>
      <c r="V154" s="217">
        <v>0</v>
      </c>
      <c r="W154" s="191">
        <v>0</v>
      </c>
      <c r="X154" s="133">
        <v>0</v>
      </c>
      <c r="Y154" s="131">
        <f t="shared" si="190"/>
        <v>2438.5</v>
      </c>
      <c r="Z154" s="131">
        <f t="shared" si="191"/>
        <v>619.50392118264142</v>
      </c>
      <c r="AA154" s="242">
        <f t="shared" si="192"/>
        <v>3058.0039211826415</v>
      </c>
      <c r="AB154" s="131">
        <f t="shared" si="193"/>
        <v>0</v>
      </c>
      <c r="AC154" s="131">
        <f t="shared" si="194"/>
        <v>139.48055684730568</v>
      </c>
      <c r="AD154" s="131">
        <f t="shared" si="195"/>
        <v>0</v>
      </c>
      <c r="AE154" s="131">
        <f t="shared" si="196"/>
        <v>0</v>
      </c>
      <c r="AF154" s="131">
        <f t="shared" si="197"/>
        <v>75.260000000000005</v>
      </c>
      <c r="AG154" s="131">
        <f t="shared" si="198"/>
        <v>0</v>
      </c>
      <c r="AH154" s="131">
        <f t="shared" si="199"/>
        <v>0</v>
      </c>
      <c r="AI154" s="131">
        <f t="shared" si="200"/>
        <v>0</v>
      </c>
      <c r="AJ154" s="131">
        <f t="shared" si="201"/>
        <v>0</v>
      </c>
      <c r="AK154" s="131"/>
      <c r="AL154" s="131">
        <f t="shared" si="202"/>
        <v>0</v>
      </c>
      <c r="AM154" s="131"/>
      <c r="AN154" s="243">
        <f t="shared" si="203"/>
        <v>0</v>
      </c>
      <c r="AO154" s="131">
        <f t="shared" si="204"/>
        <v>0</v>
      </c>
      <c r="AP154" s="131">
        <f t="shared" si="205"/>
        <v>0</v>
      </c>
      <c r="AQ154" s="131"/>
      <c r="AR154" s="131">
        <f t="shared" si="206"/>
        <v>0</v>
      </c>
      <c r="AS154" s="131">
        <f t="shared" si="252"/>
        <v>0</v>
      </c>
      <c r="AT154" s="131">
        <f t="shared" si="207"/>
        <v>0</v>
      </c>
      <c r="AU154" s="131">
        <f t="shared" si="208"/>
        <v>0</v>
      </c>
      <c r="AV154" s="131"/>
      <c r="AW154" s="131">
        <f t="shared" si="209"/>
        <v>353.75</v>
      </c>
      <c r="AX154" s="131">
        <f t="shared" si="263"/>
        <v>0</v>
      </c>
      <c r="AY154" s="131">
        <f t="shared" si="210"/>
        <v>0</v>
      </c>
      <c r="AZ154" s="131"/>
      <c r="BA154" s="131">
        <f t="shared" si="264"/>
        <v>0</v>
      </c>
      <c r="BB154" s="131"/>
      <c r="BC154" s="131"/>
      <c r="BD154" s="131">
        <f t="shared" si="211"/>
        <v>0</v>
      </c>
      <c r="BE154" s="131"/>
      <c r="BF154" s="131">
        <f t="shared" si="253"/>
        <v>0</v>
      </c>
      <c r="BG154" s="131">
        <f t="shared" si="254"/>
        <v>0</v>
      </c>
      <c r="BH154" s="131"/>
      <c r="BI154" s="131"/>
      <c r="BJ154" s="131"/>
      <c r="BK154" s="131">
        <f t="shared" si="255"/>
        <v>0</v>
      </c>
      <c r="BL154" s="131"/>
      <c r="BM154" s="131"/>
      <c r="BN154" s="131">
        <f t="shared" si="256"/>
        <v>0</v>
      </c>
      <c r="BO154" s="131"/>
      <c r="BP154" s="131">
        <f t="shared" si="257"/>
        <v>0</v>
      </c>
      <c r="BQ154" s="131"/>
      <c r="BR154" s="131"/>
      <c r="BS154" s="131"/>
      <c r="BT154" s="131"/>
      <c r="BU154" s="131"/>
      <c r="BV154" s="131">
        <f t="shared" si="258"/>
        <v>0</v>
      </c>
      <c r="BW154" s="131"/>
      <c r="BX154" s="131"/>
      <c r="BY154" s="131"/>
      <c r="BZ154" s="131">
        <f t="shared" si="259"/>
        <v>0</v>
      </c>
      <c r="CA154" s="131"/>
      <c r="CB154" s="136">
        <f t="shared" si="212"/>
        <v>165.08663357180151</v>
      </c>
      <c r="CC154" s="131">
        <f t="shared" si="213"/>
        <v>0</v>
      </c>
      <c r="CD154" s="136">
        <f t="shared" si="214"/>
        <v>0</v>
      </c>
      <c r="CE154" s="131">
        <f t="shared" si="262"/>
        <v>0</v>
      </c>
      <c r="CF154" s="136">
        <f t="shared" si="215"/>
        <v>0</v>
      </c>
      <c r="CG154" s="136"/>
      <c r="CH154" s="136">
        <f t="shared" si="261"/>
        <v>0</v>
      </c>
      <c r="CI154" s="131">
        <f t="shared" si="216"/>
        <v>0</v>
      </c>
      <c r="CJ154" s="131"/>
      <c r="CK154" s="136">
        <f t="shared" si="217"/>
        <v>0</v>
      </c>
      <c r="CL154" s="136">
        <f t="shared" si="218"/>
        <v>0</v>
      </c>
      <c r="CM154" s="131">
        <f t="shared" si="219"/>
        <v>0</v>
      </c>
      <c r="CN154" s="136">
        <f t="shared" si="220"/>
        <v>0</v>
      </c>
      <c r="CO154" s="136">
        <f t="shared" si="221"/>
        <v>0</v>
      </c>
      <c r="CP154" s="136">
        <f t="shared" si="222"/>
        <v>0</v>
      </c>
      <c r="CQ154" s="136"/>
      <c r="CR154" s="136">
        <f t="shared" si="223"/>
        <v>0</v>
      </c>
      <c r="CS154" s="136"/>
      <c r="CT154" s="136"/>
      <c r="CU154" s="136"/>
      <c r="CV154" s="136"/>
      <c r="CW154" s="136"/>
      <c r="CX154" s="136"/>
      <c r="CY154" s="136"/>
      <c r="CZ154" s="136">
        <f t="shared" si="224"/>
        <v>0</v>
      </c>
      <c r="DA154" s="136">
        <f t="shared" si="225"/>
        <v>0</v>
      </c>
      <c r="DB154" s="136">
        <f t="shared" si="226"/>
        <v>0</v>
      </c>
      <c r="DC154" s="131">
        <f t="shared" si="185"/>
        <v>0</v>
      </c>
      <c r="DD154" s="131">
        <f t="shared" si="227"/>
        <v>0</v>
      </c>
      <c r="DE154" s="131">
        <f t="shared" si="228"/>
        <v>0</v>
      </c>
      <c r="DF154" s="131">
        <f t="shared" si="229"/>
        <v>0</v>
      </c>
      <c r="DG154" s="131">
        <f t="shared" si="230"/>
        <v>0</v>
      </c>
      <c r="DH154" s="131"/>
      <c r="DI154" s="131"/>
      <c r="DJ154" s="131"/>
      <c r="DK154" s="137">
        <f t="shared" si="260"/>
        <v>3791.5811116017489</v>
      </c>
      <c r="DL154" s="227" t="e">
        <f t="shared" si="231"/>
        <v>#REF!</v>
      </c>
      <c r="DM154" s="227" t="e">
        <f t="shared" si="232"/>
        <v>#REF!</v>
      </c>
      <c r="DN154" s="228" t="e">
        <f t="shared" si="186"/>
        <v>#REF!</v>
      </c>
      <c r="DO154" s="228">
        <f t="shared" si="233"/>
        <v>181.81087083894022</v>
      </c>
      <c r="DP154" s="228" t="e">
        <f t="shared" si="234"/>
        <v>#REF!</v>
      </c>
      <c r="DQ154" s="228" t="e">
        <f t="shared" si="235"/>
        <v>#REF!</v>
      </c>
    </row>
    <row r="155" spans="1:121">
      <c r="A155" s="132">
        <f t="shared" si="187"/>
        <v>145</v>
      </c>
      <c r="B155" s="18">
        <f t="shared" si="236"/>
        <v>145</v>
      </c>
      <c r="C155" s="18">
        <f>IF(A155=0," ",VLOOKUP(B155,'tosafot '!$A$7:$B$234,2,0))</f>
        <v>1.202</v>
      </c>
      <c r="D155" s="220">
        <f t="shared" si="237"/>
        <v>228</v>
      </c>
      <c r="E155" s="130">
        <f t="shared" si="238"/>
        <v>12.2026</v>
      </c>
      <c r="F155" s="126">
        <f t="shared" si="239"/>
        <v>9</v>
      </c>
      <c r="G155" s="18" t="str">
        <f t="shared" si="240"/>
        <v>הבריאות</v>
      </c>
      <c r="H155" s="189">
        <f t="shared" si="241"/>
        <v>107</v>
      </c>
      <c r="I155" s="18">
        <f t="shared" si="242"/>
        <v>1</v>
      </c>
      <c r="J155" s="18" t="str">
        <f t="shared" si="243"/>
        <v>מינהלי - עובדי מדינה</v>
      </c>
      <c r="K155" s="189">
        <f t="shared" si="244"/>
        <v>1</v>
      </c>
      <c r="L155" s="18">
        <f t="shared" si="245"/>
        <v>12</v>
      </c>
      <c r="M155" s="129" t="str">
        <f t="shared" si="246"/>
        <v>17+</v>
      </c>
      <c r="N155" s="189"/>
      <c r="O155" s="132">
        <f t="shared" si="247"/>
        <v>1012</v>
      </c>
      <c r="P155" s="127">
        <f t="shared" si="248"/>
        <v>37</v>
      </c>
      <c r="Q155" s="127">
        <f t="shared" si="249"/>
        <v>22.75</v>
      </c>
      <c r="R155" s="128">
        <f t="shared" si="250"/>
        <v>92</v>
      </c>
      <c r="S155" s="130">
        <f t="shared" si="251"/>
        <v>1.2540512286990533</v>
      </c>
      <c r="T155" s="135">
        <f t="shared" si="188"/>
        <v>0</v>
      </c>
      <c r="U155" s="127">
        <f t="shared" si="189"/>
        <v>0</v>
      </c>
      <c r="V155" s="217">
        <v>0</v>
      </c>
      <c r="W155" s="191">
        <v>0</v>
      </c>
      <c r="X155" s="133">
        <v>0</v>
      </c>
      <c r="Y155" s="131">
        <f t="shared" si="190"/>
        <v>2438.5</v>
      </c>
      <c r="Z155" s="131">
        <f t="shared" si="191"/>
        <v>619.50392118264142</v>
      </c>
      <c r="AA155" s="242">
        <f t="shared" si="192"/>
        <v>3058.0039211826415</v>
      </c>
      <c r="AB155" s="131">
        <f t="shared" si="193"/>
        <v>0</v>
      </c>
      <c r="AC155" s="131">
        <f t="shared" si="194"/>
        <v>139.48055684730568</v>
      </c>
      <c r="AD155" s="131">
        <f t="shared" si="195"/>
        <v>0</v>
      </c>
      <c r="AE155" s="131">
        <f t="shared" si="196"/>
        <v>0</v>
      </c>
      <c r="AF155" s="131">
        <f t="shared" si="197"/>
        <v>75.260000000000005</v>
      </c>
      <c r="AG155" s="131">
        <f t="shared" si="198"/>
        <v>0</v>
      </c>
      <c r="AH155" s="131">
        <f t="shared" si="199"/>
        <v>0</v>
      </c>
      <c r="AI155" s="131">
        <f t="shared" si="200"/>
        <v>0</v>
      </c>
      <c r="AJ155" s="131">
        <f t="shared" si="201"/>
        <v>0</v>
      </c>
      <c r="AK155" s="131"/>
      <c r="AL155" s="131">
        <f t="shared" si="202"/>
        <v>0</v>
      </c>
      <c r="AM155" s="131"/>
      <c r="AN155" s="243">
        <f t="shared" si="203"/>
        <v>0</v>
      </c>
      <c r="AO155" s="131">
        <f t="shared" si="204"/>
        <v>0</v>
      </c>
      <c r="AP155" s="131">
        <f t="shared" si="205"/>
        <v>0</v>
      </c>
      <c r="AQ155" s="131"/>
      <c r="AR155" s="131">
        <f t="shared" si="206"/>
        <v>0</v>
      </c>
      <c r="AS155" s="131">
        <f t="shared" si="252"/>
        <v>0</v>
      </c>
      <c r="AT155" s="131">
        <f t="shared" si="207"/>
        <v>0</v>
      </c>
      <c r="AU155" s="131">
        <f t="shared" si="208"/>
        <v>0</v>
      </c>
      <c r="AV155" s="131"/>
      <c r="AW155" s="131">
        <f t="shared" si="209"/>
        <v>353.75</v>
      </c>
      <c r="AX155" s="131">
        <f t="shared" si="263"/>
        <v>0</v>
      </c>
      <c r="AY155" s="131">
        <f t="shared" si="210"/>
        <v>0</v>
      </c>
      <c r="AZ155" s="131"/>
      <c r="BA155" s="131">
        <f t="shared" si="264"/>
        <v>0</v>
      </c>
      <c r="BB155" s="131"/>
      <c r="BC155" s="131"/>
      <c r="BD155" s="131">
        <f t="shared" si="211"/>
        <v>0</v>
      </c>
      <c r="BE155" s="131"/>
      <c r="BF155" s="131">
        <f t="shared" si="253"/>
        <v>0</v>
      </c>
      <c r="BG155" s="131">
        <f t="shared" si="254"/>
        <v>0</v>
      </c>
      <c r="BH155" s="131"/>
      <c r="BI155" s="131"/>
      <c r="BJ155" s="131"/>
      <c r="BK155" s="131">
        <f t="shared" si="255"/>
        <v>0</v>
      </c>
      <c r="BL155" s="131"/>
      <c r="BM155" s="131"/>
      <c r="BN155" s="131">
        <f t="shared" si="256"/>
        <v>0</v>
      </c>
      <c r="BO155" s="131"/>
      <c r="BP155" s="131">
        <f t="shared" si="257"/>
        <v>0</v>
      </c>
      <c r="BQ155" s="131"/>
      <c r="BR155" s="131"/>
      <c r="BS155" s="131"/>
      <c r="BT155" s="131"/>
      <c r="BU155" s="131"/>
      <c r="BV155" s="131">
        <f t="shared" si="258"/>
        <v>0</v>
      </c>
      <c r="BW155" s="131"/>
      <c r="BX155" s="131"/>
      <c r="BY155" s="131"/>
      <c r="BZ155" s="131">
        <f t="shared" si="259"/>
        <v>0</v>
      </c>
      <c r="CA155" s="131"/>
      <c r="CB155" s="136">
        <f t="shared" si="212"/>
        <v>165.08663357180151</v>
      </c>
      <c r="CC155" s="131">
        <f t="shared" si="213"/>
        <v>0</v>
      </c>
      <c r="CD155" s="136">
        <f t="shared" si="214"/>
        <v>0</v>
      </c>
      <c r="CE155" s="131">
        <f t="shared" si="262"/>
        <v>0</v>
      </c>
      <c r="CF155" s="136">
        <f t="shared" si="215"/>
        <v>0</v>
      </c>
      <c r="CG155" s="136"/>
      <c r="CH155" s="136">
        <f t="shared" si="261"/>
        <v>0</v>
      </c>
      <c r="CI155" s="131">
        <f t="shared" si="216"/>
        <v>0</v>
      </c>
      <c r="CJ155" s="131"/>
      <c r="CK155" s="136">
        <f t="shared" si="217"/>
        <v>0</v>
      </c>
      <c r="CL155" s="136">
        <f t="shared" si="218"/>
        <v>0</v>
      </c>
      <c r="CM155" s="131">
        <f t="shared" si="219"/>
        <v>0</v>
      </c>
      <c r="CN155" s="136">
        <f t="shared" si="220"/>
        <v>0</v>
      </c>
      <c r="CO155" s="136">
        <f t="shared" si="221"/>
        <v>0</v>
      </c>
      <c r="CP155" s="136">
        <f t="shared" si="222"/>
        <v>0</v>
      </c>
      <c r="CQ155" s="136"/>
      <c r="CR155" s="136">
        <f t="shared" si="223"/>
        <v>0</v>
      </c>
      <c r="CS155" s="136"/>
      <c r="CT155" s="136"/>
      <c r="CU155" s="136"/>
      <c r="CV155" s="136"/>
      <c r="CW155" s="136"/>
      <c r="CX155" s="136"/>
      <c r="CY155" s="136"/>
      <c r="CZ155" s="136">
        <f t="shared" si="224"/>
        <v>0</v>
      </c>
      <c r="DA155" s="136">
        <f t="shared" si="225"/>
        <v>0</v>
      </c>
      <c r="DB155" s="136">
        <f t="shared" si="226"/>
        <v>0</v>
      </c>
      <c r="DC155" s="131">
        <f t="shared" si="185"/>
        <v>0</v>
      </c>
      <c r="DD155" s="131">
        <f t="shared" si="227"/>
        <v>0</v>
      </c>
      <c r="DE155" s="131">
        <f t="shared" si="228"/>
        <v>0</v>
      </c>
      <c r="DF155" s="131">
        <f t="shared" si="229"/>
        <v>0</v>
      </c>
      <c r="DG155" s="131">
        <f t="shared" si="230"/>
        <v>0</v>
      </c>
      <c r="DH155" s="131"/>
      <c r="DI155" s="131"/>
      <c r="DJ155" s="131"/>
      <c r="DK155" s="137">
        <f t="shared" si="260"/>
        <v>3791.5811116017489</v>
      </c>
      <c r="DL155" s="227" t="e">
        <f t="shared" si="231"/>
        <v>#REF!</v>
      </c>
      <c r="DM155" s="227" t="e">
        <f t="shared" si="232"/>
        <v>#REF!</v>
      </c>
      <c r="DN155" s="228" t="e">
        <f t="shared" si="186"/>
        <v>#REF!</v>
      </c>
      <c r="DO155" s="228">
        <f t="shared" si="233"/>
        <v>181.81087083894022</v>
      </c>
      <c r="DP155" s="228" t="e">
        <f t="shared" si="234"/>
        <v>#REF!</v>
      </c>
      <c r="DQ155" s="228" t="e">
        <f t="shared" si="235"/>
        <v>#REF!</v>
      </c>
    </row>
    <row r="156" spans="1:121">
      <c r="A156" s="132">
        <f t="shared" si="187"/>
        <v>146</v>
      </c>
      <c r="B156" s="18">
        <f t="shared" si="236"/>
        <v>146</v>
      </c>
      <c r="C156" s="18">
        <f>IF(A156=0," ",VLOOKUP(B156,'tosafot '!$A$7:$B$234,2,0))</f>
        <v>2.202</v>
      </c>
      <c r="D156" s="220">
        <f t="shared" si="237"/>
        <v>228</v>
      </c>
      <c r="E156" s="130">
        <f t="shared" si="238"/>
        <v>12.2026</v>
      </c>
      <c r="F156" s="126">
        <f t="shared" si="239"/>
        <v>9</v>
      </c>
      <c r="G156" s="18" t="str">
        <f t="shared" si="240"/>
        <v>הבריאות</v>
      </c>
      <c r="H156" s="189">
        <f t="shared" si="241"/>
        <v>107</v>
      </c>
      <c r="I156" s="18">
        <f t="shared" si="242"/>
        <v>1</v>
      </c>
      <c r="J156" s="18" t="str">
        <f t="shared" si="243"/>
        <v>מינהלי - עובדי מדינה</v>
      </c>
      <c r="K156" s="189">
        <f t="shared" si="244"/>
        <v>1</v>
      </c>
      <c r="L156" s="18">
        <f t="shared" si="245"/>
        <v>12</v>
      </c>
      <c r="M156" s="129" t="str">
        <f t="shared" si="246"/>
        <v>17+</v>
      </c>
      <c r="N156" s="189"/>
      <c r="O156" s="132">
        <f t="shared" si="247"/>
        <v>1012</v>
      </c>
      <c r="P156" s="127">
        <f t="shared" si="248"/>
        <v>37</v>
      </c>
      <c r="Q156" s="127">
        <f t="shared" si="249"/>
        <v>22.75</v>
      </c>
      <c r="R156" s="128">
        <f t="shared" si="250"/>
        <v>92</v>
      </c>
      <c r="S156" s="130">
        <f t="shared" si="251"/>
        <v>1.2540512286990533</v>
      </c>
      <c r="T156" s="135">
        <f t="shared" si="188"/>
        <v>0</v>
      </c>
      <c r="U156" s="127">
        <f t="shared" si="189"/>
        <v>0</v>
      </c>
      <c r="V156" s="217">
        <v>0</v>
      </c>
      <c r="W156" s="191">
        <v>0</v>
      </c>
      <c r="X156" s="133">
        <v>0</v>
      </c>
      <c r="Y156" s="131">
        <f t="shared" si="190"/>
        <v>2438.5</v>
      </c>
      <c r="Z156" s="131">
        <f t="shared" si="191"/>
        <v>619.50392118264142</v>
      </c>
      <c r="AA156" s="242">
        <f t="shared" si="192"/>
        <v>3058.0039211826415</v>
      </c>
      <c r="AB156" s="131">
        <f t="shared" si="193"/>
        <v>0</v>
      </c>
      <c r="AC156" s="131">
        <f t="shared" si="194"/>
        <v>139.48055684730568</v>
      </c>
      <c r="AD156" s="131">
        <f t="shared" si="195"/>
        <v>0</v>
      </c>
      <c r="AE156" s="131">
        <f t="shared" si="196"/>
        <v>0</v>
      </c>
      <c r="AF156" s="131">
        <f t="shared" si="197"/>
        <v>75.260000000000005</v>
      </c>
      <c r="AG156" s="131">
        <f t="shared" si="198"/>
        <v>0</v>
      </c>
      <c r="AH156" s="131">
        <f t="shared" si="199"/>
        <v>0</v>
      </c>
      <c r="AI156" s="131">
        <f t="shared" si="200"/>
        <v>0</v>
      </c>
      <c r="AJ156" s="131">
        <f t="shared" si="201"/>
        <v>0</v>
      </c>
      <c r="AK156" s="131"/>
      <c r="AL156" s="131">
        <f t="shared" si="202"/>
        <v>0</v>
      </c>
      <c r="AM156" s="131"/>
      <c r="AN156" s="243">
        <f t="shared" si="203"/>
        <v>0</v>
      </c>
      <c r="AO156" s="131">
        <f t="shared" si="204"/>
        <v>0</v>
      </c>
      <c r="AP156" s="131">
        <f t="shared" si="205"/>
        <v>0</v>
      </c>
      <c r="AQ156" s="131"/>
      <c r="AR156" s="131">
        <f t="shared" si="206"/>
        <v>0</v>
      </c>
      <c r="AS156" s="131">
        <f t="shared" si="252"/>
        <v>0</v>
      </c>
      <c r="AT156" s="131">
        <f t="shared" si="207"/>
        <v>0</v>
      </c>
      <c r="AU156" s="131">
        <f t="shared" si="208"/>
        <v>0</v>
      </c>
      <c r="AV156" s="131"/>
      <c r="AW156" s="131">
        <f t="shared" si="209"/>
        <v>353.75</v>
      </c>
      <c r="AX156" s="131">
        <f t="shared" si="263"/>
        <v>0</v>
      </c>
      <c r="AY156" s="131">
        <f t="shared" si="210"/>
        <v>0</v>
      </c>
      <c r="AZ156" s="131"/>
      <c r="BA156" s="131">
        <f t="shared" si="264"/>
        <v>0</v>
      </c>
      <c r="BB156" s="131"/>
      <c r="BC156" s="131"/>
      <c r="BD156" s="131">
        <f t="shared" si="211"/>
        <v>0</v>
      </c>
      <c r="BE156" s="131"/>
      <c r="BF156" s="131">
        <f t="shared" si="253"/>
        <v>0</v>
      </c>
      <c r="BG156" s="131">
        <f t="shared" si="254"/>
        <v>0</v>
      </c>
      <c r="BH156" s="131"/>
      <c r="BI156" s="131"/>
      <c r="BJ156" s="131"/>
      <c r="BK156" s="131">
        <f t="shared" si="255"/>
        <v>0</v>
      </c>
      <c r="BL156" s="131"/>
      <c r="BM156" s="131"/>
      <c r="BN156" s="131">
        <f t="shared" si="256"/>
        <v>0</v>
      </c>
      <c r="BO156" s="131"/>
      <c r="BP156" s="131">
        <f t="shared" si="257"/>
        <v>0</v>
      </c>
      <c r="BQ156" s="131"/>
      <c r="BR156" s="131"/>
      <c r="BS156" s="131"/>
      <c r="BT156" s="131"/>
      <c r="BU156" s="131"/>
      <c r="BV156" s="131">
        <f t="shared" si="258"/>
        <v>0</v>
      </c>
      <c r="BW156" s="131"/>
      <c r="BX156" s="131"/>
      <c r="BY156" s="131"/>
      <c r="BZ156" s="131">
        <f t="shared" si="259"/>
        <v>0</v>
      </c>
      <c r="CA156" s="131"/>
      <c r="CB156" s="136">
        <f t="shared" si="212"/>
        <v>165.08663357180151</v>
      </c>
      <c r="CC156" s="131">
        <f t="shared" si="213"/>
        <v>0</v>
      </c>
      <c r="CD156" s="136">
        <f t="shared" si="214"/>
        <v>0</v>
      </c>
      <c r="CE156" s="131">
        <f t="shared" si="262"/>
        <v>0</v>
      </c>
      <c r="CF156" s="136">
        <f t="shared" si="215"/>
        <v>0</v>
      </c>
      <c r="CG156" s="136"/>
      <c r="CH156" s="136">
        <f t="shared" si="261"/>
        <v>0</v>
      </c>
      <c r="CI156" s="131">
        <f t="shared" si="216"/>
        <v>0</v>
      </c>
      <c r="CJ156" s="131"/>
      <c r="CK156" s="136">
        <f t="shared" si="217"/>
        <v>0</v>
      </c>
      <c r="CL156" s="136">
        <f t="shared" si="218"/>
        <v>0</v>
      </c>
      <c r="CM156" s="131">
        <f t="shared" si="219"/>
        <v>0</v>
      </c>
      <c r="CN156" s="136">
        <f t="shared" si="220"/>
        <v>0</v>
      </c>
      <c r="CO156" s="136">
        <f t="shared" si="221"/>
        <v>0</v>
      </c>
      <c r="CP156" s="136">
        <f t="shared" si="222"/>
        <v>0</v>
      </c>
      <c r="CQ156" s="136"/>
      <c r="CR156" s="136">
        <f t="shared" si="223"/>
        <v>0</v>
      </c>
      <c r="CS156" s="136"/>
      <c r="CT156" s="136"/>
      <c r="CU156" s="136"/>
      <c r="CV156" s="136"/>
      <c r="CW156" s="136"/>
      <c r="CX156" s="136"/>
      <c r="CY156" s="136"/>
      <c r="CZ156" s="136">
        <f t="shared" si="224"/>
        <v>0</v>
      </c>
      <c r="DA156" s="136">
        <f t="shared" si="225"/>
        <v>0</v>
      </c>
      <c r="DB156" s="136">
        <f t="shared" si="226"/>
        <v>0</v>
      </c>
      <c r="DC156" s="131">
        <f t="shared" si="185"/>
        <v>0</v>
      </c>
      <c r="DD156" s="131">
        <f t="shared" si="227"/>
        <v>0</v>
      </c>
      <c r="DE156" s="131">
        <f t="shared" si="228"/>
        <v>0</v>
      </c>
      <c r="DF156" s="131">
        <f t="shared" si="229"/>
        <v>0</v>
      </c>
      <c r="DG156" s="131">
        <f t="shared" si="230"/>
        <v>0</v>
      </c>
      <c r="DH156" s="131"/>
      <c r="DI156" s="131"/>
      <c r="DJ156" s="131"/>
      <c r="DK156" s="137">
        <f t="shared" si="260"/>
        <v>3791.5811116017489</v>
      </c>
      <c r="DL156" s="227" t="e">
        <f t="shared" si="231"/>
        <v>#REF!</v>
      </c>
      <c r="DM156" s="227" t="e">
        <f t="shared" si="232"/>
        <v>#REF!</v>
      </c>
      <c r="DN156" s="228" t="e">
        <f t="shared" si="186"/>
        <v>#REF!</v>
      </c>
      <c r="DO156" s="228">
        <f t="shared" si="233"/>
        <v>181.81087083894022</v>
      </c>
      <c r="DP156" s="228" t="e">
        <f t="shared" si="234"/>
        <v>#REF!</v>
      </c>
      <c r="DQ156" s="228" t="e">
        <f t="shared" si="235"/>
        <v>#REF!</v>
      </c>
    </row>
    <row r="157" spans="1:121">
      <c r="A157" s="132">
        <f t="shared" si="187"/>
        <v>147</v>
      </c>
      <c r="B157" s="18">
        <f t="shared" si="236"/>
        <v>147</v>
      </c>
      <c r="C157" s="18">
        <f>IF(A157=0," ",VLOOKUP(B157,'tosafot '!$A$7:$B$234,2,0))</f>
        <v>3.202</v>
      </c>
      <c r="D157" s="220">
        <f t="shared" si="237"/>
        <v>228</v>
      </c>
      <c r="E157" s="130">
        <f t="shared" si="238"/>
        <v>12.2026</v>
      </c>
      <c r="F157" s="126">
        <f t="shared" si="239"/>
        <v>9</v>
      </c>
      <c r="G157" s="18" t="str">
        <f t="shared" si="240"/>
        <v>הבריאות</v>
      </c>
      <c r="H157" s="189">
        <f t="shared" si="241"/>
        <v>107</v>
      </c>
      <c r="I157" s="18">
        <f t="shared" si="242"/>
        <v>1</v>
      </c>
      <c r="J157" s="18" t="str">
        <f t="shared" si="243"/>
        <v>מינהלי - עובדי מדינה</v>
      </c>
      <c r="K157" s="189">
        <f t="shared" si="244"/>
        <v>1</v>
      </c>
      <c r="L157" s="18">
        <f t="shared" si="245"/>
        <v>12</v>
      </c>
      <c r="M157" s="129" t="str">
        <f t="shared" si="246"/>
        <v>17+</v>
      </c>
      <c r="N157" s="189"/>
      <c r="O157" s="132">
        <f t="shared" si="247"/>
        <v>1012</v>
      </c>
      <c r="P157" s="127">
        <f t="shared" si="248"/>
        <v>37</v>
      </c>
      <c r="Q157" s="127">
        <f t="shared" si="249"/>
        <v>22.75</v>
      </c>
      <c r="R157" s="128">
        <f t="shared" si="250"/>
        <v>92</v>
      </c>
      <c r="S157" s="130">
        <f t="shared" si="251"/>
        <v>1.2540512286990533</v>
      </c>
      <c r="T157" s="135">
        <f t="shared" si="188"/>
        <v>0</v>
      </c>
      <c r="U157" s="127">
        <f t="shared" si="189"/>
        <v>0</v>
      </c>
      <c r="V157" s="217">
        <v>0</v>
      </c>
      <c r="W157" s="191">
        <v>0</v>
      </c>
      <c r="X157" s="133">
        <v>0</v>
      </c>
      <c r="Y157" s="131">
        <f t="shared" si="190"/>
        <v>2438.5</v>
      </c>
      <c r="Z157" s="131">
        <f t="shared" si="191"/>
        <v>619.50392118264142</v>
      </c>
      <c r="AA157" s="242">
        <f t="shared" si="192"/>
        <v>3058.0039211826415</v>
      </c>
      <c r="AB157" s="131">
        <f t="shared" si="193"/>
        <v>0</v>
      </c>
      <c r="AC157" s="131">
        <f t="shared" si="194"/>
        <v>139.48055684730568</v>
      </c>
      <c r="AD157" s="131">
        <f t="shared" si="195"/>
        <v>0</v>
      </c>
      <c r="AE157" s="131">
        <f t="shared" si="196"/>
        <v>0</v>
      </c>
      <c r="AF157" s="131">
        <f t="shared" si="197"/>
        <v>75.260000000000005</v>
      </c>
      <c r="AG157" s="131">
        <f t="shared" si="198"/>
        <v>0</v>
      </c>
      <c r="AH157" s="131">
        <f t="shared" si="199"/>
        <v>0</v>
      </c>
      <c r="AI157" s="131">
        <f t="shared" si="200"/>
        <v>0</v>
      </c>
      <c r="AJ157" s="131">
        <f t="shared" si="201"/>
        <v>0</v>
      </c>
      <c r="AK157" s="131"/>
      <c r="AL157" s="131">
        <f t="shared" si="202"/>
        <v>0</v>
      </c>
      <c r="AM157" s="131"/>
      <c r="AN157" s="243">
        <f t="shared" si="203"/>
        <v>0</v>
      </c>
      <c r="AO157" s="131">
        <f t="shared" si="204"/>
        <v>0</v>
      </c>
      <c r="AP157" s="131">
        <f t="shared" si="205"/>
        <v>0</v>
      </c>
      <c r="AQ157" s="131"/>
      <c r="AR157" s="131">
        <f t="shared" si="206"/>
        <v>0</v>
      </c>
      <c r="AS157" s="131">
        <f t="shared" si="252"/>
        <v>0</v>
      </c>
      <c r="AT157" s="131">
        <f t="shared" si="207"/>
        <v>0</v>
      </c>
      <c r="AU157" s="131">
        <f t="shared" si="208"/>
        <v>0</v>
      </c>
      <c r="AV157" s="131"/>
      <c r="AW157" s="131">
        <f t="shared" si="209"/>
        <v>353.75</v>
      </c>
      <c r="AX157" s="131">
        <f t="shared" si="263"/>
        <v>0</v>
      </c>
      <c r="AY157" s="131">
        <f t="shared" si="210"/>
        <v>0</v>
      </c>
      <c r="AZ157" s="131"/>
      <c r="BA157" s="131">
        <f t="shared" si="264"/>
        <v>0</v>
      </c>
      <c r="BB157" s="131"/>
      <c r="BC157" s="131"/>
      <c r="BD157" s="131">
        <f t="shared" si="211"/>
        <v>0</v>
      </c>
      <c r="BE157" s="131"/>
      <c r="BF157" s="131">
        <f t="shared" si="253"/>
        <v>0</v>
      </c>
      <c r="BG157" s="131">
        <f t="shared" si="254"/>
        <v>0</v>
      </c>
      <c r="BH157" s="131"/>
      <c r="BI157" s="131"/>
      <c r="BJ157" s="131"/>
      <c r="BK157" s="131">
        <f t="shared" si="255"/>
        <v>0</v>
      </c>
      <c r="BL157" s="131"/>
      <c r="BM157" s="131"/>
      <c r="BN157" s="131">
        <f t="shared" si="256"/>
        <v>0</v>
      </c>
      <c r="BO157" s="131"/>
      <c r="BP157" s="131">
        <f t="shared" si="257"/>
        <v>0</v>
      </c>
      <c r="BQ157" s="131"/>
      <c r="BR157" s="131"/>
      <c r="BS157" s="131"/>
      <c r="BT157" s="131"/>
      <c r="BU157" s="131"/>
      <c r="BV157" s="131">
        <f t="shared" si="258"/>
        <v>0</v>
      </c>
      <c r="BW157" s="131"/>
      <c r="BX157" s="131"/>
      <c r="BY157" s="131"/>
      <c r="BZ157" s="131">
        <f t="shared" si="259"/>
        <v>0</v>
      </c>
      <c r="CA157" s="131"/>
      <c r="CB157" s="136">
        <f t="shared" si="212"/>
        <v>165.08663357180151</v>
      </c>
      <c r="CC157" s="131">
        <f t="shared" si="213"/>
        <v>0</v>
      </c>
      <c r="CD157" s="136">
        <f t="shared" si="214"/>
        <v>0</v>
      </c>
      <c r="CE157" s="131">
        <f t="shared" si="262"/>
        <v>0</v>
      </c>
      <c r="CF157" s="136">
        <f t="shared" si="215"/>
        <v>0</v>
      </c>
      <c r="CG157" s="136"/>
      <c r="CH157" s="136">
        <f t="shared" si="261"/>
        <v>0</v>
      </c>
      <c r="CI157" s="131">
        <f t="shared" si="216"/>
        <v>0</v>
      </c>
      <c r="CJ157" s="131"/>
      <c r="CK157" s="136">
        <f t="shared" si="217"/>
        <v>0</v>
      </c>
      <c r="CL157" s="136">
        <f t="shared" si="218"/>
        <v>0</v>
      </c>
      <c r="CM157" s="131">
        <f t="shared" si="219"/>
        <v>0</v>
      </c>
      <c r="CN157" s="136">
        <f t="shared" si="220"/>
        <v>0</v>
      </c>
      <c r="CO157" s="136">
        <f t="shared" si="221"/>
        <v>0</v>
      </c>
      <c r="CP157" s="136">
        <f t="shared" si="222"/>
        <v>0</v>
      </c>
      <c r="CQ157" s="136"/>
      <c r="CR157" s="136">
        <f t="shared" si="223"/>
        <v>0</v>
      </c>
      <c r="CS157" s="136"/>
      <c r="CT157" s="136"/>
      <c r="CU157" s="136"/>
      <c r="CV157" s="136"/>
      <c r="CW157" s="136"/>
      <c r="CX157" s="136"/>
      <c r="CY157" s="136"/>
      <c r="CZ157" s="136">
        <f t="shared" si="224"/>
        <v>0</v>
      </c>
      <c r="DA157" s="136">
        <f t="shared" si="225"/>
        <v>0</v>
      </c>
      <c r="DB157" s="136">
        <f t="shared" si="226"/>
        <v>0</v>
      </c>
      <c r="DC157" s="131">
        <f t="shared" si="185"/>
        <v>0</v>
      </c>
      <c r="DD157" s="131">
        <f t="shared" si="227"/>
        <v>0</v>
      </c>
      <c r="DE157" s="131">
        <f t="shared" si="228"/>
        <v>0</v>
      </c>
      <c r="DF157" s="131">
        <f t="shared" si="229"/>
        <v>0</v>
      </c>
      <c r="DG157" s="131">
        <f t="shared" si="230"/>
        <v>0</v>
      </c>
      <c r="DH157" s="131"/>
      <c r="DI157" s="131"/>
      <c r="DJ157" s="131"/>
      <c r="DK157" s="137">
        <f t="shared" si="260"/>
        <v>3791.5811116017489</v>
      </c>
      <c r="DL157" s="227" t="e">
        <f t="shared" si="231"/>
        <v>#REF!</v>
      </c>
      <c r="DM157" s="227" t="e">
        <f t="shared" si="232"/>
        <v>#REF!</v>
      </c>
      <c r="DN157" s="228" t="e">
        <f t="shared" si="186"/>
        <v>#REF!</v>
      </c>
      <c r="DO157" s="228">
        <f t="shared" si="233"/>
        <v>181.81087083894022</v>
      </c>
      <c r="DP157" s="228" t="e">
        <f t="shared" si="234"/>
        <v>#REF!</v>
      </c>
      <c r="DQ157" s="228" t="e">
        <f t="shared" si="235"/>
        <v>#REF!</v>
      </c>
    </row>
    <row r="158" spans="1:121">
      <c r="A158" s="132">
        <f t="shared" si="187"/>
        <v>148</v>
      </c>
      <c r="B158" s="18">
        <f t="shared" si="236"/>
        <v>148</v>
      </c>
      <c r="C158" s="18">
        <f>IF(A158=0," ",VLOOKUP(B158,'tosafot '!$A$7:$B$234,2,0))</f>
        <v>4.202</v>
      </c>
      <c r="D158" s="220">
        <f t="shared" si="237"/>
        <v>228</v>
      </c>
      <c r="E158" s="130">
        <f t="shared" si="238"/>
        <v>12.2026</v>
      </c>
      <c r="F158" s="126">
        <f t="shared" si="239"/>
        <v>9</v>
      </c>
      <c r="G158" s="18" t="str">
        <f t="shared" si="240"/>
        <v>הבריאות</v>
      </c>
      <c r="H158" s="189">
        <f t="shared" si="241"/>
        <v>107</v>
      </c>
      <c r="I158" s="18">
        <f t="shared" si="242"/>
        <v>1</v>
      </c>
      <c r="J158" s="18" t="str">
        <f t="shared" si="243"/>
        <v>מינהלי - עובדי מדינה</v>
      </c>
      <c r="K158" s="189">
        <f t="shared" si="244"/>
        <v>1</v>
      </c>
      <c r="L158" s="18">
        <f t="shared" si="245"/>
        <v>12</v>
      </c>
      <c r="M158" s="129" t="str">
        <f t="shared" si="246"/>
        <v>17+</v>
      </c>
      <c r="N158" s="189"/>
      <c r="O158" s="132">
        <f t="shared" si="247"/>
        <v>1012</v>
      </c>
      <c r="P158" s="127">
        <f t="shared" si="248"/>
        <v>37</v>
      </c>
      <c r="Q158" s="127">
        <f t="shared" si="249"/>
        <v>22.75</v>
      </c>
      <c r="R158" s="128">
        <f t="shared" si="250"/>
        <v>92</v>
      </c>
      <c r="S158" s="130">
        <f t="shared" si="251"/>
        <v>1.2540512286990533</v>
      </c>
      <c r="T158" s="135">
        <f t="shared" si="188"/>
        <v>0</v>
      </c>
      <c r="U158" s="127">
        <f t="shared" si="189"/>
        <v>0</v>
      </c>
      <c r="V158" s="217">
        <v>0</v>
      </c>
      <c r="W158" s="191">
        <v>0</v>
      </c>
      <c r="X158" s="133">
        <v>0</v>
      </c>
      <c r="Y158" s="131">
        <f t="shared" si="190"/>
        <v>2438.5</v>
      </c>
      <c r="Z158" s="131">
        <f t="shared" si="191"/>
        <v>619.50392118264142</v>
      </c>
      <c r="AA158" s="242">
        <f t="shared" si="192"/>
        <v>3058.0039211826415</v>
      </c>
      <c r="AB158" s="131">
        <f t="shared" si="193"/>
        <v>0</v>
      </c>
      <c r="AC158" s="131">
        <f t="shared" si="194"/>
        <v>139.48055684730568</v>
      </c>
      <c r="AD158" s="131">
        <f t="shared" si="195"/>
        <v>0</v>
      </c>
      <c r="AE158" s="131">
        <f t="shared" si="196"/>
        <v>0</v>
      </c>
      <c r="AF158" s="131">
        <f t="shared" si="197"/>
        <v>75.260000000000005</v>
      </c>
      <c r="AG158" s="131">
        <f t="shared" si="198"/>
        <v>0</v>
      </c>
      <c r="AH158" s="131">
        <f t="shared" si="199"/>
        <v>0</v>
      </c>
      <c r="AI158" s="131">
        <f t="shared" si="200"/>
        <v>0</v>
      </c>
      <c r="AJ158" s="131">
        <f t="shared" si="201"/>
        <v>0</v>
      </c>
      <c r="AK158" s="131"/>
      <c r="AL158" s="131">
        <f t="shared" si="202"/>
        <v>0</v>
      </c>
      <c r="AM158" s="131"/>
      <c r="AN158" s="243">
        <f t="shared" si="203"/>
        <v>0</v>
      </c>
      <c r="AO158" s="131">
        <f t="shared" si="204"/>
        <v>0</v>
      </c>
      <c r="AP158" s="131">
        <f t="shared" si="205"/>
        <v>0</v>
      </c>
      <c r="AQ158" s="131"/>
      <c r="AR158" s="131">
        <f t="shared" si="206"/>
        <v>0</v>
      </c>
      <c r="AS158" s="131">
        <f t="shared" si="252"/>
        <v>0</v>
      </c>
      <c r="AT158" s="131">
        <f t="shared" si="207"/>
        <v>0</v>
      </c>
      <c r="AU158" s="131">
        <f t="shared" si="208"/>
        <v>0</v>
      </c>
      <c r="AV158" s="131"/>
      <c r="AW158" s="131">
        <f t="shared" si="209"/>
        <v>353.75</v>
      </c>
      <c r="AX158" s="131">
        <f t="shared" si="263"/>
        <v>0</v>
      </c>
      <c r="AY158" s="131">
        <f t="shared" si="210"/>
        <v>0</v>
      </c>
      <c r="AZ158" s="131"/>
      <c r="BA158" s="131">
        <f t="shared" si="264"/>
        <v>0</v>
      </c>
      <c r="BB158" s="131"/>
      <c r="BC158" s="131"/>
      <c r="BD158" s="131">
        <f t="shared" si="211"/>
        <v>0</v>
      </c>
      <c r="BE158" s="131"/>
      <c r="BF158" s="131">
        <f t="shared" si="253"/>
        <v>0</v>
      </c>
      <c r="BG158" s="131">
        <f t="shared" si="254"/>
        <v>0</v>
      </c>
      <c r="BH158" s="131"/>
      <c r="BI158" s="131"/>
      <c r="BJ158" s="131"/>
      <c r="BK158" s="131">
        <f t="shared" si="255"/>
        <v>0</v>
      </c>
      <c r="BL158" s="131"/>
      <c r="BM158" s="131"/>
      <c r="BN158" s="131">
        <f t="shared" si="256"/>
        <v>0</v>
      </c>
      <c r="BO158" s="131"/>
      <c r="BP158" s="131">
        <f t="shared" si="257"/>
        <v>0</v>
      </c>
      <c r="BQ158" s="131"/>
      <c r="BR158" s="131"/>
      <c r="BS158" s="131"/>
      <c r="BT158" s="131"/>
      <c r="BU158" s="131"/>
      <c r="BV158" s="131">
        <f t="shared" si="258"/>
        <v>0</v>
      </c>
      <c r="BW158" s="131"/>
      <c r="BX158" s="131"/>
      <c r="BY158" s="131"/>
      <c r="BZ158" s="131">
        <f t="shared" si="259"/>
        <v>0</v>
      </c>
      <c r="CA158" s="131"/>
      <c r="CB158" s="136">
        <f t="shared" si="212"/>
        <v>165.08663357180151</v>
      </c>
      <c r="CC158" s="131">
        <f t="shared" si="213"/>
        <v>0</v>
      </c>
      <c r="CD158" s="136">
        <f t="shared" si="214"/>
        <v>0</v>
      </c>
      <c r="CE158" s="131">
        <f t="shared" si="262"/>
        <v>0</v>
      </c>
      <c r="CF158" s="136">
        <f t="shared" si="215"/>
        <v>0</v>
      </c>
      <c r="CG158" s="136"/>
      <c r="CH158" s="136">
        <f t="shared" si="261"/>
        <v>0</v>
      </c>
      <c r="CI158" s="131">
        <f t="shared" si="216"/>
        <v>0</v>
      </c>
      <c r="CJ158" s="131"/>
      <c r="CK158" s="136">
        <f t="shared" si="217"/>
        <v>0</v>
      </c>
      <c r="CL158" s="136">
        <f t="shared" si="218"/>
        <v>0</v>
      </c>
      <c r="CM158" s="131">
        <f t="shared" si="219"/>
        <v>0</v>
      </c>
      <c r="CN158" s="136">
        <f t="shared" si="220"/>
        <v>0</v>
      </c>
      <c r="CO158" s="136">
        <f t="shared" si="221"/>
        <v>0</v>
      </c>
      <c r="CP158" s="136">
        <f t="shared" si="222"/>
        <v>0</v>
      </c>
      <c r="CQ158" s="136"/>
      <c r="CR158" s="136">
        <f t="shared" si="223"/>
        <v>0</v>
      </c>
      <c r="CS158" s="136"/>
      <c r="CT158" s="136"/>
      <c r="CU158" s="136"/>
      <c r="CV158" s="136"/>
      <c r="CW158" s="136"/>
      <c r="CX158" s="136"/>
      <c r="CY158" s="136"/>
      <c r="CZ158" s="136">
        <f t="shared" si="224"/>
        <v>0</v>
      </c>
      <c r="DA158" s="136">
        <f t="shared" si="225"/>
        <v>0</v>
      </c>
      <c r="DB158" s="136">
        <f t="shared" si="226"/>
        <v>0</v>
      </c>
      <c r="DC158" s="131">
        <f t="shared" si="185"/>
        <v>0</v>
      </c>
      <c r="DD158" s="131">
        <f t="shared" si="227"/>
        <v>0</v>
      </c>
      <c r="DE158" s="131">
        <f t="shared" si="228"/>
        <v>0</v>
      </c>
      <c r="DF158" s="131">
        <f t="shared" si="229"/>
        <v>0</v>
      </c>
      <c r="DG158" s="131">
        <f t="shared" si="230"/>
        <v>0</v>
      </c>
      <c r="DH158" s="131"/>
      <c r="DI158" s="131"/>
      <c r="DJ158" s="131"/>
      <c r="DK158" s="137">
        <f t="shared" si="260"/>
        <v>3791.5811116017489</v>
      </c>
      <c r="DL158" s="227" t="e">
        <f t="shared" si="231"/>
        <v>#REF!</v>
      </c>
      <c r="DM158" s="227" t="e">
        <f t="shared" si="232"/>
        <v>#REF!</v>
      </c>
      <c r="DN158" s="228" t="e">
        <f t="shared" si="186"/>
        <v>#REF!</v>
      </c>
      <c r="DO158" s="228">
        <f t="shared" si="233"/>
        <v>181.81087083894022</v>
      </c>
      <c r="DP158" s="228" t="e">
        <f t="shared" si="234"/>
        <v>#REF!</v>
      </c>
      <c r="DQ158" s="228" t="e">
        <f t="shared" si="235"/>
        <v>#REF!</v>
      </c>
    </row>
    <row r="159" spans="1:121">
      <c r="A159" s="132">
        <f t="shared" si="187"/>
        <v>149</v>
      </c>
      <c r="B159" s="18">
        <f t="shared" si="236"/>
        <v>149</v>
      </c>
      <c r="C159" s="18">
        <f>IF(A159=0," ",VLOOKUP(B159,'tosafot '!$A$7:$B$234,2,0))</f>
        <v>5.202</v>
      </c>
      <c r="D159" s="220">
        <f t="shared" si="237"/>
        <v>228</v>
      </c>
      <c r="E159" s="130">
        <f t="shared" si="238"/>
        <v>12.2026</v>
      </c>
      <c r="F159" s="126">
        <f t="shared" si="239"/>
        <v>9</v>
      </c>
      <c r="G159" s="18" t="str">
        <f t="shared" si="240"/>
        <v>הבריאות</v>
      </c>
      <c r="H159" s="189">
        <f t="shared" si="241"/>
        <v>107</v>
      </c>
      <c r="I159" s="18">
        <f t="shared" si="242"/>
        <v>1</v>
      </c>
      <c r="J159" s="18" t="str">
        <f t="shared" si="243"/>
        <v>מינהלי - עובדי מדינה</v>
      </c>
      <c r="K159" s="189">
        <f t="shared" si="244"/>
        <v>1</v>
      </c>
      <c r="L159" s="18">
        <f t="shared" si="245"/>
        <v>12</v>
      </c>
      <c r="M159" s="129" t="str">
        <f t="shared" si="246"/>
        <v>17+</v>
      </c>
      <c r="N159" s="189"/>
      <c r="O159" s="132">
        <f t="shared" si="247"/>
        <v>1012</v>
      </c>
      <c r="P159" s="127">
        <f t="shared" si="248"/>
        <v>37</v>
      </c>
      <c r="Q159" s="127">
        <f t="shared" si="249"/>
        <v>22.75</v>
      </c>
      <c r="R159" s="128">
        <f t="shared" si="250"/>
        <v>92</v>
      </c>
      <c r="S159" s="130">
        <f t="shared" si="251"/>
        <v>1.2540512286990533</v>
      </c>
      <c r="T159" s="135">
        <f t="shared" si="188"/>
        <v>0</v>
      </c>
      <c r="U159" s="127">
        <f t="shared" si="189"/>
        <v>0</v>
      </c>
      <c r="V159" s="217">
        <v>0</v>
      </c>
      <c r="W159" s="191">
        <v>0</v>
      </c>
      <c r="X159" s="133">
        <v>0</v>
      </c>
      <c r="Y159" s="131">
        <f t="shared" si="190"/>
        <v>2438.5</v>
      </c>
      <c r="Z159" s="131">
        <f t="shared" si="191"/>
        <v>619.50392118264142</v>
      </c>
      <c r="AA159" s="242">
        <f t="shared" si="192"/>
        <v>3058.0039211826415</v>
      </c>
      <c r="AB159" s="131">
        <f t="shared" si="193"/>
        <v>0</v>
      </c>
      <c r="AC159" s="131">
        <f t="shared" si="194"/>
        <v>139.48055684730568</v>
      </c>
      <c r="AD159" s="131">
        <f t="shared" si="195"/>
        <v>0</v>
      </c>
      <c r="AE159" s="131">
        <f t="shared" si="196"/>
        <v>0</v>
      </c>
      <c r="AF159" s="131">
        <f t="shared" si="197"/>
        <v>75.260000000000005</v>
      </c>
      <c r="AG159" s="131">
        <f t="shared" si="198"/>
        <v>0</v>
      </c>
      <c r="AH159" s="131">
        <f t="shared" si="199"/>
        <v>0</v>
      </c>
      <c r="AI159" s="131">
        <f t="shared" si="200"/>
        <v>0</v>
      </c>
      <c r="AJ159" s="131">
        <f t="shared" si="201"/>
        <v>0</v>
      </c>
      <c r="AK159" s="131"/>
      <c r="AL159" s="131">
        <f t="shared" si="202"/>
        <v>0</v>
      </c>
      <c r="AM159" s="131"/>
      <c r="AN159" s="243">
        <f t="shared" si="203"/>
        <v>0</v>
      </c>
      <c r="AO159" s="131">
        <f t="shared" si="204"/>
        <v>0</v>
      </c>
      <c r="AP159" s="131">
        <f t="shared" si="205"/>
        <v>0</v>
      </c>
      <c r="AQ159" s="131"/>
      <c r="AR159" s="131">
        <f t="shared" si="206"/>
        <v>0</v>
      </c>
      <c r="AS159" s="131">
        <f t="shared" si="252"/>
        <v>0</v>
      </c>
      <c r="AT159" s="131">
        <f t="shared" si="207"/>
        <v>0</v>
      </c>
      <c r="AU159" s="131">
        <f t="shared" si="208"/>
        <v>0</v>
      </c>
      <c r="AV159" s="131"/>
      <c r="AW159" s="131">
        <f t="shared" si="209"/>
        <v>353.75</v>
      </c>
      <c r="AX159" s="131">
        <f t="shared" si="263"/>
        <v>0</v>
      </c>
      <c r="AY159" s="131">
        <f t="shared" si="210"/>
        <v>0</v>
      </c>
      <c r="AZ159" s="131"/>
      <c r="BA159" s="131">
        <f t="shared" si="264"/>
        <v>0</v>
      </c>
      <c r="BB159" s="131"/>
      <c r="BC159" s="131"/>
      <c r="BD159" s="131">
        <f t="shared" si="211"/>
        <v>0</v>
      </c>
      <c r="BE159" s="131"/>
      <c r="BF159" s="131">
        <f t="shared" si="253"/>
        <v>0</v>
      </c>
      <c r="BG159" s="131">
        <f t="shared" si="254"/>
        <v>0</v>
      </c>
      <c r="BH159" s="131"/>
      <c r="BI159" s="131"/>
      <c r="BJ159" s="131"/>
      <c r="BK159" s="131">
        <f t="shared" si="255"/>
        <v>0</v>
      </c>
      <c r="BL159" s="131"/>
      <c r="BM159" s="131"/>
      <c r="BN159" s="131">
        <f t="shared" si="256"/>
        <v>0</v>
      </c>
      <c r="BO159" s="131"/>
      <c r="BP159" s="131">
        <f t="shared" si="257"/>
        <v>0</v>
      </c>
      <c r="BQ159" s="131"/>
      <c r="BR159" s="131"/>
      <c r="BS159" s="131"/>
      <c r="BT159" s="131"/>
      <c r="BU159" s="131"/>
      <c r="BV159" s="131">
        <f t="shared" si="258"/>
        <v>0</v>
      </c>
      <c r="BW159" s="131"/>
      <c r="BX159" s="131"/>
      <c r="BY159" s="131"/>
      <c r="BZ159" s="131">
        <f t="shared" si="259"/>
        <v>0</v>
      </c>
      <c r="CA159" s="131"/>
      <c r="CB159" s="136">
        <f t="shared" si="212"/>
        <v>165.08663357180151</v>
      </c>
      <c r="CC159" s="131">
        <f t="shared" si="213"/>
        <v>0</v>
      </c>
      <c r="CD159" s="136">
        <f t="shared" si="214"/>
        <v>0</v>
      </c>
      <c r="CE159" s="131">
        <f t="shared" si="262"/>
        <v>0</v>
      </c>
      <c r="CF159" s="136">
        <f t="shared" si="215"/>
        <v>0</v>
      </c>
      <c r="CG159" s="136"/>
      <c r="CH159" s="136">
        <f t="shared" si="261"/>
        <v>0</v>
      </c>
      <c r="CI159" s="131">
        <f t="shared" si="216"/>
        <v>0</v>
      </c>
      <c r="CJ159" s="131"/>
      <c r="CK159" s="136">
        <f t="shared" si="217"/>
        <v>0</v>
      </c>
      <c r="CL159" s="136">
        <f t="shared" si="218"/>
        <v>0</v>
      </c>
      <c r="CM159" s="131">
        <f t="shared" si="219"/>
        <v>0</v>
      </c>
      <c r="CN159" s="136">
        <f t="shared" si="220"/>
        <v>0</v>
      </c>
      <c r="CO159" s="136">
        <f t="shared" si="221"/>
        <v>0</v>
      </c>
      <c r="CP159" s="136">
        <f t="shared" si="222"/>
        <v>0</v>
      </c>
      <c r="CQ159" s="136"/>
      <c r="CR159" s="136">
        <f t="shared" si="223"/>
        <v>0</v>
      </c>
      <c r="CS159" s="136"/>
      <c r="CT159" s="136"/>
      <c r="CU159" s="136"/>
      <c r="CV159" s="136"/>
      <c r="CW159" s="136"/>
      <c r="CX159" s="136"/>
      <c r="CY159" s="136"/>
      <c r="CZ159" s="136">
        <f t="shared" si="224"/>
        <v>0</v>
      </c>
      <c r="DA159" s="136">
        <f t="shared" si="225"/>
        <v>0</v>
      </c>
      <c r="DB159" s="136">
        <f t="shared" si="226"/>
        <v>0</v>
      </c>
      <c r="DC159" s="131">
        <f t="shared" si="185"/>
        <v>0</v>
      </c>
      <c r="DD159" s="131">
        <f t="shared" si="227"/>
        <v>0</v>
      </c>
      <c r="DE159" s="131">
        <f t="shared" si="228"/>
        <v>0</v>
      </c>
      <c r="DF159" s="131">
        <f t="shared" si="229"/>
        <v>0</v>
      </c>
      <c r="DG159" s="131">
        <f t="shared" si="230"/>
        <v>0</v>
      </c>
      <c r="DH159" s="131"/>
      <c r="DI159" s="131"/>
      <c r="DJ159" s="131"/>
      <c r="DK159" s="137">
        <f t="shared" si="260"/>
        <v>3791.5811116017489</v>
      </c>
      <c r="DL159" s="227" t="e">
        <f t="shared" si="231"/>
        <v>#REF!</v>
      </c>
      <c r="DM159" s="227" t="e">
        <f t="shared" si="232"/>
        <v>#REF!</v>
      </c>
      <c r="DN159" s="228" t="e">
        <f t="shared" si="186"/>
        <v>#REF!</v>
      </c>
      <c r="DO159" s="228">
        <f t="shared" si="233"/>
        <v>181.81087083894022</v>
      </c>
      <c r="DP159" s="228" t="e">
        <f t="shared" si="234"/>
        <v>#REF!</v>
      </c>
      <c r="DQ159" s="228" t="e">
        <f t="shared" si="235"/>
        <v>#REF!</v>
      </c>
    </row>
    <row r="160" spans="1:121">
      <c r="A160" s="132">
        <f t="shared" si="187"/>
        <v>150</v>
      </c>
      <c r="B160" s="18">
        <f t="shared" si="236"/>
        <v>150</v>
      </c>
      <c r="C160" s="18">
        <f>IF(A160=0," ",VLOOKUP(B160,'tosafot '!$A$7:$B$234,2,0))</f>
        <v>6.202</v>
      </c>
      <c r="D160" s="220">
        <f t="shared" si="237"/>
        <v>228</v>
      </c>
      <c r="E160" s="130">
        <f t="shared" si="238"/>
        <v>12.2026</v>
      </c>
      <c r="F160" s="126">
        <f t="shared" si="239"/>
        <v>9</v>
      </c>
      <c r="G160" s="18" t="str">
        <f t="shared" si="240"/>
        <v>הבריאות</v>
      </c>
      <c r="H160" s="189">
        <f t="shared" si="241"/>
        <v>107</v>
      </c>
      <c r="I160" s="18">
        <f t="shared" si="242"/>
        <v>1</v>
      </c>
      <c r="J160" s="18" t="str">
        <f t="shared" si="243"/>
        <v>מינהלי - עובדי מדינה</v>
      </c>
      <c r="K160" s="189">
        <f t="shared" si="244"/>
        <v>1</v>
      </c>
      <c r="L160" s="18">
        <f t="shared" si="245"/>
        <v>12</v>
      </c>
      <c r="M160" s="129" t="str">
        <f t="shared" si="246"/>
        <v>17+</v>
      </c>
      <c r="N160" s="189"/>
      <c r="O160" s="132">
        <f t="shared" si="247"/>
        <v>1012</v>
      </c>
      <c r="P160" s="127">
        <f t="shared" si="248"/>
        <v>37</v>
      </c>
      <c r="Q160" s="127">
        <f t="shared" si="249"/>
        <v>22.75</v>
      </c>
      <c r="R160" s="128">
        <f t="shared" si="250"/>
        <v>92</v>
      </c>
      <c r="S160" s="130">
        <f t="shared" si="251"/>
        <v>1.2540512286990533</v>
      </c>
      <c r="T160" s="135">
        <f t="shared" si="188"/>
        <v>0</v>
      </c>
      <c r="U160" s="127">
        <f t="shared" si="189"/>
        <v>0</v>
      </c>
      <c r="V160" s="217">
        <v>0</v>
      </c>
      <c r="W160" s="191">
        <v>0</v>
      </c>
      <c r="X160" s="133">
        <v>0</v>
      </c>
      <c r="Y160" s="131">
        <f t="shared" si="190"/>
        <v>2438.5</v>
      </c>
      <c r="Z160" s="131">
        <f t="shared" si="191"/>
        <v>619.50392118264142</v>
      </c>
      <c r="AA160" s="242">
        <f t="shared" si="192"/>
        <v>3058.0039211826415</v>
      </c>
      <c r="AB160" s="131">
        <f t="shared" si="193"/>
        <v>0</v>
      </c>
      <c r="AC160" s="131">
        <f t="shared" si="194"/>
        <v>139.48055684730568</v>
      </c>
      <c r="AD160" s="131">
        <f t="shared" si="195"/>
        <v>0</v>
      </c>
      <c r="AE160" s="131">
        <f t="shared" si="196"/>
        <v>0</v>
      </c>
      <c r="AF160" s="131">
        <f t="shared" si="197"/>
        <v>75.260000000000005</v>
      </c>
      <c r="AG160" s="131">
        <f t="shared" si="198"/>
        <v>0</v>
      </c>
      <c r="AH160" s="131">
        <f t="shared" si="199"/>
        <v>0</v>
      </c>
      <c r="AI160" s="131">
        <f t="shared" si="200"/>
        <v>0</v>
      </c>
      <c r="AJ160" s="131">
        <f t="shared" si="201"/>
        <v>0</v>
      </c>
      <c r="AK160" s="131"/>
      <c r="AL160" s="131">
        <f t="shared" si="202"/>
        <v>0</v>
      </c>
      <c r="AM160" s="131"/>
      <c r="AN160" s="243">
        <f t="shared" si="203"/>
        <v>0</v>
      </c>
      <c r="AO160" s="131">
        <f t="shared" si="204"/>
        <v>0</v>
      </c>
      <c r="AP160" s="131">
        <f t="shared" si="205"/>
        <v>0</v>
      </c>
      <c r="AQ160" s="131"/>
      <c r="AR160" s="131">
        <f t="shared" si="206"/>
        <v>0</v>
      </c>
      <c r="AS160" s="131">
        <f t="shared" si="252"/>
        <v>0</v>
      </c>
      <c r="AT160" s="131">
        <f t="shared" si="207"/>
        <v>0</v>
      </c>
      <c r="AU160" s="131">
        <f t="shared" si="208"/>
        <v>0</v>
      </c>
      <c r="AV160" s="131"/>
      <c r="AW160" s="131">
        <f t="shared" si="209"/>
        <v>353.75</v>
      </c>
      <c r="AX160" s="131">
        <f t="shared" si="263"/>
        <v>0</v>
      </c>
      <c r="AY160" s="131">
        <f t="shared" si="210"/>
        <v>0</v>
      </c>
      <c r="AZ160" s="131"/>
      <c r="BA160" s="131">
        <f t="shared" si="264"/>
        <v>0</v>
      </c>
      <c r="BB160" s="131"/>
      <c r="BC160" s="131"/>
      <c r="BD160" s="131">
        <f t="shared" si="211"/>
        <v>0</v>
      </c>
      <c r="BE160" s="131"/>
      <c r="BF160" s="131">
        <f t="shared" si="253"/>
        <v>0</v>
      </c>
      <c r="BG160" s="131">
        <f t="shared" si="254"/>
        <v>0</v>
      </c>
      <c r="BH160" s="131"/>
      <c r="BI160" s="131"/>
      <c r="BJ160" s="131"/>
      <c r="BK160" s="131">
        <f t="shared" si="255"/>
        <v>0</v>
      </c>
      <c r="BL160" s="131"/>
      <c r="BM160" s="131"/>
      <c r="BN160" s="131">
        <f t="shared" si="256"/>
        <v>0</v>
      </c>
      <c r="BO160" s="131"/>
      <c r="BP160" s="131">
        <f t="shared" si="257"/>
        <v>0</v>
      </c>
      <c r="BQ160" s="131"/>
      <c r="BR160" s="131"/>
      <c r="BS160" s="131"/>
      <c r="BT160" s="131"/>
      <c r="BU160" s="131"/>
      <c r="BV160" s="131">
        <f t="shared" si="258"/>
        <v>0</v>
      </c>
      <c r="BW160" s="131"/>
      <c r="BX160" s="131"/>
      <c r="BY160" s="131"/>
      <c r="BZ160" s="131">
        <f t="shared" si="259"/>
        <v>0</v>
      </c>
      <c r="CA160" s="131"/>
      <c r="CB160" s="136">
        <f t="shared" si="212"/>
        <v>165.08663357180151</v>
      </c>
      <c r="CC160" s="131">
        <f t="shared" si="213"/>
        <v>0</v>
      </c>
      <c r="CD160" s="136">
        <f t="shared" si="214"/>
        <v>0</v>
      </c>
      <c r="CE160" s="131">
        <f t="shared" si="262"/>
        <v>0</v>
      </c>
      <c r="CF160" s="136">
        <f t="shared" si="215"/>
        <v>0</v>
      </c>
      <c r="CG160" s="136"/>
      <c r="CH160" s="136">
        <f t="shared" si="261"/>
        <v>0</v>
      </c>
      <c r="CI160" s="131">
        <f t="shared" si="216"/>
        <v>0</v>
      </c>
      <c r="CJ160" s="131"/>
      <c r="CK160" s="136">
        <f t="shared" si="217"/>
        <v>0</v>
      </c>
      <c r="CL160" s="136">
        <f t="shared" si="218"/>
        <v>0</v>
      </c>
      <c r="CM160" s="131">
        <f t="shared" si="219"/>
        <v>0</v>
      </c>
      <c r="CN160" s="136">
        <f t="shared" si="220"/>
        <v>0</v>
      </c>
      <c r="CO160" s="136">
        <f t="shared" si="221"/>
        <v>0</v>
      </c>
      <c r="CP160" s="136">
        <f t="shared" si="222"/>
        <v>0</v>
      </c>
      <c r="CQ160" s="136"/>
      <c r="CR160" s="136">
        <f t="shared" si="223"/>
        <v>0</v>
      </c>
      <c r="CS160" s="136"/>
      <c r="CT160" s="136"/>
      <c r="CU160" s="136"/>
      <c r="CV160" s="136"/>
      <c r="CW160" s="136"/>
      <c r="CX160" s="136"/>
      <c r="CY160" s="136"/>
      <c r="CZ160" s="136">
        <f t="shared" si="224"/>
        <v>0</v>
      </c>
      <c r="DA160" s="136">
        <f t="shared" si="225"/>
        <v>0</v>
      </c>
      <c r="DB160" s="136">
        <f t="shared" si="226"/>
        <v>0</v>
      </c>
      <c r="DC160" s="131">
        <f t="shared" si="185"/>
        <v>0</v>
      </c>
      <c r="DD160" s="131">
        <f t="shared" si="227"/>
        <v>0</v>
      </c>
      <c r="DE160" s="131">
        <f t="shared" si="228"/>
        <v>0</v>
      </c>
      <c r="DF160" s="131">
        <f t="shared" si="229"/>
        <v>0</v>
      </c>
      <c r="DG160" s="131">
        <f t="shared" si="230"/>
        <v>0</v>
      </c>
      <c r="DH160" s="131"/>
      <c r="DI160" s="131"/>
      <c r="DJ160" s="131"/>
      <c r="DK160" s="137">
        <f t="shared" si="260"/>
        <v>3791.5811116017489</v>
      </c>
      <c r="DL160" s="227" t="e">
        <f t="shared" si="231"/>
        <v>#REF!</v>
      </c>
      <c r="DM160" s="227" t="e">
        <f t="shared" si="232"/>
        <v>#REF!</v>
      </c>
      <c r="DN160" s="228" t="e">
        <f t="shared" si="186"/>
        <v>#REF!</v>
      </c>
      <c r="DO160" s="228">
        <f t="shared" si="233"/>
        <v>181.81087083894022</v>
      </c>
      <c r="DP160" s="228" t="e">
        <f t="shared" si="234"/>
        <v>#REF!</v>
      </c>
      <c r="DQ160" s="228" t="e">
        <f t="shared" si="235"/>
        <v>#REF!</v>
      </c>
    </row>
    <row r="161" spans="1:121">
      <c r="A161" s="132">
        <f t="shared" si="187"/>
        <v>151</v>
      </c>
      <c r="B161" s="18">
        <f t="shared" si="236"/>
        <v>151</v>
      </c>
      <c r="C161" s="18">
        <f>IF(A161=0," ",VLOOKUP(B161,'tosafot '!$A$7:$B$234,2,0))</f>
        <v>7.202</v>
      </c>
      <c r="D161" s="220">
        <f t="shared" si="237"/>
        <v>228</v>
      </c>
      <c r="E161" s="130">
        <f t="shared" si="238"/>
        <v>12.2026</v>
      </c>
      <c r="F161" s="126">
        <f t="shared" si="239"/>
        <v>9</v>
      </c>
      <c r="G161" s="18" t="str">
        <f t="shared" si="240"/>
        <v>הבריאות</v>
      </c>
      <c r="H161" s="189">
        <f t="shared" si="241"/>
        <v>107</v>
      </c>
      <c r="I161" s="18">
        <f t="shared" si="242"/>
        <v>1</v>
      </c>
      <c r="J161" s="18" t="str">
        <f t="shared" si="243"/>
        <v>מינהלי - עובדי מדינה</v>
      </c>
      <c r="K161" s="189">
        <f t="shared" si="244"/>
        <v>1</v>
      </c>
      <c r="L161" s="18">
        <f t="shared" si="245"/>
        <v>12</v>
      </c>
      <c r="M161" s="129" t="str">
        <f t="shared" si="246"/>
        <v>17+</v>
      </c>
      <c r="N161" s="189"/>
      <c r="O161" s="132">
        <f t="shared" si="247"/>
        <v>1012</v>
      </c>
      <c r="P161" s="127">
        <f t="shared" si="248"/>
        <v>37</v>
      </c>
      <c r="Q161" s="127">
        <f t="shared" si="249"/>
        <v>22.75</v>
      </c>
      <c r="R161" s="128">
        <f t="shared" si="250"/>
        <v>92</v>
      </c>
      <c r="S161" s="130">
        <f t="shared" si="251"/>
        <v>1.2540512286990533</v>
      </c>
      <c r="T161" s="135">
        <f t="shared" si="188"/>
        <v>0</v>
      </c>
      <c r="U161" s="127">
        <f t="shared" si="189"/>
        <v>0</v>
      </c>
      <c r="V161" s="217">
        <v>0</v>
      </c>
      <c r="W161" s="191">
        <v>0</v>
      </c>
      <c r="X161" s="133">
        <v>0</v>
      </c>
      <c r="Y161" s="131">
        <f t="shared" si="190"/>
        <v>2438.5</v>
      </c>
      <c r="Z161" s="131">
        <f t="shared" si="191"/>
        <v>619.50392118264142</v>
      </c>
      <c r="AA161" s="242">
        <f t="shared" si="192"/>
        <v>3058.0039211826415</v>
      </c>
      <c r="AB161" s="131">
        <f t="shared" si="193"/>
        <v>0</v>
      </c>
      <c r="AC161" s="131">
        <f t="shared" si="194"/>
        <v>139.48055684730568</v>
      </c>
      <c r="AD161" s="131">
        <f t="shared" si="195"/>
        <v>0</v>
      </c>
      <c r="AE161" s="131">
        <f t="shared" si="196"/>
        <v>0</v>
      </c>
      <c r="AF161" s="131">
        <f t="shared" si="197"/>
        <v>75.260000000000005</v>
      </c>
      <c r="AG161" s="131">
        <f t="shared" si="198"/>
        <v>0</v>
      </c>
      <c r="AH161" s="131">
        <f t="shared" si="199"/>
        <v>0</v>
      </c>
      <c r="AI161" s="131">
        <f t="shared" si="200"/>
        <v>0</v>
      </c>
      <c r="AJ161" s="131">
        <f t="shared" si="201"/>
        <v>0</v>
      </c>
      <c r="AK161" s="131"/>
      <c r="AL161" s="131">
        <f t="shared" si="202"/>
        <v>0</v>
      </c>
      <c r="AM161" s="131"/>
      <c r="AN161" s="243">
        <f t="shared" si="203"/>
        <v>0</v>
      </c>
      <c r="AO161" s="131">
        <f t="shared" si="204"/>
        <v>0</v>
      </c>
      <c r="AP161" s="131">
        <f t="shared" si="205"/>
        <v>0</v>
      </c>
      <c r="AQ161" s="131"/>
      <c r="AR161" s="131">
        <f t="shared" si="206"/>
        <v>0</v>
      </c>
      <c r="AS161" s="131">
        <f t="shared" si="252"/>
        <v>0</v>
      </c>
      <c r="AT161" s="131">
        <f t="shared" si="207"/>
        <v>0</v>
      </c>
      <c r="AU161" s="131">
        <f t="shared" si="208"/>
        <v>0</v>
      </c>
      <c r="AV161" s="131"/>
      <c r="AW161" s="131">
        <f t="shared" si="209"/>
        <v>353.75</v>
      </c>
      <c r="AX161" s="131">
        <f t="shared" si="263"/>
        <v>0</v>
      </c>
      <c r="AY161" s="131">
        <f t="shared" si="210"/>
        <v>0</v>
      </c>
      <c r="AZ161" s="131"/>
      <c r="BA161" s="131">
        <f t="shared" si="264"/>
        <v>0</v>
      </c>
      <c r="BB161" s="131"/>
      <c r="BC161" s="131"/>
      <c r="BD161" s="131">
        <f t="shared" si="211"/>
        <v>0</v>
      </c>
      <c r="BE161" s="131"/>
      <c r="BF161" s="131">
        <f t="shared" si="253"/>
        <v>0</v>
      </c>
      <c r="BG161" s="131">
        <f t="shared" si="254"/>
        <v>0</v>
      </c>
      <c r="BH161" s="131"/>
      <c r="BI161" s="131"/>
      <c r="BJ161" s="131"/>
      <c r="BK161" s="131">
        <f t="shared" si="255"/>
        <v>0</v>
      </c>
      <c r="BL161" s="131"/>
      <c r="BM161" s="131"/>
      <c r="BN161" s="131">
        <f t="shared" si="256"/>
        <v>0</v>
      </c>
      <c r="BO161" s="131"/>
      <c r="BP161" s="131">
        <f t="shared" si="257"/>
        <v>0</v>
      </c>
      <c r="BQ161" s="131"/>
      <c r="BR161" s="131"/>
      <c r="BS161" s="131"/>
      <c r="BT161" s="131"/>
      <c r="BU161" s="131"/>
      <c r="BV161" s="131">
        <f t="shared" si="258"/>
        <v>0</v>
      </c>
      <c r="BW161" s="131"/>
      <c r="BX161" s="131"/>
      <c r="BY161" s="131"/>
      <c r="BZ161" s="131">
        <f t="shared" si="259"/>
        <v>0</v>
      </c>
      <c r="CA161" s="131"/>
      <c r="CB161" s="136">
        <f t="shared" si="212"/>
        <v>165.08663357180151</v>
      </c>
      <c r="CC161" s="131">
        <f t="shared" si="213"/>
        <v>0</v>
      </c>
      <c r="CD161" s="136">
        <f t="shared" si="214"/>
        <v>0</v>
      </c>
      <c r="CE161" s="131">
        <f t="shared" si="262"/>
        <v>0</v>
      </c>
      <c r="CF161" s="136">
        <f t="shared" si="215"/>
        <v>0</v>
      </c>
      <c r="CG161" s="136"/>
      <c r="CH161" s="136">
        <f t="shared" si="261"/>
        <v>0</v>
      </c>
      <c r="CI161" s="131">
        <f t="shared" si="216"/>
        <v>0</v>
      </c>
      <c r="CJ161" s="131"/>
      <c r="CK161" s="136">
        <f t="shared" si="217"/>
        <v>0</v>
      </c>
      <c r="CL161" s="136">
        <f t="shared" si="218"/>
        <v>0</v>
      </c>
      <c r="CM161" s="131">
        <f t="shared" si="219"/>
        <v>0</v>
      </c>
      <c r="CN161" s="136">
        <f t="shared" si="220"/>
        <v>0</v>
      </c>
      <c r="CO161" s="136">
        <f t="shared" si="221"/>
        <v>0</v>
      </c>
      <c r="CP161" s="136">
        <f t="shared" si="222"/>
        <v>0</v>
      </c>
      <c r="CQ161" s="136"/>
      <c r="CR161" s="136">
        <f t="shared" si="223"/>
        <v>0</v>
      </c>
      <c r="CS161" s="136"/>
      <c r="CT161" s="136"/>
      <c r="CU161" s="136"/>
      <c r="CV161" s="136"/>
      <c r="CW161" s="136"/>
      <c r="CX161" s="136"/>
      <c r="CY161" s="136"/>
      <c r="CZ161" s="136">
        <f t="shared" si="224"/>
        <v>0</v>
      </c>
      <c r="DA161" s="136">
        <f t="shared" si="225"/>
        <v>0</v>
      </c>
      <c r="DB161" s="136">
        <f t="shared" si="226"/>
        <v>0</v>
      </c>
      <c r="DC161" s="131">
        <f t="shared" si="185"/>
        <v>0</v>
      </c>
      <c r="DD161" s="131">
        <f t="shared" si="227"/>
        <v>0</v>
      </c>
      <c r="DE161" s="131">
        <f t="shared" si="228"/>
        <v>0</v>
      </c>
      <c r="DF161" s="131">
        <f t="shared" si="229"/>
        <v>0</v>
      </c>
      <c r="DG161" s="131">
        <f t="shared" si="230"/>
        <v>0</v>
      </c>
      <c r="DH161" s="131"/>
      <c r="DI161" s="131"/>
      <c r="DJ161" s="131"/>
      <c r="DK161" s="137">
        <f t="shared" si="260"/>
        <v>3791.5811116017489</v>
      </c>
      <c r="DL161" s="227" t="e">
        <f t="shared" si="231"/>
        <v>#REF!</v>
      </c>
      <c r="DM161" s="227" t="e">
        <f t="shared" si="232"/>
        <v>#REF!</v>
      </c>
      <c r="DN161" s="228" t="e">
        <f t="shared" si="186"/>
        <v>#REF!</v>
      </c>
      <c r="DO161" s="228">
        <f t="shared" si="233"/>
        <v>181.81087083894022</v>
      </c>
      <c r="DP161" s="228" t="e">
        <f t="shared" si="234"/>
        <v>#REF!</v>
      </c>
      <c r="DQ161" s="228" t="e">
        <f t="shared" si="235"/>
        <v>#REF!</v>
      </c>
    </row>
    <row r="162" spans="1:121">
      <c r="A162" s="132">
        <f>IF(A161=0,0,IF(B161+1&gt;$D$9,0,A161+1))</f>
        <v>152</v>
      </c>
      <c r="B162" s="18">
        <f t="shared" si="236"/>
        <v>152</v>
      </c>
      <c r="C162" s="18">
        <f>IF(A162=0," ",VLOOKUP(B162,'tosafot '!$A$7:$B$234,2,0))</f>
        <v>8.202</v>
      </c>
      <c r="D162" s="220">
        <f t="shared" si="237"/>
        <v>228</v>
      </c>
      <c r="E162" s="130">
        <f t="shared" si="238"/>
        <v>12.2026</v>
      </c>
      <c r="F162" s="126">
        <f t="shared" si="239"/>
        <v>9</v>
      </c>
      <c r="G162" s="18" t="str">
        <f t="shared" si="240"/>
        <v>הבריאות</v>
      </c>
      <c r="H162" s="189">
        <f t="shared" si="241"/>
        <v>107</v>
      </c>
      <c r="I162" s="18">
        <f t="shared" si="242"/>
        <v>1</v>
      </c>
      <c r="J162" s="18" t="str">
        <f t="shared" si="243"/>
        <v>מינהלי - עובדי מדינה</v>
      </c>
      <c r="K162" s="189">
        <f t="shared" si="244"/>
        <v>1</v>
      </c>
      <c r="L162" s="18">
        <f t="shared" si="245"/>
        <v>12</v>
      </c>
      <c r="M162" s="129" t="str">
        <f t="shared" si="246"/>
        <v>17+</v>
      </c>
      <c r="N162" s="189"/>
      <c r="O162" s="132">
        <f t="shared" si="247"/>
        <v>1012</v>
      </c>
      <c r="P162" s="127">
        <f t="shared" si="248"/>
        <v>37</v>
      </c>
      <c r="Q162" s="127">
        <f t="shared" si="249"/>
        <v>22.75</v>
      </c>
      <c r="R162" s="128">
        <f t="shared" si="250"/>
        <v>92</v>
      </c>
      <c r="S162" s="130">
        <f t="shared" si="251"/>
        <v>1.2540512286990533</v>
      </c>
      <c r="T162" s="135">
        <f t="shared" si="188"/>
        <v>0</v>
      </c>
      <c r="U162" s="127">
        <f t="shared" si="189"/>
        <v>0</v>
      </c>
      <c r="V162" s="217">
        <v>0</v>
      </c>
      <c r="W162" s="191">
        <v>0</v>
      </c>
      <c r="X162" s="133">
        <v>0</v>
      </c>
      <c r="Y162" s="131">
        <f t="shared" si="190"/>
        <v>2438.5</v>
      </c>
      <c r="Z162" s="131">
        <f t="shared" si="191"/>
        <v>619.50392118264142</v>
      </c>
      <c r="AA162" s="242">
        <f t="shared" si="192"/>
        <v>3058.0039211826415</v>
      </c>
      <c r="AB162" s="131">
        <f t="shared" si="193"/>
        <v>0</v>
      </c>
      <c r="AC162" s="131">
        <f t="shared" si="194"/>
        <v>139.48055684730568</v>
      </c>
      <c r="AD162" s="131">
        <f t="shared" si="195"/>
        <v>0</v>
      </c>
      <c r="AE162" s="131">
        <f t="shared" si="196"/>
        <v>0</v>
      </c>
      <c r="AF162" s="131">
        <f t="shared" si="197"/>
        <v>75.260000000000005</v>
      </c>
      <c r="AG162" s="131">
        <f t="shared" si="198"/>
        <v>0</v>
      </c>
      <c r="AH162" s="131">
        <f t="shared" si="199"/>
        <v>0</v>
      </c>
      <c r="AI162" s="131">
        <f t="shared" si="200"/>
        <v>0</v>
      </c>
      <c r="AJ162" s="131">
        <f t="shared" si="201"/>
        <v>0</v>
      </c>
      <c r="AK162" s="131"/>
      <c r="AL162" s="131">
        <f t="shared" si="202"/>
        <v>0</v>
      </c>
      <c r="AM162" s="131"/>
      <c r="AN162" s="243">
        <f t="shared" si="203"/>
        <v>0</v>
      </c>
      <c r="AO162" s="131">
        <f t="shared" si="204"/>
        <v>0</v>
      </c>
      <c r="AP162" s="131">
        <f t="shared" si="205"/>
        <v>0</v>
      </c>
      <c r="AQ162" s="131"/>
      <c r="AR162" s="131">
        <f t="shared" si="206"/>
        <v>0</v>
      </c>
      <c r="AS162" s="131">
        <f t="shared" si="252"/>
        <v>0</v>
      </c>
      <c r="AT162" s="131">
        <f t="shared" si="207"/>
        <v>0</v>
      </c>
      <c r="AU162" s="131">
        <f t="shared" si="208"/>
        <v>0</v>
      </c>
      <c r="AV162" s="131"/>
      <c r="AW162" s="131">
        <f t="shared" si="209"/>
        <v>353.75</v>
      </c>
      <c r="AX162" s="131">
        <f t="shared" si="263"/>
        <v>0</v>
      </c>
      <c r="AY162" s="131">
        <f t="shared" si="210"/>
        <v>0</v>
      </c>
      <c r="AZ162" s="131"/>
      <c r="BA162" s="131">
        <f t="shared" si="264"/>
        <v>0</v>
      </c>
      <c r="BB162" s="131"/>
      <c r="BC162" s="131"/>
      <c r="BD162" s="131">
        <f t="shared" si="211"/>
        <v>0</v>
      </c>
      <c r="BE162" s="131"/>
      <c r="BF162" s="131">
        <f t="shared" si="253"/>
        <v>0</v>
      </c>
      <c r="BG162" s="131">
        <f t="shared" si="254"/>
        <v>0</v>
      </c>
      <c r="BH162" s="131"/>
      <c r="BI162" s="131"/>
      <c r="BJ162" s="131"/>
      <c r="BK162" s="131">
        <f t="shared" si="255"/>
        <v>0</v>
      </c>
      <c r="BL162" s="131"/>
      <c r="BM162" s="131"/>
      <c r="BN162" s="131">
        <f t="shared" si="256"/>
        <v>0</v>
      </c>
      <c r="BO162" s="131"/>
      <c r="BP162" s="131">
        <f t="shared" si="257"/>
        <v>0</v>
      </c>
      <c r="BQ162" s="131"/>
      <c r="BR162" s="131"/>
      <c r="BS162" s="131"/>
      <c r="BT162" s="131"/>
      <c r="BU162" s="131"/>
      <c r="BV162" s="131">
        <f t="shared" si="258"/>
        <v>0</v>
      </c>
      <c r="BW162" s="131"/>
      <c r="BX162" s="131"/>
      <c r="BY162" s="131"/>
      <c r="BZ162" s="131">
        <f t="shared" si="259"/>
        <v>0</v>
      </c>
      <c r="CA162" s="131"/>
      <c r="CB162" s="136">
        <f t="shared" si="212"/>
        <v>165.08663357180151</v>
      </c>
      <c r="CC162" s="131">
        <f t="shared" si="213"/>
        <v>0</v>
      </c>
      <c r="CD162" s="136">
        <f t="shared" si="214"/>
        <v>0</v>
      </c>
      <c r="CE162" s="131">
        <f t="shared" si="262"/>
        <v>0</v>
      </c>
      <c r="CF162" s="136">
        <f t="shared" si="215"/>
        <v>0</v>
      </c>
      <c r="CG162" s="136"/>
      <c r="CH162" s="136">
        <f t="shared" si="261"/>
        <v>0</v>
      </c>
      <c r="CI162" s="131">
        <f t="shared" si="216"/>
        <v>0</v>
      </c>
      <c r="CJ162" s="131"/>
      <c r="CK162" s="136">
        <f t="shared" si="217"/>
        <v>0</v>
      </c>
      <c r="CL162" s="136">
        <f t="shared" si="218"/>
        <v>0</v>
      </c>
      <c r="CM162" s="131">
        <f t="shared" si="219"/>
        <v>0</v>
      </c>
      <c r="CN162" s="136">
        <f t="shared" si="220"/>
        <v>0</v>
      </c>
      <c r="CO162" s="136">
        <f t="shared" si="221"/>
        <v>0</v>
      </c>
      <c r="CP162" s="136">
        <f t="shared" si="222"/>
        <v>0</v>
      </c>
      <c r="CQ162" s="136"/>
      <c r="CR162" s="136">
        <f t="shared" si="223"/>
        <v>0</v>
      </c>
      <c r="CS162" s="136"/>
      <c r="CT162" s="136"/>
      <c r="CU162" s="136"/>
      <c r="CV162" s="136"/>
      <c r="CW162" s="136"/>
      <c r="CX162" s="136"/>
      <c r="CY162" s="136"/>
      <c r="CZ162" s="136">
        <f t="shared" si="224"/>
        <v>0</v>
      </c>
      <c r="DA162" s="136">
        <f t="shared" si="225"/>
        <v>0</v>
      </c>
      <c r="DB162" s="136">
        <f t="shared" si="226"/>
        <v>0</v>
      </c>
      <c r="DC162" s="131">
        <f t="shared" si="185"/>
        <v>0</v>
      </c>
      <c r="DD162" s="131">
        <f t="shared" si="227"/>
        <v>0</v>
      </c>
      <c r="DE162" s="131">
        <f t="shared" si="228"/>
        <v>0</v>
      </c>
      <c r="DF162" s="131">
        <f t="shared" si="229"/>
        <v>0</v>
      </c>
      <c r="DG162" s="131">
        <f t="shared" si="230"/>
        <v>0</v>
      </c>
      <c r="DH162" s="131"/>
      <c r="DI162" s="131"/>
      <c r="DJ162" s="131"/>
      <c r="DK162" s="137">
        <f t="shared" si="260"/>
        <v>3791.5811116017489</v>
      </c>
      <c r="DL162" s="227" t="e">
        <f t="shared" si="231"/>
        <v>#REF!</v>
      </c>
      <c r="DM162" s="227" t="e">
        <f t="shared" si="232"/>
        <v>#REF!</v>
      </c>
      <c r="DN162" s="228" t="e">
        <f t="shared" si="186"/>
        <v>#REF!</v>
      </c>
      <c r="DO162" s="228">
        <f t="shared" si="233"/>
        <v>181.81087083894022</v>
      </c>
      <c r="DP162" s="228" t="e">
        <f t="shared" si="234"/>
        <v>#REF!</v>
      </c>
      <c r="DQ162" s="228" t="e">
        <f t="shared" si="235"/>
        <v>#REF!</v>
      </c>
    </row>
    <row r="163" spans="1:121">
      <c r="A163" s="132">
        <f t="shared" ref="A163:A226" si="265">IF(A162=0,0,IF(B162+1&gt;$D$9,0,A162+1))</f>
        <v>153</v>
      </c>
      <c r="B163" s="18">
        <f t="shared" si="236"/>
        <v>153</v>
      </c>
      <c r="C163" s="18">
        <f>IF(A163=0," ",VLOOKUP(B163,'tosafot '!$A$7:$B$234,2,0))</f>
        <v>9.202</v>
      </c>
      <c r="D163" s="220">
        <f t="shared" si="237"/>
        <v>228</v>
      </c>
      <c r="E163" s="130">
        <f t="shared" si="238"/>
        <v>12.2026</v>
      </c>
      <c r="F163" s="126">
        <f t="shared" si="239"/>
        <v>9</v>
      </c>
      <c r="G163" s="18" t="str">
        <f t="shared" si="240"/>
        <v>הבריאות</v>
      </c>
      <c r="H163" s="189">
        <f t="shared" si="241"/>
        <v>107</v>
      </c>
      <c r="I163" s="18">
        <f t="shared" si="242"/>
        <v>1</v>
      </c>
      <c r="J163" s="18" t="str">
        <f t="shared" si="243"/>
        <v>מינהלי - עובדי מדינה</v>
      </c>
      <c r="K163" s="189">
        <f t="shared" si="244"/>
        <v>1</v>
      </c>
      <c r="L163" s="18">
        <f t="shared" si="245"/>
        <v>12</v>
      </c>
      <c r="M163" s="129" t="str">
        <f t="shared" si="246"/>
        <v>17+</v>
      </c>
      <c r="N163" s="189"/>
      <c r="O163" s="132">
        <f t="shared" si="247"/>
        <v>1012</v>
      </c>
      <c r="P163" s="127">
        <f t="shared" si="248"/>
        <v>37</v>
      </c>
      <c r="Q163" s="127">
        <f t="shared" si="249"/>
        <v>22.75</v>
      </c>
      <c r="R163" s="128">
        <f t="shared" si="250"/>
        <v>92</v>
      </c>
      <c r="S163" s="130">
        <f t="shared" si="251"/>
        <v>1.2540512286990533</v>
      </c>
      <c r="T163" s="135">
        <f t="shared" si="188"/>
        <v>0</v>
      </c>
      <c r="U163" s="127">
        <f t="shared" si="189"/>
        <v>0</v>
      </c>
      <c r="V163" s="217">
        <v>0</v>
      </c>
      <c r="W163" s="191">
        <v>0</v>
      </c>
      <c r="X163" s="133">
        <v>0</v>
      </c>
      <c r="Y163" s="131">
        <f t="shared" si="190"/>
        <v>2438.5</v>
      </c>
      <c r="Z163" s="131">
        <f t="shared" si="191"/>
        <v>619.50392118264142</v>
      </c>
      <c r="AA163" s="242">
        <f t="shared" si="192"/>
        <v>3058.0039211826415</v>
      </c>
      <c r="AB163" s="131">
        <f t="shared" si="193"/>
        <v>0</v>
      </c>
      <c r="AC163" s="131">
        <f t="shared" si="194"/>
        <v>139.48055684730568</v>
      </c>
      <c r="AD163" s="131">
        <f t="shared" si="195"/>
        <v>0</v>
      </c>
      <c r="AE163" s="131">
        <f t="shared" si="196"/>
        <v>0</v>
      </c>
      <c r="AF163" s="131">
        <f t="shared" si="197"/>
        <v>75.260000000000005</v>
      </c>
      <c r="AG163" s="131">
        <f t="shared" si="198"/>
        <v>0</v>
      </c>
      <c r="AH163" s="131">
        <f t="shared" si="199"/>
        <v>0</v>
      </c>
      <c r="AI163" s="131">
        <f t="shared" si="200"/>
        <v>0</v>
      </c>
      <c r="AJ163" s="131">
        <f t="shared" si="201"/>
        <v>0</v>
      </c>
      <c r="AK163" s="131"/>
      <c r="AL163" s="131">
        <f t="shared" si="202"/>
        <v>0</v>
      </c>
      <c r="AM163" s="131"/>
      <c r="AN163" s="243">
        <f t="shared" si="203"/>
        <v>0</v>
      </c>
      <c r="AO163" s="131">
        <f t="shared" si="204"/>
        <v>0</v>
      </c>
      <c r="AP163" s="131">
        <f t="shared" si="205"/>
        <v>0</v>
      </c>
      <c r="AQ163" s="131"/>
      <c r="AR163" s="131">
        <f t="shared" si="206"/>
        <v>0</v>
      </c>
      <c r="AS163" s="131">
        <f t="shared" si="252"/>
        <v>0</v>
      </c>
      <c r="AT163" s="131">
        <f t="shared" si="207"/>
        <v>0</v>
      </c>
      <c r="AU163" s="131">
        <f t="shared" si="208"/>
        <v>0</v>
      </c>
      <c r="AV163" s="131"/>
      <c r="AW163" s="131">
        <f t="shared" si="209"/>
        <v>353.75</v>
      </c>
      <c r="AX163" s="131">
        <f t="shared" si="263"/>
        <v>0</v>
      </c>
      <c r="AY163" s="131">
        <f t="shared" si="210"/>
        <v>0</v>
      </c>
      <c r="AZ163" s="131"/>
      <c r="BA163" s="131">
        <f t="shared" si="264"/>
        <v>0</v>
      </c>
      <c r="BB163" s="131"/>
      <c r="BC163" s="131"/>
      <c r="BD163" s="131">
        <f t="shared" si="211"/>
        <v>0</v>
      </c>
      <c r="BE163" s="131"/>
      <c r="BF163" s="131">
        <f t="shared" si="253"/>
        <v>0</v>
      </c>
      <c r="BG163" s="131">
        <f t="shared" si="254"/>
        <v>0</v>
      </c>
      <c r="BH163" s="131"/>
      <c r="BI163" s="131"/>
      <c r="BJ163" s="131"/>
      <c r="BK163" s="131">
        <f t="shared" si="255"/>
        <v>0</v>
      </c>
      <c r="BL163" s="131"/>
      <c r="BM163" s="131"/>
      <c r="BN163" s="131">
        <f t="shared" si="256"/>
        <v>0</v>
      </c>
      <c r="BO163" s="131"/>
      <c r="BP163" s="131">
        <f t="shared" si="257"/>
        <v>0</v>
      </c>
      <c r="BQ163" s="131"/>
      <c r="BR163" s="131"/>
      <c r="BS163" s="131"/>
      <c r="BT163" s="131"/>
      <c r="BU163" s="131"/>
      <c r="BV163" s="131">
        <f t="shared" si="258"/>
        <v>0</v>
      </c>
      <c r="BW163" s="131"/>
      <c r="BX163" s="131"/>
      <c r="BY163" s="131"/>
      <c r="BZ163" s="131">
        <f t="shared" si="259"/>
        <v>0</v>
      </c>
      <c r="CA163" s="131"/>
      <c r="CB163" s="136">
        <f t="shared" si="212"/>
        <v>165.08663357180151</v>
      </c>
      <c r="CC163" s="131">
        <f t="shared" si="213"/>
        <v>0</v>
      </c>
      <c r="CD163" s="136">
        <f t="shared" si="214"/>
        <v>0</v>
      </c>
      <c r="CE163" s="131">
        <f t="shared" si="262"/>
        <v>0</v>
      </c>
      <c r="CF163" s="136">
        <f t="shared" si="215"/>
        <v>0</v>
      </c>
      <c r="CG163" s="136"/>
      <c r="CH163" s="136">
        <f t="shared" si="261"/>
        <v>0</v>
      </c>
      <c r="CI163" s="131">
        <f t="shared" si="216"/>
        <v>0</v>
      </c>
      <c r="CJ163" s="131"/>
      <c r="CK163" s="136">
        <f t="shared" si="217"/>
        <v>0</v>
      </c>
      <c r="CL163" s="136">
        <f t="shared" si="218"/>
        <v>0</v>
      </c>
      <c r="CM163" s="131">
        <f t="shared" si="219"/>
        <v>0</v>
      </c>
      <c r="CN163" s="136">
        <f t="shared" si="220"/>
        <v>0</v>
      </c>
      <c r="CO163" s="136">
        <f t="shared" si="221"/>
        <v>0</v>
      </c>
      <c r="CP163" s="136">
        <f t="shared" si="222"/>
        <v>0</v>
      </c>
      <c r="CQ163" s="136"/>
      <c r="CR163" s="136">
        <f t="shared" si="223"/>
        <v>0</v>
      </c>
      <c r="CS163" s="136"/>
      <c r="CT163" s="136"/>
      <c r="CU163" s="136"/>
      <c r="CV163" s="136"/>
      <c r="CW163" s="136"/>
      <c r="CX163" s="136"/>
      <c r="CY163" s="136"/>
      <c r="CZ163" s="136">
        <f t="shared" si="224"/>
        <v>0</v>
      </c>
      <c r="DA163" s="136">
        <f t="shared" si="225"/>
        <v>0</v>
      </c>
      <c r="DB163" s="136">
        <f t="shared" si="226"/>
        <v>0</v>
      </c>
      <c r="DC163" s="131">
        <f t="shared" si="185"/>
        <v>0</v>
      </c>
      <c r="DD163" s="131">
        <f t="shared" si="227"/>
        <v>0</v>
      </c>
      <c r="DE163" s="131">
        <f t="shared" si="228"/>
        <v>0</v>
      </c>
      <c r="DF163" s="131">
        <f t="shared" si="229"/>
        <v>0</v>
      </c>
      <c r="DG163" s="131">
        <f t="shared" si="230"/>
        <v>0</v>
      </c>
      <c r="DH163" s="131"/>
      <c r="DI163" s="131"/>
      <c r="DJ163" s="131"/>
      <c r="DK163" s="137">
        <f t="shared" si="260"/>
        <v>3791.5811116017489</v>
      </c>
      <c r="DL163" s="227" t="e">
        <f t="shared" si="231"/>
        <v>#REF!</v>
      </c>
      <c r="DM163" s="227" t="e">
        <f t="shared" si="232"/>
        <v>#REF!</v>
      </c>
      <c r="DN163" s="228" t="e">
        <f t="shared" si="186"/>
        <v>#REF!</v>
      </c>
      <c r="DO163" s="228">
        <f t="shared" si="233"/>
        <v>181.81087083894022</v>
      </c>
      <c r="DP163" s="228" t="e">
        <f t="shared" si="234"/>
        <v>#REF!</v>
      </c>
      <c r="DQ163" s="228" t="e">
        <f t="shared" si="235"/>
        <v>#REF!</v>
      </c>
    </row>
    <row r="164" spans="1:121">
      <c r="A164" s="132">
        <f t="shared" si="265"/>
        <v>154</v>
      </c>
      <c r="B164" s="18">
        <f t="shared" si="236"/>
        <v>154</v>
      </c>
      <c r="C164" s="18">
        <f>IF(A164=0," ",VLOOKUP(B164,'tosafot '!$A$7:$B$234,2,0))</f>
        <v>10.202</v>
      </c>
      <c r="D164" s="220">
        <f t="shared" si="237"/>
        <v>228</v>
      </c>
      <c r="E164" s="130">
        <f t="shared" si="238"/>
        <v>12.2026</v>
      </c>
      <c r="F164" s="126">
        <f t="shared" si="239"/>
        <v>9</v>
      </c>
      <c r="G164" s="18" t="str">
        <f t="shared" si="240"/>
        <v>הבריאות</v>
      </c>
      <c r="H164" s="189">
        <f t="shared" si="241"/>
        <v>107</v>
      </c>
      <c r="I164" s="18">
        <f t="shared" si="242"/>
        <v>1</v>
      </c>
      <c r="J164" s="18" t="str">
        <f t="shared" si="243"/>
        <v>מינהלי - עובדי מדינה</v>
      </c>
      <c r="K164" s="189">
        <f t="shared" si="244"/>
        <v>1</v>
      </c>
      <c r="L164" s="18">
        <f t="shared" si="245"/>
        <v>12</v>
      </c>
      <c r="M164" s="129" t="str">
        <f t="shared" si="246"/>
        <v>17+</v>
      </c>
      <c r="N164" s="189"/>
      <c r="O164" s="132">
        <f t="shared" si="247"/>
        <v>1012</v>
      </c>
      <c r="P164" s="127">
        <f t="shared" si="248"/>
        <v>37</v>
      </c>
      <c r="Q164" s="127">
        <f t="shared" si="249"/>
        <v>22.75</v>
      </c>
      <c r="R164" s="128">
        <f t="shared" si="250"/>
        <v>92</v>
      </c>
      <c r="S164" s="130">
        <f t="shared" si="251"/>
        <v>1.2540512286990533</v>
      </c>
      <c r="T164" s="135">
        <f t="shared" si="188"/>
        <v>0</v>
      </c>
      <c r="U164" s="127">
        <f t="shared" si="189"/>
        <v>0</v>
      </c>
      <c r="V164" s="217">
        <v>0</v>
      </c>
      <c r="W164" s="191">
        <v>0</v>
      </c>
      <c r="X164" s="133">
        <v>0</v>
      </c>
      <c r="Y164" s="131">
        <f t="shared" si="190"/>
        <v>2438.5</v>
      </c>
      <c r="Z164" s="131">
        <f t="shared" si="191"/>
        <v>619.50392118264142</v>
      </c>
      <c r="AA164" s="242">
        <f t="shared" si="192"/>
        <v>3058.0039211826415</v>
      </c>
      <c r="AB164" s="131">
        <f t="shared" si="193"/>
        <v>0</v>
      </c>
      <c r="AC164" s="131">
        <f t="shared" si="194"/>
        <v>139.48055684730568</v>
      </c>
      <c r="AD164" s="131">
        <f t="shared" si="195"/>
        <v>0</v>
      </c>
      <c r="AE164" s="131">
        <f t="shared" si="196"/>
        <v>0</v>
      </c>
      <c r="AF164" s="131">
        <f t="shared" si="197"/>
        <v>75.260000000000005</v>
      </c>
      <c r="AG164" s="131">
        <f t="shared" si="198"/>
        <v>0</v>
      </c>
      <c r="AH164" s="131">
        <f t="shared" si="199"/>
        <v>0</v>
      </c>
      <c r="AI164" s="131">
        <f t="shared" si="200"/>
        <v>0</v>
      </c>
      <c r="AJ164" s="131">
        <f t="shared" si="201"/>
        <v>0</v>
      </c>
      <c r="AK164" s="131"/>
      <c r="AL164" s="131">
        <f t="shared" si="202"/>
        <v>0</v>
      </c>
      <c r="AM164" s="131"/>
      <c r="AN164" s="243">
        <f t="shared" si="203"/>
        <v>0</v>
      </c>
      <c r="AO164" s="131">
        <f t="shared" si="204"/>
        <v>0</v>
      </c>
      <c r="AP164" s="131">
        <f t="shared" si="205"/>
        <v>0</v>
      </c>
      <c r="AQ164" s="131"/>
      <c r="AR164" s="131">
        <f t="shared" si="206"/>
        <v>0</v>
      </c>
      <c r="AS164" s="131">
        <f t="shared" si="252"/>
        <v>0</v>
      </c>
      <c r="AT164" s="131">
        <f t="shared" si="207"/>
        <v>0</v>
      </c>
      <c r="AU164" s="131">
        <f t="shared" si="208"/>
        <v>0</v>
      </c>
      <c r="AV164" s="131"/>
      <c r="AW164" s="131">
        <f t="shared" si="209"/>
        <v>353.75</v>
      </c>
      <c r="AX164" s="131">
        <f t="shared" si="263"/>
        <v>0</v>
      </c>
      <c r="AY164" s="131">
        <f t="shared" si="210"/>
        <v>0</v>
      </c>
      <c r="AZ164" s="131"/>
      <c r="BA164" s="131">
        <f t="shared" si="264"/>
        <v>0</v>
      </c>
      <c r="BB164" s="131"/>
      <c r="BC164" s="131"/>
      <c r="BD164" s="131">
        <f t="shared" si="211"/>
        <v>0</v>
      </c>
      <c r="BE164" s="131"/>
      <c r="BF164" s="131">
        <f t="shared" si="253"/>
        <v>0</v>
      </c>
      <c r="BG164" s="131">
        <f t="shared" si="254"/>
        <v>0</v>
      </c>
      <c r="BH164" s="131"/>
      <c r="BI164" s="131"/>
      <c r="BJ164" s="131"/>
      <c r="BK164" s="131">
        <f t="shared" si="255"/>
        <v>0</v>
      </c>
      <c r="BL164" s="131"/>
      <c r="BM164" s="131"/>
      <c r="BN164" s="131">
        <f t="shared" si="256"/>
        <v>0</v>
      </c>
      <c r="BO164" s="131"/>
      <c r="BP164" s="131">
        <f t="shared" si="257"/>
        <v>0</v>
      </c>
      <c r="BQ164" s="131"/>
      <c r="BR164" s="131"/>
      <c r="BS164" s="131"/>
      <c r="BT164" s="131"/>
      <c r="BU164" s="131"/>
      <c r="BV164" s="131">
        <f t="shared" si="258"/>
        <v>0</v>
      </c>
      <c r="BW164" s="131"/>
      <c r="BX164" s="131"/>
      <c r="BY164" s="131"/>
      <c r="BZ164" s="131">
        <f t="shared" si="259"/>
        <v>0</v>
      </c>
      <c r="CA164" s="131"/>
      <c r="CB164" s="136">
        <f t="shared" si="212"/>
        <v>165.08663357180151</v>
      </c>
      <c r="CC164" s="131">
        <f t="shared" si="213"/>
        <v>0</v>
      </c>
      <c r="CD164" s="136">
        <f t="shared" si="214"/>
        <v>0</v>
      </c>
      <c r="CE164" s="131">
        <f t="shared" si="262"/>
        <v>0</v>
      </c>
      <c r="CF164" s="136">
        <f t="shared" si="215"/>
        <v>0</v>
      </c>
      <c r="CG164" s="136"/>
      <c r="CH164" s="136">
        <f t="shared" si="261"/>
        <v>0</v>
      </c>
      <c r="CI164" s="131">
        <f t="shared" si="216"/>
        <v>0</v>
      </c>
      <c r="CJ164" s="131"/>
      <c r="CK164" s="136">
        <f t="shared" si="217"/>
        <v>0</v>
      </c>
      <c r="CL164" s="136">
        <f t="shared" si="218"/>
        <v>0</v>
      </c>
      <c r="CM164" s="131">
        <f t="shared" si="219"/>
        <v>0</v>
      </c>
      <c r="CN164" s="136">
        <f t="shared" si="220"/>
        <v>0</v>
      </c>
      <c r="CO164" s="136">
        <f t="shared" si="221"/>
        <v>0</v>
      </c>
      <c r="CP164" s="136">
        <f t="shared" si="222"/>
        <v>0</v>
      </c>
      <c r="CQ164" s="136"/>
      <c r="CR164" s="136">
        <f t="shared" si="223"/>
        <v>0</v>
      </c>
      <c r="CS164" s="136"/>
      <c r="CT164" s="136"/>
      <c r="CU164" s="136"/>
      <c r="CV164" s="136"/>
      <c r="CW164" s="136"/>
      <c r="CX164" s="136"/>
      <c r="CY164" s="136"/>
      <c r="CZ164" s="136">
        <f t="shared" si="224"/>
        <v>0</v>
      </c>
      <c r="DA164" s="136">
        <f t="shared" si="225"/>
        <v>0</v>
      </c>
      <c r="DB164" s="136">
        <f t="shared" si="226"/>
        <v>0</v>
      </c>
      <c r="DC164" s="131">
        <f t="shared" si="185"/>
        <v>0</v>
      </c>
      <c r="DD164" s="131">
        <f t="shared" si="227"/>
        <v>0</v>
      </c>
      <c r="DE164" s="131">
        <f t="shared" si="228"/>
        <v>0</v>
      </c>
      <c r="DF164" s="131">
        <f t="shared" si="229"/>
        <v>0</v>
      </c>
      <c r="DG164" s="131">
        <f t="shared" si="230"/>
        <v>0</v>
      </c>
      <c r="DH164" s="131"/>
      <c r="DI164" s="131"/>
      <c r="DJ164" s="131"/>
      <c r="DK164" s="137">
        <f t="shared" si="260"/>
        <v>3791.5811116017489</v>
      </c>
      <c r="DL164" s="227" t="e">
        <f t="shared" si="231"/>
        <v>#REF!</v>
      </c>
      <c r="DM164" s="227" t="e">
        <f t="shared" si="232"/>
        <v>#REF!</v>
      </c>
      <c r="DN164" s="228" t="e">
        <f t="shared" si="186"/>
        <v>#REF!</v>
      </c>
      <c r="DO164" s="228">
        <f t="shared" si="233"/>
        <v>181.81087083894022</v>
      </c>
      <c r="DP164" s="228" t="e">
        <f t="shared" si="234"/>
        <v>#REF!</v>
      </c>
      <c r="DQ164" s="228" t="e">
        <f t="shared" si="235"/>
        <v>#REF!</v>
      </c>
    </row>
    <row r="165" spans="1:121">
      <c r="A165" s="132">
        <f t="shared" si="265"/>
        <v>155</v>
      </c>
      <c r="B165" s="18">
        <f t="shared" si="236"/>
        <v>155</v>
      </c>
      <c r="C165" s="18">
        <f>IF(A165=0," ",VLOOKUP(B165,'tosafot '!$A$7:$B$234,2,0))</f>
        <v>11.202</v>
      </c>
      <c r="D165" s="220">
        <f t="shared" si="237"/>
        <v>228</v>
      </c>
      <c r="E165" s="130">
        <f t="shared" si="238"/>
        <v>12.2026</v>
      </c>
      <c r="F165" s="126">
        <f t="shared" si="239"/>
        <v>9</v>
      </c>
      <c r="G165" s="18" t="str">
        <f t="shared" si="240"/>
        <v>הבריאות</v>
      </c>
      <c r="H165" s="189">
        <f t="shared" si="241"/>
        <v>107</v>
      </c>
      <c r="I165" s="18">
        <f t="shared" si="242"/>
        <v>1</v>
      </c>
      <c r="J165" s="18" t="str">
        <f t="shared" si="243"/>
        <v>מינהלי - עובדי מדינה</v>
      </c>
      <c r="K165" s="189">
        <f t="shared" si="244"/>
        <v>1</v>
      </c>
      <c r="L165" s="18">
        <f t="shared" si="245"/>
        <v>12</v>
      </c>
      <c r="M165" s="129" t="str">
        <f t="shared" si="246"/>
        <v>17+</v>
      </c>
      <c r="N165" s="189"/>
      <c r="O165" s="132">
        <f t="shared" si="247"/>
        <v>1012</v>
      </c>
      <c r="P165" s="127">
        <f t="shared" si="248"/>
        <v>37</v>
      </c>
      <c r="Q165" s="127">
        <f t="shared" si="249"/>
        <v>22.75</v>
      </c>
      <c r="R165" s="128">
        <f t="shared" si="250"/>
        <v>92</v>
      </c>
      <c r="S165" s="130">
        <f t="shared" si="251"/>
        <v>1.2540512286990533</v>
      </c>
      <c r="T165" s="135">
        <f t="shared" si="188"/>
        <v>0</v>
      </c>
      <c r="U165" s="127">
        <f t="shared" si="189"/>
        <v>0</v>
      </c>
      <c r="V165" s="217">
        <v>0</v>
      </c>
      <c r="W165" s="191">
        <v>0</v>
      </c>
      <c r="X165" s="133">
        <v>0</v>
      </c>
      <c r="Y165" s="131">
        <f t="shared" si="190"/>
        <v>2438.5</v>
      </c>
      <c r="Z165" s="131">
        <f t="shared" si="191"/>
        <v>619.50392118264142</v>
      </c>
      <c r="AA165" s="242">
        <f t="shared" si="192"/>
        <v>3058.0039211826415</v>
      </c>
      <c r="AB165" s="131">
        <f t="shared" si="193"/>
        <v>0</v>
      </c>
      <c r="AC165" s="131">
        <f t="shared" si="194"/>
        <v>139.48055684730568</v>
      </c>
      <c r="AD165" s="131">
        <f t="shared" si="195"/>
        <v>0</v>
      </c>
      <c r="AE165" s="131">
        <f t="shared" si="196"/>
        <v>0</v>
      </c>
      <c r="AF165" s="131">
        <f t="shared" si="197"/>
        <v>75.260000000000005</v>
      </c>
      <c r="AG165" s="131">
        <f t="shared" si="198"/>
        <v>0</v>
      </c>
      <c r="AH165" s="131">
        <f t="shared" si="199"/>
        <v>0</v>
      </c>
      <c r="AI165" s="131">
        <f t="shared" si="200"/>
        <v>0</v>
      </c>
      <c r="AJ165" s="131">
        <f t="shared" si="201"/>
        <v>0</v>
      </c>
      <c r="AK165" s="131"/>
      <c r="AL165" s="131">
        <f t="shared" si="202"/>
        <v>0</v>
      </c>
      <c r="AM165" s="131"/>
      <c r="AN165" s="243">
        <f t="shared" si="203"/>
        <v>0</v>
      </c>
      <c r="AO165" s="131">
        <f t="shared" si="204"/>
        <v>0</v>
      </c>
      <c r="AP165" s="131">
        <f t="shared" si="205"/>
        <v>0</v>
      </c>
      <c r="AQ165" s="131"/>
      <c r="AR165" s="131">
        <f t="shared" si="206"/>
        <v>0</v>
      </c>
      <c r="AS165" s="131">
        <f t="shared" si="252"/>
        <v>0</v>
      </c>
      <c r="AT165" s="131">
        <f t="shared" si="207"/>
        <v>0</v>
      </c>
      <c r="AU165" s="131">
        <f t="shared" si="208"/>
        <v>0</v>
      </c>
      <c r="AV165" s="131"/>
      <c r="AW165" s="131">
        <f t="shared" si="209"/>
        <v>353.75</v>
      </c>
      <c r="AX165" s="131">
        <f t="shared" si="263"/>
        <v>0</v>
      </c>
      <c r="AY165" s="131">
        <f t="shared" si="210"/>
        <v>0</v>
      </c>
      <c r="AZ165" s="131"/>
      <c r="BA165" s="131">
        <f t="shared" si="264"/>
        <v>0</v>
      </c>
      <c r="BB165" s="131"/>
      <c r="BC165" s="131"/>
      <c r="BD165" s="131">
        <f t="shared" si="211"/>
        <v>0</v>
      </c>
      <c r="BE165" s="131"/>
      <c r="BF165" s="131">
        <f t="shared" si="253"/>
        <v>0</v>
      </c>
      <c r="BG165" s="131">
        <f t="shared" si="254"/>
        <v>0</v>
      </c>
      <c r="BH165" s="131"/>
      <c r="BI165" s="131"/>
      <c r="BJ165" s="131"/>
      <c r="BK165" s="131">
        <f t="shared" si="255"/>
        <v>0</v>
      </c>
      <c r="BL165" s="131"/>
      <c r="BM165" s="131"/>
      <c r="BN165" s="131">
        <f t="shared" si="256"/>
        <v>0</v>
      </c>
      <c r="BO165" s="131"/>
      <c r="BP165" s="131">
        <f t="shared" si="257"/>
        <v>0</v>
      </c>
      <c r="BQ165" s="131"/>
      <c r="BR165" s="131"/>
      <c r="BS165" s="131"/>
      <c r="BT165" s="131"/>
      <c r="BU165" s="131"/>
      <c r="BV165" s="131">
        <f t="shared" si="258"/>
        <v>0</v>
      </c>
      <c r="BW165" s="131"/>
      <c r="BX165" s="131"/>
      <c r="BY165" s="131"/>
      <c r="BZ165" s="131">
        <f t="shared" si="259"/>
        <v>0</v>
      </c>
      <c r="CA165" s="131"/>
      <c r="CB165" s="136">
        <f t="shared" si="212"/>
        <v>165.08663357180151</v>
      </c>
      <c r="CC165" s="131">
        <f t="shared" si="213"/>
        <v>0</v>
      </c>
      <c r="CD165" s="136">
        <f t="shared" si="214"/>
        <v>0</v>
      </c>
      <c r="CE165" s="131">
        <f t="shared" si="262"/>
        <v>0</v>
      </c>
      <c r="CF165" s="136">
        <f t="shared" si="215"/>
        <v>0</v>
      </c>
      <c r="CG165" s="136"/>
      <c r="CH165" s="136">
        <f t="shared" si="261"/>
        <v>0</v>
      </c>
      <c r="CI165" s="131">
        <f t="shared" si="216"/>
        <v>0</v>
      </c>
      <c r="CJ165" s="131"/>
      <c r="CK165" s="136">
        <f t="shared" si="217"/>
        <v>0</v>
      </c>
      <c r="CL165" s="136">
        <f t="shared" si="218"/>
        <v>0</v>
      </c>
      <c r="CM165" s="131">
        <f t="shared" si="219"/>
        <v>0</v>
      </c>
      <c r="CN165" s="136">
        <f t="shared" si="220"/>
        <v>0</v>
      </c>
      <c r="CO165" s="136">
        <f t="shared" si="221"/>
        <v>0</v>
      </c>
      <c r="CP165" s="136">
        <f t="shared" si="222"/>
        <v>0</v>
      </c>
      <c r="CQ165" s="136"/>
      <c r="CR165" s="136">
        <f t="shared" si="223"/>
        <v>0</v>
      </c>
      <c r="CS165" s="136"/>
      <c r="CT165" s="136"/>
      <c r="CU165" s="136"/>
      <c r="CV165" s="136"/>
      <c r="CW165" s="136"/>
      <c r="CX165" s="136"/>
      <c r="CY165" s="136"/>
      <c r="CZ165" s="136">
        <f t="shared" si="224"/>
        <v>0</v>
      </c>
      <c r="DA165" s="136">
        <f t="shared" si="225"/>
        <v>0</v>
      </c>
      <c r="DB165" s="136">
        <f t="shared" si="226"/>
        <v>0</v>
      </c>
      <c r="DC165" s="131">
        <f t="shared" si="185"/>
        <v>0</v>
      </c>
      <c r="DD165" s="131">
        <f t="shared" si="227"/>
        <v>0</v>
      </c>
      <c r="DE165" s="131">
        <f t="shared" si="228"/>
        <v>0</v>
      </c>
      <c r="DF165" s="131">
        <f t="shared" si="229"/>
        <v>0</v>
      </c>
      <c r="DG165" s="131">
        <f t="shared" si="230"/>
        <v>0</v>
      </c>
      <c r="DH165" s="131"/>
      <c r="DI165" s="131"/>
      <c r="DJ165" s="131"/>
      <c r="DK165" s="137">
        <f t="shared" si="260"/>
        <v>3791.5811116017489</v>
      </c>
      <c r="DL165" s="227" t="e">
        <f t="shared" si="231"/>
        <v>#REF!</v>
      </c>
      <c r="DM165" s="227" t="e">
        <f t="shared" si="232"/>
        <v>#REF!</v>
      </c>
      <c r="DN165" s="228" t="e">
        <f t="shared" si="186"/>
        <v>#REF!</v>
      </c>
      <c r="DO165" s="228">
        <f t="shared" si="233"/>
        <v>181.81087083894022</v>
      </c>
      <c r="DP165" s="228" t="e">
        <f t="shared" si="234"/>
        <v>#REF!</v>
      </c>
      <c r="DQ165" s="228" t="e">
        <f t="shared" si="235"/>
        <v>#REF!</v>
      </c>
    </row>
    <row r="166" spans="1:121">
      <c r="A166" s="132">
        <f t="shared" si="265"/>
        <v>156</v>
      </c>
      <c r="B166" s="18">
        <f t="shared" si="236"/>
        <v>156</v>
      </c>
      <c r="C166" s="18">
        <f>IF(A166=0," ",VLOOKUP(B166,'tosafot '!$A$7:$B$234,2,0))</f>
        <v>12.202</v>
      </c>
      <c r="D166" s="220">
        <f t="shared" si="237"/>
        <v>228</v>
      </c>
      <c r="E166" s="130">
        <f t="shared" si="238"/>
        <v>12.2026</v>
      </c>
      <c r="F166" s="126">
        <f t="shared" si="239"/>
        <v>9</v>
      </c>
      <c r="G166" s="18" t="str">
        <f t="shared" si="240"/>
        <v>הבריאות</v>
      </c>
      <c r="H166" s="189">
        <f t="shared" si="241"/>
        <v>107</v>
      </c>
      <c r="I166" s="18">
        <f t="shared" si="242"/>
        <v>1</v>
      </c>
      <c r="J166" s="18" t="str">
        <f t="shared" si="243"/>
        <v>מינהלי - עובדי מדינה</v>
      </c>
      <c r="K166" s="189">
        <f t="shared" si="244"/>
        <v>1</v>
      </c>
      <c r="L166" s="18">
        <f t="shared" si="245"/>
        <v>12</v>
      </c>
      <c r="M166" s="129" t="str">
        <f t="shared" si="246"/>
        <v>17+</v>
      </c>
      <c r="N166" s="189"/>
      <c r="O166" s="132">
        <f t="shared" si="247"/>
        <v>1012</v>
      </c>
      <c r="P166" s="127">
        <f t="shared" si="248"/>
        <v>37</v>
      </c>
      <c r="Q166" s="127">
        <f t="shared" si="249"/>
        <v>22.75</v>
      </c>
      <c r="R166" s="128">
        <f t="shared" si="250"/>
        <v>92</v>
      </c>
      <c r="S166" s="130">
        <f t="shared" si="251"/>
        <v>1.2540512286990533</v>
      </c>
      <c r="T166" s="135">
        <f t="shared" si="188"/>
        <v>0</v>
      </c>
      <c r="U166" s="127">
        <f t="shared" si="189"/>
        <v>0</v>
      </c>
      <c r="V166" s="217">
        <v>0</v>
      </c>
      <c r="W166" s="191">
        <v>0</v>
      </c>
      <c r="X166" s="133">
        <v>0</v>
      </c>
      <c r="Y166" s="131">
        <f t="shared" si="190"/>
        <v>2438.5</v>
      </c>
      <c r="Z166" s="131">
        <f t="shared" si="191"/>
        <v>619.50392118264142</v>
      </c>
      <c r="AA166" s="242">
        <f t="shared" si="192"/>
        <v>3058.0039211826415</v>
      </c>
      <c r="AB166" s="131">
        <f t="shared" si="193"/>
        <v>0</v>
      </c>
      <c r="AC166" s="131">
        <f t="shared" si="194"/>
        <v>139.48055684730568</v>
      </c>
      <c r="AD166" s="131">
        <f t="shared" si="195"/>
        <v>0</v>
      </c>
      <c r="AE166" s="131">
        <f t="shared" si="196"/>
        <v>0</v>
      </c>
      <c r="AF166" s="131">
        <f t="shared" si="197"/>
        <v>75.260000000000005</v>
      </c>
      <c r="AG166" s="131">
        <f t="shared" si="198"/>
        <v>0</v>
      </c>
      <c r="AH166" s="131">
        <f t="shared" si="199"/>
        <v>0</v>
      </c>
      <c r="AI166" s="131">
        <f t="shared" si="200"/>
        <v>0</v>
      </c>
      <c r="AJ166" s="131">
        <f t="shared" si="201"/>
        <v>0</v>
      </c>
      <c r="AK166" s="131"/>
      <c r="AL166" s="131">
        <f t="shared" si="202"/>
        <v>0</v>
      </c>
      <c r="AM166" s="131"/>
      <c r="AN166" s="243">
        <f t="shared" si="203"/>
        <v>0</v>
      </c>
      <c r="AO166" s="131">
        <f t="shared" si="204"/>
        <v>0</v>
      </c>
      <c r="AP166" s="131">
        <f t="shared" si="205"/>
        <v>0</v>
      </c>
      <c r="AQ166" s="131"/>
      <c r="AR166" s="131">
        <f t="shared" si="206"/>
        <v>0</v>
      </c>
      <c r="AS166" s="131">
        <f t="shared" si="252"/>
        <v>0</v>
      </c>
      <c r="AT166" s="131">
        <f t="shared" si="207"/>
        <v>0</v>
      </c>
      <c r="AU166" s="131">
        <f t="shared" si="208"/>
        <v>0</v>
      </c>
      <c r="AV166" s="131"/>
      <c r="AW166" s="131">
        <f t="shared" si="209"/>
        <v>353.75</v>
      </c>
      <c r="AX166" s="131">
        <f t="shared" si="263"/>
        <v>0</v>
      </c>
      <c r="AY166" s="131">
        <f t="shared" si="210"/>
        <v>0</v>
      </c>
      <c r="AZ166" s="131"/>
      <c r="BA166" s="131">
        <f t="shared" si="264"/>
        <v>0</v>
      </c>
      <c r="BB166" s="131"/>
      <c r="BC166" s="131"/>
      <c r="BD166" s="131">
        <f t="shared" si="211"/>
        <v>0</v>
      </c>
      <c r="BE166" s="131"/>
      <c r="BF166" s="131">
        <f t="shared" si="253"/>
        <v>0</v>
      </c>
      <c r="BG166" s="131">
        <f t="shared" si="254"/>
        <v>0</v>
      </c>
      <c r="BH166" s="131"/>
      <c r="BI166" s="131"/>
      <c r="BJ166" s="131"/>
      <c r="BK166" s="131">
        <f t="shared" si="255"/>
        <v>0</v>
      </c>
      <c r="BL166" s="131"/>
      <c r="BM166" s="131"/>
      <c r="BN166" s="131">
        <f t="shared" si="256"/>
        <v>0</v>
      </c>
      <c r="BO166" s="131"/>
      <c r="BP166" s="131">
        <f t="shared" si="257"/>
        <v>0</v>
      </c>
      <c r="BQ166" s="131"/>
      <c r="BR166" s="131"/>
      <c r="BS166" s="131"/>
      <c r="BT166" s="131"/>
      <c r="BU166" s="131"/>
      <c r="BV166" s="131">
        <f t="shared" si="258"/>
        <v>0</v>
      </c>
      <c r="BW166" s="131"/>
      <c r="BX166" s="131"/>
      <c r="BY166" s="131"/>
      <c r="BZ166" s="131">
        <f t="shared" si="259"/>
        <v>0</v>
      </c>
      <c r="CA166" s="131"/>
      <c r="CB166" s="136">
        <f t="shared" si="212"/>
        <v>165.08663357180151</v>
      </c>
      <c r="CC166" s="131">
        <f t="shared" si="213"/>
        <v>0</v>
      </c>
      <c r="CD166" s="136">
        <f t="shared" si="214"/>
        <v>0</v>
      </c>
      <c r="CE166" s="131">
        <f t="shared" si="262"/>
        <v>0</v>
      </c>
      <c r="CF166" s="136">
        <f t="shared" si="215"/>
        <v>0</v>
      </c>
      <c r="CG166" s="136"/>
      <c r="CH166" s="136">
        <f t="shared" si="261"/>
        <v>0</v>
      </c>
      <c r="CI166" s="131">
        <f t="shared" si="216"/>
        <v>0</v>
      </c>
      <c r="CJ166" s="131"/>
      <c r="CK166" s="136">
        <f t="shared" si="217"/>
        <v>0</v>
      </c>
      <c r="CL166" s="136">
        <f t="shared" si="218"/>
        <v>0</v>
      </c>
      <c r="CM166" s="131">
        <f t="shared" si="219"/>
        <v>0</v>
      </c>
      <c r="CN166" s="136">
        <f t="shared" si="220"/>
        <v>0</v>
      </c>
      <c r="CO166" s="136">
        <f t="shared" si="221"/>
        <v>0</v>
      </c>
      <c r="CP166" s="136">
        <f t="shared" si="222"/>
        <v>0</v>
      </c>
      <c r="CQ166" s="136"/>
      <c r="CR166" s="136">
        <f t="shared" si="223"/>
        <v>0</v>
      </c>
      <c r="CS166" s="136"/>
      <c r="CT166" s="136"/>
      <c r="CU166" s="136"/>
      <c r="CV166" s="136"/>
      <c r="CW166" s="136"/>
      <c r="CX166" s="136"/>
      <c r="CY166" s="136"/>
      <c r="CZ166" s="136">
        <f t="shared" si="224"/>
        <v>0</v>
      </c>
      <c r="DA166" s="136">
        <f t="shared" si="225"/>
        <v>0</v>
      </c>
      <c r="DB166" s="136">
        <f t="shared" si="226"/>
        <v>0</v>
      </c>
      <c r="DC166" s="131">
        <f t="shared" si="185"/>
        <v>0</v>
      </c>
      <c r="DD166" s="131">
        <f t="shared" si="227"/>
        <v>0</v>
      </c>
      <c r="DE166" s="131">
        <f t="shared" si="228"/>
        <v>0</v>
      </c>
      <c r="DF166" s="131">
        <f t="shared" si="229"/>
        <v>0</v>
      </c>
      <c r="DG166" s="131">
        <f t="shared" si="230"/>
        <v>0</v>
      </c>
      <c r="DH166" s="131"/>
      <c r="DI166" s="131"/>
      <c r="DJ166" s="131"/>
      <c r="DK166" s="137">
        <f t="shared" si="260"/>
        <v>3791.5811116017489</v>
      </c>
      <c r="DL166" s="227" t="e">
        <f t="shared" si="231"/>
        <v>#REF!</v>
      </c>
      <c r="DM166" s="227" t="e">
        <f t="shared" si="232"/>
        <v>#REF!</v>
      </c>
      <c r="DN166" s="228" t="e">
        <f t="shared" si="186"/>
        <v>#REF!</v>
      </c>
      <c r="DO166" s="228">
        <f t="shared" si="233"/>
        <v>181.81087083894022</v>
      </c>
      <c r="DP166" s="228" t="e">
        <f t="shared" si="234"/>
        <v>#REF!</v>
      </c>
      <c r="DQ166" s="228" t="e">
        <f t="shared" si="235"/>
        <v>#REF!</v>
      </c>
    </row>
    <row r="167" spans="1:121">
      <c r="A167" s="132">
        <f t="shared" si="265"/>
        <v>157</v>
      </c>
      <c r="B167" s="18">
        <f t="shared" si="236"/>
        <v>157</v>
      </c>
      <c r="C167" s="18">
        <f>IF(A167=0," ",VLOOKUP(B167,'tosafot '!$A$7:$B$234,2,0))</f>
        <v>1.2020999999999999</v>
      </c>
      <c r="D167" s="220">
        <f t="shared" si="237"/>
        <v>228</v>
      </c>
      <c r="E167" s="130">
        <f t="shared" si="238"/>
        <v>12.2026</v>
      </c>
      <c r="F167" s="126">
        <f t="shared" si="239"/>
        <v>9</v>
      </c>
      <c r="G167" s="18" t="str">
        <f t="shared" si="240"/>
        <v>הבריאות</v>
      </c>
      <c r="H167" s="189">
        <f t="shared" si="241"/>
        <v>107</v>
      </c>
      <c r="I167" s="18">
        <f t="shared" si="242"/>
        <v>1</v>
      </c>
      <c r="J167" s="18" t="str">
        <f t="shared" si="243"/>
        <v>מינהלי - עובדי מדינה</v>
      </c>
      <c r="K167" s="189">
        <f t="shared" si="244"/>
        <v>1</v>
      </c>
      <c r="L167" s="18">
        <f t="shared" si="245"/>
        <v>12</v>
      </c>
      <c r="M167" s="129" t="str">
        <f t="shared" si="246"/>
        <v>17+</v>
      </c>
      <c r="N167" s="189"/>
      <c r="O167" s="132">
        <f t="shared" si="247"/>
        <v>1012</v>
      </c>
      <c r="P167" s="127">
        <f t="shared" si="248"/>
        <v>37</v>
      </c>
      <c r="Q167" s="127">
        <f t="shared" si="249"/>
        <v>22.75</v>
      </c>
      <c r="R167" s="128">
        <f t="shared" si="250"/>
        <v>92</v>
      </c>
      <c r="S167" s="130">
        <f t="shared" si="251"/>
        <v>1.2540512286990533</v>
      </c>
      <c r="T167" s="135">
        <f t="shared" si="188"/>
        <v>0</v>
      </c>
      <c r="U167" s="127">
        <f t="shared" si="189"/>
        <v>0</v>
      </c>
      <c r="V167" s="217">
        <v>0</v>
      </c>
      <c r="W167" s="191">
        <v>0</v>
      </c>
      <c r="X167" s="133">
        <v>0</v>
      </c>
      <c r="Y167" s="131">
        <f t="shared" si="190"/>
        <v>2438.5</v>
      </c>
      <c r="Z167" s="131">
        <f t="shared" si="191"/>
        <v>619.50392118264142</v>
      </c>
      <c r="AA167" s="242">
        <f t="shared" si="192"/>
        <v>3058.0039211826415</v>
      </c>
      <c r="AB167" s="131">
        <f t="shared" si="193"/>
        <v>0</v>
      </c>
      <c r="AC167" s="131">
        <f t="shared" si="194"/>
        <v>139.48055684730568</v>
      </c>
      <c r="AD167" s="131">
        <f t="shared" si="195"/>
        <v>0</v>
      </c>
      <c r="AE167" s="131">
        <f t="shared" si="196"/>
        <v>0</v>
      </c>
      <c r="AF167" s="131">
        <f t="shared" si="197"/>
        <v>75.260000000000005</v>
      </c>
      <c r="AG167" s="131">
        <f t="shared" si="198"/>
        <v>0</v>
      </c>
      <c r="AH167" s="131">
        <f t="shared" si="199"/>
        <v>0</v>
      </c>
      <c r="AI167" s="131">
        <f t="shared" si="200"/>
        <v>0</v>
      </c>
      <c r="AJ167" s="131">
        <f t="shared" si="201"/>
        <v>0</v>
      </c>
      <c r="AK167" s="131"/>
      <c r="AL167" s="131">
        <f t="shared" si="202"/>
        <v>0</v>
      </c>
      <c r="AM167" s="131"/>
      <c r="AN167" s="243">
        <f t="shared" si="203"/>
        <v>0</v>
      </c>
      <c r="AO167" s="131">
        <f t="shared" si="204"/>
        <v>0</v>
      </c>
      <c r="AP167" s="131">
        <f t="shared" si="205"/>
        <v>0</v>
      </c>
      <c r="AQ167" s="131"/>
      <c r="AR167" s="131">
        <f t="shared" si="206"/>
        <v>0</v>
      </c>
      <c r="AS167" s="131">
        <f t="shared" si="252"/>
        <v>0</v>
      </c>
      <c r="AT167" s="131">
        <f t="shared" si="207"/>
        <v>0</v>
      </c>
      <c r="AU167" s="131">
        <f t="shared" si="208"/>
        <v>0</v>
      </c>
      <c r="AV167" s="131"/>
      <c r="AW167" s="131">
        <f t="shared" si="209"/>
        <v>353.75</v>
      </c>
      <c r="AX167" s="131">
        <f t="shared" si="263"/>
        <v>0</v>
      </c>
      <c r="AY167" s="131">
        <f t="shared" si="210"/>
        <v>0</v>
      </c>
      <c r="AZ167" s="131"/>
      <c r="BA167" s="131">
        <f t="shared" si="264"/>
        <v>0</v>
      </c>
      <c r="BB167" s="131"/>
      <c r="BC167" s="131"/>
      <c r="BD167" s="131">
        <f t="shared" si="211"/>
        <v>0</v>
      </c>
      <c r="BE167" s="131"/>
      <c r="BF167" s="131">
        <f t="shared" si="253"/>
        <v>0</v>
      </c>
      <c r="BG167" s="131">
        <f t="shared" si="254"/>
        <v>0</v>
      </c>
      <c r="BH167" s="131"/>
      <c r="BI167" s="131"/>
      <c r="BJ167" s="131"/>
      <c r="BK167" s="131">
        <f t="shared" si="255"/>
        <v>0</v>
      </c>
      <c r="BL167" s="131"/>
      <c r="BM167" s="131"/>
      <c r="BN167" s="131">
        <f t="shared" si="256"/>
        <v>0</v>
      </c>
      <c r="BO167" s="131"/>
      <c r="BP167" s="131">
        <f t="shared" si="257"/>
        <v>0</v>
      </c>
      <c r="BQ167" s="131"/>
      <c r="BR167" s="131"/>
      <c r="BS167" s="131"/>
      <c r="BT167" s="131"/>
      <c r="BU167" s="131"/>
      <c r="BV167" s="131">
        <f t="shared" si="258"/>
        <v>0</v>
      </c>
      <c r="BW167" s="131"/>
      <c r="BX167" s="131"/>
      <c r="BY167" s="131"/>
      <c r="BZ167" s="131">
        <f t="shared" si="259"/>
        <v>0</v>
      </c>
      <c r="CA167" s="131"/>
      <c r="CB167" s="136">
        <f t="shared" si="212"/>
        <v>165.08663357180151</v>
      </c>
      <c r="CC167" s="131">
        <f t="shared" si="213"/>
        <v>0</v>
      </c>
      <c r="CD167" s="136">
        <f t="shared" si="214"/>
        <v>0</v>
      </c>
      <c r="CE167" s="131">
        <f t="shared" si="262"/>
        <v>0</v>
      </c>
      <c r="CF167" s="136">
        <f t="shared" si="215"/>
        <v>0</v>
      </c>
      <c r="CG167" s="136"/>
      <c r="CH167" s="136">
        <f t="shared" si="261"/>
        <v>0</v>
      </c>
      <c r="CI167" s="131">
        <f t="shared" si="216"/>
        <v>0</v>
      </c>
      <c r="CJ167" s="131"/>
      <c r="CK167" s="136">
        <f t="shared" si="217"/>
        <v>0</v>
      </c>
      <c r="CL167" s="136">
        <f t="shared" si="218"/>
        <v>0</v>
      </c>
      <c r="CM167" s="131">
        <f t="shared" si="219"/>
        <v>0</v>
      </c>
      <c r="CN167" s="136">
        <f t="shared" si="220"/>
        <v>0</v>
      </c>
      <c r="CO167" s="136">
        <f t="shared" si="221"/>
        <v>0</v>
      </c>
      <c r="CP167" s="136">
        <f t="shared" si="222"/>
        <v>0</v>
      </c>
      <c r="CQ167" s="136"/>
      <c r="CR167" s="136">
        <f t="shared" si="223"/>
        <v>0</v>
      </c>
      <c r="CS167" s="136"/>
      <c r="CT167" s="136"/>
      <c r="CU167" s="136"/>
      <c r="CV167" s="136"/>
      <c r="CW167" s="136"/>
      <c r="CX167" s="136"/>
      <c r="CY167" s="136"/>
      <c r="CZ167" s="136">
        <f t="shared" si="224"/>
        <v>0</v>
      </c>
      <c r="DA167" s="136">
        <f t="shared" si="225"/>
        <v>0</v>
      </c>
      <c r="DB167" s="136">
        <f t="shared" si="226"/>
        <v>0</v>
      </c>
      <c r="DC167" s="131">
        <f t="shared" si="185"/>
        <v>0</v>
      </c>
      <c r="DD167" s="131">
        <f t="shared" si="227"/>
        <v>0</v>
      </c>
      <c r="DE167" s="131">
        <f t="shared" si="228"/>
        <v>0</v>
      </c>
      <c r="DF167" s="131">
        <f t="shared" si="229"/>
        <v>0</v>
      </c>
      <c r="DG167" s="131">
        <f t="shared" si="230"/>
        <v>0</v>
      </c>
      <c r="DH167" s="131"/>
      <c r="DI167" s="131"/>
      <c r="DJ167" s="131"/>
      <c r="DK167" s="137">
        <f t="shared" si="260"/>
        <v>3791.5811116017489</v>
      </c>
      <c r="DL167" s="227" t="e">
        <f t="shared" si="231"/>
        <v>#REF!</v>
      </c>
      <c r="DM167" s="227" t="e">
        <f t="shared" si="232"/>
        <v>#REF!</v>
      </c>
      <c r="DN167" s="228" t="e">
        <f t="shared" si="186"/>
        <v>#REF!</v>
      </c>
      <c r="DO167" s="228">
        <f t="shared" si="233"/>
        <v>181.81087083894022</v>
      </c>
      <c r="DP167" s="228" t="e">
        <f t="shared" si="234"/>
        <v>#REF!</v>
      </c>
      <c r="DQ167" s="228" t="e">
        <f t="shared" si="235"/>
        <v>#REF!</v>
      </c>
    </row>
    <row r="168" spans="1:121">
      <c r="A168" s="132">
        <f t="shared" si="265"/>
        <v>158</v>
      </c>
      <c r="B168" s="18">
        <f t="shared" si="236"/>
        <v>158</v>
      </c>
      <c r="C168" s="18">
        <f>IF(A168=0," ",VLOOKUP(B168,'tosafot '!$A$7:$B$234,2,0))</f>
        <v>2.2021000000000002</v>
      </c>
      <c r="D168" s="220">
        <f t="shared" si="237"/>
        <v>228</v>
      </c>
      <c r="E168" s="130">
        <f t="shared" si="238"/>
        <v>12.2026</v>
      </c>
      <c r="F168" s="126">
        <f t="shared" si="239"/>
        <v>9</v>
      </c>
      <c r="G168" s="18" t="str">
        <f t="shared" si="240"/>
        <v>הבריאות</v>
      </c>
      <c r="H168" s="189">
        <f t="shared" si="241"/>
        <v>107</v>
      </c>
      <c r="I168" s="18">
        <f t="shared" si="242"/>
        <v>1</v>
      </c>
      <c r="J168" s="18" t="str">
        <f t="shared" si="243"/>
        <v>מינהלי - עובדי מדינה</v>
      </c>
      <c r="K168" s="189">
        <f t="shared" si="244"/>
        <v>1</v>
      </c>
      <c r="L168" s="18">
        <f t="shared" si="245"/>
        <v>12</v>
      </c>
      <c r="M168" s="129" t="str">
        <f t="shared" si="246"/>
        <v>17+</v>
      </c>
      <c r="N168" s="189"/>
      <c r="O168" s="132">
        <f t="shared" si="247"/>
        <v>1012</v>
      </c>
      <c r="P168" s="127">
        <f t="shared" si="248"/>
        <v>37</v>
      </c>
      <c r="Q168" s="127">
        <f t="shared" si="249"/>
        <v>22.75</v>
      </c>
      <c r="R168" s="128">
        <f t="shared" si="250"/>
        <v>92</v>
      </c>
      <c r="S168" s="130">
        <f t="shared" si="251"/>
        <v>1.2540512286990533</v>
      </c>
      <c r="T168" s="135">
        <f t="shared" si="188"/>
        <v>0</v>
      </c>
      <c r="U168" s="127">
        <f t="shared" si="189"/>
        <v>0</v>
      </c>
      <c r="V168" s="217">
        <v>0</v>
      </c>
      <c r="W168" s="191">
        <v>0</v>
      </c>
      <c r="X168" s="133">
        <v>0</v>
      </c>
      <c r="Y168" s="131">
        <f t="shared" si="190"/>
        <v>2438.5</v>
      </c>
      <c r="Z168" s="131">
        <f t="shared" si="191"/>
        <v>619.50392118264142</v>
      </c>
      <c r="AA168" s="242">
        <f t="shared" si="192"/>
        <v>3058.0039211826415</v>
      </c>
      <c r="AB168" s="131">
        <f t="shared" si="193"/>
        <v>0</v>
      </c>
      <c r="AC168" s="131">
        <f t="shared" si="194"/>
        <v>139.48055684730568</v>
      </c>
      <c r="AD168" s="131">
        <f t="shared" si="195"/>
        <v>0</v>
      </c>
      <c r="AE168" s="131">
        <f t="shared" si="196"/>
        <v>0</v>
      </c>
      <c r="AF168" s="131">
        <f t="shared" si="197"/>
        <v>75.260000000000005</v>
      </c>
      <c r="AG168" s="131">
        <f t="shared" si="198"/>
        <v>0</v>
      </c>
      <c r="AH168" s="131">
        <f t="shared" si="199"/>
        <v>0</v>
      </c>
      <c r="AI168" s="131">
        <f t="shared" si="200"/>
        <v>0</v>
      </c>
      <c r="AJ168" s="131">
        <f t="shared" si="201"/>
        <v>0</v>
      </c>
      <c r="AK168" s="131"/>
      <c r="AL168" s="131">
        <f t="shared" si="202"/>
        <v>0</v>
      </c>
      <c r="AM168" s="131"/>
      <c r="AN168" s="243">
        <f t="shared" si="203"/>
        <v>0</v>
      </c>
      <c r="AO168" s="131">
        <f t="shared" si="204"/>
        <v>0</v>
      </c>
      <c r="AP168" s="131">
        <f t="shared" si="205"/>
        <v>0</v>
      </c>
      <c r="AQ168" s="131"/>
      <c r="AR168" s="131">
        <f t="shared" si="206"/>
        <v>0</v>
      </c>
      <c r="AS168" s="131">
        <f t="shared" si="252"/>
        <v>0</v>
      </c>
      <c r="AT168" s="131">
        <f t="shared" si="207"/>
        <v>0</v>
      </c>
      <c r="AU168" s="131">
        <f t="shared" si="208"/>
        <v>0</v>
      </c>
      <c r="AV168" s="131"/>
      <c r="AW168" s="131">
        <f t="shared" si="209"/>
        <v>353.75</v>
      </c>
      <c r="AX168" s="131">
        <f t="shared" si="263"/>
        <v>0</v>
      </c>
      <c r="AY168" s="131">
        <f t="shared" si="210"/>
        <v>0</v>
      </c>
      <c r="AZ168" s="131"/>
      <c r="BA168" s="131">
        <f t="shared" si="264"/>
        <v>0</v>
      </c>
      <c r="BB168" s="131"/>
      <c r="BC168" s="131"/>
      <c r="BD168" s="131">
        <f t="shared" si="211"/>
        <v>0</v>
      </c>
      <c r="BE168" s="131"/>
      <c r="BF168" s="131">
        <f t="shared" si="253"/>
        <v>0</v>
      </c>
      <c r="BG168" s="131">
        <f t="shared" si="254"/>
        <v>0</v>
      </c>
      <c r="BH168" s="131"/>
      <c r="BI168" s="131"/>
      <c r="BJ168" s="131"/>
      <c r="BK168" s="131">
        <f t="shared" si="255"/>
        <v>0</v>
      </c>
      <c r="BL168" s="131"/>
      <c r="BM168" s="131"/>
      <c r="BN168" s="131">
        <f t="shared" si="256"/>
        <v>0</v>
      </c>
      <c r="BO168" s="131"/>
      <c r="BP168" s="131">
        <f t="shared" si="257"/>
        <v>0</v>
      </c>
      <c r="BQ168" s="131"/>
      <c r="BR168" s="131"/>
      <c r="BS168" s="131"/>
      <c r="BT168" s="131"/>
      <c r="BU168" s="131"/>
      <c r="BV168" s="131">
        <f t="shared" si="258"/>
        <v>0</v>
      </c>
      <c r="BW168" s="131"/>
      <c r="BX168" s="131"/>
      <c r="BY168" s="131"/>
      <c r="BZ168" s="131">
        <f t="shared" si="259"/>
        <v>0</v>
      </c>
      <c r="CA168" s="131"/>
      <c r="CB168" s="136">
        <f t="shared" si="212"/>
        <v>165.08663357180151</v>
      </c>
      <c r="CC168" s="131">
        <f t="shared" si="213"/>
        <v>0</v>
      </c>
      <c r="CD168" s="136">
        <f t="shared" si="214"/>
        <v>0</v>
      </c>
      <c r="CE168" s="131">
        <f t="shared" si="262"/>
        <v>0</v>
      </c>
      <c r="CF168" s="136">
        <f t="shared" si="215"/>
        <v>0</v>
      </c>
      <c r="CG168" s="136"/>
      <c r="CH168" s="136">
        <f t="shared" si="261"/>
        <v>0</v>
      </c>
      <c r="CI168" s="131">
        <f t="shared" si="216"/>
        <v>0</v>
      </c>
      <c r="CJ168" s="131"/>
      <c r="CK168" s="136">
        <f t="shared" si="217"/>
        <v>0</v>
      </c>
      <c r="CL168" s="136">
        <f t="shared" si="218"/>
        <v>0</v>
      </c>
      <c r="CM168" s="131">
        <f t="shared" si="219"/>
        <v>0</v>
      </c>
      <c r="CN168" s="136">
        <f t="shared" si="220"/>
        <v>0</v>
      </c>
      <c r="CO168" s="136">
        <f t="shared" si="221"/>
        <v>0</v>
      </c>
      <c r="CP168" s="136">
        <f t="shared" si="222"/>
        <v>0</v>
      </c>
      <c r="CQ168" s="136"/>
      <c r="CR168" s="136">
        <f t="shared" si="223"/>
        <v>0</v>
      </c>
      <c r="CS168" s="136"/>
      <c r="CT168" s="136"/>
      <c r="CU168" s="136"/>
      <c r="CV168" s="136"/>
      <c r="CW168" s="136"/>
      <c r="CX168" s="136"/>
      <c r="CY168" s="136"/>
      <c r="CZ168" s="136">
        <f t="shared" si="224"/>
        <v>0</v>
      </c>
      <c r="DA168" s="136">
        <f t="shared" si="225"/>
        <v>0</v>
      </c>
      <c r="DB168" s="136">
        <f t="shared" si="226"/>
        <v>0</v>
      </c>
      <c r="DC168" s="131">
        <f t="shared" si="185"/>
        <v>0</v>
      </c>
      <c r="DD168" s="131">
        <f t="shared" si="227"/>
        <v>0</v>
      </c>
      <c r="DE168" s="131">
        <f t="shared" si="228"/>
        <v>0</v>
      </c>
      <c r="DF168" s="131">
        <f t="shared" si="229"/>
        <v>0</v>
      </c>
      <c r="DG168" s="131">
        <f t="shared" si="230"/>
        <v>0</v>
      </c>
      <c r="DH168" s="131"/>
      <c r="DI168" s="131"/>
      <c r="DJ168" s="131"/>
      <c r="DK168" s="137">
        <f t="shared" si="260"/>
        <v>3791.5811116017489</v>
      </c>
      <c r="DL168" s="227" t="e">
        <f t="shared" si="231"/>
        <v>#REF!</v>
      </c>
      <c r="DM168" s="227" t="e">
        <f t="shared" si="232"/>
        <v>#REF!</v>
      </c>
      <c r="DN168" s="228" t="e">
        <f t="shared" si="186"/>
        <v>#REF!</v>
      </c>
      <c r="DO168" s="228">
        <f t="shared" si="233"/>
        <v>181.81087083894022</v>
      </c>
      <c r="DP168" s="228" t="e">
        <f t="shared" si="234"/>
        <v>#REF!</v>
      </c>
      <c r="DQ168" s="228" t="e">
        <f t="shared" si="235"/>
        <v>#REF!</v>
      </c>
    </row>
    <row r="169" spans="1:121">
      <c r="A169" s="132">
        <f t="shared" si="265"/>
        <v>159</v>
      </c>
      <c r="B169" s="18">
        <f t="shared" si="236"/>
        <v>159</v>
      </c>
      <c r="C169" s="18">
        <f>IF(A169=0," ",VLOOKUP(B169,'tosafot '!$A$7:$B$234,2,0))</f>
        <v>3.2021000000000002</v>
      </c>
      <c r="D169" s="220">
        <f t="shared" si="237"/>
        <v>228</v>
      </c>
      <c r="E169" s="130">
        <f t="shared" si="238"/>
        <v>12.2026</v>
      </c>
      <c r="F169" s="126">
        <f t="shared" si="239"/>
        <v>9</v>
      </c>
      <c r="G169" s="18" t="str">
        <f t="shared" si="240"/>
        <v>הבריאות</v>
      </c>
      <c r="H169" s="189">
        <f t="shared" si="241"/>
        <v>107</v>
      </c>
      <c r="I169" s="18">
        <f t="shared" si="242"/>
        <v>1</v>
      </c>
      <c r="J169" s="18" t="str">
        <f t="shared" si="243"/>
        <v>מינהלי - עובדי מדינה</v>
      </c>
      <c r="K169" s="189">
        <f t="shared" si="244"/>
        <v>1</v>
      </c>
      <c r="L169" s="18">
        <f t="shared" si="245"/>
        <v>12</v>
      </c>
      <c r="M169" s="129" t="str">
        <f t="shared" si="246"/>
        <v>17+</v>
      </c>
      <c r="N169" s="189"/>
      <c r="O169" s="132">
        <f t="shared" si="247"/>
        <v>1012</v>
      </c>
      <c r="P169" s="127">
        <f t="shared" si="248"/>
        <v>37</v>
      </c>
      <c r="Q169" s="127">
        <f t="shared" si="249"/>
        <v>22.75</v>
      </c>
      <c r="R169" s="128">
        <f t="shared" si="250"/>
        <v>92</v>
      </c>
      <c r="S169" s="130">
        <f t="shared" si="251"/>
        <v>1.2540512286990533</v>
      </c>
      <c r="T169" s="135">
        <f t="shared" si="188"/>
        <v>0</v>
      </c>
      <c r="U169" s="127">
        <f t="shared" si="189"/>
        <v>0</v>
      </c>
      <c r="V169" s="217">
        <v>0</v>
      </c>
      <c r="W169" s="191">
        <v>0</v>
      </c>
      <c r="X169" s="133">
        <v>0</v>
      </c>
      <c r="Y169" s="131">
        <f t="shared" si="190"/>
        <v>2438.5</v>
      </c>
      <c r="Z169" s="131">
        <f t="shared" si="191"/>
        <v>619.50392118264142</v>
      </c>
      <c r="AA169" s="242">
        <f t="shared" si="192"/>
        <v>3058.0039211826415</v>
      </c>
      <c r="AB169" s="131">
        <f t="shared" si="193"/>
        <v>0</v>
      </c>
      <c r="AC169" s="131">
        <f t="shared" si="194"/>
        <v>139.48055684730568</v>
      </c>
      <c r="AD169" s="131">
        <f t="shared" si="195"/>
        <v>0</v>
      </c>
      <c r="AE169" s="131">
        <f t="shared" si="196"/>
        <v>0</v>
      </c>
      <c r="AF169" s="131">
        <f t="shared" si="197"/>
        <v>75.260000000000005</v>
      </c>
      <c r="AG169" s="131">
        <f t="shared" si="198"/>
        <v>0</v>
      </c>
      <c r="AH169" s="131">
        <f t="shared" si="199"/>
        <v>0</v>
      </c>
      <c r="AI169" s="131">
        <f t="shared" si="200"/>
        <v>0</v>
      </c>
      <c r="AJ169" s="131">
        <f t="shared" si="201"/>
        <v>0</v>
      </c>
      <c r="AK169" s="131"/>
      <c r="AL169" s="131">
        <f t="shared" si="202"/>
        <v>0</v>
      </c>
      <c r="AM169" s="131"/>
      <c r="AN169" s="243">
        <f t="shared" si="203"/>
        <v>0</v>
      </c>
      <c r="AO169" s="131">
        <f t="shared" si="204"/>
        <v>0</v>
      </c>
      <c r="AP169" s="131">
        <f t="shared" si="205"/>
        <v>0</v>
      </c>
      <c r="AQ169" s="131"/>
      <c r="AR169" s="131">
        <f t="shared" si="206"/>
        <v>0</v>
      </c>
      <c r="AS169" s="131">
        <f t="shared" si="252"/>
        <v>0</v>
      </c>
      <c r="AT169" s="131">
        <f t="shared" si="207"/>
        <v>0</v>
      </c>
      <c r="AU169" s="131">
        <f t="shared" si="208"/>
        <v>0</v>
      </c>
      <c r="AV169" s="131"/>
      <c r="AW169" s="131">
        <f t="shared" si="209"/>
        <v>353.75</v>
      </c>
      <c r="AX169" s="131">
        <f t="shared" si="263"/>
        <v>0</v>
      </c>
      <c r="AY169" s="131">
        <f t="shared" si="210"/>
        <v>0</v>
      </c>
      <c r="AZ169" s="131"/>
      <c r="BA169" s="131">
        <f t="shared" si="264"/>
        <v>0</v>
      </c>
      <c r="BB169" s="131"/>
      <c r="BC169" s="131"/>
      <c r="BD169" s="131">
        <f t="shared" si="211"/>
        <v>0</v>
      </c>
      <c r="BE169" s="131"/>
      <c r="BF169" s="131">
        <f t="shared" si="253"/>
        <v>0</v>
      </c>
      <c r="BG169" s="131">
        <f t="shared" si="254"/>
        <v>0</v>
      </c>
      <c r="BH169" s="131"/>
      <c r="BI169" s="131"/>
      <c r="BJ169" s="131"/>
      <c r="BK169" s="131">
        <f t="shared" si="255"/>
        <v>0</v>
      </c>
      <c r="BL169" s="131"/>
      <c r="BM169" s="131"/>
      <c r="BN169" s="131">
        <f t="shared" si="256"/>
        <v>0</v>
      </c>
      <c r="BO169" s="131"/>
      <c r="BP169" s="131">
        <f t="shared" si="257"/>
        <v>0</v>
      </c>
      <c r="BQ169" s="131"/>
      <c r="BR169" s="131"/>
      <c r="BS169" s="131"/>
      <c r="BT169" s="131"/>
      <c r="BU169" s="131"/>
      <c r="BV169" s="131">
        <f t="shared" si="258"/>
        <v>0</v>
      </c>
      <c r="BW169" s="131"/>
      <c r="BX169" s="131"/>
      <c r="BY169" s="131"/>
      <c r="BZ169" s="131">
        <f t="shared" si="259"/>
        <v>0</v>
      </c>
      <c r="CA169" s="131"/>
      <c r="CB169" s="136">
        <f t="shared" si="212"/>
        <v>165.08663357180151</v>
      </c>
      <c r="CC169" s="131">
        <f t="shared" si="213"/>
        <v>0</v>
      </c>
      <c r="CD169" s="136">
        <f t="shared" si="214"/>
        <v>0</v>
      </c>
      <c r="CE169" s="131">
        <f t="shared" si="262"/>
        <v>0</v>
      </c>
      <c r="CF169" s="136">
        <f t="shared" si="215"/>
        <v>0</v>
      </c>
      <c r="CG169" s="136"/>
      <c r="CH169" s="136">
        <f t="shared" si="261"/>
        <v>0</v>
      </c>
      <c r="CI169" s="131">
        <f t="shared" si="216"/>
        <v>0</v>
      </c>
      <c r="CJ169" s="131"/>
      <c r="CK169" s="136">
        <f t="shared" si="217"/>
        <v>0</v>
      </c>
      <c r="CL169" s="136">
        <f t="shared" si="218"/>
        <v>0</v>
      </c>
      <c r="CM169" s="131">
        <f t="shared" si="219"/>
        <v>0</v>
      </c>
      <c r="CN169" s="136">
        <f t="shared" si="220"/>
        <v>0</v>
      </c>
      <c r="CO169" s="136">
        <f t="shared" si="221"/>
        <v>0</v>
      </c>
      <c r="CP169" s="136">
        <f t="shared" si="222"/>
        <v>0</v>
      </c>
      <c r="CQ169" s="136"/>
      <c r="CR169" s="136">
        <f t="shared" si="223"/>
        <v>0</v>
      </c>
      <c r="CS169" s="136"/>
      <c r="CT169" s="136"/>
      <c r="CU169" s="136"/>
      <c r="CV169" s="136"/>
      <c r="CW169" s="136"/>
      <c r="CX169" s="136"/>
      <c r="CY169" s="136"/>
      <c r="CZ169" s="136">
        <f t="shared" si="224"/>
        <v>0</v>
      </c>
      <c r="DA169" s="136">
        <f t="shared" si="225"/>
        <v>0</v>
      </c>
      <c r="DB169" s="136">
        <f t="shared" si="226"/>
        <v>0</v>
      </c>
      <c r="DC169" s="131">
        <f t="shared" si="185"/>
        <v>0</v>
      </c>
      <c r="DD169" s="131">
        <f t="shared" si="227"/>
        <v>0</v>
      </c>
      <c r="DE169" s="131">
        <f t="shared" si="228"/>
        <v>0</v>
      </c>
      <c r="DF169" s="131">
        <f t="shared" si="229"/>
        <v>0</v>
      </c>
      <c r="DG169" s="131">
        <f t="shared" si="230"/>
        <v>0</v>
      </c>
      <c r="DH169" s="131"/>
      <c r="DI169" s="131"/>
      <c r="DJ169" s="131"/>
      <c r="DK169" s="137">
        <f t="shared" si="260"/>
        <v>3791.5811116017489</v>
      </c>
      <c r="DL169" s="227" t="e">
        <f t="shared" si="231"/>
        <v>#REF!</v>
      </c>
      <c r="DM169" s="227" t="e">
        <f t="shared" si="232"/>
        <v>#REF!</v>
      </c>
      <c r="DN169" s="228" t="e">
        <f t="shared" si="186"/>
        <v>#REF!</v>
      </c>
      <c r="DO169" s="228">
        <f t="shared" si="233"/>
        <v>181.81087083894022</v>
      </c>
      <c r="DP169" s="228" t="e">
        <f t="shared" si="234"/>
        <v>#REF!</v>
      </c>
      <c r="DQ169" s="228" t="e">
        <f t="shared" si="235"/>
        <v>#REF!</v>
      </c>
    </row>
    <row r="170" spans="1:121">
      <c r="A170" s="132">
        <f t="shared" si="265"/>
        <v>160</v>
      </c>
      <c r="B170" s="18">
        <f t="shared" si="236"/>
        <v>160</v>
      </c>
      <c r="C170" s="18">
        <f>IF(A170=0," ",VLOOKUP(B170,'tosafot '!$A$7:$B$234,2,0))</f>
        <v>4.2020999999999997</v>
      </c>
      <c r="D170" s="220">
        <f t="shared" si="237"/>
        <v>228</v>
      </c>
      <c r="E170" s="130">
        <f t="shared" si="238"/>
        <v>12.2026</v>
      </c>
      <c r="F170" s="126">
        <f t="shared" si="239"/>
        <v>9</v>
      </c>
      <c r="G170" s="18" t="str">
        <f t="shared" si="240"/>
        <v>הבריאות</v>
      </c>
      <c r="H170" s="189">
        <f t="shared" si="241"/>
        <v>107</v>
      </c>
      <c r="I170" s="18">
        <f t="shared" si="242"/>
        <v>1</v>
      </c>
      <c r="J170" s="18" t="str">
        <f t="shared" si="243"/>
        <v>מינהלי - עובדי מדינה</v>
      </c>
      <c r="K170" s="189">
        <f t="shared" si="244"/>
        <v>1</v>
      </c>
      <c r="L170" s="18">
        <f t="shared" si="245"/>
        <v>12</v>
      </c>
      <c r="M170" s="129" t="str">
        <f t="shared" si="246"/>
        <v>17+</v>
      </c>
      <c r="N170" s="189"/>
      <c r="O170" s="132">
        <f t="shared" si="247"/>
        <v>1012</v>
      </c>
      <c r="P170" s="127">
        <f t="shared" si="248"/>
        <v>37</v>
      </c>
      <c r="Q170" s="127">
        <f t="shared" si="249"/>
        <v>22.75</v>
      </c>
      <c r="R170" s="128">
        <f t="shared" si="250"/>
        <v>92</v>
      </c>
      <c r="S170" s="130">
        <f t="shared" si="251"/>
        <v>1.2540512286990533</v>
      </c>
      <c r="T170" s="135">
        <f t="shared" si="188"/>
        <v>0</v>
      </c>
      <c r="U170" s="127">
        <f t="shared" si="189"/>
        <v>0</v>
      </c>
      <c r="V170" s="217">
        <v>0</v>
      </c>
      <c r="W170" s="191">
        <v>0</v>
      </c>
      <c r="X170" s="133">
        <v>0</v>
      </c>
      <c r="Y170" s="131">
        <f t="shared" si="190"/>
        <v>2438.5</v>
      </c>
      <c r="Z170" s="131">
        <f t="shared" si="191"/>
        <v>619.50392118264142</v>
      </c>
      <c r="AA170" s="242">
        <f t="shared" si="192"/>
        <v>3058.0039211826415</v>
      </c>
      <c r="AB170" s="131">
        <f t="shared" si="193"/>
        <v>0</v>
      </c>
      <c r="AC170" s="131">
        <f t="shared" si="194"/>
        <v>139.48055684730568</v>
      </c>
      <c r="AD170" s="131">
        <f t="shared" si="195"/>
        <v>0</v>
      </c>
      <c r="AE170" s="131">
        <f t="shared" si="196"/>
        <v>0</v>
      </c>
      <c r="AF170" s="131">
        <f t="shared" si="197"/>
        <v>75.260000000000005</v>
      </c>
      <c r="AG170" s="131">
        <f t="shared" si="198"/>
        <v>0</v>
      </c>
      <c r="AH170" s="131">
        <f t="shared" si="199"/>
        <v>0</v>
      </c>
      <c r="AI170" s="131">
        <f t="shared" si="200"/>
        <v>0</v>
      </c>
      <c r="AJ170" s="131">
        <f t="shared" si="201"/>
        <v>0</v>
      </c>
      <c r="AK170" s="131"/>
      <c r="AL170" s="131">
        <f t="shared" si="202"/>
        <v>0</v>
      </c>
      <c r="AM170" s="131"/>
      <c r="AN170" s="243">
        <f t="shared" si="203"/>
        <v>0</v>
      </c>
      <c r="AO170" s="131">
        <f t="shared" si="204"/>
        <v>0</v>
      </c>
      <c r="AP170" s="131">
        <f t="shared" si="205"/>
        <v>0</v>
      </c>
      <c r="AQ170" s="131"/>
      <c r="AR170" s="131">
        <f t="shared" si="206"/>
        <v>0</v>
      </c>
      <c r="AS170" s="131">
        <f t="shared" si="252"/>
        <v>0</v>
      </c>
      <c r="AT170" s="131">
        <f t="shared" si="207"/>
        <v>0</v>
      </c>
      <c r="AU170" s="131">
        <f t="shared" si="208"/>
        <v>0</v>
      </c>
      <c r="AV170" s="131"/>
      <c r="AW170" s="131">
        <f t="shared" si="209"/>
        <v>353.75</v>
      </c>
      <c r="AX170" s="131">
        <f t="shared" si="263"/>
        <v>0</v>
      </c>
      <c r="AY170" s="131">
        <f t="shared" si="210"/>
        <v>0</v>
      </c>
      <c r="AZ170" s="131"/>
      <c r="BA170" s="131">
        <f t="shared" si="264"/>
        <v>0</v>
      </c>
      <c r="BB170" s="131"/>
      <c r="BC170" s="131"/>
      <c r="BD170" s="131">
        <f t="shared" si="211"/>
        <v>0</v>
      </c>
      <c r="BE170" s="131"/>
      <c r="BF170" s="131">
        <f t="shared" si="253"/>
        <v>0</v>
      </c>
      <c r="BG170" s="131">
        <f t="shared" si="254"/>
        <v>0</v>
      </c>
      <c r="BH170" s="131"/>
      <c r="BI170" s="131"/>
      <c r="BJ170" s="131"/>
      <c r="BK170" s="131">
        <f t="shared" si="255"/>
        <v>0</v>
      </c>
      <c r="BL170" s="131"/>
      <c r="BM170" s="131"/>
      <c r="BN170" s="131">
        <f t="shared" si="256"/>
        <v>0</v>
      </c>
      <c r="BO170" s="131"/>
      <c r="BP170" s="131">
        <f t="shared" si="257"/>
        <v>0</v>
      </c>
      <c r="BQ170" s="131"/>
      <c r="BR170" s="131"/>
      <c r="BS170" s="131"/>
      <c r="BT170" s="131"/>
      <c r="BU170" s="131"/>
      <c r="BV170" s="131">
        <f t="shared" si="258"/>
        <v>0</v>
      </c>
      <c r="BW170" s="131"/>
      <c r="BX170" s="131"/>
      <c r="BY170" s="131"/>
      <c r="BZ170" s="131">
        <f t="shared" si="259"/>
        <v>0</v>
      </c>
      <c r="CA170" s="131"/>
      <c r="CB170" s="136">
        <f t="shared" si="212"/>
        <v>165.08663357180151</v>
      </c>
      <c r="CC170" s="131">
        <f t="shared" si="213"/>
        <v>0</v>
      </c>
      <c r="CD170" s="136">
        <f t="shared" si="214"/>
        <v>0</v>
      </c>
      <c r="CE170" s="131">
        <f t="shared" si="262"/>
        <v>0</v>
      </c>
      <c r="CF170" s="136">
        <f t="shared" si="215"/>
        <v>0</v>
      </c>
      <c r="CG170" s="136"/>
      <c r="CH170" s="136">
        <f t="shared" si="261"/>
        <v>0</v>
      </c>
      <c r="CI170" s="131">
        <f t="shared" si="216"/>
        <v>0</v>
      </c>
      <c r="CJ170" s="131"/>
      <c r="CK170" s="136">
        <f t="shared" si="217"/>
        <v>0</v>
      </c>
      <c r="CL170" s="136">
        <f t="shared" si="218"/>
        <v>0</v>
      </c>
      <c r="CM170" s="131">
        <f t="shared" si="219"/>
        <v>0</v>
      </c>
      <c r="CN170" s="136">
        <f t="shared" si="220"/>
        <v>0</v>
      </c>
      <c r="CO170" s="136">
        <f t="shared" si="221"/>
        <v>0</v>
      </c>
      <c r="CP170" s="136">
        <f t="shared" si="222"/>
        <v>0</v>
      </c>
      <c r="CQ170" s="136"/>
      <c r="CR170" s="136">
        <f t="shared" si="223"/>
        <v>0</v>
      </c>
      <c r="CS170" s="136"/>
      <c r="CT170" s="136"/>
      <c r="CU170" s="136"/>
      <c r="CV170" s="136"/>
      <c r="CW170" s="136"/>
      <c r="CX170" s="136"/>
      <c r="CY170" s="136"/>
      <c r="CZ170" s="136">
        <f t="shared" si="224"/>
        <v>0</v>
      </c>
      <c r="DA170" s="136">
        <f t="shared" si="225"/>
        <v>0</v>
      </c>
      <c r="DB170" s="136">
        <f t="shared" si="226"/>
        <v>0</v>
      </c>
      <c r="DC170" s="131">
        <f t="shared" si="185"/>
        <v>0</v>
      </c>
      <c r="DD170" s="131">
        <f t="shared" si="227"/>
        <v>0</v>
      </c>
      <c r="DE170" s="131">
        <f t="shared" si="228"/>
        <v>0</v>
      </c>
      <c r="DF170" s="131">
        <f t="shared" si="229"/>
        <v>0</v>
      </c>
      <c r="DG170" s="131">
        <f t="shared" si="230"/>
        <v>0</v>
      </c>
      <c r="DH170" s="131"/>
      <c r="DI170" s="131"/>
      <c r="DJ170" s="131"/>
      <c r="DK170" s="137">
        <f t="shared" si="260"/>
        <v>3791.5811116017489</v>
      </c>
      <c r="DL170" s="227" t="e">
        <f t="shared" si="231"/>
        <v>#REF!</v>
      </c>
      <c r="DM170" s="227" t="e">
        <f t="shared" si="232"/>
        <v>#REF!</v>
      </c>
      <c r="DN170" s="228" t="e">
        <f t="shared" si="186"/>
        <v>#REF!</v>
      </c>
      <c r="DO170" s="228">
        <f t="shared" si="233"/>
        <v>181.81087083894022</v>
      </c>
      <c r="DP170" s="228" t="e">
        <f t="shared" si="234"/>
        <v>#REF!</v>
      </c>
      <c r="DQ170" s="228" t="e">
        <f t="shared" si="235"/>
        <v>#REF!</v>
      </c>
    </row>
    <row r="171" spans="1:121">
      <c r="A171" s="132">
        <f t="shared" si="265"/>
        <v>161</v>
      </c>
      <c r="B171" s="18">
        <f t="shared" si="236"/>
        <v>161</v>
      </c>
      <c r="C171" s="18">
        <f>IF(A171=0," ",VLOOKUP(B171,'tosafot '!$A$7:$B$234,2,0))</f>
        <v>5.2020999999999997</v>
      </c>
      <c r="D171" s="220">
        <f t="shared" si="237"/>
        <v>228</v>
      </c>
      <c r="E171" s="130">
        <f t="shared" si="238"/>
        <v>12.2026</v>
      </c>
      <c r="F171" s="126">
        <f t="shared" si="239"/>
        <v>9</v>
      </c>
      <c r="G171" s="18" t="str">
        <f t="shared" si="240"/>
        <v>הבריאות</v>
      </c>
      <c r="H171" s="189">
        <f t="shared" si="241"/>
        <v>107</v>
      </c>
      <c r="I171" s="18">
        <f t="shared" si="242"/>
        <v>1</v>
      </c>
      <c r="J171" s="18" t="str">
        <f t="shared" si="243"/>
        <v>מינהלי - עובדי מדינה</v>
      </c>
      <c r="K171" s="189">
        <f t="shared" si="244"/>
        <v>1</v>
      </c>
      <c r="L171" s="18">
        <f t="shared" si="245"/>
        <v>12</v>
      </c>
      <c r="M171" s="129" t="str">
        <f t="shared" si="246"/>
        <v>17+</v>
      </c>
      <c r="N171" s="189"/>
      <c r="O171" s="132">
        <f t="shared" si="247"/>
        <v>1012</v>
      </c>
      <c r="P171" s="127">
        <f t="shared" si="248"/>
        <v>37</v>
      </c>
      <c r="Q171" s="127">
        <f t="shared" si="249"/>
        <v>22.75</v>
      </c>
      <c r="R171" s="128">
        <f t="shared" si="250"/>
        <v>92</v>
      </c>
      <c r="S171" s="130">
        <f t="shared" si="251"/>
        <v>1.2540512286990533</v>
      </c>
      <c r="T171" s="135">
        <f t="shared" si="188"/>
        <v>0</v>
      </c>
      <c r="U171" s="127">
        <f t="shared" si="189"/>
        <v>0</v>
      </c>
      <c r="V171" s="217">
        <v>0</v>
      </c>
      <c r="W171" s="191">
        <v>0</v>
      </c>
      <c r="X171" s="133">
        <v>0</v>
      </c>
      <c r="Y171" s="131">
        <f t="shared" si="190"/>
        <v>2438.5</v>
      </c>
      <c r="Z171" s="131">
        <f t="shared" si="191"/>
        <v>619.50392118264142</v>
      </c>
      <c r="AA171" s="242">
        <f t="shared" si="192"/>
        <v>3058.0039211826415</v>
      </c>
      <c r="AB171" s="131">
        <f t="shared" si="193"/>
        <v>0</v>
      </c>
      <c r="AC171" s="131">
        <f t="shared" si="194"/>
        <v>139.48055684730568</v>
      </c>
      <c r="AD171" s="131">
        <f t="shared" si="195"/>
        <v>0</v>
      </c>
      <c r="AE171" s="131">
        <f t="shared" si="196"/>
        <v>0</v>
      </c>
      <c r="AF171" s="131">
        <f t="shared" si="197"/>
        <v>75.260000000000005</v>
      </c>
      <c r="AG171" s="131">
        <f t="shared" si="198"/>
        <v>0</v>
      </c>
      <c r="AH171" s="131">
        <f t="shared" si="199"/>
        <v>0</v>
      </c>
      <c r="AI171" s="131">
        <f t="shared" si="200"/>
        <v>0</v>
      </c>
      <c r="AJ171" s="131">
        <f t="shared" si="201"/>
        <v>0</v>
      </c>
      <c r="AK171" s="131"/>
      <c r="AL171" s="131">
        <f t="shared" si="202"/>
        <v>0</v>
      </c>
      <c r="AM171" s="131"/>
      <c r="AN171" s="243">
        <f t="shared" si="203"/>
        <v>0</v>
      </c>
      <c r="AO171" s="131">
        <f t="shared" si="204"/>
        <v>0</v>
      </c>
      <c r="AP171" s="131">
        <f t="shared" si="205"/>
        <v>0</v>
      </c>
      <c r="AQ171" s="131"/>
      <c r="AR171" s="131">
        <f t="shared" si="206"/>
        <v>0</v>
      </c>
      <c r="AS171" s="131">
        <f t="shared" si="252"/>
        <v>0</v>
      </c>
      <c r="AT171" s="131">
        <f t="shared" si="207"/>
        <v>0</v>
      </c>
      <c r="AU171" s="131">
        <f t="shared" si="208"/>
        <v>0</v>
      </c>
      <c r="AV171" s="131"/>
      <c r="AW171" s="131">
        <f t="shared" si="209"/>
        <v>353.75</v>
      </c>
      <c r="AX171" s="131">
        <f t="shared" si="263"/>
        <v>0</v>
      </c>
      <c r="AY171" s="131">
        <f t="shared" si="210"/>
        <v>0</v>
      </c>
      <c r="AZ171" s="131"/>
      <c r="BA171" s="131">
        <f t="shared" si="264"/>
        <v>0</v>
      </c>
      <c r="BB171" s="131"/>
      <c r="BC171" s="131"/>
      <c r="BD171" s="131">
        <f t="shared" si="211"/>
        <v>0</v>
      </c>
      <c r="BE171" s="131"/>
      <c r="BF171" s="131">
        <f t="shared" si="253"/>
        <v>0</v>
      </c>
      <c r="BG171" s="131">
        <f t="shared" si="254"/>
        <v>0</v>
      </c>
      <c r="BH171" s="131"/>
      <c r="BI171" s="131"/>
      <c r="BJ171" s="131"/>
      <c r="BK171" s="131">
        <f t="shared" si="255"/>
        <v>0</v>
      </c>
      <c r="BL171" s="131"/>
      <c r="BM171" s="131"/>
      <c r="BN171" s="131">
        <f t="shared" si="256"/>
        <v>0</v>
      </c>
      <c r="BO171" s="131"/>
      <c r="BP171" s="131">
        <f t="shared" si="257"/>
        <v>0</v>
      </c>
      <c r="BQ171" s="131"/>
      <c r="BR171" s="131"/>
      <c r="BS171" s="131"/>
      <c r="BT171" s="131"/>
      <c r="BU171" s="131"/>
      <c r="BV171" s="131">
        <f t="shared" si="258"/>
        <v>0</v>
      </c>
      <c r="BW171" s="131"/>
      <c r="BX171" s="131"/>
      <c r="BY171" s="131"/>
      <c r="BZ171" s="131">
        <f t="shared" si="259"/>
        <v>0</v>
      </c>
      <c r="CA171" s="131"/>
      <c r="CB171" s="136">
        <f t="shared" si="212"/>
        <v>165.08663357180151</v>
      </c>
      <c r="CC171" s="131">
        <f t="shared" si="213"/>
        <v>0</v>
      </c>
      <c r="CD171" s="136">
        <f t="shared" si="214"/>
        <v>0</v>
      </c>
      <c r="CE171" s="131">
        <f t="shared" si="262"/>
        <v>0</v>
      </c>
      <c r="CF171" s="136">
        <f t="shared" si="215"/>
        <v>0</v>
      </c>
      <c r="CG171" s="136"/>
      <c r="CH171" s="136">
        <f t="shared" si="261"/>
        <v>0</v>
      </c>
      <c r="CI171" s="131">
        <f t="shared" si="216"/>
        <v>0</v>
      </c>
      <c r="CJ171" s="131"/>
      <c r="CK171" s="136">
        <f t="shared" si="217"/>
        <v>0</v>
      </c>
      <c r="CL171" s="136">
        <f t="shared" si="218"/>
        <v>0</v>
      </c>
      <c r="CM171" s="131">
        <f t="shared" si="219"/>
        <v>0</v>
      </c>
      <c r="CN171" s="136">
        <f t="shared" si="220"/>
        <v>0</v>
      </c>
      <c r="CO171" s="136">
        <f t="shared" si="221"/>
        <v>0</v>
      </c>
      <c r="CP171" s="136">
        <f t="shared" si="222"/>
        <v>0</v>
      </c>
      <c r="CQ171" s="136"/>
      <c r="CR171" s="136">
        <f t="shared" si="223"/>
        <v>0</v>
      </c>
      <c r="CS171" s="136"/>
      <c r="CT171" s="136"/>
      <c r="CU171" s="136"/>
      <c r="CV171" s="136"/>
      <c r="CW171" s="136"/>
      <c r="CX171" s="136"/>
      <c r="CY171" s="136"/>
      <c r="CZ171" s="136">
        <f t="shared" si="224"/>
        <v>0</v>
      </c>
      <c r="DA171" s="136">
        <f t="shared" si="225"/>
        <v>0</v>
      </c>
      <c r="DB171" s="136">
        <f t="shared" si="226"/>
        <v>0</v>
      </c>
      <c r="DC171" s="131">
        <f t="shared" si="185"/>
        <v>0</v>
      </c>
      <c r="DD171" s="131">
        <f t="shared" si="227"/>
        <v>0</v>
      </c>
      <c r="DE171" s="131">
        <f t="shared" si="228"/>
        <v>0</v>
      </c>
      <c r="DF171" s="131">
        <f t="shared" si="229"/>
        <v>0</v>
      </c>
      <c r="DG171" s="131">
        <f t="shared" si="230"/>
        <v>0</v>
      </c>
      <c r="DH171" s="131"/>
      <c r="DI171" s="131"/>
      <c r="DJ171" s="131"/>
      <c r="DK171" s="137">
        <f t="shared" si="260"/>
        <v>3791.5811116017489</v>
      </c>
      <c r="DL171" s="227" t="e">
        <f t="shared" si="231"/>
        <v>#REF!</v>
      </c>
      <c r="DM171" s="227" t="e">
        <f t="shared" si="232"/>
        <v>#REF!</v>
      </c>
      <c r="DN171" s="228" t="e">
        <f t="shared" si="186"/>
        <v>#REF!</v>
      </c>
      <c r="DO171" s="228">
        <f t="shared" si="233"/>
        <v>181.81087083894022</v>
      </c>
      <c r="DP171" s="228" t="e">
        <f t="shared" si="234"/>
        <v>#REF!</v>
      </c>
      <c r="DQ171" s="228" t="e">
        <f t="shared" si="235"/>
        <v>#REF!</v>
      </c>
    </row>
    <row r="172" spans="1:121">
      <c r="A172" s="132">
        <f t="shared" si="265"/>
        <v>162</v>
      </c>
      <c r="B172" s="18">
        <f t="shared" si="236"/>
        <v>162</v>
      </c>
      <c r="C172" s="18">
        <f>IF(A172=0," ",VLOOKUP(B172,'tosafot '!$A$7:$B$234,2,0))</f>
        <v>6.2020999999999997</v>
      </c>
      <c r="D172" s="220">
        <f t="shared" si="237"/>
        <v>228</v>
      </c>
      <c r="E172" s="130">
        <f t="shared" si="238"/>
        <v>12.2026</v>
      </c>
      <c r="F172" s="126">
        <f t="shared" si="239"/>
        <v>9</v>
      </c>
      <c r="G172" s="18" t="str">
        <f t="shared" si="240"/>
        <v>הבריאות</v>
      </c>
      <c r="H172" s="189">
        <f t="shared" si="241"/>
        <v>107</v>
      </c>
      <c r="I172" s="18">
        <f t="shared" si="242"/>
        <v>1</v>
      </c>
      <c r="J172" s="18" t="str">
        <f t="shared" si="243"/>
        <v>מינהלי - עובדי מדינה</v>
      </c>
      <c r="K172" s="189">
        <f t="shared" si="244"/>
        <v>1</v>
      </c>
      <c r="L172" s="18">
        <f t="shared" si="245"/>
        <v>12</v>
      </c>
      <c r="M172" s="129" t="str">
        <f t="shared" si="246"/>
        <v>17+</v>
      </c>
      <c r="N172" s="189"/>
      <c r="O172" s="132">
        <f t="shared" si="247"/>
        <v>1012</v>
      </c>
      <c r="P172" s="127">
        <f t="shared" si="248"/>
        <v>37</v>
      </c>
      <c r="Q172" s="127">
        <f t="shared" si="249"/>
        <v>22.75</v>
      </c>
      <c r="R172" s="128">
        <f t="shared" si="250"/>
        <v>92</v>
      </c>
      <c r="S172" s="130">
        <f t="shared" si="251"/>
        <v>1.2540512286990533</v>
      </c>
      <c r="T172" s="135">
        <f t="shared" si="188"/>
        <v>0</v>
      </c>
      <c r="U172" s="127">
        <f t="shared" si="189"/>
        <v>0</v>
      </c>
      <c r="V172" s="217">
        <v>0</v>
      </c>
      <c r="W172" s="191">
        <v>0</v>
      </c>
      <c r="X172" s="133">
        <v>0</v>
      </c>
      <c r="Y172" s="131">
        <f t="shared" si="190"/>
        <v>2438.5</v>
      </c>
      <c r="Z172" s="131">
        <f t="shared" si="191"/>
        <v>619.50392118264142</v>
      </c>
      <c r="AA172" s="242">
        <f t="shared" si="192"/>
        <v>3058.0039211826415</v>
      </c>
      <c r="AB172" s="131">
        <f t="shared" si="193"/>
        <v>0</v>
      </c>
      <c r="AC172" s="131">
        <f t="shared" si="194"/>
        <v>139.48055684730568</v>
      </c>
      <c r="AD172" s="131">
        <f t="shared" si="195"/>
        <v>0</v>
      </c>
      <c r="AE172" s="131">
        <f t="shared" si="196"/>
        <v>0</v>
      </c>
      <c r="AF172" s="131">
        <f t="shared" si="197"/>
        <v>75.260000000000005</v>
      </c>
      <c r="AG172" s="131">
        <f t="shared" si="198"/>
        <v>0</v>
      </c>
      <c r="AH172" s="131">
        <f t="shared" si="199"/>
        <v>0</v>
      </c>
      <c r="AI172" s="131">
        <f t="shared" si="200"/>
        <v>0</v>
      </c>
      <c r="AJ172" s="131">
        <f t="shared" si="201"/>
        <v>0</v>
      </c>
      <c r="AK172" s="131"/>
      <c r="AL172" s="131">
        <f t="shared" si="202"/>
        <v>0</v>
      </c>
      <c r="AM172" s="131"/>
      <c r="AN172" s="243">
        <f t="shared" si="203"/>
        <v>0</v>
      </c>
      <c r="AO172" s="131">
        <f t="shared" si="204"/>
        <v>0</v>
      </c>
      <c r="AP172" s="131">
        <f t="shared" si="205"/>
        <v>0</v>
      </c>
      <c r="AQ172" s="131"/>
      <c r="AR172" s="131">
        <f t="shared" si="206"/>
        <v>0</v>
      </c>
      <c r="AS172" s="131">
        <f t="shared" si="252"/>
        <v>0</v>
      </c>
      <c r="AT172" s="131">
        <f t="shared" si="207"/>
        <v>0</v>
      </c>
      <c r="AU172" s="131">
        <f t="shared" si="208"/>
        <v>0</v>
      </c>
      <c r="AV172" s="131"/>
      <c r="AW172" s="131">
        <f t="shared" si="209"/>
        <v>353.75</v>
      </c>
      <c r="AX172" s="131">
        <f t="shared" si="263"/>
        <v>0</v>
      </c>
      <c r="AY172" s="131">
        <f t="shared" si="210"/>
        <v>0</v>
      </c>
      <c r="AZ172" s="131"/>
      <c r="BA172" s="131">
        <f t="shared" si="264"/>
        <v>0</v>
      </c>
      <c r="BB172" s="131"/>
      <c r="BC172" s="131"/>
      <c r="BD172" s="131">
        <f t="shared" si="211"/>
        <v>0</v>
      </c>
      <c r="BE172" s="131"/>
      <c r="BF172" s="131">
        <f t="shared" si="253"/>
        <v>0</v>
      </c>
      <c r="BG172" s="131">
        <f t="shared" si="254"/>
        <v>0</v>
      </c>
      <c r="BH172" s="131"/>
      <c r="BI172" s="131"/>
      <c r="BJ172" s="131"/>
      <c r="BK172" s="131">
        <f t="shared" si="255"/>
        <v>0</v>
      </c>
      <c r="BL172" s="131"/>
      <c r="BM172" s="131"/>
      <c r="BN172" s="131">
        <f t="shared" si="256"/>
        <v>0</v>
      </c>
      <c r="BO172" s="131"/>
      <c r="BP172" s="131">
        <f t="shared" si="257"/>
        <v>0</v>
      </c>
      <c r="BQ172" s="131"/>
      <c r="BR172" s="131"/>
      <c r="BS172" s="131"/>
      <c r="BT172" s="131"/>
      <c r="BU172" s="131"/>
      <c r="BV172" s="131">
        <f t="shared" si="258"/>
        <v>0</v>
      </c>
      <c r="BW172" s="131"/>
      <c r="BX172" s="131"/>
      <c r="BY172" s="131"/>
      <c r="BZ172" s="131">
        <f t="shared" si="259"/>
        <v>0</v>
      </c>
      <c r="CA172" s="131"/>
      <c r="CB172" s="136">
        <f t="shared" si="212"/>
        <v>165.08663357180151</v>
      </c>
      <c r="CC172" s="131">
        <f t="shared" si="213"/>
        <v>0</v>
      </c>
      <c r="CD172" s="136">
        <f t="shared" si="214"/>
        <v>0</v>
      </c>
      <c r="CE172" s="131">
        <f t="shared" si="262"/>
        <v>0</v>
      </c>
      <c r="CF172" s="136">
        <f t="shared" si="215"/>
        <v>0</v>
      </c>
      <c r="CG172" s="136"/>
      <c r="CH172" s="136">
        <f t="shared" si="261"/>
        <v>0</v>
      </c>
      <c r="CI172" s="131">
        <f t="shared" si="216"/>
        <v>0</v>
      </c>
      <c r="CJ172" s="131"/>
      <c r="CK172" s="136">
        <f t="shared" si="217"/>
        <v>0</v>
      </c>
      <c r="CL172" s="136">
        <f t="shared" si="218"/>
        <v>0</v>
      </c>
      <c r="CM172" s="131">
        <f t="shared" si="219"/>
        <v>0</v>
      </c>
      <c r="CN172" s="136">
        <f t="shared" si="220"/>
        <v>0</v>
      </c>
      <c r="CO172" s="136">
        <f t="shared" si="221"/>
        <v>0</v>
      </c>
      <c r="CP172" s="136">
        <f t="shared" si="222"/>
        <v>0</v>
      </c>
      <c r="CQ172" s="136"/>
      <c r="CR172" s="136">
        <f t="shared" si="223"/>
        <v>0</v>
      </c>
      <c r="CS172" s="136"/>
      <c r="CT172" s="136"/>
      <c r="CU172" s="136"/>
      <c r="CV172" s="136"/>
      <c r="CW172" s="136"/>
      <c r="CX172" s="136"/>
      <c r="CY172" s="136"/>
      <c r="CZ172" s="136">
        <f t="shared" si="224"/>
        <v>0</v>
      </c>
      <c r="DA172" s="136">
        <f t="shared" si="225"/>
        <v>0</v>
      </c>
      <c r="DB172" s="136">
        <f t="shared" si="226"/>
        <v>0</v>
      </c>
      <c r="DC172" s="131">
        <f t="shared" si="185"/>
        <v>0</v>
      </c>
      <c r="DD172" s="131">
        <f t="shared" si="227"/>
        <v>0</v>
      </c>
      <c r="DE172" s="131">
        <f t="shared" si="228"/>
        <v>0</v>
      </c>
      <c r="DF172" s="131">
        <f t="shared" si="229"/>
        <v>0</v>
      </c>
      <c r="DG172" s="131">
        <f t="shared" si="230"/>
        <v>0</v>
      </c>
      <c r="DH172" s="131"/>
      <c r="DI172" s="131"/>
      <c r="DJ172" s="131"/>
      <c r="DK172" s="137">
        <f t="shared" si="260"/>
        <v>3791.5811116017489</v>
      </c>
      <c r="DL172" s="227" t="e">
        <f t="shared" si="231"/>
        <v>#REF!</v>
      </c>
      <c r="DM172" s="227" t="e">
        <f t="shared" si="232"/>
        <v>#REF!</v>
      </c>
      <c r="DN172" s="228" t="e">
        <f t="shared" si="186"/>
        <v>#REF!</v>
      </c>
      <c r="DO172" s="228">
        <f t="shared" si="233"/>
        <v>181.81087083894022</v>
      </c>
      <c r="DP172" s="228" t="e">
        <f t="shared" si="234"/>
        <v>#REF!</v>
      </c>
      <c r="DQ172" s="228" t="e">
        <f t="shared" si="235"/>
        <v>#REF!</v>
      </c>
    </row>
    <row r="173" spans="1:121">
      <c r="A173" s="132">
        <f t="shared" si="265"/>
        <v>163</v>
      </c>
      <c r="B173" s="18">
        <f t="shared" si="236"/>
        <v>163</v>
      </c>
      <c r="C173" s="18">
        <f>IF(A173=0," ",VLOOKUP(B173,'tosafot '!$A$7:$B$234,2,0))</f>
        <v>7.2020999999999997</v>
      </c>
      <c r="D173" s="220">
        <f t="shared" si="237"/>
        <v>228</v>
      </c>
      <c r="E173" s="130">
        <f t="shared" si="238"/>
        <v>12.2026</v>
      </c>
      <c r="F173" s="126">
        <f t="shared" si="239"/>
        <v>9</v>
      </c>
      <c r="G173" s="18" t="str">
        <f t="shared" si="240"/>
        <v>הבריאות</v>
      </c>
      <c r="H173" s="189">
        <f t="shared" si="241"/>
        <v>107</v>
      </c>
      <c r="I173" s="18">
        <f t="shared" si="242"/>
        <v>1</v>
      </c>
      <c r="J173" s="18" t="str">
        <f t="shared" si="243"/>
        <v>מינהלי - עובדי מדינה</v>
      </c>
      <c r="K173" s="189">
        <f t="shared" si="244"/>
        <v>1</v>
      </c>
      <c r="L173" s="18">
        <f t="shared" si="245"/>
        <v>12</v>
      </c>
      <c r="M173" s="129" t="str">
        <f t="shared" si="246"/>
        <v>17+</v>
      </c>
      <c r="N173" s="189"/>
      <c r="O173" s="132">
        <f t="shared" si="247"/>
        <v>1012</v>
      </c>
      <c r="P173" s="127">
        <f t="shared" si="248"/>
        <v>37</v>
      </c>
      <c r="Q173" s="127">
        <f t="shared" si="249"/>
        <v>22.75</v>
      </c>
      <c r="R173" s="128">
        <f t="shared" si="250"/>
        <v>92</v>
      </c>
      <c r="S173" s="130">
        <f t="shared" si="251"/>
        <v>1.2540512286990533</v>
      </c>
      <c r="T173" s="135">
        <f t="shared" si="188"/>
        <v>0</v>
      </c>
      <c r="U173" s="127">
        <f t="shared" si="189"/>
        <v>0</v>
      </c>
      <c r="V173" s="217">
        <v>0</v>
      </c>
      <c r="W173" s="191">
        <v>0</v>
      </c>
      <c r="X173" s="133">
        <v>0</v>
      </c>
      <c r="Y173" s="131">
        <f t="shared" si="190"/>
        <v>2438.5</v>
      </c>
      <c r="Z173" s="131">
        <f t="shared" si="191"/>
        <v>619.50392118264142</v>
      </c>
      <c r="AA173" s="242">
        <f t="shared" si="192"/>
        <v>3058.0039211826415</v>
      </c>
      <c r="AB173" s="131">
        <f t="shared" si="193"/>
        <v>0</v>
      </c>
      <c r="AC173" s="131">
        <f t="shared" si="194"/>
        <v>139.48055684730568</v>
      </c>
      <c r="AD173" s="131">
        <f t="shared" si="195"/>
        <v>0</v>
      </c>
      <c r="AE173" s="131">
        <f t="shared" si="196"/>
        <v>0</v>
      </c>
      <c r="AF173" s="131">
        <f t="shared" si="197"/>
        <v>75.260000000000005</v>
      </c>
      <c r="AG173" s="131">
        <f t="shared" si="198"/>
        <v>0</v>
      </c>
      <c r="AH173" s="131">
        <f t="shared" si="199"/>
        <v>0</v>
      </c>
      <c r="AI173" s="131">
        <f t="shared" si="200"/>
        <v>0</v>
      </c>
      <c r="AJ173" s="131">
        <f t="shared" si="201"/>
        <v>0</v>
      </c>
      <c r="AK173" s="131"/>
      <c r="AL173" s="131">
        <f t="shared" si="202"/>
        <v>0</v>
      </c>
      <c r="AM173" s="131"/>
      <c r="AN173" s="243">
        <f t="shared" si="203"/>
        <v>0</v>
      </c>
      <c r="AO173" s="131">
        <f t="shared" si="204"/>
        <v>0</v>
      </c>
      <c r="AP173" s="131">
        <f t="shared" si="205"/>
        <v>0</v>
      </c>
      <c r="AQ173" s="131"/>
      <c r="AR173" s="131">
        <f t="shared" si="206"/>
        <v>0</v>
      </c>
      <c r="AS173" s="131">
        <f t="shared" si="252"/>
        <v>0</v>
      </c>
      <c r="AT173" s="131">
        <f t="shared" si="207"/>
        <v>0</v>
      </c>
      <c r="AU173" s="131">
        <f t="shared" si="208"/>
        <v>0</v>
      </c>
      <c r="AV173" s="131"/>
      <c r="AW173" s="131">
        <f t="shared" si="209"/>
        <v>353.75</v>
      </c>
      <c r="AX173" s="131">
        <f t="shared" si="263"/>
        <v>0</v>
      </c>
      <c r="AY173" s="131">
        <f t="shared" si="210"/>
        <v>0</v>
      </c>
      <c r="AZ173" s="131"/>
      <c r="BA173" s="131">
        <f t="shared" si="264"/>
        <v>0</v>
      </c>
      <c r="BB173" s="131"/>
      <c r="BC173" s="131"/>
      <c r="BD173" s="131">
        <f t="shared" si="211"/>
        <v>0</v>
      </c>
      <c r="BE173" s="131"/>
      <c r="BF173" s="131">
        <f t="shared" si="253"/>
        <v>0</v>
      </c>
      <c r="BG173" s="131">
        <f t="shared" si="254"/>
        <v>0</v>
      </c>
      <c r="BH173" s="131"/>
      <c r="BI173" s="131"/>
      <c r="BJ173" s="131"/>
      <c r="BK173" s="131">
        <f t="shared" si="255"/>
        <v>0</v>
      </c>
      <c r="BL173" s="131"/>
      <c r="BM173" s="131"/>
      <c r="BN173" s="131">
        <f t="shared" si="256"/>
        <v>0</v>
      </c>
      <c r="BO173" s="131"/>
      <c r="BP173" s="131">
        <f t="shared" si="257"/>
        <v>0</v>
      </c>
      <c r="BQ173" s="131"/>
      <c r="BR173" s="131"/>
      <c r="BS173" s="131"/>
      <c r="BT173" s="131"/>
      <c r="BU173" s="131"/>
      <c r="BV173" s="131">
        <f t="shared" si="258"/>
        <v>0</v>
      </c>
      <c r="BW173" s="131"/>
      <c r="BX173" s="131"/>
      <c r="BY173" s="131"/>
      <c r="BZ173" s="131">
        <f t="shared" si="259"/>
        <v>0</v>
      </c>
      <c r="CA173" s="131"/>
      <c r="CB173" s="136">
        <f t="shared" si="212"/>
        <v>165.08663357180151</v>
      </c>
      <c r="CC173" s="131">
        <f t="shared" si="213"/>
        <v>0</v>
      </c>
      <c r="CD173" s="136">
        <f t="shared" si="214"/>
        <v>0</v>
      </c>
      <c r="CE173" s="131">
        <f t="shared" si="262"/>
        <v>0</v>
      </c>
      <c r="CF173" s="136">
        <f t="shared" si="215"/>
        <v>0</v>
      </c>
      <c r="CG173" s="136"/>
      <c r="CH173" s="136">
        <f t="shared" si="261"/>
        <v>0</v>
      </c>
      <c r="CI173" s="131">
        <f t="shared" si="216"/>
        <v>0</v>
      </c>
      <c r="CJ173" s="131"/>
      <c r="CK173" s="136">
        <f t="shared" si="217"/>
        <v>0</v>
      </c>
      <c r="CL173" s="136">
        <f t="shared" si="218"/>
        <v>0</v>
      </c>
      <c r="CM173" s="131">
        <f t="shared" si="219"/>
        <v>0</v>
      </c>
      <c r="CN173" s="136">
        <f t="shared" si="220"/>
        <v>0</v>
      </c>
      <c r="CO173" s="136">
        <f t="shared" si="221"/>
        <v>0</v>
      </c>
      <c r="CP173" s="136">
        <f t="shared" si="222"/>
        <v>0</v>
      </c>
      <c r="CQ173" s="136"/>
      <c r="CR173" s="136">
        <f t="shared" si="223"/>
        <v>0</v>
      </c>
      <c r="CS173" s="136"/>
      <c r="CT173" s="136"/>
      <c r="CU173" s="136"/>
      <c r="CV173" s="136"/>
      <c r="CW173" s="136"/>
      <c r="CX173" s="136"/>
      <c r="CY173" s="136"/>
      <c r="CZ173" s="136">
        <f t="shared" si="224"/>
        <v>0</v>
      </c>
      <c r="DA173" s="136">
        <f t="shared" si="225"/>
        <v>0</v>
      </c>
      <c r="DB173" s="136">
        <f t="shared" si="226"/>
        <v>0</v>
      </c>
      <c r="DC173" s="131">
        <f t="shared" si="185"/>
        <v>0</v>
      </c>
      <c r="DD173" s="131">
        <f t="shared" si="227"/>
        <v>0</v>
      </c>
      <c r="DE173" s="131">
        <f t="shared" si="228"/>
        <v>0</v>
      </c>
      <c r="DF173" s="131">
        <f t="shared" si="229"/>
        <v>0</v>
      </c>
      <c r="DG173" s="131">
        <f t="shared" si="230"/>
        <v>0</v>
      </c>
      <c r="DH173" s="131"/>
      <c r="DI173" s="131"/>
      <c r="DJ173" s="131"/>
      <c r="DK173" s="137">
        <f t="shared" si="260"/>
        <v>3791.5811116017489</v>
      </c>
      <c r="DL173" s="227" t="e">
        <f t="shared" si="231"/>
        <v>#REF!</v>
      </c>
      <c r="DM173" s="227" t="e">
        <f t="shared" si="232"/>
        <v>#REF!</v>
      </c>
      <c r="DN173" s="228" t="e">
        <f t="shared" si="186"/>
        <v>#REF!</v>
      </c>
      <c r="DO173" s="228">
        <f t="shared" si="233"/>
        <v>181.81087083894022</v>
      </c>
      <c r="DP173" s="228" t="e">
        <f t="shared" si="234"/>
        <v>#REF!</v>
      </c>
      <c r="DQ173" s="228" t="e">
        <f t="shared" si="235"/>
        <v>#REF!</v>
      </c>
    </row>
    <row r="174" spans="1:121">
      <c r="A174" s="132">
        <f t="shared" si="265"/>
        <v>164</v>
      </c>
      <c r="B174" s="18">
        <f t="shared" si="236"/>
        <v>164</v>
      </c>
      <c r="C174" s="18">
        <f>IF(A174=0," ",VLOOKUP(B174,'tosafot '!$A$7:$B$234,2,0))</f>
        <v>8.2020999999999997</v>
      </c>
      <c r="D174" s="220">
        <f t="shared" si="237"/>
        <v>228</v>
      </c>
      <c r="E174" s="130">
        <f t="shared" si="238"/>
        <v>12.2026</v>
      </c>
      <c r="F174" s="126">
        <f t="shared" si="239"/>
        <v>9</v>
      </c>
      <c r="G174" s="18" t="str">
        <f t="shared" si="240"/>
        <v>הבריאות</v>
      </c>
      <c r="H174" s="189">
        <f t="shared" si="241"/>
        <v>107</v>
      </c>
      <c r="I174" s="18">
        <f t="shared" si="242"/>
        <v>1</v>
      </c>
      <c r="J174" s="18" t="str">
        <f t="shared" si="243"/>
        <v>מינהלי - עובדי מדינה</v>
      </c>
      <c r="K174" s="189">
        <f t="shared" si="244"/>
        <v>1</v>
      </c>
      <c r="L174" s="18">
        <f t="shared" si="245"/>
        <v>12</v>
      </c>
      <c r="M174" s="129" t="str">
        <f t="shared" si="246"/>
        <v>17+</v>
      </c>
      <c r="N174" s="189"/>
      <c r="O174" s="132">
        <f t="shared" si="247"/>
        <v>1012</v>
      </c>
      <c r="P174" s="127">
        <f t="shared" si="248"/>
        <v>37</v>
      </c>
      <c r="Q174" s="127">
        <f t="shared" si="249"/>
        <v>22.75</v>
      </c>
      <c r="R174" s="128">
        <f t="shared" si="250"/>
        <v>92</v>
      </c>
      <c r="S174" s="130">
        <f t="shared" si="251"/>
        <v>1.2540512286990533</v>
      </c>
      <c r="T174" s="135">
        <f t="shared" si="188"/>
        <v>0</v>
      </c>
      <c r="U174" s="127">
        <f t="shared" si="189"/>
        <v>0</v>
      </c>
      <c r="V174" s="217">
        <v>0</v>
      </c>
      <c r="W174" s="191">
        <v>0</v>
      </c>
      <c r="X174" s="133">
        <v>0</v>
      </c>
      <c r="Y174" s="131">
        <f t="shared" si="190"/>
        <v>2438.5</v>
      </c>
      <c r="Z174" s="131">
        <f t="shared" si="191"/>
        <v>619.50392118264142</v>
      </c>
      <c r="AA174" s="242">
        <f t="shared" si="192"/>
        <v>3058.0039211826415</v>
      </c>
      <c r="AB174" s="131">
        <f t="shared" si="193"/>
        <v>0</v>
      </c>
      <c r="AC174" s="131">
        <f t="shared" si="194"/>
        <v>139.48055684730568</v>
      </c>
      <c r="AD174" s="131">
        <f t="shared" si="195"/>
        <v>0</v>
      </c>
      <c r="AE174" s="131">
        <f t="shared" si="196"/>
        <v>0</v>
      </c>
      <c r="AF174" s="131">
        <f t="shared" si="197"/>
        <v>75.260000000000005</v>
      </c>
      <c r="AG174" s="131">
        <f t="shared" si="198"/>
        <v>0</v>
      </c>
      <c r="AH174" s="131">
        <f t="shared" si="199"/>
        <v>0</v>
      </c>
      <c r="AI174" s="131">
        <f t="shared" si="200"/>
        <v>0</v>
      </c>
      <c r="AJ174" s="131">
        <f t="shared" si="201"/>
        <v>0</v>
      </c>
      <c r="AK174" s="131"/>
      <c r="AL174" s="131">
        <f t="shared" si="202"/>
        <v>0</v>
      </c>
      <c r="AM174" s="131"/>
      <c r="AN174" s="243">
        <f t="shared" si="203"/>
        <v>0</v>
      </c>
      <c r="AO174" s="131">
        <f t="shared" si="204"/>
        <v>0</v>
      </c>
      <c r="AP174" s="131">
        <f t="shared" si="205"/>
        <v>0</v>
      </c>
      <c r="AQ174" s="131"/>
      <c r="AR174" s="131">
        <f t="shared" si="206"/>
        <v>0</v>
      </c>
      <c r="AS174" s="131">
        <f t="shared" si="252"/>
        <v>0</v>
      </c>
      <c r="AT174" s="131">
        <f t="shared" si="207"/>
        <v>0</v>
      </c>
      <c r="AU174" s="131">
        <f t="shared" si="208"/>
        <v>0</v>
      </c>
      <c r="AV174" s="131"/>
      <c r="AW174" s="131">
        <f t="shared" si="209"/>
        <v>353.75</v>
      </c>
      <c r="AX174" s="131">
        <f t="shared" si="263"/>
        <v>0</v>
      </c>
      <c r="AY174" s="131">
        <f t="shared" si="210"/>
        <v>0</v>
      </c>
      <c r="AZ174" s="131"/>
      <c r="BA174" s="131">
        <f t="shared" si="264"/>
        <v>0</v>
      </c>
      <c r="BB174" s="131"/>
      <c r="BC174" s="131"/>
      <c r="BD174" s="131">
        <f t="shared" si="211"/>
        <v>0</v>
      </c>
      <c r="BE174" s="131"/>
      <c r="BF174" s="131">
        <f t="shared" si="253"/>
        <v>0</v>
      </c>
      <c r="BG174" s="131">
        <f t="shared" si="254"/>
        <v>0</v>
      </c>
      <c r="BH174" s="131"/>
      <c r="BI174" s="131"/>
      <c r="BJ174" s="131"/>
      <c r="BK174" s="131">
        <f t="shared" si="255"/>
        <v>0</v>
      </c>
      <c r="BL174" s="131"/>
      <c r="BM174" s="131"/>
      <c r="BN174" s="131">
        <f t="shared" si="256"/>
        <v>0</v>
      </c>
      <c r="BO174" s="131"/>
      <c r="BP174" s="131">
        <f t="shared" si="257"/>
        <v>0</v>
      </c>
      <c r="BQ174" s="131"/>
      <c r="BR174" s="131"/>
      <c r="BS174" s="131"/>
      <c r="BT174" s="131"/>
      <c r="BU174" s="131"/>
      <c r="BV174" s="131">
        <f t="shared" si="258"/>
        <v>0</v>
      </c>
      <c r="BW174" s="131"/>
      <c r="BX174" s="131"/>
      <c r="BY174" s="131"/>
      <c r="BZ174" s="131">
        <f t="shared" si="259"/>
        <v>0</v>
      </c>
      <c r="CA174" s="131"/>
      <c r="CB174" s="136">
        <f t="shared" si="212"/>
        <v>165.08663357180151</v>
      </c>
      <c r="CC174" s="131">
        <f t="shared" si="213"/>
        <v>0</v>
      </c>
      <c r="CD174" s="136">
        <f t="shared" si="214"/>
        <v>0</v>
      </c>
      <c r="CE174" s="131">
        <f t="shared" si="262"/>
        <v>0</v>
      </c>
      <c r="CF174" s="136">
        <f t="shared" si="215"/>
        <v>0</v>
      </c>
      <c r="CG174" s="136"/>
      <c r="CH174" s="136">
        <f t="shared" si="261"/>
        <v>0</v>
      </c>
      <c r="CI174" s="131">
        <f t="shared" si="216"/>
        <v>0</v>
      </c>
      <c r="CJ174" s="131"/>
      <c r="CK174" s="136">
        <f t="shared" si="217"/>
        <v>0</v>
      </c>
      <c r="CL174" s="136">
        <f t="shared" si="218"/>
        <v>0</v>
      </c>
      <c r="CM174" s="131">
        <f t="shared" si="219"/>
        <v>0</v>
      </c>
      <c r="CN174" s="136">
        <f t="shared" si="220"/>
        <v>0</v>
      </c>
      <c r="CO174" s="136">
        <f t="shared" si="221"/>
        <v>0</v>
      </c>
      <c r="CP174" s="136">
        <f t="shared" si="222"/>
        <v>0</v>
      </c>
      <c r="CQ174" s="136"/>
      <c r="CR174" s="136">
        <f t="shared" si="223"/>
        <v>0</v>
      </c>
      <c r="CS174" s="136"/>
      <c r="CT174" s="136"/>
      <c r="CU174" s="136"/>
      <c r="CV174" s="136"/>
      <c r="CW174" s="136"/>
      <c r="CX174" s="136"/>
      <c r="CY174" s="136"/>
      <c r="CZ174" s="136">
        <f t="shared" si="224"/>
        <v>0</v>
      </c>
      <c r="DA174" s="136">
        <f t="shared" si="225"/>
        <v>0</v>
      </c>
      <c r="DB174" s="136">
        <f t="shared" si="226"/>
        <v>0</v>
      </c>
      <c r="DC174" s="131">
        <f t="shared" si="185"/>
        <v>0</v>
      </c>
      <c r="DD174" s="131">
        <f t="shared" si="227"/>
        <v>0</v>
      </c>
      <c r="DE174" s="131">
        <f t="shared" si="228"/>
        <v>0</v>
      </c>
      <c r="DF174" s="131">
        <f t="shared" si="229"/>
        <v>0</v>
      </c>
      <c r="DG174" s="131">
        <f t="shared" si="230"/>
        <v>0</v>
      </c>
      <c r="DH174" s="131"/>
      <c r="DI174" s="131"/>
      <c r="DJ174" s="131"/>
      <c r="DK174" s="137">
        <f t="shared" si="260"/>
        <v>3791.5811116017489</v>
      </c>
      <c r="DL174" s="227" t="e">
        <f t="shared" si="231"/>
        <v>#REF!</v>
      </c>
      <c r="DM174" s="227" t="e">
        <f t="shared" si="232"/>
        <v>#REF!</v>
      </c>
      <c r="DN174" s="228" t="e">
        <f t="shared" si="186"/>
        <v>#REF!</v>
      </c>
      <c r="DO174" s="228">
        <f t="shared" si="233"/>
        <v>181.81087083894022</v>
      </c>
      <c r="DP174" s="228" t="e">
        <f t="shared" si="234"/>
        <v>#REF!</v>
      </c>
      <c r="DQ174" s="228" t="e">
        <f t="shared" si="235"/>
        <v>#REF!</v>
      </c>
    </row>
    <row r="175" spans="1:121">
      <c r="A175" s="132">
        <f t="shared" si="265"/>
        <v>165</v>
      </c>
      <c r="B175" s="18">
        <f t="shared" si="236"/>
        <v>165</v>
      </c>
      <c r="C175" s="18">
        <f>IF(A175=0," ",VLOOKUP(B175,'tosafot '!$A$7:$B$234,2,0))</f>
        <v>9.2020999999999997</v>
      </c>
      <c r="D175" s="220">
        <f t="shared" si="237"/>
        <v>228</v>
      </c>
      <c r="E175" s="130">
        <f t="shared" si="238"/>
        <v>12.2026</v>
      </c>
      <c r="F175" s="126">
        <f t="shared" si="239"/>
        <v>9</v>
      </c>
      <c r="G175" s="18" t="str">
        <f t="shared" si="240"/>
        <v>הבריאות</v>
      </c>
      <c r="H175" s="189">
        <f t="shared" si="241"/>
        <v>107</v>
      </c>
      <c r="I175" s="18">
        <f t="shared" si="242"/>
        <v>1</v>
      </c>
      <c r="J175" s="18" t="str">
        <f t="shared" si="243"/>
        <v>מינהלי - עובדי מדינה</v>
      </c>
      <c r="K175" s="189">
        <f t="shared" si="244"/>
        <v>1</v>
      </c>
      <c r="L175" s="18">
        <f t="shared" si="245"/>
        <v>12</v>
      </c>
      <c r="M175" s="129" t="str">
        <f t="shared" si="246"/>
        <v>17+</v>
      </c>
      <c r="N175" s="189"/>
      <c r="O175" s="132">
        <f t="shared" si="247"/>
        <v>1012</v>
      </c>
      <c r="P175" s="127">
        <f t="shared" si="248"/>
        <v>37</v>
      </c>
      <c r="Q175" s="127">
        <f t="shared" si="249"/>
        <v>22.75</v>
      </c>
      <c r="R175" s="128">
        <f t="shared" si="250"/>
        <v>92</v>
      </c>
      <c r="S175" s="130">
        <f t="shared" si="251"/>
        <v>1.2540512286990533</v>
      </c>
      <c r="T175" s="135">
        <f t="shared" si="188"/>
        <v>0</v>
      </c>
      <c r="U175" s="127">
        <f t="shared" si="189"/>
        <v>0</v>
      </c>
      <c r="V175" s="217">
        <v>0</v>
      </c>
      <c r="W175" s="191">
        <v>0</v>
      </c>
      <c r="X175" s="133">
        <v>0</v>
      </c>
      <c r="Y175" s="131">
        <f t="shared" si="190"/>
        <v>2438.5</v>
      </c>
      <c r="Z175" s="131">
        <f t="shared" si="191"/>
        <v>619.50392118264142</v>
      </c>
      <c r="AA175" s="242">
        <f t="shared" si="192"/>
        <v>3058.0039211826415</v>
      </c>
      <c r="AB175" s="131">
        <f t="shared" si="193"/>
        <v>0</v>
      </c>
      <c r="AC175" s="131">
        <f t="shared" si="194"/>
        <v>139.48055684730568</v>
      </c>
      <c r="AD175" s="131">
        <f t="shared" si="195"/>
        <v>0</v>
      </c>
      <c r="AE175" s="131">
        <f t="shared" si="196"/>
        <v>0</v>
      </c>
      <c r="AF175" s="131">
        <f t="shared" si="197"/>
        <v>75.260000000000005</v>
      </c>
      <c r="AG175" s="131">
        <f t="shared" si="198"/>
        <v>0</v>
      </c>
      <c r="AH175" s="131">
        <f t="shared" si="199"/>
        <v>0</v>
      </c>
      <c r="AI175" s="131">
        <f t="shared" si="200"/>
        <v>0</v>
      </c>
      <c r="AJ175" s="131">
        <f t="shared" si="201"/>
        <v>0</v>
      </c>
      <c r="AK175" s="131"/>
      <c r="AL175" s="131">
        <f t="shared" si="202"/>
        <v>0</v>
      </c>
      <c r="AM175" s="131"/>
      <c r="AN175" s="243">
        <f t="shared" si="203"/>
        <v>0</v>
      </c>
      <c r="AO175" s="131">
        <f t="shared" si="204"/>
        <v>0</v>
      </c>
      <c r="AP175" s="131">
        <f t="shared" si="205"/>
        <v>0</v>
      </c>
      <c r="AQ175" s="131"/>
      <c r="AR175" s="131">
        <f t="shared" si="206"/>
        <v>0</v>
      </c>
      <c r="AS175" s="131">
        <f t="shared" si="252"/>
        <v>0</v>
      </c>
      <c r="AT175" s="131">
        <f t="shared" si="207"/>
        <v>0</v>
      </c>
      <c r="AU175" s="131">
        <f t="shared" si="208"/>
        <v>0</v>
      </c>
      <c r="AV175" s="131"/>
      <c r="AW175" s="131">
        <f t="shared" si="209"/>
        <v>353.75</v>
      </c>
      <c r="AX175" s="131">
        <f t="shared" si="263"/>
        <v>0</v>
      </c>
      <c r="AY175" s="131">
        <f t="shared" si="210"/>
        <v>0</v>
      </c>
      <c r="AZ175" s="131"/>
      <c r="BA175" s="131">
        <f t="shared" si="264"/>
        <v>0</v>
      </c>
      <c r="BB175" s="131"/>
      <c r="BC175" s="131"/>
      <c r="BD175" s="131">
        <f t="shared" si="211"/>
        <v>0</v>
      </c>
      <c r="BE175" s="131"/>
      <c r="BF175" s="131">
        <f t="shared" si="253"/>
        <v>0</v>
      </c>
      <c r="BG175" s="131">
        <f t="shared" si="254"/>
        <v>0</v>
      </c>
      <c r="BH175" s="131"/>
      <c r="BI175" s="131"/>
      <c r="BJ175" s="131"/>
      <c r="BK175" s="131">
        <f t="shared" si="255"/>
        <v>0</v>
      </c>
      <c r="BL175" s="131"/>
      <c r="BM175" s="131"/>
      <c r="BN175" s="131">
        <f t="shared" si="256"/>
        <v>0</v>
      </c>
      <c r="BO175" s="131"/>
      <c r="BP175" s="131">
        <f t="shared" si="257"/>
        <v>0</v>
      </c>
      <c r="BQ175" s="131"/>
      <c r="BR175" s="131"/>
      <c r="BS175" s="131"/>
      <c r="BT175" s="131"/>
      <c r="BU175" s="131"/>
      <c r="BV175" s="131">
        <f t="shared" si="258"/>
        <v>0</v>
      </c>
      <c r="BW175" s="131"/>
      <c r="BX175" s="131"/>
      <c r="BY175" s="131"/>
      <c r="BZ175" s="131">
        <f t="shared" si="259"/>
        <v>0</v>
      </c>
      <c r="CA175" s="131"/>
      <c r="CB175" s="136">
        <f t="shared" si="212"/>
        <v>165.08663357180151</v>
      </c>
      <c r="CC175" s="131">
        <f t="shared" si="213"/>
        <v>0</v>
      </c>
      <c r="CD175" s="136">
        <f t="shared" si="214"/>
        <v>0</v>
      </c>
      <c r="CE175" s="131">
        <f t="shared" si="262"/>
        <v>0</v>
      </c>
      <c r="CF175" s="136">
        <f t="shared" si="215"/>
        <v>0</v>
      </c>
      <c r="CG175" s="136"/>
      <c r="CH175" s="136">
        <f t="shared" si="261"/>
        <v>0</v>
      </c>
      <c r="CI175" s="131">
        <f t="shared" si="216"/>
        <v>0</v>
      </c>
      <c r="CJ175" s="131"/>
      <c r="CK175" s="136">
        <f t="shared" si="217"/>
        <v>0</v>
      </c>
      <c r="CL175" s="136">
        <f t="shared" si="218"/>
        <v>0</v>
      </c>
      <c r="CM175" s="131">
        <f t="shared" si="219"/>
        <v>0</v>
      </c>
      <c r="CN175" s="136">
        <f t="shared" si="220"/>
        <v>0</v>
      </c>
      <c r="CO175" s="136">
        <f t="shared" si="221"/>
        <v>0</v>
      </c>
      <c r="CP175" s="136">
        <f t="shared" si="222"/>
        <v>0</v>
      </c>
      <c r="CQ175" s="136"/>
      <c r="CR175" s="136">
        <f t="shared" si="223"/>
        <v>0</v>
      </c>
      <c r="CS175" s="136"/>
      <c r="CT175" s="136"/>
      <c r="CU175" s="136"/>
      <c r="CV175" s="136"/>
      <c r="CW175" s="136"/>
      <c r="CX175" s="136"/>
      <c r="CY175" s="136"/>
      <c r="CZ175" s="136">
        <f t="shared" si="224"/>
        <v>0</v>
      </c>
      <c r="DA175" s="136">
        <f t="shared" si="225"/>
        <v>0</v>
      </c>
      <c r="DB175" s="136">
        <f t="shared" si="226"/>
        <v>0</v>
      </c>
      <c r="DC175" s="131">
        <f t="shared" si="185"/>
        <v>0</v>
      </c>
      <c r="DD175" s="131">
        <f t="shared" si="227"/>
        <v>0</v>
      </c>
      <c r="DE175" s="131">
        <f t="shared" si="228"/>
        <v>0</v>
      </c>
      <c r="DF175" s="131">
        <f t="shared" si="229"/>
        <v>0</v>
      </c>
      <c r="DG175" s="131">
        <f t="shared" si="230"/>
        <v>0</v>
      </c>
      <c r="DH175" s="131"/>
      <c r="DI175" s="131"/>
      <c r="DJ175" s="131"/>
      <c r="DK175" s="137">
        <f t="shared" si="260"/>
        <v>3791.5811116017489</v>
      </c>
      <c r="DL175" s="227" t="e">
        <f t="shared" si="231"/>
        <v>#REF!</v>
      </c>
      <c r="DM175" s="227" t="e">
        <f t="shared" si="232"/>
        <v>#REF!</v>
      </c>
      <c r="DN175" s="228" t="e">
        <f t="shared" si="186"/>
        <v>#REF!</v>
      </c>
      <c r="DO175" s="228">
        <f t="shared" si="233"/>
        <v>181.81087083894022</v>
      </c>
      <c r="DP175" s="228" t="e">
        <f t="shared" si="234"/>
        <v>#REF!</v>
      </c>
      <c r="DQ175" s="228" t="e">
        <f t="shared" si="235"/>
        <v>#REF!</v>
      </c>
    </row>
    <row r="176" spans="1:121">
      <c r="A176" s="132">
        <f t="shared" si="265"/>
        <v>166</v>
      </c>
      <c r="B176" s="18">
        <f t="shared" si="236"/>
        <v>166</v>
      </c>
      <c r="C176" s="18">
        <f>IF(A176=0," ",VLOOKUP(B176,'tosafot '!$A$7:$B$234,2,0))</f>
        <v>10.2021</v>
      </c>
      <c r="D176" s="220">
        <f t="shared" si="237"/>
        <v>228</v>
      </c>
      <c r="E176" s="130">
        <f t="shared" si="238"/>
        <v>12.2026</v>
      </c>
      <c r="F176" s="126">
        <f t="shared" si="239"/>
        <v>9</v>
      </c>
      <c r="G176" s="18" t="str">
        <f t="shared" si="240"/>
        <v>הבריאות</v>
      </c>
      <c r="H176" s="189">
        <f t="shared" si="241"/>
        <v>107</v>
      </c>
      <c r="I176" s="18">
        <f t="shared" si="242"/>
        <v>1</v>
      </c>
      <c r="J176" s="18" t="str">
        <f t="shared" si="243"/>
        <v>מינהלי - עובדי מדינה</v>
      </c>
      <c r="K176" s="189">
        <f t="shared" si="244"/>
        <v>1</v>
      </c>
      <c r="L176" s="18">
        <f t="shared" si="245"/>
        <v>12</v>
      </c>
      <c r="M176" s="129" t="str">
        <f t="shared" si="246"/>
        <v>17+</v>
      </c>
      <c r="N176" s="189"/>
      <c r="O176" s="132">
        <f t="shared" si="247"/>
        <v>1012</v>
      </c>
      <c r="P176" s="127">
        <f t="shared" si="248"/>
        <v>37</v>
      </c>
      <c r="Q176" s="127">
        <f t="shared" si="249"/>
        <v>22.75</v>
      </c>
      <c r="R176" s="128">
        <f t="shared" si="250"/>
        <v>92</v>
      </c>
      <c r="S176" s="130">
        <f t="shared" si="251"/>
        <v>1.2540512286990533</v>
      </c>
      <c r="T176" s="135">
        <f t="shared" si="188"/>
        <v>0</v>
      </c>
      <c r="U176" s="127">
        <f t="shared" si="189"/>
        <v>0</v>
      </c>
      <c r="V176" s="217">
        <v>0</v>
      </c>
      <c r="W176" s="191">
        <v>0</v>
      </c>
      <c r="X176" s="133">
        <v>0</v>
      </c>
      <c r="Y176" s="131">
        <f t="shared" si="190"/>
        <v>2438.5</v>
      </c>
      <c r="Z176" s="131">
        <f t="shared" si="191"/>
        <v>619.50392118264142</v>
      </c>
      <c r="AA176" s="242">
        <f t="shared" si="192"/>
        <v>3058.0039211826415</v>
      </c>
      <c r="AB176" s="131">
        <f t="shared" si="193"/>
        <v>0</v>
      </c>
      <c r="AC176" s="131">
        <f t="shared" si="194"/>
        <v>139.48055684730568</v>
      </c>
      <c r="AD176" s="131">
        <f t="shared" si="195"/>
        <v>0</v>
      </c>
      <c r="AE176" s="131">
        <f t="shared" si="196"/>
        <v>0</v>
      </c>
      <c r="AF176" s="131">
        <f t="shared" si="197"/>
        <v>75.260000000000005</v>
      </c>
      <c r="AG176" s="131">
        <f t="shared" si="198"/>
        <v>0</v>
      </c>
      <c r="AH176" s="131">
        <f t="shared" si="199"/>
        <v>0</v>
      </c>
      <c r="AI176" s="131">
        <f t="shared" si="200"/>
        <v>0</v>
      </c>
      <c r="AJ176" s="131">
        <f t="shared" si="201"/>
        <v>0</v>
      </c>
      <c r="AK176" s="131"/>
      <c r="AL176" s="131">
        <f t="shared" si="202"/>
        <v>0</v>
      </c>
      <c r="AM176" s="131"/>
      <c r="AN176" s="243">
        <f t="shared" si="203"/>
        <v>0</v>
      </c>
      <c r="AO176" s="131">
        <f t="shared" si="204"/>
        <v>0</v>
      </c>
      <c r="AP176" s="131">
        <f t="shared" si="205"/>
        <v>0</v>
      </c>
      <c r="AQ176" s="131"/>
      <c r="AR176" s="131">
        <f t="shared" si="206"/>
        <v>0</v>
      </c>
      <c r="AS176" s="131">
        <f t="shared" si="252"/>
        <v>0</v>
      </c>
      <c r="AT176" s="131">
        <f t="shared" si="207"/>
        <v>0</v>
      </c>
      <c r="AU176" s="131">
        <f t="shared" si="208"/>
        <v>0</v>
      </c>
      <c r="AV176" s="131"/>
      <c r="AW176" s="131">
        <f t="shared" si="209"/>
        <v>353.75</v>
      </c>
      <c r="AX176" s="131">
        <f t="shared" si="263"/>
        <v>0</v>
      </c>
      <c r="AY176" s="131">
        <f t="shared" si="210"/>
        <v>0</v>
      </c>
      <c r="AZ176" s="131"/>
      <c r="BA176" s="131">
        <f t="shared" si="264"/>
        <v>0</v>
      </c>
      <c r="BB176" s="131"/>
      <c r="BC176" s="131"/>
      <c r="BD176" s="131">
        <f t="shared" si="211"/>
        <v>0</v>
      </c>
      <c r="BE176" s="131"/>
      <c r="BF176" s="131">
        <f t="shared" si="253"/>
        <v>0</v>
      </c>
      <c r="BG176" s="131">
        <f t="shared" si="254"/>
        <v>0</v>
      </c>
      <c r="BH176" s="131"/>
      <c r="BI176" s="131"/>
      <c r="BJ176" s="131"/>
      <c r="BK176" s="131">
        <f t="shared" si="255"/>
        <v>0</v>
      </c>
      <c r="BL176" s="131"/>
      <c r="BM176" s="131"/>
      <c r="BN176" s="131">
        <f t="shared" si="256"/>
        <v>0</v>
      </c>
      <c r="BO176" s="131"/>
      <c r="BP176" s="131">
        <f t="shared" si="257"/>
        <v>0</v>
      </c>
      <c r="BQ176" s="131"/>
      <c r="BR176" s="131"/>
      <c r="BS176" s="131"/>
      <c r="BT176" s="131"/>
      <c r="BU176" s="131"/>
      <c r="BV176" s="131">
        <f t="shared" si="258"/>
        <v>0</v>
      </c>
      <c r="BW176" s="131"/>
      <c r="BX176" s="131"/>
      <c r="BY176" s="131"/>
      <c r="BZ176" s="131">
        <f t="shared" si="259"/>
        <v>0</v>
      </c>
      <c r="CA176" s="131"/>
      <c r="CB176" s="136">
        <f t="shared" si="212"/>
        <v>165.08663357180151</v>
      </c>
      <c r="CC176" s="131">
        <f t="shared" si="213"/>
        <v>0</v>
      </c>
      <c r="CD176" s="136">
        <f t="shared" si="214"/>
        <v>0</v>
      </c>
      <c r="CE176" s="131">
        <f t="shared" si="262"/>
        <v>0</v>
      </c>
      <c r="CF176" s="136">
        <f t="shared" si="215"/>
        <v>0</v>
      </c>
      <c r="CG176" s="136"/>
      <c r="CH176" s="136">
        <f t="shared" si="261"/>
        <v>0</v>
      </c>
      <c r="CI176" s="131">
        <f t="shared" si="216"/>
        <v>0</v>
      </c>
      <c r="CJ176" s="131"/>
      <c r="CK176" s="136">
        <f t="shared" si="217"/>
        <v>0</v>
      </c>
      <c r="CL176" s="136">
        <f t="shared" si="218"/>
        <v>0</v>
      </c>
      <c r="CM176" s="131">
        <f t="shared" si="219"/>
        <v>0</v>
      </c>
      <c r="CN176" s="136">
        <f t="shared" si="220"/>
        <v>0</v>
      </c>
      <c r="CO176" s="136">
        <f t="shared" si="221"/>
        <v>0</v>
      </c>
      <c r="CP176" s="136">
        <f t="shared" si="222"/>
        <v>0</v>
      </c>
      <c r="CQ176" s="136"/>
      <c r="CR176" s="136">
        <f t="shared" si="223"/>
        <v>0</v>
      </c>
      <c r="CS176" s="136"/>
      <c r="CT176" s="136"/>
      <c r="CU176" s="136"/>
      <c r="CV176" s="136"/>
      <c r="CW176" s="136"/>
      <c r="CX176" s="136"/>
      <c r="CY176" s="136"/>
      <c r="CZ176" s="136">
        <f t="shared" si="224"/>
        <v>0</v>
      </c>
      <c r="DA176" s="136">
        <f t="shared" si="225"/>
        <v>0</v>
      </c>
      <c r="DB176" s="136">
        <f t="shared" si="226"/>
        <v>0</v>
      </c>
      <c r="DC176" s="131">
        <f t="shared" si="185"/>
        <v>0</v>
      </c>
      <c r="DD176" s="131">
        <f t="shared" si="227"/>
        <v>0</v>
      </c>
      <c r="DE176" s="131">
        <f t="shared" si="228"/>
        <v>0</v>
      </c>
      <c r="DF176" s="131">
        <f t="shared" si="229"/>
        <v>0</v>
      </c>
      <c r="DG176" s="131">
        <f t="shared" si="230"/>
        <v>0</v>
      </c>
      <c r="DH176" s="131"/>
      <c r="DI176" s="131"/>
      <c r="DJ176" s="131"/>
      <c r="DK176" s="137">
        <f t="shared" si="260"/>
        <v>3791.5811116017489</v>
      </c>
      <c r="DL176" s="227" t="e">
        <f t="shared" si="231"/>
        <v>#REF!</v>
      </c>
      <c r="DM176" s="227" t="e">
        <f t="shared" si="232"/>
        <v>#REF!</v>
      </c>
      <c r="DN176" s="228" t="e">
        <f t="shared" si="186"/>
        <v>#REF!</v>
      </c>
      <c r="DO176" s="228">
        <f t="shared" si="233"/>
        <v>181.81087083894022</v>
      </c>
      <c r="DP176" s="228" t="e">
        <f t="shared" si="234"/>
        <v>#REF!</v>
      </c>
      <c r="DQ176" s="228" t="e">
        <f t="shared" si="235"/>
        <v>#REF!</v>
      </c>
    </row>
    <row r="177" spans="1:121">
      <c r="A177" s="132">
        <f t="shared" si="265"/>
        <v>167</v>
      </c>
      <c r="B177" s="18">
        <f t="shared" si="236"/>
        <v>167</v>
      </c>
      <c r="C177" s="18">
        <f>IF(A177=0," ",VLOOKUP(B177,'tosafot '!$A$7:$B$234,2,0))</f>
        <v>11.2021</v>
      </c>
      <c r="D177" s="220">
        <f t="shared" si="237"/>
        <v>228</v>
      </c>
      <c r="E177" s="130">
        <f t="shared" si="238"/>
        <v>12.2026</v>
      </c>
      <c r="F177" s="126">
        <f t="shared" si="239"/>
        <v>9</v>
      </c>
      <c r="G177" s="18" t="str">
        <f t="shared" si="240"/>
        <v>הבריאות</v>
      </c>
      <c r="H177" s="189">
        <f t="shared" si="241"/>
        <v>107</v>
      </c>
      <c r="I177" s="18">
        <f t="shared" si="242"/>
        <v>1</v>
      </c>
      <c r="J177" s="18" t="str">
        <f t="shared" si="243"/>
        <v>מינהלי - עובדי מדינה</v>
      </c>
      <c r="K177" s="189">
        <f t="shared" si="244"/>
        <v>1</v>
      </c>
      <c r="L177" s="18">
        <f t="shared" si="245"/>
        <v>12</v>
      </c>
      <c r="M177" s="129" t="str">
        <f t="shared" si="246"/>
        <v>17+</v>
      </c>
      <c r="N177" s="189"/>
      <c r="O177" s="132">
        <f t="shared" si="247"/>
        <v>1012</v>
      </c>
      <c r="P177" s="127">
        <f t="shared" si="248"/>
        <v>37</v>
      </c>
      <c r="Q177" s="127">
        <f t="shared" si="249"/>
        <v>22.75</v>
      </c>
      <c r="R177" s="128">
        <f t="shared" si="250"/>
        <v>92</v>
      </c>
      <c r="S177" s="130">
        <f t="shared" si="251"/>
        <v>1.2540512286990533</v>
      </c>
      <c r="T177" s="135">
        <f t="shared" si="188"/>
        <v>0</v>
      </c>
      <c r="U177" s="127">
        <f t="shared" si="189"/>
        <v>0</v>
      </c>
      <c r="V177" s="217">
        <v>0</v>
      </c>
      <c r="W177" s="191">
        <v>0</v>
      </c>
      <c r="X177" s="133">
        <v>0</v>
      </c>
      <c r="Y177" s="131">
        <f t="shared" si="190"/>
        <v>2438.5</v>
      </c>
      <c r="Z177" s="131">
        <f t="shared" si="191"/>
        <v>619.50392118264142</v>
      </c>
      <c r="AA177" s="242">
        <f t="shared" si="192"/>
        <v>3058.0039211826415</v>
      </c>
      <c r="AB177" s="131">
        <f t="shared" si="193"/>
        <v>0</v>
      </c>
      <c r="AC177" s="131">
        <f t="shared" si="194"/>
        <v>139.48055684730568</v>
      </c>
      <c r="AD177" s="131">
        <f t="shared" si="195"/>
        <v>0</v>
      </c>
      <c r="AE177" s="131">
        <f t="shared" si="196"/>
        <v>0</v>
      </c>
      <c r="AF177" s="131">
        <f t="shared" si="197"/>
        <v>75.260000000000005</v>
      </c>
      <c r="AG177" s="131">
        <f t="shared" si="198"/>
        <v>0</v>
      </c>
      <c r="AH177" s="131">
        <f t="shared" si="199"/>
        <v>0</v>
      </c>
      <c r="AI177" s="131">
        <f t="shared" si="200"/>
        <v>0</v>
      </c>
      <c r="AJ177" s="131">
        <f t="shared" si="201"/>
        <v>0</v>
      </c>
      <c r="AK177" s="131"/>
      <c r="AL177" s="131">
        <f t="shared" si="202"/>
        <v>0</v>
      </c>
      <c r="AM177" s="131"/>
      <c r="AN177" s="243">
        <f t="shared" si="203"/>
        <v>0</v>
      </c>
      <c r="AO177" s="131">
        <f t="shared" si="204"/>
        <v>0</v>
      </c>
      <c r="AP177" s="131">
        <f t="shared" si="205"/>
        <v>0</v>
      </c>
      <c r="AQ177" s="131"/>
      <c r="AR177" s="131">
        <f t="shared" si="206"/>
        <v>0</v>
      </c>
      <c r="AS177" s="131">
        <f t="shared" si="252"/>
        <v>0</v>
      </c>
      <c r="AT177" s="131">
        <f t="shared" si="207"/>
        <v>0</v>
      </c>
      <c r="AU177" s="131">
        <f t="shared" si="208"/>
        <v>0</v>
      </c>
      <c r="AV177" s="131"/>
      <c r="AW177" s="131">
        <f t="shared" si="209"/>
        <v>353.75</v>
      </c>
      <c r="AX177" s="131">
        <f t="shared" si="263"/>
        <v>0</v>
      </c>
      <c r="AY177" s="131">
        <f t="shared" si="210"/>
        <v>0</v>
      </c>
      <c r="AZ177" s="131"/>
      <c r="BA177" s="131">
        <f t="shared" si="264"/>
        <v>0</v>
      </c>
      <c r="BB177" s="131"/>
      <c r="BC177" s="131"/>
      <c r="BD177" s="131">
        <f t="shared" si="211"/>
        <v>0</v>
      </c>
      <c r="BE177" s="131"/>
      <c r="BF177" s="131">
        <f t="shared" si="253"/>
        <v>0</v>
      </c>
      <c r="BG177" s="131">
        <f t="shared" si="254"/>
        <v>0</v>
      </c>
      <c r="BH177" s="131"/>
      <c r="BI177" s="131"/>
      <c r="BJ177" s="131"/>
      <c r="BK177" s="131">
        <f t="shared" si="255"/>
        <v>0</v>
      </c>
      <c r="BL177" s="131"/>
      <c r="BM177" s="131"/>
      <c r="BN177" s="131">
        <f t="shared" si="256"/>
        <v>0</v>
      </c>
      <c r="BO177" s="131"/>
      <c r="BP177" s="131">
        <f t="shared" si="257"/>
        <v>0</v>
      </c>
      <c r="BQ177" s="131"/>
      <c r="BR177" s="131"/>
      <c r="BS177" s="131"/>
      <c r="BT177" s="131"/>
      <c r="BU177" s="131"/>
      <c r="BV177" s="131">
        <f t="shared" si="258"/>
        <v>0</v>
      </c>
      <c r="BW177" s="131"/>
      <c r="BX177" s="131"/>
      <c r="BY177" s="131"/>
      <c r="BZ177" s="131">
        <f t="shared" si="259"/>
        <v>0</v>
      </c>
      <c r="CA177" s="131"/>
      <c r="CB177" s="136">
        <f t="shared" si="212"/>
        <v>165.08663357180151</v>
      </c>
      <c r="CC177" s="131">
        <f t="shared" si="213"/>
        <v>0</v>
      </c>
      <c r="CD177" s="136">
        <f t="shared" si="214"/>
        <v>0</v>
      </c>
      <c r="CE177" s="131">
        <f t="shared" si="262"/>
        <v>0</v>
      </c>
      <c r="CF177" s="136">
        <f t="shared" si="215"/>
        <v>0</v>
      </c>
      <c r="CG177" s="136"/>
      <c r="CH177" s="136">
        <f t="shared" si="261"/>
        <v>0</v>
      </c>
      <c r="CI177" s="131">
        <f t="shared" si="216"/>
        <v>0</v>
      </c>
      <c r="CJ177" s="131"/>
      <c r="CK177" s="136">
        <f t="shared" si="217"/>
        <v>0</v>
      </c>
      <c r="CL177" s="136">
        <f t="shared" si="218"/>
        <v>0</v>
      </c>
      <c r="CM177" s="131">
        <f t="shared" si="219"/>
        <v>0</v>
      </c>
      <c r="CN177" s="136">
        <f t="shared" si="220"/>
        <v>0</v>
      </c>
      <c r="CO177" s="136">
        <f t="shared" si="221"/>
        <v>0</v>
      </c>
      <c r="CP177" s="136">
        <f t="shared" si="222"/>
        <v>0</v>
      </c>
      <c r="CQ177" s="136"/>
      <c r="CR177" s="136">
        <f t="shared" si="223"/>
        <v>0</v>
      </c>
      <c r="CS177" s="136"/>
      <c r="CT177" s="136"/>
      <c r="CU177" s="136"/>
      <c r="CV177" s="136"/>
      <c r="CW177" s="136"/>
      <c r="CX177" s="136"/>
      <c r="CY177" s="136"/>
      <c r="CZ177" s="136">
        <f t="shared" si="224"/>
        <v>0</v>
      </c>
      <c r="DA177" s="136">
        <f t="shared" si="225"/>
        <v>0</v>
      </c>
      <c r="DB177" s="136">
        <f t="shared" si="226"/>
        <v>0</v>
      </c>
      <c r="DC177" s="131">
        <f t="shared" si="185"/>
        <v>0</v>
      </c>
      <c r="DD177" s="131">
        <f t="shared" si="227"/>
        <v>0</v>
      </c>
      <c r="DE177" s="131">
        <f t="shared" si="228"/>
        <v>0</v>
      </c>
      <c r="DF177" s="131">
        <f t="shared" si="229"/>
        <v>0</v>
      </c>
      <c r="DG177" s="131">
        <f t="shared" si="230"/>
        <v>0</v>
      </c>
      <c r="DH177" s="131"/>
      <c r="DI177" s="131"/>
      <c r="DJ177" s="131"/>
      <c r="DK177" s="137">
        <f t="shared" si="260"/>
        <v>3791.5811116017489</v>
      </c>
      <c r="DL177" s="227" t="e">
        <f t="shared" si="231"/>
        <v>#REF!</v>
      </c>
      <c r="DM177" s="227" t="e">
        <f t="shared" si="232"/>
        <v>#REF!</v>
      </c>
      <c r="DN177" s="228" t="e">
        <f t="shared" si="186"/>
        <v>#REF!</v>
      </c>
      <c r="DO177" s="228">
        <f t="shared" si="233"/>
        <v>181.81087083894022</v>
      </c>
      <c r="DP177" s="228" t="e">
        <f t="shared" si="234"/>
        <v>#REF!</v>
      </c>
      <c r="DQ177" s="228" t="e">
        <f t="shared" si="235"/>
        <v>#REF!</v>
      </c>
    </row>
    <row r="178" spans="1:121">
      <c r="A178" s="132">
        <f t="shared" si="265"/>
        <v>168</v>
      </c>
      <c r="B178" s="18">
        <f t="shared" si="236"/>
        <v>168</v>
      </c>
      <c r="C178" s="18">
        <f>IF(A178=0," ",VLOOKUP(B178,'tosafot '!$A$7:$B$234,2,0))</f>
        <v>12.2021</v>
      </c>
      <c r="D178" s="220">
        <f t="shared" si="237"/>
        <v>228</v>
      </c>
      <c r="E178" s="130">
        <f t="shared" si="238"/>
        <v>12.2026</v>
      </c>
      <c r="F178" s="126">
        <f t="shared" si="239"/>
        <v>9</v>
      </c>
      <c r="G178" s="18" t="str">
        <f t="shared" si="240"/>
        <v>הבריאות</v>
      </c>
      <c r="H178" s="189">
        <f t="shared" si="241"/>
        <v>107</v>
      </c>
      <c r="I178" s="18">
        <f t="shared" si="242"/>
        <v>1</v>
      </c>
      <c r="J178" s="18" t="str">
        <f t="shared" si="243"/>
        <v>מינהלי - עובדי מדינה</v>
      </c>
      <c r="K178" s="189">
        <f t="shared" si="244"/>
        <v>1</v>
      </c>
      <c r="L178" s="18">
        <f t="shared" si="245"/>
        <v>12</v>
      </c>
      <c r="M178" s="129" t="str">
        <f t="shared" si="246"/>
        <v>17+</v>
      </c>
      <c r="N178" s="189"/>
      <c r="O178" s="132">
        <f t="shared" si="247"/>
        <v>1012</v>
      </c>
      <c r="P178" s="127">
        <f t="shared" si="248"/>
        <v>37</v>
      </c>
      <c r="Q178" s="127">
        <f t="shared" si="249"/>
        <v>22.75</v>
      </c>
      <c r="R178" s="128">
        <f t="shared" si="250"/>
        <v>92</v>
      </c>
      <c r="S178" s="130">
        <f t="shared" si="251"/>
        <v>1.2540512286990533</v>
      </c>
      <c r="T178" s="135">
        <f t="shared" si="188"/>
        <v>0</v>
      </c>
      <c r="U178" s="127">
        <f t="shared" si="189"/>
        <v>0</v>
      </c>
      <c r="V178" s="217">
        <v>0</v>
      </c>
      <c r="W178" s="191">
        <v>0</v>
      </c>
      <c r="X178" s="133">
        <v>0</v>
      </c>
      <c r="Y178" s="131">
        <f t="shared" si="190"/>
        <v>2438.5</v>
      </c>
      <c r="Z178" s="131">
        <f t="shared" si="191"/>
        <v>619.50392118264142</v>
      </c>
      <c r="AA178" s="242">
        <f t="shared" si="192"/>
        <v>3058.0039211826415</v>
      </c>
      <c r="AB178" s="131">
        <f t="shared" si="193"/>
        <v>0</v>
      </c>
      <c r="AC178" s="131">
        <f t="shared" si="194"/>
        <v>139.48055684730568</v>
      </c>
      <c r="AD178" s="131">
        <f t="shared" si="195"/>
        <v>0</v>
      </c>
      <c r="AE178" s="131">
        <f t="shared" si="196"/>
        <v>0</v>
      </c>
      <c r="AF178" s="131">
        <f t="shared" si="197"/>
        <v>75.260000000000005</v>
      </c>
      <c r="AG178" s="131">
        <f t="shared" si="198"/>
        <v>0</v>
      </c>
      <c r="AH178" s="131">
        <f t="shared" si="199"/>
        <v>0</v>
      </c>
      <c r="AI178" s="131">
        <f t="shared" si="200"/>
        <v>0</v>
      </c>
      <c r="AJ178" s="131">
        <f t="shared" si="201"/>
        <v>0</v>
      </c>
      <c r="AK178" s="131"/>
      <c r="AL178" s="131">
        <f t="shared" si="202"/>
        <v>0</v>
      </c>
      <c r="AM178" s="131"/>
      <c r="AN178" s="243">
        <f t="shared" si="203"/>
        <v>0</v>
      </c>
      <c r="AO178" s="131">
        <f t="shared" si="204"/>
        <v>0</v>
      </c>
      <c r="AP178" s="131">
        <f t="shared" si="205"/>
        <v>0</v>
      </c>
      <c r="AQ178" s="131"/>
      <c r="AR178" s="131">
        <f t="shared" si="206"/>
        <v>0</v>
      </c>
      <c r="AS178" s="131">
        <f t="shared" si="252"/>
        <v>0</v>
      </c>
      <c r="AT178" s="131">
        <f t="shared" si="207"/>
        <v>0</v>
      </c>
      <c r="AU178" s="131">
        <f t="shared" si="208"/>
        <v>0</v>
      </c>
      <c r="AV178" s="131"/>
      <c r="AW178" s="131">
        <f t="shared" si="209"/>
        <v>353.75</v>
      </c>
      <c r="AX178" s="131">
        <f t="shared" si="263"/>
        <v>0</v>
      </c>
      <c r="AY178" s="131">
        <f t="shared" si="210"/>
        <v>0</v>
      </c>
      <c r="AZ178" s="131"/>
      <c r="BA178" s="131">
        <f t="shared" si="264"/>
        <v>0</v>
      </c>
      <c r="BB178" s="131"/>
      <c r="BC178" s="131"/>
      <c r="BD178" s="131">
        <f t="shared" si="211"/>
        <v>0</v>
      </c>
      <c r="BE178" s="131"/>
      <c r="BF178" s="131">
        <f t="shared" si="253"/>
        <v>0</v>
      </c>
      <c r="BG178" s="131">
        <f t="shared" si="254"/>
        <v>0</v>
      </c>
      <c r="BH178" s="131"/>
      <c r="BI178" s="131"/>
      <c r="BJ178" s="131"/>
      <c r="BK178" s="131">
        <f t="shared" si="255"/>
        <v>0</v>
      </c>
      <c r="BL178" s="131"/>
      <c r="BM178" s="131"/>
      <c r="BN178" s="131">
        <f t="shared" si="256"/>
        <v>0</v>
      </c>
      <c r="BO178" s="131"/>
      <c r="BP178" s="131">
        <f t="shared" si="257"/>
        <v>0</v>
      </c>
      <c r="BQ178" s="131"/>
      <c r="BR178" s="131"/>
      <c r="BS178" s="131"/>
      <c r="BT178" s="131"/>
      <c r="BU178" s="131"/>
      <c r="BV178" s="131">
        <f t="shared" si="258"/>
        <v>0</v>
      </c>
      <c r="BW178" s="131"/>
      <c r="BX178" s="131"/>
      <c r="BY178" s="131"/>
      <c r="BZ178" s="131">
        <f t="shared" si="259"/>
        <v>0</v>
      </c>
      <c r="CA178" s="131"/>
      <c r="CB178" s="136">
        <f t="shared" si="212"/>
        <v>165.08663357180151</v>
      </c>
      <c r="CC178" s="131">
        <f t="shared" si="213"/>
        <v>0</v>
      </c>
      <c r="CD178" s="136">
        <f t="shared" si="214"/>
        <v>0</v>
      </c>
      <c r="CE178" s="131">
        <f t="shared" si="262"/>
        <v>0</v>
      </c>
      <c r="CF178" s="136">
        <f t="shared" si="215"/>
        <v>0</v>
      </c>
      <c r="CG178" s="136"/>
      <c r="CH178" s="136">
        <f t="shared" si="261"/>
        <v>0</v>
      </c>
      <c r="CI178" s="131">
        <f t="shared" si="216"/>
        <v>0</v>
      </c>
      <c r="CJ178" s="131"/>
      <c r="CK178" s="136">
        <f t="shared" si="217"/>
        <v>0</v>
      </c>
      <c r="CL178" s="136">
        <f t="shared" si="218"/>
        <v>0</v>
      </c>
      <c r="CM178" s="131">
        <f t="shared" si="219"/>
        <v>0</v>
      </c>
      <c r="CN178" s="136">
        <f t="shared" si="220"/>
        <v>0</v>
      </c>
      <c r="CO178" s="136">
        <f t="shared" si="221"/>
        <v>0</v>
      </c>
      <c r="CP178" s="136">
        <f t="shared" si="222"/>
        <v>0</v>
      </c>
      <c r="CQ178" s="136"/>
      <c r="CR178" s="136">
        <f t="shared" si="223"/>
        <v>0</v>
      </c>
      <c r="CS178" s="136"/>
      <c r="CT178" s="136"/>
      <c r="CU178" s="136"/>
      <c r="CV178" s="136"/>
      <c r="CW178" s="136"/>
      <c r="CX178" s="136"/>
      <c r="CY178" s="136"/>
      <c r="CZ178" s="136">
        <f t="shared" si="224"/>
        <v>0</v>
      </c>
      <c r="DA178" s="136">
        <f t="shared" si="225"/>
        <v>0</v>
      </c>
      <c r="DB178" s="136">
        <f t="shared" si="226"/>
        <v>0</v>
      </c>
      <c r="DC178" s="131">
        <f t="shared" si="185"/>
        <v>0</v>
      </c>
      <c r="DD178" s="131">
        <f t="shared" si="227"/>
        <v>0</v>
      </c>
      <c r="DE178" s="131">
        <f t="shared" si="228"/>
        <v>0</v>
      </c>
      <c r="DF178" s="131">
        <f t="shared" si="229"/>
        <v>0</v>
      </c>
      <c r="DG178" s="131">
        <f t="shared" si="230"/>
        <v>0</v>
      </c>
      <c r="DH178" s="131"/>
      <c r="DI178" s="131"/>
      <c r="DJ178" s="131"/>
      <c r="DK178" s="137">
        <f t="shared" si="260"/>
        <v>3791.5811116017489</v>
      </c>
      <c r="DL178" s="227" t="e">
        <f t="shared" si="231"/>
        <v>#REF!</v>
      </c>
      <c r="DM178" s="227" t="e">
        <f t="shared" si="232"/>
        <v>#REF!</v>
      </c>
      <c r="DN178" s="228" t="e">
        <f t="shared" si="186"/>
        <v>#REF!</v>
      </c>
      <c r="DO178" s="228">
        <f t="shared" si="233"/>
        <v>181.81087083894022</v>
      </c>
      <c r="DP178" s="228" t="e">
        <f t="shared" si="234"/>
        <v>#REF!</v>
      </c>
      <c r="DQ178" s="228" t="e">
        <f t="shared" si="235"/>
        <v>#REF!</v>
      </c>
    </row>
    <row r="179" spans="1:121">
      <c r="A179" s="132">
        <f t="shared" si="265"/>
        <v>169</v>
      </c>
      <c r="B179" s="18">
        <f t="shared" si="236"/>
        <v>169</v>
      </c>
      <c r="C179" s="18">
        <f>IF(A179=0," ",VLOOKUP(B179,'tosafot '!$A$7:$B$234,2,0))</f>
        <v>1.2021999999999999</v>
      </c>
      <c r="D179" s="220">
        <f t="shared" si="237"/>
        <v>228</v>
      </c>
      <c r="E179" s="130">
        <f t="shared" si="238"/>
        <v>12.2026</v>
      </c>
      <c r="F179" s="126">
        <f t="shared" si="239"/>
        <v>9</v>
      </c>
      <c r="G179" s="18" t="str">
        <f t="shared" si="240"/>
        <v>הבריאות</v>
      </c>
      <c r="H179" s="189">
        <f t="shared" si="241"/>
        <v>107</v>
      </c>
      <c r="I179" s="18">
        <f t="shared" si="242"/>
        <v>1</v>
      </c>
      <c r="J179" s="18" t="str">
        <f t="shared" si="243"/>
        <v>מינהלי - עובדי מדינה</v>
      </c>
      <c r="K179" s="189">
        <f t="shared" si="244"/>
        <v>1</v>
      </c>
      <c r="L179" s="18">
        <f t="shared" si="245"/>
        <v>12</v>
      </c>
      <c r="M179" s="129" t="str">
        <f t="shared" si="246"/>
        <v>17+</v>
      </c>
      <c r="N179" s="189"/>
      <c r="O179" s="132">
        <f t="shared" si="247"/>
        <v>1012</v>
      </c>
      <c r="P179" s="127">
        <f t="shared" si="248"/>
        <v>37</v>
      </c>
      <c r="Q179" s="127">
        <f t="shared" si="249"/>
        <v>22.75</v>
      </c>
      <c r="R179" s="128">
        <f t="shared" si="250"/>
        <v>92</v>
      </c>
      <c r="S179" s="130">
        <f t="shared" si="251"/>
        <v>1.2540512286990533</v>
      </c>
      <c r="T179" s="135">
        <f t="shared" si="188"/>
        <v>0</v>
      </c>
      <c r="U179" s="127">
        <f t="shared" si="189"/>
        <v>0</v>
      </c>
      <c r="V179" s="217">
        <v>0</v>
      </c>
      <c r="W179" s="191">
        <v>0</v>
      </c>
      <c r="X179" s="133">
        <v>0</v>
      </c>
      <c r="Y179" s="131">
        <f t="shared" si="190"/>
        <v>2438.5</v>
      </c>
      <c r="Z179" s="131">
        <f t="shared" si="191"/>
        <v>619.50392118264142</v>
      </c>
      <c r="AA179" s="242">
        <f t="shared" si="192"/>
        <v>3058.0039211826415</v>
      </c>
      <c r="AB179" s="131">
        <f t="shared" si="193"/>
        <v>0</v>
      </c>
      <c r="AC179" s="131">
        <f t="shared" si="194"/>
        <v>139.48055684730568</v>
      </c>
      <c r="AD179" s="131">
        <f t="shared" si="195"/>
        <v>0</v>
      </c>
      <c r="AE179" s="131">
        <f t="shared" si="196"/>
        <v>0</v>
      </c>
      <c r="AF179" s="131">
        <f t="shared" si="197"/>
        <v>75.260000000000005</v>
      </c>
      <c r="AG179" s="131">
        <f t="shared" si="198"/>
        <v>0</v>
      </c>
      <c r="AH179" s="131">
        <f t="shared" si="199"/>
        <v>0</v>
      </c>
      <c r="AI179" s="131">
        <f t="shared" si="200"/>
        <v>0</v>
      </c>
      <c r="AJ179" s="131">
        <f t="shared" si="201"/>
        <v>0</v>
      </c>
      <c r="AK179" s="131"/>
      <c r="AL179" s="131">
        <f t="shared" si="202"/>
        <v>0</v>
      </c>
      <c r="AM179" s="131"/>
      <c r="AN179" s="243">
        <f t="shared" si="203"/>
        <v>0</v>
      </c>
      <c r="AO179" s="131">
        <f t="shared" si="204"/>
        <v>0</v>
      </c>
      <c r="AP179" s="131">
        <f t="shared" si="205"/>
        <v>0</v>
      </c>
      <c r="AQ179" s="131"/>
      <c r="AR179" s="131">
        <f t="shared" si="206"/>
        <v>0</v>
      </c>
      <c r="AS179" s="131">
        <f t="shared" si="252"/>
        <v>0</v>
      </c>
      <c r="AT179" s="131">
        <f t="shared" si="207"/>
        <v>0</v>
      </c>
      <c r="AU179" s="131">
        <f t="shared" si="208"/>
        <v>0</v>
      </c>
      <c r="AV179" s="131"/>
      <c r="AW179" s="131">
        <f t="shared" si="209"/>
        <v>353.75</v>
      </c>
      <c r="AX179" s="131">
        <f t="shared" si="263"/>
        <v>0</v>
      </c>
      <c r="AY179" s="131">
        <f t="shared" si="210"/>
        <v>0</v>
      </c>
      <c r="AZ179" s="131"/>
      <c r="BA179" s="131">
        <f t="shared" si="264"/>
        <v>0</v>
      </c>
      <c r="BB179" s="131"/>
      <c r="BC179" s="131"/>
      <c r="BD179" s="131">
        <f t="shared" si="211"/>
        <v>0</v>
      </c>
      <c r="BE179" s="131"/>
      <c r="BF179" s="131">
        <f t="shared" si="253"/>
        <v>0</v>
      </c>
      <c r="BG179" s="131">
        <f t="shared" si="254"/>
        <v>0</v>
      </c>
      <c r="BH179" s="131"/>
      <c r="BI179" s="131"/>
      <c r="BJ179" s="131"/>
      <c r="BK179" s="131">
        <f t="shared" si="255"/>
        <v>0</v>
      </c>
      <c r="BL179" s="131"/>
      <c r="BM179" s="131"/>
      <c r="BN179" s="131">
        <f t="shared" si="256"/>
        <v>0</v>
      </c>
      <c r="BO179" s="131"/>
      <c r="BP179" s="131">
        <f t="shared" si="257"/>
        <v>0</v>
      </c>
      <c r="BQ179" s="131"/>
      <c r="BR179" s="131"/>
      <c r="BS179" s="131"/>
      <c r="BT179" s="131"/>
      <c r="BU179" s="131"/>
      <c r="BV179" s="131">
        <f t="shared" si="258"/>
        <v>0</v>
      </c>
      <c r="BW179" s="131"/>
      <c r="BX179" s="131"/>
      <c r="BY179" s="131"/>
      <c r="BZ179" s="131">
        <f t="shared" si="259"/>
        <v>0</v>
      </c>
      <c r="CA179" s="131"/>
      <c r="CB179" s="136">
        <f t="shared" si="212"/>
        <v>165.08663357180151</v>
      </c>
      <c r="CC179" s="131">
        <f t="shared" si="213"/>
        <v>0</v>
      </c>
      <c r="CD179" s="136">
        <f t="shared" si="214"/>
        <v>0</v>
      </c>
      <c r="CE179" s="131">
        <f t="shared" si="262"/>
        <v>0</v>
      </c>
      <c r="CF179" s="136">
        <f t="shared" si="215"/>
        <v>0</v>
      </c>
      <c r="CG179" s="136"/>
      <c r="CH179" s="136">
        <f t="shared" si="261"/>
        <v>0</v>
      </c>
      <c r="CI179" s="131">
        <f t="shared" si="216"/>
        <v>0</v>
      </c>
      <c r="CJ179" s="131"/>
      <c r="CK179" s="136">
        <f t="shared" si="217"/>
        <v>0</v>
      </c>
      <c r="CL179" s="136">
        <f t="shared" si="218"/>
        <v>0</v>
      </c>
      <c r="CM179" s="131">
        <f t="shared" si="219"/>
        <v>0</v>
      </c>
      <c r="CN179" s="136">
        <f t="shared" si="220"/>
        <v>0</v>
      </c>
      <c r="CO179" s="136">
        <f t="shared" si="221"/>
        <v>0</v>
      </c>
      <c r="CP179" s="136">
        <f t="shared" si="222"/>
        <v>0</v>
      </c>
      <c r="CQ179" s="136"/>
      <c r="CR179" s="136">
        <f t="shared" si="223"/>
        <v>0</v>
      </c>
      <c r="CS179" s="136"/>
      <c r="CT179" s="136"/>
      <c r="CU179" s="136"/>
      <c r="CV179" s="136"/>
      <c r="CW179" s="136"/>
      <c r="CX179" s="136"/>
      <c r="CY179" s="136"/>
      <c r="CZ179" s="136">
        <f t="shared" si="224"/>
        <v>0</v>
      </c>
      <c r="DA179" s="136">
        <f t="shared" si="225"/>
        <v>0</v>
      </c>
      <c r="DB179" s="136">
        <f t="shared" si="226"/>
        <v>0</v>
      </c>
      <c r="DC179" s="131">
        <f t="shared" si="185"/>
        <v>0</v>
      </c>
      <c r="DD179" s="131">
        <f t="shared" si="227"/>
        <v>0</v>
      </c>
      <c r="DE179" s="131">
        <f t="shared" si="228"/>
        <v>0</v>
      </c>
      <c r="DF179" s="131">
        <f t="shared" si="229"/>
        <v>0</v>
      </c>
      <c r="DG179" s="131">
        <f t="shared" si="230"/>
        <v>0</v>
      </c>
      <c r="DH179" s="131"/>
      <c r="DI179" s="131"/>
      <c r="DJ179" s="131"/>
      <c r="DK179" s="137">
        <f t="shared" si="260"/>
        <v>3791.5811116017489</v>
      </c>
      <c r="DL179" s="227" t="e">
        <f t="shared" si="231"/>
        <v>#REF!</v>
      </c>
      <c r="DM179" s="227" t="e">
        <f t="shared" si="232"/>
        <v>#REF!</v>
      </c>
      <c r="DN179" s="228" t="e">
        <f t="shared" si="186"/>
        <v>#REF!</v>
      </c>
      <c r="DO179" s="228">
        <f t="shared" si="233"/>
        <v>181.81087083894022</v>
      </c>
      <c r="DP179" s="228" t="e">
        <f t="shared" si="234"/>
        <v>#REF!</v>
      </c>
      <c r="DQ179" s="228" t="e">
        <f t="shared" si="235"/>
        <v>#REF!</v>
      </c>
    </row>
    <row r="180" spans="1:121">
      <c r="A180" s="132">
        <f t="shared" si="265"/>
        <v>170</v>
      </c>
      <c r="B180" s="18">
        <f t="shared" si="236"/>
        <v>170</v>
      </c>
      <c r="C180" s="18">
        <f>IF(A180=0," ",VLOOKUP(B180,'tosafot '!$A$7:$B$234,2,0))</f>
        <v>2.2021999999999999</v>
      </c>
      <c r="D180" s="220">
        <f t="shared" si="237"/>
        <v>228</v>
      </c>
      <c r="E180" s="130">
        <f t="shared" si="238"/>
        <v>12.2026</v>
      </c>
      <c r="F180" s="126">
        <f t="shared" si="239"/>
        <v>9</v>
      </c>
      <c r="G180" s="18" t="str">
        <f t="shared" si="240"/>
        <v>הבריאות</v>
      </c>
      <c r="H180" s="189">
        <f t="shared" si="241"/>
        <v>107</v>
      </c>
      <c r="I180" s="18">
        <f t="shared" si="242"/>
        <v>1</v>
      </c>
      <c r="J180" s="18" t="str">
        <f t="shared" si="243"/>
        <v>מינהלי - עובדי מדינה</v>
      </c>
      <c r="K180" s="189">
        <f t="shared" si="244"/>
        <v>1</v>
      </c>
      <c r="L180" s="18">
        <f t="shared" si="245"/>
        <v>12</v>
      </c>
      <c r="M180" s="129" t="str">
        <f t="shared" si="246"/>
        <v>17+</v>
      </c>
      <c r="N180" s="189"/>
      <c r="O180" s="132">
        <f t="shared" si="247"/>
        <v>1012</v>
      </c>
      <c r="P180" s="127">
        <f t="shared" si="248"/>
        <v>37</v>
      </c>
      <c r="Q180" s="127">
        <f t="shared" si="249"/>
        <v>22.75</v>
      </c>
      <c r="R180" s="128">
        <f t="shared" si="250"/>
        <v>92</v>
      </c>
      <c r="S180" s="130">
        <f t="shared" si="251"/>
        <v>1.2540512286990533</v>
      </c>
      <c r="T180" s="135">
        <f t="shared" si="188"/>
        <v>0</v>
      </c>
      <c r="U180" s="127">
        <f t="shared" si="189"/>
        <v>0</v>
      </c>
      <c r="V180" s="217">
        <v>0</v>
      </c>
      <c r="W180" s="191">
        <v>0</v>
      </c>
      <c r="X180" s="133">
        <v>0</v>
      </c>
      <c r="Y180" s="131">
        <f t="shared" si="190"/>
        <v>2438.5</v>
      </c>
      <c r="Z180" s="131">
        <f t="shared" si="191"/>
        <v>619.50392118264142</v>
      </c>
      <c r="AA180" s="242">
        <f t="shared" si="192"/>
        <v>3058.0039211826415</v>
      </c>
      <c r="AB180" s="131">
        <f t="shared" si="193"/>
        <v>0</v>
      </c>
      <c r="AC180" s="131">
        <f t="shared" si="194"/>
        <v>139.48055684730568</v>
      </c>
      <c r="AD180" s="131">
        <f t="shared" si="195"/>
        <v>0</v>
      </c>
      <c r="AE180" s="131">
        <f t="shared" si="196"/>
        <v>0</v>
      </c>
      <c r="AF180" s="131">
        <f t="shared" si="197"/>
        <v>75.260000000000005</v>
      </c>
      <c r="AG180" s="131">
        <f t="shared" si="198"/>
        <v>0</v>
      </c>
      <c r="AH180" s="131">
        <f t="shared" si="199"/>
        <v>0</v>
      </c>
      <c r="AI180" s="131">
        <f t="shared" si="200"/>
        <v>0</v>
      </c>
      <c r="AJ180" s="131">
        <f t="shared" si="201"/>
        <v>0</v>
      </c>
      <c r="AK180" s="131"/>
      <c r="AL180" s="131">
        <f t="shared" si="202"/>
        <v>0</v>
      </c>
      <c r="AM180" s="131"/>
      <c r="AN180" s="243">
        <f t="shared" si="203"/>
        <v>0</v>
      </c>
      <c r="AO180" s="131">
        <f t="shared" si="204"/>
        <v>0</v>
      </c>
      <c r="AP180" s="131">
        <f t="shared" si="205"/>
        <v>0</v>
      </c>
      <c r="AQ180" s="131"/>
      <c r="AR180" s="131">
        <f t="shared" si="206"/>
        <v>0</v>
      </c>
      <c r="AS180" s="131">
        <f t="shared" si="252"/>
        <v>0</v>
      </c>
      <c r="AT180" s="131">
        <f t="shared" si="207"/>
        <v>0</v>
      </c>
      <c r="AU180" s="131">
        <f t="shared" si="208"/>
        <v>0</v>
      </c>
      <c r="AV180" s="131"/>
      <c r="AW180" s="131">
        <f t="shared" si="209"/>
        <v>353.75</v>
      </c>
      <c r="AX180" s="131">
        <f t="shared" si="263"/>
        <v>0</v>
      </c>
      <c r="AY180" s="131">
        <f t="shared" si="210"/>
        <v>0</v>
      </c>
      <c r="AZ180" s="131"/>
      <c r="BA180" s="131">
        <f t="shared" si="264"/>
        <v>0</v>
      </c>
      <c r="BB180" s="131"/>
      <c r="BC180" s="131"/>
      <c r="BD180" s="131">
        <f t="shared" si="211"/>
        <v>0</v>
      </c>
      <c r="BE180" s="131"/>
      <c r="BF180" s="131">
        <f t="shared" si="253"/>
        <v>0</v>
      </c>
      <c r="BG180" s="131">
        <f t="shared" si="254"/>
        <v>0</v>
      </c>
      <c r="BH180" s="131"/>
      <c r="BI180" s="131"/>
      <c r="BJ180" s="131"/>
      <c r="BK180" s="131">
        <f t="shared" si="255"/>
        <v>0</v>
      </c>
      <c r="BL180" s="131"/>
      <c r="BM180" s="131"/>
      <c r="BN180" s="131">
        <f t="shared" si="256"/>
        <v>0</v>
      </c>
      <c r="BO180" s="131"/>
      <c r="BP180" s="131">
        <f t="shared" si="257"/>
        <v>0</v>
      </c>
      <c r="BQ180" s="131"/>
      <c r="BR180" s="131"/>
      <c r="BS180" s="131"/>
      <c r="BT180" s="131"/>
      <c r="BU180" s="131"/>
      <c r="BV180" s="131">
        <f t="shared" si="258"/>
        <v>0</v>
      </c>
      <c r="BW180" s="131"/>
      <c r="BX180" s="131"/>
      <c r="BY180" s="131"/>
      <c r="BZ180" s="131">
        <f t="shared" si="259"/>
        <v>0</v>
      </c>
      <c r="CA180" s="131"/>
      <c r="CB180" s="136">
        <f t="shared" si="212"/>
        <v>165.08663357180151</v>
      </c>
      <c r="CC180" s="131">
        <f t="shared" si="213"/>
        <v>0</v>
      </c>
      <c r="CD180" s="136">
        <f t="shared" si="214"/>
        <v>0</v>
      </c>
      <c r="CE180" s="131">
        <f t="shared" si="262"/>
        <v>0</v>
      </c>
      <c r="CF180" s="136">
        <f t="shared" si="215"/>
        <v>0</v>
      </c>
      <c r="CG180" s="136"/>
      <c r="CH180" s="136">
        <f t="shared" si="261"/>
        <v>0</v>
      </c>
      <c r="CI180" s="131">
        <f t="shared" si="216"/>
        <v>0</v>
      </c>
      <c r="CJ180" s="131"/>
      <c r="CK180" s="136">
        <f t="shared" si="217"/>
        <v>0</v>
      </c>
      <c r="CL180" s="136">
        <f t="shared" si="218"/>
        <v>0</v>
      </c>
      <c r="CM180" s="131">
        <f t="shared" si="219"/>
        <v>0</v>
      </c>
      <c r="CN180" s="136">
        <f t="shared" si="220"/>
        <v>0</v>
      </c>
      <c r="CO180" s="136">
        <f t="shared" si="221"/>
        <v>0</v>
      </c>
      <c r="CP180" s="136">
        <f t="shared" si="222"/>
        <v>0</v>
      </c>
      <c r="CQ180" s="136"/>
      <c r="CR180" s="136">
        <f t="shared" si="223"/>
        <v>0</v>
      </c>
      <c r="CS180" s="136"/>
      <c r="CT180" s="136"/>
      <c r="CU180" s="136"/>
      <c r="CV180" s="136"/>
      <c r="CW180" s="136"/>
      <c r="CX180" s="136"/>
      <c r="CY180" s="136"/>
      <c r="CZ180" s="136">
        <f t="shared" si="224"/>
        <v>0</v>
      </c>
      <c r="DA180" s="136">
        <f t="shared" si="225"/>
        <v>0</v>
      </c>
      <c r="DB180" s="136">
        <f t="shared" si="226"/>
        <v>0</v>
      </c>
      <c r="DC180" s="131">
        <f t="shared" si="185"/>
        <v>0</v>
      </c>
      <c r="DD180" s="131">
        <f t="shared" si="227"/>
        <v>0</v>
      </c>
      <c r="DE180" s="131">
        <f t="shared" si="228"/>
        <v>0</v>
      </c>
      <c r="DF180" s="131">
        <f t="shared" si="229"/>
        <v>0</v>
      </c>
      <c r="DG180" s="131">
        <f t="shared" si="230"/>
        <v>0</v>
      </c>
      <c r="DH180" s="131"/>
      <c r="DI180" s="131"/>
      <c r="DJ180" s="131"/>
      <c r="DK180" s="137">
        <f t="shared" si="260"/>
        <v>3791.5811116017489</v>
      </c>
      <c r="DL180" s="227" t="e">
        <f t="shared" si="231"/>
        <v>#REF!</v>
      </c>
      <c r="DM180" s="227" t="e">
        <f t="shared" si="232"/>
        <v>#REF!</v>
      </c>
      <c r="DN180" s="228" t="e">
        <f t="shared" si="186"/>
        <v>#REF!</v>
      </c>
      <c r="DO180" s="228">
        <f t="shared" si="233"/>
        <v>181.81087083894022</v>
      </c>
      <c r="DP180" s="228" t="e">
        <f t="shared" si="234"/>
        <v>#REF!</v>
      </c>
      <c r="DQ180" s="228" t="e">
        <f t="shared" si="235"/>
        <v>#REF!</v>
      </c>
    </row>
    <row r="181" spans="1:121">
      <c r="A181" s="132">
        <f t="shared" si="265"/>
        <v>171</v>
      </c>
      <c r="B181" s="18">
        <f t="shared" si="236"/>
        <v>171</v>
      </c>
      <c r="C181" s="18">
        <f>IF(A181=0," ",VLOOKUP(B181,'tosafot '!$A$7:$B$234,2,0))</f>
        <v>3.2021999999999999</v>
      </c>
      <c r="D181" s="220">
        <f t="shared" si="237"/>
        <v>228</v>
      </c>
      <c r="E181" s="130">
        <f t="shared" si="238"/>
        <v>12.2026</v>
      </c>
      <c r="F181" s="126">
        <f t="shared" si="239"/>
        <v>9</v>
      </c>
      <c r="G181" s="18" t="str">
        <f t="shared" si="240"/>
        <v>הבריאות</v>
      </c>
      <c r="H181" s="189">
        <f t="shared" si="241"/>
        <v>107</v>
      </c>
      <c r="I181" s="18">
        <f t="shared" si="242"/>
        <v>1</v>
      </c>
      <c r="J181" s="18" t="str">
        <f t="shared" si="243"/>
        <v>מינהלי - עובדי מדינה</v>
      </c>
      <c r="K181" s="189">
        <f t="shared" si="244"/>
        <v>1</v>
      </c>
      <c r="L181" s="18">
        <f t="shared" si="245"/>
        <v>12</v>
      </c>
      <c r="M181" s="129" t="str">
        <f t="shared" si="246"/>
        <v>17+</v>
      </c>
      <c r="N181" s="189"/>
      <c r="O181" s="132">
        <f t="shared" si="247"/>
        <v>1012</v>
      </c>
      <c r="P181" s="127">
        <f t="shared" si="248"/>
        <v>37</v>
      </c>
      <c r="Q181" s="127">
        <f t="shared" si="249"/>
        <v>22.75</v>
      </c>
      <c r="R181" s="128">
        <f t="shared" si="250"/>
        <v>92</v>
      </c>
      <c r="S181" s="130">
        <f t="shared" si="251"/>
        <v>1.2540512286990533</v>
      </c>
      <c r="T181" s="135">
        <f t="shared" si="188"/>
        <v>0</v>
      </c>
      <c r="U181" s="127">
        <f t="shared" si="189"/>
        <v>0</v>
      </c>
      <c r="V181" s="217">
        <v>0</v>
      </c>
      <c r="W181" s="191">
        <v>0</v>
      </c>
      <c r="X181" s="133">
        <v>0</v>
      </c>
      <c r="Y181" s="131">
        <f t="shared" si="190"/>
        <v>2438.5</v>
      </c>
      <c r="Z181" s="131">
        <f t="shared" si="191"/>
        <v>619.50392118264142</v>
      </c>
      <c r="AA181" s="242">
        <f t="shared" si="192"/>
        <v>3058.0039211826415</v>
      </c>
      <c r="AB181" s="131">
        <f t="shared" si="193"/>
        <v>0</v>
      </c>
      <c r="AC181" s="131">
        <f t="shared" si="194"/>
        <v>139.48055684730568</v>
      </c>
      <c r="AD181" s="131">
        <f t="shared" si="195"/>
        <v>0</v>
      </c>
      <c r="AE181" s="131">
        <f t="shared" si="196"/>
        <v>0</v>
      </c>
      <c r="AF181" s="131">
        <f t="shared" si="197"/>
        <v>75.260000000000005</v>
      </c>
      <c r="AG181" s="131">
        <f t="shared" si="198"/>
        <v>0</v>
      </c>
      <c r="AH181" s="131">
        <f t="shared" si="199"/>
        <v>0</v>
      </c>
      <c r="AI181" s="131">
        <f t="shared" si="200"/>
        <v>0</v>
      </c>
      <c r="AJ181" s="131">
        <f t="shared" si="201"/>
        <v>0</v>
      </c>
      <c r="AK181" s="131"/>
      <c r="AL181" s="131">
        <f t="shared" si="202"/>
        <v>0</v>
      </c>
      <c r="AM181" s="131"/>
      <c r="AN181" s="243">
        <f t="shared" si="203"/>
        <v>0</v>
      </c>
      <c r="AO181" s="131">
        <f t="shared" si="204"/>
        <v>0</v>
      </c>
      <c r="AP181" s="131">
        <f t="shared" si="205"/>
        <v>0</v>
      </c>
      <c r="AQ181" s="131"/>
      <c r="AR181" s="131">
        <f t="shared" si="206"/>
        <v>0</v>
      </c>
      <c r="AS181" s="131">
        <f t="shared" si="252"/>
        <v>0</v>
      </c>
      <c r="AT181" s="131">
        <f t="shared" si="207"/>
        <v>0</v>
      </c>
      <c r="AU181" s="131">
        <f t="shared" si="208"/>
        <v>0</v>
      </c>
      <c r="AV181" s="131"/>
      <c r="AW181" s="131">
        <f t="shared" si="209"/>
        <v>353.75</v>
      </c>
      <c r="AX181" s="131">
        <f t="shared" si="263"/>
        <v>0</v>
      </c>
      <c r="AY181" s="131">
        <f t="shared" si="210"/>
        <v>0</v>
      </c>
      <c r="AZ181" s="131"/>
      <c r="BA181" s="131">
        <f t="shared" si="264"/>
        <v>0</v>
      </c>
      <c r="BB181" s="131"/>
      <c r="BC181" s="131"/>
      <c r="BD181" s="131">
        <f t="shared" si="211"/>
        <v>0</v>
      </c>
      <c r="BE181" s="131"/>
      <c r="BF181" s="131">
        <f t="shared" si="253"/>
        <v>0</v>
      </c>
      <c r="BG181" s="131">
        <f t="shared" si="254"/>
        <v>0</v>
      </c>
      <c r="BH181" s="131"/>
      <c r="BI181" s="131"/>
      <c r="BJ181" s="131"/>
      <c r="BK181" s="131">
        <f t="shared" si="255"/>
        <v>0</v>
      </c>
      <c r="BL181" s="131"/>
      <c r="BM181" s="131"/>
      <c r="BN181" s="131">
        <f t="shared" si="256"/>
        <v>0</v>
      </c>
      <c r="BO181" s="131"/>
      <c r="BP181" s="131">
        <f t="shared" si="257"/>
        <v>0</v>
      </c>
      <c r="BQ181" s="131"/>
      <c r="BR181" s="131"/>
      <c r="BS181" s="131"/>
      <c r="BT181" s="131"/>
      <c r="BU181" s="131"/>
      <c r="BV181" s="131">
        <f t="shared" si="258"/>
        <v>0</v>
      </c>
      <c r="BW181" s="131"/>
      <c r="BX181" s="131"/>
      <c r="BY181" s="131"/>
      <c r="BZ181" s="131">
        <f t="shared" si="259"/>
        <v>0</v>
      </c>
      <c r="CA181" s="131"/>
      <c r="CB181" s="136">
        <f t="shared" si="212"/>
        <v>165.08663357180151</v>
      </c>
      <c r="CC181" s="131">
        <f t="shared" si="213"/>
        <v>0</v>
      </c>
      <c r="CD181" s="136">
        <f t="shared" si="214"/>
        <v>0</v>
      </c>
      <c r="CE181" s="131">
        <f t="shared" si="262"/>
        <v>0</v>
      </c>
      <c r="CF181" s="136">
        <f t="shared" si="215"/>
        <v>0</v>
      </c>
      <c r="CG181" s="136"/>
      <c r="CH181" s="136">
        <f t="shared" si="261"/>
        <v>0</v>
      </c>
      <c r="CI181" s="131">
        <f t="shared" si="216"/>
        <v>0</v>
      </c>
      <c r="CJ181" s="131"/>
      <c r="CK181" s="136">
        <f t="shared" si="217"/>
        <v>0</v>
      </c>
      <c r="CL181" s="136">
        <f t="shared" si="218"/>
        <v>0</v>
      </c>
      <c r="CM181" s="131">
        <f t="shared" si="219"/>
        <v>0</v>
      </c>
      <c r="CN181" s="136">
        <f t="shared" si="220"/>
        <v>0</v>
      </c>
      <c r="CO181" s="136">
        <f t="shared" si="221"/>
        <v>0</v>
      </c>
      <c r="CP181" s="136">
        <f t="shared" si="222"/>
        <v>0</v>
      </c>
      <c r="CQ181" s="136"/>
      <c r="CR181" s="136">
        <f t="shared" si="223"/>
        <v>0</v>
      </c>
      <c r="CS181" s="136"/>
      <c r="CT181" s="136"/>
      <c r="CU181" s="136"/>
      <c r="CV181" s="136"/>
      <c r="CW181" s="136"/>
      <c r="CX181" s="136"/>
      <c r="CY181" s="136"/>
      <c r="CZ181" s="136">
        <f t="shared" si="224"/>
        <v>0</v>
      </c>
      <c r="DA181" s="136">
        <f t="shared" si="225"/>
        <v>0</v>
      </c>
      <c r="DB181" s="136">
        <f t="shared" si="226"/>
        <v>0</v>
      </c>
      <c r="DC181" s="131">
        <f t="shared" si="185"/>
        <v>0</v>
      </c>
      <c r="DD181" s="131">
        <f t="shared" si="227"/>
        <v>0</v>
      </c>
      <c r="DE181" s="131">
        <f t="shared" si="228"/>
        <v>0</v>
      </c>
      <c r="DF181" s="131">
        <f t="shared" si="229"/>
        <v>0</v>
      </c>
      <c r="DG181" s="131">
        <f t="shared" si="230"/>
        <v>0</v>
      </c>
      <c r="DH181" s="131"/>
      <c r="DI181" s="131"/>
      <c r="DJ181" s="131"/>
      <c r="DK181" s="137">
        <f t="shared" si="260"/>
        <v>3791.5811116017489</v>
      </c>
      <c r="DL181" s="227" t="e">
        <f t="shared" si="231"/>
        <v>#REF!</v>
      </c>
      <c r="DM181" s="227" t="e">
        <f t="shared" si="232"/>
        <v>#REF!</v>
      </c>
      <c r="DN181" s="228" t="e">
        <f t="shared" si="186"/>
        <v>#REF!</v>
      </c>
      <c r="DO181" s="228">
        <f t="shared" si="233"/>
        <v>181.81087083894022</v>
      </c>
      <c r="DP181" s="228" t="e">
        <f t="shared" si="234"/>
        <v>#REF!</v>
      </c>
      <c r="DQ181" s="228" t="e">
        <f t="shared" si="235"/>
        <v>#REF!</v>
      </c>
    </row>
    <row r="182" spans="1:121">
      <c r="A182" s="132">
        <f t="shared" si="265"/>
        <v>172</v>
      </c>
      <c r="B182" s="18">
        <f t="shared" si="236"/>
        <v>172</v>
      </c>
      <c r="C182" s="18">
        <f>IF(A182=0," ",VLOOKUP(B182,'tosafot '!$A$7:$B$234,2,0))</f>
        <v>4.2022000000000004</v>
      </c>
      <c r="D182" s="220">
        <f t="shared" si="237"/>
        <v>228</v>
      </c>
      <c r="E182" s="130">
        <f t="shared" si="238"/>
        <v>12.2026</v>
      </c>
      <c r="F182" s="126">
        <f t="shared" si="239"/>
        <v>9</v>
      </c>
      <c r="G182" s="18" t="str">
        <f t="shared" si="240"/>
        <v>הבריאות</v>
      </c>
      <c r="H182" s="189">
        <f t="shared" si="241"/>
        <v>107</v>
      </c>
      <c r="I182" s="18">
        <f t="shared" si="242"/>
        <v>1</v>
      </c>
      <c r="J182" s="18" t="str">
        <f t="shared" si="243"/>
        <v>מינהלי - עובדי מדינה</v>
      </c>
      <c r="K182" s="189">
        <f t="shared" si="244"/>
        <v>1</v>
      </c>
      <c r="L182" s="18">
        <f t="shared" si="245"/>
        <v>12</v>
      </c>
      <c r="M182" s="129" t="str">
        <f t="shared" si="246"/>
        <v>17+</v>
      </c>
      <c r="N182" s="189"/>
      <c r="O182" s="132">
        <f t="shared" si="247"/>
        <v>1012</v>
      </c>
      <c r="P182" s="127">
        <f t="shared" si="248"/>
        <v>37</v>
      </c>
      <c r="Q182" s="127">
        <f t="shared" si="249"/>
        <v>22.75</v>
      </c>
      <c r="R182" s="128">
        <f t="shared" si="250"/>
        <v>92</v>
      </c>
      <c r="S182" s="130">
        <f t="shared" si="251"/>
        <v>1.2540512286990533</v>
      </c>
      <c r="T182" s="135">
        <f t="shared" si="188"/>
        <v>0</v>
      </c>
      <c r="U182" s="127">
        <f t="shared" si="189"/>
        <v>0</v>
      </c>
      <c r="V182" s="217">
        <v>0</v>
      </c>
      <c r="W182" s="191">
        <v>0</v>
      </c>
      <c r="X182" s="133">
        <v>0</v>
      </c>
      <c r="Y182" s="131">
        <f t="shared" si="190"/>
        <v>2438.5</v>
      </c>
      <c r="Z182" s="131">
        <f t="shared" si="191"/>
        <v>619.50392118264142</v>
      </c>
      <c r="AA182" s="242">
        <f t="shared" si="192"/>
        <v>3058.0039211826415</v>
      </c>
      <c r="AB182" s="131">
        <f t="shared" si="193"/>
        <v>0</v>
      </c>
      <c r="AC182" s="131">
        <f t="shared" si="194"/>
        <v>139.48055684730568</v>
      </c>
      <c r="AD182" s="131">
        <f t="shared" si="195"/>
        <v>0</v>
      </c>
      <c r="AE182" s="131">
        <f t="shared" si="196"/>
        <v>0</v>
      </c>
      <c r="AF182" s="131">
        <f t="shared" si="197"/>
        <v>75.260000000000005</v>
      </c>
      <c r="AG182" s="131">
        <f t="shared" si="198"/>
        <v>0</v>
      </c>
      <c r="AH182" s="131">
        <f t="shared" si="199"/>
        <v>0</v>
      </c>
      <c r="AI182" s="131">
        <f t="shared" si="200"/>
        <v>0</v>
      </c>
      <c r="AJ182" s="131">
        <f t="shared" si="201"/>
        <v>0</v>
      </c>
      <c r="AK182" s="131"/>
      <c r="AL182" s="131">
        <f t="shared" si="202"/>
        <v>0</v>
      </c>
      <c r="AM182" s="131"/>
      <c r="AN182" s="243">
        <f t="shared" si="203"/>
        <v>0</v>
      </c>
      <c r="AO182" s="131">
        <f t="shared" si="204"/>
        <v>0</v>
      </c>
      <c r="AP182" s="131">
        <f t="shared" si="205"/>
        <v>0</v>
      </c>
      <c r="AQ182" s="131"/>
      <c r="AR182" s="131">
        <f t="shared" si="206"/>
        <v>0</v>
      </c>
      <c r="AS182" s="131">
        <f t="shared" si="252"/>
        <v>0</v>
      </c>
      <c r="AT182" s="131">
        <f t="shared" si="207"/>
        <v>0</v>
      </c>
      <c r="AU182" s="131">
        <f t="shared" si="208"/>
        <v>0</v>
      </c>
      <c r="AV182" s="131"/>
      <c r="AW182" s="131">
        <f t="shared" si="209"/>
        <v>353.75</v>
      </c>
      <c r="AX182" s="131">
        <f t="shared" si="263"/>
        <v>0</v>
      </c>
      <c r="AY182" s="131">
        <f t="shared" si="210"/>
        <v>0</v>
      </c>
      <c r="AZ182" s="131"/>
      <c r="BA182" s="131">
        <f t="shared" si="264"/>
        <v>0</v>
      </c>
      <c r="BB182" s="131"/>
      <c r="BC182" s="131"/>
      <c r="BD182" s="131">
        <f t="shared" si="211"/>
        <v>0</v>
      </c>
      <c r="BE182" s="131"/>
      <c r="BF182" s="131">
        <f t="shared" si="253"/>
        <v>0</v>
      </c>
      <c r="BG182" s="131">
        <f t="shared" si="254"/>
        <v>0</v>
      </c>
      <c r="BH182" s="131"/>
      <c r="BI182" s="131"/>
      <c r="BJ182" s="131"/>
      <c r="BK182" s="131">
        <f t="shared" si="255"/>
        <v>0</v>
      </c>
      <c r="BL182" s="131"/>
      <c r="BM182" s="131"/>
      <c r="BN182" s="131">
        <f t="shared" si="256"/>
        <v>0</v>
      </c>
      <c r="BO182" s="131"/>
      <c r="BP182" s="131">
        <f t="shared" si="257"/>
        <v>0</v>
      </c>
      <c r="BQ182" s="131"/>
      <c r="BR182" s="131"/>
      <c r="BS182" s="131"/>
      <c r="BT182" s="131"/>
      <c r="BU182" s="131"/>
      <c r="BV182" s="131">
        <f t="shared" si="258"/>
        <v>0</v>
      </c>
      <c r="BW182" s="131"/>
      <c r="BX182" s="131"/>
      <c r="BY182" s="131"/>
      <c r="BZ182" s="131">
        <f t="shared" si="259"/>
        <v>0</v>
      </c>
      <c r="CA182" s="131"/>
      <c r="CB182" s="136">
        <f t="shared" si="212"/>
        <v>165.08663357180151</v>
      </c>
      <c r="CC182" s="131">
        <f t="shared" si="213"/>
        <v>0</v>
      </c>
      <c r="CD182" s="136">
        <f t="shared" si="214"/>
        <v>0</v>
      </c>
      <c r="CE182" s="131">
        <f t="shared" si="262"/>
        <v>0</v>
      </c>
      <c r="CF182" s="136">
        <f t="shared" si="215"/>
        <v>0</v>
      </c>
      <c r="CG182" s="136"/>
      <c r="CH182" s="136">
        <f t="shared" si="261"/>
        <v>0</v>
      </c>
      <c r="CI182" s="131">
        <f t="shared" si="216"/>
        <v>0</v>
      </c>
      <c r="CJ182" s="131"/>
      <c r="CK182" s="136">
        <f t="shared" si="217"/>
        <v>0</v>
      </c>
      <c r="CL182" s="136">
        <f t="shared" si="218"/>
        <v>0</v>
      </c>
      <c r="CM182" s="131">
        <f t="shared" si="219"/>
        <v>0</v>
      </c>
      <c r="CN182" s="136">
        <f t="shared" si="220"/>
        <v>0</v>
      </c>
      <c r="CO182" s="136">
        <f t="shared" si="221"/>
        <v>0</v>
      </c>
      <c r="CP182" s="136">
        <f t="shared" si="222"/>
        <v>0</v>
      </c>
      <c r="CQ182" s="136"/>
      <c r="CR182" s="136">
        <f t="shared" si="223"/>
        <v>0</v>
      </c>
      <c r="CS182" s="136"/>
      <c r="CT182" s="136"/>
      <c r="CU182" s="136"/>
      <c r="CV182" s="136"/>
      <c r="CW182" s="136"/>
      <c r="CX182" s="136"/>
      <c r="CY182" s="136"/>
      <c r="CZ182" s="136">
        <f t="shared" si="224"/>
        <v>0</v>
      </c>
      <c r="DA182" s="136">
        <f t="shared" si="225"/>
        <v>0</v>
      </c>
      <c r="DB182" s="136">
        <f t="shared" si="226"/>
        <v>0</v>
      </c>
      <c r="DC182" s="131">
        <f t="shared" si="185"/>
        <v>0</v>
      </c>
      <c r="DD182" s="131">
        <f t="shared" si="227"/>
        <v>0</v>
      </c>
      <c r="DE182" s="131">
        <f t="shared" si="228"/>
        <v>0</v>
      </c>
      <c r="DF182" s="131">
        <f t="shared" si="229"/>
        <v>0</v>
      </c>
      <c r="DG182" s="131">
        <f t="shared" si="230"/>
        <v>0</v>
      </c>
      <c r="DH182" s="131"/>
      <c r="DI182" s="131"/>
      <c r="DJ182" s="131"/>
      <c r="DK182" s="137">
        <f t="shared" si="260"/>
        <v>3791.5811116017489</v>
      </c>
      <c r="DL182" s="227" t="e">
        <f t="shared" si="231"/>
        <v>#REF!</v>
      </c>
      <c r="DM182" s="227" t="e">
        <f t="shared" si="232"/>
        <v>#REF!</v>
      </c>
      <c r="DN182" s="228" t="e">
        <f t="shared" si="186"/>
        <v>#REF!</v>
      </c>
      <c r="DO182" s="228">
        <f t="shared" si="233"/>
        <v>181.81087083894022</v>
      </c>
      <c r="DP182" s="228" t="e">
        <f t="shared" si="234"/>
        <v>#REF!</v>
      </c>
      <c r="DQ182" s="228" t="e">
        <f t="shared" si="235"/>
        <v>#REF!</v>
      </c>
    </row>
    <row r="183" spans="1:121">
      <c r="A183" s="132">
        <f t="shared" si="265"/>
        <v>173</v>
      </c>
      <c r="B183" s="18">
        <f t="shared" si="236"/>
        <v>173</v>
      </c>
      <c r="C183" s="18">
        <f>IF(A183=0," ",VLOOKUP(B183,'tosafot '!$A$7:$B$234,2,0))</f>
        <v>5.2022000000000004</v>
      </c>
      <c r="D183" s="220">
        <f t="shared" si="237"/>
        <v>228</v>
      </c>
      <c r="E183" s="130">
        <f t="shared" si="238"/>
        <v>12.2026</v>
      </c>
      <c r="F183" s="126">
        <f t="shared" si="239"/>
        <v>9</v>
      </c>
      <c r="G183" s="18" t="str">
        <f t="shared" si="240"/>
        <v>הבריאות</v>
      </c>
      <c r="H183" s="189">
        <f t="shared" si="241"/>
        <v>107</v>
      </c>
      <c r="I183" s="18">
        <f t="shared" si="242"/>
        <v>1</v>
      </c>
      <c r="J183" s="18" t="str">
        <f t="shared" si="243"/>
        <v>מינהלי - עובדי מדינה</v>
      </c>
      <c r="K183" s="189">
        <f t="shared" si="244"/>
        <v>1</v>
      </c>
      <c r="L183" s="18">
        <f t="shared" si="245"/>
        <v>12</v>
      </c>
      <c r="M183" s="129" t="str">
        <f t="shared" si="246"/>
        <v>17+</v>
      </c>
      <c r="N183" s="189"/>
      <c r="O183" s="132">
        <f t="shared" si="247"/>
        <v>1012</v>
      </c>
      <c r="P183" s="127">
        <f t="shared" si="248"/>
        <v>37</v>
      </c>
      <c r="Q183" s="127">
        <f t="shared" si="249"/>
        <v>22.75</v>
      </c>
      <c r="R183" s="128">
        <f t="shared" si="250"/>
        <v>92</v>
      </c>
      <c r="S183" s="130">
        <f t="shared" si="251"/>
        <v>1.2540512286990533</v>
      </c>
      <c r="T183" s="135">
        <f t="shared" si="188"/>
        <v>0</v>
      </c>
      <c r="U183" s="127">
        <f t="shared" si="189"/>
        <v>0</v>
      </c>
      <c r="V183" s="217">
        <v>0</v>
      </c>
      <c r="W183" s="191">
        <v>0</v>
      </c>
      <c r="X183" s="133">
        <v>0</v>
      </c>
      <c r="Y183" s="131">
        <f t="shared" si="190"/>
        <v>2438.5</v>
      </c>
      <c r="Z183" s="131">
        <f t="shared" si="191"/>
        <v>619.50392118264142</v>
      </c>
      <c r="AA183" s="242">
        <f t="shared" si="192"/>
        <v>3058.0039211826415</v>
      </c>
      <c r="AB183" s="131">
        <f t="shared" si="193"/>
        <v>0</v>
      </c>
      <c r="AC183" s="131">
        <f t="shared" si="194"/>
        <v>139.48055684730568</v>
      </c>
      <c r="AD183" s="131">
        <f t="shared" si="195"/>
        <v>0</v>
      </c>
      <c r="AE183" s="131">
        <f t="shared" si="196"/>
        <v>0</v>
      </c>
      <c r="AF183" s="131">
        <f t="shared" si="197"/>
        <v>75.260000000000005</v>
      </c>
      <c r="AG183" s="131">
        <f t="shared" si="198"/>
        <v>0</v>
      </c>
      <c r="AH183" s="131">
        <f t="shared" si="199"/>
        <v>0</v>
      </c>
      <c r="AI183" s="131">
        <f t="shared" si="200"/>
        <v>0</v>
      </c>
      <c r="AJ183" s="131">
        <f t="shared" si="201"/>
        <v>0</v>
      </c>
      <c r="AK183" s="131"/>
      <c r="AL183" s="131">
        <f t="shared" si="202"/>
        <v>0</v>
      </c>
      <c r="AM183" s="131"/>
      <c r="AN183" s="243">
        <f t="shared" si="203"/>
        <v>0</v>
      </c>
      <c r="AO183" s="131">
        <f t="shared" si="204"/>
        <v>0</v>
      </c>
      <c r="AP183" s="131">
        <f t="shared" si="205"/>
        <v>0</v>
      </c>
      <c r="AQ183" s="131"/>
      <c r="AR183" s="131">
        <f t="shared" si="206"/>
        <v>0</v>
      </c>
      <c r="AS183" s="131">
        <f t="shared" si="252"/>
        <v>0</v>
      </c>
      <c r="AT183" s="131">
        <f t="shared" si="207"/>
        <v>0</v>
      </c>
      <c r="AU183" s="131">
        <f t="shared" si="208"/>
        <v>0</v>
      </c>
      <c r="AV183" s="131"/>
      <c r="AW183" s="131">
        <f t="shared" si="209"/>
        <v>353.75</v>
      </c>
      <c r="AX183" s="131">
        <f t="shared" si="263"/>
        <v>0</v>
      </c>
      <c r="AY183" s="131">
        <f t="shared" si="210"/>
        <v>0</v>
      </c>
      <c r="AZ183" s="131"/>
      <c r="BA183" s="131">
        <f t="shared" si="264"/>
        <v>0</v>
      </c>
      <c r="BB183" s="131"/>
      <c r="BC183" s="131"/>
      <c r="BD183" s="131">
        <f t="shared" si="211"/>
        <v>0</v>
      </c>
      <c r="BE183" s="131"/>
      <c r="BF183" s="131">
        <f t="shared" si="253"/>
        <v>0</v>
      </c>
      <c r="BG183" s="131">
        <f t="shared" si="254"/>
        <v>0</v>
      </c>
      <c r="BH183" s="131"/>
      <c r="BI183" s="131"/>
      <c r="BJ183" s="131"/>
      <c r="BK183" s="131">
        <f t="shared" si="255"/>
        <v>0</v>
      </c>
      <c r="BL183" s="131"/>
      <c r="BM183" s="131"/>
      <c r="BN183" s="131">
        <f t="shared" si="256"/>
        <v>0</v>
      </c>
      <c r="BO183" s="131"/>
      <c r="BP183" s="131">
        <f t="shared" si="257"/>
        <v>0</v>
      </c>
      <c r="BQ183" s="131"/>
      <c r="BR183" s="131"/>
      <c r="BS183" s="131"/>
      <c r="BT183" s="131"/>
      <c r="BU183" s="131"/>
      <c r="BV183" s="131">
        <f t="shared" si="258"/>
        <v>0</v>
      </c>
      <c r="BW183" s="131"/>
      <c r="BX183" s="131"/>
      <c r="BY183" s="131"/>
      <c r="BZ183" s="131">
        <f t="shared" si="259"/>
        <v>0</v>
      </c>
      <c r="CA183" s="131"/>
      <c r="CB183" s="136">
        <f t="shared" si="212"/>
        <v>165.08663357180151</v>
      </c>
      <c r="CC183" s="131">
        <f t="shared" si="213"/>
        <v>0</v>
      </c>
      <c r="CD183" s="136">
        <f t="shared" si="214"/>
        <v>0</v>
      </c>
      <c r="CE183" s="131">
        <f t="shared" si="262"/>
        <v>0</v>
      </c>
      <c r="CF183" s="136">
        <f t="shared" si="215"/>
        <v>0</v>
      </c>
      <c r="CG183" s="136"/>
      <c r="CH183" s="136">
        <f t="shared" si="261"/>
        <v>0</v>
      </c>
      <c r="CI183" s="131">
        <f t="shared" si="216"/>
        <v>0</v>
      </c>
      <c r="CJ183" s="131"/>
      <c r="CK183" s="136">
        <f t="shared" si="217"/>
        <v>0</v>
      </c>
      <c r="CL183" s="136">
        <f t="shared" si="218"/>
        <v>0</v>
      </c>
      <c r="CM183" s="131">
        <f t="shared" si="219"/>
        <v>0</v>
      </c>
      <c r="CN183" s="136">
        <f t="shared" si="220"/>
        <v>0</v>
      </c>
      <c r="CO183" s="136">
        <f t="shared" si="221"/>
        <v>0</v>
      </c>
      <c r="CP183" s="136">
        <f t="shared" si="222"/>
        <v>0</v>
      </c>
      <c r="CQ183" s="136"/>
      <c r="CR183" s="136">
        <f t="shared" si="223"/>
        <v>0</v>
      </c>
      <c r="CS183" s="136"/>
      <c r="CT183" s="136"/>
      <c r="CU183" s="136"/>
      <c r="CV183" s="136"/>
      <c r="CW183" s="136"/>
      <c r="CX183" s="136"/>
      <c r="CY183" s="136"/>
      <c r="CZ183" s="136">
        <f t="shared" si="224"/>
        <v>0</v>
      </c>
      <c r="DA183" s="136">
        <f t="shared" si="225"/>
        <v>0</v>
      </c>
      <c r="DB183" s="136">
        <f t="shared" si="226"/>
        <v>0</v>
      </c>
      <c r="DC183" s="131">
        <f t="shared" si="185"/>
        <v>0</v>
      </c>
      <c r="DD183" s="131">
        <f t="shared" si="227"/>
        <v>0</v>
      </c>
      <c r="DE183" s="131">
        <f t="shared" si="228"/>
        <v>0</v>
      </c>
      <c r="DF183" s="131">
        <f t="shared" si="229"/>
        <v>0</v>
      </c>
      <c r="DG183" s="131">
        <f t="shared" si="230"/>
        <v>0</v>
      </c>
      <c r="DH183" s="131"/>
      <c r="DI183" s="131"/>
      <c r="DJ183" s="131"/>
      <c r="DK183" s="137">
        <f t="shared" si="260"/>
        <v>3791.5811116017489</v>
      </c>
      <c r="DL183" s="227" t="e">
        <f t="shared" si="231"/>
        <v>#REF!</v>
      </c>
      <c r="DM183" s="227" t="e">
        <f t="shared" si="232"/>
        <v>#REF!</v>
      </c>
      <c r="DN183" s="228" t="e">
        <f t="shared" si="186"/>
        <v>#REF!</v>
      </c>
      <c r="DO183" s="228">
        <f t="shared" si="233"/>
        <v>181.81087083894022</v>
      </c>
      <c r="DP183" s="228" t="e">
        <f t="shared" si="234"/>
        <v>#REF!</v>
      </c>
      <c r="DQ183" s="228" t="e">
        <f t="shared" si="235"/>
        <v>#REF!</v>
      </c>
    </row>
    <row r="184" spans="1:121">
      <c r="A184" s="132">
        <f t="shared" si="265"/>
        <v>174</v>
      </c>
      <c r="B184" s="18">
        <f t="shared" si="236"/>
        <v>174</v>
      </c>
      <c r="C184" s="18">
        <f>IF(A184=0," ",VLOOKUP(B184,'tosafot '!$A$7:$B$234,2,0))</f>
        <v>6.2022000000000004</v>
      </c>
      <c r="D184" s="220">
        <f t="shared" si="237"/>
        <v>228</v>
      </c>
      <c r="E184" s="130">
        <f t="shared" si="238"/>
        <v>12.2026</v>
      </c>
      <c r="F184" s="126">
        <f t="shared" si="239"/>
        <v>9</v>
      </c>
      <c r="G184" s="18" t="str">
        <f t="shared" si="240"/>
        <v>הבריאות</v>
      </c>
      <c r="H184" s="189">
        <f t="shared" si="241"/>
        <v>107</v>
      </c>
      <c r="I184" s="18">
        <f t="shared" si="242"/>
        <v>1</v>
      </c>
      <c r="J184" s="18" t="str">
        <f t="shared" si="243"/>
        <v>מינהלי - עובדי מדינה</v>
      </c>
      <c r="K184" s="189">
        <f t="shared" si="244"/>
        <v>1</v>
      </c>
      <c r="L184" s="18">
        <f t="shared" si="245"/>
        <v>12</v>
      </c>
      <c r="M184" s="129" t="str">
        <f t="shared" si="246"/>
        <v>17+</v>
      </c>
      <c r="N184" s="189"/>
      <c r="O184" s="132">
        <f t="shared" si="247"/>
        <v>1012</v>
      </c>
      <c r="P184" s="127">
        <f t="shared" si="248"/>
        <v>37</v>
      </c>
      <c r="Q184" s="127">
        <f t="shared" si="249"/>
        <v>22.75</v>
      </c>
      <c r="R184" s="128">
        <f t="shared" si="250"/>
        <v>92</v>
      </c>
      <c r="S184" s="130">
        <f t="shared" si="251"/>
        <v>1.2540512286990533</v>
      </c>
      <c r="T184" s="135">
        <f t="shared" si="188"/>
        <v>0</v>
      </c>
      <c r="U184" s="127">
        <f t="shared" si="189"/>
        <v>0</v>
      </c>
      <c r="V184" s="217">
        <v>0</v>
      </c>
      <c r="W184" s="191">
        <v>0</v>
      </c>
      <c r="X184" s="133">
        <v>0</v>
      </c>
      <c r="Y184" s="131">
        <f t="shared" si="190"/>
        <v>2438.5</v>
      </c>
      <c r="Z184" s="131">
        <f t="shared" si="191"/>
        <v>619.50392118264142</v>
      </c>
      <c r="AA184" s="242">
        <f t="shared" si="192"/>
        <v>3058.0039211826415</v>
      </c>
      <c r="AB184" s="131">
        <f t="shared" si="193"/>
        <v>0</v>
      </c>
      <c r="AC184" s="131">
        <f t="shared" si="194"/>
        <v>139.48055684730568</v>
      </c>
      <c r="AD184" s="131">
        <f t="shared" si="195"/>
        <v>0</v>
      </c>
      <c r="AE184" s="131">
        <f t="shared" si="196"/>
        <v>0</v>
      </c>
      <c r="AF184" s="131">
        <f t="shared" si="197"/>
        <v>75.260000000000005</v>
      </c>
      <c r="AG184" s="131">
        <f t="shared" si="198"/>
        <v>0</v>
      </c>
      <c r="AH184" s="131">
        <f t="shared" si="199"/>
        <v>0</v>
      </c>
      <c r="AI184" s="131">
        <f t="shared" si="200"/>
        <v>0</v>
      </c>
      <c r="AJ184" s="131">
        <f t="shared" si="201"/>
        <v>0</v>
      </c>
      <c r="AK184" s="131"/>
      <c r="AL184" s="131">
        <f t="shared" si="202"/>
        <v>0</v>
      </c>
      <c r="AM184" s="131"/>
      <c r="AN184" s="243">
        <f t="shared" si="203"/>
        <v>0</v>
      </c>
      <c r="AO184" s="131">
        <f t="shared" si="204"/>
        <v>0</v>
      </c>
      <c r="AP184" s="131">
        <f t="shared" si="205"/>
        <v>0</v>
      </c>
      <c r="AQ184" s="131"/>
      <c r="AR184" s="131">
        <f t="shared" si="206"/>
        <v>0</v>
      </c>
      <c r="AS184" s="131">
        <f t="shared" si="252"/>
        <v>0</v>
      </c>
      <c r="AT184" s="131">
        <f t="shared" si="207"/>
        <v>0</v>
      </c>
      <c r="AU184" s="131">
        <f t="shared" si="208"/>
        <v>0</v>
      </c>
      <c r="AV184" s="131"/>
      <c r="AW184" s="131">
        <f t="shared" si="209"/>
        <v>353.75</v>
      </c>
      <c r="AX184" s="131">
        <f t="shared" si="263"/>
        <v>0</v>
      </c>
      <c r="AY184" s="131">
        <f t="shared" si="210"/>
        <v>0</v>
      </c>
      <c r="AZ184" s="131"/>
      <c r="BA184" s="131">
        <f t="shared" si="264"/>
        <v>0</v>
      </c>
      <c r="BB184" s="131"/>
      <c r="BC184" s="131"/>
      <c r="BD184" s="131">
        <f t="shared" si="211"/>
        <v>0</v>
      </c>
      <c r="BE184" s="131"/>
      <c r="BF184" s="131">
        <f t="shared" si="253"/>
        <v>0</v>
      </c>
      <c r="BG184" s="131">
        <f t="shared" si="254"/>
        <v>0</v>
      </c>
      <c r="BH184" s="131"/>
      <c r="BI184" s="131"/>
      <c r="BJ184" s="131"/>
      <c r="BK184" s="131">
        <f t="shared" si="255"/>
        <v>0</v>
      </c>
      <c r="BL184" s="131"/>
      <c r="BM184" s="131"/>
      <c r="BN184" s="131">
        <f t="shared" si="256"/>
        <v>0</v>
      </c>
      <c r="BO184" s="131"/>
      <c r="BP184" s="131">
        <f t="shared" si="257"/>
        <v>0</v>
      </c>
      <c r="BQ184" s="131"/>
      <c r="BR184" s="131"/>
      <c r="BS184" s="131"/>
      <c r="BT184" s="131"/>
      <c r="BU184" s="131"/>
      <c r="BV184" s="131">
        <f t="shared" si="258"/>
        <v>0</v>
      </c>
      <c r="BW184" s="131"/>
      <c r="BX184" s="131"/>
      <c r="BY184" s="131"/>
      <c r="BZ184" s="131">
        <f t="shared" si="259"/>
        <v>0</v>
      </c>
      <c r="CA184" s="131"/>
      <c r="CB184" s="136">
        <f t="shared" si="212"/>
        <v>165.08663357180151</v>
      </c>
      <c r="CC184" s="131">
        <f t="shared" si="213"/>
        <v>0</v>
      </c>
      <c r="CD184" s="136">
        <f t="shared" si="214"/>
        <v>0</v>
      </c>
      <c r="CE184" s="131">
        <f t="shared" si="262"/>
        <v>0</v>
      </c>
      <c r="CF184" s="136">
        <f t="shared" si="215"/>
        <v>0</v>
      </c>
      <c r="CG184" s="136"/>
      <c r="CH184" s="136">
        <f t="shared" si="261"/>
        <v>0</v>
      </c>
      <c r="CI184" s="131">
        <f t="shared" si="216"/>
        <v>0</v>
      </c>
      <c r="CJ184" s="131"/>
      <c r="CK184" s="136">
        <f t="shared" si="217"/>
        <v>0</v>
      </c>
      <c r="CL184" s="136">
        <f t="shared" si="218"/>
        <v>0</v>
      </c>
      <c r="CM184" s="131">
        <f t="shared" si="219"/>
        <v>0</v>
      </c>
      <c r="CN184" s="136">
        <f t="shared" si="220"/>
        <v>0</v>
      </c>
      <c r="CO184" s="136">
        <f t="shared" si="221"/>
        <v>0</v>
      </c>
      <c r="CP184" s="136">
        <f t="shared" si="222"/>
        <v>0</v>
      </c>
      <c r="CQ184" s="136"/>
      <c r="CR184" s="136">
        <f t="shared" si="223"/>
        <v>0</v>
      </c>
      <c r="CS184" s="136"/>
      <c r="CT184" s="136"/>
      <c r="CU184" s="136"/>
      <c r="CV184" s="136"/>
      <c r="CW184" s="136"/>
      <c r="CX184" s="136"/>
      <c r="CY184" s="136"/>
      <c r="CZ184" s="136">
        <f t="shared" si="224"/>
        <v>0</v>
      </c>
      <c r="DA184" s="136">
        <f t="shared" si="225"/>
        <v>0</v>
      </c>
      <c r="DB184" s="136">
        <f t="shared" si="226"/>
        <v>0</v>
      </c>
      <c r="DC184" s="131">
        <f t="shared" si="185"/>
        <v>0</v>
      </c>
      <c r="DD184" s="131">
        <f t="shared" si="227"/>
        <v>0</v>
      </c>
      <c r="DE184" s="131">
        <f t="shared" si="228"/>
        <v>0</v>
      </c>
      <c r="DF184" s="131">
        <f t="shared" si="229"/>
        <v>0</v>
      </c>
      <c r="DG184" s="131">
        <f t="shared" si="230"/>
        <v>0</v>
      </c>
      <c r="DH184" s="131"/>
      <c r="DI184" s="131"/>
      <c r="DJ184" s="131"/>
      <c r="DK184" s="137">
        <f t="shared" si="260"/>
        <v>3791.5811116017489</v>
      </c>
      <c r="DL184" s="227" t="e">
        <f t="shared" si="231"/>
        <v>#REF!</v>
      </c>
      <c r="DM184" s="227" t="e">
        <f t="shared" si="232"/>
        <v>#REF!</v>
      </c>
      <c r="DN184" s="228" t="e">
        <f t="shared" si="186"/>
        <v>#REF!</v>
      </c>
      <c r="DO184" s="228">
        <f t="shared" si="233"/>
        <v>181.81087083894022</v>
      </c>
      <c r="DP184" s="228" t="e">
        <f t="shared" si="234"/>
        <v>#REF!</v>
      </c>
      <c r="DQ184" s="228" t="e">
        <f t="shared" si="235"/>
        <v>#REF!</v>
      </c>
    </row>
    <row r="185" spans="1:121">
      <c r="A185" s="132">
        <f t="shared" si="265"/>
        <v>175</v>
      </c>
      <c r="B185" s="18">
        <f t="shared" si="236"/>
        <v>175</v>
      </c>
      <c r="C185" s="18">
        <f>IF(A185=0," ",VLOOKUP(B185,'tosafot '!$A$7:$B$234,2,0))</f>
        <v>7.2022000000000004</v>
      </c>
      <c r="D185" s="220">
        <f t="shared" si="237"/>
        <v>228</v>
      </c>
      <c r="E185" s="130">
        <f t="shared" si="238"/>
        <v>12.2026</v>
      </c>
      <c r="F185" s="126">
        <f t="shared" si="239"/>
        <v>9</v>
      </c>
      <c r="G185" s="18" t="str">
        <f t="shared" si="240"/>
        <v>הבריאות</v>
      </c>
      <c r="H185" s="189">
        <f t="shared" si="241"/>
        <v>107</v>
      </c>
      <c r="I185" s="18">
        <f t="shared" si="242"/>
        <v>1</v>
      </c>
      <c r="J185" s="18" t="str">
        <f t="shared" si="243"/>
        <v>מינהלי - עובדי מדינה</v>
      </c>
      <c r="K185" s="189">
        <f t="shared" si="244"/>
        <v>1</v>
      </c>
      <c r="L185" s="18">
        <f t="shared" si="245"/>
        <v>12</v>
      </c>
      <c r="M185" s="129" t="str">
        <f t="shared" si="246"/>
        <v>17+</v>
      </c>
      <c r="N185" s="189"/>
      <c r="O185" s="132">
        <f t="shared" si="247"/>
        <v>1012</v>
      </c>
      <c r="P185" s="127">
        <f t="shared" si="248"/>
        <v>37</v>
      </c>
      <c r="Q185" s="127">
        <f t="shared" si="249"/>
        <v>22.75</v>
      </c>
      <c r="R185" s="128">
        <f t="shared" si="250"/>
        <v>92</v>
      </c>
      <c r="S185" s="130">
        <f t="shared" si="251"/>
        <v>1.2540512286990533</v>
      </c>
      <c r="T185" s="135">
        <f t="shared" si="188"/>
        <v>0</v>
      </c>
      <c r="U185" s="127">
        <f t="shared" si="189"/>
        <v>0</v>
      </c>
      <c r="V185" s="217">
        <v>0</v>
      </c>
      <c r="W185" s="191">
        <v>0</v>
      </c>
      <c r="X185" s="133">
        <v>0</v>
      </c>
      <c r="Y185" s="131">
        <f t="shared" si="190"/>
        <v>2438.5</v>
      </c>
      <c r="Z185" s="131">
        <f t="shared" si="191"/>
        <v>619.50392118264142</v>
      </c>
      <c r="AA185" s="242">
        <f t="shared" si="192"/>
        <v>3058.0039211826415</v>
      </c>
      <c r="AB185" s="131">
        <f t="shared" si="193"/>
        <v>0</v>
      </c>
      <c r="AC185" s="131">
        <f t="shared" si="194"/>
        <v>139.48055684730568</v>
      </c>
      <c r="AD185" s="131">
        <f t="shared" si="195"/>
        <v>0</v>
      </c>
      <c r="AE185" s="131">
        <f t="shared" si="196"/>
        <v>0</v>
      </c>
      <c r="AF185" s="131">
        <f t="shared" si="197"/>
        <v>75.260000000000005</v>
      </c>
      <c r="AG185" s="131">
        <f t="shared" si="198"/>
        <v>0</v>
      </c>
      <c r="AH185" s="131">
        <f t="shared" si="199"/>
        <v>0</v>
      </c>
      <c r="AI185" s="131">
        <f t="shared" si="200"/>
        <v>0</v>
      </c>
      <c r="AJ185" s="131">
        <f t="shared" si="201"/>
        <v>0</v>
      </c>
      <c r="AK185" s="131"/>
      <c r="AL185" s="131">
        <f t="shared" si="202"/>
        <v>0</v>
      </c>
      <c r="AM185" s="131"/>
      <c r="AN185" s="243">
        <f t="shared" si="203"/>
        <v>0</v>
      </c>
      <c r="AO185" s="131">
        <f t="shared" si="204"/>
        <v>0</v>
      </c>
      <c r="AP185" s="131">
        <f t="shared" si="205"/>
        <v>0</v>
      </c>
      <c r="AQ185" s="131"/>
      <c r="AR185" s="131">
        <f t="shared" si="206"/>
        <v>0</v>
      </c>
      <c r="AS185" s="131">
        <f t="shared" si="252"/>
        <v>0</v>
      </c>
      <c r="AT185" s="131">
        <f t="shared" si="207"/>
        <v>0</v>
      </c>
      <c r="AU185" s="131">
        <f t="shared" si="208"/>
        <v>0</v>
      </c>
      <c r="AV185" s="131"/>
      <c r="AW185" s="131">
        <f t="shared" si="209"/>
        <v>353.75</v>
      </c>
      <c r="AX185" s="131">
        <f t="shared" si="263"/>
        <v>0</v>
      </c>
      <c r="AY185" s="131">
        <f t="shared" si="210"/>
        <v>0</v>
      </c>
      <c r="AZ185" s="131"/>
      <c r="BA185" s="131">
        <f t="shared" si="264"/>
        <v>0</v>
      </c>
      <c r="BB185" s="131"/>
      <c r="BC185" s="131"/>
      <c r="BD185" s="131">
        <f t="shared" si="211"/>
        <v>0</v>
      </c>
      <c r="BE185" s="131"/>
      <c r="BF185" s="131">
        <f t="shared" si="253"/>
        <v>0</v>
      </c>
      <c r="BG185" s="131">
        <f t="shared" si="254"/>
        <v>0</v>
      </c>
      <c r="BH185" s="131"/>
      <c r="BI185" s="131"/>
      <c r="BJ185" s="131"/>
      <c r="BK185" s="131">
        <f t="shared" si="255"/>
        <v>0</v>
      </c>
      <c r="BL185" s="131"/>
      <c r="BM185" s="131"/>
      <c r="BN185" s="131">
        <f t="shared" si="256"/>
        <v>0</v>
      </c>
      <c r="BO185" s="131"/>
      <c r="BP185" s="131">
        <f t="shared" si="257"/>
        <v>0</v>
      </c>
      <c r="BQ185" s="131"/>
      <c r="BR185" s="131"/>
      <c r="BS185" s="131"/>
      <c r="BT185" s="131"/>
      <c r="BU185" s="131"/>
      <c r="BV185" s="131">
        <f t="shared" si="258"/>
        <v>0</v>
      </c>
      <c r="BW185" s="131"/>
      <c r="BX185" s="131"/>
      <c r="BY185" s="131"/>
      <c r="BZ185" s="131">
        <f t="shared" si="259"/>
        <v>0</v>
      </c>
      <c r="CA185" s="131"/>
      <c r="CB185" s="136">
        <f t="shared" si="212"/>
        <v>165.08663357180151</v>
      </c>
      <c r="CC185" s="131">
        <f t="shared" si="213"/>
        <v>0</v>
      </c>
      <c r="CD185" s="136">
        <f t="shared" si="214"/>
        <v>0</v>
      </c>
      <c r="CE185" s="131">
        <f t="shared" si="262"/>
        <v>0</v>
      </c>
      <c r="CF185" s="136">
        <f t="shared" si="215"/>
        <v>0</v>
      </c>
      <c r="CG185" s="136"/>
      <c r="CH185" s="136">
        <f t="shared" si="261"/>
        <v>0</v>
      </c>
      <c r="CI185" s="131">
        <f t="shared" si="216"/>
        <v>0</v>
      </c>
      <c r="CJ185" s="131"/>
      <c r="CK185" s="136">
        <f t="shared" si="217"/>
        <v>0</v>
      </c>
      <c r="CL185" s="136">
        <f t="shared" si="218"/>
        <v>0</v>
      </c>
      <c r="CM185" s="131">
        <f t="shared" si="219"/>
        <v>0</v>
      </c>
      <c r="CN185" s="136">
        <f t="shared" si="220"/>
        <v>0</v>
      </c>
      <c r="CO185" s="136">
        <f t="shared" si="221"/>
        <v>0</v>
      </c>
      <c r="CP185" s="136">
        <f t="shared" si="222"/>
        <v>0</v>
      </c>
      <c r="CQ185" s="136"/>
      <c r="CR185" s="136">
        <f t="shared" si="223"/>
        <v>0</v>
      </c>
      <c r="CS185" s="136"/>
      <c r="CT185" s="136"/>
      <c r="CU185" s="136"/>
      <c r="CV185" s="136"/>
      <c r="CW185" s="136"/>
      <c r="CX185" s="136"/>
      <c r="CY185" s="136"/>
      <c r="CZ185" s="136">
        <f t="shared" si="224"/>
        <v>0</v>
      </c>
      <c r="DA185" s="136">
        <f t="shared" si="225"/>
        <v>0</v>
      </c>
      <c r="DB185" s="136">
        <f t="shared" si="226"/>
        <v>0</v>
      </c>
      <c r="DC185" s="131">
        <f t="shared" si="185"/>
        <v>0</v>
      </c>
      <c r="DD185" s="131">
        <f t="shared" si="227"/>
        <v>0</v>
      </c>
      <c r="DE185" s="131">
        <f t="shared" si="228"/>
        <v>0</v>
      </c>
      <c r="DF185" s="131">
        <f t="shared" si="229"/>
        <v>0</v>
      </c>
      <c r="DG185" s="131">
        <f t="shared" si="230"/>
        <v>0</v>
      </c>
      <c r="DH185" s="131"/>
      <c r="DI185" s="131"/>
      <c r="DJ185" s="131"/>
      <c r="DK185" s="137">
        <f t="shared" si="260"/>
        <v>3791.5811116017489</v>
      </c>
      <c r="DL185" s="227" t="e">
        <f t="shared" si="231"/>
        <v>#REF!</v>
      </c>
      <c r="DM185" s="227" t="e">
        <f t="shared" si="232"/>
        <v>#REF!</v>
      </c>
      <c r="DN185" s="228" t="e">
        <f t="shared" si="186"/>
        <v>#REF!</v>
      </c>
      <c r="DO185" s="228">
        <f t="shared" si="233"/>
        <v>181.81087083894022</v>
      </c>
      <c r="DP185" s="228" t="e">
        <f t="shared" si="234"/>
        <v>#REF!</v>
      </c>
      <c r="DQ185" s="228" t="e">
        <f t="shared" si="235"/>
        <v>#REF!</v>
      </c>
    </row>
    <row r="186" spans="1:121">
      <c r="A186" s="132">
        <f t="shared" si="265"/>
        <v>176</v>
      </c>
      <c r="B186" s="18">
        <f t="shared" si="236"/>
        <v>176</v>
      </c>
      <c r="C186" s="18">
        <f>IF(A186=0," ",VLOOKUP(B186,'tosafot '!$A$7:$B$234,2,0))</f>
        <v>8.2021999999999995</v>
      </c>
      <c r="D186" s="220">
        <f t="shared" si="237"/>
        <v>228</v>
      </c>
      <c r="E186" s="130">
        <f t="shared" si="238"/>
        <v>12.2026</v>
      </c>
      <c r="F186" s="126">
        <f t="shared" si="239"/>
        <v>9</v>
      </c>
      <c r="G186" s="18" t="str">
        <f t="shared" si="240"/>
        <v>הבריאות</v>
      </c>
      <c r="H186" s="189">
        <f t="shared" si="241"/>
        <v>107</v>
      </c>
      <c r="I186" s="18">
        <f t="shared" si="242"/>
        <v>1</v>
      </c>
      <c r="J186" s="18" t="str">
        <f t="shared" si="243"/>
        <v>מינהלי - עובדי מדינה</v>
      </c>
      <c r="K186" s="189">
        <f t="shared" si="244"/>
        <v>1</v>
      </c>
      <c r="L186" s="18">
        <f t="shared" si="245"/>
        <v>12</v>
      </c>
      <c r="M186" s="129" t="str">
        <f t="shared" si="246"/>
        <v>17+</v>
      </c>
      <c r="N186" s="189"/>
      <c r="O186" s="132">
        <f t="shared" si="247"/>
        <v>1012</v>
      </c>
      <c r="P186" s="127">
        <f t="shared" si="248"/>
        <v>37</v>
      </c>
      <c r="Q186" s="127">
        <f t="shared" si="249"/>
        <v>22.75</v>
      </c>
      <c r="R186" s="128">
        <f t="shared" si="250"/>
        <v>92</v>
      </c>
      <c r="S186" s="130">
        <f t="shared" si="251"/>
        <v>1.2540512286990533</v>
      </c>
      <c r="T186" s="135">
        <f t="shared" si="188"/>
        <v>0</v>
      </c>
      <c r="U186" s="127">
        <f t="shared" si="189"/>
        <v>0</v>
      </c>
      <c r="V186" s="217">
        <v>0</v>
      </c>
      <c r="W186" s="191">
        <v>0</v>
      </c>
      <c r="X186" s="133">
        <v>0</v>
      </c>
      <c r="Y186" s="131">
        <f t="shared" si="190"/>
        <v>2438.5</v>
      </c>
      <c r="Z186" s="131">
        <f t="shared" si="191"/>
        <v>619.50392118264142</v>
      </c>
      <c r="AA186" s="242">
        <f t="shared" si="192"/>
        <v>3058.0039211826415</v>
      </c>
      <c r="AB186" s="131">
        <f t="shared" si="193"/>
        <v>0</v>
      </c>
      <c r="AC186" s="131">
        <f t="shared" si="194"/>
        <v>139.48055684730568</v>
      </c>
      <c r="AD186" s="131">
        <f t="shared" si="195"/>
        <v>0</v>
      </c>
      <c r="AE186" s="131">
        <f t="shared" si="196"/>
        <v>0</v>
      </c>
      <c r="AF186" s="131">
        <f t="shared" si="197"/>
        <v>75.260000000000005</v>
      </c>
      <c r="AG186" s="131">
        <f t="shared" si="198"/>
        <v>0</v>
      </c>
      <c r="AH186" s="131">
        <f t="shared" si="199"/>
        <v>0</v>
      </c>
      <c r="AI186" s="131">
        <f t="shared" si="200"/>
        <v>0</v>
      </c>
      <c r="AJ186" s="131">
        <f t="shared" si="201"/>
        <v>0</v>
      </c>
      <c r="AK186" s="131"/>
      <c r="AL186" s="131">
        <f t="shared" si="202"/>
        <v>0</v>
      </c>
      <c r="AM186" s="131"/>
      <c r="AN186" s="243">
        <f t="shared" si="203"/>
        <v>0</v>
      </c>
      <c r="AO186" s="131">
        <f t="shared" si="204"/>
        <v>0</v>
      </c>
      <c r="AP186" s="131">
        <f t="shared" si="205"/>
        <v>0</v>
      </c>
      <c r="AQ186" s="131"/>
      <c r="AR186" s="131">
        <f t="shared" si="206"/>
        <v>0</v>
      </c>
      <c r="AS186" s="131">
        <f t="shared" si="252"/>
        <v>0</v>
      </c>
      <c r="AT186" s="131">
        <f t="shared" si="207"/>
        <v>0</v>
      </c>
      <c r="AU186" s="131">
        <f t="shared" si="208"/>
        <v>0</v>
      </c>
      <c r="AV186" s="131"/>
      <c r="AW186" s="131">
        <f t="shared" si="209"/>
        <v>353.75</v>
      </c>
      <c r="AX186" s="131">
        <f t="shared" si="263"/>
        <v>0</v>
      </c>
      <c r="AY186" s="131">
        <f t="shared" si="210"/>
        <v>0</v>
      </c>
      <c r="AZ186" s="131"/>
      <c r="BA186" s="131">
        <f t="shared" si="264"/>
        <v>0</v>
      </c>
      <c r="BB186" s="131"/>
      <c r="BC186" s="131"/>
      <c r="BD186" s="131">
        <f t="shared" si="211"/>
        <v>0</v>
      </c>
      <c r="BE186" s="131"/>
      <c r="BF186" s="131">
        <f t="shared" si="253"/>
        <v>0</v>
      </c>
      <c r="BG186" s="131">
        <f t="shared" si="254"/>
        <v>0</v>
      </c>
      <c r="BH186" s="131"/>
      <c r="BI186" s="131"/>
      <c r="BJ186" s="131"/>
      <c r="BK186" s="131">
        <f t="shared" si="255"/>
        <v>0</v>
      </c>
      <c r="BL186" s="131"/>
      <c r="BM186" s="131"/>
      <c r="BN186" s="131">
        <f t="shared" si="256"/>
        <v>0</v>
      </c>
      <c r="BO186" s="131"/>
      <c r="BP186" s="131">
        <f t="shared" si="257"/>
        <v>0</v>
      </c>
      <c r="BQ186" s="131"/>
      <c r="BR186" s="131"/>
      <c r="BS186" s="131"/>
      <c r="BT186" s="131"/>
      <c r="BU186" s="131"/>
      <c r="BV186" s="131">
        <f t="shared" si="258"/>
        <v>0</v>
      </c>
      <c r="BW186" s="131"/>
      <c r="BX186" s="131"/>
      <c r="BY186" s="131"/>
      <c r="BZ186" s="131">
        <f t="shared" si="259"/>
        <v>0</v>
      </c>
      <c r="CA186" s="131"/>
      <c r="CB186" s="136">
        <f t="shared" si="212"/>
        <v>165.08663357180151</v>
      </c>
      <c r="CC186" s="131">
        <f t="shared" si="213"/>
        <v>0</v>
      </c>
      <c r="CD186" s="136">
        <f t="shared" si="214"/>
        <v>0</v>
      </c>
      <c r="CE186" s="131">
        <f t="shared" si="262"/>
        <v>0</v>
      </c>
      <c r="CF186" s="136">
        <f t="shared" si="215"/>
        <v>0</v>
      </c>
      <c r="CG186" s="136"/>
      <c r="CH186" s="136">
        <f t="shared" si="261"/>
        <v>0</v>
      </c>
      <c r="CI186" s="131">
        <f t="shared" si="216"/>
        <v>0</v>
      </c>
      <c r="CJ186" s="131"/>
      <c r="CK186" s="136">
        <f t="shared" si="217"/>
        <v>0</v>
      </c>
      <c r="CL186" s="136">
        <f t="shared" si="218"/>
        <v>0</v>
      </c>
      <c r="CM186" s="131">
        <f t="shared" si="219"/>
        <v>0</v>
      </c>
      <c r="CN186" s="136">
        <f t="shared" si="220"/>
        <v>0</v>
      </c>
      <c r="CO186" s="136">
        <f t="shared" si="221"/>
        <v>0</v>
      </c>
      <c r="CP186" s="136">
        <f t="shared" si="222"/>
        <v>0</v>
      </c>
      <c r="CQ186" s="136"/>
      <c r="CR186" s="136">
        <f t="shared" si="223"/>
        <v>0</v>
      </c>
      <c r="CS186" s="136"/>
      <c r="CT186" s="136"/>
      <c r="CU186" s="136"/>
      <c r="CV186" s="136"/>
      <c r="CW186" s="136"/>
      <c r="CX186" s="136"/>
      <c r="CY186" s="136"/>
      <c r="CZ186" s="136">
        <f t="shared" si="224"/>
        <v>0</v>
      </c>
      <c r="DA186" s="136">
        <f t="shared" si="225"/>
        <v>0</v>
      </c>
      <c r="DB186" s="136">
        <f t="shared" si="226"/>
        <v>0</v>
      </c>
      <c r="DC186" s="131">
        <f t="shared" si="185"/>
        <v>0</v>
      </c>
      <c r="DD186" s="131">
        <f t="shared" si="227"/>
        <v>0</v>
      </c>
      <c r="DE186" s="131">
        <f t="shared" si="228"/>
        <v>0</v>
      </c>
      <c r="DF186" s="131">
        <f t="shared" si="229"/>
        <v>0</v>
      </c>
      <c r="DG186" s="131">
        <f t="shared" si="230"/>
        <v>0</v>
      </c>
      <c r="DH186" s="131"/>
      <c r="DI186" s="131"/>
      <c r="DJ186" s="131"/>
      <c r="DK186" s="137">
        <f t="shared" si="260"/>
        <v>3791.5811116017489</v>
      </c>
      <c r="DL186" s="227" t="e">
        <f t="shared" si="231"/>
        <v>#REF!</v>
      </c>
      <c r="DM186" s="227" t="e">
        <f t="shared" si="232"/>
        <v>#REF!</v>
      </c>
      <c r="DN186" s="228" t="e">
        <f t="shared" si="186"/>
        <v>#REF!</v>
      </c>
      <c r="DO186" s="228">
        <f t="shared" si="233"/>
        <v>181.81087083894022</v>
      </c>
      <c r="DP186" s="228" t="e">
        <f t="shared" si="234"/>
        <v>#REF!</v>
      </c>
      <c r="DQ186" s="228" t="e">
        <f t="shared" si="235"/>
        <v>#REF!</v>
      </c>
    </row>
    <row r="187" spans="1:121">
      <c r="A187" s="132">
        <f t="shared" si="265"/>
        <v>177</v>
      </c>
      <c r="B187" s="18">
        <f t="shared" si="236"/>
        <v>177</v>
      </c>
      <c r="C187" s="18">
        <f>IF(A187=0," ",VLOOKUP(B187,'tosafot '!$A$7:$B$234,2,0))</f>
        <v>9.2021999999999995</v>
      </c>
      <c r="D187" s="220">
        <f t="shared" si="237"/>
        <v>228</v>
      </c>
      <c r="E187" s="130">
        <f t="shared" si="238"/>
        <v>12.2026</v>
      </c>
      <c r="F187" s="126">
        <f t="shared" si="239"/>
        <v>9</v>
      </c>
      <c r="G187" s="18" t="str">
        <f t="shared" si="240"/>
        <v>הבריאות</v>
      </c>
      <c r="H187" s="189">
        <f t="shared" si="241"/>
        <v>107</v>
      </c>
      <c r="I187" s="18">
        <f t="shared" si="242"/>
        <v>1</v>
      </c>
      <c r="J187" s="18" t="str">
        <f t="shared" si="243"/>
        <v>מינהלי - עובדי מדינה</v>
      </c>
      <c r="K187" s="189">
        <f t="shared" si="244"/>
        <v>1</v>
      </c>
      <c r="L187" s="18">
        <f t="shared" si="245"/>
        <v>12</v>
      </c>
      <c r="M187" s="129" t="str">
        <f t="shared" si="246"/>
        <v>17+</v>
      </c>
      <c r="N187" s="189"/>
      <c r="O187" s="132">
        <f t="shared" si="247"/>
        <v>1012</v>
      </c>
      <c r="P187" s="127">
        <f t="shared" si="248"/>
        <v>37</v>
      </c>
      <c r="Q187" s="127">
        <f t="shared" si="249"/>
        <v>22.75</v>
      </c>
      <c r="R187" s="128">
        <f t="shared" si="250"/>
        <v>92</v>
      </c>
      <c r="S187" s="130">
        <f t="shared" si="251"/>
        <v>1.2540512286990533</v>
      </c>
      <c r="T187" s="135">
        <f t="shared" si="188"/>
        <v>0</v>
      </c>
      <c r="U187" s="127">
        <f t="shared" si="189"/>
        <v>0</v>
      </c>
      <c r="V187" s="217">
        <v>0</v>
      </c>
      <c r="W187" s="191">
        <v>0</v>
      </c>
      <c r="X187" s="133">
        <v>0</v>
      </c>
      <c r="Y187" s="131">
        <f t="shared" si="190"/>
        <v>2438.5</v>
      </c>
      <c r="Z187" s="131">
        <f t="shared" si="191"/>
        <v>619.50392118264142</v>
      </c>
      <c r="AA187" s="242">
        <f t="shared" si="192"/>
        <v>3058.0039211826415</v>
      </c>
      <c r="AB187" s="131">
        <f t="shared" si="193"/>
        <v>0</v>
      </c>
      <c r="AC187" s="131">
        <f t="shared" si="194"/>
        <v>139.48055684730568</v>
      </c>
      <c r="AD187" s="131">
        <f t="shared" si="195"/>
        <v>0</v>
      </c>
      <c r="AE187" s="131">
        <f t="shared" si="196"/>
        <v>0</v>
      </c>
      <c r="AF187" s="131">
        <f t="shared" si="197"/>
        <v>75.260000000000005</v>
      </c>
      <c r="AG187" s="131">
        <f t="shared" si="198"/>
        <v>0</v>
      </c>
      <c r="AH187" s="131">
        <f t="shared" si="199"/>
        <v>0</v>
      </c>
      <c r="AI187" s="131">
        <f t="shared" si="200"/>
        <v>0</v>
      </c>
      <c r="AJ187" s="131">
        <f t="shared" si="201"/>
        <v>0</v>
      </c>
      <c r="AK187" s="131"/>
      <c r="AL187" s="131">
        <f t="shared" si="202"/>
        <v>0</v>
      </c>
      <c r="AM187" s="131"/>
      <c r="AN187" s="243">
        <f t="shared" si="203"/>
        <v>0</v>
      </c>
      <c r="AO187" s="131">
        <f t="shared" si="204"/>
        <v>0</v>
      </c>
      <c r="AP187" s="131">
        <f t="shared" si="205"/>
        <v>0</v>
      </c>
      <c r="AQ187" s="131"/>
      <c r="AR187" s="131">
        <f t="shared" si="206"/>
        <v>0</v>
      </c>
      <c r="AS187" s="131">
        <f t="shared" si="252"/>
        <v>0</v>
      </c>
      <c r="AT187" s="131">
        <f t="shared" si="207"/>
        <v>0</v>
      </c>
      <c r="AU187" s="131">
        <f t="shared" si="208"/>
        <v>0</v>
      </c>
      <c r="AV187" s="131"/>
      <c r="AW187" s="131">
        <f t="shared" si="209"/>
        <v>353.75</v>
      </c>
      <c r="AX187" s="131">
        <f t="shared" si="263"/>
        <v>0</v>
      </c>
      <c r="AY187" s="131">
        <f t="shared" si="210"/>
        <v>0</v>
      </c>
      <c r="AZ187" s="131"/>
      <c r="BA187" s="131">
        <f t="shared" si="264"/>
        <v>0</v>
      </c>
      <c r="BB187" s="131"/>
      <c r="BC187" s="131"/>
      <c r="BD187" s="131">
        <f t="shared" si="211"/>
        <v>0</v>
      </c>
      <c r="BE187" s="131"/>
      <c r="BF187" s="131">
        <f t="shared" si="253"/>
        <v>0</v>
      </c>
      <c r="BG187" s="131">
        <f t="shared" si="254"/>
        <v>0</v>
      </c>
      <c r="BH187" s="131"/>
      <c r="BI187" s="131"/>
      <c r="BJ187" s="131"/>
      <c r="BK187" s="131">
        <f t="shared" si="255"/>
        <v>0</v>
      </c>
      <c r="BL187" s="131"/>
      <c r="BM187" s="131"/>
      <c r="BN187" s="131">
        <f t="shared" si="256"/>
        <v>0</v>
      </c>
      <c r="BO187" s="131"/>
      <c r="BP187" s="131">
        <f t="shared" si="257"/>
        <v>0</v>
      </c>
      <c r="BQ187" s="131"/>
      <c r="BR187" s="131"/>
      <c r="BS187" s="131"/>
      <c r="BT187" s="131"/>
      <c r="BU187" s="131"/>
      <c r="BV187" s="131">
        <f t="shared" si="258"/>
        <v>0</v>
      </c>
      <c r="BW187" s="131"/>
      <c r="BX187" s="131"/>
      <c r="BY187" s="131"/>
      <c r="BZ187" s="131">
        <f t="shared" si="259"/>
        <v>0</v>
      </c>
      <c r="CA187" s="131"/>
      <c r="CB187" s="136">
        <f t="shared" si="212"/>
        <v>165.08663357180151</v>
      </c>
      <c r="CC187" s="131">
        <f t="shared" si="213"/>
        <v>0</v>
      </c>
      <c r="CD187" s="136">
        <f t="shared" si="214"/>
        <v>0</v>
      </c>
      <c r="CE187" s="131">
        <f t="shared" si="262"/>
        <v>0</v>
      </c>
      <c r="CF187" s="136">
        <f t="shared" si="215"/>
        <v>0</v>
      </c>
      <c r="CG187" s="136"/>
      <c r="CH187" s="136">
        <f t="shared" si="261"/>
        <v>0</v>
      </c>
      <c r="CI187" s="131">
        <f t="shared" si="216"/>
        <v>0</v>
      </c>
      <c r="CJ187" s="131"/>
      <c r="CK187" s="136">
        <f t="shared" si="217"/>
        <v>0</v>
      </c>
      <c r="CL187" s="136">
        <f t="shared" si="218"/>
        <v>0</v>
      </c>
      <c r="CM187" s="131">
        <f t="shared" si="219"/>
        <v>0</v>
      </c>
      <c r="CN187" s="136">
        <f t="shared" si="220"/>
        <v>0</v>
      </c>
      <c r="CO187" s="136">
        <f t="shared" si="221"/>
        <v>0</v>
      </c>
      <c r="CP187" s="136">
        <f t="shared" si="222"/>
        <v>0</v>
      </c>
      <c r="CQ187" s="136"/>
      <c r="CR187" s="136">
        <f t="shared" si="223"/>
        <v>0</v>
      </c>
      <c r="CS187" s="136"/>
      <c r="CT187" s="136"/>
      <c r="CU187" s="136"/>
      <c r="CV187" s="136"/>
      <c r="CW187" s="136"/>
      <c r="CX187" s="136"/>
      <c r="CY187" s="136"/>
      <c r="CZ187" s="136">
        <f t="shared" si="224"/>
        <v>0</v>
      </c>
      <c r="DA187" s="136">
        <f t="shared" si="225"/>
        <v>0</v>
      </c>
      <c r="DB187" s="136">
        <f t="shared" si="226"/>
        <v>0</v>
      </c>
      <c r="DC187" s="131">
        <f t="shared" si="185"/>
        <v>0</v>
      </c>
      <c r="DD187" s="131">
        <f t="shared" si="227"/>
        <v>0</v>
      </c>
      <c r="DE187" s="131">
        <f t="shared" si="228"/>
        <v>0</v>
      </c>
      <c r="DF187" s="131">
        <f t="shared" si="229"/>
        <v>0</v>
      </c>
      <c r="DG187" s="131">
        <f t="shared" si="230"/>
        <v>0</v>
      </c>
      <c r="DH187" s="131"/>
      <c r="DI187" s="131"/>
      <c r="DJ187" s="131"/>
      <c r="DK187" s="137">
        <f t="shared" si="260"/>
        <v>3791.5811116017489</v>
      </c>
      <c r="DL187" s="227" t="e">
        <f t="shared" si="231"/>
        <v>#REF!</v>
      </c>
      <c r="DM187" s="227" t="e">
        <f t="shared" si="232"/>
        <v>#REF!</v>
      </c>
      <c r="DN187" s="228" t="e">
        <f t="shared" si="186"/>
        <v>#REF!</v>
      </c>
      <c r="DO187" s="228">
        <f t="shared" si="233"/>
        <v>181.81087083894022</v>
      </c>
      <c r="DP187" s="228" t="e">
        <f t="shared" si="234"/>
        <v>#REF!</v>
      </c>
      <c r="DQ187" s="228" t="e">
        <f t="shared" si="235"/>
        <v>#REF!</v>
      </c>
    </row>
    <row r="188" spans="1:121">
      <c r="A188" s="132">
        <f t="shared" si="265"/>
        <v>178</v>
      </c>
      <c r="B188" s="18">
        <f t="shared" si="236"/>
        <v>178</v>
      </c>
      <c r="C188" s="18">
        <f>IF(A188=0," ",VLOOKUP(B188,'tosafot '!$A$7:$B$234,2,0))</f>
        <v>10.202199999999999</v>
      </c>
      <c r="D188" s="220">
        <f t="shared" si="237"/>
        <v>228</v>
      </c>
      <c r="E188" s="130">
        <f t="shared" si="238"/>
        <v>12.2026</v>
      </c>
      <c r="F188" s="126">
        <f t="shared" si="239"/>
        <v>9</v>
      </c>
      <c r="G188" s="18" t="str">
        <f t="shared" si="240"/>
        <v>הבריאות</v>
      </c>
      <c r="H188" s="189">
        <f t="shared" si="241"/>
        <v>107</v>
      </c>
      <c r="I188" s="18">
        <f t="shared" si="242"/>
        <v>1</v>
      </c>
      <c r="J188" s="18" t="str">
        <f t="shared" si="243"/>
        <v>מינהלי - עובדי מדינה</v>
      </c>
      <c r="K188" s="189">
        <f t="shared" si="244"/>
        <v>1</v>
      </c>
      <c r="L188" s="18">
        <f t="shared" si="245"/>
        <v>12</v>
      </c>
      <c r="M188" s="129" t="str">
        <f t="shared" si="246"/>
        <v>17+</v>
      </c>
      <c r="N188" s="189"/>
      <c r="O188" s="132">
        <f t="shared" si="247"/>
        <v>1012</v>
      </c>
      <c r="P188" s="127">
        <f t="shared" si="248"/>
        <v>37</v>
      </c>
      <c r="Q188" s="127">
        <f t="shared" si="249"/>
        <v>22.75</v>
      </c>
      <c r="R188" s="128">
        <f t="shared" si="250"/>
        <v>92</v>
      </c>
      <c r="S188" s="130">
        <f t="shared" si="251"/>
        <v>1.2540512286990533</v>
      </c>
      <c r="T188" s="135">
        <f t="shared" si="188"/>
        <v>0</v>
      </c>
      <c r="U188" s="127">
        <f t="shared" si="189"/>
        <v>0</v>
      </c>
      <c r="V188" s="217">
        <v>0</v>
      </c>
      <c r="W188" s="191">
        <v>0</v>
      </c>
      <c r="X188" s="133">
        <v>0</v>
      </c>
      <c r="Y188" s="131">
        <f t="shared" si="190"/>
        <v>2438.5</v>
      </c>
      <c r="Z188" s="131">
        <f t="shared" si="191"/>
        <v>619.50392118264142</v>
      </c>
      <c r="AA188" s="242">
        <f t="shared" si="192"/>
        <v>3058.0039211826415</v>
      </c>
      <c r="AB188" s="131">
        <f t="shared" si="193"/>
        <v>0</v>
      </c>
      <c r="AC188" s="131">
        <f t="shared" si="194"/>
        <v>139.48055684730568</v>
      </c>
      <c r="AD188" s="131">
        <f t="shared" si="195"/>
        <v>0</v>
      </c>
      <c r="AE188" s="131">
        <f t="shared" si="196"/>
        <v>0</v>
      </c>
      <c r="AF188" s="131">
        <f t="shared" si="197"/>
        <v>75.260000000000005</v>
      </c>
      <c r="AG188" s="131">
        <f t="shared" si="198"/>
        <v>0</v>
      </c>
      <c r="AH188" s="131">
        <f t="shared" si="199"/>
        <v>0</v>
      </c>
      <c r="AI188" s="131">
        <f t="shared" si="200"/>
        <v>0</v>
      </c>
      <c r="AJ188" s="131">
        <f t="shared" si="201"/>
        <v>0</v>
      </c>
      <c r="AK188" s="131"/>
      <c r="AL188" s="131">
        <f t="shared" si="202"/>
        <v>0</v>
      </c>
      <c r="AM188" s="131"/>
      <c r="AN188" s="243">
        <f t="shared" si="203"/>
        <v>0</v>
      </c>
      <c r="AO188" s="131">
        <f t="shared" si="204"/>
        <v>0</v>
      </c>
      <c r="AP188" s="131">
        <f t="shared" si="205"/>
        <v>0</v>
      </c>
      <c r="AQ188" s="131"/>
      <c r="AR188" s="131">
        <f t="shared" si="206"/>
        <v>0</v>
      </c>
      <c r="AS188" s="131">
        <f t="shared" si="252"/>
        <v>0</v>
      </c>
      <c r="AT188" s="131">
        <f t="shared" si="207"/>
        <v>0</v>
      </c>
      <c r="AU188" s="131">
        <f t="shared" si="208"/>
        <v>0</v>
      </c>
      <c r="AV188" s="131"/>
      <c r="AW188" s="131">
        <f t="shared" si="209"/>
        <v>353.75</v>
      </c>
      <c r="AX188" s="131">
        <f t="shared" si="263"/>
        <v>0</v>
      </c>
      <c r="AY188" s="131">
        <f t="shared" si="210"/>
        <v>0</v>
      </c>
      <c r="AZ188" s="131"/>
      <c r="BA188" s="131">
        <f t="shared" si="264"/>
        <v>0</v>
      </c>
      <c r="BB188" s="131"/>
      <c r="BC188" s="131"/>
      <c r="BD188" s="131">
        <f t="shared" si="211"/>
        <v>0</v>
      </c>
      <c r="BE188" s="131"/>
      <c r="BF188" s="131">
        <f t="shared" si="253"/>
        <v>0</v>
      </c>
      <c r="BG188" s="131">
        <f t="shared" si="254"/>
        <v>0</v>
      </c>
      <c r="BH188" s="131"/>
      <c r="BI188" s="131"/>
      <c r="BJ188" s="131"/>
      <c r="BK188" s="131">
        <f t="shared" si="255"/>
        <v>0</v>
      </c>
      <c r="BL188" s="131"/>
      <c r="BM188" s="131"/>
      <c r="BN188" s="131">
        <f t="shared" si="256"/>
        <v>0</v>
      </c>
      <c r="BO188" s="131"/>
      <c r="BP188" s="131">
        <f t="shared" si="257"/>
        <v>0</v>
      </c>
      <c r="BQ188" s="131"/>
      <c r="BR188" s="131"/>
      <c r="BS188" s="131"/>
      <c r="BT188" s="131"/>
      <c r="BU188" s="131"/>
      <c r="BV188" s="131">
        <f t="shared" si="258"/>
        <v>0</v>
      </c>
      <c r="BW188" s="131"/>
      <c r="BX188" s="131"/>
      <c r="BY188" s="131"/>
      <c r="BZ188" s="131">
        <f t="shared" si="259"/>
        <v>0</v>
      </c>
      <c r="CA188" s="131"/>
      <c r="CB188" s="136">
        <f t="shared" si="212"/>
        <v>165.08663357180151</v>
      </c>
      <c r="CC188" s="131">
        <f t="shared" si="213"/>
        <v>0</v>
      </c>
      <c r="CD188" s="136">
        <f t="shared" si="214"/>
        <v>0</v>
      </c>
      <c r="CE188" s="131">
        <f t="shared" si="262"/>
        <v>0</v>
      </c>
      <c r="CF188" s="136">
        <f t="shared" si="215"/>
        <v>0</v>
      </c>
      <c r="CG188" s="136"/>
      <c r="CH188" s="136">
        <f t="shared" si="261"/>
        <v>0</v>
      </c>
      <c r="CI188" s="131">
        <f t="shared" si="216"/>
        <v>0</v>
      </c>
      <c r="CJ188" s="131"/>
      <c r="CK188" s="136">
        <f t="shared" si="217"/>
        <v>0</v>
      </c>
      <c r="CL188" s="136">
        <f t="shared" si="218"/>
        <v>0</v>
      </c>
      <c r="CM188" s="131">
        <f t="shared" si="219"/>
        <v>0</v>
      </c>
      <c r="CN188" s="136">
        <f t="shared" si="220"/>
        <v>0</v>
      </c>
      <c r="CO188" s="136">
        <f t="shared" si="221"/>
        <v>0</v>
      </c>
      <c r="CP188" s="136">
        <f t="shared" si="222"/>
        <v>0</v>
      </c>
      <c r="CQ188" s="136"/>
      <c r="CR188" s="136">
        <f t="shared" si="223"/>
        <v>0</v>
      </c>
      <c r="CS188" s="136"/>
      <c r="CT188" s="136"/>
      <c r="CU188" s="136"/>
      <c r="CV188" s="136"/>
      <c r="CW188" s="136"/>
      <c r="CX188" s="136"/>
      <c r="CY188" s="136"/>
      <c r="CZ188" s="136">
        <f t="shared" si="224"/>
        <v>0</v>
      </c>
      <c r="DA188" s="136">
        <f t="shared" si="225"/>
        <v>0</v>
      </c>
      <c r="DB188" s="136">
        <f t="shared" si="226"/>
        <v>0</v>
      </c>
      <c r="DC188" s="131">
        <f t="shared" si="185"/>
        <v>0</v>
      </c>
      <c r="DD188" s="131">
        <f t="shared" si="227"/>
        <v>0</v>
      </c>
      <c r="DE188" s="131">
        <f t="shared" si="228"/>
        <v>0</v>
      </c>
      <c r="DF188" s="131">
        <f t="shared" si="229"/>
        <v>0</v>
      </c>
      <c r="DG188" s="131">
        <f t="shared" si="230"/>
        <v>0</v>
      </c>
      <c r="DH188" s="131"/>
      <c r="DI188" s="131"/>
      <c r="DJ188" s="131"/>
      <c r="DK188" s="137">
        <f t="shared" si="260"/>
        <v>3791.5811116017489</v>
      </c>
      <c r="DL188" s="227" t="e">
        <f t="shared" si="231"/>
        <v>#REF!</v>
      </c>
      <c r="DM188" s="227" t="e">
        <f t="shared" si="232"/>
        <v>#REF!</v>
      </c>
      <c r="DN188" s="228" t="e">
        <f t="shared" si="186"/>
        <v>#REF!</v>
      </c>
      <c r="DO188" s="228">
        <f t="shared" si="233"/>
        <v>181.81087083894022</v>
      </c>
      <c r="DP188" s="228" t="e">
        <f t="shared" si="234"/>
        <v>#REF!</v>
      </c>
      <c r="DQ188" s="228" t="e">
        <f t="shared" si="235"/>
        <v>#REF!</v>
      </c>
    </row>
    <row r="189" spans="1:121">
      <c r="A189" s="132">
        <f t="shared" si="265"/>
        <v>179</v>
      </c>
      <c r="B189" s="18">
        <f t="shared" si="236"/>
        <v>179</v>
      </c>
      <c r="C189" s="18">
        <f>IF(A189=0," ",VLOOKUP(B189,'tosafot '!$A$7:$B$234,2,0))</f>
        <v>11.202199999999999</v>
      </c>
      <c r="D189" s="220">
        <f t="shared" si="237"/>
        <v>228</v>
      </c>
      <c r="E189" s="130">
        <f t="shared" si="238"/>
        <v>12.2026</v>
      </c>
      <c r="F189" s="126">
        <f t="shared" si="239"/>
        <v>9</v>
      </c>
      <c r="G189" s="18" t="str">
        <f t="shared" si="240"/>
        <v>הבריאות</v>
      </c>
      <c r="H189" s="189">
        <f t="shared" si="241"/>
        <v>107</v>
      </c>
      <c r="I189" s="18">
        <f t="shared" si="242"/>
        <v>1</v>
      </c>
      <c r="J189" s="18" t="str">
        <f t="shared" si="243"/>
        <v>מינהלי - עובדי מדינה</v>
      </c>
      <c r="K189" s="189">
        <f t="shared" si="244"/>
        <v>1</v>
      </c>
      <c r="L189" s="18">
        <f t="shared" si="245"/>
        <v>12</v>
      </c>
      <c r="M189" s="129" t="str">
        <f t="shared" si="246"/>
        <v>17+</v>
      </c>
      <c r="N189" s="189"/>
      <c r="O189" s="132">
        <f t="shared" si="247"/>
        <v>1012</v>
      </c>
      <c r="P189" s="127">
        <f t="shared" si="248"/>
        <v>37</v>
      </c>
      <c r="Q189" s="127">
        <f t="shared" si="249"/>
        <v>22.75</v>
      </c>
      <c r="R189" s="128">
        <f t="shared" si="250"/>
        <v>92</v>
      </c>
      <c r="S189" s="130">
        <f t="shared" si="251"/>
        <v>1.2540512286990533</v>
      </c>
      <c r="T189" s="135">
        <f t="shared" si="188"/>
        <v>0</v>
      </c>
      <c r="U189" s="127">
        <f t="shared" si="189"/>
        <v>0</v>
      </c>
      <c r="V189" s="217">
        <v>0</v>
      </c>
      <c r="W189" s="191">
        <v>0</v>
      </c>
      <c r="X189" s="133">
        <v>0</v>
      </c>
      <c r="Y189" s="131">
        <f t="shared" si="190"/>
        <v>2438.5</v>
      </c>
      <c r="Z189" s="131">
        <f t="shared" si="191"/>
        <v>619.50392118264142</v>
      </c>
      <c r="AA189" s="242">
        <f t="shared" si="192"/>
        <v>3058.0039211826415</v>
      </c>
      <c r="AB189" s="131">
        <f t="shared" si="193"/>
        <v>0</v>
      </c>
      <c r="AC189" s="131">
        <f t="shared" si="194"/>
        <v>139.48055684730568</v>
      </c>
      <c r="AD189" s="131">
        <f t="shared" si="195"/>
        <v>0</v>
      </c>
      <c r="AE189" s="131">
        <f t="shared" si="196"/>
        <v>0</v>
      </c>
      <c r="AF189" s="131">
        <f t="shared" si="197"/>
        <v>75.260000000000005</v>
      </c>
      <c r="AG189" s="131">
        <f t="shared" si="198"/>
        <v>0</v>
      </c>
      <c r="AH189" s="131">
        <f t="shared" si="199"/>
        <v>0</v>
      </c>
      <c r="AI189" s="131">
        <f t="shared" si="200"/>
        <v>0</v>
      </c>
      <c r="AJ189" s="131">
        <f t="shared" si="201"/>
        <v>0</v>
      </c>
      <c r="AK189" s="131"/>
      <c r="AL189" s="131">
        <f t="shared" si="202"/>
        <v>0</v>
      </c>
      <c r="AM189" s="131"/>
      <c r="AN189" s="243">
        <f t="shared" si="203"/>
        <v>0</v>
      </c>
      <c r="AO189" s="131">
        <f t="shared" si="204"/>
        <v>0</v>
      </c>
      <c r="AP189" s="131">
        <f t="shared" si="205"/>
        <v>0</v>
      </c>
      <c r="AQ189" s="131"/>
      <c r="AR189" s="131">
        <f t="shared" si="206"/>
        <v>0</v>
      </c>
      <c r="AS189" s="131">
        <f t="shared" si="252"/>
        <v>0</v>
      </c>
      <c r="AT189" s="131">
        <f t="shared" si="207"/>
        <v>0</v>
      </c>
      <c r="AU189" s="131">
        <f t="shared" si="208"/>
        <v>0</v>
      </c>
      <c r="AV189" s="131"/>
      <c r="AW189" s="131">
        <f t="shared" si="209"/>
        <v>353.75</v>
      </c>
      <c r="AX189" s="131">
        <f t="shared" si="263"/>
        <v>0</v>
      </c>
      <c r="AY189" s="131">
        <f t="shared" si="210"/>
        <v>0</v>
      </c>
      <c r="AZ189" s="131"/>
      <c r="BA189" s="131">
        <f t="shared" si="264"/>
        <v>0</v>
      </c>
      <c r="BB189" s="131"/>
      <c r="BC189" s="131"/>
      <c r="BD189" s="131">
        <f t="shared" si="211"/>
        <v>0</v>
      </c>
      <c r="BE189" s="131"/>
      <c r="BF189" s="131">
        <f t="shared" si="253"/>
        <v>0</v>
      </c>
      <c r="BG189" s="131">
        <f t="shared" si="254"/>
        <v>0</v>
      </c>
      <c r="BH189" s="131"/>
      <c r="BI189" s="131"/>
      <c r="BJ189" s="131"/>
      <c r="BK189" s="131">
        <f t="shared" si="255"/>
        <v>0</v>
      </c>
      <c r="BL189" s="131"/>
      <c r="BM189" s="131"/>
      <c r="BN189" s="131">
        <f t="shared" si="256"/>
        <v>0</v>
      </c>
      <c r="BO189" s="131"/>
      <c r="BP189" s="131">
        <f t="shared" si="257"/>
        <v>0</v>
      </c>
      <c r="BQ189" s="131"/>
      <c r="BR189" s="131"/>
      <c r="BS189" s="131"/>
      <c r="BT189" s="131"/>
      <c r="BU189" s="131"/>
      <c r="BV189" s="131">
        <f t="shared" si="258"/>
        <v>0</v>
      </c>
      <c r="BW189" s="131"/>
      <c r="BX189" s="131"/>
      <c r="BY189" s="131"/>
      <c r="BZ189" s="131">
        <f t="shared" si="259"/>
        <v>0</v>
      </c>
      <c r="CA189" s="131"/>
      <c r="CB189" s="136">
        <f t="shared" si="212"/>
        <v>165.08663357180151</v>
      </c>
      <c r="CC189" s="131">
        <f t="shared" si="213"/>
        <v>0</v>
      </c>
      <c r="CD189" s="136">
        <f t="shared" si="214"/>
        <v>0</v>
      </c>
      <c r="CE189" s="131">
        <f t="shared" si="262"/>
        <v>0</v>
      </c>
      <c r="CF189" s="136">
        <f t="shared" si="215"/>
        <v>0</v>
      </c>
      <c r="CG189" s="136"/>
      <c r="CH189" s="136">
        <f t="shared" si="261"/>
        <v>0</v>
      </c>
      <c r="CI189" s="131">
        <f t="shared" si="216"/>
        <v>0</v>
      </c>
      <c r="CJ189" s="131"/>
      <c r="CK189" s="136">
        <f t="shared" si="217"/>
        <v>0</v>
      </c>
      <c r="CL189" s="136">
        <f t="shared" si="218"/>
        <v>0</v>
      </c>
      <c r="CM189" s="131">
        <f t="shared" si="219"/>
        <v>0</v>
      </c>
      <c r="CN189" s="136">
        <f t="shared" si="220"/>
        <v>0</v>
      </c>
      <c r="CO189" s="136">
        <f t="shared" si="221"/>
        <v>0</v>
      </c>
      <c r="CP189" s="136">
        <f t="shared" si="222"/>
        <v>0</v>
      </c>
      <c r="CQ189" s="136"/>
      <c r="CR189" s="136">
        <f t="shared" si="223"/>
        <v>0</v>
      </c>
      <c r="CS189" s="136"/>
      <c r="CT189" s="136"/>
      <c r="CU189" s="136"/>
      <c r="CV189" s="136"/>
      <c r="CW189" s="136"/>
      <c r="CX189" s="136"/>
      <c r="CY189" s="136"/>
      <c r="CZ189" s="136">
        <f t="shared" si="224"/>
        <v>0</v>
      </c>
      <c r="DA189" s="136">
        <f t="shared" si="225"/>
        <v>0</v>
      </c>
      <c r="DB189" s="136">
        <f t="shared" si="226"/>
        <v>0</v>
      </c>
      <c r="DC189" s="131">
        <f t="shared" si="185"/>
        <v>0</v>
      </c>
      <c r="DD189" s="131">
        <f t="shared" si="227"/>
        <v>0</v>
      </c>
      <c r="DE189" s="131">
        <f t="shared" si="228"/>
        <v>0</v>
      </c>
      <c r="DF189" s="131">
        <f t="shared" si="229"/>
        <v>0</v>
      </c>
      <c r="DG189" s="131">
        <f t="shared" si="230"/>
        <v>0</v>
      </c>
      <c r="DH189" s="131"/>
      <c r="DI189" s="131"/>
      <c r="DJ189" s="131"/>
      <c r="DK189" s="137">
        <f t="shared" si="260"/>
        <v>3791.5811116017489</v>
      </c>
      <c r="DL189" s="227" t="e">
        <f t="shared" si="231"/>
        <v>#REF!</v>
      </c>
      <c r="DM189" s="227" t="e">
        <f t="shared" si="232"/>
        <v>#REF!</v>
      </c>
      <c r="DN189" s="228" t="e">
        <f t="shared" si="186"/>
        <v>#REF!</v>
      </c>
      <c r="DO189" s="228">
        <f t="shared" si="233"/>
        <v>181.81087083894022</v>
      </c>
      <c r="DP189" s="228" t="e">
        <f t="shared" si="234"/>
        <v>#REF!</v>
      </c>
      <c r="DQ189" s="228" t="e">
        <f t="shared" si="235"/>
        <v>#REF!</v>
      </c>
    </row>
    <row r="190" spans="1:121">
      <c r="A190" s="132">
        <f t="shared" si="265"/>
        <v>180</v>
      </c>
      <c r="B190" s="18">
        <f t="shared" si="236"/>
        <v>180</v>
      </c>
      <c r="C190" s="18">
        <f>IF(A190=0," ",VLOOKUP(B190,'tosafot '!$A$7:$B$234,2,0))</f>
        <v>12.202199999999999</v>
      </c>
      <c r="D190" s="220">
        <f t="shared" si="237"/>
        <v>228</v>
      </c>
      <c r="E190" s="130">
        <f t="shared" si="238"/>
        <v>12.2026</v>
      </c>
      <c r="F190" s="126">
        <f t="shared" si="239"/>
        <v>9</v>
      </c>
      <c r="G190" s="18" t="str">
        <f t="shared" si="240"/>
        <v>הבריאות</v>
      </c>
      <c r="H190" s="189">
        <f t="shared" si="241"/>
        <v>107</v>
      </c>
      <c r="I190" s="18">
        <f t="shared" si="242"/>
        <v>1</v>
      </c>
      <c r="J190" s="18" t="str">
        <f t="shared" si="243"/>
        <v>מינהלי - עובדי מדינה</v>
      </c>
      <c r="K190" s="189">
        <f t="shared" si="244"/>
        <v>1</v>
      </c>
      <c r="L190" s="18">
        <f t="shared" si="245"/>
        <v>12</v>
      </c>
      <c r="M190" s="129" t="str">
        <f t="shared" si="246"/>
        <v>17+</v>
      </c>
      <c r="N190" s="189"/>
      <c r="O190" s="132">
        <f t="shared" si="247"/>
        <v>1012</v>
      </c>
      <c r="P190" s="127">
        <f t="shared" si="248"/>
        <v>37</v>
      </c>
      <c r="Q190" s="127">
        <f t="shared" si="249"/>
        <v>22.75</v>
      </c>
      <c r="R190" s="128">
        <f t="shared" si="250"/>
        <v>92</v>
      </c>
      <c r="S190" s="130">
        <f t="shared" si="251"/>
        <v>1.2540512286990533</v>
      </c>
      <c r="T190" s="135">
        <f t="shared" si="188"/>
        <v>0</v>
      </c>
      <c r="U190" s="127">
        <f t="shared" si="189"/>
        <v>0</v>
      </c>
      <c r="V190" s="217">
        <v>0</v>
      </c>
      <c r="W190" s="191">
        <v>0</v>
      </c>
      <c r="X190" s="133">
        <v>0</v>
      </c>
      <c r="Y190" s="131">
        <f t="shared" si="190"/>
        <v>2438.5</v>
      </c>
      <c r="Z190" s="131">
        <f t="shared" si="191"/>
        <v>619.50392118264142</v>
      </c>
      <c r="AA190" s="242">
        <f t="shared" si="192"/>
        <v>3058.0039211826415</v>
      </c>
      <c r="AB190" s="131">
        <f t="shared" si="193"/>
        <v>0</v>
      </c>
      <c r="AC190" s="131">
        <f t="shared" si="194"/>
        <v>139.48055684730568</v>
      </c>
      <c r="AD190" s="131">
        <f t="shared" si="195"/>
        <v>0</v>
      </c>
      <c r="AE190" s="131">
        <f t="shared" si="196"/>
        <v>0</v>
      </c>
      <c r="AF190" s="131">
        <f t="shared" si="197"/>
        <v>75.260000000000005</v>
      </c>
      <c r="AG190" s="131">
        <f t="shared" si="198"/>
        <v>0</v>
      </c>
      <c r="AH190" s="131">
        <f t="shared" si="199"/>
        <v>0</v>
      </c>
      <c r="AI190" s="131">
        <f t="shared" si="200"/>
        <v>0</v>
      </c>
      <c r="AJ190" s="131">
        <f t="shared" si="201"/>
        <v>0</v>
      </c>
      <c r="AK190" s="131"/>
      <c r="AL190" s="131">
        <f t="shared" si="202"/>
        <v>0</v>
      </c>
      <c r="AM190" s="131"/>
      <c r="AN190" s="243">
        <f t="shared" si="203"/>
        <v>0</v>
      </c>
      <c r="AO190" s="131">
        <f t="shared" si="204"/>
        <v>0</v>
      </c>
      <c r="AP190" s="131">
        <f t="shared" si="205"/>
        <v>0</v>
      </c>
      <c r="AQ190" s="131"/>
      <c r="AR190" s="131">
        <f t="shared" si="206"/>
        <v>0</v>
      </c>
      <c r="AS190" s="131">
        <f t="shared" si="252"/>
        <v>0</v>
      </c>
      <c r="AT190" s="131">
        <f t="shared" si="207"/>
        <v>0</v>
      </c>
      <c r="AU190" s="131">
        <f t="shared" si="208"/>
        <v>0</v>
      </c>
      <c r="AV190" s="131"/>
      <c r="AW190" s="131">
        <f t="shared" si="209"/>
        <v>353.75</v>
      </c>
      <c r="AX190" s="131">
        <f t="shared" si="263"/>
        <v>0</v>
      </c>
      <c r="AY190" s="131">
        <f t="shared" si="210"/>
        <v>0</v>
      </c>
      <c r="AZ190" s="131"/>
      <c r="BA190" s="131">
        <f t="shared" si="264"/>
        <v>0</v>
      </c>
      <c r="BB190" s="131"/>
      <c r="BC190" s="131"/>
      <c r="BD190" s="131">
        <f t="shared" si="211"/>
        <v>0</v>
      </c>
      <c r="BE190" s="131"/>
      <c r="BF190" s="131">
        <f t="shared" si="253"/>
        <v>0</v>
      </c>
      <c r="BG190" s="131">
        <f t="shared" si="254"/>
        <v>0</v>
      </c>
      <c r="BH190" s="131"/>
      <c r="BI190" s="131"/>
      <c r="BJ190" s="131"/>
      <c r="BK190" s="131">
        <f t="shared" si="255"/>
        <v>0</v>
      </c>
      <c r="BL190" s="131"/>
      <c r="BM190" s="131"/>
      <c r="BN190" s="131">
        <f t="shared" si="256"/>
        <v>0</v>
      </c>
      <c r="BO190" s="131"/>
      <c r="BP190" s="131">
        <f t="shared" si="257"/>
        <v>0</v>
      </c>
      <c r="BQ190" s="131"/>
      <c r="BR190" s="131"/>
      <c r="BS190" s="131"/>
      <c r="BT190" s="131"/>
      <c r="BU190" s="131"/>
      <c r="BV190" s="131">
        <f t="shared" si="258"/>
        <v>0</v>
      </c>
      <c r="BW190" s="131"/>
      <c r="BX190" s="131"/>
      <c r="BY190" s="131"/>
      <c r="BZ190" s="131">
        <f t="shared" si="259"/>
        <v>0</v>
      </c>
      <c r="CA190" s="131"/>
      <c r="CB190" s="136">
        <f t="shared" si="212"/>
        <v>165.08663357180151</v>
      </c>
      <c r="CC190" s="131">
        <f t="shared" si="213"/>
        <v>0</v>
      </c>
      <c r="CD190" s="136">
        <f t="shared" si="214"/>
        <v>0</v>
      </c>
      <c r="CE190" s="131">
        <f t="shared" si="262"/>
        <v>0</v>
      </c>
      <c r="CF190" s="136">
        <f t="shared" si="215"/>
        <v>0</v>
      </c>
      <c r="CG190" s="136"/>
      <c r="CH190" s="136">
        <f t="shared" si="261"/>
        <v>0</v>
      </c>
      <c r="CI190" s="131">
        <f t="shared" si="216"/>
        <v>0</v>
      </c>
      <c r="CJ190" s="131"/>
      <c r="CK190" s="136">
        <f t="shared" si="217"/>
        <v>0</v>
      </c>
      <c r="CL190" s="136">
        <f t="shared" si="218"/>
        <v>0</v>
      </c>
      <c r="CM190" s="131">
        <f t="shared" si="219"/>
        <v>0</v>
      </c>
      <c r="CN190" s="136">
        <f t="shared" si="220"/>
        <v>0</v>
      </c>
      <c r="CO190" s="136">
        <f t="shared" si="221"/>
        <v>0</v>
      </c>
      <c r="CP190" s="136">
        <f t="shared" si="222"/>
        <v>0</v>
      </c>
      <c r="CQ190" s="136"/>
      <c r="CR190" s="136">
        <f t="shared" si="223"/>
        <v>0</v>
      </c>
      <c r="CS190" s="136"/>
      <c r="CT190" s="136"/>
      <c r="CU190" s="136"/>
      <c r="CV190" s="136"/>
      <c r="CW190" s="136"/>
      <c r="CX190" s="136"/>
      <c r="CY190" s="136"/>
      <c r="CZ190" s="136">
        <f t="shared" si="224"/>
        <v>0</v>
      </c>
      <c r="DA190" s="136">
        <f t="shared" si="225"/>
        <v>0</v>
      </c>
      <c r="DB190" s="136">
        <f t="shared" si="226"/>
        <v>0</v>
      </c>
      <c r="DC190" s="131">
        <f t="shared" si="185"/>
        <v>0</v>
      </c>
      <c r="DD190" s="131">
        <f t="shared" si="227"/>
        <v>0</v>
      </c>
      <c r="DE190" s="131">
        <f t="shared" si="228"/>
        <v>0</v>
      </c>
      <c r="DF190" s="131">
        <f t="shared" si="229"/>
        <v>0</v>
      </c>
      <c r="DG190" s="131">
        <f t="shared" si="230"/>
        <v>0</v>
      </c>
      <c r="DH190" s="131"/>
      <c r="DI190" s="131"/>
      <c r="DJ190" s="131"/>
      <c r="DK190" s="137">
        <f t="shared" si="260"/>
        <v>3791.5811116017489</v>
      </c>
      <c r="DL190" s="227" t="e">
        <f t="shared" si="231"/>
        <v>#REF!</v>
      </c>
      <c r="DM190" s="227" t="e">
        <f t="shared" si="232"/>
        <v>#REF!</v>
      </c>
      <c r="DN190" s="228" t="e">
        <f t="shared" si="186"/>
        <v>#REF!</v>
      </c>
      <c r="DO190" s="228">
        <f t="shared" si="233"/>
        <v>181.81087083894022</v>
      </c>
      <c r="DP190" s="228" t="e">
        <f t="shared" si="234"/>
        <v>#REF!</v>
      </c>
      <c r="DQ190" s="228" t="e">
        <f t="shared" si="235"/>
        <v>#REF!</v>
      </c>
    </row>
    <row r="191" spans="1:121">
      <c r="A191" s="132">
        <f t="shared" si="265"/>
        <v>181</v>
      </c>
      <c r="B191" s="18">
        <f t="shared" si="236"/>
        <v>181</v>
      </c>
      <c r="C191" s="18">
        <f>IF(A191=0," ",VLOOKUP(B191,'tosafot '!$A$7:$B$234,2,0))</f>
        <v>1.2022999999999999</v>
      </c>
      <c r="D191" s="220">
        <f t="shared" si="237"/>
        <v>228</v>
      </c>
      <c r="E191" s="130">
        <f t="shared" si="238"/>
        <v>12.2026</v>
      </c>
      <c r="F191" s="126">
        <f t="shared" si="239"/>
        <v>9</v>
      </c>
      <c r="G191" s="18" t="str">
        <f t="shared" si="240"/>
        <v>הבריאות</v>
      </c>
      <c r="H191" s="189">
        <f t="shared" si="241"/>
        <v>107</v>
      </c>
      <c r="I191" s="18">
        <f t="shared" si="242"/>
        <v>1</v>
      </c>
      <c r="J191" s="18" t="str">
        <f t="shared" si="243"/>
        <v>מינהלי - עובדי מדינה</v>
      </c>
      <c r="K191" s="189">
        <f t="shared" si="244"/>
        <v>1</v>
      </c>
      <c r="L191" s="18">
        <f t="shared" si="245"/>
        <v>12</v>
      </c>
      <c r="M191" s="129" t="str">
        <f t="shared" si="246"/>
        <v>17+</v>
      </c>
      <c r="N191" s="189"/>
      <c r="O191" s="132">
        <f t="shared" si="247"/>
        <v>1012</v>
      </c>
      <c r="P191" s="127">
        <f t="shared" si="248"/>
        <v>37</v>
      </c>
      <c r="Q191" s="127">
        <f t="shared" si="249"/>
        <v>22.75</v>
      </c>
      <c r="R191" s="128">
        <f t="shared" si="250"/>
        <v>92</v>
      </c>
      <c r="S191" s="130">
        <f t="shared" si="251"/>
        <v>1.2540512286990533</v>
      </c>
      <c r="T191" s="135">
        <f t="shared" si="188"/>
        <v>0</v>
      </c>
      <c r="U191" s="127">
        <f t="shared" si="189"/>
        <v>0</v>
      </c>
      <c r="V191" s="217">
        <v>0</v>
      </c>
      <c r="W191" s="191">
        <v>0</v>
      </c>
      <c r="X191" s="133">
        <v>0</v>
      </c>
      <c r="Y191" s="131">
        <f t="shared" si="190"/>
        <v>2438.5</v>
      </c>
      <c r="Z191" s="131">
        <f t="shared" si="191"/>
        <v>619.50392118264142</v>
      </c>
      <c r="AA191" s="242">
        <f t="shared" si="192"/>
        <v>3058.0039211826415</v>
      </c>
      <c r="AB191" s="131">
        <f t="shared" si="193"/>
        <v>0</v>
      </c>
      <c r="AC191" s="131">
        <f t="shared" si="194"/>
        <v>139.48055684730568</v>
      </c>
      <c r="AD191" s="131">
        <f t="shared" si="195"/>
        <v>0</v>
      </c>
      <c r="AE191" s="131">
        <f t="shared" si="196"/>
        <v>0</v>
      </c>
      <c r="AF191" s="131">
        <f t="shared" si="197"/>
        <v>75.260000000000005</v>
      </c>
      <c r="AG191" s="131">
        <f t="shared" si="198"/>
        <v>0</v>
      </c>
      <c r="AH191" s="131">
        <f t="shared" si="199"/>
        <v>0</v>
      </c>
      <c r="AI191" s="131">
        <f t="shared" si="200"/>
        <v>0</v>
      </c>
      <c r="AJ191" s="131">
        <f t="shared" si="201"/>
        <v>0</v>
      </c>
      <c r="AK191" s="131"/>
      <c r="AL191" s="131">
        <f t="shared" si="202"/>
        <v>0</v>
      </c>
      <c r="AM191" s="131"/>
      <c r="AN191" s="243">
        <f t="shared" si="203"/>
        <v>0</v>
      </c>
      <c r="AO191" s="131">
        <f t="shared" si="204"/>
        <v>0</v>
      </c>
      <c r="AP191" s="131">
        <f t="shared" si="205"/>
        <v>0</v>
      </c>
      <c r="AQ191" s="131"/>
      <c r="AR191" s="131">
        <f t="shared" si="206"/>
        <v>0</v>
      </c>
      <c r="AS191" s="131">
        <f t="shared" si="252"/>
        <v>0</v>
      </c>
      <c r="AT191" s="131">
        <f t="shared" si="207"/>
        <v>0</v>
      </c>
      <c r="AU191" s="131">
        <f t="shared" si="208"/>
        <v>0</v>
      </c>
      <c r="AV191" s="131"/>
      <c r="AW191" s="131">
        <f t="shared" si="209"/>
        <v>353.75</v>
      </c>
      <c r="AX191" s="131">
        <f t="shared" si="263"/>
        <v>0</v>
      </c>
      <c r="AY191" s="131">
        <f t="shared" si="210"/>
        <v>0</v>
      </c>
      <c r="AZ191" s="131"/>
      <c r="BA191" s="131">
        <f t="shared" si="264"/>
        <v>0</v>
      </c>
      <c r="BB191" s="131"/>
      <c r="BC191" s="131"/>
      <c r="BD191" s="131">
        <f t="shared" si="211"/>
        <v>0</v>
      </c>
      <c r="BE191" s="131"/>
      <c r="BF191" s="131">
        <f t="shared" si="253"/>
        <v>0</v>
      </c>
      <c r="BG191" s="131">
        <f t="shared" si="254"/>
        <v>0</v>
      </c>
      <c r="BH191" s="131"/>
      <c r="BI191" s="131"/>
      <c r="BJ191" s="131"/>
      <c r="BK191" s="131">
        <f t="shared" si="255"/>
        <v>0</v>
      </c>
      <c r="BL191" s="131"/>
      <c r="BM191" s="131"/>
      <c r="BN191" s="131">
        <f t="shared" si="256"/>
        <v>0</v>
      </c>
      <c r="BO191" s="131"/>
      <c r="BP191" s="131">
        <f t="shared" si="257"/>
        <v>0</v>
      </c>
      <c r="BQ191" s="131"/>
      <c r="BR191" s="131"/>
      <c r="BS191" s="131"/>
      <c r="BT191" s="131"/>
      <c r="BU191" s="131"/>
      <c r="BV191" s="131">
        <f t="shared" si="258"/>
        <v>0</v>
      </c>
      <c r="BW191" s="131"/>
      <c r="BX191" s="131"/>
      <c r="BY191" s="131"/>
      <c r="BZ191" s="131">
        <f t="shared" si="259"/>
        <v>0</v>
      </c>
      <c r="CA191" s="131"/>
      <c r="CB191" s="136">
        <f t="shared" si="212"/>
        <v>165.08663357180151</v>
      </c>
      <c r="CC191" s="131">
        <f t="shared" si="213"/>
        <v>0</v>
      </c>
      <c r="CD191" s="136">
        <f t="shared" si="214"/>
        <v>0</v>
      </c>
      <c r="CE191" s="131">
        <f t="shared" si="262"/>
        <v>0</v>
      </c>
      <c r="CF191" s="136">
        <f t="shared" si="215"/>
        <v>0</v>
      </c>
      <c r="CG191" s="136"/>
      <c r="CH191" s="136">
        <f t="shared" si="261"/>
        <v>0</v>
      </c>
      <c r="CI191" s="131">
        <f t="shared" si="216"/>
        <v>0</v>
      </c>
      <c r="CJ191" s="131"/>
      <c r="CK191" s="136">
        <f t="shared" si="217"/>
        <v>0</v>
      </c>
      <c r="CL191" s="136">
        <f t="shared" si="218"/>
        <v>0</v>
      </c>
      <c r="CM191" s="131">
        <f t="shared" si="219"/>
        <v>0</v>
      </c>
      <c r="CN191" s="136">
        <f t="shared" si="220"/>
        <v>0</v>
      </c>
      <c r="CO191" s="136">
        <f t="shared" si="221"/>
        <v>0</v>
      </c>
      <c r="CP191" s="136">
        <f t="shared" si="222"/>
        <v>0</v>
      </c>
      <c r="CQ191" s="136"/>
      <c r="CR191" s="136">
        <f t="shared" si="223"/>
        <v>0</v>
      </c>
      <c r="CS191" s="136"/>
      <c r="CT191" s="136"/>
      <c r="CU191" s="136"/>
      <c r="CV191" s="136"/>
      <c r="CW191" s="136"/>
      <c r="CX191" s="136"/>
      <c r="CY191" s="136"/>
      <c r="CZ191" s="136">
        <f t="shared" si="224"/>
        <v>0</v>
      </c>
      <c r="DA191" s="136">
        <f t="shared" si="225"/>
        <v>0</v>
      </c>
      <c r="DB191" s="136">
        <f t="shared" si="226"/>
        <v>0</v>
      </c>
      <c r="DC191" s="131">
        <f t="shared" si="185"/>
        <v>0</v>
      </c>
      <c r="DD191" s="131">
        <f t="shared" si="227"/>
        <v>0</v>
      </c>
      <c r="DE191" s="131">
        <f t="shared" si="228"/>
        <v>0</v>
      </c>
      <c r="DF191" s="131">
        <f t="shared" si="229"/>
        <v>0</v>
      </c>
      <c r="DG191" s="131">
        <f t="shared" si="230"/>
        <v>0</v>
      </c>
      <c r="DH191" s="131"/>
      <c r="DI191" s="131"/>
      <c r="DJ191" s="131"/>
      <c r="DK191" s="137">
        <f t="shared" si="260"/>
        <v>3791.5811116017489</v>
      </c>
      <c r="DL191" s="227" t="e">
        <f t="shared" si="231"/>
        <v>#REF!</v>
      </c>
      <c r="DM191" s="227" t="e">
        <f t="shared" si="232"/>
        <v>#REF!</v>
      </c>
      <c r="DN191" s="228" t="e">
        <f t="shared" si="186"/>
        <v>#REF!</v>
      </c>
      <c r="DO191" s="228">
        <f t="shared" si="233"/>
        <v>181.81087083894022</v>
      </c>
      <c r="DP191" s="228" t="e">
        <f t="shared" si="234"/>
        <v>#REF!</v>
      </c>
      <c r="DQ191" s="228" t="e">
        <f t="shared" si="235"/>
        <v>#REF!</v>
      </c>
    </row>
    <row r="192" spans="1:121">
      <c r="A192" s="132">
        <f t="shared" si="265"/>
        <v>182</v>
      </c>
      <c r="B192" s="18">
        <f t="shared" si="236"/>
        <v>182</v>
      </c>
      <c r="C192" s="18">
        <f>IF(A192=0," ",VLOOKUP(B192,'tosafot '!$A$7:$B$234,2,0))</f>
        <v>2.2023000000000001</v>
      </c>
      <c r="D192" s="220">
        <f t="shared" si="237"/>
        <v>228</v>
      </c>
      <c r="E192" s="130">
        <f t="shared" si="238"/>
        <v>12.2026</v>
      </c>
      <c r="F192" s="126">
        <f t="shared" si="239"/>
        <v>9</v>
      </c>
      <c r="G192" s="18" t="str">
        <f t="shared" si="240"/>
        <v>הבריאות</v>
      </c>
      <c r="H192" s="189">
        <f t="shared" si="241"/>
        <v>107</v>
      </c>
      <c r="I192" s="18">
        <f t="shared" si="242"/>
        <v>1</v>
      </c>
      <c r="J192" s="18" t="str">
        <f t="shared" si="243"/>
        <v>מינהלי - עובדי מדינה</v>
      </c>
      <c r="K192" s="189">
        <f t="shared" si="244"/>
        <v>1</v>
      </c>
      <c r="L192" s="18">
        <f t="shared" si="245"/>
        <v>12</v>
      </c>
      <c r="M192" s="129" t="str">
        <f t="shared" si="246"/>
        <v>17+</v>
      </c>
      <c r="N192" s="189"/>
      <c r="O192" s="132">
        <f t="shared" si="247"/>
        <v>1012</v>
      </c>
      <c r="P192" s="127">
        <f t="shared" si="248"/>
        <v>37</v>
      </c>
      <c r="Q192" s="127">
        <f t="shared" si="249"/>
        <v>22.75</v>
      </c>
      <c r="R192" s="128">
        <f t="shared" si="250"/>
        <v>92</v>
      </c>
      <c r="S192" s="130">
        <f t="shared" si="251"/>
        <v>1.2540512286990533</v>
      </c>
      <c r="T192" s="135">
        <f t="shared" si="188"/>
        <v>0</v>
      </c>
      <c r="U192" s="127">
        <f t="shared" si="189"/>
        <v>0</v>
      </c>
      <c r="V192" s="217">
        <v>0</v>
      </c>
      <c r="W192" s="191">
        <v>0</v>
      </c>
      <c r="X192" s="133">
        <v>0</v>
      </c>
      <c r="Y192" s="131">
        <f t="shared" si="190"/>
        <v>2438.5</v>
      </c>
      <c r="Z192" s="131">
        <f t="shared" si="191"/>
        <v>619.50392118264142</v>
      </c>
      <c r="AA192" s="242">
        <f t="shared" si="192"/>
        <v>3058.0039211826415</v>
      </c>
      <c r="AB192" s="131">
        <f t="shared" si="193"/>
        <v>0</v>
      </c>
      <c r="AC192" s="131">
        <f t="shared" si="194"/>
        <v>139.48055684730568</v>
      </c>
      <c r="AD192" s="131">
        <f t="shared" si="195"/>
        <v>0</v>
      </c>
      <c r="AE192" s="131">
        <f t="shared" si="196"/>
        <v>0</v>
      </c>
      <c r="AF192" s="131">
        <f t="shared" si="197"/>
        <v>75.260000000000005</v>
      </c>
      <c r="AG192" s="131">
        <f t="shared" si="198"/>
        <v>0</v>
      </c>
      <c r="AH192" s="131">
        <f t="shared" si="199"/>
        <v>0</v>
      </c>
      <c r="AI192" s="131">
        <f t="shared" si="200"/>
        <v>0</v>
      </c>
      <c r="AJ192" s="131">
        <f t="shared" si="201"/>
        <v>0</v>
      </c>
      <c r="AK192" s="131"/>
      <c r="AL192" s="131">
        <f t="shared" si="202"/>
        <v>0</v>
      </c>
      <c r="AM192" s="131"/>
      <c r="AN192" s="243">
        <f t="shared" si="203"/>
        <v>0</v>
      </c>
      <c r="AO192" s="131">
        <f t="shared" si="204"/>
        <v>0</v>
      </c>
      <c r="AP192" s="131">
        <f t="shared" si="205"/>
        <v>0</v>
      </c>
      <c r="AQ192" s="131"/>
      <c r="AR192" s="131">
        <f t="shared" si="206"/>
        <v>0</v>
      </c>
      <c r="AS192" s="131">
        <f t="shared" si="252"/>
        <v>0</v>
      </c>
      <c r="AT192" s="131">
        <f t="shared" si="207"/>
        <v>0</v>
      </c>
      <c r="AU192" s="131">
        <f t="shared" si="208"/>
        <v>0</v>
      </c>
      <c r="AV192" s="131"/>
      <c r="AW192" s="131">
        <f t="shared" si="209"/>
        <v>353.75</v>
      </c>
      <c r="AX192" s="131">
        <f t="shared" si="263"/>
        <v>0</v>
      </c>
      <c r="AY192" s="131">
        <f t="shared" si="210"/>
        <v>0</v>
      </c>
      <c r="AZ192" s="131"/>
      <c r="BA192" s="131">
        <f t="shared" si="264"/>
        <v>0</v>
      </c>
      <c r="BB192" s="131"/>
      <c r="BC192" s="131"/>
      <c r="BD192" s="131">
        <f t="shared" si="211"/>
        <v>0</v>
      </c>
      <c r="BE192" s="131"/>
      <c r="BF192" s="131">
        <f t="shared" si="253"/>
        <v>0</v>
      </c>
      <c r="BG192" s="131">
        <f t="shared" si="254"/>
        <v>0</v>
      </c>
      <c r="BH192" s="131"/>
      <c r="BI192" s="131"/>
      <c r="BJ192" s="131"/>
      <c r="BK192" s="131">
        <f t="shared" si="255"/>
        <v>0</v>
      </c>
      <c r="BL192" s="131"/>
      <c r="BM192" s="131"/>
      <c r="BN192" s="131">
        <f t="shared" si="256"/>
        <v>0</v>
      </c>
      <c r="BO192" s="131"/>
      <c r="BP192" s="131">
        <f t="shared" si="257"/>
        <v>0</v>
      </c>
      <c r="BQ192" s="131"/>
      <c r="BR192" s="131"/>
      <c r="BS192" s="131"/>
      <c r="BT192" s="131"/>
      <c r="BU192" s="131"/>
      <c r="BV192" s="131">
        <f t="shared" si="258"/>
        <v>0</v>
      </c>
      <c r="BW192" s="131"/>
      <c r="BX192" s="131"/>
      <c r="BY192" s="131"/>
      <c r="BZ192" s="131">
        <f t="shared" si="259"/>
        <v>0</v>
      </c>
      <c r="CA192" s="131"/>
      <c r="CB192" s="136">
        <f t="shared" si="212"/>
        <v>165.08663357180151</v>
      </c>
      <c r="CC192" s="131">
        <f t="shared" si="213"/>
        <v>0</v>
      </c>
      <c r="CD192" s="136">
        <f t="shared" si="214"/>
        <v>0</v>
      </c>
      <c r="CE192" s="131">
        <f t="shared" si="262"/>
        <v>0</v>
      </c>
      <c r="CF192" s="136">
        <f t="shared" si="215"/>
        <v>0</v>
      </c>
      <c r="CG192" s="136"/>
      <c r="CH192" s="136">
        <f t="shared" si="261"/>
        <v>0</v>
      </c>
      <c r="CI192" s="131">
        <f t="shared" si="216"/>
        <v>0</v>
      </c>
      <c r="CJ192" s="131"/>
      <c r="CK192" s="136">
        <f t="shared" si="217"/>
        <v>0</v>
      </c>
      <c r="CL192" s="136">
        <f t="shared" si="218"/>
        <v>0</v>
      </c>
      <c r="CM192" s="131">
        <f t="shared" si="219"/>
        <v>0</v>
      </c>
      <c r="CN192" s="136">
        <f t="shared" si="220"/>
        <v>0</v>
      </c>
      <c r="CO192" s="136">
        <f t="shared" si="221"/>
        <v>0</v>
      </c>
      <c r="CP192" s="136">
        <f t="shared" si="222"/>
        <v>0</v>
      </c>
      <c r="CQ192" s="136"/>
      <c r="CR192" s="136">
        <f t="shared" si="223"/>
        <v>0</v>
      </c>
      <c r="CS192" s="136"/>
      <c r="CT192" s="136"/>
      <c r="CU192" s="136"/>
      <c r="CV192" s="136"/>
      <c r="CW192" s="136"/>
      <c r="CX192" s="136"/>
      <c r="CY192" s="136"/>
      <c r="CZ192" s="136">
        <f t="shared" si="224"/>
        <v>0</v>
      </c>
      <c r="DA192" s="136">
        <f t="shared" si="225"/>
        <v>0</v>
      </c>
      <c r="DB192" s="136">
        <f t="shared" si="226"/>
        <v>0</v>
      </c>
      <c r="DC192" s="131">
        <f t="shared" si="185"/>
        <v>0</v>
      </c>
      <c r="DD192" s="131">
        <f t="shared" si="227"/>
        <v>0</v>
      </c>
      <c r="DE192" s="131">
        <f t="shared" si="228"/>
        <v>0</v>
      </c>
      <c r="DF192" s="131">
        <f t="shared" si="229"/>
        <v>0</v>
      </c>
      <c r="DG192" s="131">
        <f t="shared" si="230"/>
        <v>0</v>
      </c>
      <c r="DH192" s="131"/>
      <c r="DI192" s="131"/>
      <c r="DJ192" s="131"/>
      <c r="DK192" s="137">
        <f t="shared" si="260"/>
        <v>3791.5811116017489</v>
      </c>
      <c r="DL192" s="227" t="e">
        <f t="shared" si="231"/>
        <v>#REF!</v>
      </c>
      <c r="DM192" s="227" t="e">
        <f t="shared" si="232"/>
        <v>#REF!</v>
      </c>
      <c r="DN192" s="228" t="e">
        <f t="shared" si="186"/>
        <v>#REF!</v>
      </c>
      <c r="DO192" s="228">
        <f t="shared" si="233"/>
        <v>181.81087083894022</v>
      </c>
      <c r="DP192" s="228" t="e">
        <f t="shared" si="234"/>
        <v>#REF!</v>
      </c>
      <c r="DQ192" s="228" t="e">
        <f t="shared" si="235"/>
        <v>#REF!</v>
      </c>
    </row>
    <row r="193" spans="1:121">
      <c r="A193" s="132">
        <f t="shared" si="265"/>
        <v>183</v>
      </c>
      <c r="B193" s="18">
        <f t="shared" si="236"/>
        <v>183</v>
      </c>
      <c r="C193" s="18">
        <f>IF(A193=0," ",VLOOKUP(B193,'tosafot '!$A$7:$B$234,2,0))</f>
        <v>3.2023000000000001</v>
      </c>
      <c r="D193" s="220">
        <f t="shared" si="237"/>
        <v>228</v>
      </c>
      <c r="E193" s="130">
        <f t="shared" si="238"/>
        <v>12.2026</v>
      </c>
      <c r="F193" s="126">
        <f t="shared" si="239"/>
        <v>9</v>
      </c>
      <c r="G193" s="18" t="str">
        <f t="shared" si="240"/>
        <v>הבריאות</v>
      </c>
      <c r="H193" s="189">
        <f t="shared" si="241"/>
        <v>107</v>
      </c>
      <c r="I193" s="18">
        <f t="shared" si="242"/>
        <v>1</v>
      </c>
      <c r="J193" s="18" t="str">
        <f t="shared" si="243"/>
        <v>מינהלי - עובדי מדינה</v>
      </c>
      <c r="K193" s="189">
        <f t="shared" si="244"/>
        <v>1</v>
      </c>
      <c r="L193" s="18">
        <f t="shared" si="245"/>
        <v>12</v>
      </c>
      <c r="M193" s="129" t="str">
        <f t="shared" si="246"/>
        <v>17+</v>
      </c>
      <c r="N193" s="189"/>
      <c r="O193" s="132">
        <f t="shared" si="247"/>
        <v>1012</v>
      </c>
      <c r="P193" s="127">
        <f t="shared" si="248"/>
        <v>37</v>
      </c>
      <c r="Q193" s="127">
        <f t="shared" si="249"/>
        <v>22.75</v>
      </c>
      <c r="R193" s="128">
        <f t="shared" si="250"/>
        <v>92</v>
      </c>
      <c r="S193" s="130">
        <f t="shared" si="251"/>
        <v>1.2540512286990533</v>
      </c>
      <c r="T193" s="135">
        <f t="shared" si="188"/>
        <v>0</v>
      </c>
      <c r="U193" s="127">
        <f t="shared" si="189"/>
        <v>0</v>
      </c>
      <c r="V193" s="217">
        <v>0</v>
      </c>
      <c r="W193" s="191">
        <v>0</v>
      </c>
      <c r="X193" s="133">
        <v>0</v>
      </c>
      <c r="Y193" s="131">
        <f t="shared" si="190"/>
        <v>2438.5</v>
      </c>
      <c r="Z193" s="131">
        <f t="shared" si="191"/>
        <v>619.50392118264142</v>
      </c>
      <c r="AA193" s="242">
        <f t="shared" si="192"/>
        <v>3058.0039211826415</v>
      </c>
      <c r="AB193" s="131">
        <f t="shared" si="193"/>
        <v>0</v>
      </c>
      <c r="AC193" s="131">
        <f t="shared" si="194"/>
        <v>139.48055684730568</v>
      </c>
      <c r="AD193" s="131">
        <f t="shared" si="195"/>
        <v>0</v>
      </c>
      <c r="AE193" s="131">
        <f t="shared" si="196"/>
        <v>0</v>
      </c>
      <c r="AF193" s="131">
        <f t="shared" si="197"/>
        <v>75.260000000000005</v>
      </c>
      <c r="AG193" s="131">
        <f t="shared" si="198"/>
        <v>0</v>
      </c>
      <c r="AH193" s="131">
        <f t="shared" si="199"/>
        <v>0</v>
      </c>
      <c r="AI193" s="131">
        <f t="shared" si="200"/>
        <v>0</v>
      </c>
      <c r="AJ193" s="131">
        <f t="shared" si="201"/>
        <v>0</v>
      </c>
      <c r="AK193" s="131"/>
      <c r="AL193" s="131">
        <f t="shared" si="202"/>
        <v>0</v>
      </c>
      <c r="AM193" s="131"/>
      <c r="AN193" s="243">
        <f t="shared" si="203"/>
        <v>0</v>
      </c>
      <c r="AO193" s="131">
        <f t="shared" si="204"/>
        <v>0</v>
      </c>
      <c r="AP193" s="131">
        <f t="shared" si="205"/>
        <v>0</v>
      </c>
      <c r="AQ193" s="131"/>
      <c r="AR193" s="131">
        <f t="shared" si="206"/>
        <v>0</v>
      </c>
      <c r="AS193" s="131">
        <f t="shared" si="252"/>
        <v>0</v>
      </c>
      <c r="AT193" s="131">
        <f t="shared" si="207"/>
        <v>0</v>
      </c>
      <c r="AU193" s="131">
        <f t="shared" si="208"/>
        <v>0</v>
      </c>
      <c r="AV193" s="131"/>
      <c r="AW193" s="131">
        <f t="shared" si="209"/>
        <v>353.75</v>
      </c>
      <c r="AX193" s="131">
        <f t="shared" si="263"/>
        <v>0</v>
      </c>
      <c r="AY193" s="131">
        <f t="shared" si="210"/>
        <v>0</v>
      </c>
      <c r="AZ193" s="131"/>
      <c r="BA193" s="131">
        <f t="shared" si="264"/>
        <v>0</v>
      </c>
      <c r="BB193" s="131"/>
      <c r="BC193" s="131"/>
      <c r="BD193" s="131">
        <f t="shared" si="211"/>
        <v>0</v>
      </c>
      <c r="BE193" s="131"/>
      <c r="BF193" s="131">
        <f t="shared" si="253"/>
        <v>0</v>
      </c>
      <c r="BG193" s="131">
        <f t="shared" si="254"/>
        <v>0</v>
      </c>
      <c r="BH193" s="131"/>
      <c r="BI193" s="131"/>
      <c r="BJ193" s="131"/>
      <c r="BK193" s="131">
        <f t="shared" si="255"/>
        <v>0</v>
      </c>
      <c r="BL193" s="131"/>
      <c r="BM193" s="131"/>
      <c r="BN193" s="131">
        <f t="shared" si="256"/>
        <v>0</v>
      </c>
      <c r="BO193" s="131"/>
      <c r="BP193" s="131">
        <f t="shared" si="257"/>
        <v>0</v>
      </c>
      <c r="BQ193" s="131"/>
      <c r="BR193" s="131"/>
      <c r="BS193" s="131"/>
      <c r="BT193" s="131"/>
      <c r="BU193" s="131"/>
      <c r="BV193" s="131">
        <f t="shared" si="258"/>
        <v>0</v>
      </c>
      <c r="BW193" s="131"/>
      <c r="BX193" s="131"/>
      <c r="BY193" s="131"/>
      <c r="BZ193" s="131">
        <f t="shared" si="259"/>
        <v>0</v>
      </c>
      <c r="CA193" s="131"/>
      <c r="CB193" s="136">
        <f t="shared" si="212"/>
        <v>165.08663357180151</v>
      </c>
      <c r="CC193" s="131">
        <f t="shared" si="213"/>
        <v>0</v>
      </c>
      <c r="CD193" s="136">
        <f t="shared" si="214"/>
        <v>0</v>
      </c>
      <c r="CE193" s="131">
        <f t="shared" si="262"/>
        <v>0</v>
      </c>
      <c r="CF193" s="136">
        <f t="shared" si="215"/>
        <v>0</v>
      </c>
      <c r="CG193" s="136"/>
      <c r="CH193" s="136">
        <f t="shared" si="261"/>
        <v>0</v>
      </c>
      <c r="CI193" s="131">
        <f t="shared" si="216"/>
        <v>0</v>
      </c>
      <c r="CJ193" s="131"/>
      <c r="CK193" s="136">
        <f t="shared" si="217"/>
        <v>0</v>
      </c>
      <c r="CL193" s="136">
        <f t="shared" si="218"/>
        <v>0</v>
      </c>
      <c r="CM193" s="131">
        <f t="shared" si="219"/>
        <v>0</v>
      </c>
      <c r="CN193" s="136">
        <f t="shared" si="220"/>
        <v>0</v>
      </c>
      <c r="CO193" s="136">
        <f t="shared" si="221"/>
        <v>0</v>
      </c>
      <c r="CP193" s="136">
        <f t="shared" si="222"/>
        <v>0</v>
      </c>
      <c r="CQ193" s="136"/>
      <c r="CR193" s="136">
        <f t="shared" si="223"/>
        <v>0</v>
      </c>
      <c r="CS193" s="136"/>
      <c r="CT193" s="136"/>
      <c r="CU193" s="136"/>
      <c r="CV193" s="136"/>
      <c r="CW193" s="136"/>
      <c r="CX193" s="136"/>
      <c r="CY193" s="136"/>
      <c r="CZ193" s="136">
        <f t="shared" si="224"/>
        <v>0</v>
      </c>
      <c r="DA193" s="136">
        <f t="shared" si="225"/>
        <v>0</v>
      </c>
      <c r="DB193" s="136">
        <f t="shared" si="226"/>
        <v>0</v>
      </c>
      <c r="DC193" s="131">
        <f t="shared" si="185"/>
        <v>0</v>
      </c>
      <c r="DD193" s="131">
        <f t="shared" si="227"/>
        <v>0</v>
      </c>
      <c r="DE193" s="131">
        <f t="shared" si="228"/>
        <v>0</v>
      </c>
      <c r="DF193" s="131">
        <f t="shared" si="229"/>
        <v>0</v>
      </c>
      <c r="DG193" s="131">
        <f t="shared" si="230"/>
        <v>0</v>
      </c>
      <c r="DH193" s="131"/>
      <c r="DI193" s="131"/>
      <c r="DJ193" s="131"/>
      <c r="DK193" s="137">
        <f t="shared" si="260"/>
        <v>3791.5811116017489</v>
      </c>
      <c r="DL193" s="227" t="e">
        <f t="shared" si="231"/>
        <v>#REF!</v>
      </c>
      <c r="DM193" s="227" t="e">
        <f t="shared" si="232"/>
        <v>#REF!</v>
      </c>
      <c r="DN193" s="228" t="e">
        <f t="shared" si="186"/>
        <v>#REF!</v>
      </c>
      <c r="DO193" s="228">
        <f t="shared" si="233"/>
        <v>181.81087083894022</v>
      </c>
      <c r="DP193" s="228" t="e">
        <f t="shared" si="234"/>
        <v>#REF!</v>
      </c>
      <c r="DQ193" s="228" t="e">
        <f t="shared" si="235"/>
        <v>#REF!</v>
      </c>
    </row>
    <row r="194" spans="1:121">
      <c r="A194" s="132">
        <f t="shared" si="265"/>
        <v>184</v>
      </c>
      <c r="B194" s="18">
        <f t="shared" si="236"/>
        <v>184</v>
      </c>
      <c r="C194" s="18">
        <f>IF(A194=0," ",VLOOKUP(B194,'tosafot '!$A$7:$B$234,2,0))</f>
        <v>4.2023000000000001</v>
      </c>
      <c r="D194" s="220">
        <f t="shared" si="237"/>
        <v>228</v>
      </c>
      <c r="E194" s="130">
        <f t="shared" si="238"/>
        <v>12.2026</v>
      </c>
      <c r="F194" s="126">
        <f t="shared" si="239"/>
        <v>9</v>
      </c>
      <c r="G194" s="18" t="str">
        <f t="shared" si="240"/>
        <v>הבריאות</v>
      </c>
      <c r="H194" s="189">
        <f t="shared" si="241"/>
        <v>107</v>
      </c>
      <c r="I194" s="18">
        <f t="shared" si="242"/>
        <v>1</v>
      </c>
      <c r="J194" s="18" t="str">
        <f t="shared" si="243"/>
        <v>מינהלי - עובדי מדינה</v>
      </c>
      <c r="K194" s="189">
        <f t="shared" si="244"/>
        <v>1</v>
      </c>
      <c r="L194" s="18">
        <f t="shared" si="245"/>
        <v>12</v>
      </c>
      <c r="M194" s="129" t="str">
        <f t="shared" si="246"/>
        <v>17+</v>
      </c>
      <c r="N194" s="189"/>
      <c r="O194" s="132">
        <f t="shared" si="247"/>
        <v>1012</v>
      </c>
      <c r="P194" s="127">
        <f t="shared" si="248"/>
        <v>37</v>
      </c>
      <c r="Q194" s="127">
        <f t="shared" si="249"/>
        <v>22.75</v>
      </c>
      <c r="R194" s="128">
        <f t="shared" si="250"/>
        <v>92</v>
      </c>
      <c r="S194" s="130">
        <f t="shared" si="251"/>
        <v>1.2540512286990533</v>
      </c>
      <c r="T194" s="135">
        <f t="shared" si="188"/>
        <v>0</v>
      </c>
      <c r="U194" s="127">
        <f t="shared" si="189"/>
        <v>0</v>
      </c>
      <c r="V194" s="217">
        <v>0</v>
      </c>
      <c r="W194" s="191">
        <v>0</v>
      </c>
      <c r="X194" s="133">
        <v>0</v>
      </c>
      <c r="Y194" s="131">
        <f t="shared" si="190"/>
        <v>2438.5</v>
      </c>
      <c r="Z194" s="131">
        <f t="shared" si="191"/>
        <v>619.50392118264142</v>
      </c>
      <c r="AA194" s="242">
        <f t="shared" si="192"/>
        <v>3058.0039211826415</v>
      </c>
      <c r="AB194" s="131">
        <f t="shared" si="193"/>
        <v>0</v>
      </c>
      <c r="AC194" s="131">
        <f t="shared" si="194"/>
        <v>139.48055684730568</v>
      </c>
      <c r="AD194" s="131">
        <f t="shared" si="195"/>
        <v>0</v>
      </c>
      <c r="AE194" s="131">
        <f t="shared" si="196"/>
        <v>0</v>
      </c>
      <c r="AF194" s="131">
        <f t="shared" si="197"/>
        <v>75.260000000000005</v>
      </c>
      <c r="AG194" s="131">
        <f t="shared" si="198"/>
        <v>0</v>
      </c>
      <c r="AH194" s="131">
        <f t="shared" si="199"/>
        <v>0</v>
      </c>
      <c r="AI194" s="131">
        <f t="shared" si="200"/>
        <v>0</v>
      </c>
      <c r="AJ194" s="131">
        <f t="shared" si="201"/>
        <v>0</v>
      </c>
      <c r="AK194" s="131"/>
      <c r="AL194" s="131">
        <f t="shared" si="202"/>
        <v>0</v>
      </c>
      <c r="AM194" s="131"/>
      <c r="AN194" s="243">
        <f t="shared" si="203"/>
        <v>0</v>
      </c>
      <c r="AO194" s="131">
        <f t="shared" si="204"/>
        <v>0</v>
      </c>
      <c r="AP194" s="131">
        <f t="shared" si="205"/>
        <v>0</v>
      </c>
      <c r="AQ194" s="131"/>
      <c r="AR194" s="131">
        <f t="shared" si="206"/>
        <v>0</v>
      </c>
      <c r="AS194" s="131">
        <f t="shared" si="252"/>
        <v>0</v>
      </c>
      <c r="AT194" s="131">
        <f t="shared" si="207"/>
        <v>0</v>
      </c>
      <c r="AU194" s="131">
        <f t="shared" si="208"/>
        <v>0</v>
      </c>
      <c r="AV194" s="131"/>
      <c r="AW194" s="131">
        <f t="shared" si="209"/>
        <v>353.75</v>
      </c>
      <c r="AX194" s="131">
        <f t="shared" si="263"/>
        <v>0</v>
      </c>
      <c r="AY194" s="131">
        <f t="shared" si="210"/>
        <v>0</v>
      </c>
      <c r="AZ194" s="131"/>
      <c r="BA194" s="131">
        <f t="shared" si="264"/>
        <v>0</v>
      </c>
      <c r="BB194" s="131"/>
      <c r="BC194" s="131"/>
      <c r="BD194" s="131">
        <f t="shared" si="211"/>
        <v>0</v>
      </c>
      <c r="BE194" s="131"/>
      <c r="BF194" s="131">
        <f t="shared" si="253"/>
        <v>0</v>
      </c>
      <c r="BG194" s="131">
        <f t="shared" si="254"/>
        <v>0</v>
      </c>
      <c r="BH194" s="131"/>
      <c r="BI194" s="131"/>
      <c r="BJ194" s="131"/>
      <c r="BK194" s="131">
        <f t="shared" si="255"/>
        <v>0</v>
      </c>
      <c r="BL194" s="131"/>
      <c r="BM194" s="131"/>
      <c r="BN194" s="131">
        <f t="shared" si="256"/>
        <v>0</v>
      </c>
      <c r="BO194" s="131"/>
      <c r="BP194" s="131">
        <f t="shared" si="257"/>
        <v>0</v>
      </c>
      <c r="BQ194" s="131"/>
      <c r="BR194" s="131"/>
      <c r="BS194" s="131"/>
      <c r="BT194" s="131"/>
      <c r="BU194" s="131"/>
      <c r="BV194" s="131">
        <f t="shared" si="258"/>
        <v>0</v>
      </c>
      <c r="BW194" s="131"/>
      <c r="BX194" s="131"/>
      <c r="BY194" s="131"/>
      <c r="BZ194" s="131">
        <f t="shared" si="259"/>
        <v>0</v>
      </c>
      <c r="CA194" s="131"/>
      <c r="CB194" s="136">
        <f t="shared" si="212"/>
        <v>165.08663357180151</v>
      </c>
      <c r="CC194" s="131">
        <f t="shared" si="213"/>
        <v>0</v>
      </c>
      <c r="CD194" s="136">
        <f t="shared" si="214"/>
        <v>0</v>
      </c>
      <c r="CE194" s="131">
        <f t="shared" si="262"/>
        <v>0</v>
      </c>
      <c r="CF194" s="136">
        <f t="shared" si="215"/>
        <v>0</v>
      </c>
      <c r="CG194" s="136"/>
      <c r="CH194" s="136">
        <f t="shared" si="261"/>
        <v>0</v>
      </c>
      <c r="CI194" s="131">
        <f t="shared" si="216"/>
        <v>0</v>
      </c>
      <c r="CJ194" s="131"/>
      <c r="CK194" s="136">
        <f t="shared" si="217"/>
        <v>0</v>
      </c>
      <c r="CL194" s="136">
        <f t="shared" si="218"/>
        <v>0</v>
      </c>
      <c r="CM194" s="131">
        <f t="shared" si="219"/>
        <v>0</v>
      </c>
      <c r="CN194" s="136">
        <f t="shared" si="220"/>
        <v>0</v>
      </c>
      <c r="CO194" s="136">
        <f t="shared" si="221"/>
        <v>0</v>
      </c>
      <c r="CP194" s="136">
        <f t="shared" si="222"/>
        <v>0</v>
      </c>
      <c r="CQ194" s="136"/>
      <c r="CR194" s="136">
        <f t="shared" si="223"/>
        <v>0</v>
      </c>
      <c r="CS194" s="136"/>
      <c r="CT194" s="136"/>
      <c r="CU194" s="136"/>
      <c r="CV194" s="136"/>
      <c r="CW194" s="136"/>
      <c r="CX194" s="136"/>
      <c r="CY194" s="136"/>
      <c r="CZ194" s="136">
        <f t="shared" si="224"/>
        <v>0</v>
      </c>
      <c r="DA194" s="136">
        <f t="shared" si="225"/>
        <v>0</v>
      </c>
      <c r="DB194" s="136">
        <f t="shared" si="226"/>
        <v>0</v>
      </c>
      <c r="DC194" s="131">
        <f t="shared" si="185"/>
        <v>0</v>
      </c>
      <c r="DD194" s="131">
        <f t="shared" si="227"/>
        <v>0</v>
      </c>
      <c r="DE194" s="131">
        <f t="shared" si="228"/>
        <v>0</v>
      </c>
      <c r="DF194" s="131">
        <f t="shared" si="229"/>
        <v>0</v>
      </c>
      <c r="DG194" s="131">
        <f t="shared" si="230"/>
        <v>0</v>
      </c>
      <c r="DH194" s="131"/>
      <c r="DI194" s="131"/>
      <c r="DJ194" s="131"/>
      <c r="DK194" s="137">
        <f t="shared" si="260"/>
        <v>3791.5811116017489</v>
      </c>
      <c r="DL194" s="227" t="e">
        <f t="shared" si="231"/>
        <v>#REF!</v>
      </c>
      <c r="DM194" s="227" t="e">
        <f t="shared" si="232"/>
        <v>#REF!</v>
      </c>
      <c r="DN194" s="228" t="e">
        <f t="shared" si="186"/>
        <v>#REF!</v>
      </c>
      <c r="DO194" s="228">
        <f t="shared" si="233"/>
        <v>181.81087083894022</v>
      </c>
      <c r="DP194" s="228" t="e">
        <f t="shared" si="234"/>
        <v>#REF!</v>
      </c>
      <c r="DQ194" s="228" t="e">
        <f t="shared" si="235"/>
        <v>#REF!</v>
      </c>
    </row>
    <row r="195" spans="1:121">
      <c r="A195" s="132">
        <f t="shared" si="265"/>
        <v>185</v>
      </c>
      <c r="B195" s="18">
        <f t="shared" si="236"/>
        <v>185</v>
      </c>
      <c r="C195" s="18">
        <f>IF(A195=0," ",VLOOKUP(B195,'tosafot '!$A$7:$B$234,2,0))</f>
        <v>5.2023000000000001</v>
      </c>
      <c r="D195" s="220">
        <f t="shared" si="237"/>
        <v>228</v>
      </c>
      <c r="E195" s="130">
        <f t="shared" si="238"/>
        <v>12.2026</v>
      </c>
      <c r="F195" s="126">
        <f t="shared" si="239"/>
        <v>9</v>
      </c>
      <c r="G195" s="18" t="str">
        <f t="shared" si="240"/>
        <v>הבריאות</v>
      </c>
      <c r="H195" s="189">
        <f t="shared" si="241"/>
        <v>107</v>
      </c>
      <c r="I195" s="18">
        <f t="shared" si="242"/>
        <v>1</v>
      </c>
      <c r="J195" s="18" t="str">
        <f t="shared" si="243"/>
        <v>מינהלי - עובדי מדינה</v>
      </c>
      <c r="K195" s="189">
        <f t="shared" si="244"/>
        <v>1</v>
      </c>
      <c r="L195" s="18">
        <f t="shared" si="245"/>
        <v>12</v>
      </c>
      <c r="M195" s="129" t="str">
        <f t="shared" si="246"/>
        <v>17+</v>
      </c>
      <c r="N195" s="189"/>
      <c r="O195" s="132">
        <f t="shared" si="247"/>
        <v>1012</v>
      </c>
      <c r="P195" s="127">
        <f t="shared" si="248"/>
        <v>37</v>
      </c>
      <c r="Q195" s="127">
        <f t="shared" si="249"/>
        <v>22.75</v>
      </c>
      <c r="R195" s="128">
        <f t="shared" si="250"/>
        <v>92</v>
      </c>
      <c r="S195" s="130">
        <f t="shared" si="251"/>
        <v>1.2540512286990533</v>
      </c>
      <c r="T195" s="135">
        <f t="shared" si="188"/>
        <v>0</v>
      </c>
      <c r="U195" s="127">
        <f t="shared" si="189"/>
        <v>0</v>
      </c>
      <c r="V195" s="217">
        <v>0</v>
      </c>
      <c r="W195" s="191">
        <v>0</v>
      </c>
      <c r="X195" s="133">
        <v>0</v>
      </c>
      <c r="Y195" s="131">
        <f t="shared" si="190"/>
        <v>2438.5</v>
      </c>
      <c r="Z195" s="131">
        <f t="shared" si="191"/>
        <v>619.50392118264142</v>
      </c>
      <c r="AA195" s="242">
        <f t="shared" si="192"/>
        <v>3058.0039211826415</v>
      </c>
      <c r="AB195" s="131">
        <f t="shared" si="193"/>
        <v>0</v>
      </c>
      <c r="AC195" s="131">
        <f t="shared" si="194"/>
        <v>139.48055684730568</v>
      </c>
      <c r="AD195" s="131">
        <f t="shared" si="195"/>
        <v>0</v>
      </c>
      <c r="AE195" s="131">
        <f t="shared" si="196"/>
        <v>0</v>
      </c>
      <c r="AF195" s="131">
        <f t="shared" si="197"/>
        <v>75.260000000000005</v>
      </c>
      <c r="AG195" s="131">
        <f t="shared" si="198"/>
        <v>0</v>
      </c>
      <c r="AH195" s="131">
        <f t="shared" si="199"/>
        <v>0</v>
      </c>
      <c r="AI195" s="131">
        <f t="shared" si="200"/>
        <v>0</v>
      </c>
      <c r="AJ195" s="131">
        <f t="shared" si="201"/>
        <v>0</v>
      </c>
      <c r="AK195" s="131"/>
      <c r="AL195" s="131">
        <f t="shared" si="202"/>
        <v>0</v>
      </c>
      <c r="AM195" s="131"/>
      <c r="AN195" s="243">
        <f t="shared" si="203"/>
        <v>0</v>
      </c>
      <c r="AO195" s="131">
        <f t="shared" si="204"/>
        <v>0</v>
      </c>
      <c r="AP195" s="131">
        <f t="shared" si="205"/>
        <v>0</v>
      </c>
      <c r="AQ195" s="131"/>
      <c r="AR195" s="131">
        <f t="shared" si="206"/>
        <v>0</v>
      </c>
      <c r="AS195" s="131">
        <f t="shared" si="252"/>
        <v>0</v>
      </c>
      <c r="AT195" s="131">
        <f t="shared" si="207"/>
        <v>0</v>
      </c>
      <c r="AU195" s="131">
        <f t="shared" si="208"/>
        <v>0</v>
      </c>
      <c r="AV195" s="131"/>
      <c r="AW195" s="131">
        <f t="shared" si="209"/>
        <v>353.75</v>
      </c>
      <c r="AX195" s="131">
        <f t="shared" si="263"/>
        <v>0</v>
      </c>
      <c r="AY195" s="131">
        <f t="shared" si="210"/>
        <v>0</v>
      </c>
      <c r="AZ195" s="131"/>
      <c r="BA195" s="131">
        <f t="shared" si="264"/>
        <v>0</v>
      </c>
      <c r="BB195" s="131"/>
      <c r="BC195" s="131"/>
      <c r="BD195" s="131">
        <f t="shared" si="211"/>
        <v>0</v>
      </c>
      <c r="BE195" s="131"/>
      <c r="BF195" s="131">
        <f t="shared" si="253"/>
        <v>0</v>
      </c>
      <c r="BG195" s="131">
        <f t="shared" si="254"/>
        <v>0</v>
      </c>
      <c r="BH195" s="131"/>
      <c r="BI195" s="131"/>
      <c r="BJ195" s="131"/>
      <c r="BK195" s="131">
        <f t="shared" si="255"/>
        <v>0</v>
      </c>
      <c r="BL195" s="131"/>
      <c r="BM195" s="131"/>
      <c r="BN195" s="131">
        <f t="shared" si="256"/>
        <v>0</v>
      </c>
      <c r="BO195" s="131"/>
      <c r="BP195" s="131">
        <f t="shared" si="257"/>
        <v>0</v>
      </c>
      <c r="BQ195" s="131"/>
      <c r="BR195" s="131"/>
      <c r="BS195" s="131"/>
      <c r="BT195" s="131"/>
      <c r="BU195" s="131"/>
      <c r="BV195" s="131">
        <f t="shared" si="258"/>
        <v>0</v>
      </c>
      <c r="BW195" s="131"/>
      <c r="BX195" s="131"/>
      <c r="BY195" s="131"/>
      <c r="BZ195" s="131">
        <f t="shared" si="259"/>
        <v>0</v>
      </c>
      <c r="CA195" s="131"/>
      <c r="CB195" s="136">
        <f t="shared" si="212"/>
        <v>165.08663357180151</v>
      </c>
      <c r="CC195" s="131">
        <f t="shared" si="213"/>
        <v>0</v>
      </c>
      <c r="CD195" s="136">
        <f t="shared" si="214"/>
        <v>0</v>
      </c>
      <c r="CE195" s="131">
        <f t="shared" si="262"/>
        <v>0</v>
      </c>
      <c r="CF195" s="136">
        <f t="shared" si="215"/>
        <v>0</v>
      </c>
      <c r="CG195" s="136"/>
      <c r="CH195" s="136">
        <f t="shared" si="261"/>
        <v>0</v>
      </c>
      <c r="CI195" s="131">
        <f t="shared" si="216"/>
        <v>0</v>
      </c>
      <c r="CJ195" s="131"/>
      <c r="CK195" s="136">
        <f t="shared" si="217"/>
        <v>0</v>
      </c>
      <c r="CL195" s="136">
        <f t="shared" si="218"/>
        <v>0</v>
      </c>
      <c r="CM195" s="131">
        <f t="shared" si="219"/>
        <v>0</v>
      </c>
      <c r="CN195" s="136">
        <f t="shared" si="220"/>
        <v>0</v>
      </c>
      <c r="CO195" s="136">
        <f t="shared" si="221"/>
        <v>0</v>
      </c>
      <c r="CP195" s="136">
        <f t="shared" si="222"/>
        <v>0</v>
      </c>
      <c r="CQ195" s="136"/>
      <c r="CR195" s="136">
        <f t="shared" si="223"/>
        <v>0</v>
      </c>
      <c r="CS195" s="136"/>
      <c r="CT195" s="136"/>
      <c r="CU195" s="136"/>
      <c r="CV195" s="136"/>
      <c r="CW195" s="136"/>
      <c r="CX195" s="136"/>
      <c r="CY195" s="136"/>
      <c r="CZ195" s="136">
        <f t="shared" si="224"/>
        <v>0</v>
      </c>
      <c r="DA195" s="136">
        <f t="shared" si="225"/>
        <v>0</v>
      </c>
      <c r="DB195" s="136">
        <f t="shared" si="226"/>
        <v>0</v>
      </c>
      <c r="DC195" s="131">
        <f t="shared" si="185"/>
        <v>0</v>
      </c>
      <c r="DD195" s="131">
        <f t="shared" si="227"/>
        <v>0</v>
      </c>
      <c r="DE195" s="131">
        <f t="shared" si="228"/>
        <v>0</v>
      </c>
      <c r="DF195" s="131">
        <f t="shared" si="229"/>
        <v>0</v>
      </c>
      <c r="DG195" s="131">
        <f t="shared" si="230"/>
        <v>0</v>
      </c>
      <c r="DH195" s="131"/>
      <c r="DI195" s="131"/>
      <c r="DJ195" s="131"/>
      <c r="DK195" s="137">
        <f t="shared" si="260"/>
        <v>3791.5811116017489</v>
      </c>
      <c r="DL195" s="227" t="e">
        <f t="shared" si="231"/>
        <v>#REF!</v>
      </c>
      <c r="DM195" s="227" t="e">
        <f t="shared" si="232"/>
        <v>#REF!</v>
      </c>
      <c r="DN195" s="228" t="e">
        <f t="shared" si="186"/>
        <v>#REF!</v>
      </c>
      <c r="DO195" s="228">
        <f t="shared" si="233"/>
        <v>181.81087083894022</v>
      </c>
      <c r="DP195" s="228" t="e">
        <f t="shared" si="234"/>
        <v>#REF!</v>
      </c>
      <c r="DQ195" s="228" t="e">
        <f t="shared" si="235"/>
        <v>#REF!</v>
      </c>
    </row>
    <row r="196" spans="1:121">
      <c r="A196" s="132">
        <f t="shared" si="265"/>
        <v>186</v>
      </c>
      <c r="B196" s="18">
        <f t="shared" si="236"/>
        <v>186</v>
      </c>
      <c r="C196" s="18">
        <f>IF(A196=0," ",VLOOKUP(B196,'tosafot '!$A$7:$B$234,2,0))</f>
        <v>6.2023000000000001</v>
      </c>
      <c r="D196" s="220">
        <f t="shared" si="237"/>
        <v>228</v>
      </c>
      <c r="E196" s="130">
        <f t="shared" si="238"/>
        <v>12.2026</v>
      </c>
      <c r="F196" s="126">
        <f t="shared" si="239"/>
        <v>9</v>
      </c>
      <c r="G196" s="18" t="str">
        <f t="shared" si="240"/>
        <v>הבריאות</v>
      </c>
      <c r="H196" s="189">
        <f t="shared" si="241"/>
        <v>107</v>
      </c>
      <c r="I196" s="18">
        <f t="shared" si="242"/>
        <v>1</v>
      </c>
      <c r="J196" s="18" t="str">
        <f t="shared" si="243"/>
        <v>מינהלי - עובדי מדינה</v>
      </c>
      <c r="K196" s="189">
        <f t="shared" si="244"/>
        <v>1</v>
      </c>
      <c r="L196" s="18">
        <f t="shared" si="245"/>
        <v>12</v>
      </c>
      <c r="M196" s="129" t="str">
        <f t="shared" si="246"/>
        <v>17+</v>
      </c>
      <c r="N196" s="189"/>
      <c r="O196" s="132">
        <f t="shared" si="247"/>
        <v>1012</v>
      </c>
      <c r="P196" s="127">
        <f t="shared" si="248"/>
        <v>37</v>
      </c>
      <c r="Q196" s="127">
        <f t="shared" si="249"/>
        <v>22.75</v>
      </c>
      <c r="R196" s="128">
        <f t="shared" si="250"/>
        <v>92</v>
      </c>
      <c r="S196" s="130">
        <f t="shared" si="251"/>
        <v>1.2540512286990533</v>
      </c>
      <c r="T196" s="135">
        <f t="shared" si="188"/>
        <v>0</v>
      </c>
      <c r="U196" s="127">
        <f t="shared" si="189"/>
        <v>0</v>
      </c>
      <c r="V196" s="217">
        <v>0</v>
      </c>
      <c r="W196" s="191">
        <v>0</v>
      </c>
      <c r="X196" s="133">
        <v>0</v>
      </c>
      <c r="Y196" s="131">
        <f t="shared" si="190"/>
        <v>2438.5</v>
      </c>
      <c r="Z196" s="131">
        <f t="shared" si="191"/>
        <v>619.50392118264142</v>
      </c>
      <c r="AA196" s="242">
        <f t="shared" si="192"/>
        <v>3058.0039211826415</v>
      </c>
      <c r="AB196" s="131">
        <f t="shared" si="193"/>
        <v>0</v>
      </c>
      <c r="AC196" s="131">
        <f t="shared" si="194"/>
        <v>139.48055684730568</v>
      </c>
      <c r="AD196" s="131">
        <f t="shared" si="195"/>
        <v>0</v>
      </c>
      <c r="AE196" s="131">
        <f t="shared" si="196"/>
        <v>0</v>
      </c>
      <c r="AF196" s="131">
        <f t="shared" si="197"/>
        <v>75.260000000000005</v>
      </c>
      <c r="AG196" s="131">
        <f t="shared" si="198"/>
        <v>0</v>
      </c>
      <c r="AH196" s="131">
        <f t="shared" si="199"/>
        <v>0</v>
      </c>
      <c r="AI196" s="131">
        <f t="shared" si="200"/>
        <v>0</v>
      </c>
      <c r="AJ196" s="131">
        <f t="shared" si="201"/>
        <v>0</v>
      </c>
      <c r="AK196" s="131"/>
      <c r="AL196" s="131">
        <f t="shared" si="202"/>
        <v>0</v>
      </c>
      <c r="AM196" s="131"/>
      <c r="AN196" s="243">
        <f t="shared" si="203"/>
        <v>0</v>
      </c>
      <c r="AO196" s="131">
        <f t="shared" si="204"/>
        <v>0</v>
      </c>
      <c r="AP196" s="131">
        <f t="shared" si="205"/>
        <v>0</v>
      </c>
      <c r="AQ196" s="131"/>
      <c r="AR196" s="131">
        <f t="shared" si="206"/>
        <v>0</v>
      </c>
      <c r="AS196" s="131">
        <f t="shared" si="252"/>
        <v>0</v>
      </c>
      <c r="AT196" s="131">
        <f t="shared" si="207"/>
        <v>0</v>
      </c>
      <c r="AU196" s="131">
        <f t="shared" si="208"/>
        <v>0</v>
      </c>
      <c r="AV196" s="131"/>
      <c r="AW196" s="131">
        <f t="shared" si="209"/>
        <v>353.75</v>
      </c>
      <c r="AX196" s="131">
        <f t="shared" si="263"/>
        <v>0</v>
      </c>
      <c r="AY196" s="131">
        <f t="shared" si="210"/>
        <v>0</v>
      </c>
      <c r="AZ196" s="131"/>
      <c r="BA196" s="131">
        <f t="shared" si="264"/>
        <v>0</v>
      </c>
      <c r="BB196" s="131"/>
      <c r="BC196" s="131"/>
      <c r="BD196" s="131">
        <f t="shared" si="211"/>
        <v>0</v>
      </c>
      <c r="BE196" s="131"/>
      <c r="BF196" s="131">
        <f t="shared" si="253"/>
        <v>0</v>
      </c>
      <c r="BG196" s="131">
        <f t="shared" si="254"/>
        <v>0</v>
      </c>
      <c r="BH196" s="131"/>
      <c r="BI196" s="131"/>
      <c r="BJ196" s="131"/>
      <c r="BK196" s="131">
        <f t="shared" si="255"/>
        <v>0</v>
      </c>
      <c r="BL196" s="131"/>
      <c r="BM196" s="131"/>
      <c r="BN196" s="131">
        <f t="shared" si="256"/>
        <v>0</v>
      </c>
      <c r="BO196" s="131"/>
      <c r="BP196" s="131">
        <f t="shared" si="257"/>
        <v>0</v>
      </c>
      <c r="BQ196" s="131"/>
      <c r="BR196" s="131"/>
      <c r="BS196" s="131"/>
      <c r="BT196" s="131"/>
      <c r="BU196" s="131"/>
      <c r="BV196" s="131">
        <f t="shared" si="258"/>
        <v>0</v>
      </c>
      <c r="BW196" s="131"/>
      <c r="BX196" s="131"/>
      <c r="BY196" s="131"/>
      <c r="BZ196" s="131">
        <f t="shared" si="259"/>
        <v>0</v>
      </c>
      <c r="CA196" s="131"/>
      <c r="CB196" s="136">
        <f t="shared" si="212"/>
        <v>165.08663357180151</v>
      </c>
      <c r="CC196" s="131">
        <f t="shared" si="213"/>
        <v>0</v>
      </c>
      <c r="CD196" s="136">
        <f t="shared" si="214"/>
        <v>0</v>
      </c>
      <c r="CE196" s="131">
        <f t="shared" si="262"/>
        <v>0</v>
      </c>
      <c r="CF196" s="136">
        <f t="shared" si="215"/>
        <v>0</v>
      </c>
      <c r="CG196" s="136"/>
      <c r="CH196" s="136">
        <f t="shared" si="261"/>
        <v>0</v>
      </c>
      <c r="CI196" s="131">
        <f t="shared" si="216"/>
        <v>0</v>
      </c>
      <c r="CJ196" s="131"/>
      <c r="CK196" s="136">
        <f t="shared" si="217"/>
        <v>0</v>
      </c>
      <c r="CL196" s="136">
        <f t="shared" si="218"/>
        <v>0</v>
      </c>
      <c r="CM196" s="131">
        <f t="shared" si="219"/>
        <v>0</v>
      </c>
      <c r="CN196" s="136">
        <f t="shared" si="220"/>
        <v>0</v>
      </c>
      <c r="CO196" s="136">
        <f t="shared" si="221"/>
        <v>0</v>
      </c>
      <c r="CP196" s="136">
        <f t="shared" si="222"/>
        <v>0</v>
      </c>
      <c r="CQ196" s="136"/>
      <c r="CR196" s="136">
        <f t="shared" si="223"/>
        <v>0</v>
      </c>
      <c r="CS196" s="136"/>
      <c r="CT196" s="136"/>
      <c r="CU196" s="136"/>
      <c r="CV196" s="136"/>
      <c r="CW196" s="136"/>
      <c r="CX196" s="136"/>
      <c r="CY196" s="136"/>
      <c r="CZ196" s="136">
        <f t="shared" si="224"/>
        <v>0</v>
      </c>
      <c r="DA196" s="136">
        <f t="shared" si="225"/>
        <v>0</v>
      </c>
      <c r="DB196" s="136">
        <f t="shared" si="226"/>
        <v>0</v>
      </c>
      <c r="DC196" s="131">
        <f t="shared" si="185"/>
        <v>0</v>
      </c>
      <c r="DD196" s="131">
        <f t="shared" si="227"/>
        <v>0</v>
      </c>
      <c r="DE196" s="131">
        <f t="shared" si="228"/>
        <v>0</v>
      </c>
      <c r="DF196" s="131">
        <f t="shared" si="229"/>
        <v>0</v>
      </c>
      <c r="DG196" s="131">
        <f t="shared" si="230"/>
        <v>0</v>
      </c>
      <c r="DH196" s="131"/>
      <c r="DI196" s="131"/>
      <c r="DJ196" s="131"/>
      <c r="DK196" s="137">
        <f t="shared" si="260"/>
        <v>3791.5811116017489</v>
      </c>
      <c r="DL196" s="227" t="e">
        <f t="shared" si="231"/>
        <v>#REF!</v>
      </c>
      <c r="DM196" s="227" t="e">
        <f t="shared" si="232"/>
        <v>#REF!</v>
      </c>
      <c r="DN196" s="228" t="e">
        <f t="shared" si="186"/>
        <v>#REF!</v>
      </c>
      <c r="DO196" s="228">
        <f t="shared" si="233"/>
        <v>181.81087083894022</v>
      </c>
      <c r="DP196" s="228" t="e">
        <f t="shared" si="234"/>
        <v>#REF!</v>
      </c>
      <c r="DQ196" s="228" t="e">
        <f t="shared" si="235"/>
        <v>#REF!</v>
      </c>
    </row>
    <row r="197" spans="1:121">
      <c r="A197" s="132">
        <f t="shared" si="265"/>
        <v>187</v>
      </c>
      <c r="B197" s="18">
        <f t="shared" si="236"/>
        <v>187</v>
      </c>
      <c r="C197" s="18">
        <f>IF(A197=0," ",VLOOKUP(B197,'tosafot '!$A$7:$B$234,2,0))</f>
        <v>7.2023000000000001</v>
      </c>
      <c r="D197" s="220">
        <f t="shared" si="237"/>
        <v>228</v>
      </c>
      <c r="E197" s="130">
        <f t="shared" si="238"/>
        <v>12.2026</v>
      </c>
      <c r="F197" s="126">
        <f t="shared" si="239"/>
        <v>9</v>
      </c>
      <c r="G197" s="18" t="str">
        <f t="shared" si="240"/>
        <v>הבריאות</v>
      </c>
      <c r="H197" s="189">
        <f t="shared" si="241"/>
        <v>107</v>
      </c>
      <c r="I197" s="18">
        <f t="shared" si="242"/>
        <v>1</v>
      </c>
      <c r="J197" s="18" t="str">
        <f t="shared" si="243"/>
        <v>מינהלי - עובדי מדינה</v>
      </c>
      <c r="K197" s="189">
        <f t="shared" si="244"/>
        <v>1</v>
      </c>
      <c r="L197" s="18">
        <f t="shared" si="245"/>
        <v>12</v>
      </c>
      <c r="M197" s="129" t="str">
        <f t="shared" si="246"/>
        <v>17+</v>
      </c>
      <c r="N197" s="189"/>
      <c r="O197" s="132">
        <f t="shared" si="247"/>
        <v>1012</v>
      </c>
      <c r="P197" s="127">
        <f t="shared" si="248"/>
        <v>37</v>
      </c>
      <c r="Q197" s="127">
        <f t="shared" si="249"/>
        <v>22.75</v>
      </c>
      <c r="R197" s="128">
        <f t="shared" si="250"/>
        <v>92</v>
      </c>
      <c r="S197" s="130">
        <f t="shared" si="251"/>
        <v>1.2540512286990533</v>
      </c>
      <c r="T197" s="135">
        <f t="shared" si="188"/>
        <v>0</v>
      </c>
      <c r="U197" s="127">
        <f t="shared" si="189"/>
        <v>0</v>
      </c>
      <c r="V197" s="217">
        <v>0</v>
      </c>
      <c r="W197" s="191">
        <v>0</v>
      </c>
      <c r="X197" s="133">
        <v>0</v>
      </c>
      <c r="Y197" s="131">
        <f t="shared" si="190"/>
        <v>2438.5</v>
      </c>
      <c r="Z197" s="131">
        <f t="shared" si="191"/>
        <v>619.50392118264142</v>
      </c>
      <c r="AA197" s="242">
        <f t="shared" si="192"/>
        <v>3058.0039211826415</v>
      </c>
      <c r="AB197" s="131">
        <f t="shared" si="193"/>
        <v>0</v>
      </c>
      <c r="AC197" s="131">
        <f t="shared" si="194"/>
        <v>139.48055684730568</v>
      </c>
      <c r="AD197" s="131">
        <f t="shared" si="195"/>
        <v>0</v>
      </c>
      <c r="AE197" s="131">
        <f t="shared" si="196"/>
        <v>0</v>
      </c>
      <c r="AF197" s="131">
        <f t="shared" si="197"/>
        <v>75.260000000000005</v>
      </c>
      <c r="AG197" s="131">
        <f t="shared" si="198"/>
        <v>0</v>
      </c>
      <c r="AH197" s="131">
        <f t="shared" si="199"/>
        <v>0</v>
      </c>
      <c r="AI197" s="131">
        <f t="shared" si="200"/>
        <v>0</v>
      </c>
      <c r="AJ197" s="131">
        <f t="shared" si="201"/>
        <v>0</v>
      </c>
      <c r="AK197" s="131"/>
      <c r="AL197" s="131">
        <f t="shared" si="202"/>
        <v>0</v>
      </c>
      <c r="AM197" s="131"/>
      <c r="AN197" s="243">
        <f t="shared" si="203"/>
        <v>0</v>
      </c>
      <c r="AO197" s="131">
        <f t="shared" si="204"/>
        <v>0</v>
      </c>
      <c r="AP197" s="131">
        <f t="shared" si="205"/>
        <v>0</v>
      </c>
      <c r="AQ197" s="131"/>
      <c r="AR197" s="131">
        <f t="shared" si="206"/>
        <v>0</v>
      </c>
      <c r="AS197" s="131">
        <f t="shared" si="252"/>
        <v>0</v>
      </c>
      <c r="AT197" s="131">
        <f t="shared" si="207"/>
        <v>0</v>
      </c>
      <c r="AU197" s="131">
        <f t="shared" si="208"/>
        <v>0</v>
      </c>
      <c r="AV197" s="131"/>
      <c r="AW197" s="131">
        <f t="shared" si="209"/>
        <v>353.75</v>
      </c>
      <c r="AX197" s="131">
        <f t="shared" si="263"/>
        <v>0</v>
      </c>
      <c r="AY197" s="131">
        <f t="shared" si="210"/>
        <v>0</v>
      </c>
      <c r="AZ197" s="131"/>
      <c r="BA197" s="131">
        <f t="shared" si="264"/>
        <v>0</v>
      </c>
      <c r="BB197" s="131"/>
      <c r="BC197" s="131"/>
      <c r="BD197" s="131">
        <f t="shared" si="211"/>
        <v>0</v>
      </c>
      <c r="BE197" s="131"/>
      <c r="BF197" s="131">
        <f t="shared" si="253"/>
        <v>0</v>
      </c>
      <c r="BG197" s="131">
        <f t="shared" si="254"/>
        <v>0</v>
      </c>
      <c r="BH197" s="131"/>
      <c r="BI197" s="131"/>
      <c r="BJ197" s="131"/>
      <c r="BK197" s="131">
        <f t="shared" si="255"/>
        <v>0</v>
      </c>
      <c r="BL197" s="131"/>
      <c r="BM197" s="131"/>
      <c r="BN197" s="131">
        <f t="shared" si="256"/>
        <v>0</v>
      </c>
      <c r="BO197" s="131"/>
      <c r="BP197" s="131">
        <f t="shared" si="257"/>
        <v>0</v>
      </c>
      <c r="BQ197" s="131"/>
      <c r="BR197" s="131"/>
      <c r="BS197" s="131"/>
      <c r="BT197" s="131"/>
      <c r="BU197" s="131"/>
      <c r="BV197" s="131">
        <f t="shared" si="258"/>
        <v>0</v>
      </c>
      <c r="BW197" s="131"/>
      <c r="BX197" s="131"/>
      <c r="BY197" s="131"/>
      <c r="BZ197" s="131">
        <f t="shared" si="259"/>
        <v>0</v>
      </c>
      <c r="CA197" s="131"/>
      <c r="CB197" s="136">
        <f t="shared" si="212"/>
        <v>165.08663357180151</v>
      </c>
      <c r="CC197" s="131">
        <f t="shared" si="213"/>
        <v>0</v>
      </c>
      <c r="CD197" s="136">
        <f t="shared" si="214"/>
        <v>0</v>
      </c>
      <c r="CE197" s="131">
        <f t="shared" si="262"/>
        <v>0</v>
      </c>
      <c r="CF197" s="136">
        <f t="shared" si="215"/>
        <v>0</v>
      </c>
      <c r="CG197" s="136"/>
      <c r="CH197" s="136">
        <f t="shared" si="261"/>
        <v>0</v>
      </c>
      <c r="CI197" s="131">
        <f t="shared" si="216"/>
        <v>0</v>
      </c>
      <c r="CJ197" s="131"/>
      <c r="CK197" s="136">
        <f t="shared" si="217"/>
        <v>0</v>
      </c>
      <c r="CL197" s="136">
        <f t="shared" si="218"/>
        <v>0</v>
      </c>
      <c r="CM197" s="131">
        <f t="shared" si="219"/>
        <v>0</v>
      </c>
      <c r="CN197" s="136">
        <f t="shared" si="220"/>
        <v>0</v>
      </c>
      <c r="CO197" s="136">
        <f t="shared" si="221"/>
        <v>0</v>
      </c>
      <c r="CP197" s="136">
        <f t="shared" si="222"/>
        <v>0</v>
      </c>
      <c r="CQ197" s="136"/>
      <c r="CR197" s="136">
        <f t="shared" si="223"/>
        <v>0</v>
      </c>
      <c r="CS197" s="136"/>
      <c r="CT197" s="136"/>
      <c r="CU197" s="136"/>
      <c r="CV197" s="136"/>
      <c r="CW197" s="136"/>
      <c r="CX197" s="136"/>
      <c r="CY197" s="136"/>
      <c r="CZ197" s="136">
        <f t="shared" si="224"/>
        <v>0</v>
      </c>
      <c r="DA197" s="136">
        <f t="shared" si="225"/>
        <v>0</v>
      </c>
      <c r="DB197" s="136">
        <f t="shared" si="226"/>
        <v>0</v>
      </c>
      <c r="DC197" s="131">
        <f t="shared" si="185"/>
        <v>0</v>
      </c>
      <c r="DD197" s="131">
        <f t="shared" si="227"/>
        <v>0</v>
      </c>
      <c r="DE197" s="131">
        <f t="shared" si="228"/>
        <v>0</v>
      </c>
      <c r="DF197" s="131">
        <f t="shared" si="229"/>
        <v>0</v>
      </c>
      <c r="DG197" s="131">
        <f t="shared" si="230"/>
        <v>0</v>
      </c>
      <c r="DH197" s="131"/>
      <c r="DI197" s="131"/>
      <c r="DJ197" s="131"/>
      <c r="DK197" s="137">
        <f t="shared" si="260"/>
        <v>3791.5811116017489</v>
      </c>
      <c r="DL197" s="227" t="e">
        <f t="shared" si="231"/>
        <v>#REF!</v>
      </c>
      <c r="DM197" s="227" t="e">
        <f t="shared" si="232"/>
        <v>#REF!</v>
      </c>
      <c r="DN197" s="228" t="e">
        <f t="shared" si="186"/>
        <v>#REF!</v>
      </c>
      <c r="DO197" s="228">
        <f t="shared" si="233"/>
        <v>181.81087083894022</v>
      </c>
      <c r="DP197" s="228" t="e">
        <f t="shared" si="234"/>
        <v>#REF!</v>
      </c>
      <c r="DQ197" s="228" t="e">
        <f t="shared" si="235"/>
        <v>#REF!</v>
      </c>
    </row>
    <row r="198" spans="1:121">
      <c r="A198" s="132">
        <f t="shared" si="265"/>
        <v>188</v>
      </c>
      <c r="B198" s="18">
        <f t="shared" si="236"/>
        <v>188</v>
      </c>
      <c r="C198" s="18">
        <f>IF(A198=0," ",VLOOKUP(B198,'tosafot '!$A$7:$B$234,2,0))</f>
        <v>8.2022999999999993</v>
      </c>
      <c r="D198" s="220">
        <f t="shared" si="237"/>
        <v>228</v>
      </c>
      <c r="E198" s="130">
        <f t="shared" si="238"/>
        <v>12.2026</v>
      </c>
      <c r="F198" s="126">
        <f t="shared" si="239"/>
        <v>9</v>
      </c>
      <c r="G198" s="18" t="str">
        <f t="shared" si="240"/>
        <v>הבריאות</v>
      </c>
      <c r="H198" s="189">
        <f t="shared" si="241"/>
        <v>107</v>
      </c>
      <c r="I198" s="18">
        <f t="shared" si="242"/>
        <v>1</v>
      </c>
      <c r="J198" s="18" t="str">
        <f t="shared" si="243"/>
        <v>מינהלי - עובדי מדינה</v>
      </c>
      <c r="K198" s="189">
        <f t="shared" si="244"/>
        <v>1</v>
      </c>
      <c r="L198" s="18">
        <f t="shared" si="245"/>
        <v>12</v>
      </c>
      <c r="M198" s="129" t="str">
        <f t="shared" si="246"/>
        <v>17+</v>
      </c>
      <c r="N198" s="189"/>
      <c r="O198" s="132">
        <f t="shared" si="247"/>
        <v>1012</v>
      </c>
      <c r="P198" s="127">
        <f t="shared" si="248"/>
        <v>37</v>
      </c>
      <c r="Q198" s="127">
        <f t="shared" si="249"/>
        <v>22.75</v>
      </c>
      <c r="R198" s="128">
        <f t="shared" si="250"/>
        <v>92</v>
      </c>
      <c r="S198" s="130">
        <f t="shared" si="251"/>
        <v>1.2540512286990533</v>
      </c>
      <c r="T198" s="135">
        <f t="shared" si="188"/>
        <v>0</v>
      </c>
      <c r="U198" s="127">
        <f t="shared" si="189"/>
        <v>0</v>
      </c>
      <c r="V198" s="217">
        <v>0</v>
      </c>
      <c r="W198" s="191">
        <v>0</v>
      </c>
      <c r="X198" s="133">
        <v>0</v>
      </c>
      <c r="Y198" s="131">
        <f t="shared" si="190"/>
        <v>2438.5</v>
      </c>
      <c r="Z198" s="131">
        <f t="shared" si="191"/>
        <v>619.50392118264142</v>
      </c>
      <c r="AA198" s="242">
        <f t="shared" si="192"/>
        <v>3058.0039211826415</v>
      </c>
      <c r="AB198" s="131">
        <f t="shared" si="193"/>
        <v>0</v>
      </c>
      <c r="AC198" s="131">
        <f t="shared" si="194"/>
        <v>139.48055684730568</v>
      </c>
      <c r="AD198" s="131">
        <f t="shared" si="195"/>
        <v>0</v>
      </c>
      <c r="AE198" s="131">
        <f t="shared" si="196"/>
        <v>0</v>
      </c>
      <c r="AF198" s="131">
        <f t="shared" si="197"/>
        <v>75.260000000000005</v>
      </c>
      <c r="AG198" s="131">
        <f t="shared" si="198"/>
        <v>0</v>
      </c>
      <c r="AH198" s="131">
        <f t="shared" si="199"/>
        <v>0</v>
      </c>
      <c r="AI198" s="131">
        <f t="shared" si="200"/>
        <v>0</v>
      </c>
      <c r="AJ198" s="131">
        <f t="shared" si="201"/>
        <v>0</v>
      </c>
      <c r="AK198" s="131"/>
      <c r="AL198" s="131">
        <f t="shared" si="202"/>
        <v>0</v>
      </c>
      <c r="AM198" s="131"/>
      <c r="AN198" s="243">
        <f t="shared" si="203"/>
        <v>0</v>
      </c>
      <c r="AO198" s="131">
        <f t="shared" si="204"/>
        <v>0</v>
      </c>
      <c r="AP198" s="131">
        <f t="shared" si="205"/>
        <v>0</v>
      </c>
      <c r="AQ198" s="131"/>
      <c r="AR198" s="131">
        <f t="shared" si="206"/>
        <v>0</v>
      </c>
      <c r="AS198" s="131">
        <f t="shared" si="252"/>
        <v>0</v>
      </c>
      <c r="AT198" s="131">
        <f t="shared" si="207"/>
        <v>0</v>
      </c>
      <c r="AU198" s="131">
        <f t="shared" si="208"/>
        <v>0</v>
      </c>
      <c r="AV198" s="131"/>
      <c r="AW198" s="131">
        <f t="shared" si="209"/>
        <v>353.75</v>
      </c>
      <c r="AX198" s="131">
        <f t="shared" si="263"/>
        <v>0</v>
      </c>
      <c r="AY198" s="131">
        <f t="shared" si="210"/>
        <v>0</v>
      </c>
      <c r="AZ198" s="131"/>
      <c r="BA198" s="131">
        <f t="shared" si="264"/>
        <v>0</v>
      </c>
      <c r="BB198" s="131"/>
      <c r="BC198" s="131"/>
      <c r="BD198" s="131">
        <f t="shared" si="211"/>
        <v>0</v>
      </c>
      <c r="BE198" s="131"/>
      <c r="BF198" s="131">
        <f t="shared" si="253"/>
        <v>0</v>
      </c>
      <c r="BG198" s="131">
        <f t="shared" si="254"/>
        <v>0</v>
      </c>
      <c r="BH198" s="131"/>
      <c r="BI198" s="131"/>
      <c r="BJ198" s="131"/>
      <c r="BK198" s="131">
        <f t="shared" si="255"/>
        <v>0</v>
      </c>
      <c r="BL198" s="131"/>
      <c r="BM198" s="131"/>
      <c r="BN198" s="131">
        <f t="shared" si="256"/>
        <v>0</v>
      </c>
      <c r="BO198" s="131"/>
      <c r="BP198" s="131">
        <f t="shared" si="257"/>
        <v>0</v>
      </c>
      <c r="BQ198" s="131"/>
      <c r="BR198" s="131"/>
      <c r="BS198" s="131"/>
      <c r="BT198" s="131"/>
      <c r="BU198" s="131"/>
      <c r="BV198" s="131">
        <f t="shared" si="258"/>
        <v>0</v>
      </c>
      <c r="BW198" s="131"/>
      <c r="BX198" s="131"/>
      <c r="BY198" s="131"/>
      <c r="BZ198" s="131">
        <f t="shared" si="259"/>
        <v>0</v>
      </c>
      <c r="CA198" s="131"/>
      <c r="CB198" s="136">
        <f t="shared" si="212"/>
        <v>165.08663357180151</v>
      </c>
      <c r="CC198" s="131">
        <f t="shared" si="213"/>
        <v>0</v>
      </c>
      <c r="CD198" s="136">
        <f t="shared" si="214"/>
        <v>0</v>
      </c>
      <c r="CE198" s="131">
        <f t="shared" si="262"/>
        <v>0</v>
      </c>
      <c r="CF198" s="136">
        <f t="shared" si="215"/>
        <v>0</v>
      </c>
      <c r="CG198" s="136"/>
      <c r="CH198" s="136">
        <f t="shared" si="261"/>
        <v>0</v>
      </c>
      <c r="CI198" s="131">
        <f t="shared" si="216"/>
        <v>0</v>
      </c>
      <c r="CJ198" s="131"/>
      <c r="CK198" s="136">
        <f t="shared" si="217"/>
        <v>0</v>
      </c>
      <c r="CL198" s="136">
        <f t="shared" si="218"/>
        <v>0</v>
      </c>
      <c r="CM198" s="131">
        <f t="shared" si="219"/>
        <v>0</v>
      </c>
      <c r="CN198" s="136">
        <f t="shared" si="220"/>
        <v>0</v>
      </c>
      <c r="CO198" s="136">
        <f t="shared" si="221"/>
        <v>0</v>
      </c>
      <c r="CP198" s="136">
        <f t="shared" si="222"/>
        <v>0</v>
      </c>
      <c r="CQ198" s="136"/>
      <c r="CR198" s="136">
        <f t="shared" si="223"/>
        <v>0</v>
      </c>
      <c r="CS198" s="136"/>
      <c r="CT198" s="136"/>
      <c r="CU198" s="136"/>
      <c r="CV198" s="136"/>
      <c r="CW198" s="136"/>
      <c r="CX198" s="136"/>
      <c r="CY198" s="136"/>
      <c r="CZ198" s="136">
        <f t="shared" si="224"/>
        <v>0</v>
      </c>
      <c r="DA198" s="136">
        <f t="shared" si="225"/>
        <v>0</v>
      </c>
      <c r="DB198" s="136">
        <f t="shared" si="226"/>
        <v>0</v>
      </c>
      <c r="DC198" s="131">
        <f t="shared" si="185"/>
        <v>0</v>
      </c>
      <c r="DD198" s="131">
        <f t="shared" si="227"/>
        <v>0</v>
      </c>
      <c r="DE198" s="131">
        <f t="shared" si="228"/>
        <v>0</v>
      </c>
      <c r="DF198" s="131">
        <f t="shared" si="229"/>
        <v>0</v>
      </c>
      <c r="DG198" s="131">
        <f t="shared" si="230"/>
        <v>0</v>
      </c>
      <c r="DH198" s="131"/>
      <c r="DI198" s="131"/>
      <c r="DJ198" s="131"/>
      <c r="DK198" s="137">
        <f t="shared" si="260"/>
        <v>3791.5811116017489</v>
      </c>
      <c r="DL198" s="227" t="e">
        <f t="shared" si="231"/>
        <v>#REF!</v>
      </c>
      <c r="DM198" s="227" t="e">
        <f t="shared" si="232"/>
        <v>#REF!</v>
      </c>
      <c r="DN198" s="228" t="e">
        <f t="shared" si="186"/>
        <v>#REF!</v>
      </c>
      <c r="DO198" s="228">
        <f t="shared" si="233"/>
        <v>181.81087083894022</v>
      </c>
      <c r="DP198" s="228" t="e">
        <f t="shared" si="234"/>
        <v>#REF!</v>
      </c>
      <c r="DQ198" s="228" t="e">
        <f t="shared" si="235"/>
        <v>#REF!</v>
      </c>
    </row>
    <row r="199" spans="1:121">
      <c r="A199" s="132">
        <f t="shared" si="265"/>
        <v>189</v>
      </c>
      <c r="B199" s="18">
        <f t="shared" si="236"/>
        <v>189</v>
      </c>
      <c r="C199" s="18">
        <f>IF(A199=0," ",VLOOKUP(B199,'tosafot '!$A$7:$B$234,2,0))</f>
        <v>9.2022999999999993</v>
      </c>
      <c r="D199" s="220">
        <f t="shared" si="237"/>
        <v>228</v>
      </c>
      <c r="E199" s="130">
        <f t="shared" si="238"/>
        <v>12.2026</v>
      </c>
      <c r="F199" s="126">
        <f t="shared" si="239"/>
        <v>9</v>
      </c>
      <c r="G199" s="18" t="str">
        <f t="shared" si="240"/>
        <v>הבריאות</v>
      </c>
      <c r="H199" s="189">
        <f t="shared" si="241"/>
        <v>107</v>
      </c>
      <c r="I199" s="18">
        <f t="shared" si="242"/>
        <v>1</v>
      </c>
      <c r="J199" s="18" t="str">
        <f t="shared" si="243"/>
        <v>מינהלי - עובדי מדינה</v>
      </c>
      <c r="K199" s="189">
        <f t="shared" si="244"/>
        <v>1</v>
      </c>
      <c r="L199" s="18">
        <f t="shared" si="245"/>
        <v>12</v>
      </c>
      <c r="M199" s="129" t="str">
        <f t="shared" si="246"/>
        <v>17+</v>
      </c>
      <c r="N199" s="189"/>
      <c r="O199" s="132">
        <f t="shared" si="247"/>
        <v>1012</v>
      </c>
      <c r="P199" s="127">
        <f t="shared" si="248"/>
        <v>37</v>
      </c>
      <c r="Q199" s="127">
        <f t="shared" si="249"/>
        <v>22.75</v>
      </c>
      <c r="R199" s="128">
        <f t="shared" si="250"/>
        <v>92</v>
      </c>
      <c r="S199" s="130">
        <f t="shared" si="251"/>
        <v>1.2540512286990533</v>
      </c>
      <c r="T199" s="135">
        <f t="shared" si="188"/>
        <v>0</v>
      </c>
      <c r="U199" s="127">
        <f t="shared" si="189"/>
        <v>0</v>
      </c>
      <c r="V199" s="217">
        <v>0</v>
      </c>
      <c r="W199" s="191">
        <v>0</v>
      </c>
      <c r="X199" s="133">
        <v>0</v>
      </c>
      <c r="Y199" s="131">
        <f t="shared" si="190"/>
        <v>2438.5</v>
      </c>
      <c r="Z199" s="131">
        <f t="shared" si="191"/>
        <v>619.50392118264142</v>
      </c>
      <c r="AA199" s="242">
        <f t="shared" si="192"/>
        <v>3058.0039211826415</v>
      </c>
      <c r="AB199" s="131">
        <f t="shared" si="193"/>
        <v>0</v>
      </c>
      <c r="AC199" s="131">
        <f t="shared" si="194"/>
        <v>139.48055684730568</v>
      </c>
      <c r="AD199" s="131">
        <f t="shared" si="195"/>
        <v>0</v>
      </c>
      <c r="AE199" s="131">
        <f t="shared" si="196"/>
        <v>0</v>
      </c>
      <c r="AF199" s="131">
        <f t="shared" si="197"/>
        <v>75.260000000000005</v>
      </c>
      <c r="AG199" s="131">
        <f t="shared" si="198"/>
        <v>0</v>
      </c>
      <c r="AH199" s="131">
        <f t="shared" si="199"/>
        <v>0</v>
      </c>
      <c r="AI199" s="131">
        <f t="shared" si="200"/>
        <v>0</v>
      </c>
      <c r="AJ199" s="131">
        <f t="shared" si="201"/>
        <v>0</v>
      </c>
      <c r="AK199" s="131"/>
      <c r="AL199" s="131">
        <f t="shared" si="202"/>
        <v>0</v>
      </c>
      <c r="AM199" s="131"/>
      <c r="AN199" s="243">
        <f t="shared" si="203"/>
        <v>0</v>
      </c>
      <c r="AO199" s="131">
        <f t="shared" si="204"/>
        <v>0</v>
      </c>
      <c r="AP199" s="131">
        <f t="shared" si="205"/>
        <v>0</v>
      </c>
      <c r="AQ199" s="131"/>
      <c r="AR199" s="131">
        <f t="shared" si="206"/>
        <v>0</v>
      </c>
      <c r="AS199" s="131">
        <f t="shared" si="252"/>
        <v>0</v>
      </c>
      <c r="AT199" s="131">
        <f t="shared" si="207"/>
        <v>0</v>
      </c>
      <c r="AU199" s="131">
        <f t="shared" si="208"/>
        <v>0</v>
      </c>
      <c r="AV199" s="131"/>
      <c r="AW199" s="131">
        <f t="shared" si="209"/>
        <v>353.75</v>
      </c>
      <c r="AX199" s="131">
        <f t="shared" si="263"/>
        <v>0</v>
      </c>
      <c r="AY199" s="131">
        <f t="shared" si="210"/>
        <v>0</v>
      </c>
      <c r="AZ199" s="131"/>
      <c r="BA199" s="131">
        <f t="shared" si="264"/>
        <v>0</v>
      </c>
      <c r="BB199" s="131"/>
      <c r="BC199" s="131"/>
      <c r="BD199" s="131">
        <f t="shared" si="211"/>
        <v>0</v>
      </c>
      <c r="BE199" s="131"/>
      <c r="BF199" s="131">
        <f t="shared" si="253"/>
        <v>0</v>
      </c>
      <c r="BG199" s="131">
        <f t="shared" si="254"/>
        <v>0</v>
      </c>
      <c r="BH199" s="131"/>
      <c r="BI199" s="131"/>
      <c r="BJ199" s="131"/>
      <c r="BK199" s="131">
        <f t="shared" si="255"/>
        <v>0</v>
      </c>
      <c r="BL199" s="131"/>
      <c r="BM199" s="131"/>
      <c r="BN199" s="131">
        <f t="shared" si="256"/>
        <v>0</v>
      </c>
      <c r="BO199" s="131"/>
      <c r="BP199" s="131">
        <f t="shared" si="257"/>
        <v>0</v>
      </c>
      <c r="BQ199" s="131"/>
      <c r="BR199" s="131"/>
      <c r="BS199" s="131"/>
      <c r="BT199" s="131"/>
      <c r="BU199" s="131"/>
      <c r="BV199" s="131">
        <f t="shared" si="258"/>
        <v>0</v>
      </c>
      <c r="BW199" s="131"/>
      <c r="BX199" s="131"/>
      <c r="BY199" s="131"/>
      <c r="BZ199" s="131">
        <f t="shared" si="259"/>
        <v>0</v>
      </c>
      <c r="CA199" s="131"/>
      <c r="CB199" s="136">
        <f t="shared" si="212"/>
        <v>165.08663357180151</v>
      </c>
      <c r="CC199" s="131">
        <f t="shared" si="213"/>
        <v>0</v>
      </c>
      <c r="CD199" s="136">
        <f t="shared" si="214"/>
        <v>0</v>
      </c>
      <c r="CE199" s="131">
        <f t="shared" si="262"/>
        <v>0</v>
      </c>
      <c r="CF199" s="136">
        <f t="shared" si="215"/>
        <v>0</v>
      </c>
      <c r="CG199" s="136"/>
      <c r="CH199" s="136">
        <f t="shared" si="261"/>
        <v>0</v>
      </c>
      <c r="CI199" s="131">
        <f t="shared" si="216"/>
        <v>0</v>
      </c>
      <c r="CJ199" s="131"/>
      <c r="CK199" s="136">
        <f t="shared" si="217"/>
        <v>0</v>
      </c>
      <c r="CL199" s="136">
        <f t="shared" si="218"/>
        <v>0</v>
      </c>
      <c r="CM199" s="131">
        <f t="shared" si="219"/>
        <v>0</v>
      </c>
      <c r="CN199" s="136">
        <f t="shared" si="220"/>
        <v>0</v>
      </c>
      <c r="CO199" s="136">
        <f t="shared" si="221"/>
        <v>0</v>
      </c>
      <c r="CP199" s="136">
        <f t="shared" si="222"/>
        <v>0</v>
      </c>
      <c r="CQ199" s="136"/>
      <c r="CR199" s="136">
        <f t="shared" si="223"/>
        <v>0</v>
      </c>
      <c r="CS199" s="136"/>
      <c r="CT199" s="136"/>
      <c r="CU199" s="136"/>
      <c r="CV199" s="136"/>
      <c r="CW199" s="136"/>
      <c r="CX199" s="136"/>
      <c r="CY199" s="136"/>
      <c r="CZ199" s="136">
        <f t="shared" si="224"/>
        <v>0</v>
      </c>
      <c r="DA199" s="136">
        <f t="shared" si="225"/>
        <v>0</v>
      </c>
      <c r="DB199" s="136">
        <f t="shared" si="226"/>
        <v>0</v>
      </c>
      <c r="DC199" s="131">
        <f t="shared" si="185"/>
        <v>0</v>
      </c>
      <c r="DD199" s="131">
        <f t="shared" si="227"/>
        <v>0</v>
      </c>
      <c r="DE199" s="131">
        <f t="shared" si="228"/>
        <v>0</v>
      </c>
      <c r="DF199" s="131">
        <f t="shared" si="229"/>
        <v>0</v>
      </c>
      <c r="DG199" s="131">
        <f t="shared" si="230"/>
        <v>0</v>
      </c>
      <c r="DH199" s="131"/>
      <c r="DI199" s="131"/>
      <c r="DJ199" s="131"/>
      <c r="DK199" s="137">
        <f t="shared" si="260"/>
        <v>3791.5811116017489</v>
      </c>
      <c r="DL199" s="227" t="e">
        <f t="shared" si="231"/>
        <v>#REF!</v>
      </c>
      <c r="DM199" s="227" t="e">
        <f t="shared" si="232"/>
        <v>#REF!</v>
      </c>
      <c r="DN199" s="228" t="e">
        <f t="shared" si="186"/>
        <v>#REF!</v>
      </c>
      <c r="DO199" s="228">
        <f t="shared" si="233"/>
        <v>181.81087083894022</v>
      </c>
      <c r="DP199" s="228" t="e">
        <f t="shared" si="234"/>
        <v>#REF!</v>
      </c>
      <c r="DQ199" s="228" t="e">
        <f t="shared" si="235"/>
        <v>#REF!</v>
      </c>
    </row>
    <row r="200" spans="1:121">
      <c r="A200" s="132">
        <f t="shared" si="265"/>
        <v>190</v>
      </c>
      <c r="B200" s="18">
        <f t="shared" si="236"/>
        <v>190</v>
      </c>
      <c r="C200" s="18">
        <f>IF(A200=0," ",VLOOKUP(B200,'tosafot '!$A$7:$B$234,2,0))</f>
        <v>10.202299999999999</v>
      </c>
      <c r="D200" s="220">
        <f t="shared" si="237"/>
        <v>228</v>
      </c>
      <c r="E200" s="130">
        <f t="shared" si="238"/>
        <v>12.2026</v>
      </c>
      <c r="F200" s="126">
        <f t="shared" si="239"/>
        <v>9</v>
      </c>
      <c r="G200" s="18" t="str">
        <f t="shared" si="240"/>
        <v>הבריאות</v>
      </c>
      <c r="H200" s="189">
        <f t="shared" si="241"/>
        <v>107</v>
      </c>
      <c r="I200" s="18">
        <f t="shared" si="242"/>
        <v>1</v>
      </c>
      <c r="J200" s="18" t="str">
        <f t="shared" si="243"/>
        <v>מינהלי - עובדי מדינה</v>
      </c>
      <c r="K200" s="189">
        <f t="shared" si="244"/>
        <v>1</v>
      </c>
      <c r="L200" s="18">
        <f t="shared" si="245"/>
        <v>12</v>
      </c>
      <c r="M200" s="129" t="str">
        <f t="shared" si="246"/>
        <v>17+</v>
      </c>
      <c r="N200" s="189"/>
      <c r="O200" s="132">
        <f t="shared" si="247"/>
        <v>1012</v>
      </c>
      <c r="P200" s="127">
        <f t="shared" si="248"/>
        <v>37</v>
      </c>
      <c r="Q200" s="127">
        <f t="shared" si="249"/>
        <v>22.75</v>
      </c>
      <c r="R200" s="128">
        <f t="shared" si="250"/>
        <v>92</v>
      </c>
      <c r="S200" s="130">
        <f t="shared" si="251"/>
        <v>1.2540512286990533</v>
      </c>
      <c r="T200" s="135">
        <f t="shared" si="188"/>
        <v>0</v>
      </c>
      <c r="U200" s="127">
        <f t="shared" si="189"/>
        <v>0</v>
      </c>
      <c r="V200" s="217">
        <v>0</v>
      </c>
      <c r="W200" s="191">
        <v>0</v>
      </c>
      <c r="X200" s="133">
        <v>0</v>
      </c>
      <c r="Y200" s="131">
        <f t="shared" si="190"/>
        <v>2438.5</v>
      </c>
      <c r="Z200" s="131">
        <f t="shared" si="191"/>
        <v>619.50392118264142</v>
      </c>
      <c r="AA200" s="242">
        <f t="shared" si="192"/>
        <v>3058.0039211826415</v>
      </c>
      <c r="AB200" s="131">
        <f t="shared" si="193"/>
        <v>0</v>
      </c>
      <c r="AC200" s="131">
        <f t="shared" si="194"/>
        <v>139.48055684730568</v>
      </c>
      <c r="AD200" s="131">
        <f t="shared" si="195"/>
        <v>0</v>
      </c>
      <c r="AE200" s="131">
        <f t="shared" si="196"/>
        <v>0</v>
      </c>
      <c r="AF200" s="131">
        <f t="shared" si="197"/>
        <v>75.260000000000005</v>
      </c>
      <c r="AG200" s="131">
        <f t="shared" si="198"/>
        <v>0</v>
      </c>
      <c r="AH200" s="131">
        <f t="shared" si="199"/>
        <v>0</v>
      </c>
      <c r="AI200" s="131">
        <f t="shared" si="200"/>
        <v>0</v>
      </c>
      <c r="AJ200" s="131">
        <f t="shared" si="201"/>
        <v>0</v>
      </c>
      <c r="AK200" s="131"/>
      <c r="AL200" s="131">
        <f t="shared" si="202"/>
        <v>0</v>
      </c>
      <c r="AM200" s="131"/>
      <c r="AN200" s="243">
        <f t="shared" si="203"/>
        <v>0</v>
      </c>
      <c r="AO200" s="131">
        <f t="shared" si="204"/>
        <v>0</v>
      </c>
      <c r="AP200" s="131">
        <f t="shared" si="205"/>
        <v>0</v>
      </c>
      <c r="AQ200" s="131"/>
      <c r="AR200" s="131">
        <f t="shared" si="206"/>
        <v>0</v>
      </c>
      <c r="AS200" s="131">
        <f t="shared" si="252"/>
        <v>0</v>
      </c>
      <c r="AT200" s="131">
        <f t="shared" si="207"/>
        <v>0</v>
      </c>
      <c r="AU200" s="131">
        <f t="shared" si="208"/>
        <v>0</v>
      </c>
      <c r="AV200" s="131"/>
      <c r="AW200" s="131">
        <f t="shared" si="209"/>
        <v>353.75</v>
      </c>
      <c r="AX200" s="131">
        <f t="shared" si="263"/>
        <v>0</v>
      </c>
      <c r="AY200" s="131">
        <f t="shared" si="210"/>
        <v>0</v>
      </c>
      <c r="AZ200" s="131"/>
      <c r="BA200" s="131">
        <f t="shared" si="264"/>
        <v>0</v>
      </c>
      <c r="BB200" s="131"/>
      <c r="BC200" s="131"/>
      <c r="BD200" s="131">
        <f t="shared" si="211"/>
        <v>0</v>
      </c>
      <c r="BE200" s="131"/>
      <c r="BF200" s="131">
        <f t="shared" si="253"/>
        <v>0</v>
      </c>
      <c r="BG200" s="131">
        <f t="shared" si="254"/>
        <v>0</v>
      </c>
      <c r="BH200" s="131"/>
      <c r="BI200" s="131"/>
      <c r="BJ200" s="131"/>
      <c r="BK200" s="131">
        <f t="shared" si="255"/>
        <v>0</v>
      </c>
      <c r="BL200" s="131"/>
      <c r="BM200" s="131"/>
      <c r="BN200" s="131">
        <f t="shared" si="256"/>
        <v>0</v>
      </c>
      <c r="BO200" s="131"/>
      <c r="BP200" s="131">
        <f t="shared" si="257"/>
        <v>0</v>
      </c>
      <c r="BQ200" s="131"/>
      <c r="BR200" s="131"/>
      <c r="BS200" s="131"/>
      <c r="BT200" s="131"/>
      <c r="BU200" s="131"/>
      <c r="BV200" s="131">
        <f t="shared" si="258"/>
        <v>0</v>
      </c>
      <c r="BW200" s="131"/>
      <c r="BX200" s="131"/>
      <c r="BY200" s="131"/>
      <c r="BZ200" s="131">
        <f t="shared" si="259"/>
        <v>0</v>
      </c>
      <c r="CA200" s="131"/>
      <c r="CB200" s="136">
        <f t="shared" si="212"/>
        <v>165.08663357180151</v>
      </c>
      <c r="CC200" s="131">
        <f t="shared" si="213"/>
        <v>0</v>
      </c>
      <c r="CD200" s="136">
        <f t="shared" si="214"/>
        <v>0</v>
      </c>
      <c r="CE200" s="131">
        <f t="shared" si="262"/>
        <v>0</v>
      </c>
      <c r="CF200" s="136">
        <f t="shared" si="215"/>
        <v>0</v>
      </c>
      <c r="CG200" s="136"/>
      <c r="CH200" s="136">
        <f t="shared" si="261"/>
        <v>0</v>
      </c>
      <c r="CI200" s="131">
        <f t="shared" si="216"/>
        <v>0</v>
      </c>
      <c r="CJ200" s="131"/>
      <c r="CK200" s="136">
        <f t="shared" si="217"/>
        <v>0</v>
      </c>
      <c r="CL200" s="136">
        <f t="shared" si="218"/>
        <v>0</v>
      </c>
      <c r="CM200" s="131">
        <f t="shared" si="219"/>
        <v>0</v>
      </c>
      <c r="CN200" s="136">
        <f t="shared" si="220"/>
        <v>0</v>
      </c>
      <c r="CO200" s="136">
        <f t="shared" si="221"/>
        <v>0</v>
      </c>
      <c r="CP200" s="136">
        <f t="shared" si="222"/>
        <v>0</v>
      </c>
      <c r="CQ200" s="136"/>
      <c r="CR200" s="136">
        <f t="shared" si="223"/>
        <v>0</v>
      </c>
      <c r="CS200" s="136"/>
      <c r="CT200" s="136"/>
      <c r="CU200" s="136"/>
      <c r="CV200" s="136"/>
      <c r="CW200" s="136"/>
      <c r="CX200" s="136"/>
      <c r="CY200" s="136"/>
      <c r="CZ200" s="136">
        <f t="shared" si="224"/>
        <v>0</v>
      </c>
      <c r="DA200" s="136">
        <f t="shared" si="225"/>
        <v>0</v>
      </c>
      <c r="DB200" s="136">
        <f t="shared" si="226"/>
        <v>0</v>
      </c>
      <c r="DC200" s="131">
        <f t="shared" si="185"/>
        <v>0</v>
      </c>
      <c r="DD200" s="131">
        <f t="shared" si="227"/>
        <v>0</v>
      </c>
      <c r="DE200" s="131">
        <f t="shared" si="228"/>
        <v>0</v>
      </c>
      <c r="DF200" s="131">
        <f t="shared" si="229"/>
        <v>0</v>
      </c>
      <c r="DG200" s="131">
        <f t="shared" si="230"/>
        <v>0</v>
      </c>
      <c r="DH200" s="131"/>
      <c r="DI200" s="131"/>
      <c r="DJ200" s="131"/>
      <c r="DK200" s="137">
        <f t="shared" si="260"/>
        <v>3791.5811116017489</v>
      </c>
      <c r="DL200" s="227" t="e">
        <f t="shared" si="231"/>
        <v>#REF!</v>
      </c>
      <c r="DM200" s="227" t="e">
        <f t="shared" si="232"/>
        <v>#REF!</v>
      </c>
      <c r="DN200" s="228" t="e">
        <f t="shared" si="186"/>
        <v>#REF!</v>
      </c>
      <c r="DO200" s="228">
        <f t="shared" si="233"/>
        <v>181.81087083894022</v>
      </c>
      <c r="DP200" s="228" t="e">
        <f t="shared" si="234"/>
        <v>#REF!</v>
      </c>
      <c r="DQ200" s="228" t="e">
        <f t="shared" si="235"/>
        <v>#REF!</v>
      </c>
    </row>
    <row r="201" spans="1:121">
      <c r="A201" s="132">
        <f t="shared" si="265"/>
        <v>191</v>
      </c>
      <c r="B201" s="18">
        <f t="shared" si="236"/>
        <v>191</v>
      </c>
      <c r="C201" s="18">
        <f>IF(A201=0," ",VLOOKUP(B201,'tosafot '!$A$7:$B$234,2,0))</f>
        <v>11.202299999999999</v>
      </c>
      <c r="D201" s="220">
        <f t="shared" si="237"/>
        <v>228</v>
      </c>
      <c r="E201" s="130">
        <f t="shared" si="238"/>
        <v>12.2026</v>
      </c>
      <c r="F201" s="126">
        <f t="shared" si="239"/>
        <v>9</v>
      </c>
      <c r="G201" s="18" t="str">
        <f t="shared" si="240"/>
        <v>הבריאות</v>
      </c>
      <c r="H201" s="189">
        <f t="shared" si="241"/>
        <v>107</v>
      </c>
      <c r="I201" s="18">
        <f t="shared" si="242"/>
        <v>1</v>
      </c>
      <c r="J201" s="18" t="str">
        <f t="shared" si="243"/>
        <v>מינהלי - עובדי מדינה</v>
      </c>
      <c r="K201" s="189">
        <f t="shared" si="244"/>
        <v>1</v>
      </c>
      <c r="L201" s="18">
        <f t="shared" si="245"/>
        <v>12</v>
      </c>
      <c r="M201" s="129" t="str">
        <f t="shared" si="246"/>
        <v>17+</v>
      </c>
      <c r="N201" s="189"/>
      <c r="O201" s="132">
        <f t="shared" si="247"/>
        <v>1012</v>
      </c>
      <c r="P201" s="127">
        <f t="shared" si="248"/>
        <v>37</v>
      </c>
      <c r="Q201" s="127">
        <f t="shared" si="249"/>
        <v>22.75</v>
      </c>
      <c r="R201" s="128">
        <f t="shared" si="250"/>
        <v>92</v>
      </c>
      <c r="S201" s="130">
        <f t="shared" si="251"/>
        <v>1.2540512286990533</v>
      </c>
      <c r="T201" s="135">
        <f t="shared" si="188"/>
        <v>0</v>
      </c>
      <c r="U201" s="127">
        <f t="shared" si="189"/>
        <v>0</v>
      </c>
      <c r="V201" s="217">
        <v>0</v>
      </c>
      <c r="W201" s="191">
        <v>0</v>
      </c>
      <c r="X201" s="133">
        <v>0</v>
      </c>
      <c r="Y201" s="131">
        <f t="shared" si="190"/>
        <v>2438.5</v>
      </c>
      <c r="Z201" s="131">
        <f t="shared" si="191"/>
        <v>619.50392118264142</v>
      </c>
      <c r="AA201" s="242">
        <f t="shared" si="192"/>
        <v>3058.0039211826415</v>
      </c>
      <c r="AB201" s="131">
        <f t="shared" si="193"/>
        <v>0</v>
      </c>
      <c r="AC201" s="131">
        <f t="shared" si="194"/>
        <v>139.48055684730568</v>
      </c>
      <c r="AD201" s="131">
        <f t="shared" si="195"/>
        <v>0</v>
      </c>
      <c r="AE201" s="131">
        <f t="shared" si="196"/>
        <v>0</v>
      </c>
      <c r="AF201" s="131">
        <f t="shared" si="197"/>
        <v>75.260000000000005</v>
      </c>
      <c r="AG201" s="131">
        <f t="shared" si="198"/>
        <v>0</v>
      </c>
      <c r="AH201" s="131">
        <f t="shared" si="199"/>
        <v>0</v>
      </c>
      <c r="AI201" s="131">
        <f t="shared" si="200"/>
        <v>0</v>
      </c>
      <c r="AJ201" s="131">
        <f t="shared" si="201"/>
        <v>0</v>
      </c>
      <c r="AK201" s="131"/>
      <c r="AL201" s="131">
        <f t="shared" si="202"/>
        <v>0</v>
      </c>
      <c r="AM201" s="131"/>
      <c r="AN201" s="243">
        <f t="shared" si="203"/>
        <v>0</v>
      </c>
      <c r="AO201" s="131">
        <f t="shared" si="204"/>
        <v>0</v>
      </c>
      <c r="AP201" s="131">
        <f t="shared" si="205"/>
        <v>0</v>
      </c>
      <c r="AQ201" s="131"/>
      <c r="AR201" s="131">
        <f t="shared" si="206"/>
        <v>0</v>
      </c>
      <c r="AS201" s="131">
        <f t="shared" si="252"/>
        <v>0</v>
      </c>
      <c r="AT201" s="131">
        <f t="shared" si="207"/>
        <v>0</v>
      </c>
      <c r="AU201" s="131">
        <f t="shared" si="208"/>
        <v>0</v>
      </c>
      <c r="AV201" s="131"/>
      <c r="AW201" s="131">
        <f t="shared" si="209"/>
        <v>353.75</v>
      </c>
      <c r="AX201" s="131">
        <f t="shared" si="263"/>
        <v>0</v>
      </c>
      <c r="AY201" s="131">
        <f t="shared" si="210"/>
        <v>0</v>
      </c>
      <c r="AZ201" s="131"/>
      <c r="BA201" s="131">
        <f t="shared" si="264"/>
        <v>0</v>
      </c>
      <c r="BB201" s="131"/>
      <c r="BC201" s="131"/>
      <c r="BD201" s="131">
        <f t="shared" si="211"/>
        <v>0</v>
      </c>
      <c r="BE201" s="131"/>
      <c r="BF201" s="131">
        <f t="shared" si="253"/>
        <v>0</v>
      </c>
      <c r="BG201" s="131">
        <f t="shared" si="254"/>
        <v>0</v>
      </c>
      <c r="BH201" s="131"/>
      <c r="BI201" s="131"/>
      <c r="BJ201" s="131"/>
      <c r="BK201" s="131">
        <f t="shared" si="255"/>
        <v>0</v>
      </c>
      <c r="BL201" s="131"/>
      <c r="BM201" s="131"/>
      <c r="BN201" s="131">
        <f t="shared" si="256"/>
        <v>0</v>
      </c>
      <c r="BO201" s="131"/>
      <c r="BP201" s="131">
        <f t="shared" si="257"/>
        <v>0</v>
      </c>
      <c r="BQ201" s="131"/>
      <c r="BR201" s="131"/>
      <c r="BS201" s="131"/>
      <c r="BT201" s="131"/>
      <c r="BU201" s="131"/>
      <c r="BV201" s="131">
        <f t="shared" si="258"/>
        <v>0</v>
      </c>
      <c r="BW201" s="131"/>
      <c r="BX201" s="131"/>
      <c r="BY201" s="131"/>
      <c r="BZ201" s="131">
        <f t="shared" si="259"/>
        <v>0</v>
      </c>
      <c r="CA201" s="131"/>
      <c r="CB201" s="136">
        <f t="shared" si="212"/>
        <v>165.08663357180151</v>
      </c>
      <c r="CC201" s="131">
        <f t="shared" si="213"/>
        <v>0</v>
      </c>
      <c r="CD201" s="136">
        <f t="shared" si="214"/>
        <v>0</v>
      </c>
      <c r="CE201" s="131">
        <f t="shared" si="262"/>
        <v>0</v>
      </c>
      <c r="CF201" s="136">
        <f t="shared" si="215"/>
        <v>0</v>
      </c>
      <c r="CG201" s="136"/>
      <c r="CH201" s="136">
        <f t="shared" si="261"/>
        <v>0</v>
      </c>
      <c r="CI201" s="131">
        <f t="shared" si="216"/>
        <v>0</v>
      </c>
      <c r="CJ201" s="131"/>
      <c r="CK201" s="136">
        <f t="shared" si="217"/>
        <v>0</v>
      </c>
      <c r="CL201" s="136">
        <f t="shared" si="218"/>
        <v>0</v>
      </c>
      <c r="CM201" s="131">
        <f t="shared" si="219"/>
        <v>0</v>
      </c>
      <c r="CN201" s="136">
        <f t="shared" si="220"/>
        <v>0</v>
      </c>
      <c r="CO201" s="136">
        <f t="shared" si="221"/>
        <v>0</v>
      </c>
      <c r="CP201" s="136">
        <f t="shared" si="222"/>
        <v>0</v>
      </c>
      <c r="CQ201" s="136"/>
      <c r="CR201" s="136">
        <f t="shared" si="223"/>
        <v>0</v>
      </c>
      <c r="CS201" s="136"/>
      <c r="CT201" s="136"/>
      <c r="CU201" s="136"/>
      <c r="CV201" s="136"/>
      <c r="CW201" s="136"/>
      <c r="CX201" s="136"/>
      <c r="CY201" s="136"/>
      <c r="CZ201" s="136">
        <f t="shared" si="224"/>
        <v>0</v>
      </c>
      <c r="DA201" s="136">
        <f t="shared" si="225"/>
        <v>0</v>
      </c>
      <c r="DB201" s="136">
        <f t="shared" si="226"/>
        <v>0</v>
      </c>
      <c r="DC201" s="131">
        <f t="shared" si="185"/>
        <v>0</v>
      </c>
      <c r="DD201" s="131">
        <f t="shared" si="227"/>
        <v>0</v>
      </c>
      <c r="DE201" s="131">
        <f t="shared" si="228"/>
        <v>0</v>
      </c>
      <c r="DF201" s="131">
        <f t="shared" si="229"/>
        <v>0</v>
      </c>
      <c r="DG201" s="131">
        <f t="shared" si="230"/>
        <v>0</v>
      </c>
      <c r="DH201" s="131"/>
      <c r="DI201" s="131"/>
      <c r="DJ201" s="131"/>
      <c r="DK201" s="137">
        <f t="shared" si="260"/>
        <v>3791.5811116017489</v>
      </c>
      <c r="DL201" s="227" t="e">
        <f t="shared" si="231"/>
        <v>#REF!</v>
      </c>
      <c r="DM201" s="227" t="e">
        <f t="shared" si="232"/>
        <v>#REF!</v>
      </c>
      <c r="DN201" s="228" t="e">
        <f t="shared" si="186"/>
        <v>#REF!</v>
      </c>
      <c r="DO201" s="228">
        <f t="shared" si="233"/>
        <v>181.81087083894022</v>
      </c>
      <c r="DP201" s="228" t="e">
        <f t="shared" si="234"/>
        <v>#REF!</v>
      </c>
      <c r="DQ201" s="228" t="e">
        <f t="shared" si="235"/>
        <v>#REF!</v>
      </c>
    </row>
    <row r="202" spans="1:121">
      <c r="A202" s="132">
        <f t="shared" si="265"/>
        <v>192</v>
      </c>
      <c r="B202" s="18">
        <f t="shared" si="236"/>
        <v>192</v>
      </c>
      <c r="C202" s="18">
        <f>IF(A202=0," ",VLOOKUP(B202,'tosafot '!$A$7:$B$234,2,0))</f>
        <v>12.202299999999999</v>
      </c>
      <c r="D202" s="220">
        <f t="shared" si="237"/>
        <v>228</v>
      </c>
      <c r="E202" s="130">
        <f t="shared" si="238"/>
        <v>12.2026</v>
      </c>
      <c r="F202" s="126">
        <f t="shared" si="239"/>
        <v>9</v>
      </c>
      <c r="G202" s="18" t="str">
        <f t="shared" si="240"/>
        <v>הבריאות</v>
      </c>
      <c r="H202" s="189">
        <f t="shared" si="241"/>
        <v>107</v>
      </c>
      <c r="I202" s="18">
        <f t="shared" si="242"/>
        <v>1</v>
      </c>
      <c r="J202" s="18" t="str">
        <f t="shared" si="243"/>
        <v>מינהלי - עובדי מדינה</v>
      </c>
      <c r="K202" s="189">
        <f t="shared" si="244"/>
        <v>1</v>
      </c>
      <c r="L202" s="18">
        <f t="shared" si="245"/>
        <v>12</v>
      </c>
      <c r="M202" s="129" t="str">
        <f t="shared" si="246"/>
        <v>17+</v>
      </c>
      <c r="N202" s="189"/>
      <c r="O202" s="132">
        <f t="shared" si="247"/>
        <v>1012</v>
      </c>
      <c r="P202" s="127">
        <f t="shared" si="248"/>
        <v>37</v>
      </c>
      <c r="Q202" s="127">
        <f t="shared" si="249"/>
        <v>22.75</v>
      </c>
      <c r="R202" s="128">
        <f t="shared" si="250"/>
        <v>92</v>
      </c>
      <c r="S202" s="130">
        <f t="shared" si="251"/>
        <v>1.2540512286990533</v>
      </c>
      <c r="T202" s="135">
        <f t="shared" si="188"/>
        <v>0</v>
      </c>
      <c r="U202" s="127">
        <f t="shared" si="189"/>
        <v>0</v>
      </c>
      <c r="V202" s="217">
        <v>0</v>
      </c>
      <c r="W202" s="191">
        <v>0</v>
      </c>
      <c r="X202" s="133">
        <v>0</v>
      </c>
      <c r="Y202" s="131">
        <f t="shared" si="190"/>
        <v>2438.5</v>
      </c>
      <c r="Z202" s="131">
        <f t="shared" si="191"/>
        <v>619.50392118264142</v>
      </c>
      <c r="AA202" s="242">
        <f t="shared" si="192"/>
        <v>3058.0039211826415</v>
      </c>
      <c r="AB202" s="131">
        <f t="shared" si="193"/>
        <v>0</v>
      </c>
      <c r="AC202" s="131">
        <f t="shared" si="194"/>
        <v>139.48055684730568</v>
      </c>
      <c r="AD202" s="131">
        <f t="shared" si="195"/>
        <v>0</v>
      </c>
      <c r="AE202" s="131">
        <f t="shared" si="196"/>
        <v>0</v>
      </c>
      <c r="AF202" s="131">
        <f t="shared" si="197"/>
        <v>75.260000000000005</v>
      </c>
      <c r="AG202" s="131">
        <f t="shared" si="198"/>
        <v>0</v>
      </c>
      <c r="AH202" s="131">
        <f t="shared" si="199"/>
        <v>0</v>
      </c>
      <c r="AI202" s="131">
        <f t="shared" si="200"/>
        <v>0</v>
      </c>
      <c r="AJ202" s="131">
        <f t="shared" si="201"/>
        <v>0</v>
      </c>
      <c r="AK202" s="131"/>
      <c r="AL202" s="131">
        <f t="shared" si="202"/>
        <v>0</v>
      </c>
      <c r="AM202" s="131"/>
      <c r="AN202" s="243">
        <f t="shared" si="203"/>
        <v>0</v>
      </c>
      <c r="AO202" s="131">
        <f t="shared" si="204"/>
        <v>0</v>
      </c>
      <c r="AP202" s="131">
        <f t="shared" si="205"/>
        <v>0</v>
      </c>
      <c r="AQ202" s="131"/>
      <c r="AR202" s="131">
        <f t="shared" si="206"/>
        <v>0</v>
      </c>
      <c r="AS202" s="131">
        <f t="shared" si="252"/>
        <v>0</v>
      </c>
      <c r="AT202" s="131">
        <f t="shared" si="207"/>
        <v>0</v>
      </c>
      <c r="AU202" s="131">
        <f t="shared" si="208"/>
        <v>0</v>
      </c>
      <c r="AV202" s="131"/>
      <c r="AW202" s="131">
        <f t="shared" si="209"/>
        <v>353.75</v>
      </c>
      <c r="AX202" s="131">
        <f t="shared" si="263"/>
        <v>0</v>
      </c>
      <c r="AY202" s="131">
        <f t="shared" si="210"/>
        <v>0</v>
      </c>
      <c r="AZ202" s="131"/>
      <c r="BA202" s="131">
        <f t="shared" si="264"/>
        <v>0</v>
      </c>
      <c r="BB202" s="131"/>
      <c r="BC202" s="131"/>
      <c r="BD202" s="131">
        <f t="shared" si="211"/>
        <v>0</v>
      </c>
      <c r="BE202" s="131"/>
      <c r="BF202" s="131">
        <f t="shared" si="253"/>
        <v>0</v>
      </c>
      <c r="BG202" s="131">
        <f t="shared" si="254"/>
        <v>0</v>
      </c>
      <c r="BH202" s="131"/>
      <c r="BI202" s="131"/>
      <c r="BJ202" s="131"/>
      <c r="BK202" s="131">
        <f t="shared" si="255"/>
        <v>0</v>
      </c>
      <c r="BL202" s="131"/>
      <c r="BM202" s="131"/>
      <c r="BN202" s="131">
        <f t="shared" si="256"/>
        <v>0</v>
      </c>
      <c r="BO202" s="131"/>
      <c r="BP202" s="131">
        <f t="shared" si="257"/>
        <v>0</v>
      </c>
      <c r="BQ202" s="131"/>
      <c r="BR202" s="131"/>
      <c r="BS202" s="131"/>
      <c r="BT202" s="131"/>
      <c r="BU202" s="131"/>
      <c r="BV202" s="131">
        <f t="shared" si="258"/>
        <v>0</v>
      </c>
      <c r="BW202" s="131"/>
      <c r="BX202" s="131"/>
      <c r="BY202" s="131"/>
      <c r="BZ202" s="131">
        <f t="shared" si="259"/>
        <v>0</v>
      </c>
      <c r="CA202" s="131"/>
      <c r="CB202" s="136">
        <f t="shared" si="212"/>
        <v>165.08663357180151</v>
      </c>
      <c r="CC202" s="131">
        <f t="shared" si="213"/>
        <v>0</v>
      </c>
      <c r="CD202" s="136">
        <f t="shared" si="214"/>
        <v>0</v>
      </c>
      <c r="CE202" s="131">
        <f t="shared" si="262"/>
        <v>0</v>
      </c>
      <c r="CF202" s="136">
        <f t="shared" si="215"/>
        <v>0</v>
      </c>
      <c r="CG202" s="136"/>
      <c r="CH202" s="136">
        <f t="shared" si="261"/>
        <v>0</v>
      </c>
      <c r="CI202" s="131">
        <f t="shared" si="216"/>
        <v>0</v>
      </c>
      <c r="CJ202" s="131"/>
      <c r="CK202" s="136">
        <f t="shared" si="217"/>
        <v>0</v>
      </c>
      <c r="CL202" s="136">
        <f t="shared" si="218"/>
        <v>0</v>
      </c>
      <c r="CM202" s="131">
        <f t="shared" si="219"/>
        <v>0</v>
      </c>
      <c r="CN202" s="136">
        <f t="shared" si="220"/>
        <v>0</v>
      </c>
      <c r="CO202" s="136">
        <f t="shared" si="221"/>
        <v>0</v>
      </c>
      <c r="CP202" s="136">
        <f t="shared" si="222"/>
        <v>0</v>
      </c>
      <c r="CQ202" s="136"/>
      <c r="CR202" s="136">
        <f t="shared" si="223"/>
        <v>0</v>
      </c>
      <c r="CS202" s="136"/>
      <c r="CT202" s="136"/>
      <c r="CU202" s="136"/>
      <c r="CV202" s="136"/>
      <c r="CW202" s="136"/>
      <c r="CX202" s="136"/>
      <c r="CY202" s="136"/>
      <c r="CZ202" s="136">
        <f t="shared" si="224"/>
        <v>0</v>
      </c>
      <c r="DA202" s="136">
        <f t="shared" si="225"/>
        <v>0</v>
      </c>
      <c r="DB202" s="136">
        <f t="shared" si="226"/>
        <v>0</v>
      </c>
      <c r="DC202" s="131">
        <f t="shared" si="185"/>
        <v>0</v>
      </c>
      <c r="DD202" s="131">
        <f t="shared" si="227"/>
        <v>0</v>
      </c>
      <c r="DE202" s="131">
        <f t="shared" si="228"/>
        <v>0</v>
      </c>
      <c r="DF202" s="131">
        <f t="shared" si="229"/>
        <v>0</v>
      </c>
      <c r="DG202" s="131">
        <f t="shared" si="230"/>
        <v>0</v>
      </c>
      <c r="DH202" s="131"/>
      <c r="DI202" s="131"/>
      <c r="DJ202" s="131"/>
      <c r="DK202" s="137">
        <f t="shared" si="260"/>
        <v>3791.5811116017489</v>
      </c>
      <c r="DL202" s="227" t="e">
        <f t="shared" si="231"/>
        <v>#REF!</v>
      </c>
      <c r="DM202" s="227" t="e">
        <f t="shared" si="232"/>
        <v>#REF!</v>
      </c>
      <c r="DN202" s="228" t="e">
        <f t="shared" si="186"/>
        <v>#REF!</v>
      </c>
      <c r="DO202" s="228">
        <f t="shared" si="233"/>
        <v>181.81087083894022</v>
      </c>
      <c r="DP202" s="228" t="e">
        <f t="shared" si="234"/>
        <v>#REF!</v>
      </c>
      <c r="DQ202" s="228" t="e">
        <f t="shared" si="235"/>
        <v>#REF!</v>
      </c>
    </row>
    <row r="203" spans="1:121">
      <c r="A203" s="132">
        <f t="shared" si="265"/>
        <v>193</v>
      </c>
      <c r="B203" s="18">
        <f t="shared" si="236"/>
        <v>193</v>
      </c>
      <c r="C203" s="18">
        <f>IF(A203=0," ",VLOOKUP(B203,'tosafot '!$A$7:$B$234,2,0))</f>
        <v>1.2023999999999999</v>
      </c>
      <c r="D203" s="220">
        <f t="shared" si="237"/>
        <v>228</v>
      </c>
      <c r="E203" s="130">
        <f t="shared" si="238"/>
        <v>12.2026</v>
      </c>
      <c r="F203" s="126">
        <f t="shared" si="239"/>
        <v>9</v>
      </c>
      <c r="G203" s="18" t="str">
        <f t="shared" si="240"/>
        <v>הבריאות</v>
      </c>
      <c r="H203" s="189">
        <f t="shared" si="241"/>
        <v>107</v>
      </c>
      <c r="I203" s="18">
        <f t="shared" si="242"/>
        <v>1</v>
      </c>
      <c r="J203" s="18" t="str">
        <f t="shared" si="243"/>
        <v>מינהלי - עובדי מדינה</v>
      </c>
      <c r="K203" s="189">
        <f t="shared" si="244"/>
        <v>1</v>
      </c>
      <c r="L203" s="18">
        <f t="shared" si="245"/>
        <v>12</v>
      </c>
      <c r="M203" s="129" t="str">
        <f t="shared" si="246"/>
        <v>17+</v>
      </c>
      <c r="N203" s="189"/>
      <c r="O203" s="132">
        <f t="shared" si="247"/>
        <v>1012</v>
      </c>
      <c r="P203" s="127">
        <f t="shared" si="248"/>
        <v>37</v>
      </c>
      <c r="Q203" s="127">
        <f t="shared" si="249"/>
        <v>22.75</v>
      </c>
      <c r="R203" s="128">
        <f t="shared" si="250"/>
        <v>92</v>
      </c>
      <c r="S203" s="130">
        <f t="shared" si="251"/>
        <v>1.2540512286990533</v>
      </c>
      <c r="T203" s="135">
        <f t="shared" si="188"/>
        <v>0</v>
      </c>
      <c r="U203" s="127">
        <f t="shared" si="189"/>
        <v>0</v>
      </c>
      <c r="V203" s="217">
        <v>0</v>
      </c>
      <c r="W203" s="191">
        <v>0</v>
      </c>
      <c r="X203" s="133">
        <v>0</v>
      </c>
      <c r="Y203" s="131">
        <f t="shared" si="190"/>
        <v>2438.5</v>
      </c>
      <c r="Z203" s="131">
        <f t="shared" si="191"/>
        <v>619.50392118264142</v>
      </c>
      <c r="AA203" s="242">
        <f t="shared" si="192"/>
        <v>3058.0039211826415</v>
      </c>
      <c r="AB203" s="131">
        <f t="shared" si="193"/>
        <v>0</v>
      </c>
      <c r="AC203" s="131">
        <f t="shared" si="194"/>
        <v>139.48055684730568</v>
      </c>
      <c r="AD203" s="131">
        <f t="shared" si="195"/>
        <v>0</v>
      </c>
      <c r="AE203" s="131">
        <f t="shared" si="196"/>
        <v>0</v>
      </c>
      <c r="AF203" s="131">
        <f t="shared" si="197"/>
        <v>75.260000000000005</v>
      </c>
      <c r="AG203" s="131">
        <f t="shared" si="198"/>
        <v>0</v>
      </c>
      <c r="AH203" s="131">
        <f t="shared" si="199"/>
        <v>0</v>
      </c>
      <c r="AI203" s="131">
        <f t="shared" si="200"/>
        <v>0</v>
      </c>
      <c r="AJ203" s="131">
        <f t="shared" si="201"/>
        <v>0</v>
      </c>
      <c r="AK203" s="131"/>
      <c r="AL203" s="131">
        <f t="shared" si="202"/>
        <v>0</v>
      </c>
      <c r="AM203" s="131"/>
      <c r="AN203" s="243">
        <f t="shared" si="203"/>
        <v>0</v>
      </c>
      <c r="AO203" s="131">
        <f t="shared" si="204"/>
        <v>0</v>
      </c>
      <c r="AP203" s="131">
        <f t="shared" si="205"/>
        <v>0</v>
      </c>
      <c r="AQ203" s="131"/>
      <c r="AR203" s="131">
        <f t="shared" si="206"/>
        <v>0</v>
      </c>
      <c r="AS203" s="131">
        <f t="shared" si="252"/>
        <v>0</v>
      </c>
      <c r="AT203" s="131">
        <f t="shared" si="207"/>
        <v>0</v>
      </c>
      <c r="AU203" s="131">
        <f t="shared" si="208"/>
        <v>0</v>
      </c>
      <c r="AV203" s="131"/>
      <c r="AW203" s="131">
        <f t="shared" si="209"/>
        <v>353.75</v>
      </c>
      <c r="AX203" s="131">
        <f t="shared" si="263"/>
        <v>0</v>
      </c>
      <c r="AY203" s="131">
        <f t="shared" si="210"/>
        <v>0</v>
      </c>
      <c r="AZ203" s="131"/>
      <c r="BA203" s="131">
        <f t="shared" si="264"/>
        <v>0</v>
      </c>
      <c r="BB203" s="131"/>
      <c r="BC203" s="131"/>
      <c r="BD203" s="131">
        <f t="shared" si="211"/>
        <v>0</v>
      </c>
      <c r="BE203" s="131"/>
      <c r="BF203" s="131">
        <f t="shared" si="253"/>
        <v>0</v>
      </c>
      <c r="BG203" s="131">
        <f t="shared" si="254"/>
        <v>0</v>
      </c>
      <c r="BH203" s="131"/>
      <c r="BI203" s="131"/>
      <c r="BJ203" s="131"/>
      <c r="BK203" s="131">
        <f t="shared" si="255"/>
        <v>0</v>
      </c>
      <c r="BL203" s="131"/>
      <c r="BM203" s="131"/>
      <c r="BN203" s="131">
        <f t="shared" si="256"/>
        <v>0</v>
      </c>
      <c r="BO203" s="131"/>
      <c r="BP203" s="131">
        <f t="shared" si="257"/>
        <v>0</v>
      </c>
      <c r="BQ203" s="131"/>
      <c r="BR203" s="131"/>
      <c r="BS203" s="131"/>
      <c r="BT203" s="131"/>
      <c r="BU203" s="131"/>
      <c r="BV203" s="131">
        <f t="shared" si="258"/>
        <v>0</v>
      </c>
      <c r="BW203" s="131"/>
      <c r="BX203" s="131"/>
      <c r="BY203" s="131"/>
      <c r="BZ203" s="131">
        <f t="shared" si="259"/>
        <v>0</v>
      </c>
      <c r="CA203" s="131"/>
      <c r="CB203" s="136">
        <f t="shared" si="212"/>
        <v>165.08663357180151</v>
      </c>
      <c r="CC203" s="131">
        <f t="shared" si="213"/>
        <v>0</v>
      </c>
      <c r="CD203" s="136">
        <f t="shared" si="214"/>
        <v>0</v>
      </c>
      <c r="CE203" s="131">
        <f t="shared" si="262"/>
        <v>0</v>
      </c>
      <c r="CF203" s="136">
        <f t="shared" si="215"/>
        <v>0</v>
      </c>
      <c r="CG203" s="136"/>
      <c r="CH203" s="136">
        <f t="shared" si="261"/>
        <v>0</v>
      </c>
      <c r="CI203" s="131">
        <f t="shared" si="216"/>
        <v>0</v>
      </c>
      <c r="CJ203" s="131"/>
      <c r="CK203" s="136">
        <f t="shared" si="217"/>
        <v>0</v>
      </c>
      <c r="CL203" s="136">
        <f t="shared" si="218"/>
        <v>0</v>
      </c>
      <c r="CM203" s="131">
        <f t="shared" si="219"/>
        <v>0</v>
      </c>
      <c r="CN203" s="136">
        <f t="shared" si="220"/>
        <v>0</v>
      </c>
      <c r="CO203" s="136">
        <f t="shared" si="221"/>
        <v>0</v>
      </c>
      <c r="CP203" s="136">
        <f t="shared" si="222"/>
        <v>0</v>
      </c>
      <c r="CQ203" s="136"/>
      <c r="CR203" s="136">
        <f t="shared" si="223"/>
        <v>0</v>
      </c>
      <c r="CS203" s="136"/>
      <c r="CT203" s="136"/>
      <c r="CU203" s="136"/>
      <c r="CV203" s="136"/>
      <c r="CW203" s="136"/>
      <c r="CX203" s="136"/>
      <c r="CY203" s="136"/>
      <c r="CZ203" s="136">
        <f t="shared" si="224"/>
        <v>0</v>
      </c>
      <c r="DA203" s="136">
        <f t="shared" si="225"/>
        <v>0</v>
      </c>
      <c r="DB203" s="136">
        <f t="shared" si="226"/>
        <v>0</v>
      </c>
      <c r="DC203" s="131">
        <f t="shared" ref="DC203:DC226" si="266">IF(A203=0," ",+U203)</f>
        <v>0</v>
      </c>
      <c r="DD203" s="131">
        <f t="shared" si="227"/>
        <v>0</v>
      </c>
      <c r="DE203" s="131">
        <f t="shared" si="228"/>
        <v>0</v>
      </c>
      <c r="DF203" s="131">
        <f t="shared" si="229"/>
        <v>0</v>
      </c>
      <c r="DG203" s="131">
        <f t="shared" si="230"/>
        <v>0</v>
      </c>
      <c r="DH203" s="131"/>
      <c r="DI203" s="131"/>
      <c r="DJ203" s="131"/>
      <c r="DK203" s="137">
        <f t="shared" si="260"/>
        <v>3791.5811116017489</v>
      </c>
      <c r="DL203" s="227" t="e">
        <f t="shared" si="231"/>
        <v>#REF!</v>
      </c>
      <c r="DM203" s="227" t="e">
        <f t="shared" si="232"/>
        <v>#REF!</v>
      </c>
      <c r="DN203" s="228" t="e">
        <f t="shared" ref="DN203:DN226" si="267">IF(A203=0," ",+DK203*DL203*DM203)</f>
        <v>#REF!</v>
      </c>
      <c r="DO203" s="228">
        <f t="shared" si="233"/>
        <v>181.81087083894022</v>
      </c>
      <c r="DP203" s="228" t="e">
        <f t="shared" si="234"/>
        <v>#REF!</v>
      </c>
      <c r="DQ203" s="228" t="e">
        <f t="shared" si="235"/>
        <v>#REF!</v>
      </c>
    </row>
    <row r="204" spans="1:121">
      <c r="A204" s="132">
        <f t="shared" si="265"/>
        <v>194</v>
      </c>
      <c r="B204" s="18">
        <f t="shared" si="236"/>
        <v>194</v>
      </c>
      <c r="C204" s="18">
        <f>IF(A204=0," ",VLOOKUP(B204,'tosafot '!$A$7:$B$234,2,0))</f>
        <v>2.2023999999999999</v>
      </c>
      <c r="D204" s="220">
        <f t="shared" si="237"/>
        <v>228</v>
      </c>
      <c r="E204" s="130">
        <f t="shared" si="238"/>
        <v>12.2026</v>
      </c>
      <c r="F204" s="126">
        <f t="shared" si="239"/>
        <v>9</v>
      </c>
      <c r="G204" s="18" t="str">
        <f t="shared" si="240"/>
        <v>הבריאות</v>
      </c>
      <c r="H204" s="189">
        <f t="shared" si="241"/>
        <v>107</v>
      </c>
      <c r="I204" s="18">
        <f t="shared" si="242"/>
        <v>1</v>
      </c>
      <c r="J204" s="18" t="str">
        <f t="shared" si="243"/>
        <v>מינהלי - עובדי מדינה</v>
      </c>
      <c r="K204" s="189">
        <f t="shared" si="244"/>
        <v>1</v>
      </c>
      <c r="L204" s="18">
        <f t="shared" si="245"/>
        <v>12</v>
      </c>
      <c r="M204" s="129" t="str">
        <f t="shared" si="246"/>
        <v>17+</v>
      </c>
      <c r="N204" s="189"/>
      <c r="O204" s="132">
        <f t="shared" si="247"/>
        <v>1012</v>
      </c>
      <c r="P204" s="127">
        <f t="shared" si="248"/>
        <v>37</v>
      </c>
      <c r="Q204" s="127">
        <f t="shared" si="249"/>
        <v>22.75</v>
      </c>
      <c r="R204" s="128">
        <f t="shared" si="250"/>
        <v>92</v>
      </c>
      <c r="S204" s="130">
        <f t="shared" si="251"/>
        <v>1.2540512286990533</v>
      </c>
      <c r="T204" s="135">
        <f t="shared" ref="T204:T226" si="268">IF(A204=0," ",+T203)</f>
        <v>0</v>
      </c>
      <c r="U204" s="127">
        <f t="shared" ref="U204:U226" si="269">IF(A204=0," ",+U203)</f>
        <v>0</v>
      </c>
      <c r="V204" s="217">
        <v>0</v>
      </c>
      <c r="W204" s="191">
        <v>0</v>
      </c>
      <c r="X204" s="133">
        <v>0</v>
      </c>
      <c r="Y204" s="131">
        <f t="shared" ref="Y204:Y226" si="270">IF(A204=0," ",+Y203)</f>
        <v>2438.5</v>
      </c>
      <c r="Z204" s="131">
        <f t="shared" ref="Z204:Z226" si="271">IF(A204=0," ",+Z203)</f>
        <v>619.50392118264142</v>
      </c>
      <c r="AA204" s="242">
        <f t="shared" ref="AA204:AA226" si="272">IF(A204=0," ",AA203)</f>
        <v>3058.0039211826415</v>
      </c>
      <c r="AB204" s="131">
        <f t="shared" ref="AB204:AB226" si="273">IF(A204=0," ",AB203)</f>
        <v>0</v>
      </c>
      <c r="AC204" s="131">
        <f t="shared" ref="AC204:AC226" si="274">IF(A204=0," ",AC203)</f>
        <v>139.48055684730568</v>
      </c>
      <c r="AD204" s="131">
        <f t="shared" ref="AD204:AD226" si="275">IF(A204=0," ",AD203)</f>
        <v>0</v>
      </c>
      <c r="AE204" s="131">
        <f t="shared" ref="AE204:AE226" si="276">IF(A204=0," ",AE203)</f>
        <v>0</v>
      </c>
      <c r="AF204" s="131">
        <f t="shared" ref="AF204:AF226" si="277">IF(A204=0," ",AF203)</f>
        <v>75.260000000000005</v>
      </c>
      <c r="AG204" s="131">
        <f t="shared" ref="AG204:AG226" si="278">IF(A204=0," ",AG203)</f>
        <v>0</v>
      </c>
      <c r="AH204" s="131">
        <f t="shared" ref="AH204:AH226" si="279">IF(A204=0," ",AH203)</f>
        <v>0</v>
      </c>
      <c r="AI204" s="131">
        <f t="shared" ref="AI204:AI226" si="280">IF(A204=0," ",AI203)</f>
        <v>0</v>
      </c>
      <c r="AJ204" s="131">
        <f t="shared" ref="AJ204:AJ226" si="281">IF(A204=0," ",AJ203)</f>
        <v>0</v>
      </c>
      <c r="AK204" s="131"/>
      <c r="AL204" s="131">
        <f t="shared" ref="AL204:AL226" si="282">IF(A204=0," ",AL203)</f>
        <v>0</v>
      </c>
      <c r="AM204" s="131"/>
      <c r="AN204" s="243">
        <f t="shared" ref="AN204:AN226" si="283">IF(A204=0," ",AN203)</f>
        <v>0</v>
      </c>
      <c r="AO204" s="131">
        <f t="shared" ref="AO204:AO226" si="284">IF(A204=0," ",AO203)</f>
        <v>0</v>
      </c>
      <c r="AP204" s="131">
        <f t="shared" ref="AP204:AP226" si="285">IF(A204=0," ",AP203)</f>
        <v>0</v>
      </c>
      <c r="AQ204" s="131"/>
      <c r="AR204" s="131">
        <f t="shared" ref="AR204:AR226" si="286">IF(A204=0," ",AR203)</f>
        <v>0</v>
      </c>
      <c r="AS204" s="131">
        <f t="shared" si="252"/>
        <v>0</v>
      </c>
      <c r="AT204" s="131">
        <f t="shared" ref="AT204:AT226" si="287">IF(A204=0," ",AT203)</f>
        <v>0</v>
      </c>
      <c r="AU204" s="131">
        <f t="shared" ref="AU204:AU226" si="288">IF(A204=0," ",AU203)</f>
        <v>0</v>
      </c>
      <c r="AV204" s="131"/>
      <c r="AW204" s="131">
        <f t="shared" ref="AW204:AW226" si="289">IF(A204=0," ",AW203)</f>
        <v>353.75</v>
      </c>
      <c r="AX204" s="131">
        <f t="shared" si="263"/>
        <v>0</v>
      </c>
      <c r="AY204" s="131">
        <f t="shared" ref="AY204:AY226" si="290">IF(A204=0," ",AY203)</f>
        <v>0</v>
      </c>
      <c r="AZ204" s="131"/>
      <c r="BA204" s="131">
        <f t="shared" si="264"/>
        <v>0</v>
      </c>
      <c r="BB204" s="131"/>
      <c r="BC204" s="131"/>
      <c r="BD204" s="131">
        <f t="shared" ref="BD204:BD226" si="291">IF(A204=0," ",BD203)</f>
        <v>0</v>
      </c>
      <c r="BE204" s="131"/>
      <c r="BF204" s="131">
        <f t="shared" si="253"/>
        <v>0</v>
      </c>
      <c r="BG204" s="131">
        <f t="shared" si="254"/>
        <v>0</v>
      </c>
      <c r="BH204" s="131"/>
      <c r="BI204" s="131"/>
      <c r="BJ204" s="131"/>
      <c r="BK204" s="131">
        <f t="shared" si="255"/>
        <v>0</v>
      </c>
      <c r="BL204" s="131"/>
      <c r="BM204" s="131"/>
      <c r="BN204" s="131">
        <f t="shared" si="256"/>
        <v>0</v>
      </c>
      <c r="BO204" s="131"/>
      <c r="BP204" s="131">
        <f t="shared" si="257"/>
        <v>0</v>
      </c>
      <c r="BQ204" s="131"/>
      <c r="BR204" s="131"/>
      <c r="BS204" s="131"/>
      <c r="BT204" s="131"/>
      <c r="BU204" s="131"/>
      <c r="BV204" s="131">
        <f t="shared" si="258"/>
        <v>0</v>
      </c>
      <c r="BW204" s="131"/>
      <c r="BX204" s="131"/>
      <c r="BY204" s="131"/>
      <c r="BZ204" s="131">
        <f t="shared" si="259"/>
        <v>0</v>
      </c>
      <c r="CA204" s="131"/>
      <c r="CB204" s="136">
        <f t="shared" ref="CB204:CB226" si="292">IF(A204=0," ",+CB203)</f>
        <v>165.08663357180151</v>
      </c>
      <c r="CC204" s="131">
        <f t="shared" ref="CC204:CC226" si="293">IF(A204=0," ",CC203)</f>
        <v>0</v>
      </c>
      <c r="CD204" s="136">
        <f t="shared" ref="CD204:CD226" si="294">IF(A204=0," ",CD203)</f>
        <v>0</v>
      </c>
      <c r="CE204" s="131">
        <f t="shared" si="262"/>
        <v>0</v>
      </c>
      <c r="CF204" s="136">
        <f t="shared" ref="CF204:CF226" si="295">IF(A204=0," ",+CF203)</f>
        <v>0</v>
      </c>
      <c r="CG204" s="136"/>
      <c r="CH204" s="136">
        <f t="shared" si="261"/>
        <v>0</v>
      </c>
      <c r="CI204" s="131">
        <f t="shared" ref="CI204:CI226" si="296">IF(A204=0," ",CI203)</f>
        <v>0</v>
      </c>
      <c r="CJ204" s="131"/>
      <c r="CK204" s="136">
        <f t="shared" ref="CK204:CK226" si="297">IF(A204=0," ",+CK203)</f>
        <v>0</v>
      </c>
      <c r="CL204" s="136">
        <f t="shared" ref="CL204:CL226" si="298">IF(A204=0," ",+CL203)</f>
        <v>0</v>
      </c>
      <c r="CM204" s="131">
        <f t="shared" ref="CM204:CM226" si="299">IF(A204=0," ",CM203)</f>
        <v>0</v>
      </c>
      <c r="CN204" s="136">
        <f t="shared" ref="CN204:CN226" si="300">IF(A204=0," ",+CN203)</f>
        <v>0</v>
      </c>
      <c r="CO204" s="136">
        <f t="shared" ref="CO204:CO226" si="301">IF(A204=0," ",+CO203)</f>
        <v>0</v>
      </c>
      <c r="CP204" s="136">
        <f t="shared" ref="CP204:CP226" si="302">IF(A204=0," ",+CP203)</f>
        <v>0</v>
      </c>
      <c r="CQ204" s="136"/>
      <c r="CR204" s="136">
        <f t="shared" ref="CR204:CR226" si="303">IF(A204=0," ",+CR203)</f>
        <v>0</v>
      </c>
      <c r="CS204" s="136"/>
      <c r="CT204" s="136"/>
      <c r="CU204" s="136"/>
      <c r="CV204" s="136"/>
      <c r="CW204" s="136"/>
      <c r="CX204" s="136"/>
      <c r="CY204" s="136"/>
      <c r="CZ204" s="136">
        <f t="shared" ref="CZ204:CZ226" si="304">IF(A204=0," ",+CZ203)</f>
        <v>0</v>
      </c>
      <c r="DA204" s="136">
        <f t="shared" ref="DA204:DA226" si="305">IF(A204=0," ",+DA203)</f>
        <v>0</v>
      </c>
      <c r="DB204" s="136">
        <f t="shared" ref="DB204:DB226" si="306">IF(A204=0," ",+DB203)</f>
        <v>0</v>
      </c>
      <c r="DC204" s="131">
        <f t="shared" si="266"/>
        <v>0</v>
      </c>
      <c r="DD204" s="131">
        <f t="shared" ref="DD204:DD226" si="307">IF(A204=0," ",DD203)</f>
        <v>0</v>
      </c>
      <c r="DE204" s="131">
        <f t="shared" ref="DE204:DE226" si="308">IF(A204=0," ",DE203)</f>
        <v>0</v>
      </c>
      <c r="DF204" s="131">
        <f t="shared" ref="DF204:DF226" si="309">IF(A204=0," ",DF203)</f>
        <v>0</v>
      </c>
      <c r="DG204" s="131">
        <f t="shared" ref="DG204:DG226" si="310">IF(A204=0," ",DG203)</f>
        <v>0</v>
      </c>
      <c r="DH204" s="131"/>
      <c r="DI204" s="131"/>
      <c r="DJ204" s="131"/>
      <c r="DK204" s="137">
        <f t="shared" si="260"/>
        <v>3791.5811116017489</v>
      </c>
      <c r="DL204" s="227" t="e">
        <f t="shared" ref="DL204:DL226" si="311">IF(A204=0," ",DL203)</f>
        <v>#REF!</v>
      </c>
      <c r="DM204" s="227" t="e">
        <f t="shared" ref="DM204:DM226" si="312">IF(A204=0," ",DM203)</f>
        <v>#REF!</v>
      </c>
      <c r="DN204" s="228" t="e">
        <f t="shared" si="267"/>
        <v>#REF!</v>
      </c>
      <c r="DO204" s="228">
        <f t="shared" ref="DO204:DO226" si="313">IF(A204=0," ",DO203)</f>
        <v>181.81087083894022</v>
      </c>
      <c r="DP204" s="228" t="e">
        <f t="shared" ref="DP204:DP226" si="314">IF(A203=0," ",DP203)</f>
        <v>#REF!</v>
      </c>
      <c r="DQ204" s="228" t="e">
        <f t="shared" ref="DQ204:DQ226" si="315">IF(A203=0," ",DQ203)</f>
        <v>#REF!</v>
      </c>
    </row>
    <row r="205" spans="1:121">
      <c r="A205" s="132">
        <f t="shared" si="265"/>
        <v>195</v>
      </c>
      <c r="B205" s="18">
        <f t="shared" ref="B205:B226" si="316">IF(A205=0," ",B204+1)</f>
        <v>195</v>
      </c>
      <c r="C205" s="18">
        <f>IF(A205=0," ",VLOOKUP(B205,'tosafot '!$A$7:$B$234,2,0))</f>
        <v>3.2023999999999999</v>
      </c>
      <c r="D205" s="220">
        <f t="shared" ref="D205:D226" si="317">IF(A205=0," ",+D204)</f>
        <v>228</v>
      </c>
      <c r="E205" s="130">
        <f t="shared" ref="E205:E226" si="318">IF(A205=0," ",+E204)</f>
        <v>12.2026</v>
      </c>
      <c r="F205" s="126">
        <f t="shared" ref="F205:F226" si="319">IF(A205=0," ",+F204)</f>
        <v>9</v>
      </c>
      <c r="G205" s="18" t="str">
        <f t="shared" ref="G205:G226" si="320">IF(A205=0," ",+G204)</f>
        <v>הבריאות</v>
      </c>
      <c r="H205" s="189">
        <f t="shared" ref="H205:H226" si="321">IF(A205=0," ",+H204)</f>
        <v>107</v>
      </c>
      <c r="I205" s="18">
        <f t="shared" ref="I205:I226" si="322">IF(A205=0," ",+I204)</f>
        <v>1</v>
      </c>
      <c r="J205" s="18" t="str">
        <f t="shared" ref="J205:J226" si="323">IF(A205=0," ",+J204)</f>
        <v>מינהלי - עובדי מדינה</v>
      </c>
      <c r="K205" s="189">
        <f t="shared" ref="K205:K226" si="324">IF(A205=0," ",+K204)</f>
        <v>1</v>
      </c>
      <c r="L205" s="18">
        <f t="shared" ref="L205:L226" si="325">IF(A205=0," ",+L204)</f>
        <v>12</v>
      </c>
      <c r="M205" s="129" t="str">
        <f t="shared" ref="M205:M226" si="326">IF(A205=0," ",+M204)</f>
        <v>17+</v>
      </c>
      <c r="N205" s="189"/>
      <c r="O205" s="132">
        <f t="shared" ref="O205:O226" si="327">IF(A205=0," ",+O204)</f>
        <v>1012</v>
      </c>
      <c r="P205" s="127">
        <f t="shared" ref="P205:P226" si="328">IF(A205=0," ",P204)</f>
        <v>37</v>
      </c>
      <c r="Q205" s="127">
        <f t="shared" ref="Q205:Q226" si="329">IF(A205=0," ",+Q204)</f>
        <v>22.75</v>
      </c>
      <c r="R205" s="128">
        <f t="shared" ref="R205:R226" si="330">IF(A205=0," ",+R204)</f>
        <v>92</v>
      </c>
      <c r="S205" s="130">
        <f t="shared" ref="S205:S226" si="331">IF(A205=0," ",+S204)</f>
        <v>1.2540512286990533</v>
      </c>
      <c r="T205" s="135">
        <f t="shared" si="268"/>
        <v>0</v>
      </c>
      <c r="U205" s="127">
        <f t="shared" si="269"/>
        <v>0</v>
      </c>
      <c r="V205" s="217">
        <v>0</v>
      </c>
      <c r="W205" s="191">
        <v>0</v>
      </c>
      <c r="X205" s="133">
        <v>0</v>
      </c>
      <c r="Y205" s="131">
        <f t="shared" si="270"/>
        <v>2438.5</v>
      </c>
      <c r="Z205" s="131">
        <f t="shared" si="271"/>
        <v>619.50392118264142</v>
      </c>
      <c r="AA205" s="242">
        <f t="shared" si="272"/>
        <v>3058.0039211826415</v>
      </c>
      <c r="AB205" s="131">
        <f t="shared" si="273"/>
        <v>0</v>
      </c>
      <c r="AC205" s="131">
        <f t="shared" si="274"/>
        <v>139.48055684730568</v>
      </c>
      <c r="AD205" s="131">
        <f t="shared" si="275"/>
        <v>0</v>
      </c>
      <c r="AE205" s="131">
        <f t="shared" si="276"/>
        <v>0</v>
      </c>
      <c r="AF205" s="131">
        <f t="shared" si="277"/>
        <v>75.260000000000005</v>
      </c>
      <c r="AG205" s="131">
        <f t="shared" si="278"/>
        <v>0</v>
      </c>
      <c r="AH205" s="131">
        <f t="shared" si="279"/>
        <v>0</v>
      </c>
      <c r="AI205" s="131">
        <f t="shared" si="280"/>
        <v>0</v>
      </c>
      <c r="AJ205" s="131">
        <f t="shared" si="281"/>
        <v>0</v>
      </c>
      <c r="AK205" s="131"/>
      <c r="AL205" s="131">
        <f t="shared" si="282"/>
        <v>0</v>
      </c>
      <c r="AM205" s="131"/>
      <c r="AN205" s="243">
        <f t="shared" si="283"/>
        <v>0</v>
      </c>
      <c r="AO205" s="131">
        <f t="shared" si="284"/>
        <v>0</v>
      </c>
      <c r="AP205" s="131">
        <f t="shared" si="285"/>
        <v>0</v>
      </c>
      <c r="AQ205" s="131"/>
      <c r="AR205" s="131">
        <f t="shared" si="286"/>
        <v>0</v>
      </c>
      <c r="AS205" s="131">
        <f t="shared" ref="AS205:AS226" si="332">IF(A205=0," ",AS204)</f>
        <v>0</v>
      </c>
      <c r="AT205" s="131">
        <f t="shared" si="287"/>
        <v>0</v>
      </c>
      <c r="AU205" s="131">
        <f t="shared" si="288"/>
        <v>0</v>
      </c>
      <c r="AV205" s="131"/>
      <c r="AW205" s="131">
        <f t="shared" si="289"/>
        <v>353.75</v>
      </c>
      <c r="AX205" s="131">
        <f t="shared" si="263"/>
        <v>0</v>
      </c>
      <c r="AY205" s="131">
        <f t="shared" si="290"/>
        <v>0</v>
      </c>
      <c r="AZ205" s="131"/>
      <c r="BA205" s="131">
        <f t="shared" si="264"/>
        <v>0</v>
      </c>
      <c r="BB205" s="131"/>
      <c r="BC205" s="131"/>
      <c r="BD205" s="131">
        <f t="shared" si="291"/>
        <v>0</v>
      </c>
      <c r="BE205" s="131"/>
      <c r="BF205" s="131">
        <f t="shared" ref="BF205:BF226" si="333">IF(A205=0," ",BF204)</f>
        <v>0</v>
      </c>
      <c r="BG205" s="131">
        <f t="shared" ref="BG205:BG226" si="334">IF(A205=0," ",BG204)</f>
        <v>0</v>
      </c>
      <c r="BH205" s="131"/>
      <c r="BI205" s="131"/>
      <c r="BJ205" s="131"/>
      <c r="BK205" s="131">
        <f t="shared" ref="BK205:BK226" si="335">IF(A205=0," ",BK204)</f>
        <v>0</v>
      </c>
      <c r="BL205" s="131"/>
      <c r="BM205" s="131"/>
      <c r="BN205" s="131">
        <f t="shared" ref="BN205:BN226" si="336">IF(A205=0," ",BN204)</f>
        <v>0</v>
      </c>
      <c r="BO205" s="131"/>
      <c r="BP205" s="131">
        <f t="shared" ref="BP205:BP226" si="337">IF(A205=0," ",BP204)</f>
        <v>0</v>
      </c>
      <c r="BQ205" s="131"/>
      <c r="BR205" s="131"/>
      <c r="BS205" s="131"/>
      <c r="BT205" s="131"/>
      <c r="BU205" s="131"/>
      <c r="BV205" s="131">
        <f t="shared" ref="BV205:BV226" si="338">IF(A204=0," ",BV204)</f>
        <v>0</v>
      </c>
      <c r="BW205" s="131"/>
      <c r="BX205" s="131"/>
      <c r="BY205" s="131"/>
      <c r="BZ205" s="131">
        <f t="shared" ref="BZ205:BZ226" si="339">IF(A205=0," ",BZ204)</f>
        <v>0</v>
      </c>
      <c r="CA205" s="131"/>
      <c r="CB205" s="136">
        <f t="shared" si="292"/>
        <v>165.08663357180151</v>
      </c>
      <c r="CC205" s="131">
        <f t="shared" si="293"/>
        <v>0</v>
      </c>
      <c r="CD205" s="136">
        <f t="shared" si="294"/>
        <v>0</v>
      </c>
      <c r="CE205" s="131">
        <f t="shared" si="262"/>
        <v>0</v>
      </c>
      <c r="CF205" s="136">
        <f t="shared" si="295"/>
        <v>0</v>
      </c>
      <c r="CG205" s="136"/>
      <c r="CH205" s="136">
        <f t="shared" si="261"/>
        <v>0</v>
      </c>
      <c r="CI205" s="131">
        <f t="shared" si="296"/>
        <v>0</v>
      </c>
      <c r="CJ205" s="131"/>
      <c r="CK205" s="136">
        <f t="shared" si="297"/>
        <v>0</v>
      </c>
      <c r="CL205" s="136">
        <f t="shared" si="298"/>
        <v>0</v>
      </c>
      <c r="CM205" s="131">
        <f t="shared" si="299"/>
        <v>0</v>
      </c>
      <c r="CN205" s="136">
        <f t="shared" si="300"/>
        <v>0</v>
      </c>
      <c r="CO205" s="136">
        <f t="shared" si="301"/>
        <v>0</v>
      </c>
      <c r="CP205" s="136">
        <f t="shared" si="302"/>
        <v>0</v>
      </c>
      <c r="CQ205" s="136"/>
      <c r="CR205" s="136">
        <f t="shared" si="303"/>
        <v>0</v>
      </c>
      <c r="CS205" s="136"/>
      <c r="CT205" s="136"/>
      <c r="CU205" s="136"/>
      <c r="CV205" s="136"/>
      <c r="CW205" s="136"/>
      <c r="CX205" s="136"/>
      <c r="CY205" s="136"/>
      <c r="CZ205" s="136">
        <f t="shared" si="304"/>
        <v>0</v>
      </c>
      <c r="DA205" s="136">
        <f t="shared" si="305"/>
        <v>0</v>
      </c>
      <c r="DB205" s="136">
        <f t="shared" si="306"/>
        <v>0</v>
      </c>
      <c r="DC205" s="131">
        <f t="shared" si="266"/>
        <v>0</v>
      </c>
      <c r="DD205" s="131">
        <f t="shared" si="307"/>
        <v>0</v>
      </c>
      <c r="DE205" s="131">
        <f t="shared" si="308"/>
        <v>0</v>
      </c>
      <c r="DF205" s="131">
        <f t="shared" si="309"/>
        <v>0</v>
      </c>
      <c r="DG205" s="131">
        <f t="shared" si="310"/>
        <v>0</v>
      </c>
      <c r="DH205" s="131"/>
      <c r="DI205" s="131"/>
      <c r="DJ205" s="131"/>
      <c r="DK205" s="137">
        <f t="shared" ref="DK205:DK226" si="340">IF(A205=0," ",SUM(AA205:DG205))</f>
        <v>3791.5811116017489</v>
      </c>
      <c r="DL205" s="227" t="e">
        <f t="shared" si="311"/>
        <v>#REF!</v>
      </c>
      <c r="DM205" s="227" t="e">
        <f t="shared" si="312"/>
        <v>#REF!</v>
      </c>
      <c r="DN205" s="228" t="e">
        <f t="shared" si="267"/>
        <v>#REF!</v>
      </c>
      <c r="DO205" s="228">
        <f t="shared" si="313"/>
        <v>181.81087083894022</v>
      </c>
      <c r="DP205" s="228" t="e">
        <f t="shared" si="314"/>
        <v>#REF!</v>
      </c>
      <c r="DQ205" s="228" t="e">
        <f t="shared" si="315"/>
        <v>#REF!</v>
      </c>
    </row>
    <row r="206" spans="1:121">
      <c r="A206" s="132">
        <f t="shared" si="265"/>
        <v>196</v>
      </c>
      <c r="B206" s="18">
        <f t="shared" si="316"/>
        <v>196</v>
      </c>
      <c r="C206" s="18">
        <f>IF(A206=0," ",VLOOKUP(B206,'tosafot '!$A$7:$B$234,2,0))</f>
        <v>4.2023999999999999</v>
      </c>
      <c r="D206" s="220">
        <f t="shared" si="317"/>
        <v>228</v>
      </c>
      <c r="E206" s="130">
        <f t="shared" si="318"/>
        <v>12.2026</v>
      </c>
      <c r="F206" s="126">
        <f t="shared" si="319"/>
        <v>9</v>
      </c>
      <c r="G206" s="18" t="str">
        <f t="shared" si="320"/>
        <v>הבריאות</v>
      </c>
      <c r="H206" s="189">
        <f t="shared" si="321"/>
        <v>107</v>
      </c>
      <c r="I206" s="18">
        <f t="shared" si="322"/>
        <v>1</v>
      </c>
      <c r="J206" s="18" t="str">
        <f t="shared" si="323"/>
        <v>מינהלי - עובדי מדינה</v>
      </c>
      <c r="K206" s="189">
        <f t="shared" si="324"/>
        <v>1</v>
      </c>
      <c r="L206" s="18">
        <f t="shared" si="325"/>
        <v>12</v>
      </c>
      <c r="M206" s="129" t="str">
        <f t="shared" si="326"/>
        <v>17+</v>
      </c>
      <c r="N206" s="189"/>
      <c r="O206" s="132">
        <f t="shared" si="327"/>
        <v>1012</v>
      </c>
      <c r="P206" s="127">
        <f t="shared" si="328"/>
        <v>37</v>
      </c>
      <c r="Q206" s="127">
        <f t="shared" si="329"/>
        <v>22.75</v>
      </c>
      <c r="R206" s="128">
        <f t="shared" si="330"/>
        <v>92</v>
      </c>
      <c r="S206" s="130">
        <f t="shared" si="331"/>
        <v>1.2540512286990533</v>
      </c>
      <c r="T206" s="135">
        <f t="shared" si="268"/>
        <v>0</v>
      </c>
      <c r="U206" s="127">
        <f t="shared" si="269"/>
        <v>0</v>
      </c>
      <c r="V206" s="217">
        <v>0</v>
      </c>
      <c r="W206" s="191">
        <v>0</v>
      </c>
      <c r="X206" s="133">
        <v>0</v>
      </c>
      <c r="Y206" s="131">
        <f t="shared" si="270"/>
        <v>2438.5</v>
      </c>
      <c r="Z206" s="131">
        <f t="shared" si="271"/>
        <v>619.50392118264142</v>
      </c>
      <c r="AA206" s="242">
        <f t="shared" si="272"/>
        <v>3058.0039211826415</v>
      </c>
      <c r="AB206" s="131">
        <f t="shared" si="273"/>
        <v>0</v>
      </c>
      <c r="AC206" s="131">
        <f t="shared" si="274"/>
        <v>139.48055684730568</v>
      </c>
      <c r="AD206" s="131">
        <f t="shared" si="275"/>
        <v>0</v>
      </c>
      <c r="AE206" s="131">
        <f t="shared" si="276"/>
        <v>0</v>
      </c>
      <c r="AF206" s="131">
        <f t="shared" si="277"/>
        <v>75.260000000000005</v>
      </c>
      <c r="AG206" s="131">
        <f t="shared" si="278"/>
        <v>0</v>
      </c>
      <c r="AH206" s="131">
        <f t="shared" si="279"/>
        <v>0</v>
      </c>
      <c r="AI206" s="131">
        <f t="shared" si="280"/>
        <v>0</v>
      </c>
      <c r="AJ206" s="131">
        <f t="shared" si="281"/>
        <v>0</v>
      </c>
      <c r="AK206" s="131"/>
      <c r="AL206" s="131">
        <f t="shared" si="282"/>
        <v>0</v>
      </c>
      <c r="AM206" s="131"/>
      <c r="AN206" s="243">
        <f t="shared" si="283"/>
        <v>0</v>
      </c>
      <c r="AO206" s="131">
        <f t="shared" si="284"/>
        <v>0</v>
      </c>
      <c r="AP206" s="131">
        <f t="shared" si="285"/>
        <v>0</v>
      </c>
      <c r="AQ206" s="131"/>
      <c r="AR206" s="131">
        <f t="shared" si="286"/>
        <v>0</v>
      </c>
      <c r="AS206" s="131">
        <f t="shared" si="332"/>
        <v>0</v>
      </c>
      <c r="AT206" s="131">
        <f t="shared" si="287"/>
        <v>0</v>
      </c>
      <c r="AU206" s="131">
        <f t="shared" si="288"/>
        <v>0</v>
      </c>
      <c r="AV206" s="131"/>
      <c r="AW206" s="131">
        <f t="shared" si="289"/>
        <v>353.75</v>
      </c>
      <c r="AX206" s="131">
        <f t="shared" si="263"/>
        <v>0</v>
      </c>
      <c r="AY206" s="131">
        <f t="shared" si="290"/>
        <v>0</v>
      </c>
      <c r="AZ206" s="131"/>
      <c r="BA206" s="131">
        <f t="shared" si="264"/>
        <v>0</v>
      </c>
      <c r="BB206" s="131"/>
      <c r="BC206" s="131"/>
      <c r="BD206" s="131">
        <f t="shared" si="291"/>
        <v>0</v>
      </c>
      <c r="BE206" s="131"/>
      <c r="BF206" s="131">
        <f t="shared" si="333"/>
        <v>0</v>
      </c>
      <c r="BG206" s="131">
        <f t="shared" si="334"/>
        <v>0</v>
      </c>
      <c r="BH206" s="131"/>
      <c r="BI206" s="131"/>
      <c r="BJ206" s="131"/>
      <c r="BK206" s="131">
        <f t="shared" si="335"/>
        <v>0</v>
      </c>
      <c r="BL206" s="131"/>
      <c r="BM206" s="131"/>
      <c r="BN206" s="131">
        <f t="shared" si="336"/>
        <v>0</v>
      </c>
      <c r="BO206" s="131"/>
      <c r="BP206" s="131">
        <f t="shared" si="337"/>
        <v>0</v>
      </c>
      <c r="BQ206" s="131"/>
      <c r="BR206" s="131"/>
      <c r="BS206" s="131"/>
      <c r="BT206" s="131"/>
      <c r="BU206" s="131"/>
      <c r="BV206" s="131">
        <f t="shared" si="338"/>
        <v>0</v>
      </c>
      <c r="BW206" s="131"/>
      <c r="BX206" s="131"/>
      <c r="BY206" s="131"/>
      <c r="BZ206" s="131">
        <f t="shared" si="339"/>
        <v>0</v>
      </c>
      <c r="CA206" s="131"/>
      <c r="CB206" s="136">
        <f t="shared" si="292"/>
        <v>165.08663357180151</v>
      </c>
      <c r="CC206" s="131">
        <f t="shared" si="293"/>
        <v>0</v>
      </c>
      <c r="CD206" s="136">
        <f t="shared" si="294"/>
        <v>0</v>
      </c>
      <c r="CE206" s="131">
        <f t="shared" si="262"/>
        <v>0</v>
      </c>
      <c r="CF206" s="136">
        <f t="shared" si="295"/>
        <v>0</v>
      </c>
      <c r="CG206" s="136"/>
      <c r="CH206" s="136">
        <f t="shared" ref="CH206:CH226" si="341">IF(A206=0," ",+CH205)</f>
        <v>0</v>
      </c>
      <c r="CI206" s="131">
        <f t="shared" si="296"/>
        <v>0</v>
      </c>
      <c r="CJ206" s="131"/>
      <c r="CK206" s="136">
        <f t="shared" si="297"/>
        <v>0</v>
      </c>
      <c r="CL206" s="136">
        <f t="shared" si="298"/>
        <v>0</v>
      </c>
      <c r="CM206" s="131">
        <f t="shared" si="299"/>
        <v>0</v>
      </c>
      <c r="CN206" s="136">
        <f t="shared" si="300"/>
        <v>0</v>
      </c>
      <c r="CO206" s="136">
        <f t="shared" si="301"/>
        <v>0</v>
      </c>
      <c r="CP206" s="136">
        <f t="shared" si="302"/>
        <v>0</v>
      </c>
      <c r="CQ206" s="136"/>
      <c r="CR206" s="136">
        <f t="shared" si="303"/>
        <v>0</v>
      </c>
      <c r="CS206" s="136"/>
      <c r="CT206" s="136"/>
      <c r="CU206" s="136"/>
      <c r="CV206" s="136"/>
      <c r="CW206" s="136"/>
      <c r="CX206" s="136"/>
      <c r="CY206" s="136"/>
      <c r="CZ206" s="136">
        <f t="shared" si="304"/>
        <v>0</v>
      </c>
      <c r="DA206" s="136">
        <f t="shared" si="305"/>
        <v>0</v>
      </c>
      <c r="DB206" s="136">
        <f t="shared" si="306"/>
        <v>0</v>
      </c>
      <c r="DC206" s="131">
        <f t="shared" si="266"/>
        <v>0</v>
      </c>
      <c r="DD206" s="131">
        <f t="shared" si="307"/>
        <v>0</v>
      </c>
      <c r="DE206" s="131">
        <f t="shared" si="308"/>
        <v>0</v>
      </c>
      <c r="DF206" s="131">
        <f t="shared" si="309"/>
        <v>0</v>
      </c>
      <c r="DG206" s="131">
        <f t="shared" si="310"/>
        <v>0</v>
      </c>
      <c r="DH206" s="131"/>
      <c r="DI206" s="131"/>
      <c r="DJ206" s="131"/>
      <c r="DK206" s="137">
        <f t="shared" si="340"/>
        <v>3791.5811116017489</v>
      </c>
      <c r="DL206" s="227" t="e">
        <f t="shared" si="311"/>
        <v>#REF!</v>
      </c>
      <c r="DM206" s="227" t="e">
        <f t="shared" si="312"/>
        <v>#REF!</v>
      </c>
      <c r="DN206" s="228" t="e">
        <f t="shared" si="267"/>
        <v>#REF!</v>
      </c>
      <c r="DO206" s="228">
        <f t="shared" si="313"/>
        <v>181.81087083894022</v>
      </c>
      <c r="DP206" s="228" t="e">
        <f t="shared" si="314"/>
        <v>#REF!</v>
      </c>
      <c r="DQ206" s="228" t="e">
        <f t="shared" si="315"/>
        <v>#REF!</v>
      </c>
    </row>
    <row r="207" spans="1:121">
      <c r="A207" s="132">
        <f t="shared" si="265"/>
        <v>197</v>
      </c>
      <c r="B207" s="18">
        <f t="shared" si="316"/>
        <v>197</v>
      </c>
      <c r="C207" s="18">
        <f>IF(A207=0," ",VLOOKUP(B207,'tosafot '!$A$7:$B$234,2,0))</f>
        <v>5.2023999999999999</v>
      </c>
      <c r="D207" s="220">
        <f t="shared" si="317"/>
        <v>228</v>
      </c>
      <c r="E207" s="130">
        <f t="shared" si="318"/>
        <v>12.2026</v>
      </c>
      <c r="F207" s="126">
        <f t="shared" si="319"/>
        <v>9</v>
      </c>
      <c r="G207" s="18" t="str">
        <f t="shared" si="320"/>
        <v>הבריאות</v>
      </c>
      <c r="H207" s="189">
        <f t="shared" si="321"/>
        <v>107</v>
      </c>
      <c r="I207" s="18">
        <f t="shared" si="322"/>
        <v>1</v>
      </c>
      <c r="J207" s="18" t="str">
        <f t="shared" si="323"/>
        <v>מינהלי - עובדי מדינה</v>
      </c>
      <c r="K207" s="189">
        <f t="shared" si="324"/>
        <v>1</v>
      </c>
      <c r="L207" s="18">
        <f t="shared" si="325"/>
        <v>12</v>
      </c>
      <c r="M207" s="129" t="str">
        <f t="shared" si="326"/>
        <v>17+</v>
      </c>
      <c r="N207" s="189"/>
      <c r="O207" s="132">
        <f t="shared" si="327"/>
        <v>1012</v>
      </c>
      <c r="P207" s="127">
        <f t="shared" si="328"/>
        <v>37</v>
      </c>
      <c r="Q207" s="127">
        <f t="shared" si="329"/>
        <v>22.75</v>
      </c>
      <c r="R207" s="128">
        <f t="shared" si="330"/>
        <v>92</v>
      </c>
      <c r="S207" s="130">
        <f t="shared" si="331"/>
        <v>1.2540512286990533</v>
      </c>
      <c r="T207" s="135">
        <f t="shared" si="268"/>
        <v>0</v>
      </c>
      <c r="U207" s="127">
        <f t="shared" si="269"/>
        <v>0</v>
      </c>
      <c r="V207" s="217">
        <v>0</v>
      </c>
      <c r="W207" s="191">
        <v>0</v>
      </c>
      <c r="X207" s="133">
        <v>0</v>
      </c>
      <c r="Y207" s="131">
        <f t="shared" si="270"/>
        <v>2438.5</v>
      </c>
      <c r="Z207" s="131">
        <f t="shared" si="271"/>
        <v>619.50392118264142</v>
      </c>
      <c r="AA207" s="242">
        <f t="shared" si="272"/>
        <v>3058.0039211826415</v>
      </c>
      <c r="AB207" s="131">
        <f t="shared" si="273"/>
        <v>0</v>
      </c>
      <c r="AC207" s="131">
        <f t="shared" si="274"/>
        <v>139.48055684730568</v>
      </c>
      <c r="AD207" s="131">
        <f t="shared" si="275"/>
        <v>0</v>
      </c>
      <c r="AE207" s="131">
        <f t="shared" si="276"/>
        <v>0</v>
      </c>
      <c r="AF207" s="131">
        <f t="shared" si="277"/>
        <v>75.260000000000005</v>
      </c>
      <c r="AG207" s="131">
        <f t="shared" si="278"/>
        <v>0</v>
      </c>
      <c r="AH207" s="131">
        <f t="shared" si="279"/>
        <v>0</v>
      </c>
      <c r="AI207" s="131">
        <f t="shared" si="280"/>
        <v>0</v>
      </c>
      <c r="AJ207" s="131">
        <f t="shared" si="281"/>
        <v>0</v>
      </c>
      <c r="AK207" s="131"/>
      <c r="AL207" s="131">
        <f t="shared" si="282"/>
        <v>0</v>
      </c>
      <c r="AM207" s="131"/>
      <c r="AN207" s="243">
        <f t="shared" si="283"/>
        <v>0</v>
      </c>
      <c r="AO207" s="131">
        <f t="shared" si="284"/>
        <v>0</v>
      </c>
      <c r="AP207" s="131">
        <f t="shared" si="285"/>
        <v>0</v>
      </c>
      <c r="AQ207" s="131"/>
      <c r="AR207" s="131">
        <f t="shared" si="286"/>
        <v>0</v>
      </c>
      <c r="AS207" s="131">
        <f t="shared" si="332"/>
        <v>0</v>
      </c>
      <c r="AT207" s="131">
        <f t="shared" si="287"/>
        <v>0</v>
      </c>
      <c r="AU207" s="131">
        <f t="shared" si="288"/>
        <v>0</v>
      </c>
      <c r="AV207" s="131"/>
      <c r="AW207" s="131">
        <f t="shared" si="289"/>
        <v>353.75</v>
      </c>
      <c r="AX207" s="131">
        <f t="shared" si="263"/>
        <v>0</v>
      </c>
      <c r="AY207" s="131">
        <f t="shared" si="290"/>
        <v>0</v>
      </c>
      <c r="AZ207" s="131"/>
      <c r="BA207" s="131">
        <f t="shared" si="264"/>
        <v>0</v>
      </c>
      <c r="BB207" s="131"/>
      <c r="BC207" s="131"/>
      <c r="BD207" s="131">
        <f t="shared" si="291"/>
        <v>0</v>
      </c>
      <c r="BE207" s="131"/>
      <c r="BF207" s="131">
        <f t="shared" si="333"/>
        <v>0</v>
      </c>
      <c r="BG207" s="131">
        <f t="shared" si="334"/>
        <v>0</v>
      </c>
      <c r="BH207" s="131"/>
      <c r="BI207" s="131"/>
      <c r="BJ207" s="131"/>
      <c r="BK207" s="131">
        <f t="shared" si="335"/>
        <v>0</v>
      </c>
      <c r="BL207" s="131"/>
      <c r="BM207" s="131"/>
      <c r="BN207" s="131">
        <f t="shared" si="336"/>
        <v>0</v>
      </c>
      <c r="BO207" s="131"/>
      <c r="BP207" s="131">
        <f t="shared" si="337"/>
        <v>0</v>
      </c>
      <c r="BQ207" s="131"/>
      <c r="BR207" s="131"/>
      <c r="BS207" s="131"/>
      <c r="BT207" s="131"/>
      <c r="BU207" s="131"/>
      <c r="BV207" s="131">
        <f t="shared" si="338"/>
        <v>0</v>
      </c>
      <c r="BW207" s="131"/>
      <c r="BX207" s="131"/>
      <c r="BY207" s="131"/>
      <c r="BZ207" s="131">
        <f t="shared" si="339"/>
        <v>0</v>
      </c>
      <c r="CA207" s="131"/>
      <c r="CB207" s="136">
        <f t="shared" si="292"/>
        <v>165.08663357180151</v>
      </c>
      <c r="CC207" s="131">
        <f t="shared" si="293"/>
        <v>0</v>
      </c>
      <c r="CD207" s="136">
        <f t="shared" si="294"/>
        <v>0</v>
      </c>
      <c r="CE207" s="131">
        <f t="shared" si="262"/>
        <v>0</v>
      </c>
      <c r="CF207" s="136">
        <f t="shared" si="295"/>
        <v>0</v>
      </c>
      <c r="CG207" s="136"/>
      <c r="CH207" s="136">
        <f t="shared" si="341"/>
        <v>0</v>
      </c>
      <c r="CI207" s="131">
        <f t="shared" si="296"/>
        <v>0</v>
      </c>
      <c r="CJ207" s="131"/>
      <c r="CK207" s="136">
        <f t="shared" si="297"/>
        <v>0</v>
      </c>
      <c r="CL207" s="136">
        <f t="shared" si="298"/>
        <v>0</v>
      </c>
      <c r="CM207" s="131">
        <f t="shared" si="299"/>
        <v>0</v>
      </c>
      <c r="CN207" s="136">
        <f t="shared" si="300"/>
        <v>0</v>
      </c>
      <c r="CO207" s="136">
        <f t="shared" si="301"/>
        <v>0</v>
      </c>
      <c r="CP207" s="136">
        <f t="shared" si="302"/>
        <v>0</v>
      </c>
      <c r="CQ207" s="136"/>
      <c r="CR207" s="136">
        <f t="shared" si="303"/>
        <v>0</v>
      </c>
      <c r="CS207" s="136"/>
      <c r="CT207" s="136"/>
      <c r="CU207" s="136"/>
      <c r="CV207" s="136"/>
      <c r="CW207" s="136"/>
      <c r="CX207" s="136"/>
      <c r="CY207" s="136"/>
      <c r="CZ207" s="136">
        <f t="shared" si="304"/>
        <v>0</v>
      </c>
      <c r="DA207" s="136">
        <f t="shared" si="305"/>
        <v>0</v>
      </c>
      <c r="DB207" s="136">
        <f t="shared" si="306"/>
        <v>0</v>
      </c>
      <c r="DC207" s="131">
        <f t="shared" si="266"/>
        <v>0</v>
      </c>
      <c r="DD207" s="131">
        <f t="shared" si="307"/>
        <v>0</v>
      </c>
      <c r="DE207" s="131">
        <f t="shared" si="308"/>
        <v>0</v>
      </c>
      <c r="DF207" s="131">
        <f t="shared" si="309"/>
        <v>0</v>
      </c>
      <c r="DG207" s="131">
        <f t="shared" si="310"/>
        <v>0</v>
      </c>
      <c r="DH207" s="131"/>
      <c r="DI207" s="131"/>
      <c r="DJ207" s="131"/>
      <c r="DK207" s="137">
        <f t="shared" si="340"/>
        <v>3791.5811116017489</v>
      </c>
      <c r="DL207" s="227" t="e">
        <f t="shared" si="311"/>
        <v>#REF!</v>
      </c>
      <c r="DM207" s="227" t="e">
        <f t="shared" si="312"/>
        <v>#REF!</v>
      </c>
      <c r="DN207" s="228" t="e">
        <f t="shared" si="267"/>
        <v>#REF!</v>
      </c>
      <c r="DO207" s="228">
        <f t="shared" si="313"/>
        <v>181.81087083894022</v>
      </c>
      <c r="DP207" s="228" t="e">
        <f t="shared" si="314"/>
        <v>#REF!</v>
      </c>
      <c r="DQ207" s="228" t="e">
        <f t="shared" si="315"/>
        <v>#REF!</v>
      </c>
    </row>
    <row r="208" spans="1:121">
      <c r="A208" s="132">
        <f t="shared" si="265"/>
        <v>198</v>
      </c>
      <c r="B208" s="18">
        <f t="shared" si="316"/>
        <v>198</v>
      </c>
      <c r="C208" s="18">
        <f>IF(A208=0," ",VLOOKUP(B208,'tosafot '!$A$7:$B$234,2,0))</f>
        <v>6.2023999999999999</v>
      </c>
      <c r="D208" s="220">
        <f t="shared" si="317"/>
        <v>228</v>
      </c>
      <c r="E208" s="130">
        <f t="shared" si="318"/>
        <v>12.2026</v>
      </c>
      <c r="F208" s="126">
        <f t="shared" si="319"/>
        <v>9</v>
      </c>
      <c r="G208" s="18" t="str">
        <f t="shared" si="320"/>
        <v>הבריאות</v>
      </c>
      <c r="H208" s="189">
        <f t="shared" si="321"/>
        <v>107</v>
      </c>
      <c r="I208" s="18">
        <f t="shared" si="322"/>
        <v>1</v>
      </c>
      <c r="J208" s="18" t="str">
        <f t="shared" si="323"/>
        <v>מינהלי - עובדי מדינה</v>
      </c>
      <c r="K208" s="189">
        <f t="shared" si="324"/>
        <v>1</v>
      </c>
      <c r="L208" s="18">
        <f t="shared" si="325"/>
        <v>12</v>
      </c>
      <c r="M208" s="129" t="str">
        <f t="shared" si="326"/>
        <v>17+</v>
      </c>
      <c r="N208" s="189"/>
      <c r="O208" s="132">
        <f t="shared" si="327"/>
        <v>1012</v>
      </c>
      <c r="P208" s="127">
        <f t="shared" si="328"/>
        <v>37</v>
      </c>
      <c r="Q208" s="127">
        <f t="shared" si="329"/>
        <v>22.75</v>
      </c>
      <c r="R208" s="128">
        <f t="shared" si="330"/>
        <v>92</v>
      </c>
      <c r="S208" s="130">
        <f t="shared" si="331"/>
        <v>1.2540512286990533</v>
      </c>
      <c r="T208" s="135">
        <f t="shared" si="268"/>
        <v>0</v>
      </c>
      <c r="U208" s="127">
        <f t="shared" si="269"/>
        <v>0</v>
      </c>
      <c r="V208" s="217">
        <v>0</v>
      </c>
      <c r="W208" s="191">
        <v>0</v>
      </c>
      <c r="X208" s="133">
        <v>0</v>
      </c>
      <c r="Y208" s="131">
        <f t="shared" si="270"/>
        <v>2438.5</v>
      </c>
      <c r="Z208" s="131">
        <f t="shared" si="271"/>
        <v>619.50392118264142</v>
      </c>
      <c r="AA208" s="242">
        <f t="shared" si="272"/>
        <v>3058.0039211826415</v>
      </c>
      <c r="AB208" s="131">
        <f t="shared" si="273"/>
        <v>0</v>
      </c>
      <c r="AC208" s="131">
        <f t="shared" si="274"/>
        <v>139.48055684730568</v>
      </c>
      <c r="AD208" s="131">
        <f t="shared" si="275"/>
        <v>0</v>
      </c>
      <c r="AE208" s="131">
        <f t="shared" si="276"/>
        <v>0</v>
      </c>
      <c r="AF208" s="131">
        <f t="shared" si="277"/>
        <v>75.260000000000005</v>
      </c>
      <c r="AG208" s="131">
        <f t="shared" si="278"/>
        <v>0</v>
      </c>
      <c r="AH208" s="131">
        <f t="shared" si="279"/>
        <v>0</v>
      </c>
      <c r="AI208" s="131">
        <f t="shared" si="280"/>
        <v>0</v>
      </c>
      <c r="AJ208" s="131">
        <f t="shared" si="281"/>
        <v>0</v>
      </c>
      <c r="AK208" s="131"/>
      <c r="AL208" s="131">
        <f t="shared" si="282"/>
        <v>0</v>
      </c>
      <c r="AM208" s="131"/>
      <c r="AN208" s="243">
        <f t="shared" si="283"/>
        <v>0</v>
      </c>
      <c r="AO208" s="131">
        <f t="shared" si="284"/>
        <v>0</v>
      </c>
      <c r="AP208" s="131">
        <f t="shared" si="285"/>
        <v>0</v>
      </c>
      <c r="AQ208" s="131"/>
      <c r="AR208" s="131">
        <f t="shared" si="286"/>
        <v>0</v>
      </c>
      <c r="AS208" s="131">
        <f t="shared" si="332"/>
        <v>0</v>
      </c>
      <c r="AT208" s="131">
        <f t="shared" si="287"/>
        <v>0</v>
      </c>
      <c r="AU208" s="131">
        <f t="shared" si="288"/>
        <v>0</v>
      </c>
      <c r="AV208" s="131"/>
      <c r="AW208" s="131">
        <f t="shared" si="289"/>
        <v>353.75</v>
      </c>
      <c r="AX208" s="131">
        <f t="shared" si="263"/>
        <v>0</v>
      </c>
      <c r="AY208" s="131">
        <f t="shared" si="290"/>
        <v>0</v>
      </c>
      <c r="AZ208" s="131"/>
      <c r="BA208" s="131">
        <f t="shared" si="264"/>
        <v>0</v>
      </c>
      <c r="BB208" s="131"/>
      <c r="BC208" s="131"/>
      <c r="BD208" s="131">
        <f t="shared" si="291"/>
        <v>0</v>
      </c>
      <c r="BE208" s="131"/>
      <c r="BF208" s="131">
        <f t="shared" si="333"/>
        <v>0</v>
      </c>
      <c r="BG208" s="131">
        <f t="shared" si="334"/>
        <v>0</v>
      </c>
      <c r="BH208" s="131"/>
      <c r="BI208" s="131"/>
      <c r="BJ208" s="131"/>
      <c r="BK208" s="131">
        <f t="shared" si="335"/>
        <v>0</v>
      </c>
      <c r="BL208" s="131"/>
      <c r="BM208" s="131"/>
      <c r="BN208" s="131">
        <f t="shared" si="336"/>
        <v>0</v>
      </c>
      <c r="BO208" s="131"/>
      <c r="BP208" s="131">
        <f t="shared" si="337"/>
        <v>0</v>
      </c>
      <c r="BQ208" s="131"/>
      <c r="BR208" s="131"/>
      <c r="BS208" s="131"/>
      <c r="BT208" s="131"/>
      <c r="BU208" s="131"/>
      <c r="BV208" s="131">
        <f t="shared" si="338"/>
        <v>0</v>
      </c>
      <c r="BW208" s="131"/>
      <c r="BX208" s="131"/>
      <c r="BY208" s="131"/>
      <c r="BZ208" s="131">
        <f t="shared" si="339"/>
        <v>0</v>
      </c>
      <c r="CA208" s="131"/>
      <c r="CB208" s="136">
        <f t="shared" si="292"/>
        <v>165.08663357180151</v>
      </c>
      <c r="CC208" s="131">
        <f t="shared" si="293"/>
        <v>0</v>
      </c>
      <c r="CD208" s="136">
        <f t="shared" si="294"/>
        <v>0</v>
      </c>
      <c r="CE208" s="131">
        <f t="shared" si="262"/>
        <v>0</v>
      </c>
      <c r="CF208" s="136">
        <f t="shared" si="295"/>
        <v>0</v>
      </c>
      <c r="CG208" s="136"/>
      <c r="CH208" s="136">
        <f t="shared" si="341"/>
        <v>0</v>
      </c>
      <c r="CI208" s="131">
        <f t="shared" si="296"/>
        <v>0</v>
      </c>
      <c r="CJ208" s="131"/>
      <c r="CK208" s="136">
        <f t="shared" si="297"/>
        <v>0</v>
      </c>
      <c r="CL208" s="136">
        <f t="shared" si="298"/>
        <v>0</v>
      </c>
      <c r="CM208" s="131">
        <f t="shared" si="299"/>
        <v>0</v>
      </c>
      <c r="CN208" s="136">
        <f t="shared" si="300"/>
        <v>0</v>
      </c>
      <c r="CO208" s="136">
        <f t="shared" si="301"/>
        <v>0</v>
      </c>
      <c r="CP208" s="136">
        <f t="shared" si="302"/>
        <v>0</v>
      </c>
      <c r="CQ208" s="136"/>
      <c r="CR208" s="136">
        <f t="shared" si="303"/>
        <v>0</v>
      </c>
      <c r="CS208" s="136"/>
      <c r="CT208" s="136"/>
      <c r="CU208" s="136"/>
      <c r="CV208" s="136"/>
      <c r="CW208" s="136"/>
      <c r="CX208" s="136"/>
      <c r="CY208" s="136"/>
      <c r="CZ208" s="136">
        <f t="shared" si="304"/>
        <v>0</v>
      </c>
      <c r="DA208" s="136">
        <f t="shared" si="305"/>
        <v>0</v>
      </c>
      <c r="DB208" s="136">
        <f t="shared" si="306"/>
        <v>0</v>
      </c>
      <c r="DC208" s="131">
        <f t="shared" si="266"/>
        <v>0</v>
      </c>
      <c r="DD208" s="131">
        <f t="shared" si="307"/>
        <v>0</v>
      </c>
      <c r="DE208" s="131">
        <f t="shared" si="308"/>
        <v>0</v>
      </c>
      <c r="DF208" s="131">
        <f t="shared" si="309"/>
        <v>0</v>
      </c>
      <c r="DG208" s="131">
        <f t="shared" si="310"/>
        <v>0</v>
      </c>
      <c r="DH208" s="131"/>
      <c r="DI208" s="131"/>
      <c r="DJ208" s="131"/>
      <c r="DK208" s="137">
        <f t="shared" si="340"/>
        <v>3791.5811116017489</v>
      </c>
      <c r="DL208" s="227" t="e">
        <f t="shared" si="311"/>
        <v>#REF!</v>
      </c>
      <c r="DM208" s="227" t="e">
        <f t="shared" si="312"/>
        <v>#REF!</v>
      </c>
      <c r="DN208" s="228" t="e">
        <f t="shared" si="267"/>
        <v>#REF!</v>
      </c>
      <c r="DO208" s="228">
        <f t="shared" si="313"/>
        <v>181.81087083894022</v>
      </c>
      <c r="DP208" s="228" t="e">
        <f t="shared" si="314"/>
        <v>#REF!</v>
      </c>
      <c r="DQ208" s="228" t="e">
        <f t="shared" si="315"/>
        <v>#REF!</v>
      </c>
    </row>
    <row r="209" spans="1:121">
      <c r="A209" s="132">
        <f t="shared" si="265"/>
        <v>199</v>
      </c>
      <c r="B209" s="18">
        <f t="shared" si="316"/>
        <v>199</v>
      </c>
      <c r="C209" s="18">
        <f>IF(A209=0," ",VLOOKUP(B209,'tosafot '!$A$7:$B$234,2,0))</f>
        <v>7.2023999999999999</v>
      </c>
      <c r="D209" s="220">
        <f t="shared" si="317"/>
        <v>228</v>
      </c>
      <c r="E209" s="130">
        <f t="shared" si="318"/>
        <v>12.2026</v>
      </c>
      <c r="F209" s="126">
        <f t="shared" si="319"/>
        <v>9</v>
      </c>
      <c r="G209" s="18" t="str">
        <f t="shared" si="320"/>
        <v>הבריאות</v>
      </c>
      <c r="H209" s="189">
        <f t="shared" si="321"/>
        <v>107</v>
      </c>
      <c r="I209" s="18">
        <f t="shared" si="322"/>
        <v>1</v>
      </c>
      <c r="J209" s="18" t="str">
        <f t="shared" si="323"/>
        <v>מינהלי - עובדי מדינה</v>
      </c>
      <c r="K209" s="189">
        <f t="shared" si="324"/>
        <v>1</v>
      </c>
      <c r="L209" s="18">
        <f t="shared" si="325"/>
        <v>12</v>
      </c>
      <c r="M209" s="129" t="str">
        <f t="shared" si="326"/>
        <v>17+</v>
      </c>
      <c r="N209" s="189"/>
      <c r="O209" s="132">
        <f t="shared" si="327"/>
        <v>1012</v>
      </c>
      <c r="P209" s="127">
        <f t="shared" si="328"/>
        <v>37</v>
      </c>
      <c r="Q209" s="127">
        <f t="shared" si="329"/>
        <v>22.75</v>
      </c>
      <c r="R209" s="128">
        <f t="shared" si="330"/>
        <v>92</v>
      </c>
      <c r="S209" s="130">
        <f t="shared" si="331"/>
        <v>1.2540512286990533</v>
      </c>
      <c r="T209" s="135">
        <f t="shared" si="268"/>
        <v>0</v>
      </c>
      <c r="U209" s="127">
        <f t="shared" si="269"/>
        <v>0</v>
      </c>
      <c r="V209" s="217">
        <v>0</v>
      </c>
      <c r="W209" s="191">
        <v>0</v>
      </c>
      <c r="X209" s="133">
        <v>0</v>
      </c>
      <c r="Y209" s="131">
        <f t="shared" si="270"/>
        <v>2438.5</v>
      </c>
      <c r="Z209" s="131">
        <f t="shared" si="271"/>
        <v>619.50392118264142</v>
      </c>
      <c r="AA209" s="242">
        <f t="shared" si="272"/>
        <v>3058.0039211826415</v>
      </c>
      <c r="AB209" s="131">
        <f t="shared" si="273"/>
        <v>0</v>
      </c>
      <c r="AC209" s="131">
        <f t="shared" si="274"/>
        <v>139.48055684730568</v>
      </c>
      <c r="AD209" s="131">
        <f t="shared" si="275"/>
        <v>0</v>
      </c>
      <c r="AE209" s="131">
        <f t="shared" si="276"/>
        <v>0</v>
      </c>
      <c r="AF209" s="131">
        <f t="shared" si="277"/>
        <v>75.260000000000005</v>
      </c>
      <c r="AG209" s="131">
        <f t="shared" si="278"/>
        <v>0</v>
      </c>
      <c r="AH209" s="131">
        <f t="shared" si="279"/>
        <v>0</v>
      </c>
      <c r="AI209" s="131">
        <f t="shared" si="280"/>
        <v>0</v>
      </c>
      <c r="AJ209" s="131">
        <f t="shared" si="281"/>
        <v>0</v>
      </c>
      <c r="AK209" s="131"/>
      <c r="AL209" s="131">
        <f t="shared" si="282"/>
        <v>0</v>
      </c>
      <c r="AM209" s="131"/>
      <c r="AN209" s="243">
        <f t="shared" si="283"/>
        <v>0</v>
      </c>
      <c r="AO209" s="131">
        <f t="shared" si="284"/>
        <v>0</v>
      </c>
      <c r="AP209" s="131">
        <f t="shared" si="285"/>
        <v>0</v>
      </c>
      <c r="AQ209" s="131"/>
      <c r="AR209" s="131">
        <f t="shared" si="286"/>
        <v>0</v>
      </c>
      <c r="AS209" s="131">
        <f t="shared" si="332"/>
        <v>0</v>
      </c>
      <c r="AT209" s="131">
        <f t="shared" si="287"/>
        <v>0</v>
      </c>
      <c r="AU209" s="131">
        <f t="shared" si="288"/>
        <v>0</v>
      </c>
      <c r="AV209" s="131"/>
      <c r="AW209" s="131">
        <f t="shared" si="289"/>
        <v>353.75</v>
      </c>
      <c r="AX209" s="131">
        <f t="shared" si="263"/>
        <v>0</v>
      </c>
      <c r="AY209" s="131">
        <f t="shared" si="290"/>
        <v>0</v>
      </c>
      <c r="AZ209" s="131"/>
      <c r="BA209" s="131">
        <f t="shared" si="264"/>
        <v>0</v>
      </c>
      <c r="BB209" s="131"/>
      <c r="BC209" s="131"/>
      <c r="BD209" s="131">
        <f t="shared" si="291"/>
        <v>0</v>
      </c>
      <c r="BE209" s="131"/>
      <c r="BF209" s="131">
        <f t="shared" si="333"/>
        <v>0</v>
      </c>
      <c r="BG209" s="131">
        <f t="shared" si="334"/>
        <v>0</v>
      </c>
      <c r="BH209" s="131"/>
      <c r="BI209" s="131"/>
      <c r="BJ209" s="131"/>
      <c r="BK209" s="131">
        <f t="shared" si="335"/>
        <v>0</v>
      </c>
      <c r="BL209" s="131"/>
      <c r="BM209" s="131"/>
      <c r="BN209" s="131">
        <f t="shared" si="336"/>
        <v>0</v>
      </c>
      <c r="BO209" s="131"/>
      <c r="BP209" s="131">
        <f t="shared" si="337"/>
        <v>0</v>
      </c>
      <c r="BQ209" s="131"/>
      <c r="BR209" s="131"/>
      <c r="BS209" s="131"/>
      <c r="BT209" s="131"/>
      <c r="BU209" s="131"/>
      <c r="BV209" s="131">
        <f t="shared" si="338"/>
        <v>0</v>
      </c>
      <c r="BW209" s="131"/>
      <c r="BX209" s="131"/>
      <c r="BY209" s="131"/>
      <c r="BZ209" s="131">
        <f t="shared" si="339"/>
        <v>0</v>
      </c>
      <c r="CA209" s="131"/>
      <c r="CB209" s="136">
        <f t="shared" si="292"/>
        <v>165.08663357180151</v>
      </c>
      <c r="CC209" s="131">
        <f t="shared" si="293"/>
        <v>0</v>
      </c>
      <c r="CD209" s="136">
        <f t="shared" si="294"/>
        <v>0</v>
      </c>
      <c r="CE209" s="131">
        <f t="shared" ref="CE209:CE226" si="342">IF(A209=0," ",CE208)</f>
        <v>0</v>
      </c>
      <c r="CF209" s="136">
        <f t="shared" si="295"/>
        <v>0</v>
      </c>
      <c r="CG209" s="136"/>
      <c r="CH209" s="136">
        <f t="shared" si="341"/>
        <v>0</v>
      </c>
      <c r="CI209" s="131">
        <f t="shared" si="296"/>
        <v>0</v>
      </c>
      <c r="CJ209" s="131"/>
      <c r="CK209" s="136">
        <f t="shared" si="297"/>
        <v>0</v>
      </c>
      <c r="CL209" s="136">
        <f t="shared" si="298"/>
        <v>0</v>
      </c>
      <c r="CM209" s="131">
        <f t="shared" si="299"/>
        <v>0</v>
      </c>
      <c r="CN209" s="136">
        <f t="shared" si="300"/>
        <v>0</v>
      </c>
      <c r="CO209" s="136">
        <f t="shared" si="301"/>
        <v>0</v>
      </c>
      <c r="CP209" s="136">
        <f t="shared" si="302"/>
        <v>0</v>
      </c>
      <c r="CQ209" s="136"/>
      <c r="CR209" s="136">
        <f t="shared" si="303"/>
        <v>0</v>
      </c>
      <c r="CS209" s="136"/>
      <c r="CT209" s="136"/>
      <c r="CU209" s="136"/>
      <c r="CV209" s="136"/>
      <c r="CW209" s="136"/>
      <c r="CX209" s="136"/>
      <c r="CY209" s="136"/>
      <c r="CZ209" s="136">
        <f t="shared" si="304"/>
        <v>0</v>
      </c>
      <c r="DA209" s="136">
        <f t="shared" si="305"/>
        <v>0</v>
      </c>
      <c r="DB209" s="136">
        <f t="shared" si="306"/>
        <v>0</v>
      </c>
      <c r="DC209" s="131">
        <f t="shared" si="266"/>
        <v>0</v>
      </c>
      <c r="DD209" s="131">
        <f t="shared" si="307"/>
        <v>0</v>
      </c>
      <c r="DE209" s="131">
        <f t="shared" si="308"/>
        <v>0</v>
      </c>
      <c r="DF209" s="131">
        <f t="shared" si="309"/>
        <v>0</v>
      </c>
      <c r="DG209" s="131">
        <f t="shared" si="310"/>
        <v>0</v>
      </c>
      <c r="DH209" s="131"/>
      <c r="DI209" s="131"/>
      <c r="DJ209" s="131"/>
      <c r="DK209" s="137">
        <f t="shared" si="340"/>
        <v>3791.5811116017489</v>
      </c>
      <c r="DL209" s="227" t="e">
        <f t="shared" si="311"/>
        <v>#REF!</v>
      </c>
      <c r="DM209" s="227" t="e">
        <f t="shared" si="312"/>
        <v>#REF!</v>
      </c>
      <c r="DN209" s="228" t="e">
        <f t="shared" si="267"/>
        <v>#REF!</v>
      </c>
      <c r="DO209" s="228">
        <f t="shared" si="313"/>
        <v>181.81087083894022</v>
      </c>
      <c r="DP209" s="228" t="e">
        <f t="shared" si="314"/>
        <v>#REF!</v>
      </c>
      <c r="DQ209" s="228" t="e">
        <f t="shared" si="315"/>
        <v>#REF!</v>
      </c>
    </row>
    <row r="210" spans="1:121">
      <c r="A210" s="132">
        <f t="shared" si="265"/>
        <v>200</v>
      </c>
      <c r="B210" s="18">
        <f t="shared" si="316"/>
        <v>200</v>
      </c>
      <c r="C210" s="18">
        <f>IF(A210=0," ",VLOOKUP(B210,'tosafot '!$A$7:$B$234,2,0))</f>
        <v>8.2024000000000008</v>
      </c>
      <c r="D210" s="220">
        <f t="shared" si="317"/>
        <v>228</v>
      </c>
      <c r="E210" s="130">
        <f t="shared" si="318"/>
        <v>12.2026</v>
      </c>
      <c r="F210" s="126">
        <f t="shared" si="319"/>
        <v>9</v>
      </c>
      <c r="G210" s="18" t="str">
        <f t="shared" si="320"/>
        <v>הבריאות</v>
      </c>
      <c r="H210" s="189">
        <f t="shared" si="321"/>
        <v>107</v>
      </c>
      <c r="I210" s="18">
        <f t="shared" si="322"/>
        <v>1</v>
      </c>
      <c r="J210" s="18" t="str">
        <f t="shared" si="323"/>
        <v>מינהלי - עובדי מדינה</v>
      </c>
      <c r="K210" s="189">
        <f t="shared" si="324"/>
        <v>1</v>
      </c>
      <c r="L210" s="18">
        <f t="shared" si="325"/>
        <v>12</v>
      </c>
      <c r="M210" s="129" t="str">
        <f t="shared" si="326"/>
        <v>17+</v>
      </c>
      <c r="N210" s="189"/>
      <c r="O210" s="132">
        <f t="shared" si="327"/>
        <v>1012</v>
      </c>
      <c r="P210" s="127">
        <f t="shared" si="328"/>
        <v>37</v>
      </c>
      <c r="Q210" s="127">
        <f t="shared" si="329"/>
        <v>22.75</v>
      </c>
      <c r="R210" s="128">
        <f t="shared" si="330"/>
        <v>92</v>
      </c>
      <c r="S210" s="130">
        <f t="shared" si="331"/>
        <v>1.2540512286990533</v>
      </c>
      <c r="T210" s="135">
        <f t="shared" si="268"/>
        <v>0</v>
      </c>
      <c r="U210" s="127">
        <f t="shared" si="269"/>
        <v>0</v>
      </c>
      <c r="V210" s="217">
        <v>0</v>
      </c>
      <c r="W210" s="191">
        <v>0</v>
      </c>
      <c r="X210" s="133">
        <v>0</v>
      </c>
      <c r="Y210" s="131">
        <f t="shared" si="270"/>
        <v>2438.5</v>
      </c>
      <c r="Z210" s="131">
        <f t="shared" si="271"/>
        <v>619.50392118264142</v>
      </c>
      <c r="AA210" s="242">
        <f t="shared" si="272"/>
        <v>3058.0039211826415</v>
      </c>
      <c r="AB210" s="131">
        <f t="shared" si="273"/>
        <v>0</v>
      </c>
      <c r="AC210" s="131">
        <f t="shared" si="274"/>
        <v>139.48055684730568</v>
      </c>
      <c r="AD210" s="131">
        <f t="shared" si="275"/>
        <v>0</v>
      </c>
      <c r="AE210" s="131">
        <f t="shared" si="276"/>
        <v>0</v>
      </c>
      <c r="AF210" s="131">
        <f t="shared" si="277"/>
        <v>75.260000000000005</v>
      </c>
      <c r="AG210" s="131">
        <f t="shared" si="278"/>
        <v>0</v>
      </c>
      <c r="AH210" s="131">
        <f t="shared" si="279"/>
        <v>0</v>
      </c>
      <c r="AI210" s="131">
        <f t="shared" si="280"/>
        <v>0</v>
      </c>
      <c r="AJ210" s="131">
        <f t="shared" si="281"/>
        <v>0</v>
      </c>
      <c r="AK210" s="131"/>
      <c r="AL210" s="131">
        <f t="shared" si="282"/>
        <v>0</v>
      </c>
      <c r="AM210" s="131"/>
      <c r="AN210" s="243">
        <f t="shared" si="283"/>
        <v>0</v>
      </c>
      <c r="AO210" s="131">
        <f t="shared" si="284"/>
        <v>0</v>
      </c>
      <c r="AP210" s="131">
        <f t="shared" si="285"/>
        <v>0</v>
      </c>
      <c r="AQ210" s="131"/>
      <c r="AR210" s="131">
        <f t="shared" si="286"/>
        <v>0</v>
      </c>
      <c r="AS210" s="131">
        <f t="shared" si="332"/>
        <v>0</v>
      </c>
      <c r="AT210" s="131">
        <f t="shared" si="287"/>
        <v>0</v>
      </c>
      <c r="AU210" s="131">
        <f t="shared" si="288"/>
        <v>0</v>
      </c>
      <c r="AV210" s="131"/>
      <c r="AW210" s="131">
        <f t="shared" si="289"/>
        <v>353.75</v>
      </c>
      <c r="AX210" s="131">
        <f t="shared" ref="AX210:AX226" si="343">IF(A209=0," ",AX209)</f>
        <v>0</v>
      </c>
      <c r="AY210" s="131">
        <f t="shared" si="290"/>
        <v>0</v>
      </c>
      <c r="AZ210" s="131"/>
      <c r="BA210" s="131">
        <f t="shared" ref="BA210:BA226" si="344">IF(A209=0," ",BA209)</f>
        <v>0</v>
      </c>
      <c r="BB210" s="131"/>
      <c r="BC210" s="131"/>
      <c r="BD210" s="131">
        <f t="shared" si="291"/>
        <v>0</v>
      </c>
      <c r="BE210" s="131"/>
      <c r="BF210" s="131">
        <f t="shared" si="333"/>
        <v>0</v>
      </c>
      <c r="BG210" s="131">
        <f t="shared" si="334"/>
        <v>0</v>
      </c>
      <c r="BH210" s="131"/>
      <c r="BI210" s="131"/>
      <c r="BJ210" s="131"/>
      <c r="BK210" s="131">
        <f t="shared" si="335"/>
        <v>0</v>
      </c>
      <c r="BL210" s="131"/>
      <c r="BM210" s="131"/>
      <c r="BN210" s="131">
        <f t="shared" si="336"/>
        <v>0</v>
      </c>
      <c r="BO210" s="131"/>
      <c r="BP210" s="131">
        <f t="shared" si="337"/>
        <v>0</v>
      </c>
      <c r="BQ210" s="131"/>
      <c r="BR210" s="131"/>
      <c r="BS210" s="131"/>
      <c r="BT210" s="131"/>
      <c r="BU210" s="131"/>
      <c r="BV210" s="131">
        <f t="shared" si="338"/>
        <v>0</v>
      </c>
      <c r="BW210" s="131"/>
      <c r="BX210" s="131"/>
      <c r="BY210" s="131"/>
      <c r="BZ210" s="131">
        <f t="shared" si="339"/>
        <v>0</v>
      </c>
      <c r="CA210" s="131"/>
      <c r="CB210" s="136">
        <f t="shared" si="292"/>
        <v>165.08663357180151</v>
      </c>
      <c r="CC210" s="131">
        <f t="shared" si="293"/>
        <v>0</v>
      </c>
      <c r="CD210" s="136">
        <f t="shared" si="294"/>
        <v>0</v>
      </c>
      <c r="CE210" s="131">
        <f t="shared" si="342"/>
        <v>0</v>
      </c>
      <c r="CF210" s="136">
        <f t="shared" si="295"/>
        <v>0</v>
      </c>
      <c r="CG210" s="136"/>
      <c r="CH210" s="136">
        <f t="shared" si="341"/>
        <v>0</v>
      </c>
      <c r="CI210" s="131">
        <f t="shared" si="296"/>
        <v>0</v>
      </c>
      <c r="CJ210" s="131"/>
      <c r="CK210" s="136">
        <f t="shared" si="297"/>
        <v>0</v>
      </c>
      <c r="CL210" s="136">
        <f t="shared" si="298"/>
        <v>0</v>
      </c>
      <c r="CM210" s="131">
        <f t="shared" si="299"/>
        <v>0</v>
      </c>
      <c r="CN210" s="136">
        <f t="shared" si="300"/>
        <v>0</v>
      </c>
      <c r="CO210" s="136">
        <f t="shared" si="301"/>
        <v>0</v>
      </c>
      <c r="CP210" s="136">
        <f t="shared" si="302"/>
        <v>0</v>
      </c>
      <c r="CQ210" s="136"/>
      <c r="CR210" s="136">
        <f t="shared" si="303"/>
        <v>0</v>
      </c>
      <c r="CS210" s="136"/>
      <c r="CT210" s="136"/>
      <c r="CU210" s="136"/>
      <c r="CV210" s="136"/>
      <c r="CW210" s="136"/>
      <c r="CX210" s="136"/>
      <c r="CY210" s="136"/>
      <c r="CZ210" s="136">
        <f t="shared" si="304"/>
        <v>0</v>
      </c>
      <c r="DA210" s="136">
        <f t="shared" si="305"/>
        <v>0</v>
      </c>
      <c r="DB210" s="136">
        <f t="shared" si="306"/>
        <v>0</v>
      </c>
      <c r="DC210" s="131">
        <f t="shared" si="266"/>
        <v>0</v>
      </c>
      <c r="DD210" s="131">
        <f t="shared" si="307"/>
        <v>0</v>
      </c>
      <c r="DE210" s="131">
        <f t="shared" si="308"/>
        <v>0</v>
      </c>
      <c r="DF210" s="131">
        <f t="shared" si="309"/>
        <v>0</v>
      </c>
      <c r="DG210" s="131">
        <f t="shared" si="310"/>
        <v>0</v>
      </c>
      <c r="DH210" s="131"/>
      <c r="DI210" s="131"/>
      <c r="DJ210" s="131"/>
      <c r="DK210" s="137">
        <f t="shared" si="340"/>
        <v>3791.5811116017489</v>
      </c>
      <c r="DL210" s="227" t="e">
        <f t="shared" si="311"/>
        <v>#REF!</v>
      </c>
      <c r="DM210" s="227" t="e">
        <f t="shared" si="312"/>
        <v>#REF!</v>
      </c>
      <c r="DN210" s="228" t="e">
        <f t="shared" si="267"/>
        <v>#REF!</v>
      </c>
      <c r="DO210" s="228">
        <f t="shared" si="313"/>
        <v>181.81087083894022</v>
      </c>
      <c r="DP210" s="228" t="e">
        <f t="shared" si="314"/>
        <v>#REF!</v>
      </c>
      <c r="DQ210" s="228" t="e">
        <f t="shared" si="315"/>
        <v>#REF!</v>
      </c>
    </row>
    <row r="211" spans="1:121">
      <c r="A211" s="132">
        <f t="shared" si="265"/>
        <v>201</v>
      </c>
      <c r="B211" s="18">
        <f t="shared" si="316"/>
        <v>201</v>
      </c>
      <c r="C211" s="18">
        <f>IF(A211=0," ",VLOOKUP(B211,'tosafot '!$A$7:$B$234,2,0))</f>
        <v>9.2024000000000008</v>
      </c>
      <c r="D211" s="220">
        <f t="shared" si="317"/>
        <v>228</v>
      </c>
      <c r="E211" s="130">
        <f t="shared" si="318"/>
        <v>12.2026</v>
      </c>
      <c r="F211" s="126">
        <f t="shared" si="319"/>
        <v>9</v>
      </c>
      <c r="G211" s="18" t="str">
        <f t="shared" si="320"/>
        <v>הבריאות</v>
      </c>
      <c r="H211" s="189">
        <f t="shared" si="321"/>
        <v>107</v>
      </c>
      <c r="I211" s="18">
        <f t="shared" si="322"/>
        <v>1</v>
      </c>
      <c r="J211" s="18" t="str">
        <f t="shared" si="323"/>
        <v>מינהלי - עובדי מדינה</v>
      </c>
      <c r="K211" s="189">
        <f t="shared" si="324"/>
        <v>1</v>
      </c>
      <c r="L211" s="18">
        <f t="shared" si="325"/>
        <v>12</v>
      </c>
      <c r="M211" s="129" t="str">
        <f t="shared" si="326"/>
        <v>17+</v>
      </c>
      <c r="N211" s="189"/>
      <c r="O211" s="132">
        <f t="shared" si="327"/>
        <v>1012</v>
      </c>
      <c r="P211" s="127">
        <f t="shared" si="328"/>
        <v>37</v>
      </c>
      <c r="Q211" s="127">
        <f t="shared" si="329"/>
        <v>22.75</v>
      </c>
      <c r="R211" s="128">
        <f t="shared" si="330"/>
        <v>92</v>
      </c>
      <c r="S211" s="130">
        <f t="shared" si="331"/>
        <v>1.2540512286990533</v>
      </c>
      <c r="T211" s="135">
        <f t="shared" si="268"/>
        <v>0</v>
      </c>
      <c r="U211" s="127">
        <f t="shared" si="269"/>
        <v>0</v>
      </c>
      <c r="V211" s="217">
        <v>0</v>
      </c>
      <c r="W211" s="191">
        <v>0</v>
      </c>
      <c r="X211" s="133">
        <v>0</v>
      </c>
      <c r="Y211" s="131">
        <f t="shared" si="270"/>
        <v>2438.5</v>
      </c>
      <c r="Z211" s="131">
        <f t="shared" si="271"/>
        <v>619.50392118264142</v>
      </c>
      <c r="AA211" s="242">
        <f t="shared" si="272"/>
        <v>3058.0039211826415</v>
      </c>
      <c r="AB211" s="131">
        <f t="shared" si="273"/>
        <v>0</v>
      </c>
      <c r="AC211" s="131">
        <f t="shared" si="274"/>
        <v>139.48055684730568</v>
      </c>
      <c r="AD211" s="131">
        <f t="shared" si="275"/>
        <v>0</v>
      </c>
      <c r="AE211" s="131">
        <f t="shared" si="276"/>
        <v>0</v>
      </c>
      <c r="AF211" s="131">
        <f t="shared" si="277"/>
        <v>75.260000000000005</v>
      </c>
      <c r="AG211" s="131">
        <f t="shared" si="278"/>
        <v>0</v>
      </c>
      <c r="AH211" s="131">
        <f t="shared" si="279"/>
        <v>0</v>
      </c>
      <c r="AI211" s="131">
        <f t="shared" si="280"/>
        <v>0</v>
      </c>
      <c r="AJ211" s="131">
        <f t="shared" si="281"/>
        <v>0</v>
      </c>
      <c r="AK211" s="131"/>
      <c r="AL211" s="131">
        <f t="shared" si="282"/>
        <v>0</v>
      </c>
      <c r="AM211" s="131"/>
      <c r="AN211" s="243">
        <f t="shared" si="283"/>
        <v>0</v>
      </c>
      <c r="AO211" s="131">
        <f t="shared" si="284"/>
        <v>0</v>
      </c>
      <c r="AP211" s="131">
        <f t="shared" si="285"/>
        <v>0</v>
      </c>
      <c r="AQ211" s="131"/>
      <c r="AR211" s="131">
        <f t="shared" si="286"/>
        <v>0</v>
      </c>
      <c r="AS211" s="131">
        <f t="shared" si="332"/>
        <v>0</v>
      </c>
      <c r="AT211" s="131">
        <f t="shared" si="287"/>
        <v>0</v>
      </c>
      <c r="AU211" s="131">
        <f t="shared" si="288"/>
        <v>0</v>
      </c>
      <c r="AV211" s="131"/>
      <c r="AW211" s="131">
        <f t="shared" si="289"/>
        <v>353.75</v>
      </c>
      <c r="AX211" s="131">
        <f t="shared" si="343"/>
        <v>0</v>
      </c>
      <c r="AY211" s="131">
        <f t="shared" si="290"/>
        <v>0</v>
      </c>
      <c r="AZ211" s="131"/>
      <c r="BA211" s="131">
        <f t="shared" si="344"/>
        <v>0</v>
      </c>
      <c r="BB211" s="131"/>
      <c r="BC211" s="131"/>
      <c r="BD211" s="131">
        <f t="shared" si="291"/>
        <v>0</v>
      </c>
      <c r="BE211" s="131"/>
      <c r="BF211" s="131">
        <f t="shared" si="333"/>
        <v>0</v>
      </c>
      <c r="BG211" s="131">
        <f t="shared" si="334"/>
        <v>0</v>
      </c>
      <c r="BH211" s="131"/>
      <c r="BI211" s="131"/>
      <c r="BJ211" s="131"/>
      <c r="BK211" s="131">
        <f t="shared" si="335"/>
        <v>0</v>
      </c>
      <c r="BL211" s="131"/>
      <c r="BM211" s="131"/>
      <c r="BN211" s="131">
        <f t="shared" si="336"/>
        <v>0</v>
      </c>
      <c r="BO211" s="131"/>
      <c r="BP211" s="131">
        <f t="shared" si="337"/>
        <v>0</v>
      </c>
      <c r="BQ211" s="131"/>
      <c r="BR211" s="131"/>
      <c r="BS211" s="131"/>
      <c r="BT211" s="131"/>
      <c r="BU211" s="131"/>
      <c r="BV211" s="131">
        <f t="shared" si="338"/>
        <v>0</v>
      </c>
      <c r="BW211" s="131"/>
      <c r="BX211" s="131"/>
      <c r="BY211" s="131"/>
      <c r="BZ211" s="131">
        <f t="shared" si="339"/>
        <v>0</v>
      </c>
      <c r="CA211" s="131"/>
      <c r="CB211" s="136">
        <f t="shared" si="292"/>
        <v>165.08663357180151</v>
      </c>
      <c r="CC211" s="131">
        <f t="shared" si="293"/>
        <v>0</v>
      </c>
      <c r="CD211" s="136">
        <f t="shared" si="294"/>
        <v>0</v>
      </c>
      <c r="CE211" s="131">
        <f t="shared" si="342"/>
        <v>0</v>
      </c>
      <c r="CF211" s="136">
        <f t="shared" si="295"/>
        <v>0</v>
      </c>
      <c r="CG211" s="136"/>
      <c r="CH211" s="136">
        <f t="shared" si="341"/>
        <v>0</v>
      </c>
      <c r="CI211" s="131">
        <f t="shared" si="296"/>
        <v>0</v>
      </c>
      <c r="CJ211" s="131"/>
      <c r="CK211" s="136">
        <f t="shared" si="297"/>
        <v>0</v>
      </c>
      <c r="CL211" s="136">
        <f t="shared" si="298"/>
        <v>0</v>
      </c>
      <c r="CM211" s="131">
        <f t="shared" si="299"/>
        <v>0</v>
      </c>
      <c r="CN211" s="136">
        <f t="shared" si="300"/>
        <v>0</v>
      </c>
      <c r="CO211" s="136">
        <f t="shared" si="301"/>
        <v>0</v>
      </c>
      <c r="CP211" s="136">
        <f t="shared" si="302"/>
        <v>0</v>
      </c>
      <c r="CQ211" s="136"/>
      <c r="CR211" s="136">
        <f t="shared" si="303"/>
        <v>0</v>
      </c>
      <c r="CS211" s="136"/>
      <c r="CT211" s="136"/>
      <c r="CU211" s="136"/>
      <c r="CV211" s="136"/>
      <c r="CW211" s="136"/>
      <c r="CX211" s="136"/>
      <c r="CY211" s="136"/>
      <c r="CZ211" s="136">
        <f t="shared" si="304"/>
        <v>0</v>
      </c>
      <c r="DA211" s="136">
        <f t="shared" si="305"/>
        <v>0</v>
      </c>
      <c r="DB211" s="136">
        <f t="shared" si="306"/>
        <v>0</v>
      </c>
      <c r="DC211" s="131">
        <f t="shared" si="266"/>
        <v>0</v>
      </c>
      <c r="DD211" s="131">
        <f t="shared" si="307"/>
        <v>0</v>
      </c>
      <c r="DE211" s="131">
        <f t="shared" si="308"/>
        <v>0</v>
      </c>
      <c r="DF211" s="131">
        <f t="shared" si="309"/>
        <v>0</v>
      </c>
      <c r="DG211" s="131">
        <f t="shared" si="310"/>
        <v>0</v>
      </c>
      <c r="DH211" s="131"/>
      <c r="DI211" s="131"/>
      <c r="DJ211" s="131"/>
      <c r="DK211" s="137">
        <f t="shared" si="340"/>
        <v>3791.5811116017489</v>
      </c>
      <c r="DL211" s="227" t="e">
        <f t="shared" si="311"/>
        <v>#REF!</v>
      </c>
      <c r="DM211" s="227" t="e">
        <f t="shared" si="312"/>
        <v>#REF!</v>
      </c>
      <c r="DN211" s="228" t="e">
        <f t="shared" si="267"/>
        <v>#REF!</v>
      </c>
      <c r="DO211" s="228">
        <f t="shared" si="313"/>
        <v>181.81087083894022</v>
      </c>
      <c r="DP211" s="228" t="e">
        <f t="shared" si="314"/>
        <v>#REF!</v>
      </c>
      <c r="DQ211" s="228" t="e">
        <f t="shared" si="315"/>
        <v>#REF!</v>
      </c>
    </row>
    <row r="212" spans="1:121">
      <c r="A212" s="132">
        <f t="shared" si="265"/>
        <v>202</v>
      </c>
      <c r="B212" s="18">
        <f t="shared" si="316"/>
        <v>202</v>
      </c>
      <c r="C212" s="18">
        <f>IF(A212=0," ",VLOOKUP(B212,'tosafot '!$A$7:$B$234,2,0))</f>
        <v>10.202400000000001</v>
      </c>
      <c r="D212" s="220">
        <f t="shared" si="317"/>
        <v>228</v>
      </c>
      <c r="E212" s="130">
        <f t="shared" si="318"/>
        <v>12.2026</v>
      </c>
      <c r="F212" s="126">
        <f t="shared" si="319"/>
        <v>9</v>
      </c>
      <c r="G212" s="18" t="str">
        <f t="shared" si="320"/>
        <v>הבריאות</v>
      </c>
      <c r="H212" s="189">
        <f t="shared" si="321"/>
        <v>107</v>
      </c>
      <c r="I212" s="18">
        <f t="shared" si="322"/>
        <v>1</v>
      </c>
      <c r="J212" s="18" t="str">
        <f t="shared" si="323"/>
        <v>מינהלי - עובדי מדינה</v>
      </c>
      <c r="K212" s="189">
        <f t="shared" si="324"/>
        <v>1</v>
      </c>
      <c r="L212" s="18">
        <f t="shared" si="325"/>
        <v>12</v>
      </c>
      <c r="M212" s="129" t="str">
        <f t="shared" si="326"/>
        <v>17+</v>
      </c>
      <c r="N212" s="189"/>
      <c r="O212" s="132">
        <f t="shared" si="327"/>
        <v>1012</v>
      </c>
      <c r="P212" s="127">
        <f t="shared" si="328"/>
        <v>37</v>
      </c>
      <c r="Q212" s="127">
        <f t="shared" si="329"/>
        <v>22.75</v>
      </c>
      <c r="R212" s="128">
        <f t="shared" si="330"/>
        <v>92</v>
      </c>
      <c r="S212" s="130">
        <f t="shared" si="331"/>
        <v>1.2540512286990533</v>
      </c>
      <c r="T212" s="135">
        <f t="shared" si="268"/>
        <v>0</v>
      </c>
      <c r="U212" s="127">
        <f t="shared" si="269"/>
        <v>0</v>
      </c>
      <c r="V212" s="217">
        <v>0</v>
      </c>
      <c r="W212" s="191">
        <v>0</v>
      </c>
      <c r="X212" s="133">
        <v>0</v>
      </c>
      <c r="Y212" s="131">
        <f t="shared" si="270"/>
        <v>2438.5</v>
      </c>
      <c r="Z212" s="131">
        <f t="shared" si="271"/>
        <v>619.50392118264142</v>
      </c>
      <c r="AA212" s="242">
        <f t="shared" si="272"/>
        <v>3058.0039211826415</v>
      </c>
      <c r="AB212" s="131">
        <f t="shared" si="273"/>
        <v>0</v>
      </c>
      <c r="AC212" s="131">
        <f t="shared" si="274"/>
        <v>139.48055684730568</v>
      </c>
      <c r="AD212" s="131">
        <f t="shared" si="275"/>
        <v>0</v>
      </c>
      <c r="AE212" s="131">
        <f t="shared" si="276"/>
        <v>0</v>
      </c>
      <c r="AF212" s="131">
        <f t="shared" si="277"/>
        <v>75.260000000000005</v>
      </c>
      <c r="AG212" s="131">
        <f t="shared" si="278"/>
        <v>0</v>
      </c>
      <c r="AH212" s="131">
        <f t="shared" si="279"/>
        <v>0</v>
      </c>
      <c r="AI212" s="131">
        <f t="shared" si="280"/>
        <v>0</v>
      </c>
      <c r="AJ212" s="131">
        <f t="shared" si="281"/>
        <v>0</v>
      </c>
      <c r="AK212" s="131"/>
      <c r="AL212" s="131">
        <f t="shared" si="282"/>
        <v>0</v>
      </c>
      <c r="AM212" s="131"/>
      <c r="AN212" s="243">
        <f t="shared" si="283"/>
        <v>0</v>
      </c>
      <c r="AO212" s="131">
        <f t="shared" si="284"/>
        <v>0</v>
      </c>
      <c r="AP212" s="131">
        <f t="shared" si="285"/>
        <v>0</v>
      </c>
      <c r="AQ212" s="131"/>
      <c r="AR212" s="131">
        <f t="shared" si="286"/>
        <v>0</v>
      </c>
      <c r="AS212" s="131">
        <f t="shared" si="332"/>
        <v>0</v>
      </c>
      <c r="AT212" s="131">
        <f t="shared" si="287"/>
        <v>0</v>
      </c>
      <c r="AU212" s="131">
        <f t="shared" si="288"/>
        <v>0</v>
      </c>
      <c r="AV212" s="131"/>
      <c r="AW212" s="131">
        <f t="shared" si="289"/>
        <v>353.75</v>
      </c>
      <c r="AX212" s="131">
        <f t="shared" si="343"/>
        <v>0</v>
      </c>
      <c r="AY212" s="131">
        <f t="shared" si="290"/>
        <v>0</v>
      </c>
      <c r="AZ212" s="131"/>
      <c r="BA212" s="131">
        <f t="shared" si="344"/>
        <v>0</v>
      </c>
      <c r="BB212" s="131"/>
      <c r="BC212" s="131"/>
      <c r="BD212" s="131">
        <f t="shared" si="291"/>
        <v>0</v>
      </c>
      <c r="BE212" s="131"/>
      <c r="BF212" s="131">
        <f t="shared" si="333"/>
        <v>0</v>
      </c>
      <c r="BG212" s="131">
        <f t="shared" si="334"/>
        <v>0</v>
      </c>
      <c r="BH212" s="131"/>
      <c r="BI212" s="131"/>
      <c r="BJ212" s="131"/>
      <c r="BK212" s="131">
        <f t="shared" si="335"/>
        <v>0</v>
      </c>
      <c r="BL212" s="131"/>
      <c r="BM212" s="131"/>
      <c r="BN212" s="131">
        <f t="shared" si="336"/>
        <v>0</v>
      </c>
      <c r="BO212" s="131"/>
      <c r="BP212" s="131">
        <f t="shared" si="337"/>
        <v>0</v>
      </c>
      <c r="BQ212" s="131"/>
      <c r="BR212" s="131"/>
      <c r="BS212" s="131"/>
      <c r="BT212" s="131"/>
      <c r="BU212" s="131"/>
      <c r="BV212" s="131">
        <f t="shared" si="338"/>
        <v>0</v>
      </c>
      <c r="BW212" s="131"/>
      <c r="BX212" s="131"/>
      <c r="BY212" s="131"/>
      <c r="BZ212" s="131">
        <f t="shared" si="339"/>
        <v>0</v>
      </c>
      <c r="CA212" s="131"/>
      <c r="CB212" s="136">
        <f t="shared" si="292"/>
        <v>165.08663357180151</v>
      </c>
      <c r="CC212" s="131">
        <f t="shared" si="293"/>
        <v>0</v>
      </c>
      <c r="CD212" s="136">
        <f t="shared" si="294"/>
        <v>0</v>
      </c>
      <c r="CE212" s="131">
        <f t="shared" si="342"/>
        <v>0</v>
      </c>
      <c r="CF212" s="136">
        <f t="shared" si="295"/>
        <v>0</v>
      </c>
      <c r="CG212" s="136"/>
      <c r="CH212" s="136">
        <f t="shared" si="341"/>
        <v>0</v>
      </c>
      <c r="CI212" s="131">
        <f t="shared" si="296"/>
        <v>0</v>
      </c>
      <c r="CJ212" s="131"/>
      <c r="CK212" s="136">
        <f t="shared" si="297"/>
        <v>0</v>
      </c>
      <c r="CL212" s="136">
        <f t="shared" si="298"/>
        <v>0</v>
      </c>
      <c r="CM212" s="131">
        <f t="shared" si="299"/>
        <v>0</v>
      </c>
      <c r="CN212" s="136">
        <f t="shared" si="300"/>
        <v>0</v>
      </c>
      <c r="CO212" s="136">
        <f t="shared" si="301"/>
        <v>0</v>
      </c>
      <c r="CP212" s="136">
        <f t="shared" si="302"/>
        <v>0</v>
      </c>
      <c r="CQ212" s="136"/>
      <c r="CR212" s="136">
        <f t="shared" si="303"/>
        <v>0</v>
      </c>
      <c r="CS212" s="136"/>
      <c r="CT212" s="136"/>
      <c r="CU212" s="136"/>
      <c r="CV212" s="136"/>
      <c r="CW212" s="136"/>
      <c r="CX212" s="136"/>
      <c r="CY212" s="136"/>
      <c r="CZ212" s="136">
        <f t="shared" si="304"/>
        <v>0</v>
      </c>
      <c r="DA212" s="136">
        <f t="shared" si="305"/>
        <v>0</v>
      </c>
      <c r="DB212" s="136">
        <f t="shared" si="306"/>
        <v>0</v>
      </c>
      <c r="DC212" s="131">
        <f t="shared" si="266"/>
        <v>0</v>
      </c>
      <c r="DD212" s="131">
        <f t="shared" si="307"/>
        <v>0</v>
      </c>
      <c r="DE212" s="131">
        <f t="shared" si="308"/>
        <v>0</v>
      </c>
      <c r="DF212" s="131">
        <f t="shared" si="309"/>
        <v>0</v>
      </c>
      <c r="DG212" s="131">
        <f t="shared" si="310"/>
        <v>0</v>
      </c>
      <c r="DH212" s="131"/>
      <c r="DI212" s="131"/>
      <c r="DJ212" s="131"/>
      <c r="DK212" s="137">
        <f t="shared" si="340"/>
        <v>3791.5811116017489</v>
      </c>
      <c r="DL212" s="227" t="e">
        <f t="shared" si="311"/>
        <v>#REF!</v>
      </c>
      <c r="DM212" s="227" t="e">
        <f t="shared" si="312"/>
        <v>#REF!</v>
      </c>
      <c r="DN212" s="228" t="e">
        <f t="shared" si="267"/>
        <v>#REF!</v>
      </c>
      <c r="DO212" s="228">
        <f t="shared" si="313"/>
        <v>181.81087083894022</v>
      </c>
      <c r="DP212" s="228" t="e">
        <f t="shared" si="314"/>
        <v>#REF!</v>
      </c>
      <c r="DQ212" s="228" t="e">
        <f t="shared" si="315"/>
        <v>#REF!</v>
      </c>
    </row>
    <row r="213" spans="1:121">
      <c r="A213" s="132">
        <f t="shared" si="265"/>
        <v>203</v>
      </c>
      <c r="B213" s="18">
        <f t="shared" si="316"/>
        <v>203</v>
      </c>
      <c r="C213" s="18">
        <f>IF(A213=0," ",VLOOKUP(B213,'tosafot '!$A$7:$B$234,2,0))</f>
        <v>11.202400000000001</v>
      </c>
      <c r="D213" s="220">
        <f t="shared" si="317"/>
        <v>228</v>
      </c>
      <c r="E213" s="130">
        <f t="shared" si="318"/>
        <v>12.2026</v>
      </c>
      <c r="F213" s="126">
        <f t="shared" si="319"/>
        <v>9</v>
      </c>
      <c r="G213" s="18" t="str">
        <f t="shared" si="320"/>
        <v>הבריאות</v>
      </c>
      <c r="H213" s="189">
        <f t="shared" si="321"/>
        <v>107</v>
      </c>
      <c r="I213" s="18">
        <f t="shared" si="322"/>
        <v>1</v>
      </c>
      <c r="J213" s="18" t="str">
        <f t="shared" si="323"/>
        <v>מינהלי - עובדי מדינה</v>
      </c>
      <c r="K213" s="189">
        <f t="shared" si="324"/>
        <v>1</v>
      </c>
      <c r="L213" s="18">
        <f t="shared" si="325"/>
        <v>12</v>
      </c>
      <c r="M213" s="129" t="str">
        <f t="shared" si="326"/>
        <v>17+</v>
      </c>
      <c r="N213" s="189"/>
      <c r="O213" s="132">
        <f t="shared" si="327"/>
        <v>1012</v>
      </c>
      <c r="P213" s="127">
        <f t="shared" si="328"/>
        <v>37</v>
      </c>
      <c r="Q213" s="127">
        <f t="shared" si="329"/>
        <v>22.75</v>
      </c>
      <c r="R213" s="128">
        <f t="shared" si="330"/>
        <v>92</v>
      </c>
      <c r="S213" s="130">
        <f t="shared" si="331"/>
        <v>1.2540512286990533</v>
      </c>
      <c r="T213" s="135">
        <f t="shared" si="268"/>
        <v>0</v>
      </c>
      <c r="U213" s="127">
        <f t="shared" si="269"/>
        <v>0</v>
      </c>
      <c r="V213" s="217">
        <v>0</v>
      </c>
      <c r="W213" s="191">
        <v>0</v>
      </c>
      <c r="X213" s="133">
        <v>0</v>
      </c>
      <c r="Y213" s="131">
        <f t="shared" si="270"/>
        <v>2438.5</v>
      </c>
      <c r="Z213" s="131">
        <f t="shared" si="271"/>
        <v>619.50392118264142</v>
      </c>
      <c r="AA213" s="242">
        <f t="shared" si="272"/>
        <v>3058.0039211826415</v>
      </c>
      <c r="AB213" s="131">
        <f t="shared" si="273"/>
        <v>0</v>
      </c>
      <c r="AC213" s="131">
        <f t="shared" si="274"/>
        <v>139.48055684730568</v>
      </c>
      <c r="AD213" s="131">
        <f t="shared" si="275"/>
        <v>0</v>
      </c>
      <c r="AE213" s="131">
        <f t="shared" si="276"/>
        <v>0</v>
      </c>
      <c r="AF213" s="131">
        <f t="shared" si="277"/>
        <v>75.260000000000005</v>
      </c>
      <c r="AG213" s="131">
        <f t="shared" si="278"/>
        <v>0</v>
      </c>
      <c r="AH213" s="131">
        <f t="shared" si="279"/>
        <v>0</v>
      </c>
      <c r="AI213" s="131">
        <f t="shared" si="280"/>
        <v>0</v>
      </c>
      <c r="AJ213" s="131">
        <f t="shared" si="281"/>
        <v>0</v>
      </c>
      <c r="AK213" s="131"/>
      <c r="AL213" s="131">
        <f t="shared" si="282"/>
        <v>0</v>
      </c>
      <c r="AM213" s="131"/>
      <c r="AN213" s="243">
        <f t="shared" si="283"/>
        <v>0</v>
      </c>
      <c r="AO213" s="131">
        <f t="shared" si="284"/>
        <v>0</v>
      </c>
      <c r="AP213" s="131">
        <f t="shared" si="285"/>
        <v>0</v>
      </c>
      <c r="AQ213" s="131"/>
      <c r="AR213" s="131">
        <f t="shared" si="286"/>
        <v>0</v>
      </c>
      <c r="AS213" s="131">
        <f t="shared" si="332"/>
        <v>0</v>
      </c>
      <c r="AT213" s="131">
        <f t="shared" si="287"/>
        <v>0</v>
      </c>
      <c r="AU213" s="131">
        <f t="shared" si="288"/>
        <v>0</v>
      </c>
      <c r="AV213" s="131"/>
      <c r="AW213" s="131">
        <f t="shared" si="289"/>
        <v>353.75</v>
      </c>
      <c r="AX213" s="131">
        <f t="shared" si="343"/>
        <v>0</v>
      </c>
      <c r="AY213" s="131">
        <f t="shared" si="290"/>
        <v>0</v>
      </c>
      <c r="AZ213" s="131"/>
      <c r="BA213" s="131">
        <f t="shared" si="344"/>
        <v>0</v>
      </c>
      <c r="BB213" s="131"/>
      <c r="BC213" s="131"/>
      <c r="BD213" s="131">
        <f t="shared" si="291"/>
        <v>0</v>
      </c>
      <c r="BE213" s="131"/>
      <c r="BF213" s="131">
        <f t="shared" si="333"/>
        <v>0</v>
      </c>
      <c r="BG213" s="131">
        <f t="shared" si="334"/>
        <v>0</v>
      </c>
      <c r="BH213" s="131"/>
      <c r="BI213" s="131"/>
      <c r="BJ213" s="131"/>
      <c r="BK213" s="131">
        <f t="shared" si="335"/>
        <v>0</v>
      </c>
      <c r="BL213" s="131"/>
      <c r="BM213" s="131"/>
      <c r="BN213" s="131">
        <f t="shared" si="336"/>
        <v>0</v>
      </c>
      <c r="BO213" s="131"/>
      <c r="BP213" s="131">
        <f t="shared" si="337"/>
        <v>0</v>
      </c>
      <c r="BQ213" s="131"/>
      <c r="BR213" s="131"/>
      <c r="BS213" s="131"/>
      <c r="BT213" s="131"/>
      <c r="BU213" s="131"/>
      <c r="BV213" s="131">
        <f t="shared" si="338"/>
        <v>0</v>
      </c>
      <c r="BW213" s="131"/>
      <c r="BX213" s="131"/>
      <c r="BY213" s="131"/>
      <c r="BZ213" s="131">
        <f t="shared" si="339"/>
        <v>0</v>
      </c>
      <c r="CA213" s="131"/>
      <c r="CB213" s="136">
        <f t="shared" si="292"/>
        <v>165.08663357180151</v>
      </c>
      <c r="CC213" s="131">
        <f t="shared" si="293"/>
        <v>0</v>
      </c>
      <c r="CD213" s="136">
        <f t="shared" si="294"/>
        <v>0</v>
      </c>
      <c r="CE213" s="131">
        <f t="shared" si="342"/>
        <v>0</v>
      </c>
      <c r="CF213" s="136">
        <f t="shared" si="295"/>
        <v>0</v>
      </c>
      <c r="CG213" s="136"/>
      <c r="CH213" s="136">
        <f t="shared" si="341"/>
        <v>0</v>
      </c>
      <c r="CI213" s="131">
        <f t="shared" si="296"/>
        <v>0</v>
      </c>
      <c r="CJ213" s="131"/>
      <c r="CK213" s="136">
        <f t="shared" si="297"/>
        <v>0</v>
      </c>
      <c r="CL213" s="136">
        <f t="shared" si="298"/>
        <v>0</v>
      </c>
      <c r="CM213" s="131">
        <f t="shared" si="299"/>
        <v>0</v>
      </c>
      <c r="CN213" s="136">
        <f t="shared" si="300"/>
        <v>0</v>
      </c>
      <c r="CO213" s="136">
        <f t="shared" si="301"/>
        <v>0</v>
      </c>
      <c r="CP213" s="136">
        <f t="shared" si="302"/>
        <v>0</v>
      </c>
      <c r="CQ213" s="136"/>
      <c r="CR213" s="136">
        <f t="shared" si="303"/>
        <v>0</v>
      </c>
      <c r="CS213" s="136"/>
      <c r="CT213" s="136"/>
      <c r="CU213" s="136"/>
      <c r="CV213" s="136"/>
      <c r="CW213" s="136"/>
      <c r="CX213" s="136"/>
      <c r="CY213" s="136"/>
      <c r="CZ213" s="136">
        <f t="shared" si="304"/>
        <v>0</v>
      </c>
      <c r="DA213" s="136">
        <f t="shared" si="305"/>
        <v>0</v>
      </c>
      <c r="DB213" s="136">
        <f t="shared" si="306"/>
        <v>0</v>
      </c>
      <c r="DC213" s="131">
        <f t="shared" si="266"/>
        <v>0</v>
      </c>
      <c r="DD213" s="131">
        <f t="shared" si="307"/>
        <v>0</v>
      </c>
      <c r="DE213" s="131">
        <f t="shared" si="308"/>
        <v>0</v>
      </c>
      <c r="DF213" s="131">
        <f t="shared" si="309"/>
        <v>0</v>
      </c>
      <c r="DG213" s="131">
        <f t="shared" si="310"/>
        <v>0</v>
      </c>
      <c r="DH213" s="131"/>
      <c r="DI213" s="131"/>
      <c r="DJ213" s="131"/>
      <c r="DK213" s="137">
        <f t="shared" si="340"/>
        <v>3791.5811116017489</v>
      </c>
      <c r="DL213" s="227" t="e">
        <f t="shared" si="311"/>
        <v>#REF!</v>
      </c>
      <c r="DM213" s="227" t="e">
        <f t="shared" si="312"/>
        <v>#REF!</v>
      </c>
      <c r="DN213" s="228" t="e">
        <f t="shared" si="267"/>
        <v>#REF!</v>
      </c>
      <c r="DO213" s="228">
        <f t="shared" si="313"/>
        <v>181.81087083894022</v>
      </c>
      <c r="DP213" s="228" t="e">
        <f t="shared" si="314"/>
        <v>#REF!</v>
      </c>
      <c r="DQ213" s="228" t="e">
        <f t="shared" si="315"/>
        <v>#REF!</v>
      </c>
    </row>
    <row r="214" spans="1:121">
      <c r="A214" s="132">
        <f t="shared" si="265"/>
        <v>204</v>
      </c>
      <c r="B214" s="18">
        <f t="shared" si="316"/>
        <v>204</v>
      </c>
      <c r="C214" s="18">
        <f>IF(A214=0," ",VLOOKUP(B214,'tosafot '!$A$7:$B$234,2,0))</f>
        <v>12.202400000000001</v>
      </c>
      <c r="D214" s="220">
        <f t="shared" si="317"/>
        <v>228</v>
      </c>
      <c r="E214" s="130">
        <f t="shared" si="318"/>
        <v>12.2026</v>
      </c>
      <c r="F214" s="126">
        <f t="shared" si="319"/>
        <v>9</v>
      </c>
      <c r="G214" s="18" t="str">
        <f t="shared" si="320"/>
        <v>הבריאות</v>
      </c>
      <c r="H214" s="189">
        <f t="shared" si="321"/>
        <v>107</v>
      </c>
      <c r="I214" s="18">
        <f t="shared" si="322"/>
        <v>1</v>
      </c>
      <c r="J214" s="18" t="str">
        <f t="shared" si="323"/>
        <v>מינהלי - עובדי מדינה</v>
      </c>
      <c r="K214" s="189">
        <f t="shared" si="324"/>
        <v>1</v>
      </c>
      <c r="L214" s="18">
        <f t="shared" si="325"/>
        <v>12</v>
      </c>
      <c r="M214" s="129" t="str">
        <f t="shared" si="326"/>
        <v>17+</v>
      </c>
      <c r="N214" s="189"/>
      <c r="O214" s="132">
        <f t="shared" si="327"/>
        <v>1012</v>
      </c>
      <c r="P214" s="127">
        <f t="shared" si="328"/>
        <v>37</v>
      </c>
      <c r="Q214" s="127">
        <f t="shared" si="329"/>
        <v>22.75</v>
      </c>
      <c r="R214" s="128">
        <f t="shared" si="330"/>
        <v>92</v>
      </c>
      <c r="S214" s="130">
        <f t="shared" si="331"/>
        <v>1.2540512286990533</v>
      </c>
      <c r="T214" s="135">
        <f t="shared" si="268"/>
        <v>0</v>
      </c>
      <c r="U214" s="127">
        <f t="shared" si="269"/>
        <v>0</v>
      </c>
      <c r="V214" s="217">
        <v>0</v>
      </c>
      <c r="W214" s="191">
        <v>0</v>
      </c>
      <c r="X214" s="133">
        <v>0</v>
      </c>
      <c r="Y214" s="131">
        <f t="shared" si="270"/>
        <v>2438.5</v>
      </c>
      <c r="Z214" s="131">
        <f t="shared" si="271"/>
        <v>619.50392118264142</v>
      </c>
      <c r="AA214" s="242">
        <f t="shared" si="272"/>
        <v>3058.0039211826415</v>
      </c>
      <c r="AB214" s="131">
        <f t="shared" si="273"/>
        <v>0</v>
      </c>
      <c r="AC214" s="131">
        <f t="shared" si="274"/>
        <v>139.48055684730568</v>
      </c>
      <c r="AD214" s="131">
        <f t="shared" si="275"/>
        <v>0</v>
      </c>
      <c r="AE214" s="131">
        <f t="shared" si="276"/>
        <v>0</v>
      </c>
      <c r="AF214" s="131">
        <f t="shared" si="277"/>
        <v>75.260000000000005</v>
      </c>
      <c r="AG214" s="131">
        <f t="shared" si="278"/>
        <v>0</v>
      </c>
      <c r="AH214" s="131">
        <f t="shared" si="279"/>
        <v>0</v>
      </c>
      <c r="AI214" s="131">
        <f t="shared" si="280"/>
        <v>0</v>
      </c>
      <c r="AJ214" s="131">
        <f t="shared" si="281"/>
        <v>0</v>
      </c>
      <c r="AK214" s="131"/>
      <c r="AL214" s="131">
        <f t="shared" si="282"/>
        <v>0</v>
      </c>
      <c r="AM214" s="131"/>
      <c r="AN214" s="243">
        <f t="shared" si="283"/>
        <v>0</v>
      </c>
      <c r="AO214" s="131">
        <f t="shared" si="284"/>
        <v>0</v>
      </c>
      <c r="AP214" s="131">
        <f t="shared" si="285"/>
        <v>0</v>
      </c>
      <c r="AQ214" s="131"/>
      <c r="AR214" s="131">
        <f t="shared" si="286"/>
        <v>0</v>
      </c>
      <c r="AS214" s="131">
        <f t="shared" si="332"/>
        <v>0</v>
      </c>
      <c r="AT214" s="131">
        <f t="shared" si="287"/>
        <v>0</v>
      </c>
      <c r="AU214" s="131">
        <f t="shared" si="288"/>
        <v>0</v>
      </c>
      <c r="AV214" s="131"/>
      <c r="AW214" s="131">
        <f t="shared" si="289"/>
        <v>353.75</v>
      </c>
      <c r="AX214" s="131">
        <f t="shared" si="343"/>
        <v>0</v>
      </c>
      <c r="AY214" s="131">
        <f t="shared" si="290"/>
        <v>0</v>
      </c>
      <c r="AZ214" s="131"/>
      <c r="BA214" s="131">
        <f t="shared" si="344"/>
        <v>0</v>
      </c>
      <c r="BB214" s="131"/>
      <c r="BC214" s="131"/>
      <c r="BD214" s="131">
        <f t="shared" si="291"/>
        <v>0</v>
      </c>
      <c r="BE214" s="131"/>
      <c r="BF214" s="131">
        <f t="shared" si="333"/>
        <v>0</v>
      </c>
      <c r="BG214" s="131">
        <f t="shared" si="334"/>
        <v>0</v>
      </c>
      <c r="BH214" s="131"/>
      <c r="BI214" s="131"/>
      <c r="BJ214" s="131"/>
      <c r="BK214" s="131">
        <f t="shared" si="335"/>
        <v>0</v>
      </c>
      <c r="BL214" s="131"/>
      <c r="BM214" s="131"/>
      <c r="BN214" s="131">
        <f t="shared" si="336"/>
        <v>0</v>
      </c>
      <c r="BO214" s="131"/>
      <c r="BP214" s="131">
        <f t="shared" si="337"/>
        <v>0</v>
      </c>
      <c r="BQ214" s="131"/>
      <c r="BR214" s="131"/>
      <c r="BS214" s="131"/>
      <c r="BT214" s="131"/>
      <c r="BU214" s="131"/>
      <c r="BV214" s="131">
        <f t="shared" si="338"/>
        <v>0</v>
      </c>
      <c r="BW214" s="131"/>
      <c r="BX214" s="131"/>
      <c r="BY214" s="131"/>
      <c r="BZ214" s="131">
        <f t="shared" si="339"/>
        <v>0</v>
      </c>
      <c r="CA214" s="131"/>
      <c r="CB214" s="136">
        <f t="shared" si="292"/>
        <v>165.08663357180151</v>
      </c>
      <c r="CC214" s="131">
        <f t="shared" si="293"/>
        <v>0</v>
      </c>
      <c r="CD214" s="136">
        <f t="shared" si="294"/>
        <v>0</v>
      </c>
      <c r="CE214" s="131">
        <f t="shared" si="342"/>
        <v>0</v>
      </c>
      <c r="CF214" s="136">
        <f t="shared" si="295"/>
        <v>0</v>
      </c>
      <c r="CG214" s="136"/>
      <c r="CH214" s="136">
        <f t="shared" si="341"/>
        <v>0</v>
      </c>
      <c r="CI214" s="131">
        <f t="shared" si="296"/>
        <v>0</v>
      </c>
      <c r="CJ214" s="131"/>
      <c r="CK214" s="136">
        <f t="shared" si="297"/>
        <v>0</v>
      </c>
      <c r="CL214" s="136">
        <f t="shared" si="298"/>
        <v>0</v>
      </c>
      <c r="CM214" s="131">
        <f t="shared" si="299"/>
        <v>0</v>
      </c>
      <c r="CN214" s="136">
        <f t="shared" si="300"/>
        <v>0</v>
      </c>
      <c r="CO214" s="136">
        <f t="shared" si="301"/>
        <v>0</v>
      </c>
      <c r="CP214" s="136">
        <f t="shared" si="302"/>
        <v>0</v>
      </c>
      <c r="CQ214" s="136"/>
      <c r="CR214" s="136">
        <f t="shared" si="303"/>
        <v>0</v>
      </c>
      <c r="CS214" s="136"/>
      <c r="CT214" s="136"/>
      <c r="CU214" s="136"/>
      <c r="CV214" s="136"/>
      <c r="CW214" s="136"/>
      <c r="CX214" s="136"/>
      <c r="CY214" s="136"/>
      <c r="CZ214" s="136">
        <f t="shared" si="304"/>
        <v>0</v>
      </c>
      <c r="DA214" s="136">
        <f t="shared" si="305"/>
        <v>0</v>
      </c>
      <c r="DB214" s="136">
        <f t="shared" si="306"/>
        <v>0</v>
      </c>
      <c r="DC214" s="131">
        <f t="shared" si="266"/>
        <v>0</v>
      </c>
      <c r="DD214" s="131">
        <f t="shared" si="307"/>
        <v>0</v>
      </c>
      <c r="DE214" s="131">
        <f t="shared" si="308"/>
        <v>0</v>
      </c>
      <c r="DF214" s="131">
        <f t="shared" si="309"/>
        <v>0</v>
      </c>
      <c r="DG214" s="131">
        <f t="shared" si="310"/>
        <v>0</v>
      </c>
      <c r="DH214" s="131"/>
      <c r="DI214" s="131"/>
      <c r="DJ214" s="131"/>
      <c r="DK214" s="137">
        <f t="shared" si="340"/>
        <v>3791.5811116017489</v>
      </c>
      <c r="DL214" s="227" t="e">
        <f t="shared" si="311"/>
        <v>#REF!</v>
      </c>
      <c r="DM214" s="227" t="e">
        <f t="shared" si="312"/>
        <v>#REF!</v>
      </c>
      <c r="DN214" s="228" t="e">
        <f t="shared" si="267"/>
        <v>#REF!</v>
      </c>
      <c r="DO214" s="228">
        <f t="shared" si="313"/>
        <v>181.81087083894022</v>
      </c>
      <c r="DP214" s="228" t="e">
        <f t="shared" si="314"/>
        <v>#REF!</v>
      </c>
      <c r="DQ214" s="228" t="e">
        <f t="shared" si="315"/>
        <v>#REF!</v>
      </c>
    </row>
    <row r="215" spans="1:121">
      <c r="A215" s="132">
        <f t="shared" si="265"/>
        <v>205</v>
      </c>
      <c r="B215" s="18">
        <f t="shared" si="316"/>
        <v>205</v>
      </c>
      <c r="C215" s="18">
        <f>IF(A215=0," ",VLOOKUP(B215,'tosafot '!$A$7:$B$234,2,0))</f>
        <v>1.2024999999999999</v>
      </c>
      <c r="D215" s="220">
        <f t="shared" si="317"/>
        <v>228</v>
      </c>
      <c r="E215" s="130">
        <f t="shared" si="318"/>
        <v>12.2026</v>
      </c>
      <c r="F215" s="126">
        <f t="shared" si="319"/>
        <v>9</v>
      </c>
      <c r="G215" s="18" t="str">
        <f t="shared" si="320"/>
        <v>הבריאות</v>
      </c>
      <c r="H215" s="189">
        <f t="shared" si="321"/>
        <v>107</v>
      </c>
      <c r="I215" s="18">
        <f t="shared" si="322"/>
        <v>1</v>
      </c>
      <c r="J215" s="18" t="str">
        <f t="shared" si="323"/>
        <v>מינהלי - עובדי מדינה</v>
      </c>
      <c r="K215" s="189">
        <f t="shared" si="324"/>
        <v>1</v>
      </c>
      <c r="L215" s="18">
        <f t="shared" si="325"/>
        <v>12</v>
      </c>
      <c r="M215" s="129" t="str">
        <f t="shared" si="326"/>
        <v>17+</v>
      </c>
      <c r="N215" s="189"/>
      <c r="O215" s="132">
        <f t="shared" si="327"/>
        <v>1012</v>
      </c>
      <c r="P215" s="127">
        <f t="shared" si="328"/>
        <v>37</v>
      </c>
      <c r="Q215" s="127">
        <f t="shared" si="329"/>
        <v>22.75</v>
      </c>
      <c r="R215" s="128">
        <f t="shared" si="330"/>
        <v>92</v>
      </c>
      <c r="S215" s="130">
        <f t="shared" si="331"/>
        <v>1.2540512286990533</v>
      </c>
      <c r="T215" s="135">
        <f t="shared" si="268"/>
        <v>0</v>
      </c>
      <c r="U215" s="127">
        <f t="shared" si="269"/>
        <v>0</v>
      </c>
      <c r="V215" s="217">
        <v>0</v>
      </c>
      <c r="W215" s="191">
        <v>0</v>
      </c>
      <c r="X215" s="133">
        <v>0</v>
      </c>
      <c r="Y215" s="131">
        <f t="shared" si="270"/>
        <v>2438.5</v>
      </c>
      <c r="Z215" s="131">
        <f t="shared" si="271"/>
        <v>619.50392118264142</v>
      </c>
      <c r="AA215" s="242">
        <f t="shared" si="272"/>
        <v>3058.0039211826415</v>
      </c>
      <c r="AB215" s="131">
        <f t="shared" si="273"/>
        <v>0</v>
      </c>
      <c r="AC215" s="131">
        <f t="shared" si="274"/>
        <v>139.48055684730568</v>
      </c>
      <c r="AD215" s="131">
        <f t="shared" si="275"/>
        <v>0</v>
      </c>
      <c r="AE215" s="131">
        <f t="shared" si="276"/>
        <v>0</v>
      </c>
      <c r="AF215" s="131">
        <f t="shared" si="277"/>
        <v>75.260000000000005</v>
      </c>
      <c r="AG215" s="131">
        <f t="shared" si="278"/>
        <v>0</v>
      </c>
      <c r="AH215" s="131">
        <f t="shared" si="279"/>
        <v>0</v>
      </c>
      <c r="AI215" s="131">
        <f t="shared" si="280"/>
        <v>0</v>
      </c>
      <c r="AJ215" s="131">
        <f t="shared" si="281"/>
        <v>0</v>
      </c>
      <c r="AK215" s="131"/>
      <c r="AL215" s="131">
        <f t="shared" si="282"/>
        <v>0</v>
      </c>
      <c r="AM215" s="131"/>
      <c r="AN215" s="243">
        <f t="shared" si="283"/>
        <v>0</v>
      </c>
      <c r="AO215" s="131">
        <f t="shared" si="284"/>
        <v>0</v>
      </c>
      <c r="AP215" s="131">
        <f t="shared" si="285"/>
        <v>0</v>
      </c>
      <c r="AQ215" s="131"/>
      <c r="AR215" s="131">
        <f t="shared" si="286"/>
        <v>0</v>
      </c>
      <c r="AS215" s="131">
        <f t="shared" si="332"/>
        <v>0</v>
      </c>
      <c r="AT215" s="131">
        <f t="shared" si="287"/>
        <v>0</v>
      </c>
      <c r="AU215" s="131">
        <f t="shared" si="288"/>
        <v>0</v>
      </c>
      <c r="AV215" s="131"/>
      <c r="AW215" s="131">
        <f t="shared" si="289"/>
        <v>353.75</v>
      </c>
      <c r="AX215" s="131">
        <f t="shared" si="343"/>
        <v>0</v>
      </c>
      <c r="AY215" s="131">
        <f t="shared" si="290"/>
        <v>0</v>
      </c>
      <c r="AZ215" s="131"/>
      <c r="BA215" s="131">
        <f t="shared" si="344"/>
        <v>0</v>
      </c>
      <c r="BB215" s="131"/>
      <c r="BC215" s="131"/>
      <c r="BD215" s="131">
        <f t="shared" si="291"/>
        <v>0</v>
      </c>
      <c r="BE215" s="131"/>
      <c r="BF215" s="131">
        <f t="shared" si="333"/>
        <v>0</v>
      </c>
      <c r="BG215" s="131">
        <f t="shared" si="334"/>
        <v>0</v>
      </c>
      <c r="BH215" s="131"/>
      <c r="BI215" s="131"/>
      <c r="BJ215" s="131"/>
      <c r="BK215" s="131">
        <f t="shared" si="335"/>
        <v>0</v>
      </c>
      <c r="BL215" s="131"/>
      <c r="BM215" s="131"/>
      <c r="BN215" s="131">
        <f t="shared" si="336"/>
        <v>0</v>
      </c>
      <c r="BO215" s="131"/>
      <c r="BP215" s="131">
        <f t="shared" si="337"/>
        <v>0</v>
      </c>
      <c r="BQ215" s="131"/>
      <c r="BR215" s="131"/>
      <c r="BS215" s="131"/>
      <c r="BT215" s="131"/>
      <c r="BU215" s="131"/>
      <c r="BV215" s="131">
        <f t="shared" si="338"/>
        <v>0</v>
      </c>
      <c r="BW215" s="131"/>
      <c r="BX215" s="131"/>
      <c r="BY215" s="131"/>
      <c r="BZ215" s="131">
        <f t="shared" si="339"/>
        <v>0</v>
      </c>
      <c r="CA215" s="131"/>
      <c r="CB215" s="136">
        <f t="shared" si="292"/>
        <v>165.08663357180151</v>
      </c>
      <c r="CC215" s="131">
        <f t="shared" si="293"/>
        <v>0</v>
      </c>
      <c r="CD215" s="136">
        <f t="shared" si="294"/>
        <v>0</v>
      </c>
      <c r="CE215" s="131">
        <f t="shared" si="342"/>
        <v>0</v>
      </c>
      <c r="CF215" s="136">
        <f t="shared" si="295"/>
        <v>0</v>
      </c>
      <c r="CG215" s="136"/>
      <c r="CH215" s="136">
        <f t="shared" si="341"/>
        <v>0</v>
      </c>
      <c r="CI215" s="131">
        <f t="shared" si="296"/>
        <v>0</v>
      </c>
      <c r="CJ215" s="131"/>
      <c r="CK215" s="136">
        <f t="shared" si="297"/>
        <v>0</v>
      </c>
      <c r="CL215" s="136">
        <f t="shared" si="298"/>
        <v>0</v>
      </c>
      <c r="CM215" s="131">
        <f t="shared" si="299"/>
        <v>0</v>
      </c>
      <c r="CN215" s="136">
        <f t="shared" si="300"/>
        <v>0</v>
      </c>
      <c r="CO215" s="136">
        <f t="shared" si="301"/>
        <v>0</v>
      </c>
      <c r="CP215" s="136">
        <f t="shared" si="302"/>
        <v>0</v>
      </c>
      <c r="CQ215" s="136"/>
      <c r="CR215" s="136">
        <f t="shared" si="303"/>
        <v>0</v>
      </c>
      <c r="CS215" s="136"/>
      <c r="CT215" s="136"/>
      <c r="CU215" s="136"/>
      <c r="CV215" s="136"/>
      <c r="CW215" s="136"/>
      <c r="CX215" s="136"/>
      <c r="CY215" s="136"/>
      <c r="CZ215" s="136">
        <f t="shared" si="304"/>
        <v>0</v>
      </c>
      <c r="DA215" s="136">
        <f t="shared" si="305"/>
        <v>0</v>
      </c>
      <c r="DB215" s="136">
        <f t="shared" si="306"/>
        <v>0</v>
      </c>
      <c r="DC215" s="131">
        <f t="shared" si="266"/>
        <v>0</v>
      </c>
      <c r="DD215" s="131">
        <f t="shared" si="307"/>
        <v>0</v>
      </c>
      <c r="DE215" s="131">
        <f t="shared" si="308"/>
        <v>0</v>
      </c>
      <c r="DF215" s="131">
        <f t="shared" si="309"/>
        <v>0</v>
      </c>
      <c r="DG215" s="131">
        <f t="shared" si="310"/>
        <v>0</v>
      </c>
      <c r="DH215" s="131"/>
      <c r="DI215" s="131"/>
      <c r="DJ215" s="131"/>
      <c r="DK215" s="137">
        <f t="shared" si="340"/>
        <v>3791.5811116017489</v>
      </c>
      <c r="DL215" s="227" t="e">
        <f t="shared" si="311"/>
        <v>#REF!</v>
      </c>
      <c r="DM215" s="227" t="e">
        <f t="shared" si="312"/>
        <v>#REF!</v>
      </c>
      <c r="DN215" s="228" t="e">
        <f t="shared" si="267"/>
        <v>#REF!</v>
      </c>
      <c r="DO215" s="228">
        <f t="shared" si="313"/>
        <v>181.81087083894022</v>
      </c>
      <c r="DP215" s="228" t="e">
        <f t="shared" si="314"/>
        <v>#REF!</v>
      </c>
      <c r="DQ215" s="228" t="e">
        <f t="shared" si="315"/>
        <v>#REF!</v>
      </c>
    </row>
    <row r="216" spans="1:121">
      <c r="A216" s="132">
        <f t="shared" si="265"/>
        <v>206</v>
      </c>
      <c r="B216" s="18">
        <f t="shared" si="316"/>
        <v>206</v>
      </c>
      <c r="C216" s="18">
        <f>IF(A216=0," ",VLOOKUP(B216,'tosafot '!$A$7:$B$234,2,0))</f>
        <v>2.2025000000000001</v>
      </c>
      <c r="D216" s="220">
        <f t="shared" si="317"/>
        <v>228</v>
      </c>
      <c r="E216" s="130">
        <f t="shared" si="318"/>
        <v>12.2026</v>
      </c>
      <c r="F216" s="126">
        <f t="shared" si="319"/>
        <v>9</v>
      </c>
      <c r="G216" s="18" t="str">
        <f t="shared" si="320"/>
        <v>הבריאות</v>
      </c>
      <c r="H216" s="189">
        <f t="shared" si="321"/>
        <v>107</v>
      </c>
      <c r="I216" s="18">
        <f t="shared" si="322"/>
        <v>1</v>
      </c>
      <c r="J216" s="18" t="str">
        <f t="shared" si="323"/>
        <v>מינהלי - עובדי מדינה</v>
      </c>
      <c r="K216" s="189">
        <f t="shared" si="324"/>
        <v>1</v>
      </c>
      <c r="L216" s="18">
        <f t="shared" si="325"/>
        <v>12</v>
      </c>
      <c r="M216" s="129" t="str">
        <f t="shared" si="326"/>
        <v>17+</v>
      </c>
      <c r="N216" s="189"/>
      <c r="O216" s="132">
        <f t="shared" si="327"/>
        <v>1012</v>
      </c>
      <c r="P216" s="127">
        <f t="shared" si="328"/>
        <v>37</v>
      </c>
      <c r="Q216" s="127">
        <f t="shared" si="329"/>
        <v>22.75</v>
      </c>
      <c r="R216" s="128">
        <f t="shared" si="330"/>
        <v>92</v>
      </c>
      <c r="S216" s="130">
        <f t="shared" si="331"/>
        <v>1.2540512286990533</v>
      </c>
      <c r="T216" s="135">
        <f t="shared" si="268"/>
        <v>0</v>
      </c>
      <c r="U216" s="127">
        <f t="shared" si="269"/>
        <v>0</v>
      </c>
      <c r="V216" s="217">
        <v>0</v>
      </c>
      <c r="W216" s="191">
        <v>0</v>
      </c>
      <c r="X216" s="133">
        <v>0</v>
      </c>
      <c r="Y216" s="131">
        <f t="shared" si="270"/>
        <v>2438.5</v>
      </c>
      <c r="Z216" s="131">
        <f t="shared" si="271"/>
        <v>619.50392118264142</v>
      </c>
      <c r="AA216" s="242">
        <f t="shared" si="272"/>
        <v>3058.0039211826415</v>
      </c>
      <c r="AB216" s="131">
        <f t="shared" si="273"/>
        <v>0</v>
      </c>
      <c r="AC216" s="131">
        <f t="shared" si="274"/>
        <v>139.48055684730568</v>
      </c>
      <c r="AD216" s="131">
        <f t="shared" si="275"/>
        <v>0</v>
      </c>
      <c r="AE216" s="131">
        <f t="shared" si="276"/>
        <v>0</v>
      </c>
      <c r="AF216" s="131">
        <f t="shared" si="277"/>
        <v>75.260000000000005</v>
      </c>
      <c r="AG216" s="131">
        <f t="shared" si="278"/>
        <v>0</v>
      </c>
      <c r="AH216" s="131">
        <f t="shared" si="279"/>
        <v>0</v>
      </c>
      <c r="AI216" s="131">
        <f t="shared" si="280"/>
        <v>0</v>
      </c>
      <c r="AJ216" s="131">
        <f t="shared" si="281"/>
        <v>0</v>
      </c>
      <c r="AK216" s="131"/>
      <c r="AL216" s="131">
        <f t="shared" si="282"/>
        <v>0</v>
      </c>
      <c r="AM216" s="131"/>
      <c r="AN216" s="243">
        <f t="shared" si="283"/>
        <v>0</v>
      </c>
      <c r="AO216" s="131">
        <f t="shared" si="284"/>
        <v>0</v>
      </c>
      <c r="AP216" s="131">
        <f t="shared" si="285"/>
        <v>0</v>
      </c>
      <c r="AQ216" s="131"/>
      <c r="AR216" s="131">
        <f t="shared" si="286"/>
        <v>0</v>
      </c>
      <c r="AS216" s="131">
        <f t="shared" si="332"/>
        <v>0</v>
      </c>
      <c r="AT216" s="131">
        <f t="shared" si="287"/>
        <v>0</v>
      </c>
      <c r="AU216" s="131">
        <f t="shared" si="288"/>
        <v>0</v>
      </c>
      <c r="AV216" s="131"/>
      <c r="AW216" s="131">
        <f t="shared" si="289"/>
        <v>353.75</v>
      </c>
      <c r="AX216" s="131">
        <f t="shared" si="343"/>
        <v>0</v>
      </c>
      <c r="AY216" s="131">
        <f t="shared" si="290"/>
        <v>0</v>
      </c>
      <c r="AZ216" s="131"/>
      <c r="BA216" s="131">
        <f t="shared" si="344"/>
        <v>0</v>
      </c>
      <c r="BB216" s="131"/>
      <c r="BC216" s="131"/>
      <c r="BD216" s="131">
        <f t="shared" si="291"/>
        <v>0</v>
      </c>
      <c r="BE216" s="131"/>
      <c r="BF216" s="131">
        <f t="shared" si="333"/>
        <v>0</v>
      </c>
      <c r="BG216" s="131">
        <f t="shared" si="334"/>
        <v>0</v>
      </c>
      <c r="BH216" s="131"/>
      <c r="BI216" s="131"/>
      <c r="BJ216" s="131"/>
      <c r="BK216" s="131">
        <f t="shared" si="335"/>
        <v>0</v>
      </c>
      <c r="BL216" s="131"/>
      <c r="BM216" s="131"/>
      <c r="BN216" s="131">
        <f t="shared" si="336"/>
        <v>0</v>
      </c>
      <c r="BO216" s="131"/>
      <c r="BP216" s="131">
        <f t="shared" si="337"/>
        <v>0</v>
      </c>
      <c r="BQ216" s="131"/>
      <c r="BR216" s="131"/>
      <c r="BS216" s="131"/>
      <c r="BT216" s="131"/>
      <c r="BU216" s="131"/>
      <c r="BV216" s="131">
        <f t="shared" si="338"/>
        <v>0</v>
      </c>
      <c r="BW216" s="131"/>
      <c r="BX216" s="131"/>
      <c r="BY216" s="131"/>
      <c r="BZ216" s="131">
        <f t="shared" si="339"/>
        <v>0</v>
      </c>
      <c r="CA216" s="131"/>
      <c r="CB216" s="136">
        <f t="shared" si="292"/>
        <v>165.08663357180151</v>
      </c>
      <c r="CC216" s="131">
        <f t="shared" si="293"/>
        <v>0</v>
      </c>
      <c r="CD216" s="136">
        <f t="shared" si="294"/>
        <v>0</v>
      </c>
      <c r="CE216" s="131">
        <f t="shared" si="342"/>
        <v>0</v>
      </c>
      <c r="CF216" s="136">
        <f t="shared" si="295"/>
        <v>0</v>
      </c>
      <c r="CG216" s="136"/>
      <c r="CH216" s="136">
        <f t="shared" si="341"/>
        <v>0</v>
      </c>
      <c r="CI216" s="131">
        <f t="shared" si="296"/>
        <v>0</v>
      </c>
      <c r="CJ216" s="131"/>
      <c r="CK216" s="136">
        <f t="shared" si="297"/>
        <v>0</v>
      </c>
      <c r="CL216" s="136">
        <f t="shared" si="298"/>
        <v>0</v>
      </c>
      <c r="CM216" s="131">
        <f t="shared" si="299"/>
        <v>0</v>
      </c>
      <c r="CN216" s="136">
        <f t="shared" si="300"/>
        <v>0</v>
      </c>
      <c r="CO216" s="136">
        <f t="shared" si="301"/>
        <v>0</v>
      </c>
      <c r="CP216" s="136">
        <f t="shared" si="302"/>
        <v>0</v>
      </c>
      <c r="CQ216" s="136"/>
      <c r="CR216" s="136">
        <f t="shared" si="303"/>
        <v>0</v>
      </c>
      <c r="CS216" s="136"/>
      <c r="CT216" s="136"/>
      <c r="CU216" s="136"/>
      <c r="CV216" s="136"/>
      <c r="CW216" s="136"/>
      <c r="CX216" s="136"/>
      <c r="CY216" s="136"/>
      <c r="CZ216" s="136">
        <f t="shared" si="304"/>
        <v>0</v>
      </c>
      <c r="DA216" s="136">
        <f t="shared" si="305"/>
        <v>0</v>
      </c>
      <c r="DB216" s="136">
        <f t="shared" si="306"/>
        <v>0</v>
      </c>
      <c r="DC216" s="131">
        <f t="shared" si="266"/>
        <v>0</v>
      </c>
      <c r="DD216" s="131">
        <f t="shared" si="307"/>
        <v>0</v>
      </c>
      <c r="DE216" s="131">
        <f t="shared" si="308"/>
        <v>0</v>
      </c>
      <c r="DF216" s="131">
        <f t="shared" si="309"/>
        <v>0</v>
      </c>
      <c r="DG216" s="131">
        <f t="shared" si="310"/>
        <v>0</v>
      </c>
      <c r="DH216" s="131"/>
      <c r="DI216" s="131"/>
      <c r="DJ216" s="131"/>
      <c r="DK216" s="137">
        <f t="shared" si="340"/>
        <v>3791.5811116017489</v>
      </c>
      <c r="DL216" s="227" t="e">
        <f t="shared" si="311"/>
        <v>#REF!</v>
      </c>
      <c r="DM216" s="227" t="e">
        <f t="shared" si="312"/>
        <v>#REF!</v>
      </c>
      <c r="DN216" s="228" t="e">
        <f t="shared" si="267"/>
        <v>#REF!</v>
      </c>
      <c r="DO216" s="228">
        <f t="shared" si="313"/>
        <v>181.81087083894022</v>
      </c>
      <c r="DP216" s="228" t="e">
        <f t="shared" si="314"/>
        <v>#REF!</v>
      </c>
      <c r="DQ216" s="228" t="e">
        <f t="shared" si="315"/>
        <v>#REF!</v>
      </c>
    </row>
    <row r="217" spans="1:121">
      <c r="A217" s="132">
        <f t="shared" si="265"/>
        <v>207</v>
      </c>
      <c r="B217" s="18">
        <f t="shared" si="316"/>
        <v>207</v>
      </c>
      <c r="C217" s="18">
        <f>IF(A217=0," ",VLOOKUP(B217,'tosafot '!$A$7:$B$234,2,0))</f>
        <v>3.2025000000000001</v>
      </c>
      <c r="D217" s="220">
        <f t="shared" si="317"/>
        <v>228</v>
      </c>
      <c r="E217" s="130">
        <f t="shared" si="318"/>
        <v>12.2026</v>
      </c>
      <c r="F217" s="126">
        <f t="shared" si="319"/>
        <v>9</v>
      </c>
      <c r="G217" s="18" t="str">
        <f t="shared" si="320"/>
        <v>הבריאות</v>
      </c>
      <c r="H217" s="189">
        <f t="shared" si="321"/>
        <v>107</v>
      </c>
      <c r="I217" s="18">
        <f t="shared" si="322"/>
        <v>1</v>
      </c>
      <c r="J217" s="18" t="str">
        <f t="shared" si="323"/>
        <v>מינהלי - עובדי מדינה</v>
      </c>
      <c r="K217" s="189">
        <f t="shared" si="324"/>
        <v>1</v>
      </c>
      <c r="L217" s="18">
        <f t="shared" si="325"/>
        <v>12</v>
      </c>
      <c r="M217" s="129" t="str">
        <f t="shared" si="326"/>
        <v>17+</v>
      </c>
      <c r="N217" s="189"/>
      <c r="O217" s="132">
        <f t="shared" si="327"/>
        <v>1012</v>
      </c>
      <c r="P217" s="127">
        <f t="shared" si="328"/>
        <v>37</v>
      </c>
      <c r="Q217" s="127">
        <f t="shared" si="329"/>
        <v>22.75</v>
      </c>
      <c r="R217" s="128">
        <f t="shared" si="330"/>
        <v>92</v>
      </c>
      <c r="S217" s="130">
        <f t="shared" si="331"/>
        <v>1.2540512286990533</v>
      </c>
      <c r="T217" s="135">
        <f t="shared" si="268"/>
        <v>0</v>
      </c>
      <c r="U217" s="127">
        <f t="shared" si="269"/>
        <v>0</v>
      </c>
      <c r="V217" s="217">
        <v>0</v>
      </c>
      <c r="W217" s="191">
        <v>0</v>
      </c>
      <c r="X217" s="133">
        <v>0</v>
      </c>
      <c r="Y217" s="131">
        <f t="shared" si="270"/>
        <v>2438.5</v>
      </c>
      <c r="Z217" s="131">
        <f t="shared" si="271"/>
        <v>619.50392118264142</v>
      </c>
      <c r="AA217" s="242">
        <f t="shared" si="272"/>
        <v>3058.0039211826415</v>
      </c>
      <c r="AB217" s="131">
        <f t="shared" si="273"/>
        <v>0</v>
      </c>
      <c r="AC217" s="131">
        <f t="shared" si="274"/>
        <v>139.48055684730568</v>
      </c>
      <c r="AD217" s="131">
        <f t="shared" si="275"/>
        <v>0</v>
      </c>
      <c r="AE217" s="131">
        <f t="shared" si="276"/>
        <v>0</v>
      </c>
      <c r="AF217" s="131">
        <f t="shared" si="277"/>
        <v>75.260000000000005</v>
      </c>
      <c r="AG217" s="131">
        <f t="shared" si="278"/>
        <v>0</v>
      </c>
      <c r="AH217" s="131">
        <f t="shared" si="279"/>
        <v>0</v>
      </c>
      <c r="AI217" s="131">
        <f t="shared" si="280"/>
        <v>0</v>
      </c>
      <c r="AJ217" s="131">
        <f t="shared" si="281"/>
        <v>0</v>
      </c>
      <c r="AK217" s="131"/>
      <c r="AL217" s="131">
        <f t="shared" si="282"/>
        <v>0</v>
      </c>
      <c r="AM217" s="131"/>
      <c r="AN217" s="243">
        <f t="shared" si="283"/>
        <v>0</v>
      </c>
      <c r="AO217" s="131">
        <f t="shared" si="284"/>
        <v>0</v>
      </c>
      <c r="AP217" s="131">
        <f t="shared" si="285"/>
        <v>0</v>
      </c>
      <c r="AQ217" s="131"/>
      <c r="AR217" s="131">
        <f t="shared" si="286"/>
        <v>0</v>
      </c>
      <c r="AS217" s="131">
        <f t="shared" si="332"/>
        <v>0</v>
      </c>
      <c r="AT217" s="131">
        <f t="shared" si="287"/>
        <v>0</v>
      </c>
      <c r="AU217" s="131">
        <f t="shared" si="288"/>
        <v>0</v>
      </c>
      <c r="AV217" s="131"/>
      <c r="AW217" s="131">
        <f t="shared" si="289"/>
        <v>353.75</v>
      </c>
      <c r="AX217" s="131">
        <f t="shared" si="343"/>
        <v>0</v>
      </c>
      <c r="AY217" s="131">
        <f t="shared" si="290"/>
        <v>0</v>
      </c>
      <c r="AZ217" s="131"/>
      <c r="BA217" s="131">
        <f t="shared" si="344"/>
        <v>0</v>
      </c>
      <c r="BB217" s="131"/>
      <c r="BC217" s="131"/>
      <c r="BD217" s="131">
        <f t="shared" si="291"/>
        <v>0</v>
      </c>
      <c r="BE217" s="131"/>
      <c r="BF217" s="131">
        <f t="shared" si="333"/>
        <v>0</v>
      </c>
      <c r="BG217" s="131">
        <f t="shared" si="334"/>
        <v>0</v>
      </c>
      <c r="BH217" s="131"/>
      <c r="BI217" s="131"/>
      <c r="BJ217" s="131"/>
      <c r="BK217" s="131">
        <f t="shared" si="335"/>
        <v>0</v>
      </c>
      <c r="BL217" s="131"/>
      <c r="BM217" s="131"/>
      <c r="BN217" s="131">
        <f t="shared" si="336"/>
        <v>0</v>
      </c>
      <c r="BO217" s="131"/>
      <c r="BP217" s="131">
        <f t="shared" si="337"/>
        <v>0</v>
      </c>
      <c r="BQ217" s="131"/>
      <c r="BR217" s="131"/>
      <c r="BS217" s="131"/>
      <c r="BT217" s="131"/>
      <c r="BU217" s="131"/>
      <c r="BV217" s="131">
        <f t="shared" si="338"/>
        <v>0</v>
      </c>
      <c r="BW217" s="131"/>
      <c r="BX217" s="131"/>
      <c r="BY217" s="131"/>
      <c r="BZ217" s="131">
        <f t="shared" si="339"/>
        <v>0</v>
      </c>
      <c r="CA217" s="131"/>
      <c r="CB217" s="136">
        <f t="shared" si="292"/>
        <v>165.08663357180151</v>
      </c>
      <c r="CC217" s="131">
        <f t="shared" si="293"/>
        <v>0</v>
      </c>
      <c r="CD217" s="136">
        <f t="shared" si="294"/>
        <v>0</v>
      </c>
      <c r="CE217" s="131">
        <f t="shared" si="342"/>
        <v>0</v>
      </c>
      <c r="CF217" s="136">
        <f t="shared" si="295"/>
        <v>0</v>
      </c>
      <c r="CG217" s="136"/>
      <c r="CH217" s="136">
        <f t="shared" si="341"/>
        <v>0</v>
      </c>
      <c r="CI217" s="131">
        <f t="shared" si="296"/>
        <v>0</v>
      </c>
      <c r="CJ217" s="131"/>
      <c r="CK217" s="136">
        <f t="shared" si="297"/>
        <v>0</v>
      </c>
      <c r="CL217" s="136">
        <f t="shared" si="298"/>
        <v>0</v>
      </c>
      <c r="CM217" s="131">
        <f t="shared" si="299"/>
        <v>0</v>
      </c>
      <c r="CN217" s="136">
        <f t="shared" si="300"/>
        <v>0</v>
      </c>
      <c r="CO217" s="136">
        <f t="shared" si="301"/>
        <v>0</v>
      </c>
      <c r="CP217" s="136">
        <f t="shared" si="302"/>
        <v>0</v>
      </c>
      <c r="CQ217" s="136"/>
      <c r="CR217" s="136">
        <f t="shared" si="303"/>
        <v>0</v>
      </c>
      <c r="CS217" s="136"/>
      <c r="CT217" s="136"/>
      <c r="CU217" s="136"/>
      <c r="CV217" s="136"/>
      <c r="CW217" s="136"/>
      <c r="CX217" s="136"/>
      <c r="CY217" s="136"/>
      <c r="CZ217" s="136">
        <f t="shared" si="304"/>
        <v>0</v>
      </c>
      <c r="DA217" s="136">
        <f t="shared" si="305"/>
        <v>0</v>
      </c>
      <c r="DB217" s="136">
        <f t="shared" si="306"/>
        <v>0</v>
      </c>
      <c r="DC217" s="131">
        <f t="shared" si="266"/>
        <v>0</v>
      </c>
      <c r="DD217" s="131">
        <f t="shared" si="307"/>
        <v>0</v>
      </c>
      <c r="DE217" s="131">
        <f t="shared" si="308"/>
        <v>0</v>
      </c>
      <c r="DF217" s="131">
        <f t="shared" si="309"/>
        <v>0</v>
      </c>
      <c r="DG217" s="131">
        <f t="shared" si="310"/>
        <v>0</v>
      </c>
      <c r="DH217" s="131"/>
      <c r="DI217" s="131"/>
      <c r="DJ217" s="131"/>
      <c r="DK217" s="137">
        <f t="shared" si="340"/>
        <v>3791.5811116017489</v>
      </c>
      <c r="DL217" s="227" t="e">
        <f t="shared" si="311"/>
        <v>#REF!</v>
      </c>
      <c r="DM217" s="227" t="e">
        <f t="shared" si="312"/>
        <v>#REF!</v>
      </c>
      <c r="DN217" s="228" t="e">
        <f t="shared" si="267"/>
        <v>#REF!</v>
      </c>
      <c r="DO217" s="228">
        <f t="shared" si="313"/>
        <v>181.81087083894022</v>
      </c>
      <c r="DP217" s="228" t="e">
        <f t="shared" si="314"/>
        <v>#REF!</v>
      </c>
      <c r="DQ217" s="228" t="e">
        <f t="shared" si="315"/>
        <v>#REF!</v>
      </c>
    </row>
    <row r="218" spans="1:121">
      <c r="A218" s="132">
        <f t="shared" si="265"/>
        <v>208</v>
      </c>
      <c r="B218" s="18">
        <f t="shared" si="316"/>
        <v>208</v>
      </c>
      <c r="C218" s="18">
        <f>IF(A218=0," ",VLOOKUP(B218,'tosafot '!$A$7:$B$234,2,0))</f>
        <v>4.2024999999999997</v>
      </c>
      <c r="D218" s="220">
        <f t="shared" si="317"/>
        <v>228</v>
      </c>
      <c r="E218" s="130">
        <f t="shared" si="318"/>
        <v>12.2026</v>
      </c>
      <c r="F218" s="126">
        <f t="shared" si="319"/>
        <v>9</v>
      </c>
      <c r="G218" s="18" t="str">
        <f t="shared" si="320"/>
        <v>הבריאות</v>
      </c>
      <c r="H218" s="189">
        <f t="shared" si="321"/>
        <v>107</v>
      </c>
      <c r="I218" s="18">
        <f t="shared" si="322"/>
        <v>1</v>
      </c>
      <c r="J218" s="18" t="str">
        <f t="shared" si="323"/>
        <v>מינהלי - עובדי מדינה</v>
      </c>
      <c r="K218" s="189">
        <f t="shared" si="324"/>
        <v>1</v>
      </c>
      <c r="L218" s="18">
        <f t="shared" si="325"/>
        <v>12</v>
      </c>
      <c r="M218" s="129" t="str">
        <f t="shared" si="326"/>
        <v>17+</v>
      </c>
      <c r="N218" s="189"/>
      <c r="O218" s="132">
        <f t="shared" si="327"/>
        <v>1012</v>
      </c>
      <c r="P218" s="127">
        <f t="shared" si="328"/>
        <v>37</v>
      </c>
      <c r="Q218" s="127">
        <f t="shared" si="329"/>
        <v>22.75</v>
      </c>
      <c r="R218" s="128">
        <f t="shared" si="330"/>
        <v>92</v>
      </c>
      <c r="S218" s="130">
        <f t="shared" si="331"/>
        <v>1.2540512286990533</v>
      </c>
      <c r="T218" s="135">
        <f t="shared" si="268"/>
        <v>0</v>
      </c>
      <c r="U218" s="127">
        <f t="shared" si="269"/>
        <v>0</v>
      </c>
      <c r="V218" s="217">
        <v>0</v>
      </c>
      <c r="W218" s="191">
        <v>0</v>
      </c>
      <c r="X218" s="133">
        <v>0</v>
      </c>
      <c r="Y218" s="131">
        <f t="shared" si="270"/>
        <v>2438.5</v>
      </c>
      <c r="Z218" s="131">
        <f t="shared" si="271"/>
        <v>619.50392118264142</v>
      </c>
      <c r="AA218" s="242">
        <f t="shared" si="272"/>
        <v>3058.0039211826415</v>
      </c>
      <c r="AB218" s="131">
        <f t="shared" si="273"/>
        <v>0</v>
      </c>
      <c r="AC218" s="131">
        <f t="shared" si="274"/>
        <v>139.48055684730568</v>
      </c>
      <c r="AD218" s="131">
        <f t="shared" si="275"/>
        <v>0</v>
      </c>
      <c r="AE218" s="131">
        <f t="shared" si="276"/>
        <v>0</v>
      </c>
      <c r="AF218" s="131">
        <f t="shared" si="277"/>
        <v>75.260000000000005</v>
      </c>
      <c r="AG218" s="131">
        <f t="shared" si="278"/>
        <v>0</v>
      </c>
      <c r="AH218" s="131">
        <f t="shared" si="279"/>
        <v>0</v>
      </c>
      <c r="AI218" s="131">
        <f t="shared" si="280"/>
        <v>0</v>
      </c>
      <c r="AJ218" s="131">
        <f t="shared" si="281"/>
        <v>0</v>
      </c>
      <c r="AK218" s="131"/>
      <c r="AL218" s="131">
        <f t="shared" si="282"/>
        <v>0</v>
      </c>
      <c r="AM218" s="131"/>
      <c r="AN218" s="243">
        <f t="shared" si="283"/>
        <v>0</v>
      </c>
      <c r="AO218" s="131">
        <f t="shared" si="284"/>
        <v>0</v>
      </c>
      <c r="AP218" s="131">
        <f t="shared" si="285"/>
        <v>0</v>
      </c>
      <c r="AQ218" s="131"/>
      <c r="AR218" s="131">
        <f t="shared" si="286"/>
        <v>0</v>
      </c>
      <c r="AS218" s="131">
        <f t="shared" si="332"/>
        <v>0</v>
      </c>
      <c r="AT218" s="131">
        <f t="shared" si="287"/>
        <v>0</v>
      </c>
      <c r="AU218" s="131">
        <f t="shared" si="288"/>
        <v>0</v>
      </c>
      <c r="AV218" s="131"/>
      <c r="AW218" s="131">
        <f t="shared" si="289"/>
        <v>353.75</v>
      </c>
      <c r="AX218" s="131">
        <f t="shared" si="343"/>
        <v>0</v>
      </c>
      <c r="AY218" s="131">
        <f t="shared" si="290"/>
        <v>0</v>
      </c>
      <c r="AZ218" s="131"/>
      <c r="BA218" s="131">
        <f t="shared" si="344"/>
        <v>0</v>
      </c>
      <c r="BB218" s="131"/>
      <c r="BC218" s="131"/>
      <c r="BD218" s="131">
        <f t="shared" si="291"/>
        <v>0</v>
      </c>
      <c r="BE218" s="131"/>
      <c r="BF218" s="131">
        <f t="shared" si="333"/>
        <v>0</v>
      </c>
      <c r="BG218" s="131">
        <f t="shared" si="334"/>
        <v>0</v>
      </c>
      <c r="BH218" s="131"/>
      <c r="BI218" s="131"/>
      <c r="BJ218" s="131"/>
      <c r="BK218" s="131">
        <f t="shared" si="335"/>
        <v>0</v>
      </c>
      <c r="BL218" s="131"/>
      <c r="BM218" s="131"/>
      <c r="BN218" s="131">
        <f t="shared" si="336"/>
        <v>0</v>
      </c>
      <c r="BO218" s="131"/>
      <c r="BP218" s="131">
        <f t="shared" si="337"/>
        <v>0</v>
      </c>
      <c r="BQ218" s="131"/>
      <c r="BR218" s="131"/>
      <c r="BS218" s="131"/>
      <c r="BT218" s="131"/>
      <c r="BU218" s="131"/>
      <c r="BV218" s="131">
        <f t="shared" si="338"/>
        <v>0</v>
      </c>
      <c r="BW218" s="131"/>
      <c r="BX218" s="131"/>
      <c r="BY218" s="131"/>
      <c r="BZ218" s="131">
        <f t="shared" si="339"/>
        <v>0</v>
      </c>
      <c r="CA218" s="131"/>
      <c r="CB218" s="136">
        <f t="shared" si="292"/>
        <v>165.08663357180151</v>
      </c>
      <c r="CC218" s="131">
        <f t="shared" si="293"/>
        <v>0</v>
      </c>
      <c r="CD218" s="136">
        <f t="shared" si="294"/>
        <v>0</v>
      </c>
      <c r="CE218" s="131">
        <f t="shared" si="342"/>
        <v>0</v>
      </c>
      <c r="CF218" s="136">
        <f t="shared" si="295"/>
        <v>0</v>
      </c>
      <c r="CG218" s="136"/>
      <c r="CH218" s="136">
        <f t="shared" si="341"/>
        <v>0</v>
      </c>
      <c r="CI218" s="131">
        <f t="shared" si="296"/>
        <v>0</v>
      </c>
      <c r="CJ218" s="131"/>
      <c r="CK218" s="136">
        <f t="shared" si="297"/>
        <v>0</v>
      </c>
      <c r="CL218" s="136">
        <f t="shared" si="298"/>
        <v>0</v>
      </c>
      <c r="CM218" s="131">
        <f t="shared" si="299"/>
        <v>0</v>
      </c>
      <c r="CN218" s="136">
        <f t="shared" si="300"/>
        <v>0</v>
      </c>
      <c r="CO218" s="136">
        <f t="shared" si="301"/>
        <v>0</v>
      </c>
      <c r="CP218" s="136">
        <f t="shared" si="302"/>
        <v>0</v>
      </c>
      <c r="CQ218" s="136"/>
      <c r="CR218" s="136">
        <f t="shared" si="303"/>
        <v>0</v>
      </c>
      <c r="CS218" s="136"/>
      <c r="CT218" s="136"/>
      <c r="CU218" s="136"/>
      <c r="CV218" s="136"/>
      <c r="CW218" s="136"/>
      <c r="CX218" s="136"/>
      <c r="CY218" s="136"/>
      <c r="CZ218" s="136">
        <f t="shared" si="304"/>
        <v>0</v>
      </c>
      <c r="DA218" s="136">
        <f t="shared" si="305"/>
        <v>0</v>
      </c>
      <c r="DB218" s="136">
        <f t="shared" si="306"/>
        <v>0</v>
      </c>
      <c r="DC218" s="131">
        <f t="shared" si="266"/>
        <v>0</v>
      </c>
      <c r="DD218" s="131">
        <f t="shared" si="307"/>
        <v>0</v>
      </c>
      <c r="DE218" s="131">
        <f t="shared" si="308"/>
        <v>0</v>
      </c>
      <c r="DF218" s="131">
        <f t="shared" si="309"/>
        <v>0</v>
      </c>
      <c r="DG218" s="131">
        <f t="shared" si="310"/>
        <v>0</v>
      </c>
      <c r="DH218" s="131"/>
      <c r="DI218" s="131"/>
      <c r="DJ218" s="131"/>
      <c r="DK218" s="137">
        <f t="shared" si="340"/>
        <v>3791.5811116017489</v>
      </c>
      <c r="DL218" s="227" t="e">
        <f t="shared" si="311"/>
        <v>#REF!</v>
      </c>
      <c r="DM218" s="227" t="e">
        <f t="shared" si="312"/>
        <v>#REF!</v>
      </c>
      <c r="DN218" s="228" t="e">
        <f t="shared" si="267"/>
        <v>#REF!</v>
      </c>
      <c r="DO218" s="228">
        <f t="shared" si="313"/>
        <v>181.81087083894022</v>
      </c>
      <c r="DP218" s="228" t="e">
        <f t="shared" si="314"/>
        <v>#REF!</v>
      </c>
      <c r="DQ218" s="228" t="e">
        <f t="shared" si="315"/>
        <v>#REF!</v>
      </c>
    </row>
    <row r="219" spans="1:121">
      <c r="A219" s="132">
        <f t="shared" si="265"/>
        <v>209</v>
      </c>
      <c r="B219" s="18">
        <f t="shared" si="316"/>
        <v>209</v>
      </c>
      <c r="C219" s="18">
        <f>IF(A219=0," ",VLOOKUP(B219,'tosafot '!$A$7:$B$234,2,0))</f>
        <v>5.2024999999999997</v>
      </c>
      <c r="D219" s="220">
        <f t="shared" si="317"/>
        <v>228</v>
      </c>
      <c r="E219" s="130">
        <f t="shared" si="318"/>
        <v>12.2026</v>
      </c>
      <c r="F219" s="126">
        <f t="shared" si="319"/>
        <v>9</v>
      </c>
      <c r="G219" s="18" t="str">
        <f t="shared" si="320"/>
        <v>הבריאות</v>
      </c>
      <c r="H219" s="189">
        <f t="shared" si="321"/>
        <v>107</v>
      </c>
      <c r="I219" s="18">
        <f t="shared" si="322"/>
        <v>1</v>
      </c>
      <c r="J219" s="18" t="str">
        <f t="shared" si="323"/>
        <v>מינהלי - עובדי מדינה</v>
      </c>
      <c r="K219" s="189">
        <f t="shared" si="324"/>
        <v>1</v>
      </c>
      <c r="L219" s="18">
        <f t="shared" si="325"/>
        <v>12</v>
      </c>
      <c r="M219" s="129" t="str">
        <f t="shared" si="326"/>
        <v>17+</v>
      </c>
      <c r="N219" s="189"/>
      <c r="O219" s="132">
        <f t="shared" si="327"/>
        <v>1012</v>
      </c>
      <c r="P219" s="127">
        <f t="shared" si="328"/>
        <v>37</v>
      </c>
      <c r="Q219" s="127">
        <f t="shared" si="329"/>
        <v>22.75</v>
      </c>
      <c r="R219" s="128">
        <f t="shared" si="330"/>
        <v>92</v>
      </c>
      <c r="S219" s="130">
        <f t="shared" si="331"/>
        <v>1.2540512286990533</v>
      </c>
      <c r="T219" s="135">
        <f t="shared" si="268"/>
        <v>0</v>
      </c>
      <c r="U219" s="127">
        <f t="shared" si="269"/>
        <v>0</v>
      </c>
      <c r="V219" s="217">
        <v>0</v>
      </c>
      <c r="W219" s="191">
        <v>0</v>
      </c>
      <c r="X219" s="133">
        <v>0</v>
      </c>
      <c r="Y219" s="131">
        <f t="shared" si="270"/>
        <v>2438.5</v>
      </c>
      <c r="Z219" s="131">
        <f t="shared" si="271"/>
        <v>619.50392118264142</v>
      </c>
      <c r="AA219" s="242">
        <f t="shared" si="272"/>
        <v>3058.0039211826415</v>
      </c>
      <c r="AB219" s="131">
        <f t="shared" si="273"/>
        <v>0</v>
      </c>
      <c r="AC219" s="131">
        <f t="shared" si="274"/>
        <v>139.48055684730568</v>
      </c>
      <c r="AD219" s="131">
        <f t="shared" si="275"/>
        <v>0</v>
      </c>
      <c r="AE219" s="131">
        <f t="shared" si="276"/>
        <v>0</v>
      </c>
      <c r="AF219" s="131">
        <f t="shared" si="277"/>
        <v>75.260000000000005</v>
      </c>
      <c r="AG219" s="131">
        <f t="shared" si="278"/>
        <v>0</v>
      </c>
      <c r="AH219" s="131">
        <f t="shared" si="279"/>
        <v>0</v>
      </c>
      <c r="AI219" s="131">
        <f t="shared" si="280"/>
        <v>0</v>
      </c>
      <c r="AJ219" s="131">
        <f t="shared" si="281"/>
        <v>0</v>
      </c>
      <c r="AK219" s="131"/>
      <c r="AL219" s="131">
        <f t="shared" si="282"/>
        <v>0</v>
      </c>
      <c r="AM219" s="131"/>
      <c r="AN219" s="243">
        <f t="shared" si="283"/>
        <v>0</v>
      </c>
      <c r="AO219" s="131">
        <f t="shared" si="284"/>
        <v>0</v>
      </c>
      <c r="AP219" s="131">
        <f t="shared" si="285"/>
        <v>0</v>
      </c>
      <c r="AQ219" s="131"/>
      <c r="AR219" s="131">
        <f t="shared" si="286"/>
        <v>0</v>
      </c>
      <c r="AS219" s="131">
        <f t="shared" si="332"/>
        <v>0</v>
      </c>
      <c r="AT219" s="131">
        <f t="shared" si="287"/>
        <v>0</v>
      </c>
      <c r="AU219" s="131">
        <f t="shared" si="288"/>
        <v>0</v>
      </c>
      <c r="AV219" s="131"/>
      <c r="AW219" s="131">
        <f t="shared" si="289"/>
        <v>353.75</v>
      </c>
      <c r="AX219" s="131">
        <f t="shared" si="343"/>
        <v>0</v>
      </c>
      <c r="AY219" s="131">
        <f t="shared" si="290"/>
        <v>0</v>
      </c>
      <c r="AZ219" s="131"/>
      <c r="BA219" s="131">
        <f t="shared" si="344"/>
        <v>0</v>
      </c>
      <c r="BB219" s="131"/>
      <c r="BC219" s="131"/>
      <c r="BD219" s="131">
        <f t="shared" si="291"/>
        <v>0</v>
      </c>
      <c r="BE219" s="131"/>
      <c r="BF219" s="131">
        <f t="shared" si="333"/>
        <v>0</v>
      </c>
      <c r="BG219" s="131">
        <f t="shared" si="334"/>
        <v>0</v>
      </c>
      <c r="BH219" s="131"/>
      <c r="BI219" s="131"/>
      <c r="BJ219" s="131"/>
      <c r="BK219" s="131">
        <f t="shared" si="335"/>
        <v>0</v>
      </c>
      <c r="BL219" s="131"/>
      <c r="BM219" s="131"/>
      <c r="BN219" s="131">
        <f t="shared" si="336"/>
        <v>0</v>
      </c>
      <c r="BO219" s="131"/>
      <c r="BP219" s="131">
        <f t="shared" si="337"/>
        <v>0</v>
      </c>
      <c r="BQ219" s="131"/>
      <c r="BR219" s="131"/>
      <c r="BS219" s="131"/>
      <c r="BT219" s="131"/>
      <c r="BU219" s="131"/>
      <c r="BV219" s="131">
        <f t="shared" si="338"/>
        <v>0</v>
      </c>
      <c r="BW219" s="131"/>
      <c r="BX219" s="131"/>
      <c r="BY219" s="131"/>
      <c r="BZ219" s="131">
        <f t="shared" si="339"/>
        <v>0</v>
      </c>
      <c r="CA219" s="131"/>
      <c r="CB219" s="136">
        <f t="shared" si="292"/>
        <v>165.08663357180151</v>
      </c>
      <c r="CC219" s="131">
        <f t="shared" si="293"/>
        <v>0</v>
      </c>
      <c r="CD219" s="136">
        <f t="shared" si="294"/>
        <v>0</v>
      </c>
      <c r="CE219" s="131">
        <f t="shared" si="342"/>
        <v>0</v>
      </c>
      <c r="CF219" s="136">
        <f t="shared" si="295"/>
        <v>0</v>
      </c>
      <c r="CG219" s="136"/>
      <c r="CH219" s="136">
        <f t="shared" si="341"/>
        <v>0</v>
      </c>
      <c r="CI219" s="131">
        <f t="shared" si="296"/>
        <v>0</v>
      </c>
      <c r="CJ219" s="131"/>
      <c r="CK219" s="136">
        <f t="shared" si="297"/>
        <v>0</v>
      </c>
      <c r="CL219" s="136">
        <f t="shared" si="298"/>
        <v>0</v>
      </c>
      <c r="CM219" s="131">
        <f t="shared" si="299"/>
        <v>0</v>
      </c>
      <c r="CN219" s="136">
        <f t="shared" si="300"/>
        <v>0</v>
      </c>
      <c r="CO219" s="136">
        <f t="shared" si="301"/>
        <v>0</v>
      </c>
      <c r="CP219" s="136">
        <f t="shared" si="302"/>
        <v>0</v>
      </c>
      <c r="CQ219" s="136"/>
      <c r="CR219" s="136">
        <f t="shared" si="303"/>
        <v>0</v>
      </c>
      <c r="CS219" s="136"/>
      <c r="CT219" s="136"/>
      <c r="CU219" s="136"/>
      <c r="CV219" s="136"/>
      <c r="CW219" s="136"/>
      <c r="CX219" s="136"/>
      <c r="CY219" s="136"/>
      <c r="CZ219" s="136">
        <f t="shared" si="304"/>
        <v>0</v>
      </c>
      <c r="DA219" s="136">
        <f t="shared" si="305"/>
        <v>0</v>
      </c>
      <c r="DB219" s="136">
        <f t="shared" si="306"/>
        <v>0</v>
      </c>
      <c r="DC219" s="131">
        <f t="shared" si="266"/>
        <v>0</v>
      </c>
      <c r="DD219" s="131">
        <f t="shared" si="307"/>
        <v>0</v>
      </c>
      <c r="DE219" s="131">
        <f t="shared" si="308"/>
        <v>0</v>
      </c>
      <c r="DF219" s="131">
        <f t="shared" si="309"/>
        <v>0</v>
      </c>
      <c r="DG219" s="131">
        <f t="shared" si="310"/>
        <v>0</v>
      </c>
      <c r="DH219" s="131"/>
      <c r="DI219" s="131"/>
      <c r="DJ219" s="131"/>
      <c r="DK219" s="137">
        <f t="shared" si="340"/>
        <v>3791.5811116017489</v>
      </c>
      <c r="DL219" s="227" t="e">
        <f t="shared" si="311"/>
        <v>#REF!</v>
      </c>
      <c r="DM219" s="227" t="e">
        <f t="shared" si="312"/>
        <v>#REF!</v>
      </c>
      <c r="DN219" s="228" t="e">
        <f t="shared" si="267"/>
        <v>#REF!</v>
      </c>
      <c r="DO219" s="228">
        <f t="shared" si="313"/>
        <v>181.81087083894022</v>
      </c>
      <c r="DP219" s="228" t="e">
        <f t="shared" si="314"/>
        <v>#REF!</v>
      </c>
      <c r="DQ219" s="228" t="e">
        <f t="shared" si="315"/>
        <v>#REF!</v>
      </c>
    </row>
    <row r="220" spans="1:121">
      <c r="A220" s="132">
        <f t="shared" si="265"/>
        <v>210</v>
      </c>
      <c r="B220" s="18">
        <f t="shared" si="316"/>
        <v>210</v>
      </c>
      <c r="C220" s="18">
        <f>IF(A220=0," ",VLOOKUP(B220,'tosafot '!$A$7:$B$234,2,0))</f>
        <v>6.2024999999999997</v>
      </c>
      <c r="D220" s="220">
        <f t="shared" si="317"/>
        <v>228</v>
      </c>
      <c r="E220" s="130">
        <f t="shared" si="318"/>
        <v>12.2026</v>
      </c>
      <c r="F220" s="126">
        <f t="shared" si="319"/>
        <v>9</v>
      </c>
      <c r="G220" s="18" t="str">
        <f t="shared" si="320"/>
        <v>הבריאות</v>
      </c>
      <c r="H220" s="189">
        <f t="shared" si="321"/>
        <v>107</v>
      </c>
      <c r="I220" s="18">
        <f t="shared" si="322"/>
        <v>1</v>
      </c>
      <c r="J220" s="18" t="str">
        <f t="shared" si="323"/>
        <v>מינהלי - עובדי מדינה</v>
      </c>
      <c r="K220" s="189">
        <f t="shared" si="324"/>
        <v>1</v>
      </c>
      <c r="L220" s="18">
        <f t="shared" si="325"/>
        <v>12</v>
      </c>
      <c r="M220" s="129" t="str">
        <f t="shared" si="326"/>
        <v>17+</v>
      </c>
      <c r="N220" s="189"/>
      <c r="O220" s="132">
        <f t="shared" si="327"/>
        <v>1012</v>
      </c>
      <c r="P220" s="127">
        <f t="shared" si="328"/>
        <v>37</v>
      </c>
      <c r="Q220" s="127">
        <f t="shared" si="329"/>
        <v>22.75</v>
      </c>
      <c r="R220" s="128">
        <f t="shared" si="330"/>
        <v>92</v>
      </c>
      <c r="S220" s="130">
        <f t="shared" si="331"/>
        <v>1.2540512286990533</v>
      </c>
      <c r="T220" s="135">
        <f t="shared" si="268"/>
        <v>0</v>
      </c>
      <c r="U220" s="127">
        <f t="shared" si="269"/>
        <v>0</v>
      </c>
      <c r="V220" s="217">
        <v>0</v>
      </c>
      <c r="W220" s="191">
        <v>0</v>
      </c>
      <c r="X220" s="133">
        <v>0</v>
      </c>
      <c r="Y220" s="131">
        <f t="shared" si="270"/>
        <v>2438.5</v>
      </c>
      <c r="Z220" s="131">
        <f t="shared" si="271"/>
        <v>619.50392118264142</v>
      </c>
      <c r="AA220" s="242">
        <f t="shared" si="272"/>
        <v>3058.0039211826415</v>
      </c>
      <c r="AB220" s="131">
        <f t="shared" si="273"/>
        <v>0</v>
      </c>
      <c r="AC220" s="131">
        <f t="shared" si="274"/>
        <v>139.48055684730568</v>
      </c>
      <c r="AD220" s="131">
        <f t="shared" si="275"/>
        <v>0</v>
      </c>
      <c r="AE220" s="131">
        <f t="shared" si="276"/>
        <v>0</v>
      </c>
      <c r="AF220" s="131">
        <f t="shared" si="277"/>
        <v>75.260000000000005</v>
      </c>
      <c r="AG220" s="131">
        <f t="shared" si="278"/>
        <v>0</v>
      </c>
      <c r="AH220" s="131">
        <f t="shared" si="279"/>
        <v>0</v>
      </c>
      <c r="AI220" s="131">
        <f t="shared" si="280"/>
        <v>0</v>
      </c>
      <c r="AJ220" s="131">
        <f t="shared" si="281"/>
        <v>0</v>
      </c>
      <c r="AK220" s="131"/>
      <c r="AL220" s="131">
        <f t="shared" si="282"/>
        <v>0</v>
      </c>
      <c r="AM220" s="131"/>
      <c r="AN220" s="243">
        <f t="shared" si="283"/>
        <v>0</v>
      </c>
      <c r="AO220" s="131">
        <f t="shared" si="284"/>
        <v>0</v>
      </c>
      <c r="AP220" s="131">
        <f t="shared" si="285"/>
        <v>0</v>
      </c>
      <c r="AQ220" s="131"/>
      <c r="AR220" s="131">
        <f t="shared" si="286"/>
        <v>0</v>
      </c>
      <c r="AS220" s="131">
        <f t="shared" si="332"/>
        <v>0</v>
      </c>
      <c r="AT220" s="131">
        <f t="shared" si="287"/>
        <v>0</v>
      </c>
      <c r="AU220" s="131">
        <f t="shared" si="288"/>
        <v>0</v>
      </c>
      <c r="AV220" s="131"/>
      <c r="AW220" s="131">
        <f t="shared" si="289"/>
        <v>353.75</v>
      </c>
      <c r="AX220" s="131">
        <f t="shared" si="343"/>
        <v>0</v>
      </c>
      <c r="AY220" s="131">
        <f t="shared" si="290"/>
        <v>0</v>
      </c>
      <c r="AZ220" s="131"/>
      <c r="BA220" s="131">
        <f t="shared" si="344"/>
        <v>0</v>
      </c>
      <c r="BB220" s="131"/>
      <c r="BC220" s="131"/>
      <c r="BD220" s="131">
        <f t="shared" si="291"/>
        <v>0</v>
      </c>
      <c r="BE220" s="131"/>
      <c r="BF220" s="131">
        <f t="shared" si="333"/>
        <v>0</v>
      </c>
      <c r="BG220" s="131">
        <f t="shared" si="334"/>
        <v>0</v>
      </c>
      <c r="BH220" s="131"/>
      <c r="BI220" s="131"/>
      <c r="BJ220" s="131"/>
      <c r="BK220" s="131">
        <f t="shared" si="335"/>
        <v>0</v>
      </c>
      <c r="BL220" s="131"/>
      <c r="BM220" s="131"/>
      <c r="BN220" s="131">
        <f t="shared" si="336"/>
        <v>0</v>
      </c>
      <c r="BO220" s="131"/>
      <c r="BP220" s="131">
        <f t="shared" si="337"/>
        <v>0</v>
      </c>
      <c r="BQ220" s="131"/>
      <c r="BR220" s="131"/>
      <c r="BS220" s="131"/>
      <c r="BT220" s="131"/>
      <c r="BU220" s="131"/>
      <c r="BV220" s="131">
        <f t="shared" si="338"/>
        <v>0</v>
      </c>
      <c r="BW220" s="131"/>
      <c r="BX220" s="131"/>
      <c r="BY220" s="131"/>
      <c r="BZ220" s="131">
        <f t="shared" si="339"/>
        <v>0</v>
      </c>
      <c r="CA220" s="131"/>
      <c r="CB220" s="136">
        <f t="shared" si="292"/>
        <v>165.08663357180151</v>
      </c>
      <c r="CC220" s="131">
        <f t="shared" si="293"/>
        <v>0</v>
      </c>
      <c r="CD220" s="136">
        <f t="shared" si="294"/>
        <v>0</v>
      </c>
      <c r="CE220" s="131">
        <f t="shared" si="342"/>
        <v>0</v>
      </c>
      <c r="CF220" s="136">
        <f t="shared" si="295"/>
        <v>0</v>
      </c>
      <c r="CG220" s="136"/>
      <c r="CH220" s="136">
        <f t="shared" si="341"/>
        <v>0</v>
      </c>
      <c r="CI220" s="131">
        <f t="shared" si="296"/>
        <v>0</v>
      </c>
      <c r="CJ220" s="131"/>
      <c r="CK220" s="136">
        <f t="shared" si="297"/>
        <v>0</v>
      </c>
      <c r="CL220" s="136">
        <f t="shared" si="298"/>
        <v>0</v>
      </c>
      <c r="CM220" s="131">
        <f t="shared" si="299"/>
        <v>0</v>
      </c>
      <c r="CN220" s="136">
        <f t="shared" si="300"/>
        <v>0</v>
      </c>
      <c r="CO220" s="136">
        <f t="shared" si="301"/>
        <v>0</v>
      </c>
      <c r="CP220" s="136">
        <f t="shared" si="302"/>
        <v>0</v>
      </c>
      <c r="CQ220" s="136"/>
      <c r="CR220" s="136">
        <f t="shared" si="303"/>
        <v>0</v>
      </c>
      <c r="CS220" s="136"/>
      <c r="CT220" s="136"/>
      <c r="CU220" s="136"/>
      <c r="CV220" s="136"/>
      <c r="CW220" s="136"/>
      <c r="CX220" s="136"/>
      <c r="CY220" s="136"/>
      <c r="CZ220" s="136">
        <f t="shared" si="304"/>
        <v>0</v>
      </c>
      <c r="DA220" s="136">
        <f t="shared" si="305"/>
        <v>0</v>
      </c>
      <c r="DB220" s="136">
        <f t="shared" si="306"/>
        <v>0</v>
      </c>
      <c r="DC220" s="131">
        <f t="shared" si="266"/>
        <v>0</v>
      </c>
      <c r="DD220" s="131">
        <f t="shared" si="307"/>
        <v>0</v>
      </c>
      <c r="DE220" s="131">
        <f t="shared" si="308"/>
        <v>0</v>
      </c>
      <c r="DF220" s="131">
        <f t="shared" si="309"/>
        <v>0</v>
      </c>
      <c r="DG220" s="131">
        <f t="shared" si="310"/>
        <v>0</v>
      </c>
      <c r="DH220" s="131"/>
      <c r="DI220" s="131"/>
      <c r="DJ220" s="131"/>
      <c r="DK220" s="137">
        <f t="shared" si="340"/>
        <v>3791.5811116017489</v>
      </c>
      <c r="DL220" s="227" t="e">
        <f t="shared" si="311"/>
        <v>#REF!</v>
      </c>
      <c r="DM220" s="227" t="e">
        <f t="shared" si="312"/>
        <v>#REF!</v>
      </c>
      <c r="DN220" s="228" t="e">
        <f t="shared" si="267"/>
        <v>#REF!</v>
      </c>
      <c r="DO220" s="228">
        <f t="shared" si="313"/>
        <v>181.81087083894022</v>
      </c>
      <c r="DP220" s="228" t="e">
        <f t="shared" si="314"/>
        <v>#REF!</v>
      </c>
      <c r="DQ220" s="228" t="e">
        <f t="shared" si="315"/>
        <v>#REF!</v>
      </c>
    </row>
    <row r="221" spans="1:121">
      <c r="A221" s="132">
        <f t="shared" si="265"/>
        <v>211</v>
      </c>
      <c r="B221" s="18">
        <f t="shared" si="316"/>
        <v>211</v>
      </c>
      <c r="C221" s="18">
        <f>IF(A221=0," ",VLOOKUP(B221,'tosafot '!$A$7:$B$234,2,0))</f>
        <v>7.2024999999999997</v>
      </c>
      <c r="D221" s="220">
        <f t="shared" si="317"/>
        <v>228</v>
      </c>
      <c r="E221" s="130">
        <f t="shared" si="318"/>
        <v>12.2026</v>
      </c>
      <c r="F221" s="126">
        <f t="shared" si="319"/>
        <v>9</v>
      </c>
      <c r="G221" s="18" t="str">
        <f t="shared" si="320"/>
        <v>הבריאות</v>
      </c>
      <c r="H221" s="189">
        <f t="shared" si="321"/>
        <v>107</v>
      </c>
      <c r="I221" s="18">
        <f t="shared" si="322"/>
        <v>1</v>
      </c>
      <c r="J221" s="18" t="str">
        <f t="shared" si="323"/>
        <v>מינהלי - עובדי מדינה</v>
      </c>
      <c r="K221" s="189">
        <f t="shared" si="324"/>
        <v>1</v>
      </c>
      <c r="L221" s="18">
        <f t="shared" si="325"/>
        <v>12</v>
      </c>
      <c r="M221" s="129" t="str">
        <f t="shared" si="326"/>
        <v>17+</v>
      </c>
      <c r="N221" s="189"/>
      <c r="O221" s="132">
        <f t="shared" si="327"/>
        <v>1012</v>
      </c>
      <c r="P221" s="127">
        <f t="shared" si="328"/>
        <v>37</v>
      </c>
      <c r="Q221" s="127">
        <f t="shared" si="329"/>
        <v>22.75</v>
      </c>
      <c r="R221" s="128">
        <f t="shared" si="330"/>
        <v>92</v>
      </c>
      <c r="S221" s="130">
        <f t="shared" si="331"/>
        <v>1.2540512286990533</v>
      </c>
      <c r="T221" s="135">
        <f t="shared" si="268"/>
        <v>0</v>
      </c>
      <c r="U221" s="127">
        <f t="shared" si="269"/>
        <v>0</v>
      </c>
      <c r="V221" s="217">
        <v>0</v>
      </c>
      <c r="W221" s="191">
        <v>0</v>
      </c>
      <c r="X221" s="133">
        <v>0</v>
      </c>
      <c r="Y221" s="131">
        <f t="shared" si="270"/>
        <v>2438.5</v>
      </c>
      <c r="Z221" s="131">
        <f t="shared" si="271"/>
        <v>619.50392118264142</v>
      </c>
      <c r="AA221" s="242">
        <f t="shared" si="272"/>
        <v>3058.0039211826415</v>
      </c>
      <c r="AB221" s="131">
        <f t="shared" si="273"/>
        <v>0</v>
      </c>
      <c r="AC221" s="131">
        <f t="shared" si="274"/>
        <v>139.48055684730568</v>
      </c>
      <c r="AD221" s="131">
        <f t="shared" si="275"/>
        <v>0</v>
      </c>
      <c r="AE221" s="131">
        <f t="shared" si="276"/>
        <v>0</v>
      </c>
      <c r="AF221" s="131">
        <f t="shared" si="277"/>
        <v>75.260000000000005</v>
      </c>
      <c r="AG221" s="131">
        <f t="shared" si="278"/>
        <v>0</v>
      </c>
      <c r="AH221" s="131">
        <f t="shared" si="279"/>
        <v>0</v>
      </c>
      <c r="AI221" s="131">
        <f t="shared" si="280"/>
        <v>0</v>
      </c>
      <c r="AJ221" s="131">
        <f t="shared" si="281"/>
        <v>0</v>
      </c>
      <c r="AK221" s="131"/>
      <c r="AL221" s="131">
        <f t="shared" si="282"/>
        <v>0</v>
      </c>
      <c r="AM221" s="131"/>
      <c r="AN221" s="243">
        <f t="shared" si="283"/>
        <v>0</v>
      </c>
      <c r="AO221" s="131">
        <f t="shared" si="284"/>
        <v>0</v>
      </c>
      <c r="AP221" s="131">
        <f t="shared" si="285"/>
        <v>0</v>
      </c>
      <c r="AQ221" s="131"/>
      <c r="AR221" s="131">
        <f t="shared" si="286"/>
        <v>0</v>
      </c>
      <c r="AS221" s="131">
        <f t="shared" si="332"/>
        <v>0</v>
      </c>
      <c r="AT221" s="131">
        <f t="shared" si="287"/>
        <v>0</v>
      </c>
      <c r="AU221" s="131">
        <f t="shared" si="288"/>
        <v>0</v>
      </c>
      <c r="AV221" s="131"/>
      <c r="AW221" s="131">
        <f t="shared" si="289"/>
        <v>353.75</v>
      </c>
      <c r="AX221" s="131">
        <f t="shared" si="343"/>
        <v>0</v>
      </c>
      <c r="AY221" s="131">
        <f t="shared" si="290"/>
        <v>0</v>
      </c>
      <c r="AZ221" s="131"/>
      <c r="BA221" s="131">
        <f t="shared" si="344"/>
        <v>0</v>
      </c>
      <c r="BB221" s="131"/>
      <c r="BC221" s="131"/>
      <c r="BD221" s="131">
        <f t="shared" si="291"/>
        <v>0</v>
      </c>
      <c r="BE221" s="131"/>
      <c r="BF221" s="131">
        <f t="shared" si="333"/>
        <v>0</v>
      </c>
      <c r="BG221" s="131">
        <f t="shared" si="334"/>
        <v>0</v>
      </c>
      <c r="BH221" s="131"/>
      <c r="BI221" s="131"/>
      <c r="BJ221" s="131"/>
      <c r="BK221" s="131">
        <f t="shared" si="335"/>
        <v>0</v>
      </c>
      <c r="BL221" s="131"/>
      <c r="BM221" s="131"/>
      <c r="BN221" s="131">
        <f t="shared" si="336"/>
        <v>0</v>
      </c>
      <c r="BO221" s="131"/>
      <c r="BP221" s="131">
        <f t="shared" si="337"/>
        <v>0</v>
      </c>
      <c r="BQ221" s="131"/>
      <c r="BR221" s="131"/>
      <c r="BS221" s="131"/>
      <c r="BT221" s="131"/>
      <c r="BU221" s="131"/>
      <c r="BV221" s="131">
        <f t="shared" si="338"/>
        <v>0</v>
      </c>
      <c r="BW221" s="131"/>
      <c r="BX221" s="131"/>
      <c r="BY221" s="131"/>
      <c r="BZ221" s="131">
        <f t="shared" si="339"/>
        <v>0</v>
      </c>
      <c r="CA221" s="131"/>
      <c r="CB221" s="136">
        <f t="shared" si="292"/>
        <v>165.08663357180151</v>
      </c>
      <c r="CC221" s="131">
        <f t="shared" si="293"/>
        <v>0</v>
      </c>
      <c r="CD221" s="136">
        <f t="shared" si="294"/>
        <v>0</v>
      </c>
      <c r="CE221" s="131">
        <f t="shared" si="342"/>
        <v>0</v>
      </c>
      <c r="CF221" s="136">
        <f t="shared" si="295"/>
        <v>0</v>
      </c>
      <c r="CG221" s="136"/>
      <c r="CH221" s="136">
        <f t="shared" si="341"/>
        <v>0</v>
      </c>
      <c r="CI221" s="131">
        <f t="shared" si="296"/>
        <v>0</v>
      </c>
      <c r="CJ221" s="131"/>
      <c r="CK221" s="136">
        <f t="shared" si="297"/>
        <v>0</v>
      </c>
      <c r="CL221" s="136">
        <f t="shared" si="298"/>
        <v>0</v>
      </c>
      <c r="CM221" s="131">
        <f t="shared" si="299"/>
        <v>0</v>
      </c>
      <c r="CN221" s="136">
        <f t="shared" si="300"/>
        <v>0</v>
      </c>
      <c r="CO221" s="136">
        <f t="shared" si="301"/>
        <v>0</v>
      </c>
      <c r="CP221" s="136">
        <f t="shared" si="302"/>
        <v>0</v>
      </c>
      <c r="CQ221" s="136"/>
      <c r="CR221" s="136">
        <f t="shared" si="303"/>
        <v>0</v>
      </c>
      <c r="CS221" s="136"/>
      <c r="CT221" s="136"/>
      <c r="CU221" s="136"/>
      <c r="CV221" s="136"/>
      <c r="CW221" s="136"/>
      <c r="CX221" s="136"/>
      <c r="CY221" s="136"/>
      <c r="CZ221" s="136">
        <f t="shared" si="304"/>
        <v>0</v>
      </c>
      <c r="DA221" s="136">
        <f t="shared" si="305"/>
        <v>0</v>
      </c>
      <c r="DB221" s="136">
        <f t="shared" si="306"/>
        <v>0</v>
      </c>
      <c r="DC221" s="131">
        <f t="shared" si="266"/>
        <v>0</v>
      </c>
      <c r="DD221" s="131">
        <f t="shared" si="307"/>
        <v>0</v>
      </c>
      <c r="DE221" s="131">
        <f t="shared" si="308"/>
        <v>0</v>
      </c>
      <c r="DF221" s="131">
        <f t="shared" si="309"/>
        <v>0</v>
      </c>
      <c r="DG221" s="131">
        <f t="shared" si="310"/>
        <v>0</v>
      </c>
      <c r="DH221" s="131"/>
      <c r="DI221" s="131"/>
      <c r="DJ221" s="131"/>
      <c r="DK221" s="137">
        <f t="shared" si="340"/>
        <v>3791.5811116017489</v>
      </c>
      <c r="DL221" s="227" t="e">
        <f t="shared" si="311"/>
        <v>#REF!</v>
      </c>
      <c r="DM221" s="227" t="e">
        <f t="shared" si="312"/>
        <v>#REF!</v>
      </c>
      <c r="DN221" s="228" t="e">
        <f t="shared" si="267"/>
        <v>#REF!</v>
      </c>
      <c r="DO221" s="228">
        <f t="shared" si="313"/>
        <v>181.81087083894022</v>
      </c>
      <c r="DP221" s="228" t="e">
        <f t="shared" si="314"/>
        <v>#REF!</v>
      </c>
      <c r="DQ221" s="228" t="e">
        <f t="shared" si="315"/>
        <v>#REF!</v>
      </c>
    </row>
    <row r="222" spans="1:121">
      <c r="A222" s="132">
        <f t="shared" si="265"/>
        <v>212</v>
      </c>
      <c r="B222" s="18">
        <f t="shared" si="316"/>
        <v>212</v>
      </c>
      <c r="C222" s="18">
        <f>IF(A222=0," ",VLOOKUP(B222,'tosafot '!$A$7:$B$234,2,0))</f>
        <v>8.2025000000000006</v>
      </c>
      <c r="D222" s="220">
        <f t="shared" si="317"/>
        <v>228</v>
      </c>
      <c r="E222" s="130">
        <f t="shared" si="318"/>
        <v>12.2026</v>
      </c>
      <c r="F222" s="126">
        <f t="shared" si="319"/>
        <v>9</v>
      </c>
      <c r="G222" s="18" t="str">
        <f t="shared" si="320"/>
        <v>הבריאות</v>
      </c>
      <c r="H222" s="189">
        <f t="shared" si="321"/>
        <v>107</v>
      </c>
      <c r="I222" s="18">
        <f t="shared" si="322"/>
        <v>1</v>
      </c>
      <c r="J222" s="18" t="str">
        <f t="shared" si="323"/>
        <v>מינהלי - עובדי מדינה</v>
      </c>
      <c r="K222" s="189">
        <f t="shared" si="324"/>
        <v>1</v>
      </c>
      <c r="L222" s="18">
        <f t="shared" si="325"/>
        <v>12</v>
      </c>
      <c r="M222" s="129" t="str">
        <f t="shared" si="326"/>
        <v>17+</v>
      </c>
      <c r="N222" s="189"/>
      <c r="O222" s="132">
        <f t="shared" si="327"/>
        <v>1012</v>
      </c>
      <c r="P222" s="127">
        <f t="shared" si="328"/>
        <v>37</v>
      </c>
      <c r="Q222" s="127">
        <f t="shared" si="329"/>
        <v>22.75</v>
      </c>
      <c r="R222" s="128">
        <f t="shared" si="330"/>
        <v>92</v>
      </c>
      <c r="S222" s="130">
        <f t="shared" si="331"/>
        <v>1.2540512286990533</v>
      </c>
      <c r="T222" s="135">
        <f t="shared" si="268"/>
        <v>0</v>
      </c>
      <c r="U222" s="127">
        <f t="shared" si="269"/>
        <v>0</v>
      </c>
      <c r="V222" s="217">
        <v>0</v>
      </c>
      <c r="W222" s="191">
        <v>0</v>
      </c>
      <c r="X222" s="133">
        <v>0</v>
      </c>
      <c r="Y222" s="131">
        <f t="shared" si="270"/>
        <v>2438.5</v>
      </c>
      <c r="Z222" s="131">
        <f t="shared" si="271"/>
        <v>619.50392118264142</v>
      </c>
      <c r="AA222" s="242">
        <f t="shared" si="272"/>
        <v>3058.0039211826415</v>
      </c>
      <c r="AB222" s="131">
        <f t="shared" si="273"/>
        <v>0</v>
      </c>
      <c r="AC222" s="131">
        <f t="shared" si="274"/>
        <v>139.48055684730568</v>
      </c>
      <c r="AD222" s="131">
        <f t="shared" si="275"/>
        <v>0</v>
      </c>
      <c r="AE222" s="131">
        <f t="shared" si="276"/>
        <v>0</v>
      </c>
      <c r="AF222" s="131">
        <f t="shared" si="277"/>
        <v>75.260000000000005</v>
      </c>
      <c r="AG222" s="131">
        <f t="shared" si="278"/>
        <v>0</v>
      </c>
      <c r="AH222" s="131">
        <f t="shared" si="279"/>
        <v>0</v>
      </c>
      <c r="AI222" s="131">
        <f t="shared" si="280"/>
        <v>0</v>
      </c>
      <c r="AJ222" s="131">
        <f t="shared" si="281"/>
        <v>0</v>
      </c>
      <c r="AK222" s="131"/>
      <c r="AL222" s="131">
        <f t="shared" si="282"/>
        <v>0</v>
      </c>
      <c r="AM222" s="131"/>
      <c r="AN222" s="243">
        <f t="shared" si="283"/>
        <v>0</v>
      </c>
      <c r="AO222" s="131">
        <f t="shared" si="284"/>
        <v>0</v>
      </c>
      <c r="AP222" s="131">
        <f t="shared" si="285"/>
        <v>0</v>
      </c>
      <c r="AQ222" s="131"/>
      <c r="AR222" s="131">
        <f t="shared" si="286"/>
        <v>0</v>
      </c>
      <c r="AS222" s="131">
        <f t="shared" si="332"/>
        <v>0</v>
      </c>
      <c r="AT222" s="131">
        <f t="shared" si="287"/>
        <v>0</v>
      </c>
      <c r="AU222" s="131">
        <f t="shared" si="288"/>
        <v>0</v>
      </c>
      <c r="AV222" s="131"/>
      <c r="AW222" s="131">
        <f t="shared" si="289"/>
        <v>353.75</v>
      </c>
      <c r="AX222" s="131">
        <f t="shared" si="343"/>
        <v>0</v>
      </c>
      <c r="AY222" s="131">
        <f t="shared" si="290"/>
        <v>0</v>
      </c>
      <c r="AZ222" s="131"/>
      <c r="BA222" s="131">
        <f t="shared" si="344"/>
        <v>0</v>
      </c>
      <c r="BB222" s="131"/>
      <c r="BC222" s="131"/>
      <c r="BD222" s="131">
        <f t="shared" si="291"/>
        <v>0</v>
      </c>
      <c r="BE222" s="131"/>
      <c r="BF222" s="131">
        <f t="shared" si="333"/>
        <v>0</v>
      </c>
      <c r="BG222" s="131">
        <f t="shared" si="334"/>
        <v>0</v>
      </c>
      <c r="BH222" s="131"/>
      <c r="BI222" s="131"/>
      <c r="BJ222" s="131"/>
      <c r="BK222" s="131">
        <f t="shared" si="335"/>
        <v>0</v>
      </c>
      <c r="BL222" s="131"/>
      <c r="BM222" s="131"/>
      <c r="BN222" s="131">
        <f t="shared" si="336"/>
        <v>0</v>
      </c>
      <c r="BO222" s="131"/>
      <c r="BP222" s="131">
        <f t="shared" si="337"/>
        <v>0</v>
      </c>
      <c r="BQ222" s="131"/>
      <c r="BR222" s="131"/>
      <c r="BS222" s="131"/>
      <c r="BT222" s="131"/>
      <c r="BU222" s="131"/>
      <c r="BV222" s="131">
        <f t="shared" si="338"/>
        <v>0</v>
      </c>
      <c r="BW222" s="131"/>
      <c r="BX222" s="131"/>
      <c r="BY222" s="131"/>
      <c r="BZ222" s="131">
        <f t="shared" si="339"/>
        <v>0</v>
      </c>
      <c r="CA222" s="131"/>
      <c r="CB222" s="136">
        <f t="shared" si="292"/>
        <v>165.08663357180151</v>
      </c>
      <c r="CC222" s="131">
        <f t="shared" si="293"/>
        <v>0</v>
      </c>
      <c r="CD222" s="136">
        <f t="shared" si="294"/>
        <v>0</v>
      </c>
      <c r="CE222" s="131">
        <f t="shared" si="342"/>
        <v>0</v>
      </c>
      <c r="CF222" s="136">
        <f t="shared" si="295"/>
        <v>0</v>
      </c>
      <c r="CG222" s="136"/>
      <c r="CH222" s="136">
        <f t="shared" si="341"/>
        <v>0</v>
      </c>
      <c r="CI222" s="131">
        <f t="shared" si="296"/>
        <v>0</v>
      </c>
      <c r="CJ222" s="131"/>
      <c r="CK222" s="136">
        <f t="shared" si="297"/>
        <v>0</v>
      </c>
      <c r="CL222" s="136">
        <f t="shared" si="298"/>
        <v>0</v>
      </c>
      <c r="CM222" s="131">
        <f t="shared" si="299"/>
        <v>0</v>
      </c>
      <c r="CN222" s="136">
        <f t="shared" si="300"/>
        <v>0</v>
      </c>
      <c r="CO222" s="136">
        <f t="shared" si="301"/>
        <v>0</v>
      </c>
      <c r="CP222" s="136">
        <f t="shared" si="302"/>
        <v>0</v>
      </c>
      <c r="CQ222" s="136"/>
      <c r="CR222" s="136">
        <f t="shared" si="303"/>
        <v>0</v>
      </c>
      <c r="CS222" s="136"/>
      <c r="CT222" s="136"/>
      <c r="CU222" s="136"/>
      <c r="CV222" s="136"/>
      <c r="CW222" s="136"/>
      <c r="CX222" s="136"/>
      <c r="CY222" s="136"/>
      <c r="CZ222" s="136">
        <f t="shared" si="304"/>
        <v>0</v>
      </c>
      <c r="DA222" s="136">
        <f t="shared" si="305"/>
        <v>0</v>
      </c>
      <c r="DB222" s="136">
        <f t="shared" si="306"/>
        <v>0</v>
      </c>
      <c r="DC222" s="131">
        <f t="shared" si="266"/>
        <v>0</v>
      </c>
      <c r="DD222" s="131">
        <f t="shared" si="307"/>
        <v>0</v>
      </c>
      <c r="DE222" s="131">
        <f t="shared" si="308"/>
        <v>0</v>
      </c>
      <c r="DF222" s="131">
        <f t="shared" si="309"/>
        <v>0</v>
      </c>
      <c r="DG222" s="131">
        <f t="shared" si="310"/>
        <v>0</v>
      </c>
      <c r="DH222" s="131"/>
      <c r="DI222" s="131"/>
      <c r="DJ222" s="131"/>
      <c r="DK222" s="137">
        <f t="shared" si="340"/>
        <v>3791.5811116017489</v>
      </c>
      <c r="DL222" s="227" t="e">
        <f t="shared" si="311"/>
        <v>#REF!</v>
      </c>
      <c r="DM222" s="227" t="e">
        <f t="shared" si="312"/>
        <v>#REF!</v>
      </c>
      <c r="DN222" s="228" t="e">
        <f t="shared" si="267"/>
        <v>#REF!</v>
      </c>
      <c r="DO222" s="228">
        <f t="shared" si="313"/>
        <v>181.81087083894022</v>
      </c>
      <c r="DP222" s="228" t="e">
        <f t="shared" si="314"/>
        <v>#REF!</v>
      </c>
      <c r="DQ222" s="228" t="e">
        <f t="shared" si="315"/>
        <v>#REF!</v>
      </c>
    </row>
    <row r="223" spans="1:121">
      <c r="A223" s="132">
        <f t="shared" si="265"/>
        <v>213</v>
      </c>
      <c r="B223" s="18">
        <f t="shared" si="316"/>
        <v>213</v>
      </c>
      <c r="C223" s="18">
        <f>IF(A223=0," ",VLOOKUP(B223,'tosafot '!$A$7:$B$234,2,0))</f>
        <v>9.2025000000000006</v>
      </c>
      <c r="D223" s="220">
        <f t="shared" si="317"/>
        <v>228</v>
      </c>
      <c r="E223" s="130">
        <f t="shared" si="318"/>
        <v>12.2026</v>
      </c>
      <c r="F223" s="126">
        <f t="shared" si="319"/>
        <v>9</v>
      </c>
      <c r="G223" s="18" t="str">
        <f t="shared" si="320"/>
        <v>הבריאות</v>
      </c>
      <c r="H223" s="189">
        <f t="shared" si="321"/>
        <v>107</v>
      </c>
      <c r="I223" s="18">
        <f t="shared" si="322"/>
        <v>1</v>
      </c>
      <c r="J223" s="18" t="str">
        <f t="shared" si="323"/>
        <v>מינהלי - עובדי מדינה</v>
      </c>
      <c r="K223" s="189">
        <f t="shared" si="324"/>
        <v>1</v>
      </c>
      <c r="L223" s="18">
        <f t="shared" si="325"/>
        <v>12</v>
      </c>
      <c r="M223" s="129" t="str">
        <f t="shared" si="326"/>
        <v>17+</v>
      </c>
      <c r="N223" s="189"/>
      <c r="O223" s="132">
        <f t="shared" si="327"/>
        <v>1012</v>
      </c>
      <c r="P223" s="127">
        <f t="shared" si="328"/>
        <v>37</v>
      </c>
      <c r="Q223" s="127">
        <f t="shared" si="329"/>
        <v>22.75</v>
      </c>
      <c r="R223" s="128">
        <f t="shared" si="330"/>
        <v>92</v>
      </c>
      <c r="S223" s="130">
        <f t="shared" si="331"/>
        <v>1.2540512286990533</v>
      </c>
      <c r="T223" s="135">
        <f t="shared" si="268"/>
        <v>0</v>
      </c>
      <c r="U223" s="127">
        <f t="shared" si="269"/>
        <v>0</v>
      </c>
      <c r="V223" s="217">
        <v>0</v>
      </c>
      <c r="W223" s="191">
        <v>0</v>
      </c>
      <c r="X223" s="133">
        <v>0</v>
      </c>
      <c r="Y223" s="131">
        <f t="shared" si="270"/>
        <v>2438.5</v>
      </c>
      <c r="Z223" s="131">
        <f t="shared" si="271"/>
        <v>619.50392118264142</v>
      </c>
      <c r="AA223" s="242">
        <f t="shared" si="272"/>
        <v>3058.0039211826415</v>
      </c>
      <c r="AB223" s="131">
        <f t="shared" si="273"/>
        <v>0</v>
      </c>
      <c r="AC223" s="131">
        <f t="shared" si="274"/>
        <v>139.48055684730568</v>
      </c>
      <c r="AD223" s="131">
        <f t="shared" si="275"/>
        <v>0</v>
      </c>
      <c r="AE223" s="131">
        <f t="shared" si="276"/>
        <v>0</v>
      </c>
      <c r="AF223" s="131">
        <f t="shared" si="277"/>
        <v>75.260000000000005</v>
      </c>
      <c r="AG223" s="131">
        <f t="shared" si="278"/>
        <v>0</v>
      </c>
      <c r="AH223" s="131">
        <f t="shared" si="279"/>
        <v>0</v>
      </c>
      <c r="AI223" s="131">
        <f t="shared" si="280"/>
        <v>0</v>
      </c>
      <c r="AJ223" s="131">
        <f t="shared" si="281"/>
        <v>0</v>
      </c>
      <c r="AK223" s="131"/>
      <c r="AL223" s="131">
        <f t="shared" si="282"/>
        <v>0</v>
      </c>
      <c r="AM223" s="131"/>
      <c r="AN223" s="243">
        <f t="shared" si="283"/>
        <v>0</v>
      </c>
      <c r="AO223" s="131">
        <f t="shared" si="284"/>
        <v>0</v>
      </c>
      <c r="AP223" s="131">
        <f t="shared" si="285"/>
        <v>0</v>
      </c>
      <c r="AQ223" s="131"/>
      <c r="AR223" s="131">
        <f t="shared" si="286"/>
        <v>0</v>
      </c>
      <c r="AS223" s="131">
        <f t="shared" si="332"/>
        <v>0</v>
      </c>
      <c r="AT223" s="131">
        <f t="shared" si="287"/>
        <v>0</v>
      </c>
      <c r="AU223" s="131">
        <f t="shared" si="288"/>
        <v>0</v>
      </c>
      <c r="AV223" s="131"/>
      <c r="AW223" s="131">
        <f t="shared" si="289"/>
        <v>353.75</v>
      </c>
      <c r="AX223" s="131">
        <f t="shared" si="343"/>
        <v>0</v>
      </c>
      <c r="AY223" s="131">
        <f t="shared" si="290"/>
        <v>0</v>
      </c>
      <c r="AZ223" s="131"/>
      <c r="BA223" s="131">
        <f t="shared" si="344"/>
        <v>0</v>
      </c>
      <c r="BB223" s="131"/>
      <c r="BC223" s="131"/>
      <c r="BD223" s="131">
        <f t="shared" si="291"/>
        <v>0</v>
      </c>
      <c r="BE223" s="131"/>
      <c r="BF223" s="131">
        <f t="shared" si="333"/>
        <v>0</v>
      </c>
      <c r="BG223" s="131">
        <f t="shared" si="334"/>
        <v>0</v>
      </c>
      <c r="BH223" s="131"/>
      <c r="BI223" s="131"/>
      <c r="BJ223" s="131"/>
      <c r="BK223" s="131">
        <f t="shared" si="335"/>
        <v>0</v>
      </c>
      <c r="BL223" s="131"/>
      <c r="BM223" s="131"/>
      <c r="BN223" s="131">
        <f t="shared" si="336"/>
        <v>0</v>
      </c>
      <c r="BO223" s="131"/>
      <c r="BP223" s="131">
        <f t="shared" si="337"/>
        <v>0</v>
      </c>
      <c r="BQ223" s="131"/>
      <c r="BR223" s="131"/>
      <c r="BS223" s="131"/>
      <c r="BT223" s="131"/>
      <c r="BU223" s="131"/>
      <c r="BV223" s="131">
        <f t="shared" si="338"/>
        <v>0</v>
      </c>
      <c r="BW223" s="131"/>
      <c r="BX223" s="131"/>
      <c r="BY223" s="131"/>
      <c r="BZ223" s="131">
        <f t="shared" si="339"/>
        <v>0</v>
      </c>
      <c r="CA223" s="131"/>
      <c r="CB223" s="136">
        <f t="shared" si="292"/>
        <v>165.08663357180151</v>
      </c>
      <c r="CC223" s="131">
        <f t="shared" si="293"/>
        <v>0</v>
      </c>
      <c r="CD223" s="136">
        <f t="shared" si="294"/>
        <v>0</v>
      </c>
      <c r="CE223" s="131">
        <f t="shared" si="342"/>
        <v>0</v>
      </c>
      <c r="CF223" s="136">
        <f t="shared" si="295"/>
        <v>0</v>
      </c>
      <c r="CG223" s="136"/>
      <c r="CH223" s="136">
        <f t="shared" si="341"/>
        <v>0</v>
      </c>
      <c r="CI223" s="131">
        <f t="shared" si="296"/>
        <v>0</v>
      </c>
      <c r="CJ223" s="131"/>
      <c r="CK223" s="136">
        <f t="shared" si="297"/>
        <v>0</v>
      </c>
      <c r="CL223" s="136">
        <f t="shared" si="298"/>
        <v>0</v>
      </c>
      <c r="CM223" s="131">
        <f t="shared" si="299"/>
        <v>0</v>
      </c>
      <c r="CN223" s="136">
        <f t="shared" si="300"/>
        <v>0</v>
      </c>
      <c r="CO223" s="136">
        <f t="shared" si="301"/>
        <v>0</v>
      </c>
      <c r="CP223" s="136">
        <f t="shared" si="302"/>
        <v>0</v>
      </c>
      <c r="CQ223" s="136"/>
      <c r="CR223" s="136">
        <f t="shared" si="303"/>
        <v>0</v>
      </c>
      <c r="CS223" s="136"/>
      <c r="CT223" s="136"/>
      <c r="CU223" s="136"/>
      <c r="CV223" s="136"/>
      <c r="CW223" s="136"/>
      <c r="CX223" s="136"/>
      <c r="CY223" s="136"/>
      <c r="CZ223" s="136">
        <f t="shared" si="304"/>
        <v>0</v>
      </c>
      <c r="DA223" s="136">
        <f t="shared" si="305"/>
        <v>0</v>
      </c>
      <c r="DB223" s="136">
        <f t="shared" si="306"/>
        <v>0</v>
      </c>
      <c r="DC223" s="131">
        <f t="shared" si="266"/>
        <v>0</v>
      </c>
      <c r="DD223" s="131">
        <f t="shared" si="307"/>
        <v>0</v>
      </c>
      <c r="DE223" s="131">
        <f t="shared" si="308"/>
        <v>0</v>
      </c>
      <c r="DF223" s="131">
        <f t="shared" si="309"/>
        <v>0</v>
      </c>
      <c r="DG223" s="131">
        <f t="shared" si="310"/>
        <v>0</v>
      </c>
      <c r="DH223" s="131"/>
      <c r="DI223" s="131"/>
      <c r="DJ223" s="131"/>
      <c r="DK223" s="137">
        <f t="shared" si="340"/>
        <v>3791.5811116017489</v>
      </c>
      <c r="DL223" s="227" t="e">
        <f t="shared" si="311"/>
        <v>#REF!</v>
      </c>
      <c r="DM223" s="227" t="e">
        <f t="shared" si="312"/>
        <v>#REF!</v>
      </c>
      <c r="DN223" s="228" t="e">
        <f t="shared" si="267"/>
        <v>#REF!</v>
      </c>
      <c r="DO223" s="228">
        <f t="shared" si="313"/>
        <v>181.81087083894022</v>
      </c>
      <c r="DP223" s="228" t="e">
        <f t="shared" si="314"/>
        <v>#REF!</v>
      </c>
      <c r="DQ223" s="228" t="e">
        <f t="shared" si="315"/>
        <v>#REF!</v>
      </c>
    </row>
    <row r="224" spans="1:121">
      <c r="A224" s="132">
        <f t="shared" si="265"/>
        <v>214</v>
      </c>
      <c r="B224" s="18">
        <f t="shared" si="316"/>
        <v>214</v>
      </c>
      <c r="C224" s="18">
        <f>IF(A224=0," ",VLOOKUP(B224,'tosafot '!$A$7:$B$234,2,0))</f>
        <v>10.202500000000001</v>
      </c>
      <c r="D224" s="220">
        <f t="shared" si="317"/>
        <v>228</v>
      </c>
      <c r="E224" s="130">
        <f t="shared" si="318"/>
        <v>12.2026</v>
      </c>
      <c r="F224" s="126">
        <f t="shared" si="319"/>
        <v>9</v>
      </c>
      <c r="G224" s="18" t="str">
        <f t="shared" si="320"/>
        <v>הבריאות</v>
      </c>
      <c r="H224" s="189">
        <f t="shared" si="321"/>
        <v>107</v>
      </c>
      <c r="I224" s="18">
        <f t="shared" si="322"/>
        <v>1</v>
      </c>
      <c r="J224" s="18" t="str">
        <f t="shared" si="323"/>
        <v>מינהלי - עובדי מדינה</v>
      </c>
      <c r="K224" s="189">
        <f t="shared" si="324"/>
        <v>1</v>
      </c>
      <c r="L224" s="18">
        <f t="shared" si="325"/>
        <v>12</v>
      </c>
      <c r="M224" s="129" t="str">
        <f t="shared" si="326"/>
        <v>17+</v>
      </c>
      <c r="N224" s="189"/>
      <c r="O224" s="132">
        <f t="shared" si="327"/>
        <v>1012</v>
      </c>
      <c r="P224" s="127">
        <f t="shared" si="328"/>
        <v>37</v>
      </c>
      <c r="Q224" s="127">
        <f t="shared" si="329"/>
        <v>22.75</v>
      </c>
      <c r="R224" s="128">
        <f t="shared" si="330"/>
        <v>92</v>
      </c>
      <c r="S224" s="130">
        <f t="shared" si="331"/>
        <v>1.2540512286990533</v>
      </c>
      <c r="T224" s="135">
        <f t="shared" si="268"/>
        <v>0</v>
      </c>
      <c r="U224" s="127">
        <f t="shared" si="269"/>
        <v>0</v>
      </c>
      <c r="V224" s="217">
        <v>0</v>
      </c>
      <c r="W224" s="191">
        <v>0</v>
      </c>
      <c r="X224" s="133">
        <v>0</v>
      </c>
      <c r="Y224" s="131">
        <f t="shared" si="270"/>
        <v>2438.5</v>
      </c>
      <c r="Z224" s="131">
        <f t="shared" si="271"/>
        <v>619.50392118264142</v>
      </c>
      <c r="AA224" s="242">
        <f t="shared" si="272"/>
        <v>3058.0039211826415</v>
      </c>
      <c r="AB224" s="131">
        <f t="shared" si="273"/>
        <v>0</v>
      </c>
      <c r="AC224" s="131">
        <f t="shared" si="274"/>
        <v>139.48055684730568</v>
      </c>
      <c r="AD224" s="131">
        <f t="shared" si="275"/>
        <v>0</v>
      </c>
      <c r="AE224" s="131">
        <f t="shared" si="276"/>
        <v>0</v>
      </c>
      <c r="AF224" s="131">
        <f t="shared" si="277"/>
        <v>75.260000000000005</v>
      </c>
      <c r="AG224" s="131">
        <f t="shared" si="278"/>
        <v>0</v>
      </c>
      <c r="AH224" s="131">
        <f t="shared" si="279"/>
        <v>0</v>
      </c>
      <c r="AI224" s="131">
        <f t="shared" si="280"/>
        <v>0</v>
      </c>
      <c r="AJ224" s="131">
        <f t="shared" si="281"/>
        <v>0</v>
      </c>
      <c r="AK224" s="131"/>
      <c r="AL224" s="131">
        <f t="shared" si="282"/>
        <v>0</v>
      </c>
      <c r="AM224" s="131"/>
      <c r="AN224" s="243">
        <f t="shared" si="283"/>
        <v>0</v>
      </c>
      <c r="AO224" s="131">
        <f t="shared" si="284"/>
        <v>0</v>
      </c>
      <c r="AP224" s="131">
        <f t="shared" si="285"/>
        <v>0</v>
      </c>
      <c r="AQ224" s="131"/>
      <c r="AR224" s="131">
        <f t="shared" si="286"/>
        <v>0</v>
      </c>
      <c r="AS224" s="131">
        <f t="shared" si="332"/>
        <v>0</v>
      </c>
      <c r="AT224" s="131">
        <f t="shared" si="287"/>
        <v>0</v>
      </c>
      <c r="AU224" s="131">
        <f t="shared" si="288"/>
        <v>0</v>
      </c>
      <c r="AV224" s="131"/>
      <c r="AW224" s="131">
        <f t="shared" si="289"/>
        <v>353.75</v>
      </c>
      <c r="AX224" s="131">
        <f t="shared" si="343"/>
        <v>0</v>
      </c>
      <c r="AY224" s="131">
        <f t="shared" si="290"/>
        <v>0</v>
      </c>
      <c r="AZ224" s="131"/>
      <c r="BA224" s="131">
        <f t="shared" si="344"/>
        <v>0</v>
      </c>
      <c r="BB224" s="131"/>
      <c r="BC224" s="131"/>
      <c r="BD224" s="131">
        <f t="shared" si="291"/>
        <v>0</v>
      </c>
      <c r="BE224" s="131"/>
      <c r="BF224" s="131">
        <f t="shared" si="333"/>
        <v>0</v>
      </c>
      <c r="BG224" s="131">
        <f t="shared" si="334"/>
        <v>0</v>
      </c>
      <c r="BH224" s="131"/>
      <c r="BI224" s="131"/>
      <c r="BJ224" s="131"/>
      <c r="BK224" s="131">
        <f t="shared" si="335"/>
        <v>0</v>
      </c>
      <c r="BL224" s="131"/>
      <c r="BM224" s="131"/>
      <c r="BN224" s="131">
        <f t="shared" si="336"/>
        <v>0</v>
      </c>
      <c r="BO224" s="131"/>
      <c r="BP224" s="131">
        <f t="shared" si="337"/>
        <v>0</v>
      </c>
      <c r="BQ224" s="131"/>
      <c r="BR224" s="131"/>
      <c r="BS224" s="131"/>
      <c r="BT224" s="131"/>
      <c r="BU224" s="131"/>
      <c r="BV224" s="131">
        <f t="shared" si="338"/>
        <v>0</v>
      </c>
      <c r="BW224" s="131"/>
      <c r="BX224" s="131"/>
      <c r="BY224" s="131"/>
      <c r="BZ224" s="131">
        <f t="shared" si="339"/>
        <v>0</v>
      </c>
      <c r="CA224" s="131"/>
      <c r="CB224" s="136">
        <f t="shared" si="292"/>
        <v>165.08663357180151</v>
      </c>
      <c r="CC224" s="131">
        <f t="shared" si="293"/>
        <v>0</v>
      </c>
      <c r="CD224" s="136">
        <f t="shared" si="294"/>
        <v>0</v>
      </c>
      <c r="CE224" s="131">
        <f t="shared" si="342"/>
        <v>0</v>
      </c>
      <c r="CF224" s="136">
        <f t="shared" si="295"/>
        <v>0</v>
      </c>
      <c r="CG224" s="136"/>
      <c r="CH224" s="136">
        <f t="shared" si="341"/>
        <v>0</v>
      </c>
      <c r="CI224" s="131">
        <f t="shared" si="296"/>
        <v>0</v>
      </c>
      <c r="CJ224" s="131"/>
      <c r="CK224" s="136">
        <f t="shared" si="297"/>
        <v>0</v>
      </c>
      <c r="CL224" s="136">
        <f t="shared" si="298"/>
        <v>0</v>
      </c>
      <c r="CM224" s="131">
        <f t="shared" si="299"/>
        <v>0</v>
      </c>
      <c r="CN224" s="136">
        <f t="shared" si="300"/>
        <v>0</v>
      </c>
      <c r="CO224" s="136">
        <f t="shared" si="301"/>
        <v>0</v>
      </c>
      <c r="CP224" s="136">
        <f t="shared" si="302"/>
        <v>0</v>
      </c>
      <c r="CQ224" s="136"/>
      <c r="CR224" s="136">
        <f t="shared" si="303"/>
        <v>0</v>
      </c>
      <c r="CS224" s="136"/>
      <c r="CT224" s="136"/>
      <c r="CU224" s="136"/>
      <c r="CV224" s="136"/>
      <c r="CW224" s="136"/>
      <c r="CX224" s="136"/>
      <c r="CY224" s="136"/>
      <c r="CZ224" s="136">
        <f t="shared" si="304"/>
        <v>0</v>
      </c>
      <c r="DA224" s="136">
        <f t="shared" si="305"/>
        <v>0</v>
      </c>
      <c r="DB224" s="136">
        <f t="shared" si="306"/>
        <v>0</v>
      </c>
      <c r="DC224" s="131">
        <f t="shared" si="266"/>
        <v>0</v>
      </c>
      <c r="DD224" s="131">
        <f t="shared" si="307"/>
        <v>0</v>
      </c>
      <c r="DE224" s="131">
        <f t="shared" si="308"/>
        <v>0</v>
      </c>
      <c r="DF224" s="131">
        <f t="shared" si="309"/>
        <v>0</v>
      </c>
      <c r="DG224" s="131">
        <f t="shared" si="310"/>
        <v>0</v>
      </c>
      <c r="DH224" s="131"/>
      <c r="DI224" s="131"/>
      <c r="DJ224" s="131"/>
      <c r="DK224" s="137">
        <f t="shared" si="340"/>
        <v>3791.5811116017489</v>
      </c>
      <c r="DL224" s="227" t="e">
        <f t="shared" si="311"/>
        <v>#REF!</v>
      </c>
      <c r="DM224" s="227" t="e">
        <f t="shared" si="312"/>
        <v>#REF!</v>
      </c>
      <c r="DN224" s="228" t="e">
        <f t="shared" si="267"/>
        <v>#REF!</v>
      </c>
      <c r="DO224" s="228">
        <f t="shared" si="313"/>
        <v>181.81087083894022</v>
      </c>
      <c r="DP224" s="228" t="e">
        <f t="shared" si="314"/>
        <v>#REF!</v>
      </c>
      <c r="DQ224" s="228" t="e">
        <f t="shared" si="315"/>
        <v>#REF!</v>
      </c>
    </row>
    <row r="225" spans="1:121">
      <c r="A225" s="132">
        <f t="shared" si="265"/>
        <v>215</v>
      </c>
      <c r="B225" s="18">
        <f t="shared" si="316"/>
        <v>215</v>
      </c>
      <c r="C225" s="18">
        <f>IF(A225=0," ",VLOOKUP(B225,'tosafot '!$A$7:$B$234,2,0))</f>
        <v>11.202500000000001</v>
      </c>
      <c r="D225" s="220">
        <f t="shared" si="317"/>
        <v>228</v>
      </c>
      <c r="E225" s="130">
        <f t="shared" si="318"/>
        <v>12.2026</v>
      </c>
      <c r="F225" s="126">
        <f t="shared" si="319"/>
        <v>9</v>
      </c>
      <c r="G225" s="18" t="str">
        <f t="shared" si="320"/>
        <v>הבריאות</v>
      </c>
      <c r="H225" s="189">
        <f t="shared" si="321"/>
        <v>107</v>
      </c>
      <c r="I225" s="18">
        <f t="shared" si="322"/>
        <v>1</v>
      </c>
      <c r="J225" s="18" t="str">
        <f t="shared" si="323"/>
        <v>מינהלי - עובדי מדינה</v>
      </c>
      <c r="K225" s="189">
        <f t="shared" si="324"/>
        <v>1</v>
      </c>
      <c r="L225" s="18">
        <f t="shared" si="325"/>
        <v>12</v>
      </c>
      <c r="M225" s="129" t="str">
        <f t="shared" si="326"/>
        <v>17+</v>
      </c>
      <c r="N225" s="189"/>
      <c r="O225" s="132">
        <f t="shared" si="327"/>
        <v>1012</v>
      </c>
      <c r="P225" s="127">
        <f t="shared" si="328"/>
        <v>37</v>
      </c>
      <c r="Q225" s="127">
        <f t="shared" si="329"/>
        <v>22.75</v>
      </c>
      <c r="R225" s="128">
        <f t="shared" si="330"/>
        <v>92</v>
      </c>
      <c r="S225" s="130">
        <f t="shared" si="331"/>
        <v>1.2540512286990533</v>
      </c>
      <c r="T225" s="135">
        <f t="shared" si="268"/>
        <v>0</v>
      </c>
      <c r="U225" s="127">
        <f t="shared" si="269"/>
        <v>0</v>
      </c>
      <c r="V225" s="217">
        <v>0</v>
      </c>
      <c r="W225" s="191">
        <v>0</v>
      </c>
      <c r="X225" s="133">
        <v>0</v>
      </c>
      <c r="Y225" s="131">
        <f t="shared" si="270"/>
        <v>2438.5</v>
      </c>
      <c r="Z225" s="131">
        <f t="shared" si="271"/>
        <v>619.50392118264142</v>
      </c>
      <c r="AA225" s="242">
        <f t="shared" si="272"/>
        <v>3058.0039211826415</v>
      </c>
      <c r="AB225" s="131">
        <f t="shared" si="273"/>
        <v>0</v>
      </c>
      <c r="AC225" s="131">
        <f t="shared" si="274"/>
        <v>139.48055684730568</v>
      </c>
      <c r="AD225" s="131">
        <f t="shared" si="275"/>
        <v>0</v>
      </c>
      <c r="AE225" s="131">
        <f t="shared" si="276"/>
        <v>0</v>
      </c>
      <c r="AF225" s="131">
        <f t="shared" si="277"/>
        <v>75.260000000000005</v>
      </c>
      <c r="AG225" s="131">
        <f t="shared" si="278"/>
        <v>0</v>
      </c>
      <c r="AH225" s="131">
        <f t="shared" si="279"/>
        <v>0</v>
      </c>
      <c r="AI225" s="131">
        <f t="shared" si="280"/>
        <v>0</v>
      </c>
      <c r="AJ225" s="131">
        <f t="shared" si="281"/>
        <v>0</v>
      </c>
      <c r="AK225" s="131"/>
      <c r="AL225" s="131">
        <f t="shared" si="282"/>
        <v>0</v>
      </c>
      <c r="AM225" s="131"/>
      <c r="AN225" s="243">
        <f t="shared" si="283"/>
        <v>0</v>
      </c>
      <c r="AO225" s="131">
        <f t="shared" si="284"/>
        <v>0</v>
      </c>
      <c r="AP225" s="131">
        <f t="shared" si="285"/>
        <v>0</v>
      </c>
      <c r="AQ225" s="131"/>
      <c r="AR225" s="131">
        <f t="shared" si="286"/>
        <v>0</v>
      </c>
      <c r="AS225" s="131">
        <f t="shared" si="332"/>
        <v>0</v>
      </c>
      <c r="AT225" s="131">
        <f t="shared" si="287"/>
        <v>0</v>
      </c>
      <c r="AU225" s="131">
        <f t="shared" si="288"/>
        <v>0</v>
      </c>
      <c r="AV225" s="131"/>
      <c r="AW225" s="131">
        <f t="shared" si="289"/>
        <v>353.75</v>
      </c>
      <c r="AX225" s="131">
        <f t="shared" si="343"/>
        <v>0</v>
      </c>
      <c r="AY225" s="131">
        <f t="shared" si="290"/>
        <v>0</v>
      </c>
      <c r="AZ225" s="131"/>
      <c r="BA225" s="131">
        <f t="shared" si="344"/>
        <v>0</v>
      </c>
      <c r="BB225" s="131"/>
      <c r="BC225" s="131"/>
      <c r="BD225" s="131">
        <f t="shared" si="291"/>
        <v>0</v>
      </c>
      <c r="BE225" s="131"/>
      <c r="BF225" s="131">
        <f t="shared" si="333"/>
        <v>0</v>
      </c>
      <c r="BG225" s="131">
        <f t="shared" si="334"/>
        <v>0</v>
      </c>
      <c r="BH225" s="131"/>
      <c r="BI225" s="131"/>
      <c r="BJ225" s="131"/>
      <c r="BK225" s="131">
        <f t="shared" si="335"/>
        <v>0</v>
      </c>
      <c r="BL225" s="131"/>
      <c r="BM225" s="131"/>
      <c r="BN225" s="131">
        <f t="shared" si="336"/>
        <v>0</v>
      </c>
      <c r="BO225" s="131"/>
      <c r="BP225" s="131">
        <f t="shared" si="337"/>
        <v>0</v>
      </c>
      <c r="BQ225" s="131"/>
      <c r="BR225" s="131"/>
      <c r="BS225" s="131"/>
      <c r="BT225" s="131"/>
      <c r="BU225" s="131"/>
      <c r="BV225" s="131">
        <f t="shared" si="338"/>
        <v>0</v>
      </c>
      <c r="BW225" s="131"/>
      <c r="BX225" s="131"/>
      <c r="BY225" s="131"/>
      <c r="BZ225" s="131">
        <f t="shared" si="339"/>
        <v>0</v>
      </c>
      <c r="CA225" s="131"/>
      <c r="CB225" s="136">
        <f t="shared" si="292"/>
        <v>165.08663357180151</v>
      </c>
      <c r="CC225" s="131">
        <f t="shared" si="293"/>
        <v>0</v>
      </c>
      <c r="CD225" s="136">
        <f t="shared" si="294"/>
        <v>0</v>
      </c>
      <c r="CE225" s="131">
        <f t="shared" si="342"/>
        <v>0</v>
      </c>
      <c r="CF225" s="136">
        <f t="shared" si="295"/>
        <v>0</v>
      </c>
      <c r="CG225" s="136"/>
      <c r="CH225" s="136">
        <f t="shared" si="341"/>
        <v>0</v>
      </c>
      <c r="CI225" s="131">
        <f t="shared" si="296"/>
        <v>0</v>
      </c>
      <c r="CJ225" s="131"/>
      <c r="CK225" s="136">
        <f t="shared" si="297"/>
        <v>0</v>
      </c>
      <c r="CL225" s="136">
        <f t="shared" si="298"/>
        <v>0</v>
      </c>
      <c r="CM225" s="131">
        <f t="shared" si="299"/>
        <v>0</v>
      </c>
      <c r="CN225" s="136">
        <f t="shared" si="300"/>
        <v>0</v>
      </c>
      <c r="CO225" s="136">
        <f t="shared" si="301"/>
        <v>0</v>
      </c>
      <c r="CP225" s="136">
        <f t="shared" si="302"/>
        <v>0</v>
      </c>
      <c r="CQ225" s="136"/>
      <c r="CR225" s="136">
        <f t="shared" si="303"/>
        <v>0</v>
      </c>
      <c r="CS225" s="136"/>
      <c r="CT225" s="136"/>
      <c r="CU225" s="136"/>
      <c r="CV225" s="136"/>
      <c r="CW225" s="136"/>
      <c r="CX225" s="136"/>
      <c r="CY225" s="136"/>
      <c r="CZ225" s="136">
        <f t="shared" si="304"/>
        <v>0</v>
      </c>
      <c r="DA225" s="136">
        <f t="shared" si="305"/>
        <v>0</v>
      </c>
      <c r="DB225" s="136">
        <f t="shared" si="306"/>
        <v>0</v>
      </c>
      <c r="DC225" s="131">
        <f t="shared" si="266"/>
        <v>0</v>
      </c>
      <c r="DD225" s="131">
        <f t="shared" si="307"/>
        <v>0</v>
      </c>
      <c r="DE225" s="131">
        <f t="shared" si="308"/>
        <v>0</v>
      </c>
      <c r="DF225" s="131">
        <f t="shared" si="309"/>
        <v>0</v>
      </c>
      <c r="DG225" s="131">
        <f t="shared" si="310"/>
        <v>0</v>
      </c>
      <c r="DH225" s="131"/>
      <c r="DI225" s="131"/>
      <c r="DJ225" s="131"/>
      <c r="DK225" s="137">
        <f t="shared" si="340"/>
        <v>3791.5811116017489</v>
      </c>
      <c r="DL225" s="227" t="e">
        <f t="shared" si="311"/>
        <v>#REF!</v>
      </c>
      <c r="DM225" s="227" t="e">
        <f t="shared" si="312"/>
        <v>#REF!</v>
      </c>
      <c r="DN225" s="228" t="e">
        <f t="shared" si="267"/>
        <v>#REF!</v>
      </c>
      <c r="DO225" s="228">
        <f t="shared" si="313"/>
        <v>181.81087083894022</v>
      </c>
      <c r="DP225" s="228" t="e">
        <f t="shared" si="314"/>
        <v>#REF!</v>
      </c>
      <c r="DQ225" s="228" t="e">
        <f t="shared" si="315"/>
        <v>#REF!</v>
      </c>
    </row>
    <row r="226" spans="1:121">
      <c r="A226" s="132">
        <f t="shared" si="265"/>
        <v>216</v>
      </c>
      <c r="B226" s="18">
        <f t="shared" si="316"/>
        <v>216</v>
      </c>
      <c r="C226" s="18">
        <f>IF(A226=0," ",VLOOKUP(B226,'tosafot '!$A$7:$B$234,2,0))</f>
        <v>12.202500000000001</v>
      </c>
      <c r="D226" s="220">
        <f t="shared" si="317"/>
        <v>228</v>
      </c>
      <c r="E226" s="130">
        <f t="shared" si="318"/>
        <v>12.2026</v>
      </c>
      <c r="F226" s="126">
        <f t="shared" si="319"/>
        <v>9</v>
      </c>
      <c r="G226" s="18" t="str">
        <f t="shared" si="320"/>
        <v>הבריאות</v>
      </c>
      <c r="H226" s="189">
        <f t="shared" si="321"/>
        <v>107</v>
      </c>
      <c r="I226" s="18">
        <f t="shared" si="322"/>
        <v>1</v>
      </c>
      <c r="J226" s="18" t="str">
        <f t="shared" si="323"/>
        <v>מינהלי - עובדי מדינה</v>
      </c>
      <c r="K226" s="189">
        <f t="shared" si="324"/>
        <v>1</v>
      </c>
      <c r="L226" s="18">
        <f t="shared" si="325"/>
        <v>12</v>
      </c>
      <c r="M226" s="129" t="str">
        <f t="shared" si="326"/>
        <v>17+</v>
      </c>
      <c r="N226" s="189"/>
      <c r="O226" s="132">
        <f t="shared" si="327"/>
        <v>1012</v>
      </c>
      <c r="P226" s="127">
        <f t="shared" si="328"/>
        <v>37</v>
      </c>
      <c r="Q226" s="127">
        <f t="shared" si="329"/>
        <v>22.75</v>
      </c>
      <c r="R226" s="128">
        <f t="shared" si="330"/>
        <v>92</v>
      </c>
      <c r="S226" s="130">
        <f t="shared" si="331"/>
        <v>1.2540512286990533</v>
      </c>
      <c r="T226" s="135">
        <f t="shared" si="268"/>
        <v>0</v>
      </c>
      <c r="U226" s="127">
        <f t="shared" si="269"/>
        <v>0</v>
      </c>
      <c r="V226" s="217">
        <v>0</v>
      </c>
      <c r="W226" s="191">
        <v>0</v>
      </c>
      <c r="X226" s="133">
        <v>0</v>
      </c>
      <c r="Y226" s="131">
        <f t="shared" si="270"/>
        <v>2438.5</v>
      </c>
      <c r="Z226" s="131">
        <f t="shared" si="271"/>
        <v>619.50392118264142</v>
      </c>
      <c r="AA226" s="242">
        <f t="shared" si="272"/>
        <v>3058.0039211826415</v>
      </c>
      <c r="AB226" s="131">
        <f t="shared" si="273"/>
        <v>0</v>
      </c>
      <c r="AC226" s="131">
        <f t="shared" si="274"/>
        <v>139.48055684730568</v>
      </c>
      <c r="AD226" s="131">
        <f t="shared" si="275"/>
        <v>0</v>
      </c>
      <c r="AE226" s="131">
        <f t="shared" si="276"/>
        <v>0</v>
      </c>
      <c r="AF226" s="131">
        <f t="shared" si="277"/>
        <v>75.260000000000005</v>
      </c>
      <c r="AG226" s="131">
        <f t="shared" si="278"/>
        <v>0</v>
      </c>
      <c r="AH226" s="131">
        <f t="shared" si="279"/>
        <v>0</v>
      </c>
      <c r="AI226" s="131">
        <f t="shared" si="280"/>
        <v>0</v>
      </c>
      <c r="AJ226" s="131">
        <f t="shared" si="281"/>
        <v>0</v>
      </c>
      <c r="AK226" s="131"/>
      <c r="AL226" s="131">
        <f t="shared" si="282"/>
        <v>0</v>
      </c>
      <c r="AM226" s="131"/>
      <c r="AN226" s="243">
        <f t="shared" si="283"/>
        <v>0</v>
      </c>
      <c r="AO226" s="131">
        <f t="shared" si="284"/>
        <v>0</v>
      </c>
      <c r="AP226" s="131">
        <f t="shared" si="285"/>
        <v>0</v>
      </c>
      <c r="AQ226" s="131"/>
      <c r="AR226" s="131">
        <f t="shared" si="286"/>
        <v>0</v>
      </c>
      <c r="AS226" s="131">
        <f t="shared" si="332"/>
        <v>0</v>
      </c>
      <c r="AT226" s="131">
        <f t="shared" si="287"/>
        <v>0</v>
      </c>
      <c r="AU226" s="131">
        <f t="shared" si="288"/>
        <v>0</v>
      </c>
      <c r="AV226" s="131"/>
      <c r="AW226" s="131">
        <f t="shared" si="289"/>
        <v>353.75</v>
      </c>
      <c r="AX226" s="131">
        <f t="shared" si="343"/>
        <v>0</v>
      </c>
      <c r="AY226" s="131">
        <f t="shared" si="290"/>
        <v>0</v>
      </c>
      <c r="AZ226" s="131"/>
      <c r="BA226" s="131">
        <f t="shared" si="344"/>
        <v>0</v>
      </c>
      <c r="BB226" s="131"/>
      <c r="BC226" s="131"/>
      <c r="BD226" s="131">
        <f t="shared" si="291"/>
        <v>0</v>
      </c>
      <c r="BE226" s="131"/>
      <c r="BF226" s="131">
        <f t="shared" si="333"/>
        <v>0</v>
      </c>
      <c r="BG226" s="131">
        <f t="shared" si="334"/>
        <v>0</v>
      </c>
      <c r="BH226" s="131"/>
      <c r="BI226" s="131"/>
      <c r="BJ226" s="131"/>
      <c r="BK226" s="131">
        <f t="shared" si="335"/>
        <v>0</v>
      </c>
      <c r="BL226" s="131"/>
      <c r="BM226" s="131"/>
      <c r="BN226" s="131">
        <f t="shared" si="336"/>
        <v>0</v>
      </c>
      <c r="BO226" s="131"/>
      <c r="BP226" s="131">
        <f t="shared" si="337"/>
        <v>0</v>
      </c>
      <c r="BQ226" s="131"/>
      <c r="BR226" s="131"/>
      <c r="BS226" s="131"/>
      <c r="BT226" s="131"/>
      <c r="BU226" s="131"/>
      <c r="BV226" s="131">
        <f t="shared" si="338"/>
        <v>0</v>
      </c>
      <c r="BW226" s="131"/>
      <c r="BX226" s="131"/>
      <c r="BY226" s="131"/>
      <c r="BZ226" s="131">
        <f t="shared" si="339"/>
        <v>0</v>
      </c>
      <c r="CA226" s="131"/>
      <c r="CB226" s="136">
        <f t="shared" si="292"/>
        <v>165.08663357180151</v>
      </c>
      <c r="CC226" s="131">
        <f t="shared" si="293"/>
        <v>0</v>
      </c>
      <c r="CD226" s="136">
        <f t="shared" si="294"/>
        <v>0</v>
      </c>
      <c r="CE226" s="131">
        <f t="shared" si="342"/>
        <v>0</v>
      </c>
      <c r="CF226" s="136">
        <f t="shared" si="295"/>
        <v>0</v>
      </c>
      <c r="CG226" s="136"/>
      <c r="CH226" s="136">
        <f t="shared" si="341"/>
        <v>0</v>
      </c>
      <c r="CI226" s="131">
        <f t="shared" si="296"/>
        <v>0</v>
      </c>
      <c r="CJ226" s="131"/>
      <c r="CK226" s="136">
        <f t="shared" si="297"/>
        <v>0</v>
      </c>
      <c r="CL226" s="136">
        <f t="shared" si="298"/>
        <v>0</v>
      </c>
      <c r="CM226" s="131">
        <f t="shared" si="299"/>
        <v>0</v>
      </c>
      <c r="CN226" s="136">
        <f t="shared" si="300"/>
        <v>0</v>
      </c>
      <c r="CO226" s="136">
        <f t="shared" si="301"/>
        <v>0</v>
      </c>
      <c r="CP226" s="136">
        <f t="shared" si="302"/>
        <v>0</v>
      </c>
      <c r="CQ226" s="136"/>
      <c r="CR226" s="136">
        <f t="shared" si="303"/>
        <v>0</v>
      </c>
      <c r="CS226" s="136"/>
      <c r="CT226" s="136"/>
      <c r="CU226" s="136"/>
      <c r="CV226" s="136"/>
      <c r="CW226" s="136"/>
      <c r="CX226" s="136"/>
      <c r="CY226" s="136"/>
      <c r="CZ226" s="136">
        <f t="shared" si="304"/>
        <v>0</v>
      </c>
      <c r="DA226" s="136">
        <f t="shared" si="305"/>
        <v>0</v>
      </c>
      <c r="DB226" s="136">
        <f t="shared" si="306"/>
        <v>0</v>
      </c>
      <c r="DC226" s="131">
        <f t="shared" si="266"/>
        <v>0</v>
      </c>
      <c r="DD226" s="131">
        <f t="shared" si="307"/>
        <v>0</v>
      </c>
      <c r="DE226" s="131">
        <f t="shared" si="308"/>
        <v>0</v>
      </c>
      <c r="DF226" s="131">
        <f t="shared" si="309"/>
        <v>0</v>
      </c>
      <c r="DG226" s="131">
        <f t="shared" si="310"/>
        <v>0</v>
      </c>
      <c r="DH226" s="131"/>
      <c r="DI226" s="131"/>
      <c r="DJ226" s="131"/>
      <c r="DK226" s="137">
        <f t="shared" si="340"/>
        <v>3791.5811116017489</v>
      </c>
      <c r="DL226" s="227" t="e">
        <f t="shared" si="311"/>
        <v>#REF!</v>
      </c>
      <c r="DM226" s="227" t="e">
        <f t="shared" si="312"/>
        <v>#REF!</v>
      </c>
      <c r="DN226" s="228" t="e">
        <f t="shared" si="267"/>
        <v>#REF!</v>
      </c>
      <c r="DO226" s="228">
        <f t="shared" si="313"/>
        <v>181.81087083894022</v>
      </c>
      <c r="DP226" s="228" t="e">
        <f t="shared" si="314"/>
        <v>#REF!</v>
      </c>
      <c r="DQ226" s="228" t="e">
        <f t="shared" si="315"/>
        <v>#REF!</v>
      </c>
    </row>
  </sheetData>
  <pageMargins left="0.70866141732283472" right="0.70866141732283472" top="0.74803149606299213" bottom="0.74803149606299213" header="0.31496062992125984" footer="0.31496062992125984"/>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גיליון30"/>
  <dimension ref="A1:AT191"/>
  <sheetViews>
    <sheetView rightToLeft="1" topLeftCell="S1" workbookViewId="0">
      <selection activeCell="AJ14" sqref="AJ1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10" max="10" width="2.88671875" bestFit="1" customWidth="1"/>
    <col min="12" max="12" width="2.88671875" bestFit="1" customWidth="1"/>
    <col min="14" max="14" width="2.88671875" bestFit="1" customWidth="1"/>
    <col min="16" max="16" width="2.88671875" bestFit="1" customWidth="1"/>
    <col min="18" max="18" width="2.88671875" bestFit="1" customWidth="1"/>
    <col min="19" max="19" width="8.44140625" bestFit="1" customWidth="1"/>
    <col min="20" max="20" width="2.88671875" bestFit="1" customWidth="1"/>
    <col min="21" max="21" width="5" bestFit="1" customWidth="1"/>
    <col min="22" max="22" width="5" customWidth="1"/>
    <col min="23" max="23" width="4.109375" bestFit="1" customWidth="1"/>
    <col min="24" max="24" width="5.109375" bestFit="1" customWidth="1"/>
    <col min="25" max="25" width="4" bestFit="1" customWidth="1"/>
    <col min="26" max="26" width="7.33203125" bestFit="1" customWidth="1"/>
    <col min="27" max="27" width="7.109375" bestFit="1" customWidth="1"/>
    <col min="28" max="28" width="7.44140625" style="1" bestFit="1" customWidth="1"/>
    <col min="29" max="29" width="5.6640625" bestFit="1" customWidth="1"/>
    <col min="32" max="32" width="8.88671875" customWidth="1"/>
    <col min="33" max="33" width="4" bestFit="1" customWidth="1"/>
    <col min="34" max="34" width="8.88671875" customWidth="1"/>
    <col min="35" max="35" width="4" bestFit="1" customWidth="1"/>
  </cols>
  <sheetData>
    <row r="1" spans="1:46">
      <c r="A1" t="s">
        <v>88</v>
      </c>
      <c r="B1" s="185" t="s">
        <v>131</v>
      </c>
      <c r="C1" s="185" t="s">
        <v>55</v>
      </c>
      <c r="D1" t="s">
        <v>132</v>
      </c>
      <c r="E1" t="s">
        <v>57</v>
      </c>
      <c r="F1" t="s">
        <v>58</v>
      </c>
      <c r="K1" s="108" t="s">
        <v>54</v>
      </c>
      <c r="M1" s="3"/>
      <c r="O1" s="108" t="s">
        <v>726</v>
      </c>
      <c r="S1" t="s">
        <v>136</v>
      </c>
      <c r="U1" s="1" t="s">
        <v>102</v>
      </c>
      <c r="V1" s="1" t="s">
        <v>103</v>
      </c>
      <c r="W1" t="s">
        <v>104</v>
      </c>
      <c r="X1" t="s">
        <v>105</v>
      </c>
      <c r="Y1" t="s">
        <v>106</v>
      </c>
      <c r="Z1" t="s">
        <v>107</v>
      </c>
      <c r="AA1" t="s">
        <v>108</v>
      </c>
      <c r="AB1" s="1" t="s">
        <v>109</v>
      </c>
      <c r="AC1" t="s">
        <v>110</v>
      </c>
      <c r="AD1" t="s">
        <v>112</v>
      </c>
      <c r="AH1" t="s">
        <v>136</v>
      </c>
      <c r="AJ1" s="1" t="s">
        <v>102</v>
      </c>
      <c r="AK1" s="1" t="s">
        <v>727</v>
      </c>
      <c r="AL1" t="s">
        <v>702</v>
      </c>
      <c r="AM1" t="s">
        <v>182</v>
      </c>
      <c r="AN1" t="s">
        <v>728</v>
      </c>
      <c r="AO1" t="s">
        <v>729</v>
      </c>
      <c r="AP1" s="1" t="s">
        <v>702</v>
      </c>
      <c r="AQ1" t="s">
        <v>702</v>
      </c>
      <c r="AR1" t="s">
        <v>185</v>
      </c>
      <c r="AS1" t="s">
        <v>702</v>
      </c>
      <c r="AT1" t="s">
        <v>186</v>
      </c>
    </row>
    <row r="2" spans="1:46">
      <c r="A2" s="3">
        <v>1</v>
      </c>
      <c r="B2" s="186" t="s">
        <v>137</v>
      </c>
      <c r="C2" s="186">
        <v>1</v>
      </c>
      <c r="D2" s="1">
        <v>10</v>
      </c>
      <c r="F2">
        <v>1000</v>
      </c>
      <c r="J2" s="3">
        <v>1</v>
      </c>
      <c r="K2" s="4" t="s">
        <v>102</v>
      </c>
      <c r="L2" s="3">
        <v>1</v>
      </c>
      <c r="M2" s="3"/>
      <c r="N2">
        <v>1</v>
      </c>
      <c r="O2" t="s">
        <v>138</v>
      </c>
      <c r="P2">
        <v>1</v>
      </c>
      <c r="U2">
        <v>1</v>
      </c>
      <c r="V2">
        <v>2</v>
      </c>
      <c r="W2">
        <v>3</v>
      </c>
      <c r="X2">
        <v>4</v>
      </c>
      <c r="Y2">
        <v>5</v>
      </c>
      <c r="Z2">
        <v>6</v>
      </c>
      <c r="AA2">
        <v>7</v>
      </c>
      <c r="AB2" s="1">
        <v>8</v>
      </c>
      <c r="AC2">
        <v>9</v>
      </c>
      <c r="AD2">
        <v>10</v>
      </c>
      <c r="AJ2">
        <v>1</v>
      </c>
      <c r="AK2">
        <v>2</v>
      </c>
      <c r="AL2">
        <v>3</v>
      </c>
      <c r="AM2">
        <v>4</v>
      </c>
      <c r="AN2">
        <v>5</v>
      </c>
      <c r="AO2">
        <v>6</v>
      </c>
      <c r="AP2">
        <v>7</v>
      </c>
      <c r="AQ2" s="1">
        <v>8</v>
      </c>
      <c r="AR2">
        <v>9</v>
      </c>
      <c r="AS2">
        <v>10</v>
      </c>
      <c r="AT2">
        <v>11</v>
      </c>
    </row>
    <row r="3" spans="1:46">
      <c r="A3">
        <v>2</v>
      </c>
      <c r="B3" s="186" t="s">
        <v>137</v>
      </c>
      <c r="C3" s="186">
        <v>1</v>
      </c>
      <c r="D3" s="1">
        <v>11</v>
      </c>
      <c r="F3">
        <v>1001</v>
      </c>
      <c r="J3" s="3">
        <v>2</v>
      </c>
      <c r="K3" s="4" t="s">
        <v>103</v>
      </c>
      <c r="L3" s="3">
        <v>2</v>
      </c>
      <c r="M3" s="3"/>
      <c r="N3">
        <v>2</v>
      </c>
      <c r="O3" t="s">
        <v>139</v>
      </c>
      <c r="P3">
        <v>2</v>
      </c>
      <c r="R3">
        <v>1</v>
      </c>
      <c r="S3" t="s">
        <v>138</v>
      </c>
      <c r="T3">
        <v>1</v>
      </c>
      <c r="U3" s="1">
        <v>13</v>
      </c>
      <c r="V3" s="1">
        <v>63</v>
      </c>
      <c r="W3" s="1">
        <v>36</v>
      </c>
      <c r="X3" s="1">
        <v>36</v>
      </c>
      <c r="Y3" s="1">
        <v>36</v>
      </c>
      <c r="Z3" s="1">
        <v>36</v>
      </c>
      <c r="AA3" s="1">
        <v>35</v>
      </c>
      <c r="AB3" s="1" t="s">
        <v>730</v>
      </c>
      <c r="AC3" s="1"/>
      <c r="AD3" s="1">
        <v>36</v>
      </c>
      <c r="AG3">
        <v>1</v>
      </c>
      <c r="AH3" s="1">
        <v>10</v>
      </c>
      <c r="AI3">
        <v>1</v>
      </c>
      <c r="AJ3" s="1">
        <f>1000*AJ2+1</f>
        <v>1001</v>
      </c>
      <c r="AK3" s="1">
        <f>1000*AK2+1</f>
        <v>2001</v>
      </c>
      <c r="AL3" s="1">
        <f t="shared" ref="AL3:AS3" si="0">1000*AL2+1</f>
        <v>3001</v>
      </c>
      <c r="AM3" s="1">
        <f t="shared" si="0"/>
        <v>4001</v>
      </c>
      <c r="AN3" s="1">
        <f t="shared" si="0"/>
        <v>5001</v>
      </c>
      <c r="AO3" s="1">
        <f t="shared" si="0"/>
        <v>6001</v>
      </c>
      <c r="AP3" s="1">
        <f t="shared" si="0"/>
        <v>7001</v>
      </c>
      <c r="AQ3" s="1">
        <f t="shared" si="0"/>
        <v>8001</v>
      </c>
      <c r="AR3" s="1">
        <f t="shared" si="0"/>
        <v>9001</v>
      </c>
      <c r="AS3" s="1">
        <f t="shared" si="0"/>
        <v>10001</v>
      </c>
      <c r="AT3" s="1">
        <v>0</v>
      </c>
    </row>
    <row r="4" spans="1:46">
      <c r="A4" s="3">
        <v>3</v>
      </c>
      <c r="B4" s="186" t="s">
        <v>137</v>
      </c>
      <c r="C4" s="186">
        <v>1</v>
      </c>
      <c r="D4" s="1">
        <v>12</v>
      </c>
      <c r="F4">
        <v>1002</v>
      </c>
      <c r="J4" s="3">
        <v>3</v>
      </c>
      <c r="K4" s="1" t="s">
        <v>104</v>
      </c>
      <c r="L4" s="3">
        <v>3</v>
      </c>
      <c r="M4" s="3"/>
      <c r="N4">
        <v>3</v>
      </c>
      <c r="O4" t="s">
        <v>142</v>
      </c>
      <c r="P4">
        <v>3</v>
      </c>
      <c r="R4">
        <v>2</v>
      </c>
      <c r="S4" t="s">
        <v>139</v>
      </c>
      <c r="T4">
        <v>2</v>
      </c>
      <c r="U4" s="1">
        <v>13</v>
      </c>
      <c r="V4" s="1">
        <v>63</v>
      </c>
      <c r="W4" s="1">
        <v>36</v>
      </c>
      <c r="X4" s="1">
        <v>36</v>
      </c>
      <c r="Y4" s="1">
        <v>36</v>
      </c>
      <c r="Z4" s="1">
        <v>36</v>
      </c>
      <c r="AA4" s="1">
        <v>35</v>
      </c>
      <c r="AB4" s="1" t="s">
        <v>731</v>
      </c>
      <c r="AC4" s="1">
        <v>2</v>
      </c>
      <c r="AD4" s="1">
        <v>36</v>
      </c>
      <c r="AG4">
        <v>2</v>
      </c>
      <c r="AH4" s="1">
        <v>11</v>
      </c>
      <c r="AI4">
        <v>2</v>
      </c>
      <c r="AJ4" s="1">
        <f>+AJ3+1</f>
        <v>1002</v>
      </c>
      <c r="AK4" s="1">
        <f t="shared" ref="AK4:AS4" si="1">+AK3+1</f>
        <v>2002</v>
      </c>
      <c r="AL4" s="1">
        <f t="shared" si="1"/>
        <v>3002</v>
      </c>
      <c r="AM4" s="1">
        <f t="shared" si="1"/>
        <v>4002</v>
      </c>
      <c r="AN4" s="1">
        <f t="shared" si="1"/>
        <v>5002</v>
      </c>
      <c r="AO4" s="1">
        <f t="shared" si="1"/>
        <v>6002</v>
      </c>
      <c r="AP4" s="1">
        <f t="shared" si="1"/>
        <v>7002</v>
      </c>
      <c r="AQ4" s="1">
        <f t="shared" si="1"/>
        <v>8002</v>
      </c>
      <c r="AR4" s="1">
        <f t="shared" si="1"/>
        <v>9002</v>
      </c>
      <c r="AS4" s="1">
        <f t="shared" si="1"/>
        <v>10002</v>
      </c>
      <c r="AT4" s="1">
        <v>0</v>
      </c>
    </row>
    <row r="5" spans="1:46">
      <c r="A5">
        <v>4</v>
      </c>
      <c r="B5" s="186" t="s">
        <v>137</v>
      </c>
      <c r="C5" s="186">
        <v>1</v>
      </c>
      <c r="D5" s="1" t="s">
        <v>141</v>
      </c>
      <c r="F5">
        <v>1003</v>
      </c>
      <c r="J5" s="3">
        <v>4</v>
      </c>
      <c r="K5" s="1" t="s">
        <v>105</v>
      </c>
      <c r="L5" s="3">
        <v>4</v>
      </c>
      <c r="M5" s="3"/>
      <c r="N5">
        <v>4</v>
      </c>
      <c r="O5" t="s">
        <v>732</v>
      </c>
      <c r="P5">
        <v>4</v>
      </c>
      <c r="R5">
        <v>3</v>
      </c>
      <c r="S5" t="s">
        <v>140</v>
      </c>
      <c r="T5">
        <v>3</v>
      </c>
      <c r="U5" s="1" t="s">
        <v>144</v>
      </c>
      <c r="V5" s="1" t="s">
        <v>704</v>
      </c>
      <c r="W5" s="1"/>
      <c r="X5" s="1"/>
      <c r="Y5" s="1"/>
      <c r="Z5" s="1"/>
      <c r="AA5" s="1"/>
      <c r="AB5" s="1" t="s">
        <v>348</v>
      </c>
      <c r="AC5" s="1"/>
      <c r="AD5" s="1"/>
      <c r="AG5">
        <v>3</v>
      </c>
      <c r="AH5" s="1">
        <v>12</v>
      </c>
      <c r="AI5">
        <v>3</v>
      </c>
      <c r="AJ5" s="1">
        <f t="shared" ref="AJ5:AJ32" si="2">+AJ4+1</f>
        <v>1003</v>
      </c>
      <c r="AK5" s="1">
        <f t="shared" ref="AK5:AK32" si="3">+AK4+1</f>
        <v>2003</v>
      </c>
      <c r="AL5" s="1">
        <f t="shared" ref="AL5:AL32" si="4">+AL4+1</f>
        <v>3003</v>
      </c>
      <c r="AM5" s="1">
        <f t="shared" ref="AM5:AM32" si="5">+AM4+1</f>
        <v>4003</v>
      </c>
      <c r="AN5" s="1">
        <f t="shared" ref="AN5:AN32" si="6">+AN4+1</f>
        <v>5003</v>
      </c>
      <c r="AO5" s="1">
        <f t="shared" ref="AO5:AO32" si="7">+AO4+1</f>
        <v>6003</v>
      </c>
      <c r="AP5" s="1">
        <f t="shared" ref="AP5:AP32" si="8">+AP4+1</f>
        <v>7003</v>
      </c>
      <c r="AQ5" s="1">
        <f t="shared" ref="AQ5:AQ32" si="9">+AQ4+1</f>
        <v>8003</v>
      </c>
      <c r="AR5" s="1">
        <f t="shared" ref="AR5:AR32" si="10">+AR4+1</f>
        <v>9003</v>
      </c>
      <c r="AS5" s="1">
        <f t="shared" ref="AS5:AS32" si="11">+AS4+1</f>
        <v>10003</v>
      </c>
      <c r="AT5" s="1">
        <v>0</v>
      </c>
    </row>
    <row r="6" spans="1:46">
      <c r="A6" s="3">
        <v>5</v>
      </c>
      <c r="B6" s="186" t="s">
        <v>137</v>
      </c>
      <c r="C6" s="186">
        <v>1</v>
      </c>
      <c r="D6" s="1">
        <v>13</v>
      </c>
      <c r="F6">
        <v>1004</v>
      </c>
      <c r="J6" s="3">
        <v>5</v>
      </c>
      <c r="K6" s="1" t="s">
        <v>106</v>
      </c>
      <c r="L6" s="3">
        <v>5</v>
      </c>
      <c r="M6" s="3"/>
      <c r="N6">
        <v>5</v>
      </c>
      <c r="O6" t="s">
        <v>733</v>
      </c>
      <c r="P6">
        <v>5</v>
      </c>
      <c r="R6">
        <v>4</v>
      </c>
      <c r="S6" t="s">
        <v>142</v>
      </c>
      <c r="T6">
        <v>4</v>
      </c>
      <c r="U6" s="1">
        <v>14</v>
      </c>
      <c r="V6" s="1">
        <v>64</v>
      </c>
      <c r="W6" s="1">
        <v>37</v>
      </c>
      <c r="X6" s="1">
        <v>37</v>
      </c>
      <c r="Y6" s="1">
        <v>37</v>
      </c>
      <c r="Z6" s="1">
        <v>37</v>
      </c>
      <c r="AA6" s="1">
        <v>36</v>
      </c>
      <c r="AB6" s="1" t="s">
        <v>373</v>
      </c>
      <c r="AC6" s="1">
        <v>3</v>
      </c>
      <c r="AD6" s="1">
        <v>37</v>
      </c>
      <c r="AG6">
        <v>4</v>
      </c>
      <c r="AH6" s="1" t="s">
        <v>141</v>
      </c>
      <c r="AI6">
        <v>4</v>
      </c>
      <c r="AJ6" s="1">
        <f t="shared" si="2"/>
        <v>1004</v>
      </c>
      <c r="AK6" s="1">
        <f t="shared" si="3"/>
        <v>2004</v>
      </c>
      <c r="AL6" s="1">
        <f t="shared" si="4"/>
        <v>3004</v>
      </c>
      <c r="AM6" s="1">
        <f t="shared" si="5"/>
        <v>4004</v>
      </c>
      <c r="AN6" s="1">
        <f t="shared" si="6"/>
        <v>5004</v>
      </c>
      <c r="AO6" s="1">
        <f t="shared" si="7"/>
        <v>6004</v>
      </c>
      <c r="AP6" s="1">
        <f t="shared" si="8"/>
        <v>7004</v>
      </c>
      <c r="AQ6" s="1">
        <f t="shared" si="9"/>
        <v>8004</v>
      </c>
      <c r="AR6" s="1">
        <f t="shared" si="10"/>
        <v>9004</v>
      </c>
      <c r="AS6" s="1">
        <f t="shared" si="11"/>
        <v>10004</v>
      </c>
      <c r="AT6" s="1">
        <v>0</v>
      </c>
    </row>
    <row r="7" spans="1:46">
      <c r="A7">
        <v>6</v>
      </c>
      <c r="B7" s="186" t="s">
        <v>137</v>
      </c>
      <c r="C7" s="186">
        <v>1</v>
      </c>
      <c r="D7" s="1" t="s">
        <v>144</v>
      </c>
      <c r="F7">
        <v>1005</v>
      </c>
      <c r="J7" s="3">
        <v>6</v>
      </c>
      <c r="K7" s="1" t="s">
        <v>107</v>
      </c>
      <c r="L7" s="3">
        <v>6</v>
      </c>
      <c r="M7" s="3"/>
      <c r="N7">
        <v>6</v>
      </c>
      <c r="O7" t="s">
        <v>734</v>
      </c>
      <c r="P7">
        <v>6</v>
      </c>
      <c r="R7">
        <v>5</v>
      </c>
      <c r="S7" t="s">
        <v>143</v>
      </c>
      <c r="T7">
        <v>5</v>
      </c>
      <c r="U7" s="1">
        <v>15</v>
      </c>
      <c r="V7" s="1">
        <v>65</v>
      </c>
      <c r="W7" s="1">
        <v>38</v>
      </c>
      <c r="X7" s="1">
        <v>38</v>
      </c>
      <c r="Y7" s="1">
        <v>38</v>
      </c>
      <c r="Z7" s="1">
        <v>38</v>
      </c>
      <c r="AA7" s="1">
        <v>37</v>
      </c>
      <c r="AC7" s="1" t="s">
        <v>717</v>
      </c>
      <c r="AD7" s="1">
        <v>38</v>
      </c>
      <c r="AG7">
        <v>5</v>
      </c>
      <c r="AH7" s="1">
        <v>13</v>
      </c>
      <c r="AI7">
        <v>5</v>
      </c>
      <c r="AJ7" s="1">
        <f t="shared" ref="AJ7:AS7" si="12">+AJ6+1</f>
        <v>1005</v>
      </c>
      <c r="AK7" s="1">
        <f t="shared" si="12"/>
        <v>2005</v>
      </c>
      <c r="AL7" s="1">
        <f t="shared" si="12"/>
        <v>3005</v>
      </c>
      <c r="AM7" s="1">
        <f t="shared" si="12"/>
        <v>4005</v>
      </c>
      <c r="AN7" s="1">
        <f t="shared" si="12"/>
        <v>5005</v>
      </c>
      <c r="AO7" s="1">
        <f t="shared" si="12"/>
        <v>6005</v>
      </c>
      <c r="AP7" s="1">
        <f t="shared" si="12"/>
        <v>7005</v>
      </c>
      <c r="AQ7" s="1">
        <f t="shared" si="12"/>
        <v>8005</v>
      </c>
      <c r="AR7" s="1">
        <f t="shared" si="12"/>
        <v>9005</v>
      </c>
      <c r="AS7" s="1">
        <f t="shared" si="12"/>
        <v>10005</v>
      </c>
      <c r="AT7" s="1">
        <v>0</v>
      </c>
    </row>
    <row r="8" spans="1:46">
      <c r="A8" s="3">
        <v>7</v>
      </c>
      <c r="B8" s="186" t="s">
        <v>137</v>
      </c>
      <c r="C8" s="186">
        <v>1</v>
      </c>
      <c r="D8" s="1">
        <v>14</v>
      </c>
      <c r="F8">
        <v>1006</v>
      </c>
      <c r="J8" s="3">
        <v>7</v>
      </c>
      <c r="K8" s="1" t="s">
        <v>108</v>
      </c>
      <c r="L8" s="3">
        <v>7</v>
      </c>
      <c r="M8" s="3"/>
      <c r="N8">
        <v>7</v>
      </c>
      <c r="O8" t="s">
        <v>735</v>
      </c>
      <c r="P8">
        <v>7</v>
      </c>
      <c r="R8">
        <v>6</v>
      </c>
      <c r="S8" t="s">
        <v>145</v>
      </c>
      <c r="T8">
        <v>6</v>
      </c>
      <c r="U8" s="1"/>
      <c r="V8" s="1"/>
      <c r="W8" s="1"/>
      <c r="X8" s="1"/>
      <c r="Y8" s="1"/>
      <c r="Z8" s="1"/>
      <c r="AA8" s="1"/>
      <c r="AC8" s="1">
        <v>4</v>
      </c>
      <c r="AD8" s="1"/>
      <c r="AG8">
        <v>6</v>
      </c>
      <c r="AH8" s="1" t="s">
        <v>144</v>
      </c>
      <c r="AI8">
        <v>6</v>
      </c>
      <c r="AJ8" s="1">
        <f t="shared" si="2"/>
        <v>1006</v>
      </c>
      <c r="AK8" s="1">
        <f t="shared" si="3"/>
        <v>2006</v>
      </c>
      <c r="AL8" s="1">
        <f t="shared" si="4"/>
        <v>3006</v>
      </c>
      <c r="AM8" s="1">
        <f t="shared" si="5"/>
        <v>4006</v>
      </c>
      <c r="AN8" s="1">
        <f t="shared" si="6"/>
        <v>5006</v>
      </c>
      <c r="AO8" s="1">
        <f t="shared" si="7"/>
        <v>6006</v>
      </c>
      <c r="AP8" s="1">
        <f t="shared" si="8"/>
        <v>7006</v>
      </c>
      <c r="AQ8" s="1">
        <f t="shared" si="9"/>
        <v>8006</v>
      </c>
      <c r="AR8" s="1">
        <f t="shared" si="10"/>
        <v>9006</v>
      </c>
      <c r="AS8" s="1">
        <f t="shared" si="11"/>
        <v>10006</v>
      </c>
      <c r="AT8" s="1">
        <v>0</v>
      </c>
    </row>
    <row r="9" spans="1:46">
      <c r="A9">
        <v>8</v>
      </c>
      <c r="B9" s="186" t="s">
        <v>137</v>
      </c>
      <c r="C9" s="186">
        <v>1</v>
      </c>
      <c r="D9" s="1" t="s">
        <v>147</v>
      </c>
      <c r="F9">
        <v>1007</v>
      </c>
      <c r="J9" s="3">
        <v>8</v>
      </c>
      <c r="K9" s="1" t="s">
        <v>109</v>
      </c>
      <c r="L9" s="3">
        <v>8</v>
      </c>
      <c r="M9" s="3"/>
      <c r="N9">
        <v>8</v>
      </c>
      <c r="O9" t="s">
        <v>736</v>
      </c>
      <c r="P9">
        <v>8</v>
      </c>
      <c r="R9">
        <v>7</v>
      </c>
      <c r="S9" t="s">
        <v>146</v>
      </c>
      <c r="T9">
        <v>7</v>
      </c>
      <c r="U9" s="1">
        <v>16</v>
      </c>
      <c r="V9" s="1">
        <v>66</v>
      </c>
      <c r="W9" s="1">
        <v>39</v>
      </c>
      <c r="X9" s="1">
        <v>39</v>
      </c>
      <c r="Y9" s="1">
        <v>39</v>
      </c>
      <c r="Z9" s="1">
        <v>39</v>
      </c>
      <c r="AA9" s="1">
        <v>38</v>
      </c>
      <c r="AB9" s="1" t="s">
        <v>284</v>
      </c>
      <c r="AC9" s="1">
        <v>5</v>
      </c>
      <c r="AD9" s="1">
        <v>39</v>
      </c>
      <c r="AG9">
        <v>7</v>
      </c>
      <c r="AH9" s="1">
        <v>14</v>
      </c>
      <c r="AI9">
        <v>7</v>
      </c>
      <c r="AJ9" s="1">
        <f t="shared" si="2"/>
        <v>1007</v>
      </c>
      <c r="AK9" s="1">
        <f t="shared" si="3"/>
        <v>2007</v>
      </c>
      <c r="AL9" s="1">
        <f t="shared" si="4"/>
        <v>3007</v>
      </c>
      <c r="AM9" s="1">
        <f t="shared" si="5"/>
        <v>4007</v>
      </c>
      <c r="AN9" s="1">
        <f t="shared" si="6"/>
        <v>5007</v>
      </c>
      <c r="AO9" s="1">
        <f t="shared" si="7"/>
        <v>6007</v>
      </c>
      <c r="AP9" s="1">
        <f t="shared" si="8"/>
        <v>7007</v>
      </c>
      <c r="AQ9" s="1">
        <f t="shared" si="9"/>
        <v>8007</v>
      </c>
      <c r="AR9" s="1">
        <f t="shared" si="10"/>
        <v>9007</v>
      </c>
      <c r="AS9" s="1">
        <f t="shared" si="11"/>
        <v>10007</v>
      </c>
      <c r="AT9" s="1">
        <v>0</v>
      </c>
    </row>
    <row r="10" spans="1:46">
      <c r="A10" s="3">
        <v>9</v>
      </c>
      <c r="B10" s="186" t="s">
        <v>137</v>
      </c>
      <c r="C10" s="186">
        <v>1</v>
      </c>
      <c r="D10" s="1">
        <v>15</v>
      </c>
      <c r="F10">
        <v>1008</v>
      </c>
      <c r="J10" s="3">
        <v>9</v>
      </c>
      <c r="K10" s="1" t="s">
        <v>110</v>
      </c>
      <c r="L10" s="3">
        <v>9</v>
      </c>
      <c r="M10" s="3"/>
      <c r="N10">
        <v>9</v>
      </c>
      <c r="O10" t="s">
        <v>737</v>
      </c>
      <c r="P10">
        <v>9</v>
      </c>
      <c r="R10">
        <v>8</v>
      </c>
      <c r="S10" t="s">
        <v>148</v>
      </c>
      <c r="T10">
        <v>8</v>
      </c>
      <c r="U10" s="1" t="s">
        <v>153</v>
      </c>
      <c r="V10" s="1" t="s">
        <v>707</v>
      </c>
      <c r="W10" s="1" t="s">
        <v>192</v>
      </c>
      <c r="X10" s="1" t="s">
        <v>192</v>
      </c>
      <c r="Y10" s="1" t="s">
        <v>192</v>
      </c>
      <c r="Z10" s="1" t="s">
        <v>192</v>
      </c>
      <c r="AA10" s="1" t="s">
        <v>191</v>
      </c>
      <c r="AB10" s="1" t="s">
        <v>541</v>
      </c>
      <c r="AC10" s="1">
        <v>6</v>
      </c>
      <c r="AD10" s="1" t="s">
        <v>192</v>
      </c>
      <c r="AG10">
        <v>8</v>
      </c>
      <c r="AH10" s="1" t="s">
        <v>147</v>
      </c>
      <c r="AI10">
        <v>8</v>
      </c>
      <c r="AJ10" s="1">
        <f t="shared" si="2"/>
        <v>1008</v>
      </c>
      <c r="AK10" s="1">
        <f t="shared" si="3"/>
        <v>2008</v>
      </c>
      <c r="AL10" s="1">
        <f t="shared" si="4"/>
        <v>3008</v>
      </c>
      <c r="AM10" s="1">
        <f t="shared" si="5"/>
        <v>4008</v>
      </c>
      <c r="AN10" s="1">
        <f t="shared" si="6"/>
        <v>5008</v>
      </c>
      <c r="AO10" s="1">
        <f t="shared" si="7"/>
        <v>6008</v>
      </c>
      <c r="AP10" s="1">
        <f t="shared" si="8"/>
        <v>7008</v>
      </c>
      <c r="AQ10" s="1">
        <f t="shared" si="9"/>
        <v>8008</v>
      </c>
      <c r="AR10" s="1">
        <f t="shared" si="10"/>
        <v>9008</v>
      </c>
      <c r="AS10" s="1">
        <f t="shared" si="11"/>
        <v>10008</v>
      </c>
      <c r="AT10" s="1">
        <v>0</v>
      </c>
    </row>
    <row r="11" spans="1:46">
      <c r="A11">
        <v>10</v>
      </c>
      <c r="B11" s="186" t="s">
        <v>137</v>
      </c>
      <c r="C11" s="186">
        <v>1</v>
      </c>
      <c r="D11" s="1" t="s">
        <v>150</v>
      </c>
      <c r="F11">
        <v>1009</v>
      </c>
      <c r="J11" s="3">
        <v>10</v>
      </c>
      <c r="K11" s="1" t="s">
        <v>112</v>
      </c>
      <c r="L11" s="3">
        <v>10</v>
      </c>
      <c r="M11" s="3"/>
      <c r="N11">
        <v>10</v>
      </c>
      <c r="O11" t="s">
        <v>738</v>
      </c>
      <c r="P11">
        <v>10</v>
      </c>
      <c r="R11">
        <v>9</v>
      </c>
      <c r="S11" t="s">
        <v>149</v>
      </c>
      <c r="T11">
        <v>9</v>
      </c>
      <c r="U11" s="1">
        <v>17</v>
      </c>
      <c r="V11" s="1">
        <v>67</v>
      </c>
      <c r="W11" s="1">
        <v>40</v>
      </c>
      <c r="X11" s="1">
        <v>40</v>
      </c>
      <c r="Y11" s="1">
        <v>40</v>
      </c>
      <c r="Z11" s="1">
        <v>40</v>
      </c>
      <c r="AA11" s="1">
        <v>39</v>
      </c>
      <c r="AB11" s="1" t="s">
        <v>347</v>
      </c>
      <c r="AC11" s="1">
        <v>7</v>
      </c>
      <c r="AD11" s="1">
        <v>40</v>
      </c>
      <c r="AG11">
        <v>9</v>
      </c>
      <c r="AH11" s="1">
        <v>15</v>
      </c>
      <c r="AI11">
        <v>9</v>
      </c>
      <c r="AJ11" s="1">
        <f t="shared" si="2"/>
        <v>1009</v>
      </c>
      <c r="AK11" s="1">
        <f t="shared" si="3"/>
        <v>2009</v>
      </c>
      <c r="AL11" s="1">
        <f t="shared" si="4"/>
        <v>3009</v>
      </c>
      <c r="AM11" s="1">
        <f t="shared" si="5"/>
        <v>4009</v>
      </c>
      <c r="AN11" s="1">
        <f t="shared" si="6"/>
        <v>5009</v>
      </c>
      <c r="AO11" s="1">
        <f t="shared" si="7"/>
        <v>6009</v>
      </c>
      <c r="AP11" s="1">
        <f t="shared" si="8"/>
        <v>7009</v>
      </c>
      <c r="AQ11" s="1">
        <f t="shared" si="9"/>
        <v>8009</v>
      </c>
      <c r="AR11" s="1">
        <f t="shared" si="10"/>
        <v>9009</v>
      </c>
      <c r="AS11" s="1">
        <f t="shared" si="11"/>
        <v>10009</v>
      </c>
      <c r="AT11" s="1">
        <v>0</v>
      </c>
    </row>
    <row r="12" spans="1:46">
      <c r="A12" s="3">
        <v>11</v>
      </c>
      <c r="B12" s="186" t="s">
        <v>137</v>
      </c>
      <c r="C12" s="186">
        <v>1</v>
      </c>
      <c r="D12" s="1">
        <v>16</v>
      </c>
      <c r="F12">
        <v>1010</v>
      </c>
      <c r="J12" s="3">
        <v>11</v>
      </c>
      <c r="K12" s="1" t="s">
        <v>739</v>
      </c>
      <c r="L12" s="3">
        <v>11</v>
      </c>
      <c r="N12">
        <v>11</v>
      </c>
      <c r="O12" t="s">
        <v>740</v>
      </c>
      <c r="P12">
        <v>11</v>
      </c>
      <c r="R12">
        <v>10</v>
      </c>
      <c r="S12" t="s">
        <v>151</v>
      </c>
      <c r="T12">
        <v>10</v>
      </c>
      <c r="U12" s="1" t="s">
        <v>156</v>
      </c>
      <c r="V12" s="1" t="s">
        <v>708</v>
      </c>
      <c r="W12" s="1" t="s">
        <v>193</v>
      </c>
      <c r="X12" s="1" t="s">
        <v>193</v>
      </c>
      <c r="Y12" s="1" t="s">
        <v>193</v>
      </c>
      <c r="Z12" s="1" t="s">
        <v>193</v>
      </c>
      <c r="AA12" s="1" t="s">
        <v>192</v>
      </c>
      <c r="AB12" s="1" t="s">
        <v>347</v>
      </c>
      <c r="AC12" s="1">
        <v>7</v>
      </c>
      <c r="AD12" s="1" t="s">
        <v>193</v>
      </c>
      <c r="AG12">
        <v>10</v>
      </c>
      <c r="AH12" s="1" t="s">
        <v>150</v>
      </c>
      <c r="AI12">
        <v>10</v>
      </c>
      <c r="AJ12" s="1">
        <f t="shared" si="2"/>
        <v>1010</v>
      </c>
      <c r="AK12" s="1">
        <f t="shared" si="3"/>
        <v>2010</v>
      </c>
      <c r="AL12" s="1">
        <f t="shared" si="4"/>
        <v>3010</v>
      </c>
      <c r="AM12" s="1">
        <f t="shared" si="5"/>
        <v>4010</v>
      </c>
      <c r="AN12" s="1">
        <f t="shared" si="6"/>
        <v>5010</v>
      </c>
      <c r="AO12" s="1">
        <f t="shared" si="7"/>
        <v>6010</v>
      </c>
      <c r="AP12" s="1">
        <f t="shared" si="8"/>
        <v>7010</v>
      </c>
      <c r="AQ12" s="1">
        <f t="shared" si="9"/>
        <v>8010</v>
      </c>
      <c r="AR12" s="1">
        <f t="shared" si="10"/>
        <v>9010</v>
      </c>
      <c r="AS12" s="1">
        <f t="shared" si="11"/>
        <v>10010</v>
      </c>
      <c r="AT12" s="1">
        <v>0</v>
      </c>
    </row>
    <row r="13" spans="1:46">
      <c r="A13">
        <v>12</v>
      </c>
      <c r="B13" s="186" t="s">
        <v>137</v>
      </c>
      <c r="C13" s="186">
        <v>1</v>
      </c>
      <c r="D13" s="1" t="s">
        <v>153</v>
      </c>
      <c r="F13">
        <v>1011</v>
      </c>
      <c r="N13">
        <v>12</v>
      </c>
      <c r="O13" t="s">
        <v>741</v>
      </c>
      <c r="P13">
        <v>12</v>
      </c>
      <c r="R13">
        <v>11</v>
      </c>
      <c r="S13" t="s">
        <v>152</v>
      </c>
      <c r="T13">
        <v>11</v>
      </c>
      <c r="U13" s="1"/>
      <c r="V13" s="1"/>
      <c r="W13" s="1" t="s">
        <v>193</v>
      </c>
      <c r="X13" s="1" t="s">
        <v>193</v>
      </c>
      <c r="Y13" s="1" t="s">
        <v>193</v>
      </c>
      <c r="Z13" s="1" t="s">
        <v>193</v>
      </c>
      <c r="AA13" s="1">
        <v>40</v>
      </c>
      <c r="AC13" s="1"/>
      <c r="AD13" s="1" t="s">
        <v>193</v>
      </c>
      <c r="AG13">
        <v>11</v>
      </c>
      <c r="AH13" s="1">
        <v>16</v>
      </c>
      <c r="AI13">
        <v>11</v>
      </c>
      <c r="AJ13" s="1">
        <f t="shared" si="2"/>
        <v>1011</v>
      </c>
      <c r="AK13" s="1">
        <f t="shared" si="3"/>
        <v>2011</v>
      </c>
      <c r="AL13" s="1">
        <f t="shared" si="4"/>
        <v>3011</v>
      </c>
      <c r="AM13" s="1">
        <f t="shared" si="5"/>
        <v>4011</v>
      </c>
      <c r="AN13" s="1">
        <f t="shared" si="6"/>
        <v>5011</v>
      </c>
      <c r="AO13" s="1">
        <f t="shared" si="7"/>
        <v>6011</v>
      </c>
      <c r="AP13" s="1">
        <f t="shared" si="8"/>
        <v>7011</v>
      </c>
      <c r="AQ13" s="1">
        <f t="shared" si="9"/>
        <v>8011</v>
      </c>
      <c r="AR13" s="1">
        <f t="shared" si="10"/>
        <v>9011</v>
      </c>
      <c r="AS13" s="1">
        <f t="shared" si="11"/>
        <v>10011</v>
      </c>
      <c r="AT13" s="1">
        <v>0</v>
      </c>
    </row>
    <row r="14" spans="1:46">
      <c r="A14" s="3">
        <v>13</v>
      </c>
      <c r="B14" s="186" t="s">
        <v>137</v>
      </c>
      <c r="C14" s="186">
        <v>1</v>
      </c>
      <c r="D14" s="1">
        <v>17</v>
      </c>
      <c r="F14">
        <v>1012</v>
      </c>
      <c r="N14">
        <v>13</v>
      </c>
      <c r="O14" t="s">
        <v>742</v>
      </c>
      <c r="P14">
        <v>13</v>
      </c>
      <c r="R14">
        <v>12</v>
      </c>
      <c r="S14" t="s">
        <v>154</v>
      </c>
      <c r="T14">
        <v>12</v>
      </c>
      <c r="U14" s="1" t="s">
        <v>156</v>
      </c>
      <c r="V14" s="1">
        <v>68</v>
      </c>
      <c r="W14" s="1" t="s">
        <v>193</v>
      </c>
      <c r="X14" s="1" t="s">
        <v>193</v>
      </c>
      <c r="Y14" s="1" t="s">
        <v>193</v>
      </c>
      <c r="Z14" s="1" t="s">
        <v>193</v>
      </c>
      <c r="AA14" s="1">
        <v>40</v>
      </c>
      <c r="AB14" s="1" t="s">
        <v>394</v>
      </c>
      <c r="AC14" s="1">
        <v>7</v>
      </c>
      <c r="AD14" s="1" t="s">
        <v>193</v>
      </c>
      <c r="AG14">
        <v>12</v>
      </c>
      <c r="AH14" s="1" t="s">
        <v>153</v>
      </c>
      <c r="AI14">
        <v>12</v>
      </c>
      <c r="AJ14" s="1">
        <f t="shared" si="2"/>
        <v>1012</v>
      </c>
      <c r="AK14" s="1">
        <f t="shared" si="3"/>
        <v>2012</v>
      </c>
      <c r="AL14" s="1">
        <f t="shared" si="4"/>
        <v>3012</v>
      </c>
      <c r="AM14" s="1">
        <f t="shared" si="5"/>
        <v>4012</v>
      </c>
      <c r="AN14" s="1">
        <f t="shared" si="6"/>
        <v>5012</v>
      </c>
      <c r="AO14" s="1">
        <f t="shared" si="7"/>
        <v>6012</v>
      </c>
      <c r="AP14" s="1">
        <f t="shared" si="8"/>
        <v>7012</v>
      </c>
      <c r="AQ14" s="1">
        <f t="shared" si="9"/>
        <v>8012</v>
      </c>
      <c r="AR14" s="1">
        <f t="shared" si="10"/>
        <v>9012</v>
      </c>
      <c r="AS14" s="1">
        <f t="shared" si="11"/>
        <v>10012</v>
      </c>
      <c r="AT14" s="1">
        <v>0</v>
      </c>
    </row>
    <row r="15" spans="1:46">
      <c r="A15">
        <v>14</v>
      </c>
      <c r="B15" s="186" t="s">
        <v>137</v>
      </c>
      <c r="C15" s="186">
        <v>1</v>
      </c>
      <c r="D15" s="1" t="s">
        <v>156</v>
      </c>
      <c r="F15">
        <v>1013</v>
      </c>
      <c r="N15">
        <v>14</v>
      </c>
      <c r="O15" t="s">
        <v>743</v>
      </c>
      <c r="P15">
        <v>14</v>
      </c>
      <c r="R15">
        <v>13</v>
      </c>
      <c r="S15" t="s">
        <v>155</v>
      </c>
      <c r="T15">
        <v>13</v>
      </c>
      <c r="U15" s="1">
        <v>18</v>
      </c>
      <c r="V15" s="1">
        <v>69</v>
      </c>
      <c r="W15" s="1">
        <v>41</v>
      </c>
      <c r="X15" s="1">
        <v>41</v>
      </c>
      <c r="Y15" s="1">
        <v>41</v>
      </c>
      <c r="Z15" s="1">
        <v>41</v>
      </c>
      <c r="AA15" s="1">
        <v>41</v>
      </c>
      <c r="AB15" s="1" t="s">
        <v>328</v>
      </c>
      <c r="AC15" s="1">
        <v>8</v>
      </c>
      <c r="AD15" s="1">
        <v>41</v>
      </c>
      <c r="AG15">
        <v>13</v>
      </c>
      <c r="AH15" s="1">
        <v>17</v>
      </c>
      <c r="AI15">
        <v>13</v>
      </c>
      <c r="AJ15" s="1">
        <f t="shared" si="2"/>
        <v>1013</v>
      </c>
      <c r="AK15" s="1">
        <f t="shared" si="3"/>
        <v>2013</v>
      </c>
      <c r="AL15" s="1">
        <f t="shared" si="4"/>
        <v>3013</v>
      </c>
      <c r="AM15" s="1">
        <f t="shared" si="5"/>
        <v>4013</v>
      </c>
      <c r="AN15" s="1">
        <f t="shared" si="6"/>
        <v>5013</v>
      </c>
      <c r="AO15" s="1">
        <f t="shared" si="7"/>
        <v>6013</v>
      </c>
      <c r="AP15" s="1">
        <f t="shared" si="8"/>
        <v>7013</v>
      </c>
      <c r="AQ15" s="1">
        <f t="shared" si="9"/>
        <v>8013</v>
      </c>
      <c r="AR15" s="1">
        <f t="shared" si="10"/>
        <v>9013</v>
      </c>
      <c r="AS15" s="1">
        <f t="shared" si="11"/>
        <v>10013</v>
      </c>
      <c r="AT15" s="1">
        <v>0</v>
      </c>
    </row>
    <row r="16" spans="1:46">
      <c r="A16" s="3">
        <v>15</v>
      </c>
      <c r="B16" s="186" t="s">
        <v>137</v>
      </c>
      <c r="C16" s="186">
        <v>1</v>
      </c>
      <c r="D16" s="1">
        <v>18</v>
      </c>
      <c r="F16">
        <v>1014</v>
      </c>
      <c r="N16">
        <v>15</v>
      </c>
      <c r="O16" t="s">
        <v>744</v>
      </c>
      <c r="P16">
        <v>15</v>
      </c>
      <c r="R16">
        <v>14</v>
      </c>
      <c r="S16" t="s">
        <v>157</v>
      </c>
      <c r="T16">
        <v>14</v>
      </c>
      <c r="U16" s="1" t="s">
        <v>159</v>
      </c>
      <c r="V16" s="1" t="s">
        <v>710</v>
      </c>
      <c r="W16" s="1" t="s">
        <v>194</v>
      </c>
      <c r="X16" s="1" t="s">
        <v>194</v>
      </c>
      <c r="Y16" s="1" t="s">
        <v>194</v>
      </c>
      <c r="Z16" s="1" t="s">
        <v>194</v>
      </c>
      <c r="AA16" s="1" t="s">
        <v>194</v>
      </c>
      <c r="AB16" s="1" t="s">
        <v>395</v>
      </c>
      <c r="AC16" s="1" t="s">
        <v>333</v>
      </c>
      <c r="AD16" s="1" t="s">
        <v>194</v>
      </c>
      <c r="AG16">
        <v>14</v>
      </c>
      <c r="AH16" s="1" t="s">
        <v>156</v>
      </c>
      <c r="AI16">
        <v>14</v>
      </c>
      <c r="AJ16" s="1">
        <f t="shared" si="2"/>
        <v>1014</v>
      </c>
      <c r="AK16" s="1">
        <f t="shared" si="3"/>
        <v>2014</v>
      </c>
      <c r="AL16" s="1">
        <f t="shared" si="4"/>
        <v>3014</v>
      </c>
      <c r="AM16" s="1">
        <f t="shared" si="5"/>
        <v>4014</v>
      </c>
      <c r="AN16" s="1">
        <f t="shared" si="6"/>
        <v>5014</v>
      </c>
      <c r="AO16" s="1">
        <f t="shared" si="7"/>
        <v>6014</v>
      </c>
      <c r="AP16" s="1">
        <f t="shared" si="8"/>
        <v>7014</v>
      </c>
      <c r="AQ16" s="1">
        <f t="shared" si="9"/>
        <v>8014</v>
      </c>
      <c r="AR16" s="1">
        <f t="shared" si="10"/>
        <v>9014</v>
      </c>
      <c r="AS16" s="1">
        <f t="shared" si="11"/>
        <v>10014</v>
      </c>
      <c r="AT16" s="1">
        <v>0</v>
      </c>
    </row>
    <row r="17" spans="1:46">
      <c r="A17">
        <v>16</v>
      </c>
      <c r="B17" s="186" t="s">
        <v>137</v>
      </c>
      <c r="C17" s="186">
        <v>1</v>
      </c>
      <c r="D17" s="1" t="s">
        <v>159</v>
      </c>
      <c r="F17">
        <v>1015</v>
      </c>
      <c r="N17">
        <v>16</v>
      </c>
      <c r="O17" t="s">
        <v>745</v>
      </c>
      <c r="P17">
        <v>16</v>
      </c>
      <c r="R17">
        <v>15</v>
      </c>
      <c r="S17" t="s">
        <v>158</v>
      </c>
      <c r="T17">
        <v>15</v>
      </c>
      <c r="U17" s="1">
        <v>19</v>
      </c>
      <c r="V17" s="1">
        <v>70</v>
      </c>
      <c r="W17" s="1">
        <v>42</v>
      </c>
      <c r="X17" s="1">
        <v>42</v>
      </c>
      <c r="Y17" s="1">
        <v>42</v>
      </c>
      <c r="Z17" s="1">
        <v>42</v>
      </c>
      <c r="AA17" s="1">
        <v>42</v>
      </c>
      <c r="AB17" s="1" t="s">
        <v>395</v>
      </c>
      <c r="AC17" s="1" t="s">
        <v>333</v>
      </c>
      <c r="AD17" s="1">
        <v>42</v>
      </c>
      <c r="AG17">
        <v>15</v>
      </c>
      <c r="AH17" s="1">
        <v>18</v>
      </c>
      <c r="AI17">
        <v>15</v>
      </c>
      <c r="AJ17" s="1">
        <f t="shared" si="2"/>
        <v>1015</v>
      </c>
      <c r="AK17" s="1">
        <f t="shared" si="3"/>
        <v>2015</v>
      </c>
      <c r="AL17" s="1">
        <f t="shared" si="4"/>
        <v>3015</v>
      </c>
      <c r="AM17" s="1">
        <f t="shared" si="5"/>
        <v>4015</v>
      </c>
      <c r="AN17" s="1">
        <f t="shared" si="6"/>
        <v>5015</v>
      </c>
      <c r="AO17" s="1">
        <f t="shared" si="7"/>
        <v>6015</v>
      </c>
      <c r="AP17" s="1">
        <f t="shared" si="8"/>
        <v>7015</v>
      </c>
      <c r="AQ17" s="1">
        <f t="shared" si="9"/>
        <v>8015</v>
      </c>
      <c r="AR17" s="1">
        <f t="shared" si="10"/>
        <v>9015</v>
      </c>
      <c r="AS17" s="1">
        <f t="shared" si="11"/>
        <v>10015</v>
      </c>
      <c r="AT17" s="1">
        <v>0</v>
      </c>
    </row>
    <row r="18" spans="1:46">
      <c r="A18" s="3">
        <v>17</v>
      </c>
      <c r="B18" s="186" t="s">
        <v>137</v>
      </c>
      <c r="C18" s="186">
        <v>1</v>
      </c>
      <c r="D18" s="1">
        <v>19</v>
      </c>
      <c r="F18">
        <v>1016</v>
      </c>
      <c r="R18">
        <v>16</v>
      </c>
      <c r="S18" t="s">
        <v>160</v>
      </c>
      <c r="T18">
        <v>16</v>
      </c>
      <c r="U18" s="1"/>
      <c r="V18" s="1"/>
      <c r="W18" s="1" t="s">
        <v>195</v>
      </c>
      <c r="X18" s="1" t="s">
        <v>195</v>
      </c>
      <c r="Y18" s="1" t="s">
        <v>195</v>
      </c>
      <c r="Z18" s="1" t="s">
        <v>195</v>
      </c>
      <c r="AA18" s="1" t="s">
        <v>195</v>
      </c>
      <c r="AC18" s="1"/>
      <c r="AD18" s="1" t="s">
        <v>195</v>
      </c>
      <c r="AG18">
        <v>16</v>
      </c>
      <c r="AH18" s="1" t="s">
        <v>159</v>
      </c>
      <c r="AI18">
        <v>16</v>
      </c>
      <c r="AJ18" s="1">
        <f t="shared" si="2"/>
        <v>1016</v>
      </c>
      <c r="AK18" s="1">
        <f t="shared" si="3"/>
        <v>2016</v>
      </c>
      <c r="AL18" s="1">
        <f t="shared" si="4"/>
        <v>3016</v>
      </c>
      <c r="AM18" s="1">
        <f t="shared" si="5"/>
        <v>4016</v>
      </c>
      <c r="AN18" s="1">
        <f t="shared" si="6"/>
        <v>5016</v>
      </c>
      <c r="AO18" s="1">
        <f t="shared" si="7"/>
        <v>6016</v>
      </c>
      <c r="AP18" s="1">
        <f t="shared" si="8"/>
        <v>7016</v>
      </c>
      <c r="AQ18" s="1">
        <f t="shared" si="9"/>
        <v>8016</v>
      </c>
      <c r="AR18" s="1">
        <f t="shared" si="10"/>
        <v>9016</v>
      </c>
      <c r="AS18" s="1">
        <f t="shared" si="11"/>
        <v>10016</v>
      </c>
      <c r="AT18" s="1">
        <v>0</v>
      </c>
    </row>
    <row r="19" spans="1:46">
      <c r="A19">
        <v>18</v>
      </c>
      <c r="B19" s="186" t="s">
        <v>137</v>
      </c>
      <c r="C19" s="186">
        <v>1</v>
      </c>
      <c r="D19" s="1" t="s">
        <v>162</v>
      </c>
      <c r="F19">
        <v>1017</v>
      </c>
      <c r="R19">
        <v>17</v>
      </c>
      <c r="S19" t="s">
        <v>161</v>
      </c>
      <c r="T19">
        <v>17</v>
      </c>
      <c r="U19" s="1">
        <v>19</v>
      </c>
      <c r="V19" s="1" t="s">
        <v>711</v>
      </c>
      <c r="W19" s="1" t="s">
        <v>195</v>
      </c>
      <c r="X19" s="1" t="s">
        <v>195</v>
      </c>
      <c r="Y19" s="1" t="s">
        <v>195</v>
      </c>
      <c r="Z19" s="1" t="s">
        <v>195</v>
      </c>
      <c r="AA19" s="1" t="s">
        <v>195</v>
      </c>
      <c r="AB19" s="1" t="s">
        <v>395</v>
      </c>
      <c r="AC19" s="1" t="s">
        <v>333</v>
      </c>
      <c r="AD19" s="1" t="s">
        <v>195</v>
      </c>
      <c r="AG19">
        <v>17</v>
      </c>
      <c r="AH19" s="1">
        <v>19</v>
      </c>
      <c r="AI19">
        <v>17</v>
      </c>
      <c r="AJ19" s="1">
        <f t="shared" si="2"/>
        <v>1017</v>
      </c>
      <c r="AK19" s="1">
        <f t="shared" si="3"/>
        <v>2017</v>
      </c>
      <c r="AL19" s="1">
        <f t="shared" si="4"/>
        <v>3017</v>
      </c>
      <c r="AM19" s="1">
        <f t="shared" si="5"/>
        <v>4017</v>
      </c>
      <c r="AN19" s="1">
        <f t="shared" si="6"/>
        <v>5017</v>
      </c>
      <c r="AO19" s="1">
        <f t="shared" si="7"/>
        <v>6017</v>
      </c>
      <c r="AP19" s="1">
        <f t="shared" si="8"/>
        <v>7017</v>
      </c>
      <c r="AQ19" s="1">
        <f t="shared" si="9"/>
        <v>8017</v>
      </c>
      <c r="AR19" s="1">
        <f t="shared" si="10"/>
        <v>9017</v>
      </c>
      <c r="AS19" s="1">
        <f t="shared" si="11"/>
        <v>10017</v>
      </c>
      <c r="AT19" s="1">
        <v>0</v>
      </c>
    </row>
    <row r="20" spans="1:46">
      <c r="A20" s="3">
        <v>19</v>
      </c>
      <c r="B20" s="186" t="s">
        <v>137</v>
      </c>
      <c r="C20" s="186">
        <v>1</v>
      </c>
      <c r="D20" s="1">
        <v>20</v>
      </c>
      <c r="F20">
        <v>1018</v>
      </c>
      <c r="R20">
        <v>18</v>
      </c>
      <c r="S20" t="s">
        <v>163</v>
      </c>
      <c r="T20">
        <v>18</v>
      </c>
      <c r="U20" s="1">
        <v>20</v>
      </c>
      <c r="V20" s="1" t="s">
        <v>711</v>
      </c>
      <c r="W20" s="1" t="s">
        <v>195</v>
      </c>
      <c r="X20" s="1" t="s">
        <v>195</v>
      </c>
      <c r="Y20" s="1" t="s">
        <v>195</v>
      </c>
      <c r="Z20" s="1" t="s">
        <v>195</v>
      </c>
      <c r="AA20" s="1" t="s">
        <v>195</v>
      </c>
      <c r="AB20" s="1" t="s">
        <v>329</v>
      </c>
      <c r="AC20" s="1">
        <v>9</v>
      </c>
      <c r="AD20" s="1" t="s">
        <v>195</v>
      </c>
      <c r="AG20">
        <v>18</v>
      </c>
      <c r="AH20" s="1" t="s">
        <v>162</v>
      </c>
      <c r="AI20">
        <v>18</v>
      </c>
      <c r="AJ20" s="1">
        <f t="shared" si="2"/>
        <v>1018</v>
      </c>
      <c r="AK20" s="1">
        <f t="shared" si="3"/>
        <v>2018</v>
      </c>
      <c r="AL20" s="1">
        <f t="shared" si="4"/>
        <v>3018</v>
      </c>
      <c r="AM20" s="1">
        <f t="shared" si="5"/>
        <v>4018</v>
      </c>
      <c r="AN20" s="1">
        <f t="shared" si="6"/>
        <v>5018</v>
      </c>
      <c r="AO20" s="1">
        <f t="shared" si="7"/>
        <v>6018</v>
      </c>
      <c r="AP20" s="1">
        <f t="shared" si="8"/>
        <v>7018</v>
      </c>
      <c r="AQ20" s="1">
        <f t="shared" si="9"/>
        <v>8018</v>
      </c>
      <c r="AR20" s="1">
        <f t="shared" si="10"/>
        <v>9018</v>
      </c>
      <c r="AS20" s="1">
        <f t="shared" si="11"/>
        <v>10018</v>
      </c>
      <c r="AT20" s="1">
        <v>0</v>
      </c>
    </row>
    <row r="21" spans="1:46">
      <c r="A21">
        <v>20</v>
      </c>
      <c r="B21" s="186" t="s">
        <v>137</v>
      </c>
      <c r="C21" s="186">
        <v>1</v>
      </c>
      <c r="D21" s="1" t="s">
        <v>165</v>
      </c>
      <c r="F21">
        <v>1019</v>
      </c>
      <c r="R21">
        <v>19</v>
      </c>
      <c r="S21" t="s">
        <v>164</v>
      </c>
      <c r="T21">
        <v>19</v>
      </c>
      <c r="U21" s="1" t="s">
        <v>165</v>
      </c>
      <c r="V21" s="1" t="s">
        <v>711</v>
      </c>
      <c r="W21" s="1">
        <v>43</v>
      </c>
      <c r="X21" s="1">
        <v>43</v>
      </c>
      <c r="Y21" s="1">
        <v>43</v>
      </c>
      <c r="Z21" s="1">
        <v>43</v>
      </c>
      <c r="AA21" s="1">
        <v>43</v>
      </c>
      <c r="AB21" s="1" t="s">
        <v>332</v>
      </c>
      <c r="AC21" s="1">
        <v>10</v>
      </c>
      <c r="AD21" s="1">
        <v>43</v>
      </c>
      <c r="AG21">
        <v>19</v>
      </c>
      <c r="AH21" s="1">
        <v>20</v>
      </c>
      <c r="AI21">
        <v>19</v>
      </c>
      <c r="AJ21" s="1">
        <f t="shared" si="2"/>
        <v>1019</v>
      </c>
      <c r="AK21" s="1">
        <f t="shared" si="3"/>
        <v>2019</v>
      </c>
      <c r="AL21" s="1">
        <f t="shared" si="4"/>
        <v>3019</v>
      </c>
      <c r="AM21" s="1">
        <f t="shared" si="5"/>
        <v>4019</v>
      </c>
      <c r="AN21" s="1">
        <f t="shared" si="6"/>
        <v>5019</v>
      </c>
      <c r="AO21" s="1">
        <f t="shared" si="7"/>
        <v>6019</v>
      </c>
      <c r="AP21" s="1">
        <f t="shared" si="8"/>
        <v>7019</v>
      </c>
      <c r="AQ21" s="1">
        <f t="shared" si="9"/>
        <v>8019</v>
      </c>
      <c r="AR21" s="1">
        <f t="shared" si="10"/>
        <v>9019</v>
      </c>
      <c r="AS21" s="1">
        <f t="shared" si="11"/>
        <v>10019</v>
      </c>
      <c r="AT21" s="1">
        <v>0</v>
      </c>
    </row>
    <row r="22" spans="1:46">
      <c r="A22" s="3">
        <v>21</v>
      </c>
      <c r="B22" s="186" t="s">
        <v>137</v>
      </c>
      <c r="C22" s="186">
        <v>1</v>
      </c>
      <c r="D22" s="1">
        <v>21</v>
      </c>
      <c r="F22">
        <v>1020</v>
      </c>
      <c r="R22">
        <v>20</v>
      </c>
      <c r="S22" t="s">
        <v>166</v>
      </c>
      <c r="T22">
        <v>20</v>
      </c>
      <c r="U22" s="1">
        <v>21</v>
      </c>
      <c r="V22" s="1">
        <v>71</v>
      </c>
      <c r="W22" s="1" t="s">
        <v>196</v>
      </c>
      <c r="X22" s="1" t="s">
        <v>196</v>
      </c>
      <c r="Y22" s="1" t="s">
        <v>196</v>
      </c>
      <c r="Z22" s="1" t="s">
        <v>196</v>
      </c>
      <c r="AA22" s="1" t="s">
        <v>196</v>
      </c>
      <c r="AB22" s="1" t="s">
        <v>330</v>
      </c>
      <c r="AC22" s="1" t="s">
        <v>389</v>
      </c>
      <c r="AD22" s="1" t="s">
        <v>196</v>
      </c>
      <c r="AG22">
        <v>20</v>
      </c>
      <c r="AH22" s="1" t="s">
        <v>165</v>
      </c>
      <c r="AI22">
        <v>20</v>
      </c>
      <c r="AJ22" s="1">
        <f t="shared" si="2"/>
        <v>1020</v>
      </c>
      <c r="AK22" s="1">
        <f t="shared" si="3"/>
        <v>2020</v>
      </c>
      <c r="AL22" s="1">
        <f t="shared" si="4"/>
        <v>3020</v>
      </c>
      <c r="AM22" s="1">
        <f t="shared" si="5"/>
        <v>4020</v>
      </c>
      <c r="AN22" s="1">
        <f t="shared" si="6"/>
        <v>5020</v>
      </c>
      <c r="AO22" s="1">
        <f t="shared" si="7"/>
        <v>6020</v>
      </c>
      <c r="AP22" s="1">
        <f t="shared" si="8"/>
        <v>7020</v>
      </c>
      <c r="AQ22" s="1">
        <f t="shared" si="9"/>
        <v>8020</v>
      </c>
      <c r="AR22" s="1">
        <f t="shared" si="10"/>
        <v>9020</v>
      </c>
      <c r="AS22" s="1">
        <f t="shared" si="11"/>
        <v>10020</v>
      </c>
      <c r="AT22" s="1">
        <v>0</v>
      </c>
    </row>
    <row r="23" spans="1:46">
      <c r="A23">
        <v>22</v>
      </c>
      <c r="B23" s="186" t="s">
        <v>137</v>
      </c>
      <c r="C23" s="186">
        <v>1</v>
      </c>
      <c r="D23" s="1" t="s">
        <v>168</v>
      </c>
      <c r="F23">
        <v>1021</v>
      </c>
      <c r="R23">
        <v>21</v>
      </c>
      <c r="S23" t="s">
        <v>167</v>
      </c>
      <c r="T23">
        <v>21</v>
      </c>
      <c r="U23" s="1" t="s">
        <v>168</v>
      </c>
      <c r="V23" s="1" t="s">
        <v>712</v>
      </c>
      <c r="W23" s="1">
        <v>44</v>
      </c>
      <c r="X23" s="1">
        <v>44</v>
      </c>
      <c r="Y23" s="1">
        <v>44</v>
      </c>
      <c r="Z23" s="1">
        <v>44</v>
      </c>
      <c r="AA23" s="1">
        <v>44</v>
      </c>
      <c r="AB23" s="1" t="s">
        <v>331</v>
      </c>
      <c r="AC23" s="1"/>
      <c r="AD23" s="1">
        <v>44</v>
      </c>
      <c r="AG23">
        <v>21</v>
      </c>
      <c r="AH23" s="1">
        <v>21</v>
      </c>
      <c r="AI23">
        <v>21</v>
      </c>
      <c r="AJ23" s="1">
        <f t="shared" si="2"/>
        <v>1021</v>
      </c>
      <c r="AK23" s="1">
        <f t="shared" si="3"/>
        <v>2021</v>
      </c>
      <c r="AL23" s="1">
        <f t="shared" si="4"/>
        <v>3021</v>
      </c>
      <c r="AM23" s="1">
        <f t="shared" si="5"/>
        <v>4021</v>
      </c>
      <c r="AN23" s="1">
        <f t="shared" si="6"/>
        <v>5021</v>
      </c>
      <c r="AO23" s="1">
        <f t="shared" si="7"/>
        <v>6021</v>
      </c>
      <c r="AP23" s="1">
        <f t="shared" si="8"/>
        <v>7021</v>
      </c>
      <c r="AQ23" s="1">
        <f t="shared" si="9"/>
        <v>8021</v>
      </c>
      <c r="AR23" s="1">
        <f t="shared" si="10"/>
        <v>9021</v>
      </c>
      <c r="AS23" s="1">
        <f t="shared" si="11"/>
        <v>10021</v>
      </c>
      <c r="AT23" s="1">
        <v>0</v>
      </c>
    </row>
    <row r="24" spans="1:46">
      <c r="A24" s="3">
        <v>23</v>
      </c>
      <c r="B24" s="186" t="s">
        <v>137</v>
      </c>
      <c r="C24" s="186">
        <v>1</v>
      </c>
      <c r="D24" s="1">
        <v>22</v>
      </c>
      <c r="F24">
        <v>1022</v>
      </c>
      <c r="R24">
        <v>22</v>
      </c>
      <c r="S24" t="s">
        <v>169</v>
      </c>
      <c r="T24">
        <v>22</v>
      </c>
      <c r="U24" s="1">
        <v>22</v>
      </c>
      <c r="V24" s="1">
        <v>72</v>
      </c>
      <c r="W24" s="1" t="s">
        <v>197</v>
      </c>
      <c r="X24" s="1" t="s">
        <v>197</v>
      </c>
      <c r="Y24" s="1" t="s">
        <v>197</v>
      </c>
      <c r="Z24" s="1" t="s">
        <v>197</v>
      </c>
      <c r="AA24" s="1" t="s">
        <v>197</v>
      </c>
      <c r="AC24" s="1"/>
      <c r="AD24" s="1" t="s">
        <v>197</v>
      </c>
      <c r="AG24">
        <v>22</v>
      </c>
      <c r="AH24" s="1" t="s">
        <v>168</v>
      </c>
      <c r="AI24">
        <v>22</v>
      </c>
      <c r="AJ24" s="1">
        <f t="shared" si="2"/>
        <v>1022</v>
      </c>
      <c r="AK24" s="1">
        <f t="shared" si="3"/>
        <v>2022</v>
      </c>
      <c r="AL24" s="1">
        <f t="shared" si="4"/>
        <v>3022</v>
      </c>
      <c r="AM24" s="1">
        <f t="shared" si="5"/>
        <v>4022</v>
      </c>
      <c r="AN24" s="1">
        <f t="shared" si="6"/>
        <v>5022</v>
      </c>
      <c r="AO24" s="1">
        <f t="shared" si="7"/>
        <v>6022</v>
      </c>
      <c r="AP24" s="1">
        <f t="shared" si="8"/>
        <v>7022</v>
      </c>
      <c r="AQ24" s="1">
        <f t="shared" si="9"/>
        <v>8022</v>
      </c>
      <c r="AR24" s="1">
        <f t="shared" si="10"/>
        <v>9022</v>
      </c>
      <c r="AS24" s="1">
        <f t="shared" si="11"/>
        <v>10022</v>
      </c>
      <c r="AT24" s="1">
        <v>0</v>
      </c>
    </row>
    <row r="25" spans="1:46">
      <c r="A25">
        <v>24</v>
      </c>
      <c r="B25" s="186" t="s">
        <v>137</v>
      </c>
      <c r="C25" s="186">
        <v>1</v>
      </c>
      <c r="D25" s="1" t="s">
        <v>171</v>
      </c>
      <c r="F25">
        <v>1023</v>
      </c>
      <c r="R25">
        <v>23</v>
      </c>
      <c r="S25" t="s">
        <v>170</v>
      </c>
      <c r="T25">
        <v>23</v>
      </c>
      <c r="U25" s="1">
        <v>23</v>
      </c>
      <c r="V25" s="1">
        <v>73</v>
      </c>
      <c r="W25" s="1">
        <v>45</v>
      </c>
      <c r="X25" s="1">
        <v>45</v>
      </c>
      <c r="Y25" s="1">
        <v>45</v>
      </c>
      <c r="Z25" s="1">
        <v>45</v>
      </c>
      <c r="AA25" s="1">
        <v>45</v>
      </c>
      <c r="AB25" s="1" t="s">
        <v>287</v>
      </c>
      <c r="AC25" s="1" t="s">
        <v>141</v>
      </c>
      <c r="AD25" s="1">
        <v>45</v>
      </c>
      <c r="AG25">
        <v>23</v>
      </c>
      <c r="AH25" s="1">
        <v>22</v>
      </c>
      <c r="AI25">
        <v>23</v>
      </c>
      <c r="AJ25" s="1">
        <f t="shared" si="2"/>
        <v>1023</v>
      </c>
      <c r="AK25" s="1">
        <f t="shared" si="3"/>
        <v>2023</v>
      </c>
      <c r="AL25" s="1">
        <f t="shared" si="4"/>
        <v>3023</v>
      </c>
      <c r="AM25" s="1">
        <f t="shared" si="5"/>
        <v>4023</v>
      </c>
      <c r="AN25" s="1">
        <f t="shared" si="6"/>
        <v>5023</v>
      </c>
      <c r="AO25" s="1">
        <f t="shared" si="7"/>
        <v>6023</v>
      </c>
      <c r="AP25" s="1">
        <f t="shared" si="8"/>
        <v>7023</v>
      </c>
      <c r="AQ25" s="1">
        <f t="shared" si="9"/>
        <v>8023</v>
      </c>
      <c r="AR25" s="1">
        <f t="shared" si="10"/>
        <v>9023</v>
      </c>
      <c r="AS25" s="1">
        <f t="shared" si="11"/>
        <v>10023</v>
      </c>
      <c r="AT25" s="1">
        <v>0</v>
      </c>
    </row>
    <row r="26" spans="1:46">
      <c r="A26" s="3">
        <v>25</v>
      </c>
      <c r="B26" s="186" t="s">
        <v>137</v>
      </c>
      <c r="C26" s="186">
        <v>1</v>
      </c>
      <c r="D26" s="1">
        <v>23</v>
      </c>
      <c r="F26">
        <v>1024</v>
      </c>
      <c r="R26">
        <v>24</v>
      </c>
      <c r="S26" t="s">
        <v>172</v>
      </c>
      <c r="T26">
        <v>24</v>
      </c>
      <c r="U26" s="1" t="s">
        <v>174</v>
      </c>
      <c r="V26" s="1" t="s">
        <v>714</v>
      </c>
      <c r="W26" s="1" t="s">
        <v>198</v>
      </c>
      <c r="X26" s="1" t="s">
        <v>198</v>
      </c>
      <c r="Y26" s="1" t="s">
        <v>198</v>
      </c>
      <c r="Z26" s="1" t="s">
        <v>198</v>
      </c>
      <c r="AA26" s="1" t="s">
        <v>198</v>
      </c>
      <c r="AB26" s="1" t="s">
        <v>287</v>
      </c>
      <c r="AC26" s="1" t="s">
        <v>141</v>
      </c>
      <c r="AD26" s="1" t="s">
        <v>198</v>
      </c>
      <c r="AG26">
        <v>24</v>
      </c>
      <c r="AH26" s="1" t="s">
        <v>171</v>
      </c>
      <c r="AI26">
        <v>24</v>
      </c>
      <c r="AJ26" s="1">
        <f t="shared" si="2"/>
        <v>1024</v>
      </c>
      <c r="AK26" s="1">
        <f t="shared" si="3"/>
        <v>2024</v>
      </c>
      <c r="AL26" s="1">
        <f t="shared" si="4"/>
        <v>3024</v>
      </c>
      <c r="AM26" s="1">
        <f t="shared" si="5"/>
        <v>4024</v>
      </c>
      <c r="AN26" s="1">
        <f t="shared" si="6"/>
        <v>5024</v>
      </c>
      <c r="AO26" s="1">
        <f t="shared" si="7"/>
        <v>6024</v>
      </c>
      <c r="AP26" s="1">
        <f t="shared" si="8"/>
        <v>7024</v>
      </c>
      <c r="AQ26" s="1">
        <f t="shared" si="9"/>
        <v>8024</v>
      </c>
      <c r="AR26" s="1">
        <f t="shared" si="10"/>
        <v>9024</v>
      </c>
      <c r="AS26" s="1">
        <f t="shared" si="11"/>
        <v>10024</v>
      </c>
      <c r="AT26" s="1">
        <v>0</v>
      </c>
    </row>
    <row r="27" spans="1:46">
      <c r="A27">
        <v>26</v>
      </c>
      <c r="B27" s="186" t="s">
        <v>137</v>
      </c>
      <c r="C27" s="186">
        <v>1</v>
      </c>
      <c r="D27" s="1" t="s">
        <v>174</v>
      </c>
      <c r="F27">
        <v>1025</v>
      </c>
      <c r="R27">
        <v>25</v>
      </c>
      <c r="S27" t="s">
        <v>173</v>
      </c>
      <c r="T27">
        <v>25</v>
      </c>
      <c r="U27" s="1" t="s">
        <v>174</v>
      </c>
      <c r="V27" s="1" t="s">
        <v>714</v>
      </c>
      <c r="W27" s="1" t="s">
        <v>198</v>
      </c>
      <c r="X27" s="1" t="s">
        <v>198</v>
      </c>
      <c r="Y27" s="1" t="s">
        <v>198</v>
      </c>
      <c r="Z27" s="1" t="s">
        <v>198</v>
      </c>
      <c r="AA27" s="1" t="s">
        <v>198</v>
      </c>
      <c r="AB27" s="1" t="s">
        <v>287</v>
      </c>
      <c r="AC27" s="1" t="s">
        <v>141</v>
      </c>
      <c r="AD27" s="1" t="s">
        <v>198</v>
      </c>
      <c r="AG27">
        <v>25</v>
      </c>
      <c r="AH27" s="1">
        <v>23</v>
      </c>
      <c r="AI27">
        <v>25</v>
      </c>
      <c r="AJ27" s="1">
        <f t="shared" si="2"/>
        <v>1025</v>
      </c>
      <c r="AK27" s="1">
        <f t="shared" si="3"/>
        <v>2025</v>
      </c>
      <c r="AL27" s="1">
        <f t="shared" si="4"/>
        <v>3025</v>
      </c>
      <c r="AM27" s="1">
        <f t="shared" si="5"/>
        <v>4025</v>
      </c>
      <c r="AN27" s="1">
        <f t="shared" si="6"/>
        <v>5025</v>
      </c>
      <c r="AO27" s="1">
        <f t="shared" si="7"/>
        <v>6025</v>
      </c>
      <c r="AP27" s="1">
        <f t="shared" si="8"/>
        <v>7025</v>
      </c>
      <c r="AQ27" s="1">
        <f t="shared" si="9"/>
        <v>8025</v>
      </c>
      <c r="AR27" s="1">
        <f t="shared" si="10"/>
        <v>9025</v>
      </c>
      <c r="AS27" s="1">
        <f t="shared" si="11"/>
        <v>10025</v>
      </c>
      <c r="AT27" s="1">
        <v>0</v>
      </c>
    </row>
    <row r="28" spans="1:46">
      <c r="A28" s="3">
        <v>27</v>
      </c>
      <c r="B28" s="186" t="s">
        <v>137</v>
      </c>
      <c r="C28" s="186">
        <v>1</v>
      </c>
      <c r="D28" s="1">
        <v>24</v>
      </c>
      <c r="F28">
        <v>1026</v>
      </c>
      <c r="R28">
        <v>26</v>
      </c>
      <c r="S28" t="s">
        <v>175</v>
      </c>
      <c r="T28">
        <v>26</v>
      </c>
      <c r="U28" s="1" t="s">
        <v>174</v>
      </c>
      <c r="V28" s="1" t="s">
        <v>714</v>
      </c>
      <c r="W28" s="1" t="s">
        <v>198</v>
      </c>
      <c r="X28" s="1" t="s">
        <v>198</v>
      </c>
      <c r="Y28" s="1" t="s">
        <v>198</v>
      </c>
      <c r="Z28" s="1" t="s">
        <v>198</v>
      </c>
      <c r="AA28" s="1" t="s">
        <v>198</v>
      </c>
      <c r="AB28" s="1" t="s">
        <v>287</v>
      </c>
      <c r="AC28" s="1"/>
      <c r="AD28" s="1" t="s">
        <v>198</v>
      </c>
      <c r="AG28">
        <v>26</v>
      </c>
      <c r="AH28" s="1" t="s">
        <v>174</v>
      </c>
      <c r="AI28">
        <v>26</v>
      </c>
      <c r="AJ28" s="1">
        <f t="shared" si="2"/>
        <v>1026</v>
      </c>
      <c r="AK28" s="1">
        <f t="shared" si="3"/>
        <v>2026</v>
      </c>
      <c r="AL28" s="1">
        <f t="shared" si="4"/>
        <v>3026</v>
      </c>
      <c r="AM28" s="1">
        <f t="shared" si="5"/>
        <v>4026</v>
      </c>
      <c r="AN28" s="1">
        <f t="shared" si="6"/>
        <v>5026</v>
      </c>
      <c r="AO28" s="1">
        <f t="shared" si="7"/>
        <v>6026</v>
      </c>
      <c r="AP28" s="1">
        <f t="shared" si="8"/>
        <v>7026</v>
      </c>
      <c r="AQ28" s="1">
        <f t="shared" si="9"/>
        <v>8026</v>
      </c>
      <c r="AR28" s="1">
        <f t="shared" si="10"/>
        <v>9026</v>
      </c>
      <c r="AS28" s="1">
        <f t="shared" si="11"/>
        <v>10026</v>
      </c>
      <c r="AT28" s="1">
        <v>0</v>
      </c>
    </row>
    <row r="29" spans="1:46">
      <c r="A29">
        <v>28</v>
      </c>
      <c r="B29" s="186" t="s">
        <v>137</v>
      </c>
      <c r="C29" s="186">
        <v>1</v>
      </c>
      <c r="D29" s="1" t="s">
        <v>177</v>
      </c>
      <c r="F29">
        <v>1027</v>
      </c>
      <c r="R29">
        <v>27</v>
      </c>
      <c r="S29" t="s">
        <v>176</v>
      </c>
      <c r="T29">
        <v>27</v>
      </c>
      <c r="U29" s="1" t="s">
        <v>177</v>
      </c>
      <c r="V29" s="1" t="s">
        <v>715</v>
      </c>
      <c r="W29" s="1" t="s">
        <v>198</v>
      </c>
      <c r="X29" s="1" t="s">
        <v>198</v>
      </c>
      <c r="Y29" s="1" t="s">
        <v>198</v>
      </c>
      <c r="Z29" s="1" t="s">
        <v>198</v>
      </c>
      <c r="AA29" s="1" t="s">
        <v>198</v>
      </c>
      <c r="AB29" s="1" t="s">
        <v>287</v>
      </c>
      <c r="AC29" s="1"/>
      <c r="AD29" s="1" t="s">
        <v>198</v>
      </c>
      <c r="AG29">
        <v>27</v>
      </c>
      <c r="AH29" s="1">
        <v>24</v>
      </c>
      <c r="AI29">
        <v>27</v>
      </c>
      <c r="AJ29" s="1">
        <f t="shared" si="2"/>
        <v>1027</v>
      </c>
      <c r="AK29" s="1">
        <f t="shared" si="3"/>
        <v>2027</v>
      </c>
      <c r="AL29" s="1">
        <f t="shared" si="4"/>
        <v>3027</v>
      </c>
      <c r="AM29" s="1">
        <f t="shared" si="5"/>
        <v>4027</v>
      </c>
      <c r="AN29" s="1">
        <f t="shared" si="6"/>
        <v>5027</v>
      </c>
      <c r="AO29" s="1">
        <f t="shared" si="7"/>
        <v>6027</v>
      </c>
      <c r="AP29" s="1">
        <f t="shared" si="8"/>
        <v>7027</v>
      </c>
      <c r="AQ29" s="1">
        <f t="shared" si="9"/>
        <v>8027</v>
      </c>
      <c r="AR29" s="1">
        <f t="shared" si="10"/>
        <v>9027</v>
      </c>
      <c r="AS29" s="1">
        <f t="shared" si="11"/>
        <v>10027</v>
      </c>
      <c r="AT29" s="1">
        <v>0</v>
      </c>
    </row>
    <row r="30" spans="1:46">
      <c r="A30" s="3">
        <v>29</v>
      </c>
      <c r="B30" s="186" t="s">
        <v>137</v>
      </c>
      <c r="C30" s="186">
        <v>1</v>
      </c>
      <c r="D30" s="1">
        <v>25</v>
      </c>
      <c r="F30">
        <v>1028</v>
      </c>
      <c r="R30">
        <v>28</v>
      </c>
      <c r="S30" t="s">
        <v>178</v>
      </c>
      <c r="T30">
        <v>28</v>
      </c>
      <c r="U30" s="1">
        <v>25</v>
      </c>
      <c r="V30" s="1">
        <v>75</v>
      </c>
      <c r="W30" s="1">
        <v>46</v>
      </c>
      <c r="X30" s="1">
        <v>46</v>
      </c>
      <c r="Y30" s="1">
        <v>46</v>
      </c>
      <c r="Z30" s="1">
        <v>46</v>
      </c>
      <c r="AA30" s="1">
        <v>46</v>
      </c>
      <c r="AB30" s="1" t="s">
        <v>746</v>
      </c>
      <c r="AC30" s="1"/>
      <c r="AD30" s="1">
        <v>46</v>
      </c>
      <c r="AG30">
        <v>28</v>
      </c>
      <c r="AH30" s="1" t="s">
        <v>177</v>
      </c>
      <c r="AI30">
        <v>28</v>
      </c>
      <c r="AJ30" s="1">
        <f t="shared" si="2"/>
        <v>1028</v>
      </c>
      <c r="AK30" s="1">
        <f t="shared" si="3"/>
        <v>2028</v>
      </c>
      <c r="AL30" s="1">
        <f t="shared" si="4"/>
        <v>3028</v>
      </c>
      <c r="AM30" s="1">
        <f t="shared" si="5"/>
        <v>4028</v>
      </c>
      <c r="AN30" s="1">
        <f t="shared" si="6"/>
        <v>5028</v>
      </c>
      <c r="AO30" s="1">
        <f t="shared" si="7"/>
        <v>6028</v>
      </c>
      <c r="AP30" s="1">
        <f t="shared" si="8"/>
        <v>7028</v>
      </c>
      <c r="AQ30" s="1">
        <f t="shared" si="9"/>
        <v>8028</v>
      </c>
      <c r="AR30" s="1">
        <f t="shared" si="10"/>
        <v>9028</v>
      </c>
      <c r="AS30" s="1">
        <f t="shared" si="11"/>
        <v>10028</v>
      </c>
      <c r="AT30" s="1">
        <v>0</v>
      </c>
    </row>
    <row r="31" spans="1:46">
      <c r="A31">
        <v>30</v>
      </c>
      <c r="B31" s="186" t="s">
        <v>137</v>
      </c>
      <c r="C31" s="186">
        <v>1</v>
      </c>
      <c r="D31" s="1" t="s">
        <v>180</v>
      </c>
      <c r="F31">
        <v>1029</v>
      </c>
      <c r="R31">
        <v>29</v>
      </c>
      <c r="S31" t="s">
        <v>179</v>
      </c>
      <c r="T31">
        <v>29</v>
      </c>
      <c r="U31" s="1" t="s">
        <v>180</v>
      </c>
      <c r="V31" s="1" t="s">
        <v>716</v>
      </c>
      <c r="W31" s="1" t="s">
        <v>199</v>
      </c>
      <c r="X31" s="1" t="s">
        <v>199</v>
      </c>
      <c r="Y31" s="1" t="s">
        <v>199</v>
      </c>
      <c r="Z31" s="1" t="s">
        <v>199</v>
      </c>
      <c r="AA31" s="1" t="s">
        <v>199</v>
      </c>
      <c r="AB31" s="1" t="s">
        <v>288</v>
      </c>
      <c r="AC31" s="1"/>
      <c r="AD31" s="1" t="s">
        <v>199</v>
      </c>
      <c r="AG31">
        <v>29</v>
      </c>
      <c r="AH31" s="1">
        <v>25</v>
      </c>
      <c r="AI31">
        <v>29</v>
      </c>
      <c r="AJ31" s="1">
        <f t="shared" si="2"/>
        <v>1029</v>
      </c>
      <c r="AK31" s="1">
        <f t="shared" si="3"/>
        <v>2029</v>
      </c>
      <c r="AL31" s="1">
        <f t="shared" si="4"/>
        <v>3029</v>
      </c>
      <c r="AM31" s="1">
        <f t="shared" si="5"/>
        <v>4029</v>
      </c>
      <c r="AN31" s="1">
        <f t="shared" si="6"/>
        <v>5029</v>
      </c>
      <c r="AO31" s="1">
        <f t="shared" si="7"/>
        <v>6029</v>
      </c>
      <c r="AP31" s="1">
        <f t="shared" si="8"/>
        <v>7029</v>
      </c>
      <c r="AQ31" s="1">
        <f t="shared" si="9"/>
        <v>8029</v>
      </c>
      <c r="AR31" s="1">
        <f t="shared" si="10"/>
        <v>9029</v>
      </c>
      <c r="AS31" s="1">
        <f t="shared" si="11"/>
        <v>10029</v>
      </c>
      <c r="AT31" s="1">
        <v>0</v>
      </c>
    </row>
    <row r="32" spans="1:46">
      <c r="A32" s="3">
        <v>31</v>
      </c>
      <c r="B32" s="186" t="s">
        <v>181</v>
      </c>
      <c r="C32" s="186">
        <v>2</v>
      </c>
      <c r="F32">
        <v>2001</v>
      </c>
      <c r="R32">
        <v>30</v>
      </c>
      <c r="S32" t="s">
        <v>747</v>
      </c>
      <c r="T32">
        <v>30</v>
      </c>
      <c r="U32" s="1">
        <v>14</v>
      </c>
      <c r="V32" s="1">
        <v>64</v>
      </c>
      <c r="W32" s="1">
        <v>37</v>
      </c>
      <c r="X32" s="1">
        <v>37</v>
      </c>
      <c r="Y32" s="1">
        <v>37</v>
      </c>
      <c r="Z32" s="1">
        <v>37</v>
      </c>
      <c r="AA32" s="1">
        <v>36</v>
      </c>
      <c r="AB32" s="1" t="s">
        <v>373</v>
      </c>
      <c r="AC32" s="1">
        <v>3</v>
      </c>
      <c r="AD32" s="1">
        <v>37</v>
      </c>
      <c r="AG32">
        <v>30</v>
      </c>
      <c r="AH32" s="1" t="s">
        <v>180</v>
      </c>
      <c r="AI32">
        <v>30</v>
      </c>
      <c r="AJ32" s="1">
        <f t="shared" si="2"/>
        <v>1030</v>
      </c>
      <c r="AK32" s="1">
        <f t="shared" si="3"/>
        <v>2030</v>
      </c>
      <c r="AL32" s="1">
        <f t="shared" si="4"/>
        <v>3030</v>
      </c>
      <c r="AM32" s="1">
        <f t="shared" si="5"/>
        <v>4030</v>
      </c>
      <c r="AN32" s="1">
        <f t="shared" si="6"/>
        <v>5030</v>
      </c>
      <c r="AO32" s="1">
        <f t="shared" si="7"/>
        <v>6030</v>
      </c>
      <c r="AP32" s="1">
        <f t="shared" si="8"/>
        <v>7030</v>
      </c>
      <c r="AQ32" s="1">
        <f t="shared" si="9"/>
        <v>8030</v>
      </c>
      <c r="AR32" s="1">
        <f t="shared" si="10"/>
        <v>9030</v>
      </c>
      <c r="AS32" s="1">
        <f t="shared" si="11"/>
        <v>10030</v>
      </c>
      <c r="AT32" s="1">
        <v>0</v>
      </c>
    </row>
    <row r="33" spans="1:46">
      <c r="A33">
        <v>32</v>
      </c>
      <c r="B33" s="186" t="s">
        <v>181</v>
      </c>
      <c r="C33" s="186">
        <v>2</v>
      </c>
      <c r="F33">
        <v>2002</v>
      </c>
      <c r="R33">
        <v>31</v>
      </c>
      <c r="S33" t="s">
        <v>748</v>
      </c>
      <c r="T33">
        <v>31</v>
      </c>
      <c r="U33" s="1">
        <v>15</v>
      </c>
      <c r="V33" s="1">
        <v>65</v>
      </c>
      <c r="W33" s="1">
        <v>38</v>
      </c>
      <c r="X33" s="1">
        <v>38</v>
      </c>
      <c r="Y33" s="1">
        <v>38</v>
      </c>
      <c r="Z33" s="1">
        <v>38</v>
      </c>
      <c r="AA33" s="1">
        <v>37</v>
      </c>
      <c r="AC33" s="1" t="s">
        <v>717</v>
      </c>
      <c r="AD33" s="1">
        <v>38</v>
      </c>
      <c r="AG33">
        <v>31</v>
      </c>
      <c r="AH33" s="1" t="s">
        <v>702</v>
      </c>
      <c r="AI33">
        <v>31</v>
      </c>
      <c r="AT33" s="1">
        <v>0</v>
      </c>
    </row>
    <row r="34" spans="1:46">
      <c r="A34" s="3">
        <v>33</v>
      </c>
      <c r="B34" s="186" t="s">
        <v>181</v>
      </c>
      <c r="C34" s="186">
        <v>2</v>
      </c>
      <c r="F34">
        <v>2003</v>
      </c>
      <c r="R34">
        <v>32</v>
      </c>
      <c r="S34" t="s">
        <v>749</v>
      </c>
      <c r="T34">
        <v>32</v>
      </c>
      <c r="U34" s="1">
        <v>16</v>
      </c>
      <c r="V34" s="1">
        <v>66</v>
      </c>
      <c r="W34" s="1">
        <v>39</v>
      </c>
      <c r="X34" s="1">
        <v>39</v>
      </c>
      <c r="Y34" s="1">
        <v>39</v>
      </c>
      <c r="Z34" s="1">
        <v>39</v>
      </c>
      <c r="AA34" s="1">
        <v>38</v>
      </c>
      <c r="AB34" s="1" t="s">
        <v>284</v>
      </c>
      <c r="AC34" s="1">
        <v>5</v>
      </c>
      <c r="AD34" s="1">
        <v>39</v>
      </c>
      <c r="AG34">
        <v>32</v>
      </c>
      <c r="AH34" s="1" t="s">
        <v>702</v>
      </c>
      <c r="AI34">
        <v>32</v>
      </c>
      <c r="AT34" s="1">
        <v>0</v>
      </c>
    </row>
    <row r="35" spans="1:46">
      <c r="A35">
        <v>34</v>
      </c>
      <c r="B35" s="186" t="s">
        <v>181</v>
      </c>
      <c r="C35" s="186">
        <v>2</v>
      </c>
      <c r="F35">
        <v>2004</v>
      </c>
      <c r="R35">
        <v>33</v>
      </c>
      <c r="S35" t="s">
        <v>750</v>
      </c>
      <c r="T35">
        <v>33</v>
      </c>
      <c r="U35" s="1" t="s">
        <v>153</v>
      </c>
      <c r="V35" s="1" t="s">
        <v>707</v>
      </c>
      <c r="W35" s="1" t="s">
        <v>192</v>
      </c>
      <c r="X35" s="1" t="s">
        <v>192</v>
      </c>
      <c r="Y35" s="1" t="s">
        <v>192</v>
      </c>
      <c r="Z35" s="1" t="s">
        <v>192</v>
      </c>
      <c r="AA35" s="1" t="s">
        <v>191</v>
      </c>
      <c r="AB35" s="1" t="s">
        <v>541</v>
      </c>
      <c r="AC35" s="1">
        <v>6</v>
      </c>
      <c r="AD35" s="1" t="s">
        <v>192</v>
      </c>
      <c r="AG35">
        <v>33</v>
      </c>
      <c r="AH35" s="1">
        <v>34</v>
      </c>
      <c r="AI35">
        <v>33</v>
      </c>
      <c r="AT35" s="1">
        <f>1000*AT2+1</f>
        <v>11001</v>
      </c>
    </row>
    <row r="36" spans="1:46">
      <c r="A36" s="3">
        <v>35</v>
      </c>
      <c r="B36" s="186" t="s">
        <v>182</v>
      </c>
      <c r="C36" s="186">
        <v>4</v>
      </c>
      <c r="F36">
        <v>4001</v>
      </c>
      <c r="R36">
        <v>34</v>
      </c>
      <c r="S36" t="s">
        <v>751</v>
      </c>
      <c r="T36">
        <v>34</v>
      </c>
      <c r="U36" s="1">
        <v>16</v>
      </c>
      <c r="V36" s="1">
        <v>66</v>
      </c>
      <c r="W36" s="1">
        <v>39</v>
      </c>
      <c r="X36" s="1">
        <v>39</v>
      </c>
      <c r="Y36" s="1">
        <v>39</v>
      </c>
      <c r="Z36" s="1">
        <v>39</v>
      </c>
      <c r="AA36" s="1">
        <v>38</v>
      </c>
      <c r="AB36" s="1" t="s">
        <v>284</v>
      </c>
      <c r="AC36" s="1">
        <v>5</v>
      </c>
      <c r="AD36" s="1">
        <v>39</v>
      </c>
      <c r="AG36">
        <v>34</v>
      </c>
      <c r="AH36" s="1" t="s">
        <v>187</v>
      </c>
      <c r="AI36">
        <v>34</v>
      </c>
      <c r="AT36" s="1">
        <f t="shared" ref="AT36:AT60" si="13">+AT35+1</f>
        <v>11002</v>
      </c>
    </row>
    <row r="37" spans="1:46">
      <c r="A37">
        <v>36</v>
      </c>
      <c r="B37" s="186" t="s">
        <v>182</v>
      </c>
      <c r="C37" s="186">
        <v>4</v>
      </c>
      <c r="F37">
        <v>4002</v>
      </c>
      <c r="R37">
        <v>35</v>
      </c>
      <c r="S37" t="s">
        <v>752</v>
      </c>
      <c r="T37">
        <v>35</v>
      </c>
      <c r="U37" s="1" t="s">
        <v>153</v>
      </c>
      <c r="V37" s="1" t="s">
        <v>707</v>
      </c>
      <c r="W37" s="1" t="s">
        <v>192</v>
      </c>
      <c r="X37" s="1" t="s">
        <v>192</v>
      </c>
      <c r="Y37" s="1" t="s">
        <v>192</v>
      </c>
      <c r="Z37" s="1" t="s">
        <v>192</v>
      </c>
      <c r="AA37" s="1" t="s">
        <v>191</v>
      </c>
      <c r="AB37" s="1" t="s">
        <v>541</v>
      </c>
      <c r="AC37" s="1">
        <v>6</v>
      </c>
      <c r="AD37" s="1" t="s">
        <v>192</v>
      </c>
      <c r="AG37">
        <v>35</v>
      </c>
      <c r="AH37" s="1">
        <v>35</v>
      </c>
      <c r="AI37">
        <v>35</v>
      </c>
      <c r="AT37" s="1">
        <f t="shared" si="13"/>
        <v>11003</v>
      </c>
    </row>
    <row r="38" spans="1:46">
      <c r="A38" s="3">
        <v>37</v>
      </c>
      <c r="B38" s="186" t="s">
        <v>182</v>
      </c>
      <c r="C38" s="186">
        <v>4</v>
      </c>
      <c r="F38">
        <v>4003</v>
      </c>
      <c r="R38">
        <v>36</v>
      </c>
      <c r="S38" t="s">
        <v>753</v>
      </c>
      <c r="T38">
        <v>36</v>
      </c>
      <c r="U38" s="1">
        <v>17</v>
      </c>
      <c r="V38" s="1">
        <v>67</v>
      </c>
      <c r="W38" s="1">
        <v>40</v>
      </c>
      <c r="X38" s="1">
        <v>40</v>
      </c>
      <c r="Y38" s="1">
        <v>40</v>
      </c>
      <c r="Z38" s="1">
        <v>40</v>
      </c>
      <c r="AA38" s="1">
        <v>39</v>
      </c>
      <c r="AB38" s="1" t="s">
        <v>347</v>
      </c>
      <c r="AC38" s="1">
        <v>7</v>
      </c>
      <c r="AD38" s="1">
        <v>40</v>
      </c>
      <c r="AG38">
        <v>36</v>
      </c>
      <c r="AH38" s="1" t="s">
        <v>188</v>
      </c>
      <c r="AI38">
        <v>36</v>
      </c>
      <c r="AT38" s="1">
        <f t="shared" si="13"/>
        <v>11004</v>
      </c>
    </row>
    <row r="39" spans="1:46">
      <c r="A39">
        <v>38</v>
      </c>
      <c r="B39" s="186" t="s">
        <v>182</v>
      </c>
      <c r="C39" s="186">
        <v>4</v>
      </c>
      <c r="F39">
        <v>4004</v>
      </c>
      <c r="R39">
        <v>37</v>
      </c>
      <c r="S39" t="s">
        <v>754</v>
      </c>
      <c r="T39">
        <v>37</v>
      </c>
      <c r="U39" s="1" t="s">
        <v>156</v>
      </c>
      <c r="V39" s="1" t="s">
        <v>708</v>
      </c>
      <c r="W39" s="1" t="s">
        <v>193</v>
      </c>
      <c r="X39" s="1" t="s">
        <v>193</v>
      </c>
      <c r="Y39" s="1" t="s">
        <v>193</v>
      </c>
      <c r="Z39" s="1" t="s">
        <v>193</v>
      </c>
      <c r="AA39" s="1" t="s">
        <v>192</v>
      </c>
      <c r="AB39" s="1" t="s">
        <v>347</v>
      </c>
      <c r="AC39" s="1">
        <v>7</v>
      </c>
      <c r="AD39" s="1" t="s">
        <v>193</v>
      </c>
      <c r="AG39">
        <v>37</v>
      </c>
      <c r="AH39" s="1">
        <v>36</v>
      </c>
      <c r="AI39">
        <v>37</v>
      </c>
      <c r="AT39" s="1">
        <f t="shared" si="13"/>
        <v>11005</v>
      </c>
    </row>
    <row r="40" spans="1:46">
      <c r="A40" s="3">
        <v>39</v>
      </c>
      <c r="B40" s="186" t="s">
        <v>182</v>
      </c>
      <c r="C40" s="186">
        <v>4</v>
      </c>
      <c r="F40">
        <v>4005</v>
      </c>
      <c r="R40">
        <v>38</v>
      </c>
      <c r="S40" t="s">
        <v>755</v>
      </c>
      <c r="T40">
        <v>38</v>
      </c>
      <c r="U40" s="1"/>
      <c r="V40" s="1"/>
      <c r="W40" s="1" t="s">
        <v>193</v>
      </c>
      <c r="X40" s="1" t="s">
        <v>193</v>
      </c>
      <c r="Y40" s="1" t="s">
        <v>193</v>
      </c>
      <c r="Z40" s="1" t="s">
        <v>193</v>
      </c>
      <c r="AA40" s="1">
        <v>40</v>
      </c>
      <c r="AC40" s="1"/>
      <c r="AD40" s="1" t="s">
        <v>193</v>
      </c>
      <c r="AG40">
        <v>38</v>
      </c>
      <c r="AH40" s="1" t="s">
        <v>189</v>
      </c>
      <c r="AI40">
        <v>38</v>
      </c>
      <c r="AT40" s="1">
        <f t="shared" si="13"/>
        <v>11006</v>
      </c>
    </row>
    <row r="41" spans="1:46">
      <c r="A41">
        <v>40</v>
      </c>
      <c r="B41" s="186" t="s">
        <v>182</v>
      </c>
      <c r="C41" s="186">
        <v>4</v>
      </c>
      <c r="F41">
        <v>4006</v>
      </c>
      <c r="R41">
        <v>39</v>
      </c>
      <c r="S41" t="s">
        <v>756</v>
      </c>
      <c r="T41">
        <v>39</v>
      </c>
      <c r="U41" s="1" t="s">
        <v>156</v>
      </c>
      <c r="V41" s="1">
        <v>68</v>
      </c>
      <c r="W41" s="1" t="s">
        <v>193</v>
      </c>
      <c r="X41" s="1" t="s">
        <v>193</v>
      </c>
      <c r="Y41" s="1" t="s">
        <v>193</v>
      </c>
      <c r="Z41" s="1" t="s">
        <v>193</v>
      </c>
      <c r="AA41" s="1">
        <v>40</v>
      </c>
      <c r="AB41" s="1" t="s">
        <v>394</v>
      </c>
      <c r="AC41" s="1">
        <v>7</v>
      </c>
      <c r="AD41" s="1" t="s">
        <v>193</v>
      </c>
      <c r="AG41">
        <v>39</v>
      </c>
      <c r="AH41" s="1">
        <v>37</v>
      </c>
      <c r="AI41">
        <v>39</v>
      </c>
      <c r="AT41" s="1">
        <f t="shared" si="13"/>
        <v>11007</v>
      </c>
    </row>
    <row r="42" spans="1:46">
      <c r="A42" s="3">
        <v>41</v>
      </c>
      <c r="B42" s="186" t="s">
        <v>183</v>
      </c>
      <c r="C42" s="186">
        <v>5</v>
      </c>
      <c r="F42">
        <v>5001</v>
      </c>
      <c r="R42">
        <v>40</v>
      </c>
      <c r="S42" t="s">
        <v>757</v>
      </c>
      <c r="T42">
        <v>40</v>
      </c>
      <c r="U42" s="1">
        <v>18</v>
      </c>
      <c r="V42" s="1">
        <v>69</v>
      </c>
      <c r="W42" s="1">
        <v>41</v>
      </c>
      <c r="X42" s="1">
        <v>41</v>
      </c>
      <c r="Y42" s="1">
        <v>41</v>
      </c>
      <c r="Z42" s="1">
        <v>41</v>
      </c>
      <c r="AA42" s="1">
        <v>41</v>
      </c>
      <c r="AB42" s="1" t="s">
        <v>328</v>
      </c>
      <c r="AC42" s="1">
        <v>8</v>
      </c>
      <c r="AD42" s="1">
        <v>41</v>
      </c>
      <c r="AG42">
        <v>40</v>
      </c>
      <c r="AH42" s="1" t="s">
        <v>190</v>
      </c>
      <c r="AI42">
        <v>40</v>
      </c>
      <c r="AT42" s="1">
        <f t="shared" si="13"/>
        <v>11008</v>
      </c>
    </row>
    <row r="43" spans="1:46">
      <c r="A43">
        <v>42</v>
      </c>
      <c r="B43" s="186" t="s">
        <v>183</v>
      </c>
      <c r="C43" s="186">
        <v>5</v>
      </c>
      <c r="F43">
        <v>5002</v>
      </c>
      <c r="R43">
        <v>41</v>
      </c>
      <c r="S43" t="s">
        <v>758</v>
      </c>
      <c r="T43">
        <v>41</v>
      </c>
      <c r="U43" s="1" t="s">
        <v>159</v>
      </c>
      <c r="V43" s="1" t="s">
        <v>710</v>
      </c>
      <c r="W43" s="1" t="s">
        <v>194</v>
      </c>
      <c r="X43" s="1" t="s">
        <v>194</v>
      </c>
      <c r="Y43" s="1" t="s">
        <v>194</v>
      </c>
      <c r="Z43" s="1" t="s">
        <v>194</v>
      </c>
      <c r="AA43" s="1" t="s">
        <v>194</v>
      </c>
      <c r="AB43" s="1" t="s">
        <v>395</v>
      </c>
      <c r="AC43" s="1" t="s">
        <v>333</v>
      </c>
      <c r="AD43" s="1" t="s">
        <v>194</v>
      </c>
      <c r="AG43">
        <v>41</v>
      </c>
      <c r="AH43" s="1">
        <v>38</v>
      </c>
      <c r="AI43">
        <v>41</v>
      </c>
      <c r="AT43" s="1">
        <f t="shared" si="13"/>
        <v>11009</v>
      </c>
    </row>
    <row r="44" spans="1:46">
      <c r="A44" s="3">
        <v>43</v>
      </c>
      <c r="B44" s="186" t="s">
        <v>183</v>
      </c>
      <c r="C44" s="186">
        <v>5</v>
      </c>
      <c r="F44">
        <v>5003</v>
      </c>
      <c r="R44">
        <v>42</v>
      </c>
      <c r="S44" t="s">
        <v>759</v>
      </c>
      <c r="T44">
        <v>42</v>
      </c>
      <c r="U44" s="1">
        <v>19</v>
      </c>
      <c r="V44" s="1">
        <v>70</v>
      </c>
      <c r="W44" s="1">
        <v>42</v>
      </c>
      <c r="X44" s="1">
        <v>42</v>
      </c>
      <c r="Y44" s="1">
        <v>42</v>
      </c>
      <c r="Z44" s="1">
        <v>42</v>
      </c>
      <c r="AA44" s="1">
        <v>42</v>
      </c>
      <c r="AB44" s="1" t="s">
        <v>395</v>
      </c>
      <c r="AC44" s="1" t="s">
        <v>333</v>
      </c>
      <c r="AD44" s="1">
        <v>42</v>
      </c>
      <c r="AG44">
        <v>42</v>
      </c>
      <c r="AH44" s="1" t="s">
        <v>191</v>
      </c>
      <c r="AI44">
        <v>42</v>
      </c>
      <c r="AT44" s="1">
        <f t="shared" si="13"/>
        <v>11010</v>
      </c>
    </row>
    <row r="45" spans="1:46">
      <c r="A45">
        <v>44</v>
      </c>
      <c r="B45" s="186" t="s">
        <v>183</v>
      </c>
      <c r="C45" s="186">
        <v>5</v>
      </c>
      <c r="F45">
        <v>5004</v>
      </c>
      <c r="R45">
        <v>43</v>
      </c>
      <c r="S45" t="s">
        <v>760</v>
      </c>
      <c r="T45">
        <v>43</v>
      </c>
      <c r="U45" s="1"/>
      <c r="V45" s="1"/>
      <c r="W45" s="1" t="s">
        <v>195</v>
      </c>
      <c r="X45" s="1" t="s">
        <v>195</v>
      </c>
      <c r="Y45" s="1" t="s">
        <v>195</v>
      </c>
      <c r="Z45" s="1" t="s">
        <v>195</v>
      </c>
      <c r="AA45" s="1" t="s">
        <v>195</v>
      </c>
      <c r="AC45" s="1"/>
      <c r="AD45" s="1" t="s">
        <v>195</v>
      </c>
      <c r="AG45">
        <v>43</v>
      </c>
      <c r="AH45" s="1">
        <v>39</v>
      </c>
      <c r="AI45">
        <v>43</v>
      </c>
      <c r="AT45" s="1">
        <f t="shared" si="13"/>
        <v>11011</v>
      </c>
    </row>
    <row r="46" spans="1:46">
      <c r="A46" s="3">
        <v>45</v>
      </c>
      <c r="B46" s="186" t="s">
        <v>183</v>
      </c>
      <c r="C46" s="186">
        <v>5</v>
      </c>
      <c r="F46">
        <v>5005</v>
      </c>
      <c r="R46">
        <v>44</v>
      </c>
      <c r="S46" t="s">
        <v>761</v>
      </c>
      <c r="T46">
        <v>44</v>
      </c>
      <c r="U46" s="1" t="s">
        <v>159</v>
      </c>
      <c r="V46" s="1" t="s">
        <v>710</v>
      </c>
      <c r="W46" s="1" t="s">
        <v>194</v>
      </c>
      <c r="X46" s="1" t="s">
        <v>194</v>
      </c>
      <c r="Y46" s="1" t="s">
        <v>194</v>
      </c>
      <c r="Z46" s="1" t="s">
        <v>194</v>
      </c>
      <c r="AA46" s="1" t="s">
        <v>194</v>
      </c>
      <c r="AB46" s="1" t="s">
        <v>395</v>
      </c>
      <c r="AC46" s="1" t="s">
        <v>333</v>
      </c>
      <c r="AD46" s="1" t="s">
        <v>194</v>
      </c>
      <c r="AG46">
        <v>44</v>
      </c>
      <c r="AH46" s="1" t="s">
        <v>192</v>
      </c>
      <c r="AI46">
        <v>44</v>
      </c>
      <c r="AT46" s="1">
        <f t="shared" si="13"/>
        <v>11012</v>
      </c>
    </row>
    <row r="47" spans="1:46">
      <c r="A47">
        <v>46</v>
      </c>
      <c r="B47" s="186" t="s">
        <v>183</v>
      </c>
      <c r="C47" s="186">
        <v>5</v>
      </c>
      <c r="F47">
        <v>5006</v>
      </c>
      <c r="R47">
        <v>45</v>
      </c>
      <c r="S47" t="s">
        <v>762</v>
      </c>
      <c r="T47">
        <v>45</v>
      </c>
      <c r="U47" s="1">
        <v>19</v>
      </c>
      <c r="V47" s="1">
        <v>70</v>
      </c>
      <c r="W47" s="1">
        <v>42</v>
      </c>
      <c r="X47" s="1">
        <v>42</v>
      </c>
      <c r="Y47" s="1">
        <v>42</v>
      </c>
      <c r="Z47" s="1">
        <v>42</v>
      </c>
      <c r="AA47" s="1">
        <v>42</v>
      </c>
      <c r="AB47" s="1" t="s">
        <v>395</v>
      </c>
      <c r="AC47" s="1" t="s">
        <v>333</v>
      </c>
      <c r="AD47" s="1">
        <v>42</v>
      </c>
      <c r="AG47">
        <v>45</v>
      </c>
      <c r="AH47" s="1">
        <v>40</v>
      </c>
      <c r="AI47">
        <v>45</v>
      </c>
      <c r="AT47" s="1">
        <f t="shared" si="13"/>
        <v>11013</v>
      </c>
    </row>
    <row r="48" spans="1:46">
      <c r="A48" s="3">
        <v>47</v>
      </c>
      <c r="B48" s="186" t="s">
        <v>184</v>
      </c>
      <c r="C48" s="186">
        <v>6</v>
      </c>
      <c r="F48">
        <v>6001</v>
      </c>
      <c r="R48">
        <v>46</v>
      </c>
      <c r="S48" t="s">
        <v>763</v>
      </c>
      <c r="T48">
        <v>46</v>
      </c>
      <c r="U48" s="1"/>
      <c r="V48" s="1"/>
      <c r="W48" s="1" t="s">
        <v>195</v>
      </c>
      <c r="X48" s="1" t="s">
        <v>195</v>
      </c>
      <c r="Y48" s="1" t="s">
        <v>195</v>
      </c>
      <c r="Z48" s="1" t="s">
        <v>195</v>
      </c>
      <c r="AA48" s="1" t="s">
        <v>195</v>
      </c>
      <c r="AC48" s="1"/>
      <c r="AD48" s="1" t="s">
        <v>195</v>
      </c>
      <c r="AG48">
        <v>46</v>
      </c>
      <c r="AH48" s="1" t="s">
        <v>193</v>
      </c>
      <c r="AI48">
        <v>46</v>
      </c>
      <c r="AT48" s="1">
        <f t="shared" si="13"/>
        <v>11014</v>
      </c>
    </row>
    <row r="49" spans="1:46">
      <c r="A49">
        <v>48</v>
      </c>
      <c r="B49" s="186" t="s">
        <v>184</v>
      </c>
      <c r="C49" s="186">
        <v>6</v>
      </c>
      <c r="F49">
        <v>6002</v>
      </c>
      <c r="R49">
        <v>47</v>
      </c>
      <c r="S49" t="s">
        <v>764</v>
      </c>
      <c r="T49">
        <v>47</v>
      </c>
      <c r="U49" s="1">
        <v>20</v>
      </c>
      <c r="V49" s="1" t="s">
        <v>711</v>
      </c>
      <c r="W49" s="1" t="s">
        <v>195</v>
      </c>
      <c r="X49" s="1" t="s">
        <v>195</v>
      </c>
      <c r="Y49" s="1" t="s">
        <v>195</v>
      </c>
      <c r="Z49" s="1" t="s">
        <v>195</v>
      </c>
      <c r="AA49" s="1" t="s">
        <v>195</v>
      </c>
      <c r="AB49" s="1" t="s">
        <v>329</v>
      </c>
      <c r="AC49" s="1">
        <v>9</v>
      </c>
      <c r="AD49" s="1" t="s">
        <v>195</v>
      </c>
      <c r="AG49">
        <v>47</v>
      </c>
      <c r="AH49" s="1">
        <v>41</v>
      </c>
      <c r="AI49">
        <v>47</v>
      </c>
      <c r="AT49" s="1">
        <f t="shared" si="13"/>
        <v>11015</v>
      </c>
    </row>
    <row r="50" spans="1:46">
      <c r="A50" s="3">
        <v>49</v>
      </c>
      <c r="B50" s="186" t="s">
        <v>184</v>
      </c>
      <c r="C50" s="186">
        <v>6</v>
      </c>
      <c r="F50">
        <v>6003</v>
      </c>
      <c r="R50">
        <v>48</v>
      </c>
      <c r="S50" t="s">
        <v>765</v>
      </c>
      <c r="T50">
        <v>48</v>
      </c>
      <c r="U50" s="1" t="s">
        <v>165</v>
      </c>
      <c r="V50" s="1" t="s">
        <v>711</v>
      </c>
      <c r="W50" s="1">
        <v>43</v>
      </c>
      <c r="X50" s="1">
        <v>43</v>
      </c>
      <c r="Y50" s="1">
        <v>43</v>
      </c>
      <c r="Z50" s="1">
        <v>43</v>
      </c>
      <c r="AA50" s="1">
        <v>43</v>
      </c>
      <c r="AB50" s="1" t="s">
        <v>332</v>
      </c>
      <c r="AC50" s="1">
        <v>10</v>
      </c>
      <c r="AD50" s="1">
        <v>43</v>
      </c>
      <c r="AG50">
        <v>48</v>
      </c>
      <c r="AH50" s="1" t="s">
        <v>194</v>
      </c>
      <c r="AI50">
        <v>48</v>
      </c>
      <c r="AT50" s="1">
        <f t="shared" si="13"/>
        <v>11016</v>
      </c>
    </row>
    <row r="51" spans="1:46">
      <c r="A51">
        <v>50</v>
      </c>
      <c r="B51" s="186" t="s">
        <v>185</v>
      </c>
      <c r="C51" s="186">
        <v>9</v>
      </c>
      <c r="F51">
        <v>9001</v>
      </c>
      <c r="R51">
        <v>49</v>
      </c>
      <c r="S51" t="s">
        <v>766</v>
      </c>
      <c r="T51">
        <v>49</v>
      </c>
      <c r="U51" s="1">
        <v>21</v>
      </c>
      <c r="V51" s="1">
        <v>71</v>
      </c>
      <c r="W51" s="1" t="s">
        <v>196</v>
      </c>
      <c r="X51" s="1" t="s">
        <v>196</v>
      </c>
      <c r="Y51" s="1" t="s">
        <v>196</v>
      </c>
      <c r="Z51" s="1" t="s">
        <v>196</v>
      </c>
      <c r="AA51" s="1" t="s">
        <v>196</v>
      </c>
      <c r="AB51" s="1" t="s">
        <v>330</v>
      </c>
      <c r="AC51" s="1" t="s">
        <v>389</v>
      </c>
      <c r="AD51" s="1" t="s">
        <v>196</v>
      </c>
      <c r="AG51">
        <v>49</v>
      </c>
      <c r="AH51" s="1">
        <v>42</v>
      </c>
      <c r="AI51">
        <v>49</v>
      </c>
      <c r="AT51" s="1">
        <f t="shared" si="13"/>
        <v>11017</v>
      </c>
    </row>
    <row r="52" spans="1:46">
      <c r="A52" s="3">
        <v>51</v>
      </c>
      <c r="B52" s="186" t="s">
        <v>185</v>
      </c>
      <c r="C52" s="186">
        <v>9</v>
      </c>
      <c r="F52">
        <v>9002</v>
      </c>
      <c r="R52">
        <v>50</v>
      </c>
      <c r="S52" t="s">
        <v>767</v>
      </c>
      <c r="T52">
        <v>50</v>
      </c>
      <c r="U52" s="1">
        <v>19</v>
      </c>
      <c r="V52" s="1" t="s">
        <v>711</v>
      </c>
      <c r="W52" s="1" t="s">
        <v>195</v>
      </c>
      <c r="X52" s="1" t="s">
        <v>195</v>
      </c>
      <c r="Y52" s="1" t="s">
        <v>195</v>
      </c>
      <c r="Z52" s="1" t="s">
        <v>195</v>
      </c>
      <c r="AA52" s="1" t="s">
        <v>195</v>
      </c>
      <c r="AB52" s="1" t="s">
        <v>395</v>
      </c>
      <c r="AC52" s="1" t="s">
        <v>333</v>
      </c>
      <c r="AD52" s="1" t="s">
        <v>195</v>
      </c>
      <c r="AG52">
        <v>50</v>
      </c>
      <c r="AH52" s="1" t="s">
        <v>195</v>
      </c>
      <c r="AI52">
        <v>50</v>
      </c>
      <c r="AT52" s="1">
        <f t="shared" si="13"/>
        <v>11018</v>
      </c>
    </row>
    <row r="53" spans="1:46">
      <c r="A53">
        <v>52</v>
      </c>
      <c r="B53" s="186" t="s">
        <v>185</v>
      </c>
      <c r="C53" s="186">
        <v>9</v>
      </c>
      <c r="F53">
        <v>9003</v>
      </c>
      <c r="R53">
        <v>51</v>
      </c>
      <c r="S53" t="s">
        <v>768</v>
      </c>
      <c r="T53">
        <v>51</v>
      </c>
      <c r="U53" s="1">
        <v>20</v>
      </c>
      <c r="V53" s="1" t="s">
        <v>711</v>
      </c>
      <c r="W53" s="1" t="s">
        <v>195</v>
      </c>
      <c r="X53" s="1" t="s">
        <v>195</v>
      </c>
      <c r="Y53" s="1" t="s">
        <v>195</v>
      </c>
      <c r="Z53" s="1" t="s">
        <v>195</v>
      </c>
      <c r="AA53" s="1" t="s">
        <v>195</v>
      </c>
      <c r="AB53" s="1" t="s">
        <v>329</v>
      </c>
      <c r="AC53" s="1">
        <v>9</v>
      </c>
      <c r="AD53" s="1" t="s">
        <v>195</v>
      </c>
      <c r="AG53">
        <v>51</v>
      </c>
      <c r="AH53" s="1">
        <v>43</v>
      </c>
      <c r="AI53">
        <v>51</v>
      </c>
      <c r="AT53" s="1">
        <f t="shared" si="13"/>
        <v>11019</v>
      </c>
    </row>
    <row r="54" spans="1:46">
      <c r="A54" s="3">
        <v>53</v>
      </c>
      <c r="B54" s="186" t="s">
        <v>185</v>
      </c>
      <c r="C54" s="186">
        <v>9</v>
      </c>
      <c r="F54">
        <v>9004</v>
      </c>
      <c r="R54">
        <v>52</v>
      </c>
      <c r="S54" t="s">
        <v>769</v>
      </c>
      <c r="T54">
        <v>52</v>
      </c>
      <c r="U54" s="1" t="s">
        <v>165</v>
      </c>
      <c r="V54" s="1" t="s">
        <v>711</v>
      </c>
      <c r="W54" s="1">
        <v>43</v>
      </c>
      <c r="X54" s="1">
        <v>43</v>
      </c>
      <c r="Y54" s="1">
        <v>43</v>
      </c>
      <c r="Z54" s="1">
        <v>43</v>
      </c>
      <c r="AA54" s="1">
        <v>43</v>
      </c>
      <c r="AB54" s="1" t="s">
        <v>332</v>
      </c>
      <c r="AC54" s="1">
        <v>10</v>
      </c>
      <c r="AD54" s="1">
        <v>43</v>
      </c>
      <c r="AG54">
        <v>52</v>
      </c>
      <c r="AH54" s="1" t="s">
        <v>196</v>
      </c>
      <c r="AI54">
        <v>52</v>
      </c>
      <c r="AT54" s="1">
        <f t="shared" si="13"/>
        <v>11020</v>
      </c>
    </row>
    <row r="55" spans="1:46">
      <c r="A55">
        <v>54</v>
      </c>
      <c r="B55" s="186" t="s">
        <v>185</v>
      </c>
      <c r="C55" s="186">
        <v>9</v>
      </c>
      <c r="F55">
        <v>9005</v>
      </c>
      <c r="R55">
        <v>53</v>
      </c>
      <c r="S55" t="s">
        <v>770</v>
      </c>
      <c r="T55">
        <v>53</v>
      </c>
      <c r="U55" s="1">
        <v>21</v>
      </c>
      <c r="V55" s="1">
        <v>71</v>
      </c>
      <c r="W55" s="1" t="s">
        <v>196</v>
      </c>
      <c r="X55" s="1" t="s">
        <v>196</v>
      </c>
      <c r="Y55" s="1" t="s">
        <v>196</v>
      </c>
      <c r="Z55" s="1" t="s">
        <v>196</v>
      </c>
      <c r="AA55" s="1" t="s">
        <v>196</v>
      </c>
      <c r="AB55" s="1" t="s">
        <v>330</v>
      </c>
      <c r="AC55" s="1" t="s">
        <v>389</v>
      </c>
      <c r="AD55" s="1" t="s">
        <v>196</v>
      </c>
      <c r="AG55">
        <v>53</v>
      </c>
      <c r="AH55" s="1">
        <v>44</v>
      </c>
      <c r="AI55">
        <v>53</v>
      </c>
      <c r="AT55" s="1">
        <f t="shared" si="13"/>
        <v>11021</v>
      </c>
    </row>
    <row r="56" spans="1:46">
      <c r="A56" s="3">
        <v>55</v>
      </c>
      <c r="B56" s="186" t="s">
        <v>185</v>
      </c>
      <c r="C56" s="186">
        <v>9</v>
      </c>
      <c r="F56">
        <v>9006</v>
      </c>
      <c r="R56">
        <v>54</v>
      </c>
      <c r="S56" t="s">
        <v>771</v>
      </c>
      <c r="T56">
        <v>54</v>
      </c>
      <c r="U56" s="1" t="s">
        <v>168</v>
      </c>
      <c r="V56" s="1" t="s">
        <v>712</v>
      </c>
      <c r="W56" s="1">
        <v>44</v>
      </c>
      <c r="X56" s="1">
        <v>44</v>
      </c>
      <c r="Y56" s="1">
        <v>44</v>
      </c>
      <c r="Z56" s="1">
        <v>44</v>
      </c>
      <c r="AA56" s="1">
        <v>44</v>
      </c>
      <c r="AB56" s="1" t="s">
        <v>331</v>
      </c>
      <c r="AC56" s="1"/>
      <c r="AD56" s="1">
        <v>44</v>
      </c>
      <c r="AG56">
        <v>54</v>
      </c>
      <c r="AH56" s="1" t="s">
        <v>197</v>
      </c>
      <c r="AI56">
        <v>54</v>
      </c>
      <c r="AT56" s="1">
        <f t="shared" si="13"/>
        <v>11022</v>
      </c>
    </row>
    <row r="57" spans="1:46">
      <c r="A57">
        <v>56</v>
      </c>
      <c r="B57" s="186" t="s">
        <v>185</v>
      </c>
      <c r="C57" s="186">
        <v>9</v>
      </c>
      <c r="F57">
        <v>9007</v>
      </c>
      <c r="R57">
        <v>55</v>
      </c>
      <c r="S57" t="s">
        <v>772</v>
      </c>
      <c r="T57">
        <v>55</v>
      </c>
      <c r="U57" s="1">
        <v>22</v>
      </c>
      <c r="V57" s="1">
        <v>72</v>
      </c>
      <c r="W57" s="1" t="s">
        <v>197</v>
      </c>
      <c r="X57" s="1" t="s">
        <v>197</v>
      </c>
      <c r="Y57" s="1" t="s">
        <v>197</v>
      </c>
      <c r="Z57" s="1" t="s">
        <v>197</v>
      </c>
      <c r="AA57" s="1" t="s">
        <v>197</v>
      </c>
      <c r="AC57" s="1"/>
      <c r="AD57" s="1" t="s">
        <v>197</v>
      </c>
      <c r="AG57">
        <v>55</v>
      </c>
      <c r="AH57" s="1">
        <v>45</v>
      </c>
      <c r="AI57">
        <v>55</v>
      </c>
      <c r="AT57" s="1">
        <f t="shared" si="13"/>
        <v>11023</v>
      </c>
    </row>
    <row r="58" spans="1:46">
      <c r="A58" s="3">
        <v>57</v>
      </c>
      <c r="B58" s="186" t="s">
        <v>185</v>
      </c>
      <c r="C58" s="186">
        <v>9</v>
      </c>
      <c r="F58">
        <v>9008</v>
      </c>
      <c r="R58">
        <v>56</v>
      </c>
      <c r="S58" t="s">
        <v>773</v>
      </c>
      <c r="T58">
        <v>56</v>
      </c>
      <c r="U58" s="1" t="s">
        <v>168</v>
      </c>
      <c r="V58" s="1" t="s">
        <v>712</v>
      </c>
      <c r="W58" s="1">
        <v>44</v>
      </c>
      <c r="X58" s="1">
        <v>44</v>
      </c>
      <c r="Y58" s="1">
        <v>44</v>
      </c>
      <c r="Z58" s="1">
        <v>44</v>
      </c>
      <c r="AA58" s="1">
        <v>44</v>
      </c>
      <c r="AB58" s="1" t="s">
        <v>331</v>
      </c>
      <c r="AC58" s="1"/>
      <c r="AD58" s="1">
        <v>44</v>
      </c>
      <c r="AG58">
        <v>56</v>
      </c>
      <c r="AH58" s="1" t="s">
        <v>198</v>
      </c>
      <c r="AI58">
        <v>56</v>
      </c>
      <c r="AT58" s="1">
        <f t="shared" si="13"/>
        <v>11024</v>
      </c>
    </row>
    <row r="59" spans="1:46">
      <c r="A59">
        <v>58</v>
      </c>
      <c r="B59" s="186" t="s">
        <v>185</v>
      </c>
      <c r="C59" s="186">
        <v>9</v>
      </c>
      <c r="F59">
        <v>9009</v>
      </c>
      <c r="R59">
        <v>57</v>
      </c>
      <c r="S59" t="s">
        <v>774</v>
      </c>
      <c r="T59">
        <v>57</v>
      </c>
      <c r="U59" s="1">
        <v>22</v>
      </c>
      <c r="V59" s="1">
        <v>72</v>
      </c>
      <c r="W59" s="1" t="s">
        <v>197</v>
      </c>
      <c r="X59" s="1" t="s">
        <v>197</v>
      </c>
      <c r="Y59" s="1" t="s">
        <v>197</v>
      </c>
      <c r="Z59" s="1" t="s">
        <v>197</v>
      </c>
      <c r="AA59" s="1" t="s">
        <v>197</v>
      </c>
      <c r="AC59" s="1"/>
      <c r="AD59" s="1" t="s">
        <v>197</v>
      </c>
      <c r="AG59">
        <v>57</v>
      </c>
      <c r="AH59" s="1">
        <v>46</v>
      </c>
      <c r="AI59">
        <v>57</v>
      </c>
      <c r="AT59" s="1">
        <f t="shared" si="13"/>
        <v>11025</v>
      </c>
    </row>
    <row r="60" spans="1:46">
      <c r="A60" s="3">
        <v>59</v>
      </c>
      <c r="B60" s="186" t="s">
        <v>185</v>
      </c>
      <c r="C60" s="186">
        <v>9</v>
      </c>
      <c r="F60">
        <v>9010</v>
      </c>
      <c r="R60">
        <v>58</v>
      </c>
      <c r="S60" t="s">
        <v>775</v>
      </c>
      <c r="T60">
        <v>58</v>
      </c>
      <c r="U60" s="1" t="s">
        <v>168</v>
      </c>
      <c r="V60" s="1" t="s">
        <v>712</v>
      </c>
      <c r="W60" s="1">
        <v>44</v>
      </c>
      <c r="X60" s="1">
        <v>44</v>
      </c>
      <c r="Y60" s="1">
        <v>44</v>
      </c>
      <c r="Z60" s="1">
        <v>44</v>
      </c>
      <c r="AA60" s="1">
        <v>44</v>
      </c>
      <c r="AB60" s="1" t="s">
        <v>331</v>
      </c>
      <c r="AC60" s="1"/>
      <c r="AD60" s="1">
        <v>44</v>
      </c>
      <c r="AG60">
        <v>58</v>
      </c>
      <c r="AH60" s="1" t="s">
        <v>199</v>
      </c>
      <c r="AI60">
        <v>58</v>
      </c>
      <c r="AT60" s="1">
        <f t="shared" si="13"/>
        <v>11026</v>
      </c>
    </row>
    <row r="61" spans="1:46">
      <c r="A61">
        <v>60</v>
      </c>
      <c r="B61" s="186" t="s">
        <v>186</v>
      </c>
      <c r="C61" s="186">
        <v>11</v>
      </c>
      <c r="D61" s="1">
        <v>34</v>
      </c>
      <c r="F61">
        <v>11001</v>
      </c>
      <c r="R61">
        <v>59</v>
      </c>
      <c r="S61" t="s">
        <v>776</v>
      </c>
      <c r="T61">
        <v>59</v>
      </c>
      <c r="U61" s="1">
        <v>22</v>
      </c>
      <c r="V61" s="1">
        <v>72</v>
      </c>
      <c r="W61" s="1" t="s">
        <v>197</v>
      </c>
      <c r="X61" s="1" t="s">
        <v>197</v>
      </c>
      <c r="Y61" s="1" t="s">
        <v>197</v>
      </c>
      <c r="Z61" s="1" t="s">
        <v>197</v>
      </c>
      <c r="AA61" s="1" t="s">
        <v>197</v>
      </c>
      <c r="AC61" s="1"/>
      <c r="AD61" s="1" t="s">
        <v>197</v>
      </c>
      <c r="AG61">
        <v>59</v>
      </c>
      <c r="AH61" s="1" t="s">
        <v>702</v>
      </c>
      <c r="AI61">
        <v>59</v>
      </c>
      <c r="AT61" s="1"/>
    </row>
    <row r="62" spans="1:46">
      <c r="A62" s="3">
        <v>61</v>
      </c>
      <c r="B62" s="186" t="s">
        <v>186</v>
      </c>
      <c r="C62" s="186">
        <v>11</v>
      </c>
      <c r="D62" s="1" t="s">
        <v>187</v>
      </c>
      <c r="F62">
        <v>11002</v>
      </c>
      <c r="R62">
        <v>60</v>
      </c>
      <c r="S62" t="s">
        <v>777</v>
      </c>
      <c r="T62">
        <v>60</v>
      </c>
      <c r="U62" s="1">
        <v>22</v>
      </c>
      <c r="V62" s="1">
        <v>72</v>
      </c>
      <c r="W62" s="1" t="s">
        <v>197</v>
      </c>
      <c r="X62" s="1" t="s">
        <v>197</v>
      </c>
      <c r="Y62" s="1" t="s">
        <v>197</v>
      </c>
      <c r="Z62" s="1" t="s">
        <v>197</v>
      </c>
      <c r="AA62" s="1" t="s">
        <v>197</v>
      </c>
      <c r="AC62" s="1"/>
      <c r="AD62" s="1" t="s">
        <v>197</v>
      </c>
      <c r="AG62">
        <v>60</v>
      </c>
      <c r="AH62" s="1" t="s">
        <v>702</v>
      </c>
      <c r="AI62">
        <v>60</v>
      </c>
      <c r="AT62" s="1"/>
    </row>
    <row r="63" spans="1:46">
      <c r="A63">
        <v>62</v>
      </c>
      <c r="B63" s="186" t="s">
        <v>186</v>
      </c>
      <c r="C63" s="186">
        <v>11</v>
      </c>
      <c r="D63" s="1">
        <v>35</v>
      </c>
      <c r="F63">
        <v>11003</v>
      </c>
      <c r="R63">
        <v>61</v>
      </c>
      <c r="S63" t="s">
        <v>778</v>
      </c>
      <c r="T63">
        <v>61</v>
      </c>
      <c r="U63" s="1" t="s">
        <v>174</v>
      </c>
      <c r="V63" s="1" t="s">
        <v>714</v>
      </c>
      <c r="W63" s="1" t="s">
        <v>198</v>
      </c>
      <c r="X63" s="1" t="s">
        <v>198</v>
      </c>
      <c r="Y63" s="1" t="s">
        <v>198</v>
      </c>
      <c r="Z63" s="1" t="s">
        <v>198</v>
      </c>
      <c r="AA63" s="1" t="s">
        <v>198</v>
      </c>
      <c r="AB63" s="1" t="s">
        <v>287</v>
      </c>
      <c r="AC63" s="1" t="s">
        <v>141</v>
      </c>
      <c r="AD63" s="1" t="s">
        <v>198</v>
      </c>
      <c r="AG63">
        <v>61</v>
      </c>
      <c r="AH63" s="1">
        <v>60</v>
      </c>
      <c r="AI63">
        <v>61</v>
      </c>
      <c r="AT63" s="1"/>
    </row>
    <row r="64" spans="1:46">
      <c r="A64" s="3">
        <v>63</v>
      </c>
      <c r="B64" s="186" t="s">
        <v>186</v>
      </c>
      <c r="C64" s="186">
        <v>11</v>
      </c>
      <c r="D64" s="1" t="s">
        <v>188</v>
      </c>
      <c r="F64">
        <v>11004</v>
      </c>
      <c r="R64">
        <v>62</v>
      </c>
      <c r="S64" t="s">
        <v>779</v>
      </c>
      <c r="T64">
        <v>62</v>
      </c>
      <c r="U64" s="1" t="s">
        <v>174</v>
      </c>
      <c r="V64" s="1" t="s">
        <v>714</v>
      </c>
      <c r="W64" s="1" t="s">
        <v>198</v>
      </c>
      <c r="X64" s="1" t="s">
        <v>198</v>
      </c>
      <c r="Y64" s="1" t="s">
        <v>198</v>
      </c>
      <c r="Z64" s="1" t="s">
        <v>198</v>
      </c>
      <c r="AA64" s="1" t="s">
        <v>198</v>
      </c>
      <c r="AB64" s="1" t="s">
        <v>287</v>
      </c>
      <c r="AC64" s="1"/>
      <c r="AD64" s="1" t="s">
        <v>198</v>
      </c>
      <c r="AG64">
        <v>62</v>
      </c>
      <c r="AH64" s="1">
        <v>61</v>
      </c>
      <c r="AI64">
        <v>62</v>
      </c>
      <c r="AT64" s="1"/>
    </row>
    <row r="65" spans="1:46">
      <c r="A65">
        <v>64</v>
      </c>
      <c r="B65" s="186" t="s">
        <v>186</v>
      </c>
      <c r="C65" s="186">
        <v>11</v>
      </c>
      <c r="D65" s="1">
        <v>36</v>
      </c>
      <c r="F65">
        <v>11005</v>
      </c>
      <c r="R65">
        <v>63</v>
      </c>
      <c r="S65" t="s">
        <v>780</v>
      </c>
      <c r="T65">
        <v>63</v>
      </c>
      <c r="U65" s="1" t="s">
        <v>177</v>
      </c>
      <c r="V65" s="1" t="s">
        <v>715</v>
      </c>
      <c r="W65" s="1" t="s">
        <v>198</v>
      </c>
      <c r="X65" s="1" t="s">
        <v>198</v>
      </c>
      <c r="Y65" s="1" t="s">
        <v>198</v>
      </c>
      <c r="Z65" s="1" t="s">
        <v>198</v>
      </c>
      <c r="AA65" s="1" t="s">
        <v>198</v>
      </c>
      <c r="AB65" s="1" t="s">
        <v>287</v>
      </c>
      <c r="AC65" s="1"/>
      <c r="AD65" s="1" t="s">
        <v>198</v>
      </c>
      <c r="AG65">
        <v>63</v>
      </c>
      <c r="AH65" s="1">
        <v>61</v>
      </c>
      <c r="AI65">
        <v>63</v>
      </c>
      <c r="AT65" s="1"/>
    </row>
    <row r="66" spans="1:46">
      <c r="A66" s="3">
        <v>65</v>
      </c>
      <c r="B66" s="186" t="s">
        <v>186</v>
      </c>
      <c r="C66" s="186">
        <v>11</v>
      </c>
      <c r="D66" s="1" t="s">
        <v>189</v>
      </c>
      <c r="F66">
        <v>11006</v>
      </c>
      <c r="R66">
        <v>64</v>
      </c>
      <c r="S66" t="s">
        <v>781</v>
      </c>
      <c r="T66">
        <v>64</v>
      </c>
      <c r="U66" s="1">
        <v>25</v>
      </c>
      <c r="V66" s="1">
        <v>75</v>
      </c>
      <c r="W66" s="1">
        <v>46</v>
      </c>
      <c r="X66" s="1">
        <v>46</v>
      </c>
      <c r="Y66" s="1">
        <v>46</v>
      </c>
      <c r="Z66" s="1">
        <v>46</v>
      </c>
      <c r="AA66" s="1">
        <v>46</v>
      </c>
      <c r="AB66" s="1" t="s">
        <v>746</v>
      </c>
      <c r="AC66" s="1"/>
      <c r="AD66" s="1">
        <v>46</v>
      </c>
      <c r="AG66">
        <v>64</v>
      </c>
      <c r="AH66" s="1" t="s">
        <v>703</v>
      </c>
      <c r="AI66">
        <v>64</v>
      </c>
      <c r="AT66" s="1"/>
    </row>
    <row r="67" spans="1:46">
      <c r="A67">
        <v>66</v>
      </c>
      <c r="B67" s="186" t="s">
        <v>186</v>
      </c>
      <c r="C67" s="186">
        <v>11</v>
      </c>
      <c r="D67" s="1">
        <v>37</v>
      </c>
      <c r="F67">
        <v>11007</v>
      </c>
      <c r="R67">
        <v>65</v>
      </c>
      <c r="S67" t="s">
        <v>782</v>
      </c>
      <c r="T67">
        <v>65</v>
      </c>
      <c r="U67" s="1" t="s">
        <v>180</v>
      </c>
      <c r="V67" s="1" t="s">
        <v>716</v>
      </c>
      <c r="W67" s="1" t="s">
        <v>199</v>
      </c>
      <c r="X67" s="1" t="s">
        <v>199</v>
      </c>
      <c r="Y67" s="1" t="s">
        <v>199</v>
      </c>
      <c r="Z67" s="1" t="s">
        <v>199</v>
      </c>
      <c r="AA67" s="1" t="s">
        <v>199</v>
      </c>
      <c r="AB67" s="1" t="s">
        <v>288</v>
      </c>
      <c r="AC67" s="1"/>
      <c r="AD67" s="1" t="s">
        <v>199</v>
      </c>
      <c r="AG67">
        <v>65</v>
      </c>
      <c r="AH67" s="1">
        <v>63</v>
      </c>
      <c r="AI67">
        <v>65</v>
      </c>
      <c r="AT67" s="1"/>
    </row>
    <row r="68" spans="1:46">
      <c r="A68" s="3">
        <v>67</v>
      </c>
      <c r="B68" s="186" t="s">
        <v>186</v>
      </c>
      <c r="C68" s="186">
        <v>11</v>
      </c>
      <c r="D68" s="1" t="s">
        <v>190</v>
      </c>
      <c r="F68">
        <v>11008</v>
      </c>
      <c r="AG68">
        <v>66</v>
      </c>
      <c r="AH68" s="1" t="s">
        <v>704</v>
      </c>
      <c r="AI68">
        <v>66</v>
      </c>
    </row>
    <row r="69" spans="1:46">
      <c r="A69">
        <v>68</v>
      </c>
      <c r="B69" s="186" t="s">
        <v>186</v>
      </c>
      <c r="C69" s="186">
        <v>11</v>
      </c>
      <c r="D69" s="1">
        <v>38</v>
      </c>
      <c r="F69">
        <v>11009</v>
      </c>
      <c r="AG69">
        <v>67</v>
      </c>
      <c r="AH69" s="1">
        <v>64</v>
      </c>
      <c r="AI69">
        <v>67</v>
      </c>
    </row>
    <row r="70" spans="1:46">
      <c r="A70" s="3">
        <v>69</v>
      </c>
      <c r="B70" s="186" t="s">
        <v>186</v>
      </c>
      <c r="C70" s="186">
        <v>11</v>
      </c>
      <c r="D70" s="1" t="s">
        <v>191</v>
      </c>
      <c r="F70">
        <v>11010</v>
      </c>
      <c r="AG70">
        <v>68</v>
      </c>
      <c r="AH70" s="1" t="s">
        <v>705</v>
      </c>
      <c r="AI70">
        <v>68</v>
      </c>
    </row>
    <row r="71" spans="1:46">
      <c r="A71">
        <v>70</v>
      </c>
      <c r="B71" s="186" t="s">
        <v>186</v>
      </c>
      <c r="C71" s="186">
        <v>11</v>
      </c>
      <c r="D71" s="1">
        <v>39</v>
      </c>
      <c r="F71">
        <v>11011</v>
      </c>
      <c r="AG71">
        <v>69</v>
      </c>
      <c r="AH71" s="1">
        <v>65</v>
      </c>
      <c r="AI71">
        <v>69</v>
      </c>
    </row>
    <row r="72" spans="1:46">
      <c r="A72" s="3">
        <v>71</v>
      </c>
      <c r="B72" s="186" t="s">
        <v>186</v>
      </c>
      <c r="C72" s="186">
        <v>11</v>
      </c>
      <c r="D72" s="1" t="s">
        <v>192</v>
      </c>
      <c r="F72">
        <v>11012</v>
      </c>
      <c r="AG72">
        <v>70</v>
      </c>
      <c r="AH72" s="1" t="s">
        <v>706</v>
      </c>
      <c r="AI72">
        <v>70</v>
      </c>
    </row>
    <row r="73" spans="1:46">
      <c r="A73">
        <v>72</v>
      </c>
      <c r="B73" s="186" t="s">
        <v>186</v>
      </c>
      <c r="C73" s="186">
        <v>11</v>
      </c>
      <c r="D73" s="1">
        <v>40</v>
      </c>
      <c r="F73">
        <v>11013</v>
      </c>
      <c r="AG73">
        <v>71</v>
      </c>
      <c r="AH73" s="1">
        <v>66</v>
      </c>
      <c r="AI73">
        <v>71</v>
      </c>
    </row>
    <row r="74" spans="1:46">
      <c r="A74" s="3">
        <v>73</v>
      </c>
      <c r="B74" s="186" t="s">
        <v>186</v>
      </c>
      <c r="C74" s="186">
        <v>11</v>
      </c>
      <c r="D74" s="1" t="s">
        <v>193</v>
      </c>
      <c r="F74">
        <v>11014</v>
      </c>
      <c r="AG74">
        <v>72</v>
      </c>
      <c r="AH74" s="1" t="s">
        <v>707</v>
      </c>
      <c r="AI74">
        <v>72</v>
      </c>
    </row>
    <row r="75" spans="1:46">
      <c r="A75">
        <v>74</v>
      </c>
      <c r="B75" s="186" t="s">
        <v>186</v>
      </c>
      <c r="C75" s="186">
        <v>11</v>
      </c>
      <c r="D75" s="1">
        <v>41</v>
      </c>
      <c r="F75">
        <v>11015</v>
      </c>
      <c r="AG75">
        <v>73</v>
      </c>
      <c r="AH75" s="1">
        <v>67</v>
      </c>
      <c r="AI75">
        <v>73</v>
      </c>
    </row>
    <row r="76" spans="1:46">
      <c r="A76" s="3">
        <v>75</v>
      </c>
      <c r="B76" s="186" t="s">
        <v>186</v>
      </c>
      <c r="C76" s="186">
        <v>11</v>
      </c>
      <c r="D76" s="1" t="s">
        <v>194</v>
      </c>
      <c r="F76">
        <v>11016</v>
      </c>
      <c r="AG76">
        <v>74</v>
      </c>
      <c r="AH76" s="1" t="s">
        <v>708</v>
      </c>
      <c r="AI76">
        <v>74</v>
      </c>
    </row>
    <row r="77" spans="1:46">
      <c r="A77">
        <v>76</v>
      </c>
      <c r="B77" s="186" t="s">
        <v>186</v>
      </c>
      <c r="C77" s="186">
        <v>11</v>
      </c>
      <c r="D77" s="1">
        <v>42</v>
      </c>
      <c r="F77">
        <v>11017</v>
      </c>
      <c r="AG77">
        <v>75</v>
      </c>
      <c r="AH77" s="1">
        <v>68</v>
      </c>
      <c r="AI77">
        <v>75</v>
      </c>
    </row>
    <row r="78" spans="1:46">
      <c r="A78" s="3">
        <v>77</v>
      </c>
      <c r="B78" s="186" t="s">
        <v>186</v>
      </c>
      <c r="C78" s="186">
        <v>11</v>
      </c>
      <c r="D78" s="1" t="s">
        <v>195</v>
      </c>
      <c r="F78">
        <v>11018</v>
      </c>
      <c r="AG78">
        <v>76</v>
      </c>
      <c r="AH78" s="1" t="s">
        <v>709</v>
      </c>
      <c r="AI78">
        <v>76</v>
      </c>
    </row>
    <row r="79" spans="1:46">
      <c r="A79">
        <v>78</v>
      </c>
      <c r="B79" s="186" t="s">
        <v>186</v>
      </c>
      <c r="C79" s="186">
        <v>11</v>
      </c>
      <c r="D79" s="1">
        <v>43</v>
      </c>
      <c r="F79">
        <v>11019</v>
      </c>
      <c r="AG79">
        <v>77</v>
      </c>
      <c r="AH79" s="1">
        <v>69</v>
      </c>
      <c r="AI79">
        <v>77</v>
      </c>
    </row>
    <row r="80" spans="1:46">
      <c r="A80" s="3">
        <v>79</v>
      </c>
      <c r="B80" s="186" t="s">
        <v>186</v>
      </c>
      <c r="C80" s="186">
        <v>11</v>
      </c>
      <c r="D80" s="1" t="s">
        <v>196</v>
      </c>
      <c r="F80">
        <v>11020</v>
      </c>
      <c r="AG80">
        <v>78</v>
      </c>
      <c r="AH80" s="1" t="s">
        <v>710</v>
      </c>
      <c r="AI80">
        <v>78</v>
      </c>
    </row>
    <row r="81" spans="1:46">
      <c r="A81">
        <v>80</v>
      </c>
      <c r="B81" s="186" t="s">
        <v>186</v>
      </c>
      <c r="C81" s="186">
        <v>11</v>
      </c>
      <c r="D81" s="1">
        <v>44</v>
      </c>
      <c r="F81">
        <v>11021</v>
      </c>
      <c r="AG81">
        <v>79</v>
      </c>
      <c r="AH81" s="1">
        <v>70</v>
      </c>
      <c r="AI81">
        <v>79</v>
      </c>
    </row>
    <row r="82" spans="1:46">
      <c r="A82" s="3">
        <v>81</v>
      </c>
      <c r="B82" s="186" t="s">
        <v>186</v>
      </c>
      <c r="C82" s="186">
        <v>11</v>
      </c>
      <c r="D82" s="1" t="s">
        <v>197</v>
      </c>
      <c r="F82">
        <v>11022</v>
      </c>
      <c r="AG82">
        <v>80</v>
      </c>
      <c r="AH82" s="1" t="s">
        <v>711</v>
      </c>
      <c r="AI82">
        <v>80</v>
      </c>
    </row>
    <row r="83" spans="1:46">
      <c r="A83">
        <v>82</v>
      </c>
      <c r="B83" s="186" t="s">
        <v>186</v>
      </c>
      <c r="C83" s="186">
        <v>11</v>
      </c>
      <c r="D83" s="1">
        <v>45</v>
      </c>
      <c r="F83">
        <v>11023</v>
      </c>
      <c r="AG83">
        <v>81</v>
      </c>
      <c r="AH83" s="1">
        <v>71</v>
      </c>
      <c r="AI83">
        <v>81</v>
      </c>
    </row>
    <row r="84" spans="1:46">
      <c r="A84" s="3">
        <v>83</v>
      </c>
      <c r="B84" s="186" t="s">
        <v>186</v>
      </c>
      <c r="C84" s="186">
        <v>11</v>
      </c>
      <c r="D84" s="1" t="s">
        <v>198</v>
      </c>
      <c r="F84">
        <v>11024</v>
      </c>
      <c r="AG84">
        <v>82</v>
      </c>
      <c r="AH84" s="1" t="s">
        <v>712</v>
      </c>
      <c r="AI84">
        <v>82</v>
      </c>
    </row>
    <row r="85" spans="1:46">
      <c r="A85">
        <v>84</v>
      </c>
      <c r="B85" s="186" t="s">
        <v>186</v>
      </c>
      <c r="C85" s="186">
        <v>11</v>
      </c>
      <c r="D85" s="1">
        <v>46</v>
      </c>
      <c r="F85">
        <v>11025</v>
      </c>
      <c r="AG85">
        <v>83</v>
      </c>
      <c r="AH85" s="1">
        <v>72</v>
      </c>
      <c r="AI85">
        <v>83</v>
      </c>
    </row>
    <row r="86" spans="1:46">
      <c r="A86" s="3">
        <v>85</v>
      </c>
      <c r="B86" s="186" t="s">
        <v>186</v>
      </c>
      <c r="C86" s="186">
        <v>11</v>
      </c>
      <c r="D86" s="1" t="s">
        <v>199</v>
      </c>
      <c r="F86">
        <v>11026</v>
      </c>
      <c r="AG86">
        <v>84</v>
      </c>
      <c r="AH86" s="1" t="s">
        <v>713</v>
      </c>
      <c r="AI86">
        <v>84</v>
      </c>
    </row>
    <row r="87" spans="1:46">
      <c r="A87">
        <v>86</v>
      </c>
      <c r="B87" s="186" t="s">
        <v>107</v>
      </c>
      <c r="C87" s="186">
        <v>12</v>
      </c>
      <c r="D87" s="1">
        <v>34</v>
      </c>
      <c r="F87">
        <v>12001</v>
      </c>
      <c r="AG87">
        <v>85</v>
      </c>
      <c r="AH87" s="1">
        <v>73</v>
      </c>
      <c r="AI87">
        <v>85</v>
      </c>
    </row>
    <row r="88" spans="1:46">
      <c r="A88" s="3">
        <v>87</v>
      </c>
      <c r="B88" s="186" t="s">
        <v>107</v>
      </c>
      <c r="C88" s="186">
        <v>12</v>
      </c>
      <c r="D88" s="1" t="s">
        <v>187</v>
      </c>
      <c r="F88">
        <v>12002</v>
      </c>
      <c r="AG88">
        <v>86</v>
      </c>
      <c r="AH88" s="1" t="s">
        <v>714</v>
      </c>
      <c r="AI88">
        <v>86</v>
      </c>
    </row>
    <row r="89" spans="1:46">
      <c r="A89">
        <v>88</v>
      </c>
      <c r="B89" s="186" t="s">
        <v>107</v>
      </c>
      <c r="C89" s="186">
        <v>12</v>
      </c>
      <c r="D89" s="1">
        <v>35</v>
      </c>
      <c r="F89">
        <v>12003</v>
      </c>
      <c r="AG89">
        <v>87</v>
      </c>
      <c r="AH89" s="1">
        <v>74</v>
      </c>
      <c r="AI89">
        <v>87</v>
      </c>
    </row>
    <row r="90" spans="1:46">
      <c r="A90" s="3">
        <v>89</v>
      </c>
      <c r="B90" s="186" t="s">
        <v>107</v>
      </c>
      <c r="C90" s="186">
        <v>12</v>
      </c>
      <c r="D90" s="1" t="s">
        <v>188</v>
      </c>
      <c r="F90">
        <v>12004</v>
      </c>
      <c r="AG90">
        <v>88</v>
      </c>
      <c r="AH90" s="1" t="s">
        <v>715</v>
      </c>
      <c r="AI90">
        <v>88</v>
      </c>
    </row>
    <row r="91" spans="1:46">
      <c r="A91">
        <v>90</v>
      </c>
      <c r="B91" s="186" t="s">
        <v>107</v>
      </c>
      <c r="C91" s="186">
        <v>12</v>
      </c>
      <c r="D91" s="1">
        <v>36</v>
      </c>
      <c r="F91">
        <v>12005</v>
      </c>
      <c r="AG91">
        <v>89</v>
      </c>
      <c r="AH91" s="1">
        <v>75</v>
      </c>
      <c r="AI91">
        <v>89</v>
      </c>
    </row>
    <row r="92" spans="1:46">
      <c r="A92" s="3">
        <v>91</v>
      </c>
      <c r="B92" s="186" t="s">
        <v>107</v>
      </c>
      <c r="C92" s="186">
        <v>12</v>
      </c>
      <c r="D92" s="1" t="s">
        <v>189</v>
      </c>
      <c r="F92">
        <v>12006</v>
      </c>
      <c r="AG92">
        <v>90</v>
      </c>
      <c r="AH92" s="1" t="s">
        <v>716</v>
      </c>
      <c r="AI92">
        <v>90</v>
      </c>
    </row>
    <row r="93" spans="1:46">
      <c r="A93">
        <v>92</v>
      </c>
      <c r="B93" s="186" t="s">
        <v>107</v>
      </c>
      <c r="C93" s="186">
        <v>12</v>
      </c>
      <c r="D93" s="1">
        <v>37</v>
      </c>
      <c r="F93">
        <v>12007</v>
      </c>
      <c r="AG93">
        <v>91</v>
      </c>
      <c r="AH93" s="1">
        <v>1</v>
      </c>
      <c r="AI93">
        <v>91</v>
      </c>
    </row>
    <row r="94" spans="1:46">
      <c r="A94" s="3">
        <v>93</v>
      </c>
      <c r="B94" s="186" t="s">
        <v>107</v>
      </c>
      <c r="C94" s="186">
        <v>12</v>
      </c>
      <c r="D94" s="1" t="s">
        <v>190</v>
      </c>
      <c r="F94">
        <v>12008</v>
      </c>
      <c r="AG94">
        <v>92</v>
      </c>
      <c r="AH94" s="1">
        <v>2</v>
      </c>
      <c r="AI94">
        <v>92</v>
      </c>
    </row>
    <row r="95" spans="1:46">
      <c r="A95">
        <v>94</v>
      </c>
      <c r="B95" s="186" t="s">
        <v>107</v>
      </c>
      <c r="C95" s="186">
        <v>12</v>
      </c>
      <c r="D95" s="1">
        <v>38</v>
      </c>
      <c r="F95">
        <v>12009</v>
      </c>
      <c r="AG95">
        <v>93</v>
      </c>
      <c r="AH95" s="1">
        <v>3</v>
      </c>
      <c r="AI95">
        <v>93</v>
      </c>
    </row>
    <row r="96" spans="1:46">
      <c r="A96" s="3">
        <v>95</v>
      </c>
      <c r="B96" s="186" t="s">
        <v>107</v>
      </c>
      <c r="C96" s="186">
        <v>12</v>
      </c>
      <c r="D96" s="1" t="s">
        <v>191</v>
      </c>
      <c r="F96">
        <v>12010</v>
      </c>
      <c r="AG96">
        <v>94</v>
      </c>
      <c r="AH96" s="1" t="s">
        <v>717</v>
      </c>
      <c r="AI96">
        <v>94</v>
      </c>
      <c r="AT96" s="1"/>
    </row>
    <row r="97" spans="1:46">
      <c r="A97">
        <v>96</v>
      </c>
      <c r="B97" s="186" t="s">
        <v>107</v>
      </c>
      <c r="C97" s="186">
        <v>12</v>
      </c>
      <c r="D97" s="1">
        <v>39</v>
      </c>
      <c r="F97">
        <v>12011</v>
      </c>
      <c r="AG97">
        <v>95</v>
      </c>
      <c r="AH97" s="1">
        <v>4</v>
      </c>
      <c r="AI97">
        <v>95</v>
      </c>
      <c r="AT97" s="1"/>
    </row>
    <row r="98" spans="1:46">
      <c r="A98" s="3">
        <v>97</v>
      </c>
      <c r="B98" s="186" t="s">
        <v>107</v>
      </c>
      <c r="C98" s="186">
        <v>12</v>
      </c>
      <c r="D98" s="1" t="s">
        <v>192</v>
      </c>
      <c r="F98">
        <v>12012</v>
      </c>
      <c r="AG98">
        <v>96</v>
      </c>
      <c r="AH98" s="1">
        <v>5</v>
      </c>
      <c r="AI98">
        <v>96</v>
      </c>
      <c r="AT98" s="1"/>
    </row>
    <row r="99" spans="1:46">
      <c r="A99">
        <v>98</v>
      </c>
      <c r="B99" s="186" t="s">
        <v>107</v>
      </c>
      <c r="C99" s="186">
        <v>12</v>
      </c>
      <c r="D99" s="1">
        <v>40</v>
      </c>
      <c r="F99">
        <v>12013</v>
      </c>
      <c r="AG99">
        <v>97</v>
      </c>
      <c r="AH99" s="1">
        <v>6</v>
      </c>
      <c r="AI99">
        <v>97</v>
      </c>
      <c r="AT99" s="1"/>
    </row>
    <row r="100" spans="1:46">
      <c r="A100" s="3">
        <v>99</v>
      </c>
      <c r="B100" s="186" t="s">
        <v>107</v>
      </c>
      <c r="C100" s="186">
        <v>12</v>
      </c>
      <c r="D100" s="1" t="s">
        <v>193</v>
      </c>
      <c r="F100">
        <v>12014</v>
      </c>
      <c r="AG100">
        <v>98</v>
      </c>
      <c r="AH100" s="1" t="s">
        <v>718</v>
      </c>
      <c r="AI100">
        <v>98</v>
      </c>
      <c r="AT100" s="1"/>
    </row>
    <row r="101" spans="1:46">
      <c r="A101">
        <v>100</v>
      </c>
      <c r="B101" s="186" t="s">
        <v>107</v>
      </c>
      <c r="C101" s="186">
        <v>12</v>
      </c>
      <c r="D101" s="1">
        <v>41</v>
      </c>
      <c r="F101">
        <v>12015</v>
      </c>
      <c r="AG101">
        <v>99</v>
      </c>
      <c r="AH101" s="1">
        <v>7</v>
      </c>
      <c r="AI101">
        <v>99</v>
      </c>
      <c r="AT101" s="1"/>
    </row>
    <row r="102" spans="1:46">
      <c r="A102" s="3">
        <v>101</v>
      </c>
      <c r="B102" s="186" t="s">
        <v>107</v>
      </c>
      <c r="C102" s="186">
        <v>12</v>
      </c>
      <c r="D102" s="1" t="s">
        <v>194</v>
      </c>
      <c r="F102">
        <v>12016</v>
      </c>
      <c r="AG102">
        <v>100</v>
      </c>
      <c r="AH102" s="1" t="s">
        <v>719</v>
      </c>
      <c r="AI102">
        <v>100</v>
      </c>
      <c r="AT102" s="1"/>
    </row>
    <row r="103" spans="1:46">
      <c r="A103">
        <v>102</v>
      </c>
      <c r="B103" s="186" t="s">
        <v>107</v>
      </c>
      <c r="C103" s="186">
        <v>12</v>
      </c>
      <c r="D103" s="1">
        <v>42</v>
      </c>
      <c r="F103">
        <v>12017</v>
      </c>
      <c r="AG103">
        <v>101</v>
      </c>
      <c r="AH103" s="1">
        <v>8</v>
      </c>
      <c r="AI103">
        <v>101</v>
      </c>
      <c r="AT103" s="1"/>
    </row>
    <row r="104" spans="1:46">
      <c r="A104" s="3">
        <v>103</v>
      </c>
      <c r="B104" s="186" t="s">
        <v>107</v>
      </c>
      <c r="C104" s="186">
        <v>12</v>
      </c>
      <c r="D104" s="1" t="s">
        <v>195</v>
      </c>
      <c r="F104">
        <v>12018</v>
      </c>
      <c r="AG104">
        <v>102</v>
      </c>
      <c r="AH104" s="1" t="s">
        <v>333</v>
      </c>
      <c r="AI104">
        <v>102</v>
      </c>
      <c r="AT104" s="1"/>
    </row>
    <row r="105" spans="1:46">
      <c r="A105">
        <v>104</v>
      </c>
      <c r="B105" s="186" t="s">
        <v>107</v>
      </c>
      <c r="C105" s="186">
        <v>12</v>
      </c>
      <c r="D105" s="1">
        <v>43</v>
      </c>
      <c r="F105">
        <v>12019</v>
      </c>
      <c r="AG105">
        <v>103</v>
      </c>
      <c r="AH105" s="1">
        <v>9</v>
      </c>
      <c r="AI105">
        <v>103</v>
      </c>
      <c r="AT105" s="1"/>
    </row>
    <row r="106" spans="1:46">
      <c r="A106" s="3">
        <v>105</v>
      </c>
      <c r="B106" s="186" t="s">
        <v>107</v>
      </c>
      <c r="C106" s="186">
        <v>12</v>
      </c>
      <c r="D106" s="1" t="s">
        <v>196</v>
      </c>
      <c r="F106">
        <v>12020</v>
      </c>
      <c r="AG106">
        <v>104</v>
      </c>
      <c r="AH106" s="1" t="s">
        <v>334</v>
      </c>
      <c r="AI106">
        <v>104</v>
      </c>
      <c r="AT106" s="1"/>
    </row>
    <row r="107" spans="1:46">
      <c r="A107">
        <v>106</v>
      </c>
      <c r="B107" s="186" t="s">
        <v>107</v>
      </c>
      <c r="C107" s="186">
        <v>12</v>
      </c>
      <c r="D107" s="1">
        <v>44</v>
      </c>
      <c r="F107">
        <v>12021</v>
      </c>
      <c r="AG107">
        <v>105</v>
      </c>
      <c r="AH107" s="1">
        <v>10</v>
      </c>
      <c r="AI107">
        <v>105</v>
      </c>
      <c r="AT107" s="1"/>
    </row>
    <row r="108" spans="1:46">
      <c r="A108" s="3">
        <v>107</v>
      </c>
      <c r="B108" s="186" t="s">
        <v>107</v>
      </c>
      <c r="C108" s="186">
        <v>12</v>
      </c>
      <c r="D108" s="1" t="s">
        <v>197</v>
      </c>
      <c r="F108">
        <v>12022</v>
      </c>
      <c r="AG108">
        <v>106</v>
      </c>
      <c r="AH108" s="1" t="s">
        <v>335</v>
      </c>
      <c r="AI108">
        <v>106</v>
      </c>
      <c r="AT108" s="1"/>
    </row>
    <row r="109" spans="1:46">
      <c r="A109">
        <v>108</v>
      </c>
      <c r="B109" s="186" t="s">
        <v>107</v>
      </c>
      <c r="C109" s="186">
        <v>12</v>
      </c>
      <c r="D109" s="1">
        <v>45</v>
      </c>
      <c r="F109">
        <v>12023</v>
      </c>
      <c r="AG109">
        <v>107</v>
      </c>
      <c r="AH109" s="1">
        <v>11</v>
      </c>
      <c r="AI109">
        <v>107</v>
      </c>
      <c r="AT109" s="1"/>
    </row>
    <row r="110" spans="1:46">
      <c r="A110" s="3">
        <v>109</v>
      </c>
      <c r="B110" s="186" t="s">
        <v>107</v>
      </c>
      <c r="C110" s="186">
        <v>12</v>
      </c>
      <c r="D110" s="1" t="s">
        <v>198</v>
      </c>
      <c r="F110">
        <v>12024</v>
      </c>
      <c r="AG110">
        <v>108</v>
      </c>
      <c r="AH110" s="1" t="s">
        <v>389</v>
      </c>
      <c r="AI110">
        <v>108</v>
      </c>
      <c r="AT110" s="1"/>
    </row>
    <row r="111" spans="1:46">
      <c r="A111">
        <v>110</v>
      </c>
      <c r="B111" s="186" t="s">
        <v>107</v>
      </c>
      <c r="C111" s="186">
        <v>12</v>
      </c>
      <c r="D111" s="1">
        <v>46</v>
      </c>
      <c r="F111">
        <v>12025</v>
      </c>
      <c r="AG111">
        <v>109</v>
      </c>
      <c r="AH111" s="1">
        <v>12</v>
      </c>
      <c r="AI111">
        <v>109</v>
      </c>
      <c r="AT111" s="1"/>
    </row>
    <row r="112" spans="1:46">
      <c r="A112" s="3">
        <v>111</v>
      </c>
      <c r="B112" s="186" t="s">
        <v>107</v>
      </c>
      <c r="C112" s="186">
        <v>12</v>
      </c>
      <c r="D112" s="1" t="s">
        <v>199</v>
      </c>
      <c r="F112">
        <v>12026</v>
      </c>
      <c r="AG112">
        <v>110</v>
      </c>
      <c r="AH112" s="1" t="s">
        <v>141</v>
      </c>
      <c r="AI112">
        <v>110</v>
      </c>
      <c r="AT112" s="1"/>
    </row>
    <row r="113" spans="1:6">
      <c r="A113">
        <v>112</v>
      </c>
      <c r="B113" s="186" t="s">
        <v>200</v>
      </c>
      <c r="C113" s="186">
        <v>13</v>
      </c>
      <c r="D113" s="1">
        <v>34</v>
      </c>
      <c r="F113">
        <v>13001</v>
      </c>
    </row>
    <row r="114" spans="1:6">
      <c r="A114" s="3">
        <v>113</v>
      </c>
      <c r="B114" s="186" t="s">
        <v>200</v>
      </c>
      <c r="C114" s="186">
        <v>13</v>
      </c>
      <c r="D114" s="1" t="s">
        <v>187</v>
      </c>
      <c r="F114">
        <v>13002</v>
      </c>
    </row>
    <row r="115" spans="1:6">
      <c r="A115">
        <v>114</v>
      </c>
      <c r="B115" s="186" t="s">
        <v>200</v>
      </c>
      <c r="C115" s="186">
        <v>13</v>
      </c>
      <c r="D115" s="1">
        <v>35</v>
      </c>
      <c r="F115">
        <v>13003</v>
      </c>
    </row>
    <row r="116" spans="1:6">
      <c r="A116" s="3">
        <v>115</v>
      </c>
      <c r="B116" s="186" t="s">
        <v>200</v>
      </c>
      <c r="C116" s="186">
        <v>13</v>
      </c>
      <c r="D116" s="1" t="s">
        <v>188</v>
      </c>
      <c r="F116">
        <v>13004</v>
      </c>
    </row>
    <row r="117" spans="1:6">
      <c r="A117">
        <v>116</v>
      </c>
      <c r="B117" s="186" t="s">
        <v>200</v>
      </c>
      <c r="C117" s="186">
        <v>13</v>
      </c>
      <c r="D117" s="1">
        <v>36</v>
      </c>
      <c r="F117">
        <v>13005</v>
      </c>
    </row>
    <row r="118" spans="1:6">
      <c r="A118" s="3">
        <v>117</v>
      </c>
      <c r="B118" s="186" t="s">
        <v>200</v>
      </c>
      <c r="C118" s="186">
        <v>13</v>
      </c>
      <c r="D118" s="1" t="s">
        <v>189</v>
      </c>
      <c r="F118">
        <v>13006</v>
      </c>
    </row>
    <row r="119" spans="1:6">
      <c r="A119">
        <v>118</v>
      </c>
      <c r="B119" s="186" t="s">
        <v>200</v>
      </c>
      <c r="C119" s="186">
        <v>13</v>
      </c>
      <c r="D119" s="1">
        <v>37</v>
      </c>
      <c r="F119">
        <v>13007</v>
      </c>
    </row>
    <row r="120" spans="1:6">
      <c r="A120" s="3">
        <v>119</v>
      </c>
      <c r="B120" s="186" t="s">
        <v>200</v>
      </c>
      <c r="C120" s="186">
        <v>13</v>
      </c>
      <c r="D120" s="1" t="s">
        <v>190</v>
      </c>
      <c r="F120">
        <v>13008</v>
      </c>
    </row>
    <row r="121" spans="1:6">
      <c r="A121">
        <v>120</v>
      </c>
      <c r="B121" s="186" t="s">
        <v>200</v>
      </c>
      <c r="C121" s="186">
        <v>13</v>
      </c>
      <c r="D121" s="1">
        <v>38</v>
      </c>
      <c r="F121">
        <v>13009</v>
      </c>
    </row>
    <row r="122" spans="1:6">
      <c r="A122" s="3">
        <v>121</v>
      </c>
      <c r="B122" s="186" t="s">
        <v>200</v>
      </c>
      <c r="C122" s="186">
        <v>13</v>
      </c>
      <c r="D122" s="1" t="s">
        <v>191</v>
      </c>
      <c r="F122">
        <v>13010</v>
      </c>
    </row>
    <row r="123" spans="1:6">
      <c r="A123">
        <v>122</v>
      </c>
      <c r="B123" s="186" t="s">
        <v>200</v>
      </c>
      <c r="C123" s="186">
        <v>13</v>
      </c>
      <c r="D123" s="1">
        <v>39</v>
      </c>
      <c r="F123">
        <v>13011</v>
      </c>
    </row>
    <row r="124" spans="1:6">
      <c r="A124" s="3">
        <v>123</v>
      </c>
      <c r="B124" s="186" t="s">
        <v>200</v>
      </c>
      <c r="C124" s="186">
        <v>13</v>
      </c>
      <c r="D124" s="1" t="s">
        <v>192</v>
      </c>
      <c r="F124">
        <v>13012</v>
      </c>
    </row>
    <row r="125" spans="1:6">
      <c r="A125">
        <v>124</v>
      </c>
      <c r="B125" s="186" t="s">
        <v>200</v>
      </c>
      <c r="C125" s="186">
        <v>13</v>
      </c>
      <c r="D125" s="1">
        <v>40</v>
      </c>
      <c r="F125">
        <v>13013</v>
      </c>
    </row>
    <row r="126" spans="1:6">
      <c r="A126" s="3">
        <v>125</v>
      </c>
      <c r="B126" s="186" t="s">
        <v>200</v>
      </c>
      <c r="C126" s="186">
        <v>13</v>
      </c>
      <c r="D126" s="1" t="s">
        <v>193</v>
      </c>
      <c r="F126">
        <v>13014</v>
      </c>
    </row>
    <row r="127" spans="1:6">
      <c r="A127">
        <v>126</v>
      </c>
      <c r="B127" s="186" t="s">
        <v>200</v>
      </c>
      <c r="C127" s="186">
        <v>13</v>
      </c>
      <c r="D127" s="1">
        <v>41</v>
      </c>
      <c r="F127">
        <v>13015</v>
      </c>
    </row>
    <row r="128" spans="1:6">
      <c r="A128" s="3">
        <v>127</v>
      </c>
      <c r="B128" s="186" t="s">
        <v>200</v>
      </c>
      <c r="C128" s="186">
        <v>13</v>
      </c>
      <c r="D128" s="1" t="s">
        <v>194</v>
      </c>
      <c r="F128">
        <v>13016</v>
      </c>
    </row>
    <row r="129" spans="1:6">
      <c r="A129">
        <v>128</v>
      </c>
      <c r="B129" s="186" t="s">
        <v>200</v>
      </c>
      <c r="C129" s="186">
        <v>13</v>
      </c>
      <c r="D129" s="1">
        <v>42</v>
      </c>
      <c r="F129">
        <v>13017</v>
      </c>
    </row>
    <row r="130" spans="1:6">
      <c r="A130" s="3">
        <v>129</v>
      </c>
      <c r="B130" s="186" t="s">
        <v>200</v>
      </c>
      <c r="C130" s="186">
        <v>13</v>
      </c>
      <c r="D130" s="1" t="s">
        <v>195</v>
      </c>
      <c r="F130">
        <v>13018</v>
      </c>
    </row>
    <row r="131" spans="1:6">
      <c r="A131">
        <v>130</v>
      </c>
      <c r="B131" s="186" t="s">
        <v>200</v>
      </c>
      <c r="C131" s="186">
        <v>13</v>
      </c>
      <c r="D131" s="1">
        <v>43</v>
      </c>
      <c r="F131">
        <v>13019</v>
      </c>
    </row>
    <row r="132" spans="1:6">
      <c r="A132" s="3">
        <v>131</v>
      </c>
      <c r="B132" s="186" t="s">
        <v>200</v>
      </c>
      <c r="C132" s="186">
        <v>13</v>
      </c>
      <c r="D132" s="1" t="s">
        <v>196</v>
      </c>
      <c r="F132">
        <v>13020</v>
      </c>
    </row>
    <row r="133" spans="1:6">
      <c r="A133">
        <v>132</v>
      </c>
      <c r="B133" s="186" t="s">
        <v>200</v>
      </c>
      <c r="C133" s="186">
        <v>13</v>
      </c>
      <c r="D133" s="1">
        <v>44</v>
      </c>
      <c r="F133">
        <v>13021</v>
      </c>
    </row>
    <row r="134" spans="1:6">
      <c r="A134" s="3">
        <v>133</v>
      </c>
      <c r="B134" s="186" t="s">
        <v>200</v>
      </c>
      <c r="C134" s="186">
        <v>13</v>
      </c>
      <c r="D134" s="1" t="s">
        <v>197</v>
      </c>
      <c r="F134">
        <v>13022</v>
      </c>
    </row>
    <row r="135" spans="1:6">
      <c r="A135">
        <v>134</v>
      </c>
      <c r="B135" s="186" t="s">
        <v>200</v>
      </c>
      <c r="C135" s="186">
        <v>13</v>
      </c>
      <c r="D135" s="1">
        <v>45</v>
      </c>
      <c r="F135">
        <v>13023</v>
      </c>
    </row>
    <row r="136" spans="1:6">
      <c r="A136" s="3">
        <v>135</v>
      </c>
      <c r="B136" s="186" t="s">
        <v>200</v>
      </c>
      <c r="C136" s="186">
        <v>13</v>
      </c>
      <c r="D136" s="1" t="s">
        <v>198</v>
      </c>
      <c r="F136">
        <v>13024</v>
      </c>
    </row>
    <row r="137" spans="1:6">
      <c r="A137">
        <v>136</v>
      </c>
      <c r="B137" s="186" t="s">
        <v>200</v>
      </c>
      <c r="C137" s="186">
        <v>13</v>
      </c>
      <c r="D137" s="1">
        <v>46</v>
      </c>
      <c r="F137">
        <v>13025</v>
      </c>
    </row>
    <row r="138" spans="1:6">
      <c r="A138" s="3">
        <v>137</v>
      </c>
      <c r="B138" s="186" t="s">
        <v>200</v>
      </c>
      <c r="C138" s="186">
        <v>13</v>
      </c>
      <c r="D138" s="1" t="s">
        <v>199</v>
      </c>
      <c r="F138">
        <v>13026</v>
      </c>
    </row>
    <row r="139" spans="1:6">
      <c r="A139">
        <v>138</v>
      </c>
      <c r="B139" s="186" t="s">
        <v>201</v>
      </c>
      <c r="C139" s="186">
        <v>15</v>
      </c>
    </row>
    <row r="140" spans="1:6">
      <c r="A140" s="3">
        <v>139</v>
      </c>
      <c r="B140" s="186" t="s">
        <v>202</v>
      </c>
      <c r="C140" s="186">
        <v>16</v>
      </c>
    </row>
    <row r="141" spans="1:6">
      <c r="A141">
        <v>140</v>
      </c>
      <c r="B141" s="186" t="s">
        <v>203</v>
      </c>
      <c r="C141" s="186">
        <v>17</v>
      </c>
    </row>
    <row r="142" spans="1:6">
      <c r="A142" s="3">
        <v>141</v>
      </c>
      <c r="B142" s="186" t="s">
        <v>204</v>
      </c>
      <c r="C142" s="186">
        <v>18</v>
      </c>
    </row>
    <row r="143" spans="1:6">
      <c r="A143">
        <v>142</v>
      </c>
      <c r="B143" s="186" t="s">
        <v>205</v>
      </c>
      <c r="C143" s="186">
        <v>21</v>
      </c>
    </row>
    <row r="144" spans="1:6">
      <c r="A144" s="3">
        <v>143</v>
      </c>
      <c r="B144" s="186" t="s">
        <v>206</v>
      </c>
      <c r="C144" s="186">
        <v>22</v>
      </c>
    </row>
    <row r="145" spans="1:3">
      <c r="A145">
        <v>144</v>
      </c>
      <c r="B145" s="186" t="s">
        <v>207</v>
      </c>
      <c r="C145" s="186">
        <v>23</v>
      </c>
    </row>
    <row r="146" spans="1:3">
      <c r="A146" s="3">
        <v>145</v>
      </c>
      <c r="B146" s="186" t="s">
        <v>208</v>
      </c>
      <c r="C146" s="186">
        <v>24</v>
      </c>
    </row>
    <row r="147" spans="1:3">
      <c r="A147">
        <v>146</v>
      </c>
      <c r="B147" s="186" t="s">
        <v>209</v>
      </c>
      <c r="C147" s="186">
        <v>25</v>
      </c>
    </row>
    <row r="148" spans="1:3">
      <c r="A148" s="3">
        <v>147</v>
      </c>
      <c r="B148" s="186" t="s">
        <v>210</v>
      </c>
      <c r="C148" s="186">
        <v>27</v>
      </c>
    </row>
    <row r="149" spans="1:3">
      <c r="A149">
        <v>148</v>
      </c>
      <c r="B149" s="186" t="s">
        <v>211</v>
      </c>
      <c r="C149" s="186">
        <v>28</v>
      </c>
    </row>
    <row r="150" spans="1:3">
      <c r="A150" s="3">
        <v>149</v>
      </c>
      <c r="B150" s="186" t="s">
        <v>110</v>
      </c>
      <c r="C150" s="186">
        <v>31</v>
      </c>
    </row>
    <row r="151" spans="1:3">
      <c r="A151">
        <v>150</v>
      </c>
      <c r="B151" s="186" t="s">
        <v>212</v>
      </c>
      <c r="C151" s="186">
        <v>32</v>
      </c>
    </row>
    <row r="152" spans="1:3">
      <c r="A152" s="3">
        <v>151</v>
      </c>
      <c r="B152" s="186" t="s">
        <v>213</v>
      </c>
      <c r="C152" s="186">
        <v>33</v>
      </c>
    </row>
    <row r="153" spans="1:3">
      <c r="A153">
        <v>152</v>
      </c>
      <c r="B153" s="186" t="s">
        <v>214</v>
      </c>
      <c r="C153" s="186">
        <v>35</v>
      </c>
    </row>
    <row r="154" spans="1:3">
      <c r="A154" s="3">
        <v>153</v>
      </c>
      <c r="B154" s="186" t="s">
        <v>215</v>
      </c>
      <c r="C154" s="186">
        <v>36</v>
      </c>
    </row>
    <row r="155" spans="1:3">
      <c r="A155">
        <v>154</v>
      </c>
      <c r="B155" s="186" t="s">
        <v>216</v>
      </c>
      <c r="C155" s="186">
        <v>37</v>
      </c>
    </row>
    <row r="156" spans="1:3">
      <c r="A156" s="3">
        <v>155</v>
      </c>
      <c r="B156" s="186" t="s">
        <v>217</v>
      </c>
      <c r="C156" s="186">
        <v>38</v>
      </c>
    </row>
    <row r="157" spans="1:3">
      <c r="A157">
        <v>156</v>
      </c>
      <c r="B157" s="186" t="s">
        <v>218</v>
      </c>
      <c r="C157" s="186">
        <v>39</v>
      </c>
    </row>
    <row r="158" spans="1:3">
      <c r="A158" s="3">
        <v>157</v>
      </c>
      <c r="B158" s="186" t="s">
        <v>219</v>
      </c>
      <c r="C158" s="186">
        <v>41</v>
      </c>
    </row>
    <row r="159" spans="1:3">
      <c r="A159">
        <v>158</v>
      </c>
      <c r="B159" s="186" t="s">
        <v>220</v>
      </c>
      <c r="C159" s="186">
        <v>42</v>
      </c>
    </row>
    <row r="160" spans="1:3">
      <c r="A160" s="3">
        <v>159</v>
      </c>
      <c r="B160" s="186" t="s">
        <v>221</v>
      </c>
      <c r="C160" s="186">
        <v>43</v>
      </c>
    </row>
    <row r="161" spans="1:3">
      <c r="A161">
        <v>160</v>
      </c>
      <c r="B161" s="186" t="s">
        <v>222</v>
      </c>
      <c r="C161" s="186">
        <v>44</v>
      </c>
    </row>
    <row r="162" spans="1:3">
      <c r="A162" s="3">
        <v>161</v>
      </c>
      <c r="B162" s="186" t="s">
        <v>223</v>
      </c>
      <c r="C162" s="186">
        <v>45</v>
      </c>
    </row>
    <row r="163" spans="1:3">
      <c r="A163">
        <v>162</v>
      </c>
      <c r="B163" s="186" t="s">
        <v>224</v>
      </c>
      <c r="C163" s="186">
        <v>50</v>
      </c>
    </row>
    <row r="164" spans="1:3">
      <c r="A164" s="3">
        <v>163</v>
      </c>
      <c r="B164" s="186" t="s">
        <v>225</v>
      </c>
      <c r="C164" s="186">
        <v>51</v>
      </c>
    </row>
    <row r="165" spans="1:3">
      <c r="A165">
        <v>164</v>
      </c>
      <c r="B165" s="186" t="s">
        <v>183</v>
      </c>
      <c r="C165" s="186">
        <v>57</v>
      </c>
    </row>
    <row r="166" spans="1:3">
      <c r="A166" s="3">
        <v>165</v>
      </c>
      <c r="B166" s="186" t="s">
        <v>226</v>
      </c>
      <c r="C166" s="186">
        <v>58</v>
      </c>
    </row>
    <row r="167" spans="1:3">
      <c r="A167">
        <v>166</v>
      </c>
      <c r="B167" s="186" t="s">
        <v>227</v>
      </c>
      <c r="C167" s="186">
        <v>59</v>
      </c>
    </row>
    <row r="168" spans="1:3">
      <c r="A168" s="3">
        <v>167</v>
      </c>
      <c r="B168" s="186" t="s">
        <v>228</v>
      </c>
      <c r="C168" s="186">
        <v>61</v>
      </c>
    </row>
    <row r="169" spans="1:3">
      <c r="A169">
        <v>168</v>
      </c>
      <c r="B169" s="186" t="s">
        <v>229</v>
      </c>
      <c r="C169" s="186">
        <v>63</v>
      </c>
    </row>
    <row r="170" spans="1:3">
      <c r="A170" s="3">
        <v>169</v>
      </c>
      <c r="B170" s="186" t="s">
        <v>230</v>
      </c>
      <c r="C170" s="186">
        <v>64</v>
      </c>
    </row>
    <row r="171" spans="1:3">
      <c r="A171">
        <v>170</v>
      </c>
      <c r="B171" s="186" t="s">
        <v>231</v>
      </c>
      <c r="C171" s="186">
        <v>65</v>
      </c>
    </row>
    <row r="172" spans="1:3">
      <c r="A172" s="3">
        <v>171</v>
      </c>
      <c r="B172" s="186" t="s">
        <v>232</v>
      </c>
      <c r="C172" s="186">
        <v>67</v>
      </c>
    </row>
    <row r="173" spans="1:3">
      <c r="A173">
        <v>172</v>
      </c>
      <c r="B173" s="186" t="s">
        <v>233</v>
      </c>
      <c r="C173" s="186">
        <v>68</v>
      </c>
    </row>
    <row r="174" spans="1:3">
      <c r="A174" s="3">
        <v>173</v>
      </c>
      <c r="B174" s="186" t="s">
        <v>234</v>
      </c>
      <c r="C174" s="186">
        <v>72</v>
      </c>
    </row>
    <row r="175" spans="1:3">
      <c r="A175">
        <v>174</v>
      </c>
      <c r="B175" s="186" t="s">
        <v>235</v>
      </c>
      <c r="C175" s="186">
        <v>74</v>
      </c>
    </row>
    <row r="176" spans="1:3">
      <c r="A176" s="3">
        <v>175</v>
      </c>
      <c r="B176" s="186" t="s">
        <v>236</v>
      </c>
      <c r="C176" s="186">
        <v>77</v>
      </c>
    </row>
    <row r="177" spans="1:3">
      <c r="A177">
        <v>176</v>
      </c>
      <c r="B177" s="186" t="s">
        <v>237</v>
      </c>
      <c r="C177" s="186">
        <v>78</v>
      </c>
    </row>
    <row r="178" spans="1:3">
      <c r="A178" s="3">
        <v>177</v>
      </c>
      <c r="B178" s="186" t="s">
        <v>238</v>
      </c>
      <c r="C178" s="186">
        <v>80</v>
      </c>
    </row>
    <row r="179" spans="1:3">
      <c r="A179">
        <v>178</v>
      </c>
      <c r="B179" s="186" t="s">
        <v>239</v>
      </c>
      <c r="C179" s="186">
        <v>82</v>
      </c>
    </row>
    <row r="180" spans="1:3">
      <c r="A180" s="3">
        <v>179</v>
      </c>
      <c r="B180" s="186" t="s">
        <v>240</v>
      </c>
      <c r="C180" s="186">
        <v>83</v>
      </c>
    </row>
    <row r="181" spans="1:3">
      <c r="A181">
        <v>180</v>
      </c>
      <c r="B181" s="186" t="s">
        <v>241</v>
      </c>
      <c r="C181" s="186">
        <v>84</v>
      </c>
    </row>
    <row r="182" spans="1:3">
      <c r="A182" s="3">
        <v>181</v>
      </c>
      <c r="B182" s="186" t="s">
        <v>242</v>
      </c>
      <c r="C182" s="186">
        <v>85</v>
      </c>
    </row>
    <row r="183" spans="1:3">
      <c r="A183">
        <v>182</v>
      </c>
      <c r="B183" s="186" t="s">
        <v>243</v>
      </c>
      <c r="C183" s="186">
        <v>86</v>
      </c>
    </row>
    <row r="184" spans="1:3">
      <c r="A184" s="3">
        <v>183</v>
      </c>
      <c r="B184" s="186" t="s">
        <v>244</v>
      </c>
      <c r="C184" s="186">
        <v>90</v>
      </c>
    </row>
    <row r="185" spans="1:3">
      <c r="A185">
        <v>184</v>
      </c>
      <c r="B185" s="186" t="s">
        <v>245</v>
      </c>
      <c r="C185" s="186">
        <v>91</v>
      </c>
    </row>
    <row r="186" spans="1:3">
      <c r="A186" s="3">
        <v>185</v>
      </c>
      <c r="B186" s="186" t="s">
        <v>246</v>
      </c>
      <c r="C186" s="186">
        <v>92</v>
      </c>
    </row>
    <row r="187" spans="1:3">
      <c r="A187">
        <v>186</v>
      </c>
      <c r="B187" s="186" t="s">
        <v>247</v>
      </c>
      <c r="C187" s="186">
        <v>93</v>
      </c>
    </row>
    <row r="188" spans="1:3">
      <c r="A188" s="3">
        <v>187</v>
      </c>
      <c r="B188" s="186" t="s">
        <v>248</v>
      </c>
      <c r="C188" s="186">
        <v>95</v>
      </c>
    </row>
    <row r="189" spans="1:3">
      <c r="A189">
        <v>188</v>
      </c>
      <c r="B189" s="186" t="s">
        <v>249</v>
      </c>
      <c r="C189" s="186">
        <v>96</v>
      </c>
    </row>
    <row r="190" spans="1:3">
      <c r="A190" s="3">
        <v>189</v>
      </c>
      <c r="B190" s="186" t="s">
        <v>250</v>
      </c>
      <c r="C190" s="186">
        <v>98</v>
      </c>
    </row>
    <row r="191" spans="1:3">
      <c r="A191">
        <v>190</v>
      </c>
      <c r="B191" s="187" t="s">
        <v>251</v>
      </c>
      <c r="C191" s="187">
        <v>99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8977E-2CC4-455A-93FF-3FDD444E1D90}">
  <sheetPr codeName="גיליון17"/>
  <dimension ref="A1:U111"/>
  <sheetViews>
    <sheetView rightToLeft="1" topLeftCell="A90" workbookViewId="0">
      <selection sqref="A1:C111"/>
    </sheetView>
  </sheetViews>
  <sheetFormatPr defaultRowHeight="14.4"/>
  <cols>
    <col min="4" max="4" width="11.6640625" bestFit="1" customWidth="1"/>
  </cols>
  <sheetData>
    <row r="1" spans="1:21" ht="57.6">
      <c r="B1" s="1" t="s">
        <v>17</v>
      </c>
      <c r="D1" s="4" t="s">
        <v>725</v>
      </c>
      <c r="E1" s="3" t="s">
        <v>1429</v>
      </c>
    </row>
    <row r="2" spans="1:21">
      <c r="A2">
        <v>1</v>
      </c>
      <c r="B2" s="1">
        <v>10</v>
      </c>
      <c r="C2">
        <v>1</v>
      </c>
      <c r="D2" s="2">
        <v>1878.9</v>
      </c>
      <c r="E2" t="s">
        <v>116</v>
      </c>
    </row>
    <row r="3" spans="1:21">
      <c r="A3">
        <v>2</v>
      </c>
      <c r="B3" s="1">
        <v>11</v>
      </c>
      <c r="C3">
        <v>2</v>
      </c>
      <c r="D3" s="2">
        <v>1916.48</v>
      </c>
      <c r="E3" t="s">
        <v>116</v>
      </c>
      <c r="G3" s="229"/>
      <c r="H3" s="229"/>
      <c r="I3" s="229"/>
      <c r="J3" s="229"/>
      <c r="K3" s="229"/>
      <c r="L3" s="229"/>
    </row>
    <row r="4" spans="1:21">
      <c r="A4">
        <v>3</v>
      </c>
      <c r="B4" s="1">
        <v>12</v>
      </c>
      <c r="C4">
        <v>3</v>
      </c>
      <c r="D4" s="2">
        <v>1954.81</v>
      </c>
      <c r="E4" t="s">
        <v>116</v>
      </c>
      <c r="M4" s="229"/>
      <c r="N4" s="229"/>
      <c r="O4" s="229"/>
      <c r="P4" s="229"/>
      <c r="Q4" s="229"/>
      <c r="R4" s="229"/>
      <c r="S4" s="229"/>
      <c r="T4" s="229"/>
      <c r="U4" s="229"/>
    </row>
    <row r="5" spans="1:21">
      <c r="A5">
        <v>4</v>
      </c>
      <c r="B5" s="1" t="s">
        <v>141</v>
      </c>
      <c r="C5">
        <v>4</v>
      </c>
      <c r="D5" s="2">
        <v>1981.01</v>
      </c>
      <c r="E5" t="s">
        <v>116</v>
      </c>
    </row>
    <row r="6" spans="1:21">
      <c r="A6">
        <v>5</v>
      </c>
      <c r="B6" s="1">
        <v>13</v>
      </c>
      <c r="C6">
        <v>5</v>
      </c>
      <c r="D6" s="2">
        <v>2007.23</v>
      </c>
      <c r="E6" t="s">
        <v>116</v>
      </c>
    </row>
    <row r="7" spans="1:21">
      <c r="A7">
        <v>6</v>
      </c>
      <c r="B7" s="1" t="s">
        <v>144</v>
      </c>
      <c r="C7">
        <v>6</v>
      </c>
      <c r="D7" s="2">
        <v>2047.38</v>
      </c>
      <c r="E7" t="s">
        <v>116</v>
      </c>
    </row>
    <row r="8" spans="1:21">
      <c r="A8">
        <v>7</v>
      </c>
      <c r="B8" s="1">
        <v>14</v>
      </c>
      <c r="C8">
        <v>7</v>
      </c>
      <c r="D8" s="2">
        <v>2087.5300000000002</v>
      </c>
      <c r="E8" t="s">
        <v>116</v>
      </c>
    </row>
    <row r="9" spans="1:21">
      <c r="A9">
        <v>8</v>
      </c>
      <c r="B9" s="1" t="s">
        <v>147</v>
      </c>
      <c r="C9">
        <v>8</v>
      </c>
      <c r="D9" s="2">
        <v>2129.2800000000002</v>
      </c>
      <c r="E9" t="s">
        <v>116</v>
      </c>
    </row>
    <row r="10" spans="1:21">
      <c r="A10">
        <v>9</v>
      </c>
      <c r="B10" s="1">
        <v>15</v>
      </c>
      <c r="C10">
        <v>9</v>
      </c>
      <c r="D10" s="2">
        <v>2171.02</v>
      </c>
      <c r="E10" t="s">
        <v>116</v>
      </c>
    </row>
    <row r="11" spans="1:21">
      <c r="A11">
        <v>10</v>
      </c>
      <c r="B11" s="1" t="s">
        <v>150</v>
      </c>
      <c r="C11">
        <v>10</v>
      </c>
      <c r="D11" s="2">
        <v>2257.86</v>
      </c>
      <c r="E11" t="s">
        <v>116</v>
      </c>
    </row>
    <row r="12" spans="1:21">
      <c r="A12">
        <v>11</v>
      </c>
      <c r="B12" s="1">
        <v>16</v>
      </c>
      <c r="C12">
        <v>11</v>
      </c>
      <c r="D12" s="2">
        <v>2344.71</v>
      </c>
      <c r="E12" t="s">
        <v>116</v>
      </c>
    </row>
    <row r="13" spans="1:21">
      <c r="A13">
        <v>12</v>
      </c>
      <c r="B13" s="1" t="s">
        <v>153</v>
      </c>
      <c r="C13">
        <v>12</v>
      </c>
      <c r="D13" s="2">
        <v>2438.5</v>
      </c>
      <c r="E13" t="s">
        <v>116</v>
      </c>
    </row>
    <row r="14" spans="1:21">
      <c r="A14">
        <v>13</v>
      </c>
      <c r="B14" s="1">
        <v>17</v>
      </c>
      <c r="C14">
        <v>13</v>
      </c>
      <c r="D14" s="2">
        <v>2633.58</v>
      </c>
      <c r="E14" t="s">
        <v>116</v>
      </c>
    </row>
    <row r="15" spans="1:21">
      <c r="A15">
        <v>14</v>
      </c>
      <c r="B15" s="1" t="s">
        <v>156</v>
      </c>
      <c r="C15">
        <v>14</v>
      </c>
      <c r="D15" s="2">
        <v>2738.92</v>
      </c>
      <c r="E15" t="s">
        <v>116</v>
      </c>
    </row>
    <row r="16" spans="1:21">
      <c r="A16">
        <v>15</v>
      </c>
      <c r="B16" s="1">
        <v>18</v>
      </c>
      <c r="C16">
        <v>15</v>
      </c>
      <c r="D16" s="2">
        <v>2844.26</v>
      </c>
      <c r="E16" t="s">
        <v>116</v>
      </c>
    </row>
    <row r="17" spans="1:5">
      <c r="A17">
        <v>16</v>
      </c>
      <c r="B17" s="1" t="s">
        <v>159</v>
      </c>
      <c r="C17">
        <v>16</v>
      </c>
      <c r="D17" s="2">
        <v>2972.25</v>
      </c>
      <c r="E17" t="s">
        <v>116</v>
      </c>
    </row>
    <row r="18" spans="1:5">
      <c r="A18">
        <v>17</v>
      </c>
      <c r="B18" s="1">
        <v>19</v>
      </c>
      <c r="C18">
        <v>17</v>
      </c>
      <c r="D18" s="2">
        <v>3100.25</v>
      </c>
      <c r="E18" t="s">
        <v>115</v>
      </c>
    </row>
    <row r="19" spans="1:5">
      <c r="A19">
        <v>18</v>
      </c>
      <c r="B19" s="1" t="s">
        <v>162</v>
      </c>
      <c r="C19">
        <v>18</v>
      </c>
      <c r="D19" s="2">
        <v>3255.25</v>
      </c>
      <c r="E19" t="s">
        <v>115</v>
      </c>
    </row>
    <row r="20" spans="1:5">
      <c r="A20">
        <v>19</v>
      </c>
      <c r="B20" s="1">
        <v>20</v>
      </c>
      <c r="C20">
        <v>19</v>
      </c>
      <c r="D20" s="2">
        <v>3410.27</v>
      </c>
      <c r="E20" t="s">
        <v>115</v>
      </c>
    </row>
    <row r="21" spans="1:5">
      <c r="A21">
        <v>20</v>
      </c>
      <c r="B21" s="1" t="s">
        <v>165</v>
      </c>
      <c r="C21">
        <v>20</v>
      </c>
      <c r="D21" s="2">
        <v>3614.89</v>
      </c>
      <c r="E21" t="s">
        <v>115</v>
      </c>
    </row>
    <row r="22" spans="1:5">
      <c r="A22">
        <v>21</v>
      </c>
      <c r="B22" s="1">
        <v>21</v>
      </c>
      <c r="C22">
        <v>21</v>
      </c>
      <c r="D22" s="2">
        <v>3819.51</v>
      </c>
      <c r="E22" t="s">
        <v>115</v>
      </c>
    </row>
    <row r="23" spans="1:5">
      <c r="A23">
        <v>22</v>
      </c>
      <c r="B23" s="1" t="s">
        <v>168</v>
      </c>
      <c r="C23">
        <v>22</v>
      </c>
      <c r="D23" s="2">
        <v>4048.68</v>
      </c>
      <c r="E23" t="s">
        <v>115</v>
      </c>
    </row>
    <row r="24" spans="1:5">
      <c r="A24">
        <v>23</v>
      </c>
      <c r="B24" s="1">
        <v>22</v>
      </c>
      <c r="C24">
        <v>23</v>
      </c>
      <c r="D24" s="2">
        <v>4316.04</v>
      </c>
      <c r="E24" t="s">
        <v>115</v>
      </c>
    </row>
    <row r="25" spans="1:5">
      <c r="A25">
        <v>24</v>
      </c>
      <c r="B25" s="1" t="s">
        <v>171</v>
      </c>
      <c r="C25">
        <v>24</v>
      </c>
      <c r="D25" s="2">
        <v>4596.58</v>
      </c>
      <c r="E25" t="s">
        <v>115</v>
      </c>
    </row>
    <row r="26" spans="1:5">
      <c r="A26">
        <v>25</v>
      </c>
      <c r="B26" s="1">
        <v>23</v>
      </c>
      <c r="C26">
        <v>25</v>
      </c>
      <c r="D26" s="2">
        <v>4877.13</v>
      </c>
      <c r="E26" t="s">
        <v>115</v>
      </c>
    </row>
    <row r="27" spans="1:5">
      <c r="A27">
        <v>26</v>
      </c>
      <c r="B27" s="1" t="s">
        <v>174</v>
      </c>
      <c r="C27">
        <v>26</v>
      </c>
      <c r="D27" s="2">
        <v>5218.54</v>
      </c>
      <c r="E27" t="s">
        <v>115</v>
      </c>
    </row>
    <row r="28" spans="1:5">
      <c r="A28">
        <v>27</v>
      </c>
      <c r="B28" s="1">
        <v>24</v>
      </c>
      <c r="C28">
        <v>27</v>
      </c>
      <c r="D28" s="2">
        <v>5559.93</v>
      </c>
      <c r="E28" t="s">
        <v>115</v>
      </c>
    </row>
    <row r="29" spans="1:5">
      <c r="A29">
        <v>28</v>
      </c>
      <c r="B29" s="1" t="s">
        <v>177</v>
      </c>
      <c r="C29">
        <v>28</v>
      </c>
      <c r="D29" s="2">
        <v>6004.73</v>
      </c>
      <c r="E29" t="s">
        <v>115</v>
      </c>
    </row>
    <row r="30" spans="1:5">
      <c r="A30">
        <v>29</v>
      </c>
      <c r="B30" s="1">
        <v>25</v>
      </c>
      <c r="C30">
        <v>29</v>
      </c>
      <c r="D30" s="2">
        <v>6449.51</v>
      </c>
      <c r="E30" t="s">
        <v>115</v>
      </c>
    </row>
    <row r="31" spans="1:5">
      <c r="A31">
        <v>30</v>
      </c>
      <c r="B31" s="1" t="s">
        <v>180</v>
      </c>
      <c r="C31">
        <v>30</v>
      </c>
      <c r="D31" s="2">
        <v>6900.98</v>
      </c>
      <c r="E31" t="s">
        <v>115</v>
      </c>
    </row>
    <row r="32" spans="1:5">
      <c r="A32">
        <v>31</v>
      </c>
      <c r="B32" s="1" t="s">
        <v>702</v>
      </c>
      <c r="C32">
        <v>31</v>
      </c>
      <c r="D32" s="2"/>
    </row>
    <row r="33" spans="1:5">
      <c r="A33">
        <v>32</v>
      </c>
      <c r="B33" s="1" t="s">
        <v>702</v>
      </c>
      <c r="C33">
        <v>32</v>
      </c>
      <c r="D33" s="2"/>
    </row>
    <row r="34" spans="1:5">
      <c r="A34">
        <v>33</v>
      </c>
      <c r="B34" s="1">
        <v>34</v>
      </c>
      <c r="C34">
        <v>33</v>
      </c>
      <c r="D34" s="2">
        <v>2007.26</v>
      </c>
      <c r="E34" t="s">
        <v>116</v>
      </c>
    </row>
    <row r="35" spans="1:5">
      <c r="A35">
        <v>34</v>
      </c>
      <c r="B35" s="1" t="s">
        <v>187</v>
      </c>
      <c r="C35">
        <v>34</v>
      </c>
      <c r="D35" s="2">
        <v>2047.4</v>
      </c>
      <c r="E35" t="s">
        <v>116</v>
      </c>
    </row>
    <row r="36" spans="1:5">
      <c r="A36">
        <v>35</v>
      </c>
      <c r="B36" s="1">
        <v>35</v>
      </c>
      <c r="C36">
        <v>35</v>
      </c>
      <c r="D36" s="2">
        <v>2087.5500000000002</v>
      </c>
      <c r="E36" t="s">
        <v>116</v>
      </c>
    </row>
    <row r="37" spans="1:5">
      <c r="A37">
        <v>36</v>
      </c>
      <c r="B37" s="1" t="s">
        <v>188</v>
      </c>
      <c r="C37">
        <v>36</v>
      </c>
      <c r="D37" s="2">
        <v>2129.3000000000002</v>
      </c>
      <c r="E37" t="s">
        <v>116</v>
      </c>
    </row>
    <row r="38" spans="1:5">
      <c r="A38">
        <v>37</v>
      </c>
      <c r="B38" s="1">
        <v>36</v>
      </c>
      <c r="C38">
        <v>37</v>
      </c>
      <c r="D38" s="2">
        <v>2171.04</v>
      </c>
      <c r="E38" t="s">
        <v>116</v>
      </c>
    </row>
    <row r="39" spans="1:5">
      <c r="A39">
        <v>38</v>
      </c>
      <c r="B39" s="1" t="s">
        <v>189</v>
      </c>
      <c r="C39">
        <v>38</v>
      </c>
      <c r="D39" s="2">
        <v>2257.89</v>
      </c>
      <c r="E39" t="s">
        <v>116</v>
      </c>
    </row>
    <row r="40" spans="1:5">
      <c r="A40">
        <v>39</v>
      </c>
      <c r="B40" s="1">
        <v>37</v>
      </c>
      <c r="C40">
        <v>39</v>
      </c>
      <c r="D40" s="2">
        <v>2344.73</v>
      </c>
      <c r="E40" t="s">
        <v>116</v>
      </c>
    </row>
    <row r="41" spans="1:5">
      <c r="A41">
        <v>40</v>
      </c>
      <c r="B41" s="1" t="s">
        <v>190</v>
      </c>
      <c r="C41">
        <v>40</v>
      </c>
      <c r="D41" s="2">
        <v>2438.52</v>
      </c>
      <c r="E41" t="s">
        <v>116</v>
      </c>
    </row>
    <row r="42" spans="1:5">
      <c r="A42">
        <v>41</v>
      </c>
      <c r="B42" s="1">
        <v>38</v>
      </c>
      <c r="C42">
        <v>41</v>
      </c>
      <c r="D42" s="2">
        <v>2623.47</v>
      </c>
      <c r="E42" t="s">
        <v>116</v>
      </c>
    </row>
    <row r="43" spans="1:5">
      <c r="A43">
        <v>42</v>
      </c>
      <c r="B43" s="1" t="s">
        <v>191</v>
      </c>
      <c r="C43">
        <v>42</v>
      </c>
      <c r="D43" s="2">
        <v>2741.53</v>
      </c>
      <c r="E43" t="s">
        <v>116</v>
      </c>
    </row>
    <row r="44" spans="1:5">
      <c r="A44">
        <v>43</v>
      </c>
      <c r="B44" s="1">
        <v>39</v>
      </c>
      <c r="C44">
        <v>43</v>
      </c>
      <c r="D44" s="2">
        <v>2859.59</v>
      </c>
      <c r="E44" t="s">
        <v>116</v>
      </c>
    </row>
    <row r="45" spans="1:5">
      <c r="A45">
        <v>44</v>
      </c>
      <c r="B45" s="1" t="s">
        <v>192</v>
      </c>
      <c r="C45">
        <v>44</v>
      </c>
      <c r="D45" s="2">
        <v>3002.57</v>
      </c>
      <c r="E45" t="s">
        <v>116</v>
      </c>
    </row>
    <row r="46" spans="1:5">
      <c r="A46">
        <v>45</v>
      </c>
      <c r="B46" s="1">
        <v>40</v>
      </c>
      <c r="C46">
        <v>45</v>
      </c>
      <c r="D46" s="2">
        <v>3145.55</v>
      </c>
      <c r="E46" t="s">
        <v>115</v>
      </c>
    </row>
    <row r="47" spans="1:5">
      <c r="A47">
        <v>46</v>
      </c>
      <c r="B47" s="1" t="s">
        <v>193</v>
      </c>
      <c r="C47">
        <v>46</v>
      </c>
      <c r="D47" s="2">
        <v>3310.68</v>
      </c>
      <c r="E47" t="s">
        <v>115</v>
      </c>
    </row>
    <row r="48" spans="1:5">
      <c r="A48">
        <v>47</v>
      </c>
      <c r="B48" s="1">
        <v>41</v>
      </c>
      <c r="C48">
        <v>47</v>
      </c>
      <c r="D48" s="2">
        <v>3475.83</v>
      </c>
      <c r="E48" t="s">
        <v>115</v>
      </c>
    </row>
    <row r="49" spans="1:5">
      <c r="A49">
        <v>48</v>
      </c>
      <c r="B49" s="1" t="s">
        <v>194</v>
      </c>
      <c r="C49">
        <v>48</v>
      </c>
      <c r="D49" s="2">
        <v>3684.38</v>
      </c>
      <c r="E49" t="s">
        <v>115</v>
      </c>
    </row>
    <row r="50" spans="1:5">
      <c r="A50">
        <v>49</v>
      </c>
      <c r="B50" s="1">
        <v>42</v>
      </c>
      <c r="C50">
        <v>49</v>
      </c>
      <c r="D50" s="2">
        <v>3962.45</v>
      </c>
      <c r="E50" t="s">
        <v>115</v>
      </c>
    </row>
    <row r="51" spans="1:5">
      <c r="A51">
        <v>50</v>
      </c>
      <c r="B51" s="1" t="s">
        <v>195</v>
      </c>
      <c r="C51">
        <v>50</v>
      </c>
      <c r="D51" s="2">
        <v>4289.3500000000004</v>
      </c>
      <c r="E51" t="s">
        <v>115</v>
      </c>
    </row>
    <row r="52" spans="1:5">
      <c r="A52">
        <v>51</v>
      </c>
      <c r="B52" s="1">
        <v>43</v>
      </c>
      <c r="C52">
        <v>51</v>
      </c>
      <c r="D52" s="2">
        <v>4616.26</v>
      </c>
      <c r="E52" t="s">
        <v>115</v>
      </c>
    </row>
    <row r="53" spans="1:5">
      <c r="A53">
        <v>52</v>
      </c>
      <c r="B53" s="1" t="s">
        <v>196</v>
      </c>
      <c r="C53">
        <v>52</v>
      </c>
      <c r="D53" s="2">
        <v>4916.32</v>
      </c>
      <c r="E53" t="s">
        <v>115</v>
      </c>
    </row>
    <row r="54" spans="1:5">
      <c r="A54">
        <v>53</v>
      </c>
      <c r="B54" s="1">
        <v>44</v>
      </c>
      <c r="C54">
        <v>53</v>
      </c>
      <c r="D54" s="2">
        <v>5216.37</v>
      </c>
      <c r="E54" t="s">
        <v>115</v>
      </c>
    </row>
    <row r="55" spans="1:5">
      <c r="A55">
        <v>54</v>
      </c>
      <c r="B55" s="1" t="s">
        <v>197</v>
      </c>
      <c r="C55">
        <v>54</v>
      </c>
      <c r="D55" s="2">
        <v>5581.52</v>
      </c>
      <c r="E55" t="s">
        <v>115</v>
      </c>
    </row>
    <row r="56" spans="1:5">
      <c r="A56">
        <v>55</v>
      </c>
      <c r="B56" s="1">
        <v>45</v>
      </c>
      <c r="C56">
        <v>55</v>
      </c>
      <c r="D56" s="2">
        <v>5946.66</v>
      </c>
      <c r="E56" t="s">
        <v>115</v>
      </c>
    </row>
    <row r="57" spans="1:5">
      <c r="A57">
        <v>56</v>
      </c>
      <c r="B57" s="1" t="s">
        <v>198</v>
      </c>
      <c r="C57">
        <v>56</v>
      </c>
      <c r="D57" s="2">
        <v>6422.4</v>
      </c>
      <c r="E57" t="s">
        <v>115</v>
      </c>
    </row>
    <row r="58" spans="1:5">
      <c r="A58">
        <v>57</v>
      </c>
      <c r="B58" s="1">
        <v>46</v>
      </c>
      <c r="C58">
        <v>57</v>
      </c>
      <c r="D58" s="2">
        <v>6898.13</v>
      </c>
      <c r="E58" t="s">
        <v>115</v>
      </c>
    </row>
    <row r="59" spans="1:5">
      <c r="A59">
        <v>58</v>
      </c>
      <c r="B59" s="1" t="s">
        <v>199</v>
      </c>
      <c r="C59">
        <v>58</v>
      </c>
      <c r="D59" s="2">
        <v>7449.98</v>
      </c>
      <c r="E59" t="s">
        <v>115</v>
      </c>
    </row>
    <row r="60" spans="1:5">
      <c r="A60">
        <v>59</v>
      </c>
      <c r="B60" s="1" t="s">
        <v>702</v>
      </c>
      <c r="C60">
        <v>59</v>
      </c>
      <c r="D60" s="1"/>
    </row>
    <row r="61" spans="1:5">
      <c r="A61">
        <v>60</v>
      </c>
      <c r="B61" s="1" t="s">
        <v>702</v>
      </c>
      <c r="C61">
        <v>60</v>
      </c>
      <c r="D61" s="1"/>
    </row>
    <row r="62" spans="1:5">
      <c r="A62">
        <v>61</v>
      </c>
      <c r="B62" s="1">
        <v>60</v>
      </c>
      <c r="C62">
        <v>61</v>
      </c>
      <c r="D62" s="2">
        <v>0</v>
      </c>
    </row>
    <row r="63" spans="1:5">
      <c r="A63">
        <v>62</v>
      </c>
      <c r="B63" s="1">
        <v>61</v>
      </c>
      <c r="C63">
        <v>62</v>
      </c>
      <c r="D63" s="2">
        <v>0</v>
      </c>
    </row>
    <row r="64" spans="1:5">
      <c r="A64">
        <v>63</v>
      </c>
      <c r="B64" s="1">
        <v>61</v>
      </c>
      <c r="C64">
        <v>63</v>
      </c>
      <c r="D64" s="2">
        <v>0</v>
      </c>
    </row>
    <row r="65" spans="1:4">
      <c r="A65">
        <v>64</v>
      </c>
      <c r="B65" s="1" t="s">
        <v>703</v>
      </c>
      <c r="C65">
        <v>64</v>
      </c>
      <c r="D65" s="2">
        <v>0</v>
      </c>
    </row>
    <row r="66" spans="1:4">
      <c r="A66">
        <v>65</v>
      </c>
      <c r="B66" s="1">
        <v>63</v>
      </c>
      <c r="C66">
        <v>65</v>
      </c>
      <c r="D66" s="2" t="e">
        <f>+D36*#REF!</f>
        <v>#REF!</v>
      </c>
    </row>
    <row r="67" spans="1:4">
      <c r="A67">
        <v>66</v>
      </c>
      <c r="B67" s="1" t="s">
        <v>704</v>
      </c>
      <c r="C67">
        <v>66</v>
      </c>
      <c r="D67" s="2" t="e">
        <f>+D37*#REF!</f>
        <v>#REF!</v>
      </c>
    </row>
    <row r="68" spans="1:4">
      <c r="A68">
        <v>67</v>
      </c>
      <c r="B68" s="1">
        <v>64</v>
      </c>
      <c r="C68">
        <v>67</v>
      </c>
      <c r="D68" s="2" t="e">
        <f>+D38*#REF!</f>
        <v>#REF!</v>
      </c>
    </row>
    <row r="69" spans="1:4">
      <c r="A69">
        <v>68</v>
      </c>
      <c r="B69" s="1" t="s">
        <v>705</v>
      </c>
      <c r="C69">
        <v>68</v>
      </c>
      <c r="D69" s="2" t="e">
        <f>+D39*#REF!</f>
        <v>#REF!</v>
      </c>
    </row>
    <row r="70" spans="1:4">
      <c r="A70">
        <v>69</v>
      </c>
      <c r="B70" s="1">
        <v>65</v>
      </c>
      <c r="C70">
        <v>69</v>
      </c>
      <c r="D70" s="2" t="e">
        <f>+D40*#REF!</f>
        <v>#REF!</v>
      </c>
    </row>
    <row r="71" spans="1:4">
      <c r="A71">
        <v>70</v>
      </c>
      <c r="B71" s="1" t="s">
        <v>706</v>
      </c>
      <c r="C71">
        <v>70</v>
      </c>
      <c r="D71" s="2" t="e">
        <f>+D41*#REF!</f>
        <v>#REF!</v>
      </c>
    </row>
    <row r="72" spans="1:4">
      <c r="A72">
        <v>71</v>
      </c>
      <c r="B72" s="1">
        <v>66</v>
      </c>
      <c r="C72">
        <v>71</v>
      </c>
      <c r="D72" s="2" t="e">
        <f>+D42*#REF!</f>
        <v>#REF!</v>
      </c>
    </row>
    <row r="73" spans="1:4">
      <c r="A73">
        <v>72</v>
      </c>
      <c r="B73" s="1" t="s">
        <v>707</v>
      </c>
      <c r="C73">
        <v>72</v>
      </c>
      <c r="D73" s="2" t="e">
        <f>+D43*#REF!</f>
        <v>#REF!</v>
      </c>
    </row>
    <row r="74" spans="1:4">
      <c r="A74">
        <v>73</v>
      </c>
      <c r="B74" s="1">
        <v>67</v>
      </c>
      <c r="C74">
        <v>73</v>
      </c>
      <c r="D74" s="2" t="e">
        <f>+D44*#REF!</f>
        <v>#REF!</v>
      </c>
    </row>
    <row r="75" spans="1:4">
      <c r="A75">
        <v>74</v>
      </c>
      <c r="B75" s="1" t="s">
        <v>708</v>
      </c>
      <c r="C75">
        <v>74</v>
      </c>
      <c r="D75" s="2" t="e">
        <f>+D45*#REF!</f>
        <v>#REF!</v>
      </c>
    </row>
    <row r="76" spans="1:4">
      <c r="A76">
        <v>75</v>
      </c>
      <c r="B76" s="1">
        <v>68</v>
      </c>
      <c r="C76">
        <v>75</v>
      </c>
      <c r="D76" s="2" t="e">
        <f>+D46*#REF!</f>
        <v>#REF!</v>
      </c>
    </row>
    <row r="77" spans="1:4">
      <c r="A77">
        <v>76</v>
      </c>
      <c r="B77" s="1" t="s">
        <v>709</v>
      </c>
      <c r="C77">
        <v>76</v>
      </c>
      <c r="D77" s="2" t="e">
        <f>+D47*#REF!</f>
        <v>#REF!</v>
      </c>
    </row>
    <row r="78" spans="1:4">
      <c r="A78">
        <v>77</v>
      </c>
      <c r="B78" s="1">
        <v>69</v>
      </c>
      <c r="C78">
        <v>77</v>
      </c>
      <c r="D78" s="2" t="e">
        <f>+D48*#REF!</f>
        <v>#REF!</v>
      </c>
    </row>
    <row r="79" spans="1:4">
      <c r="A79">
        <v>78</v>
      </c>
      <c r="B79" s="1" t="s">
        <v>710</v>
      </c>
      <c r="C79">
        <v>78</v>
      </c>
      <c r="D79" s="2" t="e">
        <f>+D49*#REF!</f>
        <v>#REF!</v>
      </c>
    </row>
    <row r="80" spans="1:4">
      <c r="A80">
        <v>79</v>
      </c>
      <c r="B80" s="1">
        <v>70</v>
      </c>
      <c r="C80">
        <v>79</v>
      </c>
      <c r="D80" s="2" t="e">
        <f>+D50*#REF!</f>
        <v>#REF!</v>
      </c>
    </row>
    <row r="81" spans="1:4">
      <c r="A81">
        <v>80</v>
      </c>
      <c r="B81" s="1" t="s">
        <v>711</v>
      </c>
      <c r="C81">
        <v>80</v>
      </c>
      <c r="D81" s="2" t="e">
        <f>+D51*#REF!</f>
        <v>#REF!</v>
      </c>
    </row>
    <row r="82" spans="1:4">
      <c r="A82">
        <v>81</v>
      </c>
      <c r="B82" s="1">
        <v>71</v>
      </c>
      <c r="C82">
        <v>81</v>
      </c>
      <c r="D82" s="2" t="e">
        <f>+D52*#REF!</f>
        <v>#REF!</v>
      </c>
    </row>
    <row r="83" spans="1:4">
      <c r="A83">
        <v>82</v>
      </c>
      <c r="B83" s="1" t="s">
        <v>712</v>
      </c>
      <c r="C83">
        <v>82</v>
      </c>
      <c r="D83" s="2" t="e">
        <f>+D53*#REF!</f>
        <v>#REF!</v>
      </c>
    </row>
    <row r="84" spans="1:4">
      <c r="A84">
        <v>83</v>
      </c>
      <c r="B84" s="1">
        <v>72</v>
      </c>
      <c r="C84">
        <v>83</v>
      </c>
      <c r="D84" s="2" t="e">
        <f>+D54*#REF!</f>
        <v>#REF!</v>
      </c>
    </row>
    <row r="85" spans="1:4">
      <c r="A85">
        <v>84</v>
      </c>
      <c r="B85" s="1" t="s">
        <v>713</v>
      </c>
      <c r="C85">
        <v>84</v>
      </c>
      <c r="D85" s="2" t="e">
        <f>+D55*#REF!</f>
        <v>#REF!</v>
      </c>
    </row>
    <row r="86" spans="1:4">
      <c r="A86">
        <v>85</v>
      </c>
      <c r="B86" s="1">
        <v>73</v>
      </c>
      <c r="C86">
        <v>85</v>
      </c>
      <c r="D86" s="2" t="e">
        <f>+D56*#REF!</f>
        <v>#REF!</v>
      </c>
    </row>
    <row r="87" spans="1:4">
      <c r="A87">
        <v>86</v>
      </c>
      <c r="B87" s="1" t="s">
        <v>714</v>
      </c>
      <c r="C87">
        <v>86</v>
      </c>
      <c r="D87" s="2" t="e">
        <f>+D57*#REF!</f>
        <v>#REF!</v>
      </c>
    </row>
    <row r="88" spans="1:4">
      <c r="A88">
        <v>87</v>
      </c>
      <c r="B88" s="1">
        <v>74</v>
      </c>
      <c r="C88">
        <v>87</v>
      </c>
      <c r="D88" s="2" t="e">
        <f>+D58*#REF!</f>
        <v>#REF!</v>
      </c>
    </row>
    <row r="89" spans="1:4">
      <c r="A89">
        <v>88</v>
      </c>
      <c r="B89" s="1" t="s">
        <v>715</v>
      </c>
      <c r="C89">
        <v>88</v>
      </c>
      <c r="D89" s="2" t="e">
        <f>+D59*#REF!</f>
        <v>#REF!</v>
      </c>
    </row>
    <row r="90" spans="1:4">
      <c r="A90">
        <v>89</v>
      </c>
      <c r="B90" s="1">
        <v>75</v>
      </c>
      <c r="C90">
        <v>89</v>
      </c>
      <c r="D90" s="2" t="e">
        <f>+D60*#REF!</f>
        <v>#REF!</v>
      </c>
    </row>
    <row r="91" spans="1:4">
      <c r="A91">
        <v>90</v>
      </c>
      <c r="B91" s="1" t="s">
        <v>716</v>
      </c>
      <c r="C91">
        <v>90</v>
      </c>
      <c r="D91" s="2" t="e">
        <f>+D61*#REF!</f>
        <v>#REF!</v>
      </c>
    </row>
    <row r="92" spans="1:4">
      <c r="A92">
        <v>91</v>
      </c>
      <c r="B92" s="1">
        <v>1</v>
      </c>
      <c r="C92">
        <v>91</v>
      </c>
      <c r="D92" s="2">
        <v>5544.89</v>
      </c>
    </row>
    <row r="93" spans="1:4">
      <c r="A93">
        <v>92</v>
      </c>
      <c r="B93" s="1">
        <v>2</v>
      </c>
      <c r="C93">
        <v>92</v>
      </c>
      <c r="D93" s="2">
        <v>5877.58</v>
      </c>
    </row>
    <row r="94" spans="1:4">
      <c r="A94">
        <v>93</v>
      </c>
      <c r="B94" s="1">
        <v>3</v>
      </c>
      <c r="C94">
        <v>93</v>
      </c>
      <c r="D94" s="2">
        <v>6347.79</v>
      </c>
    </row>
    <row r="95" spans="1:4">
      <c r="A95">
        <v>94</v>
      </c>
      <c r="B95" s="1" t="s">
        <v>717</v>
      </c>
      <c r="C95">
        <v>94</v>
      </c>
      <c r="D95" s="2">
        <v>6538.22</v>
      </c>
    </row>
    <row r="96" spans="1:4">
      <c r="A96">
        <v>95</v>
      </c>
      <c r="B96" s="1">
        <v>4</v>
      </c>
      <c r="C96">
        <v>95</v>
      </c>
      <c r="D96" s="2">
        <v>7192.05</v>
      </c>
    </row>
    <row r="97" spans="1:4">
      <c r="A97">
        <v>96</v>
      </c>
      <c r="B97" s="1">
        <v>5</v>
      </c>
      <c r="C97">
        <v>96</v>
      </c>
      <c r="D97" s="2">
        <v>7623.57</v>
      </c>
    </row>
    <row r="98" spans="1:4">
      <c r="A98">
        <v>97</v>
      </c>
      <c r="B98" s="1">
        <v>6</v>
      </c>
      <c r="C98">
        <v>97</v>
      </c>
      <c r="D98" s="2">
        <v>8080.98</v>
      </c>
    </row>
    <row r="99" spans="1:4">
      <c r="A99">
        <v>98</v>
      </c>
      <c r="B99" s="1" t="s">
        <v>718</v>
      </c>
      <c r="C99">
        <v>98</v>
      </c>
      <c r="D99" s="2">
        <v>6323.41</v>
      </c>
    </row>
    <row r="100" spans="1:4">
      <c r="A100">
        <v>99</v>
      </c>
      <c r="B100" s="1">
        <v>7</v>
      </c>
      <c r="C100">
        <v>99</v>
      </c>
      <c r="D100" s="2">
        <v>8573.11</v>
      </c>
    </row>
    <row r="101" spans="1:4">
      <c r="A101">
        <v>100</v>
      </c>
      <c r="B101" s="1" t="s">
        <v>719</v>
      </c>
      <c r="C101">
        <v>100</v>
      </c>
      <c r="D101" s="2">
        <v>8830.31</v>
      </c>
    </row>
    <row r="102" spans="1:4">
      <c r="A102">
        <v>101</v>
      </c>
      <c r="B102" s="1">
        <v>8</v>
      </c>
      <c r="C102">
        <v>101</v>
      </c>
      <c r="D102" s="2">
        <v>9095.2199999999993</v>
      </c>
    </row>
    <row r="103" spans="1:4">
      <c r="A103">
        <v>102</v>
      </c>
      <c r="B103" s="1" t="s">
        <v>333</v>
      </c>
      <c r="C103">
        <v>102</v>
      </c>
      <c r="D103" s="2">
        <v>9368.07</v>
      </c>
    </row>
    <row r="104" spans="1:4">
      <c r="A104">
        <v>103</v>
      </c>
      <c r="B104" s="1">
        <v>9</v>
      </c>
      <c r="C104">
        <v>103</v>
      </c>
      <c r="D104" s="2">
        <v>9356.73</v>
      </c>
    </row>
    <row r="105" spans="1:4">
      <c r="A105">
        <v>104</v>
      </c>
      <c r="B105" s="1" t="s">
        <v>334</v>
      </c>
      <c r="C105">
        <v>104</v>
      </c>
      <c r="D105" s="2">
        <v>9938.59</v>
      </c>
    </row>
    <row r="106" spans="1:4">
      <c r="A106">
        <v>105</v>
      </c>
      <c r="B106" s="1">
        <v>10</v>
      </c>
      <c r="C106">
        <v>105</v>
      </c>
      <c r="D106" s="2">
        <v>10435.52</v>
      </c>
    </row>
    <row r="107" spans="1:4">
      <c r="A107">
        <v>106</v>
      </c>
      <c r="B107" s="1" t="s">
        <v>335</v>
      </c>
      <c r="C107">
        <v>106</v>
      </c>
      <c r="D107" s="2">
        <v>10852.94</v>
      </c>
    </row>
    <row r="108" spans="1:4">
      <c r="A108">
        <v>107</v>
      </c>
      <c r="B108" s="1">
        <v>11</v>
      </c>
      <c r="C108">
        <v>107</v>
      </c>
      <c r="D108" s="2">
        <v>11287.06</v>
      </c>
    </row>
    <row r="109" spans="1:4">
      <c r="A109">
        <v>108</v>
      </c>
      <c r="B109" s="1" t="s">
        <v>389</v>
      </c>
      <c r="C109">
        <v>108</v>
      </c>
      <c r="D109" s="2">
        <v>11738.54</v>
      </c>
    </row>
    <row r="110" spans="1:4">
      <c r="A110">
        <v>109</v>
      </c>
      <c r="B110" s="1">
        <v>12</v>
      </c>
      <c r="C110">
        <v>109</v>
      </c>
      <c r="D110" s="2">
        <v>12208.08</v>
      </c>
    </row>
    <row r="111" spans="1:4">
      <c r="A111">
        <v>110</v>
      </c>
      <c r="B111" s="1" t="s">
        <v>141</v>
      </c>
      <c r="C111">
        <v>110</v>
      </c>
      <c r="D111" s="2">
        <v>12696.4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54170-B540-420B-A2FD-40271F75C46A}">
  <sheetPr codeName="גיליון43"/>
  <dimension ref="A1:C23"/>
  <sheetViews>
    <sheetView rightToLeft="1" workbookViewId="0">
      <selection activeCell="C2" sqref="C2"/>
    </sheetView>
  </sheetViews>
  <sheetFormatPr defaultRowHeight="14.4"/>
  <cols>
    <col min="2" max="3" width="9.33203125" bestFit="1" customWidth="1"/>
  </cols>
  <sheetData>
    <row r="1" spans="1:3">
      <c r="A1" t="s">
        <v>56</v>
      </c>
      <c r="B1">
        <f>+'tosafot '!C2</f>
        <v>11</v>
      </c>
      <c r="C1" s="192" t="e">
        <f>VLOOKUP(B1,B4:C24,2,0)</f>
        <v>#N/A</v>
      </c>
    </row>
    <row r="3" spans="1:3">
      <c r="A3" t="s">
        <v>17</v>
      </c>
      <c r="B3" t="s">
        <v>56</v>
      </c>
      <c r="C3" t="s">
        <v>1378</v>
      </c>
    </row>
    <row r="4" spans="1:3">
      <c r="A4" s="1">
        <v>37</v>
      </c>
      <c r="B4">
        <v>39</v>
      </c>
      <c r="C4" s="192">
        <v>410</v>
      </c>
    </row>
    <row r="5" spans="1:3">
      <c r="A5" s="1" t="s">
        <v>190</v>
      </c>
      <c r="B5">
        <v>40</v>
      </c>
      <c r="C5" s="192">
        <v>380</v>
      </c>
    </row>
    <row r="6" spans="1:3">
      <c r="A6" s="1">
        <v>38</v>
      </c>
      <c r="B6">
        <v>41</v>
      </c>
      <c r="C6" s="192">
        <v>300</v>
      </c>
    </row>
    <row r="7" spans="1:3">
      <c r="A7" s="1" t="s">
        <v>191</v>
      </c>
      <c r="B7">
        <v>42</v>
      </c>
      <c r="C7" s="192">
        <v>220</v>
      </c>
    </row>
    <row r="8" spans="1:3">
      <c r="A8" s="1">
        <v>39</v>
      </c>
      <c r="B8">
        <v>43</v>
      </c>
      <c r="C8" s="192">
        <v>180</v>
      </c>
    </row>
    <row r="9" spans="1:3">
      <c r="A9" s="1" t="s">
        <v>192</v>
      </c>
      <c r="B9">
        <v>44</v>
      </c>
      <c r="C9" s="192">
        <v>120</v>
      </c>
    </row>
    <row r="10" spans="1:3">
      <c r="A10" s="1">
        <v>40</v>
      </c>
      <c r="B10">
        <v>45</v>
      </c>
      <c r="C10" s="192">
        <v>70</v>
      </c>
    </row>
    <row r="11" spans="1:3">
      <c r="A11" s="1" t="s">
        <v>193</v>
      </c>
      <c r="B11">
        <v>46</v>
      </c>
      <c r="C11" s="192">
        <v>0</v>
      </c>
    </row>
    <row r="12" spans="1:3">
      <c r="A12" s="1">
        <v>41</v>
      </c>
      <c r="B12">
        <v>47</v>
      </c>
      <c r="C12" s="192">
        <v>0</v>
      </c>
    </row>
    <row r="13" spans="1:3">
      <c r="A13" s="1" t="s">
        <v>194</v>
      </c>
      <c r="B13">
        <v>48</v>
      </c>
      <c r="C13" s="192">
        <v>0</v>
      </c>
    </row>
    <row r="14" spans="1:3">
      <c r="A14" s="1">
        <v>42</v>
      </c>
      <c r="B14">
        <v>49</v>
      </c>
      <c r="C14" s="192">
        <v>0</v>
      </c>
    </row>
    <row r="15" spans="1:3">
      <c r="A15" s="1" t="s">
        <v>195</v>
      </c>
      <c r="B15">
        <v>50</v>
      </c>
      <c r="C15" s="192">
        <v>0</v>
      </c>
    </row>
    <row r="16" spans="1:3">
      <c r="A16" s="1">
        <v>43</v>
      </c>
      <c r="B16">
        <v>51</v>
      </c>
      <c r="C16" s="192">
        <v>0</v>
      </c>
    </row>
    <row r="17" spans="1:3">
      <c r="A17" s="1" t="s">
        <v>196</v>
      </c>
      <c r="B17">
        <v>52</v>
      </c>
      <c r="C17" s="192">
        <v>0</v>
      </c>
    </row>
    <row r="18" spans="1:3">
      <c r="A18" s="1">
        <v>44</v>
      </c>
      <c r="B18">
        <v>53</v>
      </c>
      <c r="C18" s="192">
        <v>0</v>
      </c>
    </row>
    <row r="19" spans="1:3">
      <c r="A19" s="1" t="s">
        <v>197</v>
      </c>
      <c r="B19">
        <v>54</v>
      </c>
      <c r="C19" s="192">
        <v>0</v>
      </c>
    </row>
    <row r="20" spans="1:3">
      <c r="A20" s="1">
        <v>41</v>
      </c>
      <c r="B20">
        <v>55</v>
      </c>
      <c r="C20" s="192">
        <v>0</v>
      </c>
    </row>
    <row r="21" spans="1:3">
      <c r="A21" s="1" t="s">
        <v>198</v>
      </c>
      <c r="B21">
        <v>56</v>
      </c>
      <c r="C21" s="192">
        <v>0</v>
      </c>
    </row>
    <row r="22" spans="1:3">
      <c r="A22" s="1">
        <v>46</v>
      </c>
      <c r="B22">
        <v>57</v>
      </c>
      <c r="C22" s="192">
        <v>0</v>
      </c>
    </row>
    <row r="23" spans="1:3">
      <c r="A23" s="1" t="s">
        <v>199</v>
      </c>
      <c r="B23">
        <v>58</v>
      </c>
      <c r="C23" s="192">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97531-92F9-46B4-9314-428A83ED173C}">
  <sheetPr codeName="גיליון44"/>
  <dimension ref="A1:AD64"/>
  <sheetViews>
    <sheetView rightToLeft="1" workbookViewId="0">
      <selection activeCell="C3" sqref="C3"/>
    </sheetView>
  </sheetViews>
  <sheetFormatPr defaultRowHeight="14.4"/>
  <cols>
    <col min="3" max="3" width="10.77734375" bestFit="1" customWidth="1"/>
  </cols>
  <sheetData>
    <row r="1" spans="1:22">
      <c r="A1" t="s">
        <v>5264</v>
      </c>
    </row>
    <row r="2" spans="1:22">
      <c r="A2" t="s">
        <v>5267</v>
      </c>
      <c r="B2" s="108" t="s">
        <v>5263</v>
      </c>
      <c r="C2" s="108" t="s">
        <v>5266</v>
      </c>
      <c r="D2" s="108" t="s">
        <v>5265</v>
      </c>
      <c r="E2" s="108" t="s">
        <v>2625</v>
      </c>
    </row>
    <row r="3" spans="1:22">
      <c r="A3">
        <v>1</v>
      </c>
      <c r="B3" s="6">
        <v>0.32800000000000001</v>
      </c>
      <c r="C3" s="192">
        <v>722.06</v>
      </c>
      <c r="D3" s="6">
        <v>0.88339999999999996</v>
      </c>
      <c r="E3">
        <v>1371.77</v>
      </c>
    </row>
    <row r="4" spans="1:22">
      <c r="A4">
        <v>2</v>
      </c>
      <c r="B4" s="6">
        <v>0.4</v>
      </c>
      <c r="C4" s="192">
        <v>1344.18</v>
      </c>
      <c r="D4" s="6">
        <v>0.92100000000000004</v>
      </c>
      <c r="E4">
        <v>1825.82</v>
      </c>
    </row>
    <row r="9" spans="1:22">
      <c r="G9" s="18" t="s">
        <v>54</v>
      </c>
      <c r="H9" s="18" t="s">
        <v>17</v>
      </c>
      <c r="I9" s="18" t="s">
        <v>1095</v>
      </c>
      <c r="J9" s="18" t="s">
        <v>1116</v>
      </c>
      <c r="Q9" s="19" t="s">
        <v>1117</v>
      </c>
    </row>
    <row r="10" spans="1:22" ht="15" thickBot="1">
      <c r="A10" s="1" t="s">
        <v>1118</v>
      </c>
      <c r="B10" s="1"/>
      <c r="C10" s="1"/>
      <c r="D10" s="1"/>
      <c r="E10" s="1"/>
      <c r="G10" s="18"/>
      <c r="H10" s="18"/>
      <c r="I10" s="18"/>
      <c r="V10" s="18"/>
    </row>
    <row r="11" spans="1:22" ht="16.2" thickBot="1">
      <c r="A11" s="20"/>
      <c r="B11" s="20"/>
      <c r="C11" s="20" t="s">
        <v>17</v>
      </c>
      <c r="D11" s="20"/>
      <c r="E11" s="20" t="s">
        <v>56</v>
      </c>
      <c r="F11" s="20" t="s">
        <v>102</v>
      </c>
      <c r="G11" s="20" t="s">
        <v>103</v>
      </c>
      <c r="H11" s="20" t="s">
        <v>104</v>
      </c>
      <c r="I11" s="20" t="s">
        <v>105</v>
      </c>
      <c r="J11" s="20" t="s">
        <v>1119</v>
      </c>
      <c r="K11" s="20" t="s">
        <v>107</v>
      </c>
      <c r="L11" s="20" t="s">
        <v>200</v>
      </c>
      <c r="M11" s="20" t="s">
        <v>109</v>
      </c>
      <c r="N11" s="20" t="s">
        <v>110</v>
      </c>
      <c r="O11" s="20" t="s">
        <v>112</v>
      </c>
      <c r="P11" s="20" t="s">
        <v>221</v>
      </c>
      <c r="Q11" s="20" t="s">
        <v>1120</v>
      </c>
      <c r="R11" s="20" t="s">
        <v>1121</v>
      </c>
      <c r="S11" s="20" t="s">
        <v>1122</v>
      </c>
      <c r="T11" s="20" t="s">
        <v>393</v>
      </c>
    </row>
    <row r="12" spans="1:22" ht="16.2" thickBot="1">
      <c r="A12" s="20"/>
      <c r="B12" s="68"/>
      <c r="C12" s="68"/>
      <c r="D12" s="68"/>
      <c r="E12" s="68"/>
      <c r="F12" s="68">
        <v>1</v>
      </c>
      <c r="G12" s="76">
        <v>2</v>
      </c>
      <c r="H12" s="68">
        <v>3</v>
      </c>
      <c r="I12" s="76">
        <v>4</v>
      </c>
      <c r="J12" s="68">
        <v>5</v>
      </c>
      <c r="K12" s="76">
        <v>6</v>
      </c>
      <c r="L12" s="68">
        <v>7</v>
      </c>
      <c r="M12" s="76">
        <v>8</v>
      </c>
      <c r="N12" s="68">
        <v>9</v>
      </c>
      <c r="O12" s="75">
        <v>10</v>
      </c>
      <c r="P12" s="75"/>
      <c r="Q12" s="75"/>
      <c r="R12" s="75"/>
      <c r="S12" s="75"/>
      <c r="T12" s="75"/>
    </row>
    <row r="13" spans="1:22" ht="16.2" thickBot="1">
      <c r="A13" s="20"/>
      <c r="B13" s="68"/>
      <c r="C13" s="68"/>
      <c r="D13" s="68"/>
      <c r="E13" s="68"/>
      <c r="F13" s="68">
        <v>1</v>
      </c>
      <c r="G13" s="76"/>
      <c r="H13" s="75">
        <v>11</v>
      </c>
      <c r="I13" s="75"/>
      <c r="J13" s="75"/>
      <c r="K13" s="75"/>
      <c r="L13" s="75"/>
      <c r="M13" s="75"/>
      <c r="N13" s="75"/>
      <c r="O13" s="75"/>
      <c r="P13" s="75"/>
      <c r="Q13" s="75"/>
      <c r="R13" s="75"/>
      <c r="S13" s="75"/>
      <c r="T13" s="75"/>
    </row>
    <row r="14" spans="1:22" ht="16.2" thickBot="1">
      <c r="A14" s="20" t="s">
        <v>1123</v>
      </c>
      <c r="B14" s="68">
        <v>1</v>
      </c>
      <c r="C14" s="68"/>
      <c r="D14" s="68"/>
      <c r="E14" s="68"/>
      <c r="F14" s="21">
        <v>0.17300000000000001</v>
      </c>
      <c r="G14" s="23">
        <v>0.17300000000000001</v>
      </c>
      <c r="H14" s="22">
        <v>0.30099999999999999</v>
      </c>
      <c r="I14" s="22">
        <v>0.30099999999999999</v>
      </c>
      <c r="J14" s="22">
        <v>0.30099999999999999</v>
      </c>
      <c r="K14" s="22">
        <v>0.30099999999999999</v>
      </c>
      <c r="L14" s="22">
        <v>0.29699999999999999</v>
      </c>
      <c r="M14" s="22"/>
      <c r="N14" s="22"/>
      <c r="O14" s="22">
        <v>0.30099999999999999</v>
      </c>
      <c r="P14" s="22"/>
      <c r="Q14" s="22">
        <v>0.08</v>
      </c>
      <c r="R14" s="22">
        <v>0.06</v>
      </c>
      <c r="S14" s="22">
        <v>0.06</v>
      </c>
      <c r="T14" s="22"/>
      <c r="U14" t="s">
        <v>1124</v>
      </c>
    </row>
    <row r="15" spans="1:22" ht="16.2" thickBot="1">
      <c r="A15" s="20" t="s">
        <v>139</v>
      </c>
      <c r="B15" s="69">
        <v>2</v>
      </c>
      <c r="C15" s="69"/>
      <c r="D15" s="69"/>
      <c r="E15" s="69"/>
      <c r="F15" s="24">
        <v>0.2</v>
      </c>
      <c r="G15" s="26">
        <v>0.2</v>
      </c>
      <c r="H15" s="25">
        <v>0.318</v>
      </c>
      <c r="I15" s="25">
        <v>0.318</v>
      </c>
      <c r="J15" s="25">
        <v>0.318</v>
      </c>
      <c r="K15" s="25">
        <v>0.318</v>
      </c>
      <c r="L15" s="25">
        <v>0.315</v>
      </c>
      <c r="M15" s="25">
        <v>0.27</v>
      </c>
      <c r="N15" s="25">
        <v>7.8E-2</v>
      </c>
      <c r="O15" s="25">
        <v>0.318</v>
      </c>
      <c r="P15" s="25"/>
      <c r="Q15" s="25">
        <v>0.11</v>
      </c>
      <c r="R15" s="25">
        <v>0.08</v>
      </c>
      <c r="S15" s="25">
        <v>0.08</v>
      </c>
      <c r="T15" s="25">
        <v>7.8E-2</v>
      </c>
      <c r="U15" t="s">
        <v>1125</v>
      </c>
    </row>
    <row r="16" spans="1:22" ht="16.2" thickBot="1">
      <c r="A16" s="20" t="s">
        <v>142</v>
      </c>
      <c r="B16" s="68">
        <v>3</v>
      </c>
      <c r="C16" s="69"/>
      <c r="D16" s="69"/>
      <c r="E16" s="69"/>
      <c r="F16" s="24">
        <v>0.24199999999999999</v>
      </c>
      <c r="G16" s="26">
        <v>0.27900000000000003</v>
      </c>
      <c r="H16" s="25">
        <v>0.377</v>
      </c>
      <c r="I16" s="25">
        <v>0.377</v>
      </c>
      <c r="J16" s="25">
        <v>0.377</v>
      </c>
      <c r="K16" s="25">
        <v>0.377</v>
      </c>
      <c r="L16" s="25">
        <v>0.376</v>
      </c>
      <c r="M16" s="25">
        <v>0.32</v>
      </c>
      <c r="N16" s="25">
        <v>0.114</v>
      </c>
      <c r="O16" s="25">
        <v>0.377</v>
      </c>
      <c r="P16" s="25">
        <v>0.113</v>
      </c>
      <c r="Q16" s="25">
        <v>0.13</v>
      </c>
      <c r="R16" s="25">
        <v>0.1</v>
      </c>
      <c r="S16" s="25">
        <v>0.13</v>
      </c>
      <c r="T16" s="25">
        <v>0.114</v>
      </c>
    </row>
    <row r="17" spans="1:29" ht="16.2" thickBot="1">
      <c r="A17" s="20" t="s">
        <v>1126</v>
      </c>
      <c r="B17" s="69">
        <v>4</v>
      </c>
      <c r="C17" s="69">
        <v>40</v>
      </c>
      <c r="D17" s="69"/>
      <c r="E17" s="69">
        <v>45</v>
      </c>
      <c r="F17" s="24">
        <v>0.185</v>
      </c>
      <c r="G17" s="26">
        <v>0.28899999999999998</v>
      </c>
      <c r="H17" s="25">
        <v>0.32799999999999996</v>
      </c>
      <c r="I17" s="25">
        <v>0.32799999999999996</v>
      </c>
      <c r="J17" s="25">
        <v>0.32799999999999996</v>
      </c>
      <c r="K17" s="25">
        <v>0.32799999999999996</v>
      </c>
      <c r="L17" s="25">
        <v>0.32400000000000001</v>
      </c>
      <c r="M17" s="25">
        <v>0.32</v>
      </c>
      <c r="N17" s="25">
        <v>9.6999999999999989E-2</v>
      </c>
      <c r="O17" s="25">
        <v>0.32799999999999996</v>
      </c>
      <c r="P17" s="25">
        <v>0.113</v>
      </c>
      <c r="Q17" s="25">
        <v>0.13</v>
      </c>
      <c r="R17" s="25">
        <v>0.09</v>
      </c>
      <c r="S17" s="25">
        <v>0.11</v>
      </c>
      <c r="T17" s="25">
        <v>9.6999999999999989E-2</v>
      </c>
    </row>
    <row r="18" spans="1:29" ht="16.2" thickBot="1">
      <c r="A18" s="20" t="s">
        <v>733</v>
      </c>
      <c r="B18" s="68">
        <v>5</v>
      </c>
      <c r="C18" s="69">
        <v>42</v>
      </c>
      <c r="D18" s="69"/>
      <c r="E18" s="69">
        <v>47</v>
      </c>
      <c r="F18" s="24">
        <v>0.215</v>
      </c>
      <c r="G18" s="26">
        <v>0.30599999999999999</v>
      </c>
      <c r="H18" s="25">
        <v>0.36</v>
      </c>
      <c r="I18" s="25">
        <v>0.36</v>
      </c>
      <c r="J18" s="25">
        <v>0.36</v>
      </c>
      <c r="K18" s="25">
        <v>0.36</v>
      </c>
      <c r="L18" s="25">
        <v>0.33</v>
      </c>
      <c r="M18" s="25">
        <v>0.32</v>
      </c>
      <c r="N18" s="25">
        <v>0.125</v>
      </c>
      <c r="O18" s="25">
        <v>0.36</v>
      </c>
      <c r="P18" s="25">
        <v>0.153</v>
      </c>
      <c r="Q18" s="25">
        <v>0.5</v>
      </c>
      <c r="R18" s="25">
        <v>0.09</v>
      </c>
      <c r="S18" s="25">
        <v>0.11</v>
      </c>
      <c r="T18" s="25">
        <v>0.125</v>
      </c>
    </row>
    <row r="19" spans="1:29" ht="16.2" thickBot="1">
      <c r="A19" s="20" t="s">
        <v>1127</v>
      </c>
      <c r="B19" s="69">
        <v>6</v>
      </c>
      <c r="C19" s="69">
        <v>43</v>
      </c>
      <c r="D19" s="69"/>
      <c r="E19" s="69">
        <v>51</v>
      </c>
      <c r="F19" s="24">
        <v>0.35700000000000004</v>
      </c>
      <c r="G19" s="26">
        <v>0.35700000000000004</v>
      </c>
      <c r="H19" s="25">
        <v>0.39100000000000001</v>
      </c>
      <c r="I19" s="25">
        <v>0.39100000000000001</v>
      </c>
      <c r="J19" s="25">
        <v>0.39100000000000001</v>
      </c>
      <c r="K19" s="25">
        <v>0.39100000000000001</v>
      </c>
      <c r="L19" s="25">
        <v>0.35100000000000003</v>
      </c>
      <c r="M19" s="25">
        <v>0.38</v>
      </c>
      <c r="N19" s="25">
        <v>0.158</v>
      </c>
      <c r="O19" s="25">
        <v>0.39100000000000001</v>
      </c>
      <c r="P19" s="25">
        <v>0.25700000000000001</v>
      </c>
      <c r="Q19" s="25">
        <v>0.5</v>
      </c>
      <c r="R19" s="25">
        <v>0</v>
      </c>
      <c r="S19" s="25">
        <v>0</v>
      </c>
      <c r="T19" s="25">
        <v>0.158</v>
      </c>
    </row>
    <row r="20" spans="1:29" ht="16.2" thickBot="1">
      <c r="A20" s="20" t="s">
        <v>735</v>
      </c>
      <c r="B20" s="68">
        <v>7</v>
      </c>
      <c r="C20" s="69"/>
      <c r="D20" s="69"/>
      <c r="E20" s="69"/>
      <c r="F20" s="24">
        <v>0.35200000000000004</v>
      </c>
      <c r="G20" s="26">
        <v>0.35200000000000004</v>
      </c>
      <c r="H20" s="25">
        <v>0.39</v>
      </c>
      <c r="I20" s="25">
        <v>0.39</v>
      </c>
      <c r="J20" s="25">
        <v>0.39</v>
      </c>
      <c r="K20" s="25">
        <v>0.39</v>
      </c>
      <c r="L20" s="25">
        <v>0.34299999999999997</v>
      </c>
      <c r="M20" s="25">
        <v>0.3</v>
      </c>
      <c r="N20" s="25">
        <v>0.16500000000000001</v>
      </c>
      <c r="O20" s="25">
        <v>0.39</v>
      </c>
      <c r="P20" s="25">
        <v>0.32100000000000001</v>
      </c>
      <c r="Q20" s="25">
        <v>0</v>
      </c>
      <c r="R20" s="25">
        <v>0</v>
      </c>
      <c r="S20" s="25">
        <v>0</v>
      </c>
      <c r="T20" s="25">
        <v>0.16500000000000001</v>
      </c>
    </row>
    <row r="21" spans="1:29" ht="16.2" thickBot="1">
      <c r="A21" s="20" t="s">
        <v>1128</v>
      </c>
      <c r="B21" s="69">
        <v>8</v>
      </c>
      <c r="C21" s="69"/>
      <c r="D21" s="69"/>
      <c r="E21" s="69"/>
      <c r="F21" s="27">
        <v>0.42</v>
      </c>
      <c r="G21" s="29">
        <v>0.42</v>
      </c>
      <c r="H21" s="28">
        <v>0.42</v>
      </c>
      <c r="I21" s="28">
        <v>0.42</v>
      </c>
      <c r="J21" s="28">
        <v>0.42</v>
      </c>
      <c r="K21" s="28">
        <v>0.42</v>
      </c>
      <c r="L21" s="28">
        <v>0.42</v>
      </c>
      <c r="M21" s="28">
        <v>0.42</v>
      </c>
      <c r="N21" s="28">
        <v>0</v>
      </c>
      <c r="O21" s="28">
        <v>0.42</v>
      </c>
      <c r="P21" s="28">
        <v>0.42</v>
      </c>
      <c r="Q21" s="28">
        <v>0</v>
      </c>
      <c r="R21" s="28">
        <v>0</v>
      </c>
      <c r="S21" s="28">
        <v>0</v>
      </c>
      <c r="T21" s="28">
        <v>0</v>
      </c>
    </row>
    <row r="22" spans="1:29">
      <c r="V22" s="18"/>
    </row>
    <row r="24" spans="1:29" ht="16.2" thickBot="1">
      <c r="A24" s="66" t="s">
        <v>1129</v>
      </c>
      <c r="B24" s="66"/>
      <c r="C24" s="66"/>
      <c r="D24" s="66"/>
      <c r="E24" s="66"/>
      <c r="F24" t="s">
        <v>1130</v>
      </c>
    </row>
    <row r="25" spans="1:29" ht="16.2" thickBot="1">
      <c r="A25" s="30"/>
      <c r="B25" s="30"/>
      <c r="C25" s="54"/>
      <c r="D25" s="54"/>
      <c r="E25" s="54"/>
      <c r="F25" t="s">
        <v>102</v>
      </c>
      <c r="G25" s="30" t="s">
        <v>103</v>
      </c>
      <c r="H25" s="30" t="s">
        <v>104</v>
      </c>
      <c r="I25" s="31" t="s">
        <v>105</v>
      </c>
      <c r="J25" s="31" t="s">
        <v>106</v>
      </c>
      <c r="K25" s="31" t="s">
        <v>107</v>
      </c>
      <c r="L25" s="30" t="s">
        <v>200</v>
      </c>
      <c r="M25" s="20" t="s">
        <v>109</v>
      </c>
      <c r="N25" s="20" t="s">
        <v>110</v>
      </c>
      <c r="O25" s="31" t="s">
        <v>112</v>
      </c>
    </row>
    <row r="26" spans="1:29" ht="15.6">
      <c r="A26" s="30"/>
      <c r="B26" s="30"/>
      <c r="C26" s="30"/>
      <c r="D26" s="30"/>
      <c r="E26" s="30"/>
      <c r="F26" s="30">
        <v>1</v>
      </c>
      <c r="G26" s="30">
        <v>2</v>
      </c>
      <c r="H26" s="30">
        <v>3</v>
      </c>
      <c r="I26" s="30">
        <v>4</v>
      </c>
      <c r="J26" s="30">
        <v>5</v>
      </c>
      <c r="K26" s="30">
        <v>6</v>
      </c>
      <c r="L26" s="30">
        <v>7</v>
      </c>
      <c r="M26" s="30">
        <v>8</v>
      </c>
      <c r="N26" s="30">
        <v>9</v>
      </c>
      <c r="O26" s="30">
        <v>10</v>
      </c>
    </row>
    <row r="27" spans="1:29" ht="15.6">
      <c r="A27" s="30" t="s">
        <v>1131</v>
      </c>
      <c r="B27" s="30">
        <v>1</v>
      </c>
      <c r="C27" s="30"/>
      <c r="D27" s="30"/>
      <c r="E27" s="30"/>
      <c r="F27" s="35">
        <v>0</v>
      </c>
      <c r="G27" s="35">
        <v>0</v>
      </c>
      <c r="H27" s="35">
        <v>0</v>
      </c>
      <c r="I27" s="35">
        <v>0</v>
      </c>
      <c r="J27" s="35">
        <v>0</v>
      </c>
      <c r="K27" s="35">
        <v>0</v>
      </c>
      <c r="L27" s="35">
        <v>0</v>
      </c>
      <c r="M27" s="35">
        <v>0</v>
      </c>
      <c r="N27" s="35">
        <v>0</v>
      </c>
      <c r="O27" s="35">
        <v>0</v>
      </c>
    </row>
    <row r="28" spans="1:29" ht="18">
      <c r="A28" s="30" t="s">
        <v>1132</v>
      </c>
      <c r="B28" s="30">
        <v>2</v>
      </c>
      <c r="C28" s="30"/>
      <c r="D28" s="30"/>
      <c r="E28" s="30"/>
      <c r="F28" s="35">
        <v>0</v>
      </c>
      <c r="G28" s="35">
        <v>0.04</v>
      </c>
      <c r="H28" s="35">
        <v>0.04</v>
      </c>
      <c r="I28" s="35">
        <v>0.04</v>
      </c>
      <c r="J28" s="35">
        <v>0.04</v>
      </c>
      <c r="K28" s="35">
        <v>0.04</v>
      </c>
      <c r="L28" s="35">
        <v>0.04</v>
      </c>
      <c r="M28" s="5">
        <v>0</v>
      </c>
      <c r="N28" s="5">
        <v>0</v>
      </c>
      <c r="O28" s="35">
        <v>0.04</v>
      </c>
      <c r="V28" t="s">
        <v>736</v>
      </c>
      <c r="W28" s="32" t="s">
        <v>1133</v>
      </c>
      <c r="X28" s="33"/>
      <c r="Y28" s="34"/>
      <c r="Z28" s="34"/>
      <c r="AA28" s="34"/>
      <c r="AB28" s="34"/>
      <c r="AC28" s="34"/>
    </row>
    <row r="29" spans="1:29" ht="18">
      <c r="A29" s="30" t="s">
        <v>1134</v>
      </c>
      <c r="B29" s="30">
        <v>3</v>
      </c>
      <c r="C29" s="30"/>
      <c r="D29" s="30"/>
      <c r="E29" s="30"/>
      <c r="F29" s="35">
        <v>0</v>
      </c>
      <c r="G29" s="35">
        <v>0.05</v>
      </c>
      <c r="H29" s="35">
        <v>0.05</v>
      </c>
      <c r="I29" s="35">
        <v>0.05</v>
      </c>
      <c r="J29" s="35">
        <v>0.05</v>
      </c>
      <c r="K29" s="35">
        <v>0.05</v>
      </c>
      <c r="L29" s="35">
        <v>0.05</v>
      </c>
      <c r="M29" s="5">
        <v>0</v>
      </c>
      <c r="N29" s="5">
        <v>0</v>
      </c>
      <c r="O29" s="35">
        <v>0.05</v>
      </c>
      <c r="V29" t="s">
        <v>1135</v>
      </c>
      <c r="W29" s="32" t="s">
        <v>1136</v>
      </c>
      <c r="X29" s="34"/>
      <c r="Y29" s="34"/>
      <c r="Z29" s="34"/>
      <c r="AA29" s="34"/>
      <c r="AB29" s="34"/>
      <c r="AC29" s="34"/>
    </row>
    <row r="30" spans="1:29" ht="18">
      <c r="A30" s="30" t="s">
        <v>1137</v>
      </c>
      <c r="B30" s="30">
        <v>4</v>
      </c>
      <c r="C30" s="30"/>
      <c r="D30" s="30"/>
      <c r="E30" s="30"/>
      <c r="F30" s="35">
        <v>0</v>
      </c>
      <c r="G30" s="35">
        <v>0.2</v>
      </c>
      <c r="H30" s="37">
        <v>0.19</v>
      </c>
      <c r="I30" s="37">
        <v>0.2</v>
      </c>
      <c r="J30" s="37">
        <v>0.2</v>
      </c>
      <c r="K30" s="37">
        <v>0.2</v>
      </c>
      <c r="L30" s="35">
        <v>0.2</v>
      </c>
      <c r="M30" s="5">
        <v>0</v>
      </c>
      <c r="N30" s="5">
        <v>0</v>
      </c>
      <c r="O30" s="37">
        <v>0.2</v>
      </c>
      <c r="W30" s="32"/>
      <c r="X30" s="34"/>
      <c r="Y30" s="34"/>
      <c r="Z30" s="34"/>
      <c r="AA30" s="34"/>
      <c r="AB30" s="34"/>
      <c r="AC30" s="34"/>
    </row>
    <row r="31" spans="1:29" ht="15.6">
      <c r="A31" s="30" t="s">
        <v>1138</v>
      </c>
      <c r="B31" s="30">
        <v>5</v>
      </c>
      <c r="C31" s="30"/>
      <c r="D31" s="30"/>
      <c r="E31" s="30"/>
      <c r="F31" s="35">
        <v>0</v>
      </c>
      <c r="G31" s="35">
        <v>0.2</v>
      </c>
      <c r="H31" s="37">
        <v>0.19</v>
      </c>
      <c r="I31" s="37">
        <v>0.2</v>
      </c>
      <c r="J31" s="37">
        <v>0.2</v>
      </c>
      <c r="K31" s="37">
        <v>0.2</v>
      </c>
      <c r="L31" s="35">
        <v>0.2</v>
      </c>
      <c r="M31" s="5">
        <v>0</v>
      </c>
      <c r="N31" s="5">
        <v>0</v>
      </c>
      <c r="O31" s="37">
        <v>0.2</v>
      </c>
      <c r="AC31" s="34"/>
    </row>
    <row r="32" spans="1:29" ht="15.6">
      <c r="A32" s="30" t="s">
        <v>1139</v>
      </c>
      <c r="B32" s="30">
        <v>6</v>
      </c>
      <c r="C32" s="30"/>
      <c r="D32" s="30"/>
      <c r="E32" s="30"/>
      <c r="F32" s="35">
        <v>0</v>
      </c>
      <c r="G32" s="35">
        <v>0.2</v>
      </c>
      <c r="H32" s="35">
        <v>0.2</v>
      </c>
      <c r="I32" s="35">
        <v>0.2</v>
      </c>
      <c r="J32" s="35">
        <v>0.2</v>
      </c>
      <c r="K32" s="35">
        <v>0.2</v>
      </c>
      <c r="L32" s="35">
        <v>0.2</v>
      </c>
      <c r="M32" s="5">
        <v>0</v>
      </c>
      <c r="N32" s="5">
        <v>0</v>
      </c>
      <c r="O32" s="35">
        <v>0.2</v>
      </c>
    </row>
    <row r="33" spans="1:30" ht="15.6">
      <c r="A33" s="30" t="s">
        <v>1140</v>
      </c>
      <c r="B33" s="30">
        <v>7</v>
      </c>
      <c r="C33" s="30"/>
      <c r="D33" s="30"/>
      <c r="E33" s="30"/>
      <c r="F33" s="35">
        <v>0</v>
      </c>
      <c r="G33" s="35">
        <v>0.2</v>
      </c>
      <c r="H33" s="35">
        <v>0.2</v>
      </c>
      <c r="I33" s="35">
        <v>0.2</v>
      </c>
      <c r="J33" s="35">
        <v>0.2</v>
      </c>
      <c r="K33" s="35">
        <v>0.2</v>
      </c>
      <c r="L33" s="35">
        <v>0.2</v>
      </c>
      <c r="M33" s="5">
        <v>0</v>
      </c>
      <c r="N33" s="5">
        <v>0</v>
      </c>
      <c r="O33" s="35">
        <v>0.2</v>
      </c>
    </row>
    <row r="34" spans="1:30" ht="15.6">
      <c r="A34" s="30" t="s">
        <v>1102</v>
      </c>
      <c r="B34" s="30">
        <v>8</v>
      </c>
      <c r="C34" s="30"/>
      <c r="D34" s="30"/>
      <c r="E34" s="30"/>
      <c r="F34" s="35">
        <v>0</v>
      </c>
      <c r="G34" s="35">
        <v>0.2</v>
      </c>
      <c r="H34" s="37">
        <v>0.27</v>
      </c>
      <c r="I34" s="37">
        <v>0.27</v>
      </c>
      <c r="J34" s="37">
        <v>0.27</v>
      </c>
      <c r="K34" s="37">
        <v>0.27</v>
      </c>
      <c r="L34" s="35">
        <v>0.25</v>
      </c>
      <c r="M34" s="5">
        <v>0</v>
      </c>
      <c r="N34" s="5">
        <v>0</v>
      </c>
      <c r="O34" s="37">
        <v>0.27</v>
      </c>
    </row>
    <row r="35" spans="1:30" ht="15.6">
      <c r="A35" s="30" t="s">
        <v>1141</v>
      </c>
      <c r="B35" s="54"/>
      <c r="C35" s="54"/>
      <c r="D35" s="54"/>
      <c r="E35" s="54"/>
      <c r="F35" s="35">
        <v>0</v>
      </c>
      <c r="G35" s="35">
        <v>0.2</v>
      </c>
      <c r="H35" s="37">
        <v>0.19</v>
      </c>
      <c r="I35" s="37">
        <v>0.2</v>
      </c>
      <c r="J35" s="37">
        <v>0.2</v>
      </c>
      <c r="K35" s="37">
        <v>0.2</v>
      </c>
      <c r="L35" s="35">
        <v>0.2</v>
      </c>
      <c r="M35" s="5">
        <v>0</v>
      </c>
      <c r="N35" s="5">
        <v>0</v>
      </c>
      <c r="O35" s="37">
        <v>0.2</v>
      </c>
    </row>
    <row r="36" spans="1:30" ht="15.6">
      <c r="A36" s="30" t="s">
        <v>1142</v>
      </c>
      <c r="B36" s="30"/>
      <c r="C36" s="30"/>
      <c r="D36" s="30"/>
      <c r="E36" s="30"/>
      <c r="F36" s="35">
        <v>0</v>
      </c>
      <c r="G36" s="35">
        <v>0.2</v>
      </c>
      <c r="H36" s="37">
        <v>0.24</v>
      </c>
      <c r="I36" s="37">
        <v>0.24</v>
      </c>
      <c r="J36" s="37">
        <v>0.24</v>
      </c>
      <c r="K36" s="37">
        <v>0.24</v>
      </c>
      <c r="L36" s="35">
        <v>0.2</v>
      </c>
      <c r="M36" s="5">
        <v>0</v>
      </c>
      <c r="N36" s="5">
        <v>0</v>
      </c>
      <c r="O36" s="37">
        <v>0.24</v>
      </c>
    </row>
    <row r="37" spans="1:30" ht="15.6">
      <c r="A37" s="30" t="s">
        <v>1143</v>
      </c>
      <c r="B37" s="30"/>
      <c r="C37" s="30"/>
      <c r="D37" s="30"/>
      <c r="E37" s="30"/>
      <c r="F37" s="35">
        <v>0</v>
      </c>
      <c r="G37" s="35">
        <v>0.2</v>
      </c>
      <c r="H37" s="37">
        <v>0.28999999999999998</v>
      </c>
      <c r="I37" s="37">
        <v>0.28999999999999998</v>
      </c>
      <c r="J37" s="37">
        <v>0.28999999999999998</v>
      </c>
      <c r="K37" s="37">
        <v>0.28999999999999998</v>
      </c>
      <c r="L37" s="37">
        <v>0.25</v>
      </c>
      <c r="M37" s="5">
        <v>0</v>
      </c>
      <c r="N37" s="5">
        <v>0</v>
      </c>
      <c r="O37" s="37">
        <v>0.28999999999999998</v>
      </c>
      <c r="W37" t="s">
        <v>1123</v>
      </c>
      <c r="X37" s="592" t="s">
        <v>1144</v>
      </c>
      <c r="Y37" s="592"/>
      <c r="Z37" s="592"/>
      <c r="AA37" s="592"/>
      <c r="AB37" s="592"/>
      <c r="AC37" s="592"/>
      <c r="AD37" s="592"/>
    </row>
    <row r="38" spans="1:30" ht="15.6">
      <c r="A38" s="54"/>
      <c r="B38" s="54"/>
      <c r="C38" s="54"/>
      <c r="D38" s="54"/>
      <c r="E38" s="54"/>
      <c r="F38" s="36"/>
      <c r="G38" s="36"/>
      <c r="H38" s="38"/>
      <c r="I38" s="38"/>
      <c r="J38" s="38"/>
      <c r="K38" s="38"/>
      <c r="L38" s="38"/>
      <c r="W38" t="s">
        <v>139</v>
      </c>
      <c r="X38" s="592"/>
      <c r="Y38" s="592"/>
      <c r="Z38" s="592"/>
      <c r="AA38" s="592"/>
      <c r="AB38" s="592"/>
      <c r="AC38" s="592"/>
      <c r="AD38" s="592"/>
    </row>
    <row r="39" spans="1:30" ht="15.6">
      <c r="A39" s="54"/>
      <c r="B39" s="54"/>
      <c r="C39" s="54"/>
      <c r="D39" s="54"/>
      <c r="E39" s="54"/>
      <c r="F39" s="36"/>
      <c r="G39" s="36"/>
      <c r="H39" s="38"/>
      <c r="I39" s="38"/>
      <c r="J39" s="38"/>
      <c r="K39" s="38"/>
      <c r="L39" s="38"/>
      <c r="W39" t="s">
        <v>734</v>
      </c>
    </row>
    <row r="40" spans="1:30">
      <c r="W40" t="s">
        <v>735</v>
      </c>
    </row>
    <row r="41" spans="1:30" ht="16.2" thickBot="1">
      <c r="A41" s="65" t="s">
        <v>1145</v>
      </c>
      <c r="B41" s="65"/>
      <c r="C41" s="65"/>
      <c r="D41" s="65"/>
      <c r="E41" s="65"/>
    </row>
    <row r="42" spans="1:30" ht="16.2" thickBot="1">
      <c r="A42" s="39" t="s">
        <v>1146</v>
      </c>
      <c r="B42" s="70"/>
      <c r="C42" s="70"/>
      <c r="D42" s="70"/>
      <c r="E42" s="70"/>
      <c r="F42" s="40" t="s">
        <v>1147</v>
      </c>
      <c r="G42" s="41" t="s">
        <v>1148</v>
      </c>
      <c r="H42" s="41" t="s">
        <v>1149</v>
      </c>
      <c r="I42" s="41" t="s">
        <v>1150</v>
      </c>
    </row>
    <row r="43" spans="1:30" ht="15.6">
      <c r="A43" s="42">
        <v>7</v>
      </c>
      <c r="B43" s="71"/>
      <c r="C43" s="71"/>
      <c r="D43" s="71"/>
      <c r="E43" s="71"/>
      <c r="F43" s="43">
        <v>0.35</v>
      </c>
      <c r="G43" s="44">
        <v>0.35</v>
      </c>
      <c r="H43" s="44">
        <v>0.17</v>
      </c>
      <c r="I43" s="45">
        <v>0.19</v>
      </c>
    </row>
    <row r="44" spans="1:30" ht="15.6">
      <c r="A44" s="46">
        <v>8</v>
      </c>
      <c r="B44" s="72"/>
      <c r="C44" s="72"/>
      <c r="D44" s="72"/>
      <c r="E44" s="72"/>
      <c r="F44" s="47">
        <v>0.35</v>
      </c>
      <c r="G44" s="35">
        <v>0.35</v>
      </c>
      <c r="H44" s="35">
        <v>0.4</v>
      </c>
      <c r="I44" s="48">
        <v>0.44</v>
      </c>
    </row>
    <row r="45" spans="1:30" ht="15.6">
      <c r="A45" s="46">
        <v>9</v>
      </c>
      <c r="B45" s="72"/>
      <c r="C45" s="72"/>
      <c r="D45" s="72"/>
      <c r="E45" s="72"/>
      <c r="F45" s="47">
        <v>0.35</v>
      </c>
      <c r="G45" s="35">
        <v>0.39</v>
      </c>
      <c r="H45" s="35">
        <v>0.49</v>
      </c>
      <c r="I45" s="48">
        <v>0.53</v>
      </c>
    </row>
    <row r="46" spans="1:30" ht="15.6">
      <c r="A46" s="46">
        <v>10</v>
      </c>
      <c r="B46" s="72"/>
      <c r="C46" s="72"/>
      <c r="D46" s="72"/>
      <c r="E46" s="72"/>
      <c r="F46" s="47">
        <v>0.39</v>
      </c>
      <c r="G46" s="35">
        <v>0.45</v>
      </c>
      <c r="H46" s="35">
        <v>0.53</v>
      </c>
      <c r="I46" s="48">
        <v>0.56000000000000005</v>
      </c>
    </row>
    <row r="47" spans="1:30" ht="15.6">
      <c r="A47" s="46">
        <v>11</v>
      </c>
      <c r="B47" s="72"/>
      <c r="C47" s="72"/>
      <c r="D47" s="72"/>
      <c r="E47" s="72"/>
      <c r="F47" s="47">
        <v>0.41</v>
      </c>
      <c r="G47" s="35">
        <v>0.48</v>
      </c>
      <c r="H47" s="35">
        <v>0.56999999999999995</v>
      </c>
      <c r="I47" s="48">
        <v>0.61</v>
      </c>
    </row>
    <row r="48" spans="1:30" ht="15.6">
      <c r="A48" s="46" t="s">
        <v>1151</v>
      </c>
      <c r="B48" s="72"/>
      <c r="C48" s="72"/>
      <c r="D48" s="72"/>
      <c r="E48" s="72"/>
      <c r="F48" s="47">
        <v>0.44</v>
      </c>
      <c r="G48" s="35">
        <v>0.51</v>
      </c>
      <c r="H48" s="35">
        <v>0.61</v>
      </c>
      <c r="I48" s="48">
        <v>0.64</v>
      </c>
      <c r="J48" s="49" t="s">
        <v>1152</v>
      </c>
    </row>
    <row r="49" spans="1:13" ht="15.6">
      <c r="A49" s="46" t="s">
        <v>1153</v>
      </c>
      <c r="B49" s="72"/>
      <c r="C49" s="72"/>
      <c r="D49" s="72"/>
      <c r="E49" s="72"/>
      <c r="F49" s="47">
        <v>0.5</v>
      </c>
      <c r="G49" s="35">
        <v>0.55000000000000004</v>
      </c>
      <c r="H49" s="35">
        <v>0.66</v>
      </c>
      <c r="I49" s="48">
        <v>0.7</v>
      </c>
    </row>
    <row r="50" spans="1:13" ht="15.6">
      <c r="A50" s="46" t="s">
        <v>1154</v>
      </c>
      <c r="B50" s="72"/>
      <c r="C50" s="72"/>
      <c r="D50" s="72"/>
      <c r="E50" s="72"/>
      <c r="F50" s="47">
        <v>0.53</v>
      </c>
      <c r="G50" s="35">
        <v>0.59</v>
      </c>
      <c r="H50" s="35">
        <v>0.68</v>
      </c>
      <c r="I50" s="48">
        <v>0.74</v>
      </c>
    </row>
    <row r="51" spans="1:13" ht="15.6">
      <c r="A51" s="46">
        <v>23</v>
      </c>
      <c r="B51" s="72"/>
      <c r="C51" s="72"/>
      <c r="D51" s="72"/>
      <c r="E51" s="72"/>
      <c r="F51" s="47">
        <v>0.5</v>
      </c>
      <c r="G51" s="35">
        <v>0.55000000000000004</v>
      </c>
      <c r="H51" s="35">
        <v>0.66</v>
      </c>
      <c r="I51" s="48">
        <v>0.7</v>
      </c>
    </row>
    <row r="52" spans="1:13" ht="15.6">
      <c r="A52" s="46">
        <v>25</v>
      </c>
      <c r="B52" s="72"/>
      <c r="C52" s="72"/>
      <c r="D52" s="72"/>
      <c r="E52" s="72"/>
      <c r="F52" s="47">
        <v>0.53</v>
      </c>
      <c r="G52" s="35">
        <v>0.59</v>
      </c>
      <c r="H52" s="35">
        <v>0.68</v>
      </c>
      <c r="I52" s="48">
        <v>0.74</v>
      </c>
    </row>
    <row r="53" spans="1:13" ht="15.6">
      <c r="A53" s="46">
        <v>28</v>
      </c>
      <c r="B53" s="72"/>
      <c r="C53" s="72"/>
      <c r="D53" s="72"/>
      <c r="E53" s="72"/>
      <c r="F53" s="47">
        <v>0.59</v>
      </c>
      <c r="G53" s="35">
        <v>0.62</v>
      </c>
      <c r="H53" s="35">
        <v>0.71</v>
      </c>
      <c r="I53" s="48">
        <v>0.78</v>
      </c>
    </row>
    <row r="54" spans="1:13" ht="15.6">
      <c r="A54" s="46">
        <v>30</v>
      </c>
      <c r="B54" s="72"/>
      <c r="C54" s="72"/>
      <c r="D54" s="72"/>
      <c r="E54" s="72"/>
      <c r="F54" s="47">
        <v>0.64</v>
      </c>
      <c r="G54" s="35">
        <v>0.7</v>
      </c>
      <c r="H54" s="35">
        <v>0.8</v>
      </c>
      <c r="I54" s="48">
        <v>0.88</v>
      </c>
    </row>
    <row r="55" spans="1:13" ht="15.6">
      <c r="A55" s="46">
        <v>32</v>
      </c>
      <c r="B55" s="72"/>
      <c r="C55" s="72"/>
      <c r="D55" s="72"/>
      <c r="E55" s="72"/>
      <c r="F55" s="47">
        <v>0.64</v>
      </c>
      <c r="G55" s="35">
        <v>0.75</v>
      </c>
      <c r="H55" s="35">
        <v>0.84</v>
      </c>
      <c r="I55" s="48">
        <v>0.92</v>
      </c>
    </row>
    <row r="56" spans="1:13" ht="16.2" thickBot="1">
      <c r="A56" s="50">
        <v>34</v>
      </c>
      <c r="B56" s="73"/>
      <c r="C56" s="73"/>
      <c r="D56" s="73"/>
      <c r="E56" s="73"/>
      <c r="F56" s="51">
        <v>0.64</v>
      </c>
      <c r="G56" s="52">
        <v>0.8</v>
      </c>
      <c r="H56" s="52">
        <v>0.89</v>
      </c>
      <c r="I56" s="53">
        <v>0.98</v>
      </c>
    </row>
    <row r="58" spans="1:13" ht="15.6">
      <c r="A58" s="54"/>
      <c r="B58" s="54"/>
      <c r="C58" s="54"/>
      <c r="D58" s="54"/>
      <c r="E58" s="54"/>
      <c r="F58" s="54"/>
      <c r="G58" s="54"/>
      <c r="H58" s="54"/>
    </row>
    <row r="59" spans="1:13" ht="15.6">
      <c r="A59" s="54" t="s">
        <v>1155</v>
      </c>
      <c r="B59" s="54"/>
      <c r="C59" s="54"/>
      <c r="D59" s="54"/>
      <c r="E59" s="54"/>
      <c r="F59" s="54" t="s">
        <v>1130</v>
      </c>
      <c r="G59" s="54"/>
      <c r="H59" s="54"/>
    </row>
    <row r="60" spans="1:13" ht="16.2" thickBot="1">
      <c r="A60" s="54"/>
      <c r="B60" s="54"/>
      <c r="C60" s="54"/>
      <c r="D60" s="54"/>
      <c r="E60" s="54"/>
      <c r="F60" s="54"/>
      <c r="G60" s="54"/>
      <c r="H60" s="54"/>
      <c r="I60" s="54"/>
    </row>
    <row r="61" spans="1:13" ht="16.2" thickBot="1">
      <c r="A61" s="20"/>
      <c r="B61" s="55"/>
      <c r="C61" s="55"/>
      <c r="D61" s="55"/>
      <c r="E61" s="55"/>
      <c r="F61" s="55" t="s">
        <v>1132</v>
      </c>
      <c r="G61" s="56" t="s">
        <v>1134</v>
      </c>
      <c r="H61" s="20" t="s">
        <v>1138</v>
      </c>
      <c r="I61" s="55" t="s">
        <v>1141</v>
      </c>
      <c r="J61" s="55" t="s">
        <v>1156</v>
      </c>
      <c r="K61" s="55" t="s">
        <v>1157</v>
      </c>
      <c r="L61" s="55" t="s">
        <v>1142</v>
      </c>
      <c r="M61" s="20" t="s">
        <v>1143</v>
      </c>
    </row>
    <row r="62" spans="1:13" ht="16.2" thickBot="1">
      <c r="A62" s="20" t="s">
        <v>1148</v>
      </c>
      <c r="B62" s="68"/>
      <c r="C62" s="68"/>
      <c r="D62" s="68"/>
      <c r="E62" s="68"/>
      <c r="F62" s="57">
        <v>0.04</v>
      </c>
      <c r="G62" s="58">
        <v>0.04</v>
      </c>
      <c r="H62" s="58">
        <v>0.04</v>
      </c>
      <c r="I62" s="58">
        <v>0.04</v>
      </c>
      <c r="J62" s="58">
        <v>0.04</v>
      </c>
      <c r="K62" s="58">
        <v>0.04</v>
      </c>
      <c r="L62" s="58">
        <v>0.12</v>
      </c>
      <c r="M62" s="59">
        <v>0.12</v>
      </c>
    </row>
    <row r="63" spans="1:13" ht="16.2" thickBot="1">
      <c r="A63" s="20" t="s">
        <v>1149</v>
      </c>
      <c r="B63" s="69"/>
      <c r="C63" s="69"/>
      <c r="D63" s="69"/>
      <c r="E63" s="69"/>
      <c r="F63" s="60">
        <v>0.01</v>
      </c>
      <c r="G63" s="35">
        <v>0.03</v>
      </c>
      <c r="H63" s="35">
        <v>0.08</v>
      </c>
      <c r="I63" s="35">
        <v>0.08</v>
      </c>
      <c r="J63" s="35">
        <v>0.08</v>
      </c>
      <c r="K63" s="35">
        <v>0.08</v>
      </c>
      <c r="L63" s="35">
        <v>0.09</v>
      </c>
      <c r="M63" s="48">
        <v>0.09</v>
      </c>
    </row>
    <row r="64" spans="1:13" ht="16.2" thickBot="1">
      <c r="A64" s="61" t="s">
        <v>1150</v>
      </c>
      <c r="B64" s="74"/>
      <c r="C64" s="74"/>
      <c r="D64" s="74"/>
      <c r="E64" s="74"/>
      <c r="F64" s="62">
        <v>0.03</v>
      </c>
      <c r="G64" s="63">
        <v>0.03</v>
      </c>
      <c r="H64" s="63">
        <v>0.08</v>
      </c>
      <c r="I64" s="63">
        <v>0.08</v>
      </c>
      <c r="J64" s="63">
        <v>0.08</v>
      </c>
      <c r="K64" s="63">
        <v>0.08</v>
      </c>
      <c r="L64" s="63">
        <v>0.09</v>
      </c>
      <c r="M64" s="64">
        <v>0.09</v>
      </c>
    </row>
  </sheetData>
  <mergeCells count="1">
    <mergeCell ref="X37:AD38"/>
  </mergeCells>
  <hyperlinks>
    <hyperlink ref="H31" r:id="rId1" display="../../מסמכי ממח + סרוקים/שכר/סיכום פ''ע מת''ש -29.12.92.pdf" xr:uid="{00000000-0004-0000-2000-000000000000}"/>
    <hyperlink ref="H35" r:id="rId2" display="../../מסמכי ממח + סרוקים/שכר/סיכום פ''ע מת''ש -29.12.92.pdf" xr:uid="{00000000-0004-0000-2000-000001000000}"/>
    <hyperlink ref="H30" r:id="rId3" display="../../מסמכי ממח + סרוקים/שכר/סיכום פ''ע מת''ש -29.12.92.pdf" xr:uid="{00000000-0004-0000-2000-000002000000}"/>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4C66-1381-4127-8A0B-49337BF6CD70}">
  <sheetPr codeName="גיליון16"/>
  <dimension ref="D1:E6"/>
  <sheetViews>
    <sheetView rightToLeft="1" topLeftCell="D1" workbookViewId="0">
      <selection activeCell="G24" sqref="G24"/>
    </sheetView>
  </sheetViews>
  <sheetFormatPr defaultRowHeight="14.4"/>
  <cols>
    <col min="4" max="4" width="9.33203125" bestFit="1" customWidth="1"/>
  </cols>
  <sheetData>
    <row r="1" spans="4:5">
      <c r="D1">
        <v>4983</v>
      </c>
    </row>
    <row r="3" spans="4:5">
      <c r="D3" t="s">
        <v>120</v>
      </c>
      <c r="E3">
        <v>1</v>
      </c>
    </row>
    <row r="4" spans="4:5">
      <c r="D4" s="2">
        <v>105</v>
      </c>
      <c r="E4">
        <v>2</v>
      </c>
    </row>
    <row r="5" spans="4:5">
      <c r="D5" s="2">
        <v>210</v>
      </c>
      <c r="E5">
        <v>3</v>
      </c>
    </row>
    <row r="6" spans="4:5">
      <c r="D6" s="2">
        <v>315</v>
      </c>
      <c r="E6">
        <v>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53326-5EED-4EFE-8C6B-F71E194BA10C}">
  <sheetPr codeName="גיליון45"/>
  <dimension ref="A2:B9"/>
  <sheetViews>
    <sheetView rightToLeft="1" workbookViewId="0">
      <selection activeCell="B2" sqref="B2:B5"/>
    </sheetView>
  </sheetViews>
  <sheetFormatPr defaultRowHeight="14.4"/>
  <cols>
    <col min="1" max="1" width="71" customWidth="1"/>
  </cols>
  <sheetData>
    <row r="2" spans="1:2">
      <c r="B2" s="6">
        <v>0.22</v>
      </c>
    </row>
    <row r="3" spans="1:2">
      <c r="B3" s="6">
        <v>0.18779999999999999</v>
      </c>
    </row>
    <row r="4" spans="1:2">
      <c r="B4" s="6">
        <v>0.16500000000000001</v>
      </c>
    </row>
    <row r="5" spans="1:2">
      <c r="B5" s="6">
        <v>0.1275</v>
      </c>
    </row>
    <row r="9" spans="1:2" ht="345.6">
      <c r="A9" s="307" t="s">
        <v>5236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086C4-0303-4A35-BDE1-EF343543189F}">
  <sheetPr codeName="גיליון25"/>
  <dimension ref="A1:T201"/>
  <sheetViews>
    <sheetView rightToLeft="1" topLeftCell="B1" workbookViewId="0">
      <selection activeCell="R9" sqref="R9"/>
    </sheetView>
  </sheetViews>
  <sheetFormatPr defaultRowHeight="14.4"/>
  <cols>
    <col min="1" max="1" width="4.88671875" bestFit="1" customWidth="1"/>
    <col min="2" max="2" width="28.109375" bestFit="1" customWidth="1"/>
    <col min="3" max="3" width="10.88671875" bestFit="1" customWidth="1"/>
    <col min="5" max="5" width="11.44140625" bestFit="1" customWidth="1"/>
    <col min="6" max="6" width="10.6640625" bestFit="1" customWidth="1"/>
    <col min="7" max="7" width="11.33203125" bestFit="1" customWidth="1"/>
    <col min="8" max="8" width="11.6640625" bestFit="1" customWidth="1"/>
    <col min="9" max="9" width="11.33203125" bestFit="1" customWidth="1"/>
    <col min="10" max="10" width="11.6640625" bestFit="1" customWidth="1"/>
    <col min="11" max="11" width="11.33203125" bestFit="1" customWidth="1"/>
    <col min="12" max="12" width="11.6640625" bestFit="1" customWidth="1"/>
    <col min="13" max="13" width="11.33203125" bestFit="1" customWidth="1"/>
    <col min="14" max="14" width="11.6640625" bestFit="1" customWidth="1"/>
    <col min="15" max="15" width="11.33203125" bestFit="1" customWidth="1"/>
    <col min="16" max="16" width="11.6640625" bestFit="1" customWidth="1"/>
    <col min="18" max="18" width="21.6640625" bestFit="1" customWidth="1"/>
  </cols>
  <sheetData>
    <row r="1" spans="1:20">
      <c r="B1" t="s">
        <v>9</v>
      </c>
      <c r="C1">
        <f>+SACHAR!C11</f>
        <v>1.2008000000000001</v>
      </c>
      <c r="G1">
        <v>1.2022999999999999</v>
      </c>
      <c r="I1">
        <v>10.202400000000001</v>
      </c>
      <c r="K1">
        <v>12.202400000000001</v>
      </c>
      <c r="M1">
        <v>12.202500000000001</v>
      </c>
      <c r="O1">
        <v>12.202500000000001</v>
      </c>
    </row>
    <row r="2" spans="1:20">
      <c r="B2" t="s">
        <v>252</v>
      </c>
      <c r="C2">
        <f>+'Netunei Gimlai'!B6</f>
        <v>1</v>
      </c>
      <c r="G2">
        <f>VLOOKUP(G1,'tosafot '!$B$7:$C$234,2,0)</f>
        <v>181</v>
      </c>
      <c r="I2">
        <f>VLOOKUP(I1,'tosafot '!$B$7:$C$234,2,0)</f>
        <v>202</v>
      </c>
      <c r="K2">
        <f>VLOOKUP(K1,'tosafot '!$B$7:$C$234,2,0)</f>
        <v>204</v>
      </c>
      <c r="M2">
        <f>VLOOKUP(M1,'tosafot '!$B$7:$C$234,2,0)</f>
        <v>216</v>
      </c>
      <c r="O2">
        <f>VLOOKUP(O1,'tosafot '!$B$7:$C$234,2,0)</f>
        <v>216</v>
      </c>
    </row>
    <row r="3" spans="1:20">
      <c r="B3" t="s">
        <v>7</v>
      </c>
      <c r="C3">
        <f>+'Netunei Gimlai'!B4</f>
        <v>9</v>
      </c>
      <c r="D3" t="str">
        <f>VLOOKUP(C3,MISRAD!A5:B81,2,0)</f>
        <v>הבריאות</v>
      </c>
      <c r="R3" s="108" t="s">
        <v>5347</v>
      </c>
      <c r="T3">
        <f>SUM(T4:T5)</f>
        <v>1</v>
      </c>
    </row>
    <row r="4" spans="1:20">
      <c r="G4" s="84">
        <v>0.02</v>
      </c>
      <c r="H4" s="209">
        <f>VLOOKUP(SACHAR!$O$11,$F$12:$P$201,3,1)</f>
        <v>400</v>
      </c>
      <c r="I4" s="84">
        <v>0.02</v>
      </c>
      <c r="J4" s="209">
        <f>IF($T$3=1,J6,VLOOKUP(SACHAR!$O$11,$F$12:$P$201,5,1))</f>
        <v>400</v>
      </c>
      <c r="K4" s="84">
        <f>VLOOKUP(SACHAR!$O$11,$F$12:$P$201,6,1)</f>
        <v>0.02</v>
      </c>
      <c r="L4" s="209">
        <f>IF($T$3=1,L6,VLOOKUP(SACHAR!$O$11,$F$12:$P$201,5,1))</f>
        <v>400</v>
      </c>
      <c r="M4" s="84">
        <v>0.02</v>
      </c>
      <c r="N4" s="209">
        <f>IF($T$3=1,N6,VLOOKUP(SACHAR!$O$11,$F$12:$P$201,5,1))</f>
        <v>400</v>
      </c>
      <c r="O4" s="224">
        <v>0.02</v>
      </c>
      <c r="P4" s="209">
        <f>IF($T$3=1,P6,VLOOKUP(SACHAR!$O$11,$F$12:$P$201,5,1))</f>
        <v>400</v>
      </c>
      <c r="R4" t="s">
        <v>5343</v>
      </c>
      <c r="S4">
        <v>9</v>
      </c>
      <c r="T4">
        <f>IF($C$3=S4,1,0)</f>
        <v>1</v>
      </c>
    </row>
    <row r="5" spans="1:20">
      <c r="B5" t="s">
        <v>265</v>
      </c>
      <c r="C5" s="224">
        <f>IF(C2&gt;=O2,O4,IF(C2&gt;=M2,M4,IF(C2&gt;=K2,K4,IF(C2&gt;=I2,I4,IF(C2&gt;=G2,G4,0)))))</f>
        <v>0</v>
      </c>
      <c r="R5" t="s">
        <v>5223</v>
      </c>
      <c r="S5">
        <v>32</v>
      </c>
      <c r="T5">
        <f>IF($C$3=S5,1,0)</f>
        <v>0</v>
      </c>
    </row>
    <row r="6" spans="1:20">
      <c r="B6" t="s">
        <v>266</v>
      </c>
      <c r="C6" s="209">
        <f>IF(C2&gt;=O2,P4,IF(C2&gt;=M2,N4,IF(C2&gt;=K2,L4,IF(C2&gt;=I2,J4,IF(C2&gt;=G2,H4,0)))))</f>
        <v>0</v>
      </c>
      <c r="E6" t="s">
        <v>5223</v>
      </c>
      <c r="J6" s="209">
        <v>400</v>
      </c>
      <c r="L6" s="209">
        <v>400</v>
      </c>
      <c r="N6" s="209">
        <v>400</v>
      </c>
      <c r="P6" s="209">
        <v>400</v>
      </c>
    </row>
    <row r="11" spans="1:20">
      <c r="A11" t="s">
        <v>88</v>
      </c>
      <c r="B11" s="185" t="s">
        <v>131</v>
      </c>
      <c r="C11" s="185" t="s">
        <v>55</v>
      </c>
      <c r="D11" t="s">
        <v>132</v>
      </c>
      <c r="E11" t="s">
        <v>57</v>
      </c>
      <c r="F11" t="s">
        <v>58</v>
      </c>
      <c r="G11" t="s">
        <v>255</v>
      </c>
      <c r="H11" t="s">
        <v>256</v>
      </c>
      <c r="I11" t="s">
        <v>257</v>
      </c>
      <c r="J11" t="s">
        <v>258</v>
      </c>
      <c r="K11" t="s">
        <v>259</v>
      </c>
      <c r="L11" t="s">
        <v>260</v>
      </c>
      <c r="M11" t="s">
        <v>261</v>
      </c>
      <c r="N11" t="s">
        <v>262</v>
      </c>
      <c r="O11" t="s">
        <v>263</v>
      </c>
      <c r="P11" t="s">
        <v>264</v>
      </c>
    </row>
    <row r="12" spans="1:20">
      <c r="A12" s="3">
        <v>1</v>
      </c>
      <c r="B12" s="186" t="s">
        <v>137</v>
      </c>
      <c r="C12" s="186">
        <v>1</v>
      </c>
      <c r="D12" s="1">
        <v>10</v>
      </c>
      <c r="F12">
        <v>1000</v>
      </c>
      <c r="G12" s="6">
        <v>0</v>
      </c>
      <c r="H12" s="192">
        <v>400</v>
      </c>
      <c r="I12" s="5">
        <v>0</v>
      </c>
      <c r="J12" s="192">
        <v>500</v>
      </c>
      <c r="K12" s="5">
        <v>0.02</v>
      </c>
      <c r="L12" s="192">
        <v>500</v>
      </c>
      <c r="M12" s="5">
        <v>0</v>
      </c>
      <c r="N12" s="192">
        <v>0</v>
      </c>
      <c r="O12" s="221">
        <v>0</v>
      </c>
      <c r="P12" s="192">
        <v>0</v>
      </c>
    </row>
    <row r="13" spans="1:20">
      <c r="A13">
        <v>2</v>
      </c>
      <c r="B13" s="186" t="s">
        <v>137</v>
      </c>
      <c r="C13" s="186">
        <v>1</v>
      </c>
      <c r="D13" s="1">
        <v>11</v>
      </c>
      <c r="F13">
        <v>1001</v>
      </c>
      <c r="G13" s="6">
        <v>0</v>
      </c>
      <c r="H13" s="192">
        <v>400</v>
      </c>
      <c r="I13" s="5">
        <v>0</v>
      </c>
      <c r="J13" s="192">
        <v>500</v>
      </c>
      <c r="K13" s="5">
        <v>0.02</v>
      </c>
      <c r="L13" s="192">
        <v>500</v>
      </c>
      <c r="M13" s="5">
        <v>0</v>
      </c>
      <c r="N13" s="192">
        <v>0</v>
      </c>
      <c r="O13" s="221">
        <v>0</v>
      </c>
      <c r="P13" s="192">
        <v>0</v>
      </c>
    </row>
    <row r="14" spans="1:20">
      <c r="A14" s="3">
        <v>3</v>
      </c>
      <c r="B14" s="186" t="s">
        <v>137</v>
      </c>
      <c r="C14" s="186">
        <v>1</v>
      </c>
      <c r="D14" s="1">
        <v>12</v>
      </c>
      <c r="F14">
        <v>1002</v>
      </c>
      <c r="G14" s="6">
        <v>0</v>
      </c>
      <c r="H14" s="192">
        <v>400</v>
      </c>
      <c r="I14" s="5">
        <v>0</v>
      </c>
      <c r="J14" s="192">
        <v>500</v>
      </c>
      <c r="K14" s="5">
        <v>0.02</v>
      </c>
      <c r="L14" s="192">
        <v>500</v>
      </c>
      <c r="M14" s="5">
        <v>0</v>
      </c>
      <c r="N14" s="192">
        <v>0</v>
      </c>
      <c r="O14" s="221">
        <v>0</v>
      </c>
      <c r="P14" s="192">
        <v>0</v>
      </c>
    </row>
    <row r="15" spans="1:20">
      <c r="A15">
        <v>4</v>
      </c>
      <c r="B15" s="186" t="s">
        <v>137</v>
      </c>
      <c r="C15" s="186">
        <v>1</v>
      </c>
      <c r="D15" s="1" t="s">
        <v>141</v>
      </c>
      <c r="F15">
        <v>1003</v>
      </c>
      <c r="G15" s="6">
        <v>0</v>
      </c>
      <c r="H15" s="192">
        <v>400</v>
      </c>
      <c r="I15" s="5">
        <v>0</v>
      </c>
      <c r="J15" s="192">
        <v>500</v>
      </c>
      <c r="K15" s="5">
        <v>0.02</v>
      </c>
      <c r="L15" s="192">
        <v>500</v>
      </c>
      <c r="M15" s="5">
        <v>0</v>
      </c>
      <c r="N15" s="192">
        <v>0</v>
      </c>
      <c r="O15" s="221">
        <v>0</v>
      </c>
      <c r="P15" s="192">
        <v>0</v>
      </c>
    </row>
    <row r="16" spans="1:20">
      <c r="A16" s="3">
        <v>5</v>
      </c>
      <c r="B16" s="186" t="s">
        <v>137</v>
      </c>
      <c r="C16" s="186">
        <v>1</v>
      </c>
      <c r="D16" s="1">
        <v>13</v>
      </c>
      <c r="F16">
        <v>1004</v>
      </c>
      <c r="G16" s="6">
        <v>0</v>
      </c>
      <c r="H16" s="192">
        <v>400</v>
      </c>
      <c r="I16" s="5">
        <v>0</v>
      </c>
      <c r="J16" s="192">
        <v>500</v>
      </c>
      <c r="K16" s="5">
        <v>0.02</v>
      </c>
      <c r="L16" s="192">
        <v>500</v>
      </c>
      <c r="M16" s="5">
        <v>0</v>
      </c>
      <c r="N16" s="192">
        <v>0</v>
      </c>
      <c r="O16" s="221">
        <v>0</v>
      </c>
      <c r="P16" s="192">
        <v>0</v>
      </c>
    </row>
    <row r="17" spans="1:16">
      <c r="A17">
        <v>6</v>
      </c>
      <c r="B17" s="186" t="s">
        <v>137</v>
      </c>
      <c r="C17" s="186">
        <v>1</v>
      </c>
      <c r="D17" s="1" t="s">
        <v>144</v>
      </c>
      <c r="F17">
        <v>1005</v>
      </c>
      <c r="G17" s="6">
        <v>0</v>
      </c>
      <c r="H17" s="192">
        <v>400</v>
      </c>
      <c r="I17" s="5">
        <v>0</v>
      </c>
      <c r="J17" s="192">
        <v>500</v>
      </c>
      <c r="K17" s="5">
        <v>0.02</v>
      </c>
      <c r="L17" s="192">
        <v>500</v>
      </c>
      <c r="M17" s="5">
        <v>0</v>
      </c>
      <c r="N17" s="192">
        <v>0</v>
      </c>
      <c r="O17" s="221">
        <v>0</v>
      </c>
      <c r="P17" s="192">
        <v>0</v>
      </c>
    </row>
    <row r="18" spans="1:16">
      <c r="A18" s="3">
        <v>7</v>
      </c>
      <c r="B18" s="186" t="s">
        <v>137</v>
      </c>
      <c r="C18" s="186">
        <v>1</v>
      </c>
      <c r="D18" s="1">
        <v>14</v>
      </c>
      <c r="F18">
        <v>1006</v>
      </c>
      <c r="G18" s="6">
        <v>0</v>
      </c>
      <c r="H18" s="192">
        <v>400</v>
      </c>
      <c r="I18" s="5">
        <v>0</v>
      </c>
      <c r="J18" s="192">
        <v>500</v>
      </c>
      <c r="K18" s="5">
        <v>0.02</v>
      </c>
      <c r="L18" s="192">
        <v>500</v>
      </c>
      <c r="M18" s="5">
        <v>0</v>
      </c>
      <c r="N18" s="192">
        <v>0</v>
      </c>
      <c r="O18" s="221">
        <v>0</v>
      </c>
      <c r="P18" s="192">
        <v>0</v>
      </c>
    </row>
    <row r="19" spans="1:16">
      <c r="A19">
        <v>8</v>
      </c>
      <c r="B19" s="186" t="s">
        <v>137</v>
      </c>
      <c r="C19" s="186">
        <v>1</v>
      </c>
      <c r="D19" s="1" t="s">
        <v>147</v>
      </c>
      <c r="F19">
        <v>1007</v>
      </c>
      <c r="G19" s="6">
        <v>0</v>
      </c>
      <c r="H19" s="192">
        <v>400</v>
      </c>
      <c r="I19" s="5">
        <v>0</v>
      </c>
      <c r="J19" s="192">
        <v>500</v>
      </c>
      <c r="K19" s="5">
        <v>0.02</v>
      </c>
      <c r="L19" s="192">
        <v>500</v>
      </c>
      <c r="M19" s="5">
        <v>0</v>
      </c>
      <c r="N19" s="192">
        <v>0</v>
      </c>
      <c r="O19" s="221">
        <v>0</v>
      </c>
      <c r="P19" s="192">
        <v>0</v>
      </c>
    </row>
    <row r="20" spans="1:16">
      <c r="A20" s="3">
        <v>9</v>
      </c>
      <c r="B20" s="186" t="s">
        <v>137</v>
      </c>
      <c r="C20" s="186">
        <v>1</v>
      </c>
      <c r="D20" s="1">
        <v>15</v>
      </c>
      <c r="F20">
        <v>1008</v>
      </c>
      <c r="G20" s="6">
        <v>0</v>
      </c>
      <c r="H20" s="192">
        <v>400</v>
      </c>
      <c r="I20" s="5">
        <v>0</v>
      </c>
      <c r="J20" s="192">
        <v>500</v>
      </c>
      <c r="K20" s="5">
        <v>0.02</v>
      </c>
      <c r="L20" s="192">
        <v>500</v>
      </c>
      <c r="M20" s="5">
        <v>0</v>
      </c>
      <c r="N20" s="192">
        <v>0</v>
      </c>
      <c r="O20" s="221">
        <v>0</v>
      </c>
      <c r="P20" s="192">
        <v>0</v>
      </c>
    </row>
    <row r="21" spans="1:16">
      <c r="A21">
        <v>10</v>
      </c>
      <c r="B21" s="186" t="s">
        <v>137</v>
      </c>
      <c r="C21" s="186">
        <v>1</v>
      </c>
      <c r="D21" s="1" t="s">
        <v>150</v>
      </c>
      <c r="F21">
        <v>1009</v>
      </c>
      <c r="G21" s="6">
        <v>0</v>
      </c>
      <c r="H21" s="192">
        <v>400</v>
      </c>
      <c r="I21" s="5">
        <v>0</v>
      </c>
      <c r="J21" s="192">
        <v>500</v>
      </c>
      <c r="K21" s="5">
        <v>0.02</v>
      </c>
      <c r="L21" s="192">
        <v>500</v>
      </c>
      <c r="M21" s="5">
        <v>0</v>
      </c>
      <c r="N21" s="192">
        <v>0</v>
      </c>
      <c r="O21" s="221">
        <v>0</v>
      </c>
      <c r="P21" s="192">
        <v>0</v>
      </c>
    </row>
    <row r="22" spans="1:16">
      <c r="A22" s="3">
        <v>11</v>
      </c>
      <c r="B22" s="186" t="s">
        <v>137</v>
      </c>
      <c r="C22" s="186">
        <v>1</v>
      </c>
      <c r="D22" s="1">
        <v>16</v>
      </c>
      <c r="F22">
        <v>1010</v>
      </c>
      <c r="G22" s="6">
        <v>0</v>
      </c>
      <c r="H22" s="192">
        <v>400</v>
      </c>
      <c r="I22" s="5">
        <v>0</v>
      </c>
      <c r="J22" s="192">
        <v>500</v>
      </c>
      <c r="K22" s="5">
        <v>0.02</v>
      </c>
      <c r="L22" s="192">
        <v>500</v>
      </c>
      <c r="M22" s="5">
        <v>0</v>
      </c>
      <c r="N22" s="192">
        <v>0</v>
      </c>
      <c r="O22" s="221">
        <v>0</v>
      </c>
      <c r="P22" s="192">
        <v>0</v>
      </c>
    </row>
    <row r="23" spans="1:16">
      <c r="A23">
        <v>12</v>
      </c>
      <c r="B23" s="186" t="s">
        <v>137</v>
      </c>
      <c r="C23" s="186">
        <v>1</v>
      </c>
      <c r="D23" s="1" t="s">
        <v>153</v>
      </c>
      <c r="F23">
        <v>1011</v>
      </c>
      <c r="G23" s="6">
        <v>0</v>
      </c>
      <c r="H23" s="192">
        <v>400</v>
      </c>
      <c r="I23" s="5">
        <v>0</v>
      </c>
      <c r="J23" s="192">
        <v>500</v>
      </c>
      <c r="K23" s="5">
        <v>0.02</v>
      </c>
      <c r="L23" s="192">
        <v>500</v>
      </c>
      <c r="M23" s="5">
        <v>0</v>
      </c>
      <c r="N23" s="192">
        <v>0</v>
      </c>
      <c r="O23" s="221">
        <v>0</v>
      </c>
      <c r="P23" s="192">
        <v>0</v>
      </c>
    </row>
    <row r="24" spans="1:16">
      <c r="A24" s="3">
        <v>13</v>
      </c>
      <c r="B24" s="186" t="s">
        <v>137</v>
      </c>
      <c r="C24" s="186">
        <v>1</v>
      </c>
      <c r="D24" s="1">
        <v>17</v>
      </c>
      <c r="F24">
        <v>1012</v>
      </c>
      <c r="G24" s="6">
        <v>0</v>
      </c>
      <c r="H24" s="192">
        <v>400</v>
      </c>
      <c r="I24" s="5">
        <v>0</v>
      </c>
      <c r="J24" s="192">
        <v>500</v>
      </c>
      <c r="K24" s="5">
        <v>0.02</v>
      </c>
      <c r="L24" s="192">
        <v>500</v>
      </c>
      <c r="M24" s="5">
        <v>0</v>
      </c>
      <c r="N24" s="192">
        <v>0</v>
      </c>
      <c r="O24" s="221">
        <v>0</v>
      </c>
      <c r="P24" s="192">
        <v>0</v>
      </c>
    </row>
    <row r="25" spans="1:16">
      <c r="A25">
        <v>14</v>
      </c>
      <c r="B25" s="186" t="s">
        <v>137</v>
      </c>
      <c r="C25" s="186">
        <v>1</v>
      </c>
      <c r="D25" s="1" t="s">
        <v>156</v>
      </c>
      <c r="F25">
        <v>1013</v>
      </c>
      <c r="G25" s="6">
        <v>0</v>
      </c>
      <c r="H25" s="192">
        <v>400</v>
      </c>
      <c r="I25" s="5">
        <v>0</v>
      </c>
      <c r="J25" s="192">
        <v>500</v>
      </c>
      <c r="K25" s="5">
        <v>0.02</v>
      </c>
      <c r="L25" s="192">
        <v>500</v>
      </c>
      <c r="M25" s="5">
        <v>0</v>
      </c>
      <c r="N25" s="192">
        <v>0</v>
      </c>
      <c r="O25" s="221">
        <v>0</v>
      </c>
      <c r="P25" s="192">
        <v>0</v>
      </c>
    </row>
    <row r="26" spans="1:16">
      <c r="A26" s="3">
        <v>15</v>
      </c>
      <c r="B26" s="186" t="s">
        <v>137</v>
      </c>
      <c r="C26" s="186">
        <v>1</v>
      </c>
      <c r="D26" s="1">
        <v>18</v>
      </c>
      <c r="F26">
        <v>1014</v>
      </c>
      <c r="G26" s="6">
        <v>0</v>
      </c>
      <c r="H26" s="192">
        <v>400</v>
      </c>
      <c r="I26" s="5">
        <v>0</v>
      </c>
      <c r="J26" s="192">
        <v>500</v>
      </c>
      <c r="K26" s="5">
        <v>0.02</v>
      </c>
      <c r="L26" s="192">
        <v>500</v>
      </c>
      <c r="M26" s="5">
        <v>0</v>
      </c>
      <c r="N26" s="192">
        <v>0</v>
      </c>
      <c r="O26" s="221">
        <v>0</v>
      </c>
      <c r="P26" s="192">
        <v>0</v>
      </c>
    </row>
    <row r="27" spans="1:16">
      <c r="A27">
        <v>16</v>
      </c>
      <c r="B27" s="186" t="s">
        <v>137</v>
      </c>
      <c r="C27" s="186">
        <v>1</v>
      </c>
      <c r="D27" s="1" t="s">
        <v>159</v>
      </c>
      <c r="F27">
        <v>1015</v>
      </c>
      <c r="G27" s="6">
        <v>0</v>
      </c>
      <c r="H27" s="192">
        <v>400</v>
      </c>
      <c r="I27" s="5">
        <v>0</v>
      </c>
      <c r="J27" s="192">
        <v>500</v>
      </c>
      <c r="K27" s="5">
        <v>0.02</v>
      </c>
      <c r="L27" s="192">
        <v>500</v>
      </c>
      <c r="M27" s="5">
        <v>0</v>
      </c>
      <c r="N27" s="192">
        <v>0</v>
      </c>
      <c r="O27" s="221">
        <v>0</v>
      </c>
      <c r="P27" s="192">
        <v>0</v>
      </c>
    </row>
    <row r="28" spans="1:16">
      <c r="A28" s="3">
        <v>17</v>
      </c>
      <c r="B28" s="186" t="s">
        <v>137</v>
      </c>
      <c r="C28" s="186">
        <v>1</v>
      </c>
      <c r="D28" s="1">
        <v>19</v>
      </c>
      <c r="F28">
        <v>1016</v>
      </c>
      <c r="G28" s="6">
        <v>0</v>
      </c>
      <c r="H28" s="192">
        <v>400</v>
      </c>
      <c r="I28" s="5">
        <v>0</v>
      </c>
      <c r="J28" s="192">
        <v>500</v>
      </c>
      <c r="K28" s="5">
        <v>0.02</v>
      </c>
      <c r="L28" s="192">
        <v>500</v>
      </c>
      <c r="M28" s="5">
        <v>0</v>
      </c>
      <c r="N28" s="192">
        <v>0</v>
      </c>
      <c r="O28" s="221">
        <v>0</v>
      </c>
      <c r="P28" s="192">
        <v>0</v>
      </c>
    </row>
    <row r="29" spans="1:16">
      <c r="A29">
        <v>18</v>
      </c>
      <c r="B29" s="186" t="s">
        <v>137</v>
      </c>
      <c r="C29" s="186">
        <v>1</v>
      </c>
      <c r="D29" s="1" t="s">
        <v>162</v>
      </c>
      <c r="F29">
        <v>1017</v>
      </c>
      <c r="G29" s="6">
        <v>0</v>
      </c>
      <c r="H29" s="192">
        <v>400</v>
      </c>
      <c r="I29" s="5">
        <v>0</v>
      </c>
      <c r="J29" s="192">
        <v>500</v>
      </c>
      <c r="K29" s="5">
        <v>0.02</v>
      </c>
      <c r="L29" s="192">
        <v>500</v>
      </c>
      <c r="M29" s="5">
        <v>0</v>
      </c>
      <c r="N29" s="192">
        <v>0</v>
      </c>
      <c r="O29" s="221">
        <v>0</v>
      </c>
      <c r="P29" s="192">
        <v>0</v>
      </c>
    </row>
    <row r="30" spans="1:16">
      <c r="A30" s="3">
        <v>19</v>
      </c>
      <c r="B30" s="186" t="s">
        <v>137</v>
      </c>
      <c r="C30" s="186">
        <v>1</v>
      </c>
      <c r="D30" s="1">
        <v>20</v>
      </c>
      <c r="F30">
        <v>1018</v>
      </c>
      <c r="G30" s="6">
        <v>0</v>
      </c>
      <c r="H30" s="192">
        <v>400</v>
      </c>
      <c r="I30" s="5">
        <v>0</v>
      </c>
      <c r="J30" s="192">
        <v>500</v>
      </c>
      <c r="K30" s="5">
        <v>0.02</v>
      </c>
      <c r="L30" s="192">
        <v>500</v>
      </c>
      <c r="M30" s="5">
        <v>0</v>
      </c>
      <c r="N30" s="192">
        <v>0</v>
      </c>
      <c r="O30" s="221">
        <v>0</v>
      </c>
      <c r="P30" s="192">
        <v>0</v>
      </c>
    </row>
    <row r="31" spans="1:16">
      <c r="A31">
        <v>20</v>
      </c>
      <c r="B31" s="186" t="s">
        <v>137</v>
      </c>
      <c r="C31" s="186">
        <v>1</v>
      </c>
      <c r="D31" s="1" t="s">
        <v>165</v>
      </c>
      <c r="F31">
        <v>1019</v>
      </c>
      <c r="G31" s="6">
        <v>0</v>
      </c>
      <c r="H31" s="192">
        <v>400</v>
      </c>
      <c r="I31" s="5">
        <v>0</v>
      </c>
      <c r="J31" s="192">
        <v>500</v>
      </c>
      <c r="K31" s="5">
        <v>0.02</v>
      </c>
      <c r="L31" s="192">
        <v>500</v>
      </c>
      <c r="M31" s="5">
        <v>0</v>
      </c>
      <c r="N31" s="192">
        <v>0</v>
      </c>
      <c r="O31" s="221">
        <v>0</v>
      </c>
      <c r="P31" s="192">
        <v>0</v>
      </c>
    </row>
    <row r="32" spans="1:16">
      <c r="A32" s="3">
        <v>21</v>
      </c>
      <c r="B32" s="186" t="s">
        <v>137</v>
      </c>
      <c r="C32" s="186">
        <v>1</v>
      </c>
      <c r="D32" s="1">
        <v>21</v>
      </c>
      <c r="F32">
        <v>1020</v>
      </c>
      <c r="G32" s="6">
        <v>0</v>
      </c>
      <c r="H32" s="192">
        <v>400</v>
      </c>
      <c r="I32" s="5">
        <v>0</v>
      </c>
      <c r="J32" s="192">
        <v>500</v>
      </c>
      <c r="K32" s="5">
        <v>0.02</v>
      </c>
      <c r="L32" s="192">
        <v>500</v>
      </c>
      <c r="M32" s="5">
        <v>0</v>
      </c>
      <c r="N32" s="192">
        <v>0</v>
      </c>
      <c r="O32" s="221">
        <v>0</v>
      </c>
      <c r="P32" s="192">
        <v>0</v>
      </c>
    </row>
    <row r="33" spans="1:16">
      <c r="A33">
        <v>22</v>
      </c>
      <c r="B33" s="186" t="s">
        <v>137</v>
      </c>
      <c r="C33" s="186">
        <v>1</v>
      </c>
      <c r="D33" s="1" t="s">
        <v>168</v>
      </c>
      <c r="F33">
        <v>1021</v>
      </c>
      <c r="G33" s="6">
        <v>0</v>
      </c>
      <c r="H33" s="192">
        <v>400</v>
      </c>
      <c r="I33" s="5">
        <v>0</v>
      </c>
      <c r="J33" s="192">
        <v>500</v>
      </c>
      <c r="K33" s="5">
        <v>0.02</v>
      </c>
      <c r="L33" s="192">
        <v>500</v>
      </c>
      <c r="M33" s="5">
        <v>0</v>
      </c>
      <c r="N33" s="192">
        <v>0</v>
      </c>
      <c r="O33" s="221">
        <v>0</v>
      </c>
      <c r="P33" s="192">
        <v>0</v>
      </c>
    </row>
    <row r="34" spans="1:16">
      <c r="A34" s="3">
        <v>23</v>
      </c>
      <c r="B34" s="186" t="s">
        <v>137</v>
      </c>
      <c r="C34" s="186">
        <v>1</v>
      </c>
      <c r="D34" s="1">
        <v>22</v>
      </c>
      <c r="F34">
        <v>1022</v>
      </c>
      <c r="G34" s="6">
        <v>0</v>
      </c>
      <c r="H34" s="192">
        <v>400</v>
      </c>
      <c r="I34" s="5">
        <v>0</v>
      </c>
      <c r="J34" s="192">
        <v>500</v>
      </c>
      <c r="K34" s="5">
        <v>0.02</v>
      </c>
      <c r="L34" s="192">
        <v>500</v>
      </c>
      <c r="M34" s="5">
        <v>0</v>
      </c>
      <c r="N34" s="192">
        <v>0</v>
      </c>
      <c r="O34" s="221">
        <v>0</v>
      </c>
      <c r="P34" s="192">
        <v>0</v>
      </c>
    </row>
    <row r="35" spans="1:16">
      <c r="A35">
        <v>24</v>
      </c>
      <c r="B35" s="186" t="s">
        <v>137</v>
      </c>
      <c r="C35" s="186">
        <v>1</v>
      </c>
      <c r="D35" s="1" t="s">
        <v>171</v>
      </c>
      <c r="F35">
        <v>1023</v>
      </c>
      <c r="G35" s="6">
        <v>0</v>
      </c>
      <c r="H35" s="192">
        <v>400</v>
      </c>
      <c r="I35" s="5">
        <v>0</v>
      </c>
      <c r="J35" s="192">
        <v>500</v>
      </c>
      <c r="K35" s="5">
        <v>0.02</v>
      </c>
      <c r="L35" s="192">
        <v>500</v>
      </c>
      <c r="M35" s="5">
        <v>0</v>
      </c>
      <c r="N35" s="192">
        <v>0</v>
      </c>
      <c r="O35" s="221">
        <v>0</v>
      </c>
      <c r="P35" s="192">
        <v>0</v>
      </c>
    </row>
    <row r="36" spans="1:16">
      <c r="A36" s="3">
        <v>25</v>
      </c>
      <c r="B36" s="186" t="s">
        <v>137</v>
      </c>
      <c r="C36" s="186">
        <v>1</v>
      </c>
      <c r="D36" s="1">
        <v>23</v>
      </c>
      <c r="F36">
        <v>1024</v>
      </c>
      <c r="G36" s="6">
        <v>0</v>
      </c>
      <c r="H36" s="192">
        <v>400</v>
      </c>
      <c r="I36" s="5">
        <v>0</v>
      </c>
      <c r="J36" s="192">
        <v>500</v>
      </c>
      <c r="K36" s="5">
        <v>0.02</v>
      </c>
      <c r="L36" s="192">
        <v>500</v>
      </c>
      <c r="M36" s="5">
        <v>0</v>
      </c>
      <c r="N36" s="192">
        <v>0</v>
      </c>
      <c r="O36" s="221">
        <v>0</v>
      </c>
      <c r="P36" s="192">
        <v>0</v>
      </c>
    </row>
    <row r="37" spans="1:16">
      <c r="A37">
        <v>26</v>
      </c>
      <c r="B37" s="186" t="s">
        <v>137</v>
      </c>
      <c r="C37" s="186">
        <v>1</v>
      </c>
      <c r="D37" s="1" t="s">
        <v>174</v>
      </c>
      <c r="F37">
        <v>1025</v>
      </c>
      <c r="G37" s="6">
        <v>0</v>
      </c>
      <c r="H37" s="192">
        <v>400</v>
      </c>
      <c r="I37" s="5">
        <v>0</v>
      </c>
      <c r="J37" s="192">
        <v>500</v>
      </c>
      <c r="K37" s="5">
        <v>0.02</v>
      </c>
      <c r="L37" s="192">
        <v>500</v>
      </c>
      <c r="M37" s="5">
        <v>0</v>
      </c>
      <c r="N37" s="192">
        <v>0</v>
      </c>
      <c r="O37" s="221">
        <v>0</v>
      </c>
      <c r="P37" s="192">
        <v>0</v>
      </c>
    </row>
    <row r="38" spans="1:16">
      <c r="A38" s="3">
        <v>27</v>
      </c>
      <c r="B38" s="186" t="s">
        <v>137</v>
      </c>
      <c r="C38" s="186">
        <v>1</v>
      </c>
      <c r="D38" s="1">
        <v>24</v>
      </c>
      <c r="F38">
        <v>1026</v>
      </c>
      <c r="G38" s="6">
        <v>0</v>
      </c>
      <c r="H38" s="192">
        <v>400</v>
      </c>
      <c r="I38" s="5">
        <v>0</v>
      </c>
      <c r="J38" s="192">
        <v>500</v>
      </c>
      <c r="K38" s="5">
        <v>0.02</v>
      </c>
      <c r="L38" s="192">
        <v>500</v>
      </c>
      <c r="M38" s="5">
        <v>0</v>
      </c>
      <c r="N38" s="192">
        <v>0</v>
      </c>
      <c r="O38" s="221">
        <v>0</v>
      </c>
      <c r="P38" s="192">
        <v>0</v>
      </c>
    </row>
    <row r="39" spans="1:16">
      <c r="A39">
        <v>28</v>
      </c>
      <c r="B39" s="186" t="s">
        <v>137</v>
      </c>
      <c r="C39" s="186">
        <v>1</v>
      </c>
      <c r="D39" s="1" t="s">
        <v>177</v>
      </c>
      <c r="F39">
        <v>1027</v>
      </c>
      <c r="G39" s="6">
        <v>0</v>
      </c>
      <c r="H39" s="192">
        <v>400</v>
      </c>
      <c r="I39" s="5">
        <v>0</v>
      </c>
      <c r="J39" s="192">
        <v>500</v>
      </c>
      <c r="K39" s="5">
        <v>0.02</v>
      </c>
      <c r="L39" s="192">
        <v>500</v>
      </c>
      <c r="M39" s="5">
        <v>0</v>
      </c>
      <c r="N39" s="192">
        <v>0</v>
      </c>
      <c r="O39" s="221">
        <v>0</v>
      </c>
      <c r="P39" s="192">
        <v>0</v>
      </c>
    </row>
    <row r="40" spans="1:16">
      <c r="A40" s="3">
        <v>29</v>
      </c>
      <c r="B40" s="186" t="s">
        <v>137</v>
      </c>
      <c r="C40" s="186">
        <v>1</v>
      </c>
      <c r="D40" s="1">
        <v>25</v>
      </c>
      <c r="F40">
        <v>1028</v>
      </c>
      <c r="G40" s="6">
        <v>0</v>
      </c>
      <c r="H40" s="192">
        <v>400</v>
      </c>
      <c r="I40" s="5">
        <v>0</v>
      </c>
      <c r="J40" s="192">
        <v>500</v>
      </c>
      <c r="K40" s="5">
        <v>0.02</v>
      </c>
      <c r="L40" s="192">
        <v>500</v>
      </c>
      <c r="M40" s="5">
        <v>0</v>
      </c>
      <c r="N40" s="192">
        <v>0</v>
      </c>
      <c r="O40" s="221">
        <v>0</v>
      </c>
      <c r="P40" s="192">
        <v>0</v>
      </c>
    </row>
    <row r="41" spans="1:16">
      <c r="A41">
        <v>30</v>
      </c>
      <c r="B41" s="186" t="s">
        <v>137</v>
      </c>
      <c r="C41" s="186">
        <v>1</v>
      </c>
      <c r="D41" s="1" t="s">
        <v>180</v>
      </c>
      <c r="F41">
        <v>1029</v>
      </c>
      <c r="G41" s="6">
        <v>0</v>
      </c>
      <c r="H41" s="192">
        <v>400</v>
      </c>
      <c r="I41" s="5">
        <v>0</v>
      </c>
      <c r="J41" s="192">
        <v>500</v>
      </c>
      <c r="K41" s="5">
        <v>0.02</v>
      </c>
      <c r="L41" s="192">
        <v>500</v>
      </c>
      <c r="M41" s="5">
        <v>0</v>
      </c>
      <c r="N41" s="192">
        <v>0</v>
      </c>
      <c r="O41" s="221">
        <v>0</v>
      </c>
      <c r="P41" s="192">
        <v>0</v>
      </c>
    </row>
    <row r="42" spans="1:16">
      <c r="A42" s="3">
        <v>31</v>
      </c>
      <c r="B42" s="186" t="s">
        <v>181</v>
      </c>
      <c r="C42" s="186">
        <v>2</v>
      </c>
      <c r="F42">
        <v>2001</v>
      </c>
      <c r="G42" s="6">
        <v>0</v>
      </c>
      <c r="H42" s="192">
        <v>400</v>
      </c>
      <c r="I42" s="5">
        <v>0</v>
      </c>
      <c r="J42" s="192">
        <v>500</v>
      </c>
      <c r="K42" s="5">
        <v>0.02</v>
      </c>
      <c r="L42" s="192">
        <v>500</v>
      </c>
      <c r="M42" s="5">
        <v>0</v>
      </c>
      <c r="N42" s="192">
        <v>0</v>
      </c>
      <c r="O42" s="221">
        <v>0</v>
      </c>
      <c r="P42" s="192">
        <v>0</v>
      </c>
    </row>
    <row r="43" spans="1:16">
      <c r="A43">
        <v>32</v>
      </c>
      <c r="B43" s="186" t="s">
        <v>181</v>
      </c>
      <c r="C43" s="186">
        <v>2</v>
      </c>
      <c r="F43">
        <v>2002</v>
      </c>
      <c r="G43" s="6">
        <v>0</v>
      </c>
      <c r="H43" s="192">
        <v>400</v>
      </c>
      <c r="I43" s="5">
        <v>0</v>
      </c>
      <c r="J43" s="192">
        <v>500</v>
      </c>
      <c r="K43" s="5">
        <v>0.02</v>
      </c>
      <c r="L43" s="192">
        <v>500</v>
      </c>
      <c r="M43" s="5">
        <v>0</v>
      </c>
      <c r="N43" s="192">
        <v>0</v>
      </c>
      <c r="O43" s="221">
        <v>0</v>
      </c>
      <c r="P43" s="192">
        <v>0</v>
      </c>
    </row>
    <row r="44" spans="1:16">
      <c r="A44" s="3">
        <v>33</v>
      </c>
      <c r="B44" s="186" t="s">
        <v>181</v>
      </c>
      <c r="C44" s="186">
        <v>2</v>
      </c>
      <c r="F44">
        <v>2003</v>
      </c>
      <c r="G44" s="6">
        <v>0</v>
      </c>
      <c r="H44" s="192">
        <v>400</v>
      </c>
      <c r="I44" s="5">
        <v>0</v>
      </c>
      <c r="J44" s="192">
        <v>500</v>
      </c>
      <c r="K44" s="5">
        <v>0.02</v>
      </c>
      <c r="L44" s="192">
        <v>500</v>
      </c>
      <c r="M44" s="5">
        <v>0</v>
      </c>
      <c r="N44" s="192">
        <v>0</v>
      </c>
      <c r="O44" s="221">
        <v>0</v>
      </c>
      <c r="P44" s="192">
        <v>0</v>
      </c>
    </row>
    <row r="45" spans="1:16">
      <c r="A45">
        <v>34</v>
      </c>
      <c r="B45" s="186" t="s">
        <v>181</v>
      </c>
      <c r="C45" s="186">
        <v>2</v>
      </c>
      <c r="F45">
        <v>2004</v>
      </c>
      <c r="G45" s="6">
        <v>0</v>
      </c>
      <c r="H45" s="192">
        <v>400</v>
      </c>
      <c r="I45" s="5">
        <v>0</v>
      </c>
      <c r="J45" s="192">
        <v>500</v>
      </c>
      <c r="K45" s="5">
        <v>0.02</v>
      </c>
      <c r="L45" s="192">
        <v>500</v>
      </c>
      <c r="M45" s="5">
        <v>0</v>
      </c>
      <c r="N45" s="192">
        <v>0</v>
      </c>
      <c r="O45" s="221">
        <v>0</v>
      </c>
      <c r="P45" s="192">
        <v>0</v>
      </c>
    </row>
    <row r="46" spans="1:16">
      <c r="A46" s="3">
        <v>35</v>
      </c>
      <c r="B46" s="186" t="s">
        <v>182</v>
      </c>
      <c r="C46" s="186">
        <v>4</v>
      </c>
      <c r="F46">
        <v>4001</v>
      </c>
      <c r="G46" s="6">
        <v>0</v>
      </c>
      <c r="H46" s="192">
        <v>400</v>
      </c>
      <c r="I46" s="5">
        <v>0</v>
      </c>
      <c r="J46" s="192">
        <v>500</v>
      </c>
      <c r="K46" s="5">
        <v>0.02</v>
      </c>
      <c r="L46" s="192">
        <v>500</v>
      </c>
      <c r="M46" s="5">
        <v>0</v>
      </c>
      <c r="N46" s="192">
        <v>0</v>
      </c>
      <c r="O46" s="221">
        <v>0</v>
      </c>
      <c r="P46" s="192">
        <v>0</v>
      </c>
    </row>
    <row r="47" spans="1:16">
      <c r="A47">
        <v>36</v>
      </c>
      <c r="B47" s="186" t="s">
        <v>182</v>
      </c>
      <c r="C47" s="186">
        <v>4</v>
      </c>
      <c r="F47">
        <v>4002</v>
      </c>
      <c r="G47" s="6">
        <v>0</v>
      </c>
      <c r="H47" s="192">
        <v>400</v>
      </c>
      <c r="I47" s="5">
        <v>0</v>
      </c>
      <c r="J47" s="192">
        <v>500</v>
      </c>
      <c r="K47" s="5">
        <v>0.02</v>
      </c>
      <c r="L47" s="192">
        <v>500</v>
      </c>
      <c r="M47" s="5">
        <v>0</v>
      </c>
      <c r="N47" s="192">
        <v>0</v>
      </c>
      <c r="O47" s="221">
        <v>0</v>
      </c>
      <c r="P47" s="192">
        <v>0</v>
      </c>
    </row>
    <row r="48" spans="1:16">
      <c r="A48" s="3">
        <v>37</v>
      </c>
      <c r="B48" s="186" t="s">
        <v>182</v>
      </c>
      <c r="C48" s="186">
        <v>4</v>
      </c>
      <c r="F48">
        <v>4003</v>
      </c>
      <c r="G48" s="6">
        <v>0</v>
      </c>
      <c r="H48" s="192">
        <v>400</v>
      </c>
      <c r="I48" s="5">
        <v>0</v>
      </c>
      <c r="J48" s="192">
        <v>500</v>
      </c>
      <c r="K48" s="5">
        <v>0.02</v>
      </c>
      <c r="L48" s="192">
        <v>500</v>
      </c>
      <c r="M48" s="5">
        <v>0</v>
      </c>
      <c r="N48" s="192">
        <v>0</v>
      </c>
      <c r="O48" s="221">
        <v>0</v>
      </c>
      <c r="P48" s="192">
        <v>0</v>
      </c>
    </row>
    <row r="49" spans="1:16">
      <c r="A49">
        <v>38</v>
      </c>
      <c r="B49" s="186" t="s">
        <v>182</v>
      </c>
      <c r="C49" s="186">
        <v>4</v>
      </c>
      <c r="F49">
        <v>4004</v>
      </c>
      <c r="G49" s="6">
        <v>0</v>
      </c>
      <c r="H49" s="192">
        <v>400</v>
      </c>
      <c r="I49" s="5">
        <v>0</v>
      </c>
      <c r="J49" s="192">
        <v>500</v>
      </c>
      <c r="K49" s="5">
        <v>0.02</v>
      </c>
      <c r="L49" s="192">
        <v>500</v>
      </c>
      <c r="M49" s="5">
        <v>0</v>
      </c>
      <c r="N49" s="192">
        <v>0</v>
      </c>
      <c r="O49" s="221">
        <v>0</v>
      </c>
      <c r="P49" s="192">
        <v>0</v>
      </c>
    </row>
    <row r="50" spans="1:16">
      <c r="A50" s="3">
        <v>39</v>
      </c>
      <c r="B50" s="186" t="s">
        <v>182</v>
      </c>
      <c r="C50" s="186">
        <v>4</v>
      </c>
      <c r="F50">
        <v>4005</v>
      </c>
      <c r="G50" s="6">
        <v>0</v>
      </c>
      <c r="H50" s="192">
        <v>400</v>
      </c>
      <c r="I50" s="5">
        <v>0</v>
      </c>
      <c r="J50" s="192">
        <v>500</v>
      </c>
      <c r="K50" s="5">
        <v>0.02</v>
      </c>
      <c r="L50" s="192">
        <v>500</v>
      </c>
      <c r="M50" s="5">
        <v>0</v>
      </c>
      <c r="N50" s="192">
        <v>0</v>
      </c>
      <c r="O50" s="221">
        <v>0</v>
      </c>
      <c r="P50" s="192">
        <v>0</v>
      </c>
    </row>
    <row r="51" spans="1:16">
      <c r="A51">
        <v>40</v>
      </c>
      <c r="B51" s="186" t="s">
        <v>182</v>
      </c>
      <c r="C51" s="186">
        <v>4</v>
      </c>
      <c r="F51">
        <v>4006</v>
      </c>
      <c r="G51" s="6">
        <v>0</v>
      </c>
      <c r="H51" s="192">
        <v>400</v>
      </c>
      <c r="I51" s="5">
        <v>0</v>
      </c>
      <c r="J51" s="192">
        <v>500</v>
      </c>
      <c r="K51" s="5">
        <v>0.02</v>
      </c>
      <c r="L51" s="192">
        <v>500</v>
      </c>
      <c r="M51" s="5">
        <v>0</v>
      </c>
      <c r="N51" s="192">
        <v>0</v>
      </c>
      <c r="O51" s="221">
        <v>0</v>
      </c>
      <c r="P51" s="192">
        <v>0</v>
      </c>
    </row>
    <row r="52" spans="1:16">
      <c r="A52" s="3">
        <v>41</v>
      </c>
      <c r="B52" s="186" t="s">
        <v>183</v>
      </c>
      <c r="C52" s="186">
        <v>5</v>
      </c>
      <c r="F52">
        <v>5001</v>
      </c>
      <c r="G52" s="6">
        <v>0</v>
      </c>
      <c r="H52" s="192">
        <v>400</v>
      </c>
      <c r="I52" s="5">
        <v>0</v>
      </c>
      <c r="J52" s="192">
        <v>500</v>
      </c>
      <c r="K52" s="5">
        <v>0.02</v>
      </c>
      <c r="L52" s="192">
        <v>500</v>
      </c>
      <c r="M52" s="5">
        <v>0</v>
      </c>
      <c r="N52" s="192">
        <v>0</v>
      </c>
      <c r="O52" s="221">
        <v>0</v>
      </c>
      <c r="P52" s="192">
        <v>0</v>
      </c>
    </row>
    <row r="53" spans="1:16">
      <c r="A53">
        <v>42</v>
      </c>
      <c r="B53" s="186" t="s">
        <v>183</v>
      </c>
      <c r="C53" s="186">
        <v>5</v>
      </c>
      <c r="F53">
        <v>5002</v>
      </c>
      <c r="G53" s="6">
        <v>0</v>
      </c>
      <c r="H53" s="192">
        <v>400</v>
      </c>
      <c r="I53" s="5">
        <v>0</v>
      </c>
      <c r="J53" s="192">
        <v>500</v>
      </c>
      <c r="K53" s="5">
        <v>0.02</v>
      </c>
      <c r="L53" s="192">
        <v>500</v>
      </c>
      <c r="M53" s="5">
        <v>0</v>
      </c>
      <c r="N53" s="192">
        <v>0</v>
      </c>
      <c r="O53" s="221">
        <v>0</v>
      </c>
      <c r="P53" s="192">
        <v>0</v>
      </c>
    </row>
    <row r="54" spans="1:16">
      <c r="A54" s="3">
        <v>43</v>
      </c>
      <c r="B54" s="186" t="s">
        <v>183</v>
      </c>
      <c r="C54" s="186">
        <v>5</v>
      </c>
      <c r="F54">
        <v>5003</v>
      </c>
      <c r="G54" s="6">
        <v>0</v>
      </c>
      <c r="H54" s="192">
        <v>400</v>
      </c>
      <c r="I54" s="5">
        <v>0</v>
      </c>
      <c r="J54" s="192">
        <v>500</v>
      </c>
      <c r="K54" s="5">
        <v>0.02</v>
      </c>
      <c r="L54" s="192">
        <v>500</v>
      </c>
      <c r="M54" s="5">
        <v>0</v>
      </c>
      <c r="N54" s="192">
        <v>0</v>
      </c>
      <c r="O54" s="221">
        <v>0</v>
      </c>
      <c r="P54" s="192">
        <v>0</v>
      </c>
    </row>
    <row r="55" spans="1:16">
      <c r="A55">
        <v>44</v>
      </c>
      <c r="B55" s="186" t="s">
        <v>183</v>
      </c>
      <c r="C55" s="186">
        <v>5</v>
      </c>
      <c r="F55">
        <v>5004</v>
      </c>
      <c r="G55" s="6">
        <v>0</v>
      </c>
      <c r="H55" s="192">
        <v>400</v>
      </c>
      <c r="I55" s="5">
        <v>0</v>
      </c>
      <c r="J55" s="192">
        <v>500</v>
      </c>
      <c r="K55" s="5">
        <v>0.02</v>
      </c>
      <c r="L55" s="192">
        <v>500</v>
      </c>
      <c r="M55" s="5">
        <v>0</v>
      </c>
      <c r="N55" s="192">
        <v>0</v>
      </c>
      <c r="O55" s="221">
        <v>0</v>
      </c>
      <c r="P55" s="192">
        <v>0</v>
      </c>
    </row>
    <row r="56" spans="1:16">
      <c r="A56" s="3">
        <v>45</v>
      </c>
      <c r="B56" s="186" t="s">
        <v>183</v>
      </c>
      <c r="C56" s="186">
        <v>5</v>
      </c>
      <c r="F56">
        <v>5005</v>
      </c>
      <c r="G56" s="6">
        <v>0</v>
      </c>
      <c r="H56" s="192">
        <v>400</v>
      </c>
      <c r="I56" s="5">
        <v>0</v>
      </c>
      <c r="J56" s="192">
        <v>500</v>
      </c>
      <c r="K56" s="5">
        <v>0.02</v>
      </c>
      <c r="L56" s="192">
        <v>500</v>
      </c>
      <c r="M56" s="5">
        <v>0</v>
      </c>
      <c r="N56" s="192">
        <v>0</v>
      </c>
      <c r="O56" s="221">
        <v>0</v>
      </c>
      <c r="P56" s="192">
        <v>0</v>
      </c>
    </row>
    <row r="57" spans="1:16">
      <c r="A57">
        <v>46</v>
      </c>
      <c r="B57" s="186" t="s">
        <v>183</v>
      </c>
      <c r="C57" s="186">
        <v>5</v>
      </c>
      <c r="F57">
        <v>5006</v>
      </c>
      <c r="G57" s="6">
        <v>0</v>
      </c>
      <c r="H57" s="192">
        <v>400</v>
      </c>
      <c r="I57" s="5">
        <v>0</v>
      </c>
      <c r="J57" s="192">
        <v>500</v>
      </c>
      <c r="K57" s="5">
        <v>0.02</v>
      </c>
      <c r="L57" s="192">
        <v>500</v>
      </c>
      <c r="M57" s="5">
        <v>0</v>
      </c>
      <c r="N57" s="192">
        <v>0</v>
      </c>
      <c r="O57" s="221">
        <v>0</v>
      </c>
      <c r="P57" s="192">
        <v>0</v>
      </c>
    </row>
    <row r="58" spans="1:16">
      <c r="A58" s="3">
        <v>47</v>
      </c>
      <c r="B58" s="186" t="s">
        <v>184</v>
      </c>
      <c r="C58" s="186">
        <v>6</v>
      </c>
      <c r="F58">
        <v>6001</v>
      </c>
      <c r="G58" s="6">
        <v>0</v>
      </c>
      <c r="H58" s="192">
        <v>400</v>
      </c>
      <c r="I58" s="5">
        <v>0</v>
      </c>
      <c r="J58" s="192">
        <v>500</v>
      </c>
      <c r="K58" s="5">
        <v>0.02</v>
      </c>
      <c r="L58" s="192">
        <v>500</v>
      </c>
      <c r="M58" s="5">
        <v>0</v>
      </c>
      <c r="N58" s="192">
        <v>0</v>
      </c>
      <c r="O58" s="221">
        <v>0</v>
      </c>
      <c r="P58" s="192">
        <v>0</v>
      </c>
    </row>
    <row r="59" spans="1:16">
      <c r="A59">
        <v>48</v>
      </c>
      <c r="B59" s="186" t="s">
        <v>184</v>
      </c>
      <c r="C59" s="186">
        <v>6</v>
      </c>
      <c r="F59">
        <v>6002</v>
      </c>
      <c r="G59" s="6">
        <v>0</v>
      </c>
      <c r="H59" s="192">
        <v>400</v>
      </c>
      <c r="I59" s="5">
        <v>0</v>
      </c>
      <c r="J59" s="192">
        <v>500</v>
      </c>
      <c r="K59" s="5">
        <v>0.02</v>
      </c>
      <c r="L59" s="192">
        <v>500</v>
      </c>
      <c r="M59" s="5">
        <v>0</v>
      </c>
      <c r="N59" s="192">
        <v>0</v>
      </c>
      <c r="O59" s="221">
        <v>0</v>
      </c>
      <c r="P59" s="192">
        <v>0</v>
      </c>
    </row>
    <row r="60" spans="1:16">
      <c r="A60" s="3">
        <v>49</v>
      </c>
      <c r="B60" s="186" t="s">
        <v>184</v>
      </c>
      <c r="C60" s="186">
        <v>6</v>
      </c>
      <c r="F60">
        <v>6003</v>
      </c>
      <c r="G60" s="6">
        <v>0</v>
      </c>
      <c r="H60" s="192">
        <v>400</v>
      </c>
      <c r="I60" s="5">
        <v>0</v>
      </c>
      <c r="J60" s="192">
        <v>500</v>
      </c>
      <c r="K60" s="5">
        <v>0.02</v>
      </c>
      <c r="L60" s="192">
        <v>500</v>
      </c>
      <c r="M60" s="5">
        <v>0</v>
      </c>
      <c r="N60" s="192">
        <v>0</v>
      </c>
      <c r="O60" s="221">
        <v>0</v>
      </c>
      <c r="P60" s="192">
        <v>0</v>
      </c>
    </row>
    <row r="61" spans="1:16">
      <c r="A61">
        <v>50</v>
      </c>
      <c r="B61" s="186" t="s">
        <v>185</v>
      </c>
      <c r="C61" s="186">
        <v>9</v>
      </c>
      <c r="F61">
        <v>9001</v>
      </c>
      <c r="G61" s="6">
        <v>0</v>
      </c>
      <c r="H61" s="192">
        <v>400</v>
      </c>
      <c r="I61" s="5">
        <v>0</v>
      </c>
      <c r="J61" s="192">
        <v>500</v>
      </c>
      <c r="K61" s="5">
        <v>0.02</v>
      </c>
      <c r="L61" s="192">
        <v>500</v>
      </c>
      <c r="M61" s="5">
        <v>0</v>
      </c>
      <c r="N61" s="192">
        <v>0</v>
      </c>
      <c r="O61" s="221">
        <v>0</v>
      </c>
      <c r="P61" s="192">
        <v>0</v>
      </c>
    </row>
    <row r="62" spans="1:16">
      <c r="A62" s="3">
        <v>51</v>
      </c>
      <c r="B62" s="186" t="s">
        <v>185</v>
      </c>
      <c r="C62" s="186">
        <v>9</v>
      </c>
      <c r="F62">
        <v>9002</v>
      </c>
      <c r="G62" s="6">
        <v>0</v>
      </c>
      <c r="H62" s="192">
        <v>400</v>
      </c>
      <c r="I62" s="5">
        <v>0</v>
      </c>
      <c r="J62" s="192">
        <v>500</v>
      </c>
      <c r="K62" s="5">
        <v>0.02</v>
      </c>
      <c r="L62" s="192">
        <v>500</v>
      </c>
      <c r="M62" s="5">
        <v>0</v>
      </c>
      <c r="N62" s="192">
        <v>0</v>
      </c>
      <c r="O62" s="221">
        <v>0</v>
      </c>
      <c r="P62" s="192">
        <v>0</v>
      </c>
    </row>
    <row r="63" spans="1:16">
      <c r="A63">
        <v>52</v>
      </c>
      <c r="B63" s="186" t="s">
        <v>185</v>
      </c>
      <c r="C63" s="186">
        <v>9</v>
      </c>
      <c r="F63">
        <v>9003</v>
      </c>
      <c r="G63" s="6">
        <v>0</v>
      </c>
      <c r="H63" s="192">
        <v>400</v>
      </c>
      <c r="I63" s="5">
        <v>0</v>
      </c>
      <c r="J63" s="192">
        <v>500</v>
      </c>
      <c r="K63" s="5">
        <v>0.02</v>
      </c>
      <c r="L63" s="192">
        <v>500</v>
      </c>
      <c r="M63" s="5">
        <v>0</v>
      </c>
      <c r="N63" s="192">
        <v>0</v>
      </c>
      <c r="O63" s="221">
        <v>0</v>
      </c>
      <c r="P63" s="192">
        <v>0</v>
      </c>
    </row>
    <row r="64" spans="1:16">
      <c r="A64" s="3">
        <v>53</v>
      </c>
      <c r="B64" s="186" t="s">
        <v>185</v>
      </c>
      <c r="C64" s="186">
        <v>9</v>
      </c>
      <c r="F64">
        <v>9004</v>
      </c>
      <c r="G64" s="6">
        <v>0</v>
      </c>
      <c r="H64" s="192">
        <v>400</v>
      </c>
      <c r="I64" s="5">
        <v>0</v>
      </c>
      <c r="J64" s="192">
        <v>500</v>
      </c>
      <c r="K64" s="5">
        <v>0.02</v>
      </c>
      <c r="L64" s="192">
        <v>500</v>
      </c>
      <c r="M64" s="5">
        <v>0</v>
      </c>
      <c r="N64" s="192">
        <v>0</v>
      </c>
      <c r="O64" s="221">
        <v>0</v>
      </c>
      <c r="P64" s="192">
        <v>0</v>
      </c>
    </row>
    <row r="65" spans="1:16">
      <c r="A65">
        <v>54</v>
      </c>
      <c r="B65" s="186" t="s">
        <v>185</v>
      </c>
      <c r="C65" s="186">
        <v>9</v>
      </c>
      <c r="F65">
        <v>9005</v>
      </c>
      <c r="G65" s="6">
        <v>0</v>
      </c>
      <c r="H65" s="192">
        <v>400</v>
      </c>
      <c r="I65" s="5">
        <v>0</v>
      </c>
      <c r="J65" s="192">
        <v>500</v>
      </c>
      <c r="K65" s="5">
        <v>0.02</v>
      </c>
      <c r="L65" s="192">
        <v>500</v>
      </c>
      <c r="M65" s="5">
        <v>0</v>
      </c>
      <c r="N65" s="192">
        <v>0</v>
      </c>
      <c r="O65" s="221">
        <v>0</v>
      </c>
      <c r="P65" s="192">
        <v>0</v>
      </c>
    </row>
    <row r="66" spans="1:16">
      <c r="A66" s="3">
        <v>55</v>
      </c>
      <c r="B66" s="186" t="s">
        <v>185</v>
      </c>
      <c r="C66" s="186">
        <v>9</v>
      </c>
      <c r="F66">
        <v>9006</v>
      </c>
      <c r="G66" s="6">
        <v>0</v>
      </c>
      <c r="H66" s="192">
        <v>400</v>
      </c>
      <c r="I66" s="5">
        <v>0</v>
      </c>
      <c r="J66" s="192">
        <v>500</v>
      </c>
      <c r="K66" s="5">
        <v>0.02</v>
      </c>
      <c r="L66" s="192">
        <v>500</v>
      </c>
      <c r="M66" s="5">
        <v>0</v>
      </c>
      <c r="N66" s="192">
        <v>0</v>
      </c>
      <c r="O66" s="221">
        <v>0</v>
      </c>
      <c r="P66" s="192">
        <v>0</v>
      </c>
    </row>
    <row r="67" spans="1:16">
      <c r="A67">
        <v>56</v>
      </c>
      <c r="B67" s="186" t="s">
        <v>185</v>
      </c>
      <c r="C67" s="186">
        <v>9</v>
      </c>
      <c r="F67">
        <v>9007</v>
      </c>
      <c r="G67" s="6">
        <v>0</v>
      </c>
      <c r="H67" s="192">
        <v>400</v>
      </c>
      <c r="I67" s="5">
        <v>0</v>
      </c>
      <c r="J67" s="192">
        <v>500</v>
      </c>
      <c r="K67" s="5">
        <v>0.02</v>
      </c>
      <c r="L67" s="192">
        <v>500</v>
      </c>
      <c r="M67" s="5">
        <v>0</v>
      </c>
      <c r="N67" s="192">
        <v>0</v>
      </c>
      <c r="O67" s="221">
        <v>0</v>
      </c>
      <c r="P67" s="192">
        <v>0</v>
      </c>
    </row>
    <row r="68" spans="1:16">
      <c r="A68" s="3">
        <v>57</v>
      </c>
      <c r="B68" s="186" t="s">
        <v>185</v>
      </c>
      <c r="C68" s="186">
        <v>9</v>
      </c>
      <c r="F68">
        <v>9008</v>
      </c>
      <c r="G68" s="6">
        <v>0</v>
      </c>
      <c r="H68" s="192">
        <v>400</v>
      </c>
      <c r="I68" s="5">
        <v>0</v>
      </c>
      <c r="J68" s="192">
        <v>500</v>
      </c>
      <c r="K68" s="5">
        <v>0.02</v>
      </c>
      <c r="L68" s="192">
        <v>500</v>
      </c>
      <c r="M68" s="5">
        <v>0</v>
      </c>
      <c r="N68" s="192">
        <v>0</v>
      </c>
      <c r="O68" s="221">
        <v>0</v>
      </c>
      <c r="P68" s="192">
        <v>0</v>
      </c>
    </row>
    <row r="69" spans="1:16">
      <c r="A69">
        <v>58</v>
      </c>
      <c r="B69" s="186" t="s">
        <v>185</v>
      </c>
      <c r="C69" s="186">
        <v>9</v>
      </c>
      <c r="F69">
        <v>9009</v>
      </c>
      <c r="G69" s="6">
        <v>0</v>
      </c>
      <c r="H69" s="192">
        <v>400</v>
      </c>
      <c r="I69" s="5">
        <v>0</v>
      </c>
      <c r="J69" s="192">
        <v>500</v>
      </c>
      <c r="K69" s="5">
        <v>0.02</v>
      </c>
      <c r="L69" s="192">
        <v>500</v>
      </c>
      <c r="M69" s="5">
        <v>0</v>
      </c>
      <c r="N69" s="192">
        <v>0</v>
      </c>
      <c r="O69" s="221">
        <v>0</v>
      </c>
      <c r="P69" s="192">
        <v>0</v>
      </c>
    </row>
    <row r="70" spans="1:16">
      <c r="A70" s="3">
        <v>59</v>
      </c>
      <c r="B70" s="186" t="s">
        <v>185</v>
      </c>
      <c r="C70" s="186">
        <v>9</v>
      </c>
      <c r="F70">
        <v>9010</v>
      </c>
      <c r="G70" s="6">
        <v>0</v>
      </c>
      <c r="H70" s="192">
        <v>400</v>
      </c>
      <c r="I70" s="5">
        <v>0</v>
      </c>
      <c r="J70" s="192">
        <v>500</v>
      </c>
      <c r="K70" s="5">
        <v>0.02</v>
      </c>
      <c r="L70" s="192">
        <v>500</v>
      </c>
      <c r="M70" s="5">
        <v>0</v>
      </c>
      <c r="N70" s="192">
        <v>0</v>
      </c>
      <c r="O70" s="221">
        <v>0</v>
      </c>
      <c r="P70" s="192">
        <v>0</v>
      </c>
    </row>
    <row r="71" spans="1:16">
      <c r="A71">
        <v>60</v>
      </c>
      <c r="B71" s="186" t="s">
        <v>186</v>
      </c>
      <c r="C71" s="186">
        <v>11</v>
      </c>
      <c r="D71" s="1">
        <v>34</v>
      </c>
      <c r="F71">
        <v>11001</v>
      </c>
      <c r="G71" s="6">
        <v>0</v>
      </c>
      <c r="H71" s="192">
        <v>400</v>
      </c>
      <c r="I71" s="5">
        <v>0</v>
      </c>
      <c r="J71" s="192">
        <v>500</v>
      </c>
      <c r="K71" s="5">
        <v>0.02</v>
      </c>
      <c r="L71" s="192">
        <v>500</v>
      </c>
      <c r="M71" s="5">
        <v>0</v>
      </c>
      <c r="N71" s="192">
        <v>0</v>
      </c>
      <c r="O71" s="221">
        <v>0</v>
      </c>
      <c r="P71" s="192">
        <v>0</v>
      </c>
    </row>
    <row r="72" spans="1:16">
      <c r="A72" s="3">
        <v>61</v>
      </c>
      <c r="B72" s="186" t="s">
        <v>186</v>
      </c>
      <c r="C72" s="186">
        <v>11</v>
      </c>
      <c r="D72" s="1" t="s">
        <v>187</v>
      </c>
      <c r="F72">
        <v>11002</v>
      </c>
      <c r="G72" s="6">
        <v>0</v>
      </c>
      <c r="H72" s="192">
        <v>400</v>
      </c>
      <c r="I72" s="5">
        <v>0</v>
      </c>
      <c r="J72" s="192">
        <v>500</v>
      </c>
      <c r="K72" s="5">
        <v>0.02</v>
      </c>
      <c r="L72" s="192">
        <v>500</v>
      </c>
      <c r="M72" s="5">
        <v>0</v>
      </c>
      <c r="N72" s="192">
        <v>0</v>
      </c>
      <c r="O72" s="221">
        <v>0</v>
      </c>
      <c r="P72" s="192">
        <v>0</v>
      </c>
    </row>
    <row r="73" spans="1:16">
      <c r="A73">
        <v>62</v>
      </c>
      <c r="B73" s="186" t="s">
        <v>186</v>
      </c>
      <c r="C73" s="186">
        <v>11</v>
      </c>
      <c r="D73" s="1">
        <v>35</v>
      </c>
      <c r="F73">
        <v>11003</v>
      </c>
      <c r="G73" s="6">
        <v>0</v>
      </c>
      <c r="H73" s="192">
        <v>400</v>
      </c>
      <c r="I73" s="5">
        <v>0</v>
      </c>
      <c r="J73" s="192">
        <v>500</v>
      </c>
      <c r="K73" s="5">
        <v>0.02</v>
      </c>
      <c r="L73" s="192">
        <v>500</v>
      </c>
      <c r="M73" s="5">
        <v>0</v>
      </c>
      <c r="N73" s="192">
        <v>0</v>
      </c>
      <c r="O73" s="221">
        <v>0</v>
      </c>
      <c r="P73" s="192">
        <v>0</v>
      </c>
    </row>
    <row r="74" spans="1:16">
      <c r="A74" s="3">
        <v>63</v>
      </c>
      <c r="B74" s="186" t="s">
        <v>186</v>
      </c>
      <c r="C74" s="186">
        <v>11</v>
      </c>
      <c r="D74" s="1" t="s">
        <v>188</v>
      </c>
      <c r="F74">
        <v>11004</v>
      </c>
      <c r="G74" s="6">
        <v>0</v>
      </c>
      <c r="H74" s="192">
        <v>400</v>
      </c>
      <c r="I74" s="5">
        <v>0</v>
      </c>
      <c r="J74" s="192">
        <v>500</v>
      </c>
      <c r="K74" s="5">
        <v>0.02</v>
      </c>
      <c r="L74" s="192">
        <v>500</v>
      </c>
      <c r="M74" s="5">
        <v>0</v>
      </c>
      <c r="N74" s="192">
        <v>0</v>
      </c>
      <c r="O74" s="221">
        <v>0</v>
      </c>
      <c r="P74" s="192">
        <v>0</v>
      </c>
    </row>
    <row r="75" spans="1:16">
      <c r="A75">
        <v>64</v>
      </c>
      <c r="B75" s="186" t="s">
        <v>186</v>
      </c>
      <c r="C75" s="186">
        <v>11</v>
      </c>
      <c r="D75" s="1">
        <v>36</v>
      </c>
      <c r="F75">
        <v>11005</v>
      </c>
      <c r="G75" s="6">
        <v>0</v>
      </c>
      <c r="H75" s="192">
        <v>400</v>
      </c>
      <c r="I75" s="5">
        <v>0</v>
      </c>
      <c r="J75" s="192">
        <v>500</v>
      </c>
      <c r="K75" s="5">
        <v>0.02</v>
      </c>
      <c r="L75" s="192">
        <v>500</v>
      </c>
      <c r="M75" s="5">
        <v>0</v>
      </c>
      <c r="N75" s="192">
        <v>0</v>
      </c>
      <c r="O75" s="221">
        <v>0</v>
      </c>
      <c r="P75" s="192">
        <v>0</v>
      </c>
    </row>
    <row r="76" spans="1:16">
      <c r="A76" s="3">
        <v>65</v>
      </c>
      <c r="B76" s="186" t="s">
        <v>186</v>
      </c>
      <c r="C76" s="186">
        <v>11</v>
      </c>
      <c r="D76" s="1" t="s">
        <v>189</v>
      </c>
      <c r="F76">
        <v>11006</v>
      </c>
      <c r="G76" s="6">
        <v>0</v>
      </c>
      <c r="H76" s="192">
        <v>400</v>
      </c>
      <c r="I76" s="5">
        <v>0</v>
      </c>
      <c r="J76" s="192">
        <v>500</v>
      </c>
      <c r="K76" s="5">
        <v>0.02</v>
      </c>
      <c r="L76" s="192">
        <v>500</v>
      </c>
      <c r="M76" s="5">
        <v>0</v>
      </c>
      <c r="N76" s="192">
        <v>0</v>
      </c>
      <c r="O76" s="221">
        <v>0</v>
      </c>
      <c r="P76" s="192">
        <v>0</v>
      </c>
    </row>
    <row r="77" spans="1:16">
      <c r="A77">
        <v>66</v>
      </c>
      <c r="B77" s="186" t="s">
        <v>186</v>
      </c>
      <c r="C77" s="186">
        <v>11</v>
      </c>
      <c r="D77" s="1">
        <v>37</v>
      </c>
      <c r="F77">
        <v>11007</v>
      </c>
      <c r="G77" s="6">
        <v>0</v>
      </c>
      <c r="H77" s="192">
        <v>400</v>
      </c>
      <c r="I77" s="5">
        <v>0</v>
      </c>
      <c r="J77" s="192">
        <v>500</v>
      </c>
      <c r="K77" s="5">
        <v>0.02</v>
      </c>
      <c r="L77" s="192">
        <v>500</v>
      </c>
      <c r="M77" s="5">
        <v>0</v>
      </c>
      <c r="N77" s="192">
        <v>0</v>
      </c>
      <c r="O77" s="221">
        <v>0</v>
      </c>
      <c r="P77" s="192">
        <v>0</v>
      </c>
    </row>
    <row r="78" spans="1:16">
      <c r="A78" s="3">
        <v>67</v>
      </c>
      <c r="B78" s="186" t="s">
        <v>186</v>
      </c>
      <c r="C78" s="186">
        <v>11</v>
      </c>
      <c r="D78" s="1" t="s">
        <v>190</v>
      </c>
      <c r="F78">
        <v>11008</v>
      </c>
      <c r="G78" s="6">
        <v>0</v>
      </c>
      <c r="H78" s="192">
        <v>400</v>
      </c>
      <c r="I78" s="5">
        <v>0</v>
      </c>
      <c r="J78" s="192">
        <v>500</v>
      </c>
      <c r="K78" s="5">
        <v>0.02</v>
      </c>
      <c r="L78" s="192">
        <v>500</v>
      </c>
      <c r="M78" s="5">
        <v>0</v>
      </c>
      <c r="N78" s="192">
        <v>0</v>
      </c>
      <c r="O78" s="221">
        <v>0</v>
      </c>
      <c r="P78" s="192">
        <v>0</v>
      </c>
    </row>
    <row r="79" spans="1:16">
      <c r="A79">
        <v>68</v>
      </c>
      <c r="B79" s="186" t="s">
        <v>186</v>
      </c>
      <c r="C79" s="186">
        <v>11</v>
      </c>
      <c r="D79" s="1">
        <v>38</v>
      </c>
      <c r="F79">
        <v>11009</v>
      </c>
      <c r="G79" s="6">
        <v>0</v>
      </c>
      <c r="H79" s="192">
        <v>400</v>
      </c>
      <c r="I79" s="5">
        <v>0</v>
      </c>
      <c r="J79" s="192">
        <v>500</v>
      </c>
      <c r="K79" s="5">
        <v>0.02</v>
      </c>
      <c r="L79" s="192">
        <v>500</v>
      </c>
      <c r="M79" s="5">
        <v>0</v>
      </c>
      <c r="N79" s="192">
        <v>0</v>
      </c>
      <c r="O79" s="221">
        <v>0</v>
      </c>
      <c r="P79" s="192">
        <v>0</v>
      </c>
    </row>
    <row r="80" spans="1:16">
      <c r="A80" s="3">
        <v>69</v>
      </c>
      <c r="B80" s="186" t="s">
        <v>186</v>
      </c>
      <c r="C80" s="186">
        <v>11</v>
      </c>
      <c r="D80" s="1" t="s">
        <v>191</v>
      </c>
      <c r="F80">
        <v>11010</v>
      </c>
      <c r="G80" s="6">
        <v>0</v>
      </c>
      <c r="H80" s="192">
        <v>400</v>
      </c>
      <c r="I80" s="5">
        <v>0</v>
      </c>
      <c r="J80" s="192">
        <v>500</v>
      </c>
      <c r="K80" s="5">
        <v>0.02</v>
      </c>
      <c r="L80" s="192">
        <v>500</v>
      </c>
      <c r="M80" s="5">
        <v>0</v>
      </c>
      <c r="N80" s="192">
        <v>0</v>
      </c>
      <c r="O80" s="221">
        <v>0</v>
      </c>
      <c r="P80" s="192">
        <v>0</v>
      </c>
    </row>
    <row r="81" spans="1:16">
      <c r="A81">
        <v>70</v>
      </c>
      <c r="B81" s="186" t="s">
        <v>186</v>
      </c>
      <c r="C81" s="186">
        <v>11</v>
      </c>
      <c r="D81" s="1">
        <v>39</v>
      </c>
      <c r="F81">
        <v>11011</v>
      </c>
      <c r="G81" s="6">
        <v>0</v>
      </c>
      <c r="H81" s="192">
        <v>400</v>
      </c>
      <c r="I81" s="5">
        <v>0</v>
      </c>
      <c r="J81" s="192">
        <v>500</v>
      </c>
      <c r="K81" s="5">
        <v>0.02</v>
      </c>
      <c r="L81" s="192">
        <v>500</v>
      </c>
      <c r="M81" s="5">
        <v>0</v>
      </c>
      <c r="N81" s="192">
        <v>0</v>
      </c>
      <c r="O81" s="221">
        <v>0</v>
      </c>
      <c r="P81" s="192">
        <v>0</v>
      </c>
    </row>
    <row r="82" spans="1:16">
      <c r="A82" s="3">
        <v>71</v>
      </c>
      <c r="B82" s="186" t="s">
        <v>186</v>
      </c>
      <c r="C82" s="186">
        <v>11</v>
      </c>
      <c r="D82" s="1" t="s">
        <v>192</v>
      </c>
      <c r="F82">
        <v>11012</v>
      </c>
      <c r="G82" s="6">
        <v>0</v>
      </c>
      <c r="H82" s="192">
        <v>400</v>
      </c>
      <c r="I82" s="5">
        <v>0</v>
      </c>
      <c r="J82" s="192">
        <v>500</v>
      </c>
      <c r="K82" s="5">
        <v>0.02</v>
      </c>
      <c r="L82" s="192">
        <v>500</v>
      </c>
      <c r="M82" s="5">
        <v>0</v>
      </c>
      <c r="N82" s="192">
        <v>0</v>
      </c>
      <c r="O82" s="221">
        <v>0</v>
      </c>
      <c r="P82" s="192">
        <v>0</v>
      </c>
    </row>
    <row r="83" spans="1:16">
      <c r="A83">
        <v>72</v>
      </c>
      <c r="B83" s="186" t="s">
        <v>186</v>
      </c>
      <c r="C83" s="186">
        <v>11</v>
      </c>
      <c r="D83" s="1">
        <v>40</v>
      </c>
      <c r="F83">
        <v>11013</v>
      </c>
      <c r="G83" s="6">
        <v>0</v>
      </c>
      <c r="H83" s="192">
        <v>400</v>
      </c>
      <c r="I83" s="5">
        <v>0</v>
      </c>
      <c r="J83" s="192">
        <v>500</v>
      </c>
      <c r="K83" s="5">
        <v>0.02</v>
      </c>
      <c r="L83" s="192">
        <v>500</v>
      </c>
      <c r="M83" s="5">
        <v>0</v>
      </c>
      <c r="N83" s="192">
        <v>0</v>
      </c>
      <c r="O83" s="221">
        <v>0</v>
      </c>
      <c r="P83" s="192">
        <v>0</v>
      </c>
    </row>
    <row r="84" spans="1:16">
      <c r="A84" s="3">
        <v>73</v>
      </c>
      <c r="B84" s="186" t="s">
        <v>186</v>
      </c>
      <c r="C84" s="186">
        <v>11</v>
      </c>
      <c r="D84" s="1" t="s">
        <v>193</v>
      </c>
      <c r="F84">
        <v>11014</v>
      </c>
      <c r="G84" s="6">
        <v>0</v>
      </c>
      <c r="H84" s="192">
        <v>400</v>
      </c>
      <c r="I84" s="5">
        <v>0</v>
      </c>
      <c r="J84" s="192">
        <v>500</v>
      </c>
      <c r="K84" s="5">
        <v>0.02</v>
      </c>
      <c r="L84" s="192">
        <v>500</v>
      </c>
      <c r="M84" s="5">
        <v>0</v>
      </c>
      <c r="N84" s="192">
        <v>0</v>
      </c>
      <c r="O84" s="221">
        <v>0</v>
      </c>
      <c r="P84" s="192">
        <v>0</v>
      </c>
    </row>
    <row r="85" spans="1:16">
      <c r="A85">
        <v>74</v>
      </c>
      <c r="B85" s="186" t="s">
        <v>186</v>
      </c>
      <c r="C85" s="186">
        <v>11</v>
      </c>
      <c r="D85" s="1">
        <v>41</v>
      </c>
      <c r="F85">
        <v>11015</v>
      </c>
      <c r="G85" s="6">
        <v>0</v>
      </c>
      <c r="H85" s="192">
        <v>400</v>
      </c>
      <c r="I85" s="5">
        <v>0</v>
      </c>
      <c r="J85" s="192">
        <v>500</v>
      </c>
      <c r="K85" s="5">
        <v>0.02</v>
      </c>
      <c r="L85" s="192">
        <v>500</v>
      </c>
      <c r="M85" s="5">
        <v>0</v>
      </c>
      <c r="N85" s="192">
        <v>0</v>
      </c>
      <c r="O85" s="221">
        <v>0</v>
      </c>
      <c r="P85" s="192">
        <v>0</v>
      </c>
    </row>
    <row r="86" spans="1:16">
      <c r="A86" s="3">
        <v>75</v>
      </c>
      <c r="B86" s="186" t="s">
        <v>186</v>
      </c>
      <c r="C86" s="186">
        <v>11</v>
      </c>
      <c r="D86" s="1" t="s">
        <v>194</v>
      </c>
      <c r="F86">
        <v>11016</v>
      </c>
      <c r="G86" s="6">
        <v>0</v>
      </c>
      <c r="H86" s="192">
        <v>400</v>
      </c>
      <c r="I86" s="5">
        <v>0</v>
      </c>
      <c r="J86" s="192">
        <v>500</v>
      </c>
      <c r="K86" s="5">
        <v>0.02</v>
      </c>
      <c r="L86" s="192">
        <v>500</v>
      </c>
      <c r="M86" s="5">
        <v>0</v>
      </c>
      <c r="N86" s="192">
        <v>0</v>
      </c>
      <c r="O86" s="221">
        <v>0</v>
      </c>
      <c r="P86" s="192">
        <v>0</v>
      </c>
    </row>
    <row r="87" spans="1:16">
      <c r="A87">
        <v>76</v>
      </c>
      <c r="B87" s="186" t="s">
        <v>186</v>
      </c>
      <c r="C87" s="186">
        <v>11</v>
      </c>
      <c r="D87" s="1">
        <v>42</v>
      </c>
      <c r="F87">
        <v>11017</v>
      </c>
      <c r="G87" s="6">
        <v>0</v>
      </c>
      <c r="H87" s="192">
        <v>400</v>
      </c>
      <c r="I87" s="5">
        <v>0</v>
      </c>
      <c r="J87" s="192">
        <v>500</v>
      </c>
      <c r="K87" s="5">
        <v>0.02</v>
      </c>
      <c r="L87" s="192">
        <v>500</v>
      </c>
      <c r="M87" s="5">
        <v>0</v>
      </c>
      <c r="N87" s="192">
        <v>0</v>
      </c>
      <c r="O87" s="221">
        <v>0</v>
      </c>
      <c r="P87" s="192">
        <v>0</v>
      </c>
    </row>
    <row r="88" spans="1:16">
      <c r="A88" s="3">
        <v>77</v>
      </c>
      <c r="B88" s="186" t="s">
        <v>186</v>
      </c>
      <c r="C88" s="186">
        <v>11</v>
      </c>
      <c r="D88" s="1" t="s">
        <v>195</v>
      </c>
      <c r="F88">
        <v>11018</v>
      </c>
      <c r="G88" s="6">
        <v>0</v>
      </c>
      <c r="H88" s="192">
        <v>400</v>
      </c>
      <c r="I88" s="5">
        <v>0</v>
      </c>
      <c r="J88" s="192">
        <v>500</v>
      </c>
      <c r="K88" s="5">
        <v>0.02</v>
      </c>
      <c r="L88" s="192">
        <v>500</v>
      </c>
      <c r="M88" s="5">
        <v>0</v>
      </c>
      <c r="N88" s="192">
        <v>0</v>
      </c>
      <c r="O88" s="221">
        <v>0</v>
      </c>
      <c r="P88" s="192">
        <v>0</v>
      </c>
    </row>
    <row r="89" spans="1:16">
      <c r="A89">
        <v>78</v>
      </c>
      <c r="B89" s="186" t="s">
        <v>186</v>
      </c>
      <c r="C89" s="186">
        <v>11</v>
      </c>
      <c r="D89" s="1">
        <v>43</v>
      </c>
      <c r="F89">
        <v>11019</v>
      </c>
      <c r="G89" s="6">
        <v>0</v>
      </c>
      <c r="H89" s="192">
        <v>400</v>
      </c>
      <c r="I89" s="5">
        <v>0</v>
      </c>
      <c r="J89" s="192">
        <v>500</v>
      </c>
      <c r="K89" s="5">
        <v>0.02</v>
      </c>
      <c r="L89" s="192">
        <v>500</v>
      </c>
      <c r="M89" s="5">
        <v>0</v>
      </c>
      <c r="N89" s="192">
        <v>0</v>
      </c>
      <c r="O89" s="221">
        <v>0</v>
      </c>
      <c r="P89" s="192">
        <v>0</v>
      </c>
    </row>
    <row r="90" spans="1:16">
      <c r="A90" s="3">
        <v>79</v>
      </c>
      <c r="B90" s="186" t="s">
        <v>186</v>
      </c>
      <c r="C90" s="186">
        <v>11</v>
      </c>
      <c r="D90" s="1" t="s">
        <v>196</v>
      </c>
      <c r="F90">
        <v>11020</v>
      </c>
      <c r="G90" s="6">
        <v>0</v>
      </c>
      <c r="H90" s="192">
        <v>400</v>
      </c>
      <c r="I90" s="5">
        <v>0</v>
      </c>
      <c r="J90" s="192">
        <v>500</v>
      </c>
      <c r="K90" s="5">
        <v>0.02</v>
      </c>
      <c r="L90" s="192">
        <v>500</v>
      </c>
      <c r="M90" s="5">
        <v>0</v>
      </c>
      <c r="N90" s="192">
        <v>0</v>
      </c>
      <c r="O90" s="221">
        <v>0</v>
      </c>
      <c r="P90" s="192">
        <v>0</v>
      </c>
    </row>
    <row r="91" spans="1:16">
      <c r="A91">
        <v>80</v>
      </c>
      <c r="B91" s="186" t="s">
        <v>186</v>
      </c>
      <c r="C91" s="186">
        <v>11</v>
      </c>
      <c r="D91" s="1">
        <v>44</v>
      </c>
      <c r="F91">
        <v>11021</v>
      </c>
      <c r="G91" s="6">
        <v>0</v>
      </c>
      <c r="H91" s="192">
        <v>400</v>
      </c>
      <c r="I91" s="5">
        <v>0</v>
      </c>
      <c r="J91" s="192">
        <v>500</v>
      </c>
      <c r="K91" s="5">
        <v>0.02</v>
      </c>
      <c r="L91" s="192">
        <v>500</v>
      </c>
      <c r="M91" s="5">
        <v>0</v>
      </c>
      <c r="N91" s="192">
        <v>0</v>
      </c>
      <c r="O91" s="221">
        <v>0</v>
      </c>
      <c r="P91" s="192">
        <v>0</v>
      </c>
    </row>
    <row r="92" spans="1:16">
      <c r="A92" s="3">
        <v>81</v>
      </c>
      <c r="B92" s="186" t="s">
        <v>186</v>
      </c>
      <c r="C92" s="186">
        <v>11</v>
      </c>
      <c r="D92" s="1" t="s">
        <v>197</v>
      </c>
      <c r="F92">
        <v>11022</v>
      </c>
      <c r="G92" s="6">
        <v>0</v>
      </c>
      <c r="H92" s="192">
        <v>400</v>
      </c>
      <c r="I92" s="5">
        <v>0</v>
      </c>
      <c r="J92" s="192">
        <v>500</v>
      </c>
      <c r="K92" s="5">
        <v>0.02</v>
      </c>
      <c r="L92" s="192">
        <v>500</v>
      </c>
      <c r="M92" s="5">
        <v>0</v>
      </c>
      <c r="N92" s="192">
        <v>0</v>
      </c>
      <c r="O92" s="221">
        <v>0</v>
      </c>
      <c r="P92" s="192">
        <v>0</v>
      </c>
    </row>
    <row r="93" spans="1:16">
      <c r="A93">
        <v>82</v>
      </c>
      <c r="B93" s="186" t="s">
        <v>186</v>
      </c>
      <c r="C93" s="186">
        <v>11</v>
      </c>
      <c r="D93" s="1">
        <v>45</v>
      </c>
      <c r="F93">
        <v>11023</v>
      </c>
      <c r="G93" s="6">
        <v>0</v>
      </c>
      <c r="H93" s="192">
        <v>400</v>
      </c>
      <c r="I93" s="5">
        <v>0</v>
      </c>
      <c r="J93" s="192">
        <v>500</v>
      </c>
      <c r="K93" s="5">
        <v>0.02</v>
      </c>
      <c r="L93" s="192">
        <v>500</v>
      </c>
      <c r="M93" s="5">
        <v>0</v>
      </c>
      <c r="N93" s="192">
        <v>0</v>
      </c>
      <c r="O93" s="221">
        <v>0</v>
      </c>
      <c r="P93" s="192">
        <v>0</v>
      </c>
    </row>
    <row r="94" spans="1:16">
      <c r="A94" s="3">
        <v>83</v>
      </c>
      <c r="B94" s="186" t="s">
        <v>186</v>
      </c>
      <c r="C94" s="186">
        <v>11</v>
      </c>
      <c r="D94" s="1" t="s">
        <v>198</v>
      </c>
      <c r="F94">
        <v>11024</v>
      </c>
      <c r="G94" s="6">
        <v>0</v>
      </c>
      <c r="H94" s="192">
        <v>400</v>
      </c>
      <c r="I94" s="5">
        <v>0</v>
      </c>
      <c r="J94" s="192">
        <v>500</v>
      </c>
      <c r="K94" s="5">
        <v>0.02</v>
      </c>
      <c r="L94" s="192">
        <v>500</v>
      </c>
      <c r="M94" s="5">
        <v>0</v>
      </c>
      <c r="N94" s="192">
        <v>0</v>
      </c>
      <c r="O94" s="221">
        <v>0</v>
      </c>
      <c r="P94" s="192">
        <v>0</v>
      </c>
    </row>
    <row r="95" spans="1:16">
      <c r="A95">
        <v>84</v>
      </c>
      <c r="B95" s="186" t="s">
        <v>186</v>
      </c>
      <c r="C95" s="186">
        <v>11</v>
      </c>
      <c r="D95" s="1">
        <v>46</v>
      </c>
      <c r="F95">
        <v>11025</v>
      </c>
      <c r="G95" s="6">
        <v>0</v>
      </c>
      <c r="H95" s="192">
        <v>400</v>
      </c>
      <c r="I95" s="5">
        <v>0</v>
      </c>
      <c r="J95" s="192">
        <v>500</v>
      </c>
      <c r="K95" s="5">
        <v>0.02</v>
      </c>
      <c r="L95" s="192">
        <v>500</v>
      </c>
      <c r="M95" s="5">
        <v>0</v>
      </c>
      <c r="N95" s="192">
        <v>0</v>
      </c>
      <c r="O95" s="221">
        <v>0</v>
      </c>
      <c r="P95" s="192">
        <v>0</v>
      </c>
    </row>
    <row r="96" spans="1:16">
      <c r="A96" s="3">
        <v>85</v>
      </c>
      <c r="B96" s="186" t="s">
        <v>186</v>
      </c>
      <c r="C96" s="186">
        <v>11</v>
      </c>
      <c r="D96" s="1" t="s">
        <v>199</v>
      </c>
      <c r="F96">
        <v>11026</v>
      </c>
      <c r="G96" s="6">
        <v>0</v>
      </c>
      <c r="H96" s="192">
        <v>400</v>
      </c>
      <c r="I96" s="5">
        <v>0</v>
      </c>
      <c r="J96" s="192">
        <v>500</v>
      </c>
      <c r="K96" s="5">
        <v>0.02</v>
      </c>
      <c r="L96" s="192">
        <v>500</v>
      </c>
      <c r="M96" s="5">
        <v>0</v>
      </c>
      <c r="N96" s="192">
        <v>0</v>
      </c>
      <c r="O96" s="221">
        <v>0</v>
      </c>
      <c r="P96" s="192">
        <v>0</v>
      </c>
    </row>
    <row r="97" spans="1:16">
      <c r="A97">
        <v>86</v>
      </c>
      <c r="B97" s="186" t="s">
        <v>107</v>
      </c>
      <c r="C97" s="186">
        <v>12</v>
      </c>
      <c r="D97" s="1">
        <v>34</v>
      </c>
      <c r="F97">
        <v>12001</v>
      </c>
      <c r="G97" s="6">
        <v>0</v>
      </c>
      <c r="H97" s="192">
        <v>400</v>
      </c>
      <c r="I97" s="5">
        <v>0</v>
      </c>
      <c r="J97" s="192">
        <v>500</v>
      </c>
      <c r="K97" s="5">
        <v>0.02</v>
      </c>
      <c r="L97" s="192">
        <v>500</v>
      </c>
      <c r="M97" s="5">
        <v>0</v>
      </c>
      <c r="N97" s="192">
        <v>0</v>
      </c>
      <c r="O97" s="221">
        <v>0</v>
      </c>
      <c r="P97" s="192">
        <v>0</v>
      </c>
    </row>
    <row r="98" spans="1:16">
      <c r="A98" s="3">
        <v>87</v>
      </c>
      <c r="B98" s="186" t="s">
        <v>107</v>
      </c>
      <c r="C98" s="186">
        <v>12</v>
      </c>
      <c r="D98" s="1" t="s">
        <v>187</v>
      </c>
      <c r="F98">
        <v>12002</v>
      </c>
      <c r="G98" s="6">
        <v>0</v>
      </c>
      <c r="H98" s="192">
        <v>400</v>
      </c>
      <c r="I98" s="5">
        <v>0</v>
      </c>
      <c r="J98" s="192">
        <v>500</v>
      </c>
      <c r="K98" s="5">
        <v>0.02</v>
      </c>
      <c r="L98" s="192">
        <v>500</v>
      </c>
      <c r="M98" s="5">
        <v>0</v>
      </c>
      <c r="N98" s="192">
        <v>0</v>
      </c>
      <c r="O98" s="221">
        <v>0</v>
      </c>
      <c r="P98" s="192">
        <v>0</v>
      </c>
    </row>
    <row r="99" spans="1:16">
      <c r="A99">
        <v>88</v>
      </c>
      <c r="B99" s="186" t="s">
        <v>107</v>
      </c>
      <c r="C99" s="186">
        <v>12</v>
      </c>
      <c r="D99" s="1">
        <v>35</v>
      </c>
      <c r="F99">
        <v>12003</v>
      </c>
      <c r="G99" s="6">
        <v>0</v>
      </c>
      <c r="H99" s="192">
        <v>400</v>
      </c>
      <c r="I99" s="5">
        <v>0</v>
      </c>
      <c r="J99" s="192">
        <v>500</v>
      </c>
      <c r="K99" s="5">
        <v>0.02</v>
      </c>
      <c r="L99" s="192">
        <v>500</v>
      </c>
      <c r="M99" s="5">
        <v>0</v>
      </c>
      <c r="N99" s="192">
        <v>0</v>
      </c>
      <c r="O99" s="221">
        <v>0</v>
      </c>
      <c r="P99" s="192">
        <v>0</v>
      </c>
    </row>
    <row r="100" spans="1:16">
      <c r="A100" s="3">
        <v>89</v>
      </c>
      <c r="B100" s="186" t="s">
        <v>107</v>
      </c>
      <c r="C100" s="186">
        <v>12</v>
      </c>
      <c r="D100" s="1" t="s">
        <v>188</v>
      </c>
      <c r="F100">
        <v>12004</v>
      </c>
      <c r="G100" s="6">
        <v>0</v>
      </c>
      <c r="H100" s="192">
        <v>400</v>
      </c>
      <c r="I100" s="5">
        <v>0</v>
      </c>
      <c r="J100" s="192">
        <v>500</v>
      </c>
      <c r="K100" s="5">
        <v>0.02</v>
      </c>
      <c r="L100" s="192">
        <v>500</v>
      </c>
      <c r="M100" s="5">
        <v>0</v>
      </c>
      <c r="N100" s="192">
        <v>0</v>
      </c>
      <c r="O100" s="221">
        <v>0</v>
      </c>
      <c r="P100" s="192">
        <v>0</v>
      </c>
    </row>
    <row r="101" spans="1:16">
      <c r="A101">
        <v>90</v>
      </c>
      <c r="B101" s="186" t="s">
        <v>107</v>
      </c>
      <c r="C101" s="186">
        <v>12</v>
      </c>
      <c r="D101" s="1">
        <v>36</v>
      </c>
      <c r="F101">
        <v>12005</v>
      </c>
      <c r="G101" s="6">
        <v>0</v>
      </c>
      <c r="H101" s="192">
        <v>400</v>
      </c>
      <c r="I101" s="5">
        <v>0</v>
      </c>
      <c r="J101" s="192">
        <v>500</v>
      </c>
      <c r="K101" s="5">
        <v>0.02</v>
      </c>
      <c r="L101" s="192">
        <v>500</v>
      </c>
      <c r="M101" s="5">
        <v>0</v>
      </c>
      <c r="N101" s="192">
        <v>0</v>
      </c>
      <c r="O101" s="221">
        <v>0</v>
      </c>
      <c r="P101" s="192">
        <v>0</v>
      </c>
    </row>
    <row r="102" spans="1:16">
      <c r="A102" s="3">
        <v>91</v>
      </c>
      <c r="B102" s="186" t="s">
        <v>107</v>
      </c>
      <c r="C102" s="186">
        <v>12</v>
      </c>
      <c r="D102" s="1" t="s">
        <v>189</v>
      </c>
      <c r="F102">
        <v>12006</v>
      </c>
      <c r="G102" s="6">
        <v>0</v>
      </c>
      <c r="H102" s="192">
        <v>400</v>
      </c>
      <c r="I102" s="5">
        <v>0</v>
      </c>
      <c r="J102" s="192">
        <v>500</v>
      </c>
      <c r="K102" s="5">
        <v>0.02</v>
      </c>
      <c r="L102" s="192">
        <v>500</v>
      </c>
      <c r="M102" s="5">
        <v>0</v>
      </c>
      <c r="N102" s="192">
        <v>0</v>
      </c>
      <c r="O102" s="221">
        <v>0</v>
      </c>
      <c r="P102" s="192">
        <v>0</v>
      </c>
    </row>
    <row r="103" spans="1:16">
      <c r="A103">
        <v>92</v>
      </c>
      <c r="B103" s="186" t="s">
        <v>107</v>
      </c>
      <c r="C103" s="186">
        <v>12</v>
      </c>
      <c r="D103" s="1">
        <v>37</v>
      </c>
      <c r="F103">
        <v>12007</v>
      </c>
      <c r="G103" s="6">
        <v>0</v>
      </c>
      <c r="H103" s="192">
        <v>400</v>
      </c>
      <c r="I103" s="5">
        <v>0</v>
      </c>
      <c r="J103" s="192">
        <v>500</v>
      </c>
      <c r="K103" s="5">
        <v>0.02</v>
      </c>
      <c r="L103" s="192">
        <v>500</v>
      </c>
      <c r="M103" s="5">
        <v>0</v>
      </c>
      <c r="N103" s="192">
        <v>0</v>
      </c>
      <c r="O103" s="221">
        <v>0</v>
      </c>
      <c r="P103" s="192">
        <v>0</v>
      </c>
    </row>
    <row r="104" spans="1:16">
      <c r="A104" s="3">
        <v>93</v>
      </c>
      <c r="B104" s="186" t="s">
        <v>107</v>
      </c>
      <c r="C104" s="186">
        <v>12</v>
      </c>
      <c r="D104" s="1" t="s">
        <v>190</v>
      </c>
      <c r="F104">
        <v>12008</v>
      </c>
      <c r="G104" s="6">
        <v>0</v>
      </c>
      <c r="H104" s="192">
        <v>400</v>
      </c>
      <c r="I104" s="5">
        <v>0</v>
      </c>
      <c r="J104" s="192">
        <v>500</v>
      </c>
      <c r="K104" s="5">
        <v>0.02</v>
      </c>
      <c r="L104" s="192">
        <v>500</v>
      </c>
      <c r="M104" s="5">
        <v>0</v>
      </c>
      <c r="N104" s="192">
        <v>0</v>
      </c>
      <c r="O104" s="221">
        <v>0</v>
      </c>
      <c r="P104" s="192">
        <v>0</v>
      </c>
    </row>
    <row r="105" spans="1:16">
      <c r="A105">
        <v>94</v>
      </c>
      <c r="B105" s="186" t="s">
        <v>107</v>
      </c>
      <c r="C105" s="186">
        <v>12</v>
      </c>
      <c r="D105" s="1">
        <v>38</v>
      </c>
      <c r="F105">
        <v>12009</v>
      </c>
      <c r="G105" s="6">
        <v>0</v>
      </c>
      <c r="H105" s="192">
        <v>400</v>
      </c>
      <c r="I105" s="5">
        <v>0</v>
      </c>
      <c r="J105" s="192">
        <v>500</v>
      </c>
      <c r="K105" s="5">
        <v>0.02</v>
      </c>
      <c r="L105" s="192">
        <v>500</v>
      </c>
      <c r="M105" s="5">
        <v>0</v>
      </c>
      <c r="N105" s="192">
        <v>0</v>
      </c>
      <c r="O105" s="221">
        <v>0</v>
      </c>
      <c r="P105" s="192">
        <v>0</v>
      </c>
    </row>
    <row r="106" spans="1:16">
      <c r="A106" s="3">
        <v>95</v>
      </c>
      <c r="B106" s="186" t="s">
        <v>107</v>
      </c>
      <c r="C106" s="186">
        <v>12</v>
      </c>
      <c r="D106" s="1" t="s">
        <v>191</v>
      </c>
      <c r="F106">
        <v>12010</v>
      </c>
      <c r="G106" s="6">
        <v>0</v>
      </c>
      <c r="H106" s="192">
        <v>400</v>
      </c>
      <c r="I106" s="5">
        <v>0</v>
      </c>
      <c r="J106" s="192">
        <v>500</v>
      </c>
      <c r="K106" s="5">
        <v>0.02</v>
      </c>
      <c r="L106" s="192">
        <v>500</v>
      </c>
      <c r="M106" s="5">
        <v>0</v>
      </c>
      <c r="N106" s="192">
        <v>0</v>
      </c>
      <c r="O106" s="221">
        <v>0</v>
      </c>
      <c r="P106" s="192">
        <v>0</v>
      </c>
    </row>
    <row r="107" spans="1:16">
      <c r="A107">
        <v>96</v>
      </c>
      <c r="B107" s="186" t="s">
        <v>107</v>
      </c>
      <c r="C107" s="186">
        <v>12</v>
      </c>
      <c r="D107" s="1">
        <v>39</v>
      </c>
      <c r="F107">
        <v>12011</v>
      </c>
      <c r="G107" s="6">
        <v>0</v>
      </c>
      <c r="H107" s="192">
        <v>400</v>
      </c>
      <c r="I107" s="5">
        <v>0</v>
      </c>
      <c r="J107" s="192">
        <v>500</v>
      </c>
      <c r="K107" s="5">
        <v>0.02</v>
      </c>
      <c r="L107" s="192">
        <v>500</v>
      </c>
      <c r="M107" s="5">
        <v>0</v>
      </c>
      <c r="N107" s="192">
        <v>0</v>
      </c>
      <c r="O107" s="221">
        <v>0</v>
      </c>
      <c r="P107" s="192">
        <v>0</v>
      </c>
    </row>
    <row r="108" spans="1:16">
      <c r="A108" s="3">
        <v>97</v>
      </c>
      <c r="B108" s="186" t="s">
        <v>107</v>
      </c>
      <c r="C108" s="186">
        <v>12</v>
      </c>
      <c r="D108" s="1" t="s">
        <v>192</v>
      </c>
      <c r="F108">
        <v>12012</v>
      </c>
      <c r="G108" s="6">
        <v>0</v>
      </c>
      <c r="H108" s="192">
        <v>400</v>
      </c>
      <c r="I108" s="5">
        <v>0</v>
      </c>
      <c r="J108" s="192">
        <v>500</v>
      </c>
      <c r="K108" s="5">
        <v>0.02</v>
      </c>
      <c r="L108" s="192">
        <v>500</v>
      </c>
      <c r="M108" s="5">
        <v>0</v>
      </c>
      <c r="N108" s="192">
        <v>0</v>
      </c>
      <c r="O108" s="221">
        <v>0</v>
      </c>
      <c r="P108" s="192">
        <v>0</v>
      </c>
    </row>
    <row r="109" spans="1:16">
      <c r="A109">
        <v>98</v>
      </c>
      <c r="B109" s="186" t="s">
        <v>107</v>
      </c>
      <c r="C109" s="186">
        <v>12</v>
      </c>
      <c r="D109" s="1">
        <v>40</v>
      </c>
      <c r="F109">
        <v>12013</v>
      </c>
      <c r="G109" s="6">
        <v>0</v>
      </c>
      <c r="H109" s="192">
        <v>400</v>
      </c>
      <c r="I109" s="5">
        <v>0</v>
      </c>
      <c r="J109" s="192">
        <v>500</v>
      </c>
      <c r="K109" s="5">
        <v>0.02</v>
      </c>
      <c r="L109" s="192">
        <v>500</v>
      </c>
      <c r="M109" s="5">
        <v>0</v>
      </c>
      <c r="N109" s="192">
        <v>0</v>
      </c>
      <c r="O109" s="221">
        <v>0</v>
      </c>
      <c r="P109" s="192">
        <v>0</v>
      </c>
    </row>
    <row r="110" spans="1:16">
      <c r="A110" s="3">
        <v>99</v>
      </c>
      <c r="B110" s="186" t="s">
        <v>107</v>
      </c>
      <c r="C110" s="186">
        <v>12</v>
      </c>
      <c r="D110" s="1" t="s">
        <v>193</v>
      </c>
      <c r="F110">
        <v>12014</v>
      </c>
      <c r="G110" s="6">
        <v>0</v>
      </c>
      <c r="H110" s="192">
        <v>400</v>
      </c>
      <c r="I110" s="5">
        <v>0</v>
      </c>
      <c r="J110" s="192">
        <v>500</v>
      </c>
      <c r="K110" s="5">
        <v>0.02</v>
      </c>
      <c r="L110" s="192">
        <v>500</v>
      </c>
      <c r="M110" s="5">
        <v>0</v>
      </c>
      <c r="N110" s="192">
        <v>0</v>
      </c>
      <c r="O110" s="221">
        <v>0</v>
      </c>
      <c r="P110" s="192">
        <v>0</v>
      </c>
    </row>
    <row r="111" spans="1:16">
      <c r="A111">
        <v>100</v>
      </c>
      <c r="B111" s="186" t="s">
        <v>107</v>
      </c>
      <c r="C111" s="186">
        <v>12</v>
      </c>
      <c r="D111" s="1">
        <v>41</v>
      </c>
      <c r="F111">
        <v>12015</v>
      </c>
      <c r="G111" s="6">
        <v>0</v>
      </c>
      <c r="H111" s="192">
        <v>400</v>
      </c>
      <c r="I111" s="5">
        <v>0</v>
      </c>
      <c r="J111" s="192">
        <v>500</v>
      </c>
      <c r="K111" s="5">
        <v>0.02</v>
      </c>
      <c r="L111" s="192">
        <v>500</v>
      </c>
      <c r="M111" s="5">
        <v>0</v>
      </c>
      <c r="N111" s="192">
        <v>0</v>
      </c>
      <c r="O111" s="221">
        <v>0</v>
      </c>
      <c r="P111" s="192">
        <v>0</v>
      </c>
    </row>
    <row r="112" spans="1:16">
      <c r="A112" s="3">
        <v>101</v>
      </c>
      <c r="B112" s="186" t="s">
        <v>107</v>
      </c>
      <c r="C112" s="186">
        <v>12</v>
      </c>
      <c r="D112" s="1" t="s">
        <v>194</v>
      </c>
      <c r="F112">
        <v>12016</v>
      </c>
      <c r="G112" s="6">
        <v>0</v>
      </c>
      <c r="H112" s="192">
        <v>400</v>
      </c>
      <c r="I112" s="5">
        <v>0</v>
      </c>
      <c r="J112" s="192">
        <v>500</v>
      </c>
      <c r="K112" s="5">
        <v>0.02</v>
      </c>
      <c r="L112" s="192">
        <v>500</v>
      </c>
      <c r="M112" s="5">
        <v>0</v>
      </c>
      <c r="N112" s="192">
        <v>0</v>
      </c>
      <c r="O112" s="221">
        <v>0</v>
      </c>
      <c r="P112" s="192">
        <v>0</v>
      </c>
    </row>
    <row r="113" spans="1:16">
      <c r="A113">
        <v>102</v>
      </c>
      <c r="B113" s="186" t="s">
        <v>107</v>
      </c>
      <c r="C113" s="186">
        <v>12</v>
      </c>
      <c r="D113" s="1">
        <v>42</v>
      </c>
      <c r="F113">
        <v>12017</v>
      </c>
      <c r="G113" s="6">
        <v>0</v>
      </c>
      <c r="H113" s="192">
        <v>400</v>
      </c>
      <c r="I113" s="5">
        <v>0</v>
      </c>
      <c r="J113" s="192">
        <v>500</v>
      </c>
      <c r="K113" s="5">
        <v>0.02</v>
      </c>
      <c r="L113" s="192">
        <v>500</v>
      </c>
      <c r="M113" s="5">
        <v>0</v>
      </c>
      <c r="N113" s="192">
        <v>0</v>
      </c>
      <c r="O113" s="221">
        <v>0</v>
      </c>
      <c r="P113" s="192">
        <v>0</v>
      </c>
    </row>
    <row r="114" spans="1:16">
      <c r="A114" s="3">
        <v>103</v>
      </c>
      <c r="B114" s="186" t="s">
        <v>107</v>
      </c>
      <c r="C114" s="186">
        <v>12</v>
      </c>
      <c r="D114" s="1" t="s">
        <v>195</v>
      </c>
      <c r="F114">
        <v>12018</v>
      </c>
      <c r="G114" s="6">
        <v>0</v>
      </c>
      <c r="H114" s="192">
        <v>400</v>
      </c>
      <c r="I114" s="5">
        <v>0</v>
      </c>
      <c r="J114" s="192">
        <v>500</v>
      </c>
      <c r="K114" s="5">
        <v>0.02</v>
      </c>
      <c r="L114" s="192">
        <v>500</v>
      </c>
      <c r="M114" s="5">
        <v>0</v>
      </c>
      <c r="N114" s="192">
        <v>0</v>
      </c>
      <c r="O114" s="221">
        <v>0</v>
      </c>
      <c r="P114" s="192">
        <v>0</v>
      </c>
    </row>
    <row r="115" spans="1:16">
      <c r="A115">
        <v>104</v>
      </c>
      <c r="B115" s="186" t="s">
        <v>107</v>
      </c>
      <c r="C115" s="186">
        <v>12</v>
      </c>
      <c r="D115" s="1">
        <v>43</v>
      </c>
      <c r="F115">
        <v>12019</v>
      </c>
      <c r="G115" s="6">
        <v>0</v>
      </c>
      <c r="H115" s="192">
        <v>400</v>
      </c>
      <c r="I115" s="5">
        <v>0</v>
      </c>
      <c r="J115" s="192">
        <v>500</v>
      </c>
      <c r="K115" s="5">
        <v>0.02</v>
      </c>
      <c r="L115" s="192">
        <v>500</v>
      </c>
      <c r="M115" s="5">
        <v>0</v>
      </c>
      <c r="N115" s="192">
        <v>0</v>
      </c>
      <c r="O115" s="221">
        <v>0</v>
      </c>
      <c r="P115" s="192">
        <v>0</v>
      </c>
    </row>
    <row r="116" spans="1:16">
      <c r="A116" s="3">
        <v>105</v>
      </c>
      <c r="B116" s="186" t="s">
        <v>107</v>
      </c>
      <c r="C116" s="186">
        <v>12</v>
      </c>
      <c r="D116" s="1" t="s">
        <v>196</v>
      </c>
      <c r="F116">
        <v>12020</v>
      </c>
      <c r="G116" s="6">
        <v>0</v>
      </c>
      <c r="H116" s="192">
        <v>400</v>
      </c>
      <c r="I116" s="5">
        <v>0</v>
      </c>
      <c r="J116" s="192">
        <v>500</v>
      </c>
      <c r="K116" s="5">
        <v>0.02</v>
      </c>
      <c r="L116" s="192">
        <v>500</v>
      </c>
      <c r="M116" s="5">
        <v>0</v>
      </c>
      <c r="N116" s="192">
        <v>0</v>
      </c>
      <c r="O116" s="221">
        <v>0</v>
      </c>
      <c r="P116" s="192">
        <v>0</v>
      </c>
    </row>
    <row r="117" spans="1:16">
      <c r="A117">
        <v>106</v>
      </c>
      <c r="B117" s="186" t="s">
        <v>107</v>
      </c>
      <c r="C117" s="186">
        <v>12</v>
      </c>
      <c r="D117" s="1">
        <v>44</v>
      </c>
      <c r="F117">
        <v>12021</v>
      </c>
      <c r="G117" s="6">
        <v>0</v>
      </c>
      <c r="H117" s="192">
        <v>400</v>
      </c>
      <c r="I117" s="5">
        <v>0</v>
      </c>
      <c r="J117" s="192">
        <v>500</v>
      </c>
      <c r="K117" s="5">
        <v>0.02</v>
      </c>
      <c r="L117" s="192">
        <v>500</v>
      </c>
      <c r="M117" s="5">
        <v>0</v>
      </c>
      <c r="N117" s="192">
        <v>0</v>
      </c>
      <c r="O117" s="221">
        <v>0</v>
      </c>
      <c r="P117" s="192">
        <v>0</v>
      </c>
    </row>
    <row r="118" spans="1:16">
      <c r="A118" s="3">
        <v>107</v>
      </c>
      <c r="B118" s="186" t="s">
        <v>107</v>
      </c>
      <c r="C118" s="186">
        <v>12</v>
      </c>
      <c r="D118" s="1" t="s">
        <v>197</v>
      </c>
      <c r="F118">
        <v>12022</v>
      </c>
      <c r="G118" s="6">
        <v>0</v>
      </c>
      <c r="H118" s="192">
        <v>400</v>
      </c>
      <c r="I118" s="5">
        <v>0</v>
      </c>
      <c r="J118" s="192">
        <v>500</v>
      </c>
      <c r="K118" s="5">
        <v>0.02</v>
      </c>
      <c r="L118" s="192">
        <v>500</v>
      </c>
      <c r="M118" s="5">
        <v>0</v>
      </c>
      <c r="N118" s="192">
        <v>0</v>
      </c>
      <c r="O118" s="221">
        <v>0</v>
      </c>
      <c r="P118" s="192">
        <v>0</v>
      </c>
    </row>
    <row r="119" spans="1:16">
      <c r="A119">
        <v>108</v>
      </c>
      <c r="B119" s="186" t="s">
        <v>107</v>
      </c>
      <c r="C119" s="186">
        <v>12</v>
      </c>
      <c r="D119" s="1">
        <v>45</v>
      </c>
      <c r="F119">
        <v>12023</v>
      </c>
      <c r="G119" s="6">
        <v>0</v>
      </c>
      <c r="H119" s="192">
        <v>400</v>
      </c>
      <c r="I119" s="5">
        <v>0</v>
      </c>
      <c r="J119" s="192">
        <v>500</v>
      </c>
      <c r="K119" s="5">
        <v>0.02</v>
      </c>
      <c r="L119" s="192">
        <v>500</v>
      </c>
      <c r="M119" s="5">
        <v>0</v>
      </c>
      <c r="N119" s="192">
        <v>0</v>
      </c>
      <c r="O119" s="221">
        <v>0</v>
      </c>
      <c r="P119" s="192">
        <v>0</v>
      </c>
    </row>
    <row r="120" spans="1:16">
      <c r="A120" s="3">
        <v>109</v>
      </c>
      <c r="B120" s="186" t="s">
        <v>107</v>
      </c>
      <c r="C120" s="186">
        <v>12</v>
      </c>
      <c r="D120" s="1" t="s">
        <v>198</v>
      </c>
      <c r="F120">
        <v>12024</v>
      </c>
      <c r="G120" s="6">
        <v>0</v>
      </c>
      <c r="H120" s="192">
        <v>400</v>
      </c>
      <c r="I120" s="5">
        <v>0</v>
      </c>
      <c r="J120" s="192">
        <v>500</v>
      </c>
      <c r="K120" s="5">
        <v>0.02</v>
      </c>
      <c r="L120" s="192">
        <v>500</v>
      </c>
      <c r="M120" s="5">
        <v>0</v>
      </c>
      <c r="N120" s="192">
        <v>0</v>
      </c>
      <c r="O120" s="221">
        <v>0</v>
      </c>
      <c r="P120" s="192">
        <v>0</v>
      </c>
    </row>
    <row r="121" spans="1:16">
      <c r="A121">
        <v>110</v>
      </c>
      <c r="B121" s="186" t="s">
        <v>107</v>
      </c>
      <c r="C121" s="186">
        <v>12</v>
      </c>
      <c r="D121" s="1">
        <v>46</v>
      </c>
      <c r="F121">
        <v>12025</v>
      </c>
      <c r="G121" s="6">
        <v>0</v>
      </c>
      <c r="H121" s="192">
        <v>400</v>
      </c>
      <c r="I121" s="5">
        <v>0</v>
      </c>
      <c r="J121" s="192">
        <v>500</v>
      </c>
      <c r="K121" s="5">
        <v>0.02</v>
      </c>
      <c r="L121" s="192">
        <v>500</v>
      </c>
      <c r="M121" s="5">
        <v>0</v>
      </c>
      <c r="N121" s="192">
        <v>0</v>
      </c>
      <c r="O121" s="221">
        <v>0</v>
      </c>
      <c r="P121" s="192">
        <v>0</v>
      </c>
    </row>
    <row r="122" spans="1:16">
      <c r="A122" s="3">
        <v>111</v>
      </c>
      <c r="B122" s="186" t="s">
        <v>107</v>
      </c>
      <c r="C122" s="186">
        <v>12</v>
      </c>
      <c r="D122" s="1" t="s">
        <v>199</v>
      </c>
      <c r="F122">
        <v>12026</v>
      </c>
      <c r="G122" s="6">
        <v>0</v>
      </c>
      <c r="H122" s="192">
        <v>400</v>
      </c>
      <c r="I122" s="5">
        <v>0</v>
      </c>
      <c r="J122" s="192">
        <v>500</v>
      </c>
      <c r="K122" s="5">
        <v>0.02</v>
      </c>
      <c r="L122" s="192">
        <v>500</v>
      </c>
      <c r="M122" s="5">
        <v>0</v>
      </c>
      <c r="N122" s="192">
        <v>0</v>
      </c>
      <c r="O122" s="221">
        <v>0</v>
      </c>
      <c r="P122" s="192">
        <v>0</v>
      </c>
    </row>
    <row r="123" spans="1:16">
      <c r="A123">
        <v>112</v>
      </c>
      <c r="B123" s="186" t="s">
        <v>200</v>
      </c>
      <c r="C123" s="186">
        <v>13</v>
      </c>
      <c r="D123" s="1">
        <v>34</v>
      </c>
      <c r="F123">
        <v>13001</v>
      </c>
      <c r="G123" s="6">
        <v>0</v>
      </c>
      <c r="H123" s="192">
        <v>400</v>
      </c>
      <c r="I123" s="5">
        <v>0</v>
      </c>
      <c r="J123" s="192">
        <v>500</v>
      </c>
      <c r="K123" s="5">
        <v>0.02</v>
      </c>
      <c r="L123" s="192">
        <v>500</v>
      </c>
      <c r="M123" s="5">
        <v>0</v>
      </c>
      <c r="N123" s="192">
        <v>0</v>
      </c>
      <c r="O123" s="221">
        <v>0</v>
      </c>
      <c r="P123" s="192">
        <v>0</v>
      </c>
    </row>
    <row r="124" spans="1:16">
      <c r="A124" s="3">
        <v>113</v>
      </c>
      <c r="B124" s="186" t="s">
        <v>200</v>
      </c>
      <c r="C124" s="186">
        <v>13</v>
      </c>
      <c r="D124" s="1" t="s">
        <v>187</v>
      </c>
      <c r="F124">
        <v>13002</v>
      </c>
      <c r="G124" s="6">
        <v>0</v>
      </c>
      <c r="H124" s="192">
        <v>400</v>
      </c>
      <c r="I124" s="5">
        <v>0</v>
      </c>
      <c r="J124" s="192">
        <v>500</v>
      </c>
      <c r="K124" s="5">
        <v>0.02</v>
      </c>
      <c r="L124" s="192">
        <v>500</v>
      </c>
      <c r="M124" s="5">
        <v>0</v>
      </c>
      <c r="N124" s="192">
        <v>0</v>
      </c>
      <c r="O124" s="221">
        <v>0</v>
      </c>
      <c r="P124" s="192">
        <v>0</v>
      </c>
    </row>
    <row r="125" spans="1:16">
      <c r="A125">
        <v>114</v>
      </c>
      <c r="B125" s="186" t="s">
        <v>200</v>
      </c>
      <c r="C125" s="186">
        <v>13</v>
      </c>
      <c r="D125" s="1">
        <v>35</v>
      </c>
      <c r="F125">
        <v>13003</v>
      </c>
      <c r="G125" s="6">
        <v>0</v>
      </c>
      <c r="H125" s="192">
        <v>400</v>
      </c>
      <c r="I125" s="5">
        <v>0</v>
      </c>
      <c r="J125" s="192">
        <v>500</v>
      </c>
      <c r="K125" s="5">
        <v>0.02</v>
      </c>
      <c r="L125" s="192">
        <v>500</v>
      </c>
      <c r="M125" s="5">
        <v>0</v>
      </c>
      <c r="N125" s="192">
        <v>0</v>
      </c>
      <c r="O125" s="221">
        <v>0</v>
      </c>
      <c r="P125" s="192">
        <v>0</v>
      </c>
    </row>
    <row r="126" spans="1:16">
      <c r="A126" s="3">
        <v>115</v>
      </c>
      <c r="B126" s="186" t="s">
        <v>200</v>
      </c>
      <c r="C126" s="186">
        <v>13</v>
      </c>
      <c r="D126" s="1" t="s">
        <v>188</v>
      </c>
      <c r="F126">
        <v>13004</v>
      </c>
      <c r="G126" s="6">
        <v>0</v>
      </c>
      <c r="H126" s="192">
        <v>400</v>
      </c>
      <c r="I126" s="5">
        <v>0</v>
      </c>
      <c r="J126" s="192">
        <v>500</v>
      </c>
      <c r="K126" s="5">
        <v>0.02</v>
      </c>
      <c r="L126" s="192">
        <v>500</v>
      </c>
      <c r="M126" s="5">
        <v>0</v>
      </c>
      <c r="N126" s="192">
        <v>0</v>
      </c>
      <c r="O126" s="221">
        <v>0</v>
      </c>
      <c r="P126" s="192">
        <v>0</v>
      </c>
    </row>
    <row r="127" spans="1:16">
      <c r="A127">
        <v>116</v>
      </c>
      <c r="B127" s="186" t="s">
        <v>200</v>
      </c>
      <c r="C127" s="186">
        <v>13</v>
      </c>
      <c r="D127" s="1">
        <v>36</v>
      </c>
      <c r="F127">
        <v>13005</v>
      </c>
      <c r="G127" s="6">
        <v>0</v>
      </c>
      <c r="H127" s="192">
        <v>400</v>
      </c>
      <c r="I127" s="5">
        <v>0</v>
      </c>
      <c r="J127" s="192">
        <v>500</v>
      </c>
      <c r="K127" s="5">
        <v>0.02</v>
      </c>
      <c r="L127" s="192">
        <v>500</v>
      </c>
      <c r="M127" s="5">
        <v>0</v>
      </c>
      <c r="N127" s="192">
        <v>0</v>
      </c>
      <c r="O127" s="221">
        <v>0</v>
      </c>
      <c r="P127" s="192">
        <v>0</v>
      </c>
    </row>
    <row r="128" spans="1:16">
      <c r="A128" s="3">
        <v>117</v>
      </c>
      <c r="B128" s="186" t="s">
        <v>200</v>
      </c>
      <c r="C128" s="186">
        <v>13</v>
      </c>
      <c r="D128" s="1" t="s">
        <v>189</v>
      </c>
      <c r="F128">
        <v>13006</v>
      </c>
      <c r="G128" s="6">
        <v>0</v>
      </c>
      <c r="H128" s="192">
        <v>400</v>
      </c>
      <c r="I128" s="5">
        <v>0</v>
      </c>
      <c r="J128" s="192">
        <v>500</v>
      </c>
      <c r="K128" s="5">
        <v>0.02</v>
      </c>
      <c r="L128" s="192">
        <v>500</v>
      </c>
      <c r="M128" s="5">
        <v>0</v>
      </c>
      <c r="N128" s="192">
        <v>0</v>
      </c>
      <c r="O128" s="221">
        <v>0</v>
      </c>
      <c r="P128" s="192">
        <v>0</v>
      </c>
    </row>
    <row r="129" spans="1:16">
      <c r="A129">
        <v>118</v>
      </c>
      <c r="B129" s="186" t="s">
        <v>200</v>
      </c>
      <c r="C129" s="186">
        <v>13</v>
      </c>
      <c r="D129" s="1">
        <v>37</v>
      </c>
      <c r="F129">
        <v>13007</v>
      </c>
      <c r="G129" s="6">
        <v>0</v>
      </c>
      <c r="H129" s="192">
        <v>400</v>
      </c>
      <c r="I129" s="5">
        <v>0</v>
      </c>
      <c r="J129" s="192">
        <v>500</v>
      </c>
      <c r="K129" s="5">
        <v>0.02</v>
      </c>
      <c r="L129" s="192">
        <v>500</v>
      </c>
      <c r="M129" s="5">
        <v>0</v>
      </c>
      <c r="N129" s="192">
        <v>0</v>
      </c>
      <c r="O129" s="221">
        <v>0</v>
      </c>
      <c r="P129" s="192">
        <v>0</v>
      </c>
    </row>
    <row r="130" spans="1:16">
      <c r="A130" s="3">
        <v>119</v>
      </c>
      <c r="B130" s="186" t="s">
        <v>200</v>
      </c>
      <c r="C130" s="186">
        <v>13</v>
      </c>
      <c r="D130" s="1" t="s">
        <v>190</v>
      </c>
      <c r="F130">
        <v>13008</v>
      </c>
      <c r="G130" s="6">
        <v>0</v>
      </c>
      <c r="H130" s="192">
        <v>400</v>
      </c>
      <c r="I130" s="5">
        <v>0</v>
      </c>
      <c r="J130" s="192">
        <v>500</v>
      </c>
      <c r="K130" s="5">
        <v>0.02</v>
      </c>
      <c r="L130" s="192">
        <v>500</v>
      </c>
      <c r="M130" s="5">
        <v>0</v>
      </c>
      <c r="N130" s="192">
        <v>0</v>
      </c>
      <c r="O130" s="221">
        <v>0</v>
      </c>
      <c r="P130" s="192">
        <v>0</v>
      </c>
    </row>
    <row r="131" spans="1:16">
      <c r="A131">
        <v>120</v>
      </c>
      <c r="B131" s="186" t="s">
        <v>200</v>
      </c>
      <c r="C131" s="186">
        <v>13</v>
      </c>
      <c r="D131" s="1">
        <v>38</v>
      </c>
      <c r="F131">
        <v>13009</v>
      </c>
      <c r="G131" s="6">
        <v>0</v>
      </c>
      <c r="H131" s="192">
        <v>400</v>
      </c>
      <c r="I131" s="5">
        <v>0</v>
      </c>
      <c r="J131" s="192">
        <v>500</v>
      </c>
      <c r="K131" s="5">
        <v>0.02</v>
      </c>
      <c r="L131" s="192">
        <v>500</v>
      </c>
      <c r="M131" s="5">
        <v>0</v>
      </c>
      <c r="N131" s="192">
        <v>0</v>
      </c>
      <c r="O131" s="221">
        <v>0</v>
      </c>
      <c r="P131" s="192">
        <v>0</v>
      </c>
    </row>
    <row r="132" spans="1:16">
      <c r="A132" s="3">
        <v>121</v>
      </c>
      <c r="B132" s="186" t="s">
        <v>200</v>
      </c>
      <c r="C132" s="186">
        <v>13</v>
      </c>
      <c r="D132" s="1" t="s">
        <v>191</v>
      </c>
      <c r="F132">
        <v>13010</v>
      </c>
      <c r="G132" s="6">
        <v>0</v>
      </c>
      <c r="H132" s="192">
        <v>400</v>
      </c>
      <c r="I132" s="5">
        <v>0</v>
      </c>
      <c r="J132" s="192">
        <v>500</v>
      </c>
      <c r="K132" s="5">
        <v>0.02</v>
      </c>
      <c r="L132" s="192">
        <v>500</v>
      </c>
      <c r="M132" s="5">
        <v>0</v>
      </c>
      <c r="N132" s="192">
        <v>0</v>
      </c>
      <c r="O132" s="221">
        <v>0</v>
      </c>
      <c r="P132" s="192">
        <v>0</v>
      </c>
    </row>
    <row r="133" spans="1:16">
      <c r="A133">
        <v>122</v>
      </c>
      <c r="B133" s="186" t="s">
        <v>200</v>
      </c>
      <c r="C133" s="186">
        <v>13</v>
      </c>
      <c r="D133" s="1">
        <v>39</v>
      </c>
      <c r="F133">
        <v>13011</v>
      </c>
      <c r="G133" s="6">
        <v>0</v>
      </c>
      <c r="H133" s="192">
        <v>400</v>
      </c>
      <c r="I133" s="5">
        <v>0</v>
      </c>
      <c r="J133" s="192">
        <v>500</v>
      </c>
      <c r="K133" s="5">
        <v>0.02</v>
      </c>
      <c r="L133" s="192">
        <v>500</v>
      </c>
      <c r="M133" s="5">
        <v>0</v>
      </c>
      <c r="N133" s="192">
        <v>0</v>
      </c>
      <c r="O133" s="221">
        <v>0</v>
      </c>
      <c r="P133" s="192">
        <v>0</v>
      </c>
    </row>
    <row r="134" spans="1:16">
      <c r="A134" s="3">
        <v>123</v>
      </c>
      <c r="B134" s="186" t="s">
        <v>200</v>
      </c>
      <c r="C134" s="186">
        <v>13</v>
      </c>
      <c r="D134" s="1" t="s">
        <v>192</v>
      </c>
      <c r="F134">
        <v>13012</v>
      </c>
      <c r="G134" s="6">
        <v>0</v>
      </c>
      <c r="H134" s="192">
        <v>400</v>
      </c>
      <c r="I134" s="5">
        <v>0</v>
      </c>
      <c r="J134" s="192">
        <v>500</v>
      </c>
      <c r="K134" s="5">
        <v>0.02</v>
      </c>
      <c r="L134" s="192">
        <v>500</v>
      </c>
      <c r="M134" s="5">
        <v>0</v>
      </c>
      <c r="N134" s="192">
        <v>0</v>
      </c>
      <c r="O134" s="221">
        <v>0</v>
      </c>
      <c r="P134" s="192">
        <v>0</v>
      </c>
    </row>
    <row r="135" spans="1:16">
      <c r="A135">
        <v>124</v>
      </c>
      <c r="B135" s="186" t="s">
        <v>200</v>
      </c>
      <c r="C135" s="186">
        <v>13</v>
      </c>
      <c r="D135" s="1">
        <v>40</v>
      </c>
      <c r="F135">
        <v>13013</v>
      </c>
      <c r="G135" s="6">
        <v>0</v>
      </c>
      <c r="H135" s="192">
        <v>400</v>
      </c>
      <c r="I135" s="5">
        <v>0</v>
      </c>
      <c r="J135" s="192">
        <v>500</v>
      </c>
      <c r="K135" s="5">
        <v>0.02</v>
      </c>
      <c r="L135" s="192">
        <v>500</v>
      </c>
      <c r="M135" s="5">
        <v>0</v>
      </c>
      <c r="N135" s="192">
        <v>0</v>
      </c>
      <c r="O135" s="221">
        <v>0</v>
      </c>
      <c r="P135" s="192">
        <v>0</v>
      </c>
    </row>
    <row r="136" spans="1:16">
      <c r="A136" s="3">
        <v>125</v>
      </c>
      <c r="B136" s="186" t="s">
        <v>200</v>
      </c>
      <c r="C136" s="186">
        <v>13</v>
      </c>
      <c r="D136" s="1" t="s">
        <v>193</v>
      </c>
      <c r="F136">
        <v>13014</v>
      </c>
      <c r="G136" s="6">
        <v>0</v>
      </c>
      <c r="H136" s="192">
        <v>400</v>
      </c>
      <c r="I136" s="5">
        <v>0</v>
      </c>
      <c r="J136" s="192">
        <v>500</v>
      </c>
      <c r="K136" s="5">
        <v>0.02</v>
      </c>
      <c r="L136" s="192">
        <v>500</v>
      </c>
      <c r="M136" s="5">
        <v>0</v>
      </c>
      <c r="N136" s="192">
        <v>0</v>
      </c>
      <c r="O136" s="221">
        <v>0</v>
      </c>
      <c r="P136" s="192">
        <v>0</v>
      </c>
    </row>
    <row r="137" spans="1:16">
      <c r="A137">
        <v>126</v>
      </c>
      <c r="B137" s="186" t="s">
        <v>200</v>
      </c>
      <c r="C137" s="186">
        <v>13</v>
      </c>
      <c r="D137" s="1">
        <v>41</v>
      </c>
      <c r="F137">
        <v>13015</v>
      </c>
      <c r="G137" s="6">
        <v>0</v>
      </c>
      <c r="H137" s="192">
        <v>400</v>
      </c>
      <c r="I137" s="5">
        <v>0</v>
      </c>
      <c r="J137" s="192">
        <v>500</v>
      </c>
      <c r="K137" s="5">
        <v>0.02</v>
      </c>
      <c r="L137" s="192">
        <v>500</v>
      </c>
      <c r="M137" s="5">
        <v>0</v>
      </c>
      <c r="N137" s="192">
        <v>0</v>
      </c>
      <c r="O137" s="221">
        <v>0</v>
      </c>
      <c r="P137" s="192">
        <v>0</v>
      </c>
    </row>
    <row r="138" spans="1:16">
      <c r="A138" s="3">
        <v>127</v>
      </c>
      <c r="B138" s="186" t="s">
        <v>200</v>
      </c>
      <c r="C138" s="186">
        <v>13</v>
      </c>
      <c r="D138" s="1" t="s">
        <v>194</v>
      </c>
      <c r="F138">
        <v>13016</v>
      </c>
      <c r="G138" s="6">
        <v>0</v>
      </c>
      <c r="H138" s="192">
        <v>400</v>
      </c>
      <c r="I138" s="5">
        <v>0</v>
      </c>
      <c r="J138" s="192">
        <v>500</v>
      </c>
      <c r="K138" s="5">
        <v>0.02</v>
      </c>
      <c r="L138" s="192">
        <v>500</v>
      </c>
      <c r="M138" s="5">
        <v>0</v>
      </c>
      <c r="N138" s="192">
        <v>0</v>
      </c>
      <c r="O138" s="221">
        <v>0</v>
      </c>
      <c r="P138" s="192">
        <v>0</v>
      </c>
    </row>
    <row r="139" spans="1:16">
      <c r="A139">
        <v>128</v>
      </c>
      <c r="B139" s="186" t="s">
        <v>200</v>
      </c>
      <c r="C139" s="186">
        <v>13</v>
      </c>
      <c r="D139" s="1">
        <v>42</v>
      </c>
      <c r="F139">
        <v>13017</v>
      </c>
      <c r="G139" s="6">
        <v>0</v>
      </c>
      <c r="H139" s="192">
        <v>400</v>
      </c>
      <c r="I139" s="5">
        <v>0</v>
      </c>
      <c r="J139" s="192">
        <v>500</v>
      </c>
      <c r="K139" s="5">
        <v>0.02</v>
      </c>
      <c r="L139" s="192">
        <v>500</v>
      </c>
      <c r="M139" s="5">
        <v>0</v>
      </c>
      <c r="N139" s="192">
        <v>0</v>
      </c>
      <c r="O139" s="221">
        <v>0</v>
      </c>
      <c r="P139" s="192">
        <v>0</v>
      </c>
    </row>
    <row r="140" spans="1:16">
      <c r="A140" s="3">
        <v>129</v>
      </c>
      <c r="B140" s="186" t="s">
        <v>200</v>
      </c>
      <c r="C140" s="186">
        <v>13</v>
      </c>
      <c r="D140" s="1" t="s">
        <v>195</v>
      </c>
      <c r="F140">
        <v>13018</v>
      </c>
      <c r="G140" s="6">
        <v>0</v>
      </c>
      <c r="H140" s="192">
        <v>400</v>
      </c>
      <c r="I140" s="5">
        <v>0</v>
      </c>
      <c r="J140" s="192">
        <v>500</v>
      </c>
      <c r="K140" s="5">
        <v>0.02</v>
      </c>
      <c r="L140" s="192">
        <v>500</v>
      </c>
      <c r="M140" s="5">
        <v>0</v>
      </c>
      <c r="N140" s="192">
        <v>0</v>
      </c>
      <c r="O140" s="221">
        <v>0</v>
      </c>
      <c r="P140" s="192">
        <v>0</v>
      </c>
    </row>
    <row r="141" spans="1:16">
      <c r="A141">
        <v>130</v>
      </c>
      <c r="B141" s="186" t="s">
        <v>200</v>
      </c>
      <c r="C141" s="186">
        <v>13</v>
      </c>
      <c r="D141" s="1">
        <v>43</v>
      </c>
      <c r="F141">
        <v>13019</v>
      </c>
      <c r="G141" s="6">
        <v>0</v>
      </c>
      <c r="H141" s="192">
        <v>400</v>
      </c>
      <c r="I141" s="5">
        <v>0</v>
      </c>
      <c r="J141" s="192">
        <v>500</v>
      </c>
      <c r="K141" s="5">
        <v>0.02</v>
      </c>
      <c r="L141" s="192">
        <v>500</v>
      </c>
      <c r="M141" s="5">
        <v>0</v>
      </c>
      <c r="N141" s="192">
        <v>0</v>
      </c>
      <c r="O141" s="221">
        <v>0</v>
      </c>
      <c r="P141" s="192">
        <v>0</v>
      </c>
    </row>
    <row r="142" spans="1:16">
      <c r="A142" s="3">
        <v>131</v>
      </c>
      <c r="B142" s="186" t="s">
        <v>200</v>
      </c>
      <c r="C142" s="186">
        <v>13</v>
      </c>
      <c r="D142" s="1" t="s">
        <v>196</v>
      </c>
      <c r="F142">
        <v>13020</v>
      </c>
      <c r="G142" s="6">
        <v>0</v>
      </c>
      <c r="H142" s="192">
        <v>400</v>
      </c>
      <c r="I142" s="5">
        <v>0</v>
      </c>
      <c r="J142" s="192">
        <v>500</v>
      </c>
      <c r="K142" s="5">
        <v>0.02</v>
      </c>
      <c r="L142" s="192">
        <v>500</v>
      </c>
      <c r="M142" s="5">
        <v>0</v>
      </c>
      <c r="N142" s="192">
        <v>0</v>
      </c>
      <c r="O142" s="221">
        <v>0</v>
      </c>
      <c r="P142" s="192">
        <v>0</v>
      </c>
    </row>
    <row r="143" spans="1:16">
      <c r="A143">
        <v>132</v>
      </c>
      <c r="B143" s="186" t="s">
        <v>200</v>
      </c>
      <c r="C143" s="186">
        <v>13</v>
      </c>
      <c r="D143" s="1">
        <v>44</v>
      </c>
      <c r="F143">
        <v>13021</v>
      </c>
      <c r="G143" s="6">
        <v>0</v>
      </c>
      <c r="H143" s="192">
        <v>400</v>
      </c>
      <c r="I143" s="5">
        <v>0</v>
      </c>
      <c r="J143" s="192">
        <v>500</v>
      </c>
      <c r="K143" s="5">
        <v>0.02</v>
      </c>
      <c r="L143" s="192">
        <v>500</v>
      </c>
      <c r="M143" s="5">
        <v>0</v>
      </c>
      <c r="N143" s="192">
        <v>0</v>
      </c>
      <c r="O143" s="221">
        <v>0</v>
      </c>
      <c r="P143" s="192">
        <v>0</v>
      </c>
    </row>
    <row r="144" spans="1:16">
      <c r="A144" s="3">
        <v>133</v>
      </c>
      <c r="B144" s="186" t="s">
        <v>200</v>
      </c>
      <c r="C144" s="186">
        <v>13</v>
      </c>
      <c r="D144" s="1" t="s">
        <v>197</v>
      </c>
      <c r="F144">
        <v>13022</v>
      </c>
      <c r="G144" s="6">
        <v>0</v>
      </c>
      <c r="H144" s="192">
        <v>400</v>
      </c>
      <c r="I144" s="5">
        <v>0</v>
      </c>
      <c r="J144" s="192">
        <v>500</v>
      </c>
      <c r="K144" s="5">
        <v>0.02</v>
      </c>
      <c r="L144" s="192">
        <v>500</v>
      </c>
      <c r="M144" s="5">
        <v>0</v>
      </c>
      <c r="N144" s="192">
        <v>0</v>
      </c>
      <c r="O144" s="221">
        <v>0</v>
      </c>
      <c r="P144" s="192">
        <v>0</v>
      </c>
    </row>
    <row r="145" spans="1:16">
      <c r="A145">
        <v>134</v>
      </c>
      <c r="B145" s="186" t="s">
        <v>200</v>
      </c>
      <c r="C145" s="186">
        <v>13</v>
      </c>
      <c r="D145" s="1">
        <v>45</v>
      </c>
      <c r="F145">
        <v>13023</v>
      </c>
      <c r="G145" s="6">
        <v>0</v>
      </c>
      <c r="H145" s="192">
        <v>400</v>
      </c>
      <c r="I145" s="5">
        <v>0</v>
      </c>
      <c r="J145" s="192">
        <v>500</v>
      </c>
      <c r="K145" s="5">
        <v>0.02</v>
      </c>
      <c r="L145" s="192">
        <v>500</v>
      </c>
      <c r="M145" s="5">
        <v>0</v>
      </c>
      <c r="N145" s="192">
        <v>0</v>
      </c>
      <c r="O145" s="221">
        <v>0</v>
      </c>
      <c r="P145" s="192">
        <v>0</v>
      </c>
    </row>
    <row r="146" spans="1:16">
      <c r="A146" s="3">
        <v>135</v>
      </c>
      <c r="B146" s="186" t="s">
        <v>200</v>
      </c>
      <c r="C146" s="186">
        <v>13</v>
      </c>
      <c r="D146" s="1" t="s">
        <v>198</v>
      </c>
      <c r="F146">
        <v>13024</v>
      </c>
      <c r="G146" s="6">
        <v>0</v>
      </c>
      <c r="H146" s="192">
        <v>400</v>
      </c>
      <c r="I146" s="5">
        <v>0</v>
      </c>
      <c r="J146" s="192">
        <v>500</v>
      </c>
      <c r="K146" s="5">
        <v>0.02</v>
      </c>
      <c r="L146" s="192">
        <v>500</v>
      </c>
      <c r="M146" s="5">
        <v>0</v>
      </c>
      <c r="N146" s="192">
        <v>0</v>
      </c>
      <c r="O146" s="221">
        <v>0</v>
      </c>
      <c r="P146" s="192">
        <v>0</v>
      </c>
    </row>
    <row r="147" spans="1:16">
      <c r="A147">
        <v>136</v>
      </c>
      <c r="B147" s="186" t="s">
        <v>200</v>
      </c>
      <c r="C147" s="186">
        <v>13</v>
      </c>
      <c r="D147" s="1">
        <v>46</v>
      </c>
      <c r="F147">
        <v>13025</v>
      </c>
      <c r="G147" s="6">
        <v>0</v>
      </c>
      <c r="H147" s="192">
        <v>400</v>
      </c>
      <c r="I147" s="5">
        <v>0</v>
      </c>
      <c r="J147" s="192">
        <v>500</v>
      </c>
      <c r="K147" s="5">
        <v>0.02</v>
      </c>
      <c r="L147" s="192">
        <v>500</v>
      </c>
      <c r="M147" s="5">
        <v>0</v>
      </c>
      <c r="N147" s="192">
        <v>0</v>
      </c>
      <c r="O147" s="221">
        <v>0</v>
      </c>
      <c r="P147" s="192">
        <v>0</v>
      </c>
    </row>
    <row r="148" spans="1:16">
      <c r="A148" s="3">
        <v>137</v>
      </c>
      <c r="B148" s="186" t="s">
        <v>200</v>
      </c>
      <c r="C148" s="186">
        <v>13</v>
      </c>
      <c r="D148" s="1" t="s">
        <v>199</v>
      </c>
      <c r="F148">
        <v>13026</v>
      </c>
      <c r="G148" s="6">
        <v>0</v>
      </c>
      <c r="H148" s="192">
        <v>400</v>
      </c>
      <c r="I148" s="5">
        <v>0</v>
      </c>
      <c r="J148" s="192">
        <v>500</v>
      </c>
      <c r="K148" s="5">
        <v>0.02</v>
      </c>
      <c r="L148" s="192">
        <v>500</v>
      </c>
      <c r="M148" s="5">
        <v>0</v>
      </c>
      <c r="N148" s="192">
        <v>0</v>
      </c>
      <c r="O148" s="221">
        <v>0</v>
      </c>
      <c r="P148" s="192">
        <v>0</v>
      </c>
    </row>
    <row r="149" spans="1:16">
      <c r="A149">
        <v>138</v>
      </c>
      <c r="B149" s="186" t="s">
        <v>201</v>
      </c>
      <c r="C149" s="186">
        <v>15</v>
      </c>
      <c r="G149" s="6">
        <v>0</v>
      </c>
      <c r="H149" s="192">
        <v>400</v>
      </c>
      <c r="I149" s="5">
        <v>0</v>
      </c>
      <c r="J149" s="192">
        <v>500</v>
      </c>
      <c r="K149" s="5">
        <v>0.02</v>
      </c>
      <c r="L149" s="192">
        <v>500</v>
      </c>
      <c r="M149" s="5">
        <v>0</v>
      </c>
      <c r="N149" s="192">
        <v>0</v>
      </c>
      <c r="O149" s="221">
        <v>0</v>
      </c>
      <c r="P149" s="192">
        <v>0</v>
      </c>
    </row>
    <row r="150" spans="1:16">
      <c r="A150" s="3">
        <v>139</v>
      </c>
      <c r="B150" s="186" t="s">
        <v>202</v>
      </c>
      <c r="C150" s="186">
        <v>16</v>
      </c>
      <c r="G150" s="6">
        <v>0</v>
      </c>
      <c r="H150" s="192">
        <v>400</v>
      </c>
      <c r="I150" s="5">
        <v>0</v>
      </c>
      <c r="J150" s="192">
        <v>500</v>
      </c>
      <c r="K150" s="5">
        <v>0.02</v>
      </c>
      <c r="L150" s="192">
        <v>500</v>
      </c>
      <c r="M150" s="5">
        <v>0</v>
      </c>
      <c r="N150" s="192">
        <v>0</v>
      </c>
      <c r="O150" s="221">
        <v>0</v>
      </c>
      <c r="P150" s="192">
        <v>0</v>
      </c>
    </row>
    <row r="151" spans="1:16">
      <c r="A151">
        <v>140</v>
      </c>
      <c r="B151" s="186" t="s">
        <v>203</v>
      </c>
      <c r="C151" s="186">
        <v>17</v>
      </c>
      <c r="G151" s="6">
        <v>0</v>
      </c>
      <c r="H151" s="192">
        <v>400</v>
      </c>
      <c r="I151" s="5">
        <v>0</v>
      </c>
      <c r="J151" s="192">
        <v>500</v>
      </c>
      <c r="K151" s="5">
        <v>0.02</v>
      </c>
      <c r="L151" s="192">
        <v>500</v>
      </c>
      <c r="M151" s="5">
        <v>0</v>
      </c>
      <c r="N151" s="192">
        <v>0</v>
      </c>
      <c r="O151" s="221">
        <v>0</v>
      </c>
      <c r="P151" s="192">
        <v>0</v>
      </c>
    </row>
    <row r="152" spans="1:16">
      <c r="A152" s="3">
        <v>141</v>
      </c>
      <c r="B152" s="186" t="s">
        <v>204</v>
      </c>
      <c r="C152" s="186">
        <v>18</v>
      </c>
      <c r="G152" s="6">
        <v>0</v>
      </c>
      <c r="H152" s="192">
        <v>400</v>
      </c>
      <c r="I152" s="5">
        <v>0</v>
      </c>
      <c r="J152" s="192">
        <v>500</v>
      </c>
      <c r="K152" s="5">
        <v>0.02</v>
      </c>
      <c r="L152" s="192">
        <v>500</v>
      </c>
      <c r="M152" s="5">
        <v>0</v>
      </c>
      <c r="N152" s="192">
        <v>0</v>
      </c>
      <c r="O152" s="221">
        <v>0</v>
      </c>
      <c r="P152" s="192">
        <v>0</v>
      </c>
    </row>
    <row r="153" spans="1:16">
      <c r="A153">
        <v>142</v>
      </c>
      <c r="B153" s="186" t="s">
        <v>205</v>
      </c>
      <c r="C153" s="186">
        <v>21</v>
      </c>
      <c r="G153" s="6">
        <v>0</v>
      </c>
      <c r="H153" s="192">
        <v>400</v>
      </c>
      <c r="I153" s="5">
        <v>0</v>
      </c>
      <c r="J153" s="192">
        <v>500</v>
      </c>
      <c r="K153" s="5">
        <v>0.02</v>
      </c>
      <c r="L153" s="192">
        <v>500</v>
      </c>
      <c r="M153" s="5">
        <v>0</v>
      </c>
      <c r="N153" s="192">
        <v>0</v>
      </c>
      <c r="O153" s="221">
        <v>0</v>
      </c>
      <c r="P153" s="192">
        <v>0</v>
      </c>
    </row>
    <row r="154" spans="1:16">
      <c r="A154" s="3">
        <v>143</v>
      </c>
      <c r="B154" s="186" t="s">
        <v>206</v>
      </c>
      <c r="C154" s="186">
        <v>22</v>
      </c>
      <c r="G154" s="6">
        <v>0</v>
      </c>
      <c r="H154" s="192">
        <v>400</v>
      </c>
      <c r="I154" s="5">
        <v>0</v>
      </c>
      <c r="J154" s="192">
        <v>500</v>
      </c>
      <c r="K154" s="5">
        <v>0.02</v>
      </c>
      <c r="L154" s="192">
        <v>500</v>
      </c>
      <c r="M154" s="5">
        <v>0</v>
      </c>
      <c r="N154" s="192">
        <v>0</v>
      </c>
      <c r="O154" s="221">
        <v>0</v>
      </c>
      <c r="P154" s="192">
        <v>0</v>
      </c>
    </row>
    <row r="155" spans="1:16">
      <c r="A155">
        <v>144</v>
      </c>
      <c r="B155" s="186" t="s">
        <v>207</v>
      </c>
      <c r="C155" s="186">
        <v>23</v>
      </c>
      <c r="G155" s="6">
        <v>0</v>
      </c>
      <c r="H155" s="192">
        <v>400</v>
      </c>
      <c r="I155" s="5">
        <v>0</v>
      </c>
      <c r="J155" s="192">
        <v>500</v>
      </c>
      <c r="K155" s="5">
        <v>0.02</v>
      </c>
      <c r="L155" s="192">
        <v>500</v>
      </c>
      <c r="M155" s="5">
        <v>0</v>
      </c>
      <c r="N155" s="192">
        <v>0</v>
      </c>
      <c r="O155" s="221">
        <v>0</v>
      </c>
      <c r="P155" s="192">
        <v>0</v>
      </c>
    </row>
    <row r="156" spans="1:16">
      <c r="A156" s="3">
        <v>145</v>
      </c>
      <c r="B156" s="186" t="s">
        <v>208</v>
      </c>
      <c r="C156" s="186">
        <v>24</v>
      </c>
      <c r="G156" s="6">
        <v>0</v>
      </c>
      <c r="H156" s="192">
        <v>400</v>
      </c>
      <c r="I156" s="5">
        <v>0</v>
      </c>
      <c r="J156" s="192">
        <v>500</v>
      </c>
      <c r="K156" s="5">
        <v>0.02</v>
      </c>
      <c r="L156" s="192">
        <v>500</v>
      </c>
      <c r="M156" s="5">
        <v>0</v>
      </c>
      <c r="N156" s="192">
        <v>0</v>
      </c>
      <c r="O156" s="221">
        <v>0</v>
      </c>
      <c r="P156" s="192">
        <v>0</v>
      </c>
    </row>
    <row r="157" spans="1:16">
      <c r="A157">
        <v>146</v>
      </c>
      <c r="B157" s="186" t="s">
        <v>209</v>
      </c>
      <c r="C157" s="186">
        <v>25</v>
      </c>
      <c r="G157" s="6">
        <v>0</v>
      </c>
      <c r="H157" s="192">
        <v>400</v>
      </c>
      <c r="I157" s="5">
        <v>0</v>
      </c>
      <c r="J157" s="192">
        <v>500</v>
      </c>
      <c r="K157" s="5">
        <v>0.02</v>
      </c>
      <c r="L157" s="192">
        <v>500</v>
      </c>
      <c r="M157" s="5">
        <v>0</v>
      </c>
      <c r="N157" s="192">
        <v>0</v>
      </c>
      <c r="O157" s="221">
        <v>0</v>
      </c>
      <c r="P157" s="192">
        <v>0</v>
      </c>
    </row>
    <row r="158" spans="1:16">
      <c r="A158" s="3">
        <v>147</v>
      </c>
      <c r="B158" s="186" t="s">
        <v>210</v>
      </c>
      <c r="C158" s="186">
        <v>27</v>
      </c>
      <c r="G158" s="6">
        <v>0</v>
      </c>
      <c r="H158" s="192">
        <v>400</v>
      </c>
      <c r="I158" s="5">
        <v>0</v>
      </c>
      <c r="J158" s="192">
        <v>500</v>
      </c>
      <c r="K158" s="5">
        <v>0.02</v>
      </c>
      <c r="L158" s="192">
        <v>500</v>
      </c>
      <c r="M158" s="5">
        <v>0</v>
      </c>
      <c r="N158" s="192">
        <v>0</v>
      </c>
      <c r="O158" s="221">
        <v>0</v>
      </c>
      <c r="P158" s="192">
        <v>0</v>
      </c>
    </row>
    <row r="159" spans="1:16">
      <c r="A159">
        <v>148</v>
      </c>
      <c r="B159" s="186" t="s">
        <v>211</v>
      </c>
      <c r="C159" s="186">
        <v>28</v>
      </c>
      <c r="G159" s="6">
        <v>0</v>
      </c>
      <c r="H159" s="192">
        <v>400</v>
      </c>
      <c r="I159" s="5">
        <v>0</v>
      </c>
      <c r="J159" s="192">
        <v>500</v>
      </c>
      <c r="K159" s="5">
        <v>0.02</v>
      </c>
      <c r="L159" s="192">
        <v>500</v>
      </c>
      <c r="M159" s="5">
        <v>0</v>
      </c>
      <c r="N159" s="192">
        <v>0</v>
      </c>
      <c r="O159" s="221">
        <v>0</v>
      </c>
      <c r="P159" s="192">
        <v>0</v>
      </c>
    </row>
    <row r="160" spans="1:16">
      <c r="A160" s="3">
        <v>149</v>
      </c>
      <c r="B160" s="186" t="s">
        <v>110</v>
      </c>
      <c r="C160" s="186">
        <v>31</v>
      </c>
      <c r="G160" s="6">
        <v>0</v>
      </c>
      <c r="H160" s="192">
        <v>400</v>
      </c>
      <c r="I160" s="5">
        <v>0</v>
      </c>
      <c r="J160" s="192">
        <v>500</v>
      </c>
      <c r="K160" s="5">
        <v>0.02</v>
      </c>
      <c r="L160" s="192">
        <v>500</v>
      </c>
      <c r="M160" s="5">
        <v>0</v>
      </c>
      <c r="N160" s="192">
        <v>0</v>
      </c>
      <c r="O160" s="221">
        <v>0</v>
      </c>
      <c r="P160" s="192">
        <v>0</v>
      </c>
    </row>
    <row r="161" spans="1:16">
      <c r="A161">
        <v>150</v>
      </c>
      <c r="B161" s="186" t="s">
        <v>212</v>
      </c>
      <c r="C161" s="186">
        <v>32</v>
      </c>
      <c r="G161" s="6">
        <v>0</v>
      </c>
      <c r="H161" s="192">
        <v>400</v>
      </c>
      <c r="I161" s="5">
        <v>0</v>
      </c>
      <c r="J161" s="192">
        <v>500</v>
      </c>
      <c r="K161" s="5">
        <v>0.02</v>
      </c>
      <c r="L161" s="192">
        <v>500</v>
      </c>
      <c r="M161" s="5">
        <v>0</v>
      </c>
      <c r="N161" s="192">
        <v>0</v>
      </c>
      <c r="O161" s="221">
        <v>0</v>
      </c>
      <c r="P161" s="192">
        <v>0</v>
      </c>
    </row>
    <row r="162" spans="1:16">
      <c r="A162" s="3">
        <v>151</v>
      </c>
      <c r="B162" s="186" t="s">
        <v>213</v>
      </c>
      <c r="C162" s="186">
        <v>33</v>
      </c>
      <c r="G162" s="6">
        <v>0</v>
      </c>
      <c r="H162" s="192">
        <v>400</v>
      </c>
      <c r="I162" s="5">
        <v>0</v>
      </c>
      <c r="J162" s="192">
        <v>500</v>
      </c>
      <c r="K162" s="5">
        <v>0.02</v>
      </c>
      <c r="L162" s="192">
        <v>500</v>
      </c>
      <c r="M162" s="5">
        <v>0</v>
      </c>
      <c r="N162" s="192">
        <v>0</v>
      </c>
      <c r="O162" s="221">
        <v>0</v>
      </c>
      <c r="P162" s="192">
        <v>0</v>
      </c>
    </row>
    <row r="163" spans="1:16">
      <c r="A163">
        <v>152</v>
      </c>
      <c r="B163" s="186" t="s">
        <v>214</v>
      </c>
      <c r="C163" s="186">
        <v>35</v>
      </c>
      <c r="G163" s="6">
        <v>0</v>
      </c>
      <c r="H163" s="192">
        <v>400</v>
      </c>
      <c r="I163" s="5">
        <v>0</v>
      </c>
      <c r="J163" s="192">
        <v>500</v>
      </c>
      <c r="K163" s="5">
        <v>0.02</v>
      </c>
      <c r="L163" s="192">
        <v>500</v>
      </c>
      <c r="M163" s="5">
        <v>0</v>
      </c>
      <c r="N163" s="192">
        <v>0</v>
      </c>
      <c r="O163" s="221">
        <v>0</v>
      </c>
      <c r="P163" s="192">
        <v>0</v>
      </c>
    </row>
    <row r="164" spans="1:16">
      <c r="A164" s="3">
        <v>153</v>
      </c>
      <c r="B164" s="186" t="s">
        <v>215</v>
      </c>
      <c r="C164" s="186">
        <v>36</v>
      </c>
      <c r="G164" s="6">
        <v>0</v>
      </c>
      <c r="H164" s="192">
        <v>400</v>
      </c>
      <c r="I164" s="5">
        <v>0</v>
      </c>
      <c r="J164" s="192">
        <v>500</v>
      </c>
      <c r="K164" s="5">
        <v>0.02</v>
      </c>
      <c r="L164" s="192">
        <v>500</v>
      </c>
      <c r="M164" s="5">
        <v>0</v>
      </c>
      <c r="N164" s="192">
        <v>0</v>
      </c>
      <c r="O164" s="221">
        <v>0</v>
      </c>
      <c r="P164" s="192">
        <v>0</v>
      </c>
    </row>
    <row r="165" spans="1:16">
      <c r="A165">
        <v>154</v>
      </c>
      <c r="B165" s="186" t="s">
        <v>216</v>
      </c>
      <c r="C165" s="186">
        <v>37</v>
      </c>
      <c r="G165" s="6">
        <v>0</v>
      </c>
      <c r="H165" s="192">
        <v>400</v>
      </c>
      <c r="I165" s="5">
        <v>0</v>
      </c>
      <c r="J165" s="192">
        <v>500</v>
      </c>
      <c r="K165" s="5">
        <v>0.02</v>
      </c>
      <c r="L165" s="192">
        <v>500</v>
      </c>
      <c r="M165" s="5">
        <v>0</v>
      </c>
      <c r="N165" s="192">
        <v>0</v>
      </c>
      <c r="O165" s="221">
        <v>0</v>
      </c>
      <c r="P165" s="192">
        <v>0</v>
      </c>
    </row>
    <row r="166" spans="1:16">
      <c r="A166" s="3">
        <v>155</v>
      </c>
      <c r="B166" s="186" t="s">
        <v>217</v>
      </c>
      <c r="C166" s="186">
        <v>38</v>
      </c>
      <c r="G166" s="6">
        <v>0</v>
      </c>
      <c r="H166" s="192">
        <v>400</v>
      </c>
      <c r="I166" s="5">
        <v>0</v>
      </c>
      <c r="J166" s="192">
        <v>500</v>
      </c>
      <c r="K166" s="5">
        <v>0.02</v>
      </c>
      <c r="L166" s="192">
        <v>500</v>
      </c>
      <c r="M166" s="5">
        <v>0</v>
      </c>
      <c r="N166" s="192">
        <v>0</v>
      </c>
      <c r="O166" s="221">
        <v>0</v>
      </c>
      <c r="P166" s="192">
        <v>0</v>
      </c>
    </row>
    <row r="167" spans="1:16">
      <c r="A167">
        <v>156</v>
      </c>
      <c r="B167" s="186" t="s">
        <v>218</v>
      </c>
      <c r="C167" s="186">
        <v>39</v>
      </c>
      <c r="G167" s="6">
        <v>0</v>
      </c>
      <c r="H167" s="192">
        <v>400</v>
      </c>
      <c r="I167" s="5">
        <v>0</v>
      </c>
      <c r="J167" s="192">
        <v>500</v>
      </c>
      <c r="K167" s="5">
        <v>0.02</v>
      </c>
      <c r="L167" s="192">
        <v>500</v>
      </c>
      <c r="M167" s="5">
        <v>0</v>
      </c>
      <c r="N167" s="192">
        <v>0</v>
      </c>
      <c r="O167" s="221">
        <v>0</v>
      </c>
      <c r="P167" s="192">
        <v>0</v>
      </c>
    </row>
    <row r="168" spans="1:16">
      <c r="A168" s="3">
        <v>157</v>
      </c>
      <c r="B168" s="186" t="s">
        <v>219</v>
      </c>
      <c r="C168" s="186">
        <v>41</v>
      </c>
      <c r="G168" s="6">
        <v>0</v>
      </c>
      <c r="H168" s="192">
        <v>400</v>
      </c>
      <c r="I168" s="5">
        <v>0</v>
      </c>
      <c r="J168" s="192">
        <v>500</v>
      </c>
      <c r="K168" s="5">
        <v>0.02</v>
      </c>
      <c r="L168" s="192">
        <v>500</v>
      </c>
      <c r="M168" s="5">
        <v>0</v>
      </c>
      <c r="N168" s="192">
        <v>0</v>
      </c>
      <c r="O168" s="221">
        <v>0</v>
      </c>
      <c r="P168" s="192">
        <v>0</v>
      </c>
    </row>
    <row r="169" spans="1:16">
      <c r="A169">
        <v>158</v>
      </c>
      <c r="B169" s="186" t="s">
        <v>220</v>
      </c>
      <c r="C169" s="186">
        <v>42</v>
      </c>
      <c r="G169" s="6">
        <v>0</v>
      </c>
      <c r="H169" s="192">
        <v>400</v>
      </c>
      <c r="I169" s="5">
        <v>0</v>
      </c>
      <c r="J169" s="192">
        <v>500</v>
      </c>
      <c r="K169" s="5">
        <v>0.02</v>
      </c>
      <c r="L169" s="192">
        <v>500</v>
      </c>
      <c r="M169" s="5">
        <v>0</v>
      </c>
      <c r="N169" s="192">
        <v>0</v>
      </c>
      <c r="O169" s="221">
        <v>0</v>
      </c>
      <c r="P169" s="192">
        <v>0</v>
      </c>
    </row>
    <row r="170" spans="1:16">
      <c r="A170" s="3">
        <v>159</v>
      </c>
      <c r="B170" s="186" t="s">
        <v>221</v>
      </c>
      <c r="C170" s="186">
        <v>43</v>
      </c>
      <c r="G170" s="6">
        <v>0</v>
      </c>
      <c r="H170" s="192">
        <v>400</v>
      </c>
      <c r="I170" s="5">
        <v>0</v>
      </c>
      <c r="J170" s="192">
        <v>500</v>
      </c>
      <c r="K170" s="5">
        <v>0.02</v>
      </c>
      <c r="L170" s="192">
        <v>500</v>
      </c>
      <c r="M170" s="5">
        <v>0</v>
      </c>
      <c r="N170" s="192">
        <v>0</v>
      </c>
      <c r="O170" s="221">
        <v>0</v>
      </c>
      <c r="P170" s="192">
        <v>0</v>
      </c>
    </row>
    <row r="171" spans="1:16">
      <c r="A171">
        <v>160</v>
      </c>
      <c r="B171" s="186" t="s">
        <v>222</v>
      </c>
      <c r="C171" s="186">
        <v>44</v>
      </c>
      <c r="G171" s="6">
        <v>0</v>
      </c>
      <c r="H171" s="192">
        <v>400</v>
      </c>
      <c r="I171" s="5">
        <v>0</v>
      </c>
      <c r="J171" s="192">
        <v>500</v>
      </c>
      <c r="K171" s="5">
        <v>0.02</v>
      </c>
      <c r="L171" s="192">
        <v>500</v>
      </c>
      <c r="M171" s="5">
        <v>0</v>
      </c>
      <c r="N171" s="192">
        <v>0</v>
      </c>
      <c r="O171" s="221">
        <v>0</v>
      </c>
      <c r="P171" s="192">
        <v>0</v>
      </c>
    </row>
    <row r="172" spans="1:16">
      <c r="A172" s="3">
        <v>161</v>
      </c>
      <c r="B172" s="186" t="s">
        <v>223</v>
      </c>
      <c r="C172" s="186">
        <v>45</v>
      </c>
      <c r="G172" s="6">
        <v>0</v>
      </c>
      <c r="H172" s="192">
        <v>400</v>
      </c>
      <c r="I172" s="5">
        <v>0</v>
      </c>
      <c r="J172" s="192">
        <v>500</v>
      </c>
      <c r="K172" s="5">
        <v>0.02</v>
      </c>
      <c r="L172" s="192">
        <v>500</v>
      </c>
      <c r="M172" s="5">
        <v>0</v>
      </c>
      <c r="N172" s="192">
        <v>0</v>
      </c>
      <c r="O172" s="221">
        <v>0</v>
      </c>
      <c r="P172" s="192">
        <v>0</v>
      </c>
    </row>
    <row r="173" spans="1:16">
      <c r="A173">
        <v>162</v>
      </c>
      <c r="B173" s="186" t="s">
        <v>224</v>
      </c>
      <c r="C173" s="186">
        <v>50</v>
      </c>
      <c r="G173" s="6">
        <v>0</v>
      </c>
      <c r="H173" s="192">
        <v>400</v>
      </c>
      <c r="I173" s="5">
        <v>0</v>
      </c>
      <c r="J173" s="192">
        <v>500</v>
      </c>
      <c r="K173" s="5">
        <v>0.02</v>
      </c>
      <c r="L173" s="192">
        <v>500</v>
      </c>
      <c r="M173" s="5">
        <v>0</v>
      </c>
      <c r="N173" s="192">
        <v>0</v>
      </c>
      <c r="O173" s="221">
        <v>0</v>
      </c>
      <c r="P173" s="192">
        <v>0</v>
      </c>
    </row>
    <row r="174" spans="1:16">
      <c r="A174" s="3">
        <v>163</v>
      </c>
      <c r="B174" s="186" t="s">
        <v>225</v>
      </c>
      <c r="C174" s="186">
        <v>51</v>
      </c>
      <c r="G174" s="6">
        <v>0</v>
      </c>
      <c r="H174" s="192">
        <v>400</v>
      </c>
      <c r="I174" s="5">
        <v>0</v>
      </c>
      <c r="J174" s="192">
        <v>500</v>
      </c>
      <c r="K174" s="5">
        <v>0.02</v>
      </c>
      <c r="L174" s="192">
        <v>500</v>
      </c>
      <c r="M174" s="5">
        <v>0</v>
      </c>
      <c r="N174" s="192">
        <v>0</v>
      </c>
      <c r="O174" s="221">
        <v>0</v>
      </c>
      <c r="P174" s="192">
        <v>0</v>
      </c>
    </row>
    <row r="175" spans="1:16">
      <c r="A175">
        <v>164</v>
      </c>
      <c r="B175" s="186" t="s">
        <v>183</v>
      </c>
      <c r="C175" s="186">
        <v>57</v>
      </c>
      <c r="G175" s="6">
        <v>0</v>
      </c>
      <c r="H175" s="192">
        <v>400</v>
      </c>
      <c r="I175" s="5">
        <v>0</v>
      </c>
      <c r="J175" s="192">
        <v>500</v>
      </c>
      <c r="K175" s="5">
        <v>0.02</v>
      </c>
      <c r="L175" s="192">
        <v>500</v>
      </c>
      <c r="M175" s="5">
        <v>0</v>
      </c>
      <c r="N175" s="192">
        <v>0</v>
      </c>
      <c r="O175" s="221">
        <v>0</v>
      </c>
      <c r="P175" s="192">
        <v>0</v>
      </c>
    </row>
    <row r="176" spans="1:16">
      <c r="A176" s="3">
        <v>165</v>
      </c>
      <c r="B176" s="186" t="s">
        <v>226</v>
      </c>
      <c r="C176" s="186">
        <v>58</v>
      </c>
      <c r="G176" s="6">
        <v>0</v>
      </c>
      <c r="H176" s="192">
        <v>400</v>
      </c>
      <c r="I176" s="5">
        <v>0</v>
      </c>
      <c r="J176" s="192">
        <v>500</v>
      </c>
      <c r="K176" s="5">
        <v>0.02</v>
      </c>
      <c r="L176" s="192">
        <v>500</v>
      </c>
      <c r="M176" s="5">
        <v>0</v>
      </c>
      <c r="N176" s="192">
        <v>0</v>
      </c>
      <c r="O176" s="221">
        <v>0</v>
      </c>
      <c r="P176" s="192">
        <v>0</v>
      </c>
    </row>
    <row r="177" spans="1:16">
      <c r="A177">
        <v>166</v>
      </c>
      <c r="B177" s="186" t="s">
        <v>227</v>
      </c>
      <c r="C177" s="186">
        <v>59</v>
      </c>
      <c r="G177" s="6">
        <v>0</v>
      </c>
      <c r="H177" s="192">
        <v>400</v>
      </c>
      <c r="I177" s="5">
        <v>0</v>
      </c>
      <c r="J177" s="192">
        <v>500</v>
      </c>
      <c r="K177" s="5">
        <v>0.02</v>
      </c>
      <c r="L177" s="192">
        <v>500</v>
      </c>
      <c r="M177" s="5">
        <v>0</v>
      </c>
      <c r="N177" s="192">
        <v>0</v>
      </c>
      <c r="O177" s="221">
        <v>0</v>
      </c>
      <c r="P177" s="192">
        <v>0</v>
      </c>
    </row>
    <row r="178" spans="1:16">
      <c r="A178" s="3">
        <v>167</v>
      </c>
      <c r="B178" s="186" t="s">
        <v>228</v>
      </c>
      <c r="C178" s="186">
        <v>61</v>
      </c>
      <c r="G178" s="6">
        <v>0</v>
      </c>
      <c r="H178" s="192">
        <v>400</v>
      </c>
      <c r="I178" s="5">
        <v>0</v>
      </c>
      <c r="J178" s="192">
        <v>500</v>
      </c>
      <c r="K178" s="5">
        <v>0.02</v>
      </c>
      <c r="L178" s="192">
        <v>500</v>
      </c>
      <c r="M178" s="5">
        <v>0</v>
      </c>
      <c r="N178" s="192">
        <v>0</v>
      </c>
      <c r="O178" s="221">
        <v>0</v>
      </c>
      <c r="P178" s="192">
        <v>0</v>
      </c>
    </row>
    <row r="179" spans="1:16">
      <c r="A179">
        <v>168</v>
      </c>
      <c r="B179" s="186" t="s">
        <v>229</v>
      </c>
      <c r="C179" s="186">
        <v>63</v>
      </c>
      <c r="G179" s="6">
        <v>0</v>
      </c>
      <c r="H179" s="192">
        <v>400</v>
      </c>
      <c r="I179" s="5">
        <v>0</v>
      </c>
      <c r="J179" s="192">
        <v>500</v>
      </c>
      <c r="K179" s="5">
        <v>0.02</v>
      </c>
      <c r="L179" s="192">
        <v>500</v>
      </c>
      <c r="M179" s="5">
        <v>0</v>
      </c>
      <c r="N179" s="192">
        <v>0</v>
      </c>
      <c r="O179" s="221">
        <v>0</v>
      </c>
      <c r="P179" s="192">
        <v>0</v>
      </c>
    </row>
    <row r="180" spans="1:16">
      <c r="A180" s="3">
        <v>169</v>
      </c>
      <c r="B180" s="186" t="s">
        <v>230</v>
      </c>
      <c r="C180" s="186">
        <v>64</v>
      </c>
      <c r="G180" s="6">
        <v>0</v>
      </c>
      <c r="H180" s="192">
        <v>400</v>
      </c>
      <c r="I180" s="5">
        <v>0</v>
      </c>
      <c r="J180" s="192">
        <v>500</v>
      </c>
      <c r="K180" s="5">
        <v>0.02</v>
      </c>
      <c r="L180" s="192">
        <v>500</v>
      </c>
      <c r="M180" s="5">
        <v>0</v>
      </c>
      <c r="N180" s="192">
        <v>0</v>
      </c>
      <c r="O180" s="221">
        <v>0</v>
      </c>
      <c r="P180" s="192">
        <v>0</v>
      </c>
    </row>
    <row r="181" spans="1:16">
      <c r="A181">
        <v>170</v>
      </c>
      <c r="B181" s="186" t="s">
        <v>231</v>
      </c>
      <c r="C181" s="186">
        <v>65</v>
      </c>
      <c r="G181" s="6">
        <v>0</v>
      </c>
      <c r="H181" s="192">
        <v>400</v>
      </c>
      <c r="I181" s="5">
        <v>0</v>
      </c>
      <c r="J181" s="192">
        <v>500</v>
      </c>
      <c r="K181" s="5">
        <v>0.02</v>
      </c>
      <c r="L181" s="192">
        <v>500</v>
      </c>
      <c r="M181" s="5">
        <v>0</v>
      </c>
      <c r="N181" s="192">
        <v>0</v>
      </c>
      <c r="O181" s="221">
        <v>0</v>
      </c>
      <c r="P181" s="192">
        <v>0</v>
      </c>
    </row>
    <row r="182" spans="1:16">
      <c r="A182" s="3">
        <v>171</v>
      </c>
      <c r="B182" s="186" t="s">
        <v>232</v>
      </c>
      <c r="C182" s="186">
        <v>67</v>
      </c>
      <c r="G182" s="6">
        <v>0</v>
      </c>
      <c r="H182" s="192">
        <v>400</v>
      </c>
      <c r="I182" s="5">
        <v>0</v>
      </c>
      <c r="J182" s="192">
        <v>500</v>
      </c>
      <c r="K182" s="5">
        <v>0.02</v>
      </c>
      <c r="L182" s="192">
        <v>500</v>
      </c>
      <c r="M182" s="5">
        <v>0</v>
      </c>
      <c r="N182" s="192">
        <v>0</v>
      </c>
      <c r="O182" s="221">
        <v>0</v>
      </c>
      <c r="P182" s="192">
        <v>0</v>
      </c>
    </row>
    <row r="183" spans="1:16">
      <c r="A183">
        <v>172</v>
      </c>
      <c r="B183" s="186" t="s">
        <v>233</v>
      </c>
      <c r="C183" s="186">
        <v>68</v>
      </c>
      <c r="G183" s="6">
        <v>0</v>
      </c>
      <c r="H183" s="192">
        <v>400</v>
      </c>
      <c r="I183" s="5">
        <v>0</v>
      </c>
      <c r="J183" s="192">
        <v>500</v>
      </c>
      <c r="K183" s="5">
        <v>0.02</v>
      </c>
      <c r="L183" s="192">
        <v>500</v>
      </c>
      <c r="M183" s="5">
        <v>0</v>
      </c>
      <c r="N183" s="192">
        <v>0</v>
      </c>
      <c r="O183" s="221">
        <v>0</v>
      </c>
      <c r="P183" s="192">
        <v>0</v>
      </c>
    </row>
    <row r="184" spans="1:16">
      <c r="A184" s="3">
        <v>173</v>
      </c>
      <c r="B184" s="186" t="s">
        <v>234</v>
      </c>
      <c r="C184" s="186">
        <v>72</v>
      </c>
      <c r="G184" s="6">
        <v>0</v>
      </c>
      <c r="H184" s="192">
        <v>400</v>
      </c>
      <c r="I184" s="5">
        <v>0</v>
      </c>
      <c r="J184" s="192">
        <v>500</v>
      </c>
      <c r="K184" s="5">
        <v>0.02</v>
      </c>
      <c r="L184" s="192">
        <v>500</v>
      </c>
      <c r="M184" s="5">
        <v>0</v>
      </c>
      <c r="N184" s="192">
        <v>0</v>
      </c>
      <c r="O184" s="221">
        <v>0</v>
      </c>
      <c r="P184" s="192">
        <v>0</v>
      </c>
    </row>
    <row r="185" spans="1:16">
      <c r="A185">
        <v>174</v>
      </c>
      <c r="B185" s="186" t="s">
        <v>235</v>
      </c>
      <c r="C185" s="186">
        <v>74</v>
      </c>
      <c r="G185" s="6">
        <v>0</v>
      </c>
      <c r="H185" s="192">
        <v>400</v>
      </c>
      <c r="I185" s="5">
        <v>0</v>
      </c>
      <c r="J185" s="192">
        <v>500</v>
      </c>
      <c r="K185" s="5">
        <v>0.02</v>
      </c>
      <c r="L185" s="192">
        <v>500</v>
      </c>
      <c r="M185" s="5">
        <v>0</v>
      </c>
      <c r="N185" s="192">
        <v>0</v>
      </c>
      <c r="O185" s="221">
        <v>0</v>
      </c>
      <c r="P185" s="192">
        <v>0</v>
      </c>
    </row>
    <row r="186" spans="1:16">
      <c r="A186" s="3">
        <v>175</v>
      </c>
      <c r="B186" s="186" t="s">
        <v>236</v>
      </c>
      <c r="C186" s="186">
        <v>77</v>
      </c>
      <c r="G186" s="6">
        <v>0</v>
      </c>
      <c r="H186" s="192">
        <v>400</v>
      </c>
      <c r="I186" s="5">
        <v>0</v>
      </c>
      <c r="J186" s="192">
        <v>500</v>
      </c>
      <c r="K186" s="5">
        <v>0.02</v>
      </c>
      <c r="L186" s="192">
        <v>500</v>
      </c>
      <c r="M186" s="5">
        <v>0</v>
      </c>
      <c r="N186" s="192">
        <v>0</v>
      </c>
      <c r="O186" s="221">
        <v>0</v>
      </c>
      <c r="P186" s="192">
        <v>0</v>
      </c>
    </row>
    <row r="187" spans="1:16">
      <c r="A187">
        <v>176</v>
      </c>
      <c r="B187" s="186" t="s">
        <v>237</v>
      </c>
      <c r="C187" s="186">
        <v>78</v>
      </c>
      <c r="G187" s="6">
        <v>0</v>
      </c>
      <c r="H187" s="192">
        <v>400</v>
      </c>
      <c r="I187" s="5">
        <v>0</v>
      </c>
      <c r="J187" s="192">
        <v>500</v>
      </c>
      <c r="K187" s="5">
        <v>0.02</v>
      </c>
      <c r="L187" s="192">
        <v>500</v>
      </c>
      <c r="M187" s="5">
        <v>0</v>
      </c>
      <c r="N187" s="192">
        <v>0</v>
      </c>
      <c r="O187" s="221">
        <v>0</v>
      </c>
      <c r="P187" s="192">
        <v>0</v>
      </c>
    </row>
    <row r="188" spans="1:16">
      <c r="A188" s="3">
        <v>177</v>
      </c>
      <c r="B188" s="186" t="s">
        <v>238</v>
      </c>
      <c r="C188" s="186">
        <v>80</v>
      </c>
      <c r="G188" s="6">
        <v>0</v>
      </c>
      <c r="H188" s="192">
        <v>400</v>
      </c>
      <c r="I188" s="5">
        <v>0</v>
      </c>
      <c r="J188" s="192">
        <v>500</v>
      </c>
      <c r="K188" s="5">
        <v>0.02</v>
      </c>
      <c r="L188" s="192">
        <v>500</v>
      </c>
      <c r="M188" s="5">
        <v>0</v>
      </c>
      <c r="N188" s="192">
        <v>0</v>
      </c>
      <c r="O188" s="221">
        <v>0</v>
      </c>
      <c r="P188" s="192">
        <v>0</v>
      </c>
    </row>
    <row r="189" spans="1:16">
      <c r="A189">
        <v>178</v>
      </c>
      <c r="B189" s="186" t="s">
        <v>239</v>
      </c>
      <c r="C189" s="186">
        <v>82</v>
      </c>
      <c r="G189" s="6">
        <v>0</v>
      </c>
      <c r="H189" s="192">
        <v>400</v>
      </c>
      <c r="I189" s="5">
        <v>0</v>
      </c>
      <c r="J189" s="192">
        <v>500</v>
      </c>
      <c r="K189" s="5">
        <v>0.02</v>
      </c>
      <c r="L189" s="192">
        <v>500</v>
      </c>
      <c r="M189" s="5">
        <v>0</v>
      </c>
      <c r="N189" s="192">
        <v>0</v>
      </c>
      <c r="O189" s="221">
        <v>0</v>
      </c>
      <c r="P189" s="192">
        <v>0</v>
      </c>
    </row>
    <row r="190" spans="1:16">
      <c r="A190" s="3">
        <v>179</v>
      </c>
      <c r="B190" s="186" t="s">
        <v>240</v>
      </c>
      <c r="C190" s="186">
        <v>83</v>
      </c>
      <c r="G190" s="6">
        <v>0</v>
      </c>
      <c r="H190" s="192">
        <v>400</v>
      </c>
      <c r="I190" s="5">
        <v>0</v>
      </c>
      <c r="J190" s="192">
        <v>500</v>
      </c>
      <c r="K190" s="5">
        <v>0.02</v>
      </c>
      <c r="L190" s="192">
        <v>500</v>
      </c>
      <c r="M190" s="5">
        <v>0</v>
      </c>
      <c r="N190" s="192">
        <v>0</v>
      </c>
      <c r="O190" s="221">
        <v>0</v>
      </c>
      <c r="P190" s="192">
        <v>0</v>
      </c>
    </row>
    <row r="191" spans="1:16">
      <c r="A191">
        <v>180</v>
      </c>
      <c r="B191" s="186" t="s">
        <v>241</v>
      </c>
      <c r="C191" s="186">
        <v>84</v>
      </c>
      <c r="G191" s="6">
        <v>0</v>
      </c>
      <c r="H191" s="192">
        <v>400</v>
      </c>
      <c r="I191" s="5">
        <v>0</v>
      </c>
      <c r="J191" s="192">
        <v>500</v>
      </c>
      <c r="K191" s="5">
        <v>0.02</v>
      </c>
      <c r="L191" s="192">
        <v>500</v>
      </c>
      <c r="M191" s="5">
        <v>0</v>
      </c>
      <c r="N191" s="192">
        <v>0</v>
      </c>
      <c r="O191" s="221">
        <v>0</v>
      </c>
      <c r="P191" s="192">
        <v>0</v>
      </c>
    </row>
    <row r="192" spans="1:16">
      <c r="A192" s="3">
        <v>181</v>
      </c>
      <c r="B192" s="186" t="s">
        <v>242</v>
      </c>
      <c r="C192" s="186">
        <v>85</v>
      </c>
      <c r="G192" s="6">
        <v>0</v>
      </c>
      <c r="H192" s="192">
        <v>400</v>
      </c>
      <c r="I192" s="5">
        <v>0</v>
      </c>
      <c r="J192" s="192">
        <v>500</v>
      </c>
      <c r="K192" s="5">
        <v>0.02</v>
      </c>
      <c r="L192" s="192">
        <v>500</v>
      </c>
      <c r="M192" s="5">
        <v>0</v>
      </c>
      <c r="N192" s="192">
        <v>0</v>
      </c>
      <c r="O192" s="221">
        <v>0</v>
      </c>
      <c r="P192" s="192">
        <v>0</v>
      </c>
    </row>
    <row r="193" spans="1:16">
      <c r="A193">
        <v>182</v>
      </c>
      <c r="B193" s="186" t="s">
        <v>243</v>
      </c>
      <c r="C193" s="186">
        <v>86</v>
      </c>
      <c r="G193" s="6">
        <v>0</v>
      </c>
      <c r="H193" s="192">
        <v>400</v>
      </c>
      <c r="I193" s="5">
        <v>0</v>
      </c>
      <c r="J193" s="192">
        <v>500</v>
      </c>
      <c r="K193" s="5">
        <v>0.02</v>
      </c>
      <c r="L193" s="192">
        <v>500</v>
      </c>
      <c r="M193" s="5">
        <v>0</v>
      </c>
      <c r="N193" s="192">
        <v>0</v>
      </c>
      <c r="O193" s="221">
        <v>0</v>
      </c>
      <c r="P193" s="192">
        <v>0</v>
      </c>
    </row>
    <row r="194" spans="1:16">
      <c r="A194" s="3">
        <v>183</v>
      </c>
      <c r="B194" s="186" t="s">
        <v>244</v>
      </c>
      <c r="C194" s="186">
        <v>90</v>
      </c>
      <c r="G194" s="6">
        <v>0</v>
      </c>
      <c r="H194" s="192">
        <v>400</v>
      </c>
      <c r="I194" s="5">
        <v>0</v>
      </c>
      <c r="J194" s="192">
        <v>500</v>
      </c>
      <c r="K194" s="5">
        <v>0.02</v>
      </c>
      <c r="L194" s="192">
        <v>500</v>
      </c>
      <c r="M194" s="5">
        <v>0</v>
      </c>
      <c r="N194" s="192">
        <v>0</v>
      </c>
      <c r="O194" s="221">
        <v>0</v>
      </c>
      <c r="P194" s="192">
        <v>0</v>
      </c>
    </row>
    <row r="195" spans="1:16">
      <c r="A195">
        <v>184</v>
      </c>
      <c r="B195" s="186" t="s">
        <v>245</v>
      </c>
      <c r="C195" s="186">
        <v>91</v>
      </c>
      <c r="G195" s="6">
        <v>0</v>
      </c>
      <c r="H195" s="192">
        <v>400</v>
      </c>
      <c r="I195" s="5">
        <v>0</v>
      </c>
      <c r="J195" s="192">
        <v>500</v>
      </c>
      <c r="K195" s="5">
        <v>0.02</v>
      </c>
      <c r="L195" s="192">
        <v>500</v>
      </c>
      <c r="M195" s="5">
        <v>0</v>
      </c>
      <c r="N195" s="192">
        <v>0</v>
      </c>
      <c r="O195" s="221">
        <v>0</v>
      </c>
      <c r="P195" s="192">
        <v>0</v>
      </c>
    </row>
    <row r="196" spans="1:16">
      <c r="A196" s="3">
        <v>185</v>
      </c>
      <c r="B196" s="186" t="s">
        <v>246</v>
      </c>
      <c r="C196" s="186">
        <v>92</v>
      </c>
      <c r="G196" s="6">
        <v>0</v>
      </c>
      <c r="H196" s="192">
        <v>400</v>
      </c>
      <c r="I196" s="5">
        <v>0</v>
      </c>
      <c r="J196" s="192">
        <v>500</v>
      </c>
      <c r="K196" s="5">
        <v>0.02</v>
      </c>
      <c r="L196" s="192">
        <v>500</v>
      </c>
      <c r="M196" s="5">
        <v>0</v>
      </c>
      <c r="N196" s="192">
        <v>0</v>
      </c>
      <c r="O196" s="221">
        <v>0</v>
      </c>
      <c r="P196" s="192">
        <v>0</v>
      </c>
    </row>
    <row r="197" spans="1:16">
      <c r="A197">
        <v>186</v>
      </c>
      <c r="B197" s="186" t="s">
        <v>247</v>
      </c>
      <c r="C197" s="186">
        <v>93</v>
      </c>
      <c r="G197" s="6">
        <v>0</v>
      </c>
      <c r="H197" s="192">
        <v>400</v>
      </c>
      <c r="I197" s="5">
        <v>0</v>
      </c>
      <c r="J197" s="192">
        <v>500</v>
      </c>
      <c r="K197" s="5">
        <v>0.02</v>
      </c>
      <c r="L197" s="192">
        <v>500</v>
      </c>
      <c r="M197" s="5">
        <v>0</v>
      </c>
      <c r="N197" s="192">
        <v>0</v>
      </c>
      <c r="O197" s="221">
        <v>0</v>
      </c>
      <c r="P197" s="192">
        <v>0</v>
      </c>
    </row>
    <row r="198" spans="1:16">
      <c r="A198" s="3">
        <v>187</v>
      </c>
      <c r="B198" s="186" t="s">
        <v>248</v>
      </c>
      <c r="C198" s="186">
        <v>95</v>
      </c>
      <c r="G198" s="6">
        <v>0</v>
      </c>
      <c r="H198" s="192">
        <v>400</v>
      </c>
      <c r="I198" s="5">
        <v>0</v>
      </c>
      <c r="J198" s="192">
        <v>500</v>
      </c>
      <c r="K198" s="5">
        <v>0.02</v>
      </c>
      <c r="L198" s="192">
        <v>500</v>
      </c>
      <c r="M198" s="5">
        <v>0</v>
      </c>
      <c r="N198" s="192">
        <v>0</v>
      </c>
      <c r="O198" s="221">
        <v>0</v>
      </c>
      <c r="P198" s="192">
        <v>0</v>
      </c>
    </row>
    <row r="199" spans="1:16">
      <c r="A199">
        <v>188</v>
      </c>
      <c r="B199" s="186" t="s">
        <v>249</v>
      </c>
      <c r="C199" s="186">
        <v>96</v>
      </c>
      <c r="G199" s="6">
        <v>0</v>
      </c>
      <c r="H199" s="192">
        <v>400</v>
      </c>
      <c r="I199" s="5">
        <v>0</v>
      </c>
      <c r="J199" s="192">
        <v>500</v>
      </c>
      <c r="K199" s="5">
        <v>0.02</v>
      </c>
      <c r="L199" s="192">
        <v>500</v>
      </c>
      <c r="M199" s="5">
        <v>0</v>
      </c>
      <c r="N199" s="192">
        <v>0</v>
      </c>
      <c r="O199" s="221">
        <v>0</v>
      </c>
      <c r="P199" s="192">
        <v>0</v>
      </c>
    </row>
    <row r="200" spans="1:16">
      <c r="A200" s="3">
        <v>189</v>
      </c>
      <c r="B200" s="186" t="s">
        <v>250</v>
      </c>
      <c r="C200" s="186">
        <v>98</v>
      </c>
      <c r="G200" s="6">
        <v>0</v>
      </c>
      <c r="H200" s="192">
        <v>400</v>
      </c>
      <c r="I200" s="5">
        <v>0</v>
      </c>
      <c r="J200" s="192">
        <v>500</v>
      </c>
      <c r="K200" s="5">
        <v>0.02</v>
      </c>
      <c r="L200" s="192">
        <v>500</v>
      </c>
      <c r="M200" s="5">
        <v>0</v>
      </c>
      <c r="N200" s="192">
        <v>0</v>
      </c>
      <c r="O200" s="221">
        <v>0</v>
      </c>
      <c r="P200" s="192">
        <v>0</v>
      </c>
    </row>
    <row r="201" spans="1:16">
      <c r="A201">
        <v>190</v>
      </c>
      <c r="B201" s="187" t="s">
        <v>251</v>
      </c>
      <c r="C201" s="187">
        <v>99</v>
      </c>
      <c r="G201" s="6">
        <v>0</v>
      </c>
      <c r="H201" s="192">
        <v>400</v>
      </c>
      <c r="I201" s="5">
        <v>0</v>
      </c>
      <c r="J201" s="192">
        <v>500</v>
      </c>
      <c r="K201" s="5">
        <v>0.02</v>
      </c>
      <c r="L201" s="192">
        <v>500</v>
      </c>
      <c r="M201" s="5">
        <v>0</v>
      </c>
      <c r="N201" s="192">
        <v>0</v>
      </c>
      <c r="O201" s="221">
        <v>0</v>
      </c>
      <c r="P201" s="192">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1A8A2-719A-42D8-9780-8E0D762977F3}">
  <sheetPr codeName="גיליון15"/>
  <dimension ref="B1:S244"/>
  <sheetViews>
    <sheetView rightToLeft="1" topLeftCell="A8" workbookViewId="0">
      <pane xSplit="12012" ySplit="3768" topLeftCell="J193"/>
      <selection activeCell="F2" sqref="F2"/>
      <selection pane="topRight" activeCell="J189" sqref="J189"/>
      <selection pane="bottomLeft" activeCell="B200" sqref="B200"/>
      <selection pane="bottomRight" activeCell="J200" sqref="J200"/>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1" customWidth="1"/>
    <col min="18" max="18" width="11.77734375" customWidth="1"/>
  </cols>
  <sheetData>
    <row r="1" spans="2:19">
      <c r="B1" s="1" t="s">
        <v>1196</v>
      </c>
      <c r="C1" t="e">
        <f>+'Netunei Gimlai'!#REF!</f>
        <v>#REF!</v>
      </c>
    </row>
    <row r="2" spans="2:19">
      <c r="B2" s="1" t="s">
        <v>9</v>
      </c>
      <c r="C2">
        <f>+SACHAR!C9</f>
        <v>1.2008000000000001</v>
      </c>
      <c r="F2" s="2" t="e" cm="1">
        <f t="array" ref="F2">INDEX(H7:T232,C3,C1)</f>
        <v>#REF!</v>
      </c>
    </row>
    <row r="3" spans="2:19">
      <c r="B3" s="1" t="s">
        <v>252</v>
      </c>
      <c r="C3">
        <f>+'Netunei Gimlai'!B6</f>
        <v>1</v>
      </c>
    </row>
    <row r="4" spans="2:19" ht="15" thickBot="1"/>
    <row r="5" spans="2:19" ht="102" thickTop="1" thickBot="1">
      <c r="B5" s="342" t="s">
        <v>1739</v>
      </c>
      <c r="C5" s="344">
        <v>4147</v>
      </c>
      <c r="D5" s="348"/>
      <c r="E5" s="87" t="s">
        <v>651</v>
      </c>
      <c r="F5" s="87" t="s">
        <v>9</v>
      </c>
      <c r="G5" s="87" t="s">
        <v>651</v>
      </c>
      <c r="H5" s="349" t="s">
        <v>1752</v>
      </c>
      <c r="I5" s="345" t="s">
        <v>1753</v>
      </c>
      <c r="J5" s="346" t="s">
        <v>1754</v>
      </c>
      <c r="K5" s="346" t="s">
        <v>1749</v>
      </c>
      <c r="L5" s="346" t="s">
        <v>1751</v>
      </c>
      <c r="M5" s="346" t="s">
        <v>1755</v>
      </c>
      <c r="N5" s="346" t="s">
        <v>1750</v>
      </c>
      <c r="O5" s="346" t="s">
        <v>1756</v>
      </c>
      <c r="P5" s="346" t="s">
        <v>1757</v>
      </c>
      <c r="Q5" s="346" t="s">
        <v>1759</v>
      </c>
      <c r="R5" s="346" t="s">
        <v>1758</v>
      </c>
      <c r="S5" s="346" t="s">
        <v>120</v>
      </c>
    </row>
    <row r="6" spans="2: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2:19" ht="18" thickTop="1" thickBot="1">
      <c r="B7" s="342" t="s">
        <v>1738</v>
      </c>
      <c r="C7" s="344"/>
      <c r="D7" s="348"/>
      <c r="E7" s="110">
        <v>1</v>
      </c>
      <c r="F7" s="110">
        <v>1.2008000000000001</v>
      </c>
      <c r="G7" s="110">
        <v>1</v>
      </c>
      <c r="S7" s="2">
        <v>0</v>
      </c>
    </row>
    <row r="8" spans="2:19" ht="19.2" customHeight="1" thickTop="1" thickBot="1">
      <c r="B8" s="343" t="s">
        <v>1740</v>
      </c>
      <c r="C8" s="344">
        <v>1</v>
      </c>
      <c r="D8" s="348"/>
      <c r="E8" s="110">
        <v>2</v>
      </c>
      <c r="F8" s="110">
        <v>2.2008000000000001</v>
      </c>
      <c r="G8" s="110">
        <v>2</v>
      </c>
      <c r="S8" s="2">
        <v>0</v>
      </c>
    </row>
    <row r="9" spans="2:19" ht="25.2" customHeight="1" thickTop="1" thickBot="1">
      <c r="B9" s="343" t="s">
        <v>1741</v>
      </c>
      <c r="C9" s="344">
        <v>2</v>
      </c>
      <c r="D9" s="348"/>
      <c r="E9" s="110">
        <v>3</v>
      </c>
      <c r="F9" s="110">
        <v>3.2008000000000001</v>
      </c>
      <c r="G9" s="110">
        <v>3</v>
      </c>
      <c r="S9" s="2">
        <v>0</v>
      </c>
    </row>
    <row r="10" spans="2:19" ht="24" customHeight="1" thickTop="1" thickBot="1">
      <c r="B10" s="343" t="s">
        <v>1742</v>
      </c>
      <c r="C10" s="344">
        <v>3</v>
      </c>
      <c r="D10" s="348"/>
      <c r="E10" s="110">
        <v>4</v>
      </c>
      <c r="F10" s="110">
        <v>4.2008000000000001</v>
      </c>
      <c r="G10" s="110">
        <v>4</v>
      </c>
      <c r="S10" s="2">
        <v>0</v>
      </c>
    </row>
    <row r="11" spans="2:19" ht="28.2" customHeight="1" thickTop="1" thickBot="1">
      <c r="B11" s="343" t="s">
        <v>1743</v>
      </c>
      <c r="C11" s="344">
        <v>4</v>
      </c>
      <c r="D11" s="348"/>
      <c r="E11" s="110">
        <v>5</v>
      </c>
      <c r="F11" s="110">
        <v>5.2008000000000001</v>
      </c>
      <c r="G11" s="110">
        <v>5</v>
      </c>
      <c r="S11" s="2">
        <v>0</v>
      </c>
    </row>
    <row r="12" spans="2:19" ht="18" thickTop="1" thickBot="1">
      <c r="B12" s="343" t="s">
        <v>1760</v>
      </c>
      <c r="C12" s="344">
        <v>5</v>
      </c>
      <c r="D12" s="348"/>
      <c r="E12" s="110">
        <v>6</v>
      </c>
      <c r="F12" s="110">
        <v>6.2008000000000001</v>
      </c>
      <c r="G12" s="110">
        <v>6</v>
      </c>
      <c r="S12" s="2">
        <v>0</v>
      </c>
    </row>
    <row r="13" spans="2:19" ht="18" thickTop="1" thickBot="1">
      <c r="B13" s="343" t="s">
        <v>1744</v>
      </c>
      <c r="C13" s="344">
        <v>6</v>
      </c>
      <c r="D13" s="348"/>
      <c r="E13" s="110">
        <v>7</v>
      </c>
      <c r="F13" s="110">
        <v>7.2008000000000001</v>
      </c>
      <c r="G13" s="110">
        <v>7</v>
      </c>
      <c r="S13" s="2">
        <v>0</v>
      </c>
    </row>
    <row r="14" spans="2:19" ht="18" thickTop="1" thickBot="1">
      <c r="B14" s="343" t="s">
        <v>1745</v>
      </c>
      <c r="C14" s="344">
        <v>7</v>
      </c>
      <c r="D14" s="348"/>
      <c r="E14" s="110">
        <v>8</v>
      </c>
      <c r="F14" s="110">
        <v>8.2007999999999992</v>
      </c>
      <c r="G14" s="110">
        <v>8</v>
      </c>
      <c r="S14" s="2">
        <v>0</v>
      </c>
    </row>
    <row r="15" spans="2:19" ht="18" thickTop="1" thickBot="1">
      <c r="B15" s="343" t="s">
        <v>1746</v>
      </c>
      <c r="C15" s="344">
        <v>8</v>
      </c>
      <c r="D15" s="348"/>
      <c r="E15" s="110">
        <v>9</v>
      </c>
      <c r="F15" s="110">
        <v>9.2007999999999992</v>
      </c>
      <c r="G15" s="110">
        <v>9</v>
      </c>
      <c r="S15" s="2">
        <v>0</v>
      </c>
    </row>
    <row r="16" spans="2:19" ht="18" thickTop="1" thickBot="1">
      <c r="B16" s="343" t="s">
        <v>1747</v>
      </c>
      <c r="C16" s="344">
        <v>9</v>
      </c>
      <c r="D16" s="348"/>
      <c r="E16" s="110">
        <v>10</v>
      </c>
      <c r="F16" s="110">
        <v>10.200799999999999</v>
      </c>
      <c r="G16" s="110">
        <v>10</v>
      </c>
      <c r="S16" s="2">
        <v>0</v>
      </c>
    </row>
    <row r="17" spans="2:19" ht="18" thickTop="1" thickBot="1">
      <c r="B17" s="343" t="s">
        <v>1748</v>
      </c>
      <c r="C17" s="344">
        <v>10</v>
      </c>
      <c r="D17" s="348"/>
      <c r="E17" s="110">
        <v>11</v>
      </c>
      <c r="F17" s="110">
        <v>11.200799999999999</v>
      </c>
      <c r="G17" s="110">
        <v>11</v>
      </c>
      <c r="S17" s="2">
        <v>0</v>
      </c>
    </row>
    <row r="18" spans="2:19" ht="18" thickTop="1" thickBot="1">
      <c r="B18" s="343" t="s">
        <v>1761</v>
      </c>
      <c r="C18" s="344">
        <v>11</v>
      </c>
      <c r="D18" s="348"/>
      <c r="E18" s="110">
        <v>12</v>
      </c>
      <c r="F18" s="110">
        <v>12.200799999999999</v>
      </c>
      <c r="G18" s="110">
        <v>12</v>
      </c>
      <c r="S18" s="2">
        <v>0</v>
      </c>
    </row>
    <row r="19" spans="2:19" ht="18" thickTop="1" thickBot="1">
      <c r="B19" s="342" t="s">
        <v>120</v>
      </c>
      <c r="C19" s="344">
        <v>12</v>
      </c>
      <c r="D19" s="348"/>
      <c r="E19" s="110">
        <v>13</v>
      </c>
      <c r="F19" s="110">
        <v>1.2009000000000001</v>
      </c>
      <c r="G19" s="110">
        <v>13</v>
      </c>
      <c r="S19" s="2">
        <v>0</v>
      </c>
    </row>
    <row r="20" spans="2:19" ht="15.6" thickTop="1" thickBot="1">
      <c r="E20" s="110">
        <v>14</v>
      </c>
      <c r="F20" s="110">
        <v>2.2008999999999999</v>
      </c>
      <c r="G20" s="110">
        <v>14</v>
      </c>
      <c r="S20" s="2">
        <v>0</v>
      </c>
    </row>
    <row r="21" spans="2:19" ht="15.6" thickTop="1" thickBot="1">
      <c r="E21" s="110">
        <v>15</v>
      </c>
      <c r="F21" s="110">
        <v>3.2008999999999999</v>
      </c>
      <c r="G21" s="110">
        <v>15</v>
      </c>
      <c r="S21" s="2">
        <v>0</v>
      </c>
    </row>
    <row r="22" spans="2:19" ht="15.6" thickTop="1" thickBot="1">
      <c r="E22" s="110">
        <v>16</v>
      </c>
      <c r="F22" s="110">
        <v>4.2008999999999999</v>
      </c>
      <c r="G22" s="110">
        <v>16</v>
      </c>
      <c r="S22" s="2">
        <v>0</v>
      </c>
    </row>
    <row r="23" spans="2:19" ht="15.6" thickTop="1" thickBot="1">
      <c r="E23" s="110">
        <v>17</v>
      </c>
      <c r="F23" s="110">
        <v>5.2008999999999999</v>
      </c>
      <c r="G23" s="110">
        <v>17</v>
      </c>
      <c r="S23" s="2">
        <v>0</v>
      </c>
    </row>
    <row r="24" spans="2:19" ht="15.6" thickTop="1" thickBot="1">
      <c r="E24" s="110">
        <v>18</v>
      </c>
      <c r="F24" s="110">
        <v>6.2008999999999999</v>
      </c>
      <c r="G24" s="110">
        <v>18</v>
      </c>
      <c r="S24" s="2">
        <v>0</v>
      </c>
    </row>
    <row r="25" spans="2:19" ht="15.6" thickTop="1" thickBot="1">
      <c r="E25" s="110">
        <v>19</v>
      </c>
      <c r="F25" s="110">
        <v>7.2008999999999999</v>
      </c>
      <c r="G25" s="110">
        <v>19</v>
      </c>
      <c r="S25" s="2">
        <v>0</v>
      </c>
    </row>
    <row r="26" spans="2:19" ht="15.6" thickTop="1" thickBot="1">
      <c r="E26" s="110">
        <v>20</v>
      </c>
      <c r="F26" s="110">
        <v>8.2009000000000007</v>
      </c>
      <c r="G26" s="110">
        <v>20</v>
      </c>
      <c r="S26" s="2">
        <v>0</v>
      </c>
    </row>
    <row r="27" spans="2:19" ht="15.6" thickTop="1" thickBot="1">
      <c r="E27" s="110">
        <v>21</v>
      </c>
      <c r="F27" s="110">
        <v>9.2009000000000007</v>
      </c>
      <c r="G27" s="110">
        <v>21</v>
      </c>
      <c r="S27" s="2">
        <v>0</v>
      </c>
    </row>
    <row r="28" spans="2:19" ht="15.6" thickTop="1" thickBot="1">
      <c r="E28" s="110">
        <v>22</v>
      </c>
      <c r="F28" s="110">
        <v>10.200900000000001</v>
      </c>
      <c r="G28" s="110">
        <v>22</v>
      </c>
      <c r="S28" s="2">
        <v>0</v>
      </c>
    </row>
    <row r="29" spans="2:19" ht="15.6" thickTop="1" thickBot="1">
      <c r="E29" s="110">
        <v>23</v>
      </c>
      <c r="F29" s="110">
        <v>11.200900000000001</v>
      </c>
      <c r="G29" s="110">
        <v>23</v>
      </c>
      <c r="S29" s="2">
        <v>0</v>
      </c>
    </row>
    <row r="30" spans="2:19" ht="15.6" thickTop="1" thickBot="1">
      <c r="E30" s="110">
        <v>24</v>
      </c>
      <c r="F30" s="110">
        <v>12.200900000000001</v>
      </c>
      <c r="G30" s="110">
        <v>24</v>
      </c>
      <c r="S30" s="2">
        <v>0</v>
      </c>
    </row>
    <row r="31" spans="2:19" ht="15.6" thickTop="1" thickBot="1">
      <c r="E31" s="110">
        <v>25</v>
      </c>
      <c r="F31" s="352">
        <v>1.2010000000000001</v>
      </c>
      <c r="G31" s="110">
        <v>25</v>
      </c>
      <c r="S31" s="2">
        <v>0</v>
      </c>
    </row>
    <row r="32" spans="2:19" ht="15.6" thickTop="1" thickBot="1">
      <c r="E32" s="110">
        <v>26</v>
      </c>
      <c r="F32" s="352">
        <v>2.2010000000000001</v>
      </c>
      <c r="G32" s="110">
        <v>26</v>
      </c>
      <c r="S32" s="2">
        <v>0</v>
      </c>
    </row>
    <row r="33" spans="5:19" ht="15.6" thickTop="1" thickBot="1">
      <c r="E33" s="110">
        <v>27</v>
      </c>
      <c r="F33" s="352">
        <v>3.2010000000000001</v>
      </c>
      <c r="G33" s="110">
        <v>27</v>
      </c>
      <c r="S33" s="2">
        <v>0</v>
      </c>
    </row>
    <row r="34" spans="5:19" ht="15.6" thickTop="1" thickBot="1">
      <c r="E34" s="110">
        <v>28</v>
      </c>
      <c r="F34" s="352">
        <v>4.2009999999999996</v>
      </c>
      <c r="G34" s="110">
        <v>28</v>
      </c>
      <c r="S34" s="2">
        <v>0</v>
      </c>
    </row>
    <row r="35" spans="5:19" ht="15.6" thickTop="1" thickBot="1">
      <c r="E35" s="110">
        <v>29</v>
      </c>
      <c r="F35" s="352">
        <v>5.2009999999999996</v>
      </c>
      <c r="G35" s="110">
        <v>29</v>
      </c>
      <c r="S35" s="2">
        <v>0</v>
      </c>
    </row>
    <row r="36" spans="5:19" ht="15.6" thickTop="1" thickBot="1">
      <c r="E36" s="110">
        <v>30</v>
      </c>
      <c r="F36" s="352">
        <v>6.2009999999999996</v>
      </c>
      <c r="G36" s="110">
        <v>30</v>
      </c>
      <c r="S36" s="2">
        <v>0</v>
      </c>
    </row>
    <row r="37" spans="5:19" ht="15.6" thickTop="1" thickBot="1">
      <c r="E37" s="110">
        <v>31</v>
      </c>
      <c r="F37" s="352">
        <v>7.2009999999999996</v>
      </c>
      <c r="G37" s="110">
        <v>31</v>
      </c>
      <c r="S37" s="2">
        <v>0</v>
      </c>
    </row>
    <row r="38" spans="5:19" ht="15.6" thickTop="1" thickBot="1">
      <c r="E38" s="110">
        <v>32</v>
      </c>
      <c r="F38" s="352">
        <v>8.2010000000000005</v>
      </c>
      <c r="G38" s="110">
        <v>32</v>
      </c>
      <c r="S38" s="2">
        <v>0</v>
      </c>
    </row>
    <row r="39" spans="5:19" ht="15.6" thickTop="1" thickBot="1">
      <c r="E39" s="110">
        <v>33</v>
      </c>
      <c r="F39" s="352">
        <v>9.2010000000000005</v>
      </c>
      <c r="G39" s="110">
        <v>33</v>
      </c>
      <c r="S39" s="2">
        <v>0</v>
      </c>
    </row>
    <row r="40" spans="5:19" ht="15.6" thickTop="1" thickBot="1">
      <c r="E40" s="110">
        <v>34</v>
      </c>
      <c r="F40" s="352">
        <v>10.201000000000001</v>
      </c>
      <c r="G40" s="110">
        <v>34</v>
      </c>
      <c r="S40" s="2">
        <v>0</v>
      </c>
    </row>
    <row r="41" spans="5:19" ht="15.6" thickTop="1" thickBot="1">
      <c r="E41" s="110">
        <v>35</v>
      </c>
      <c r="F41" s="352">
        <v>11.201000000000001</v>
      </c>
      <c r="G41" s="110">
        <v>35</v>
      </c>
      <c r="S41" s="2">
        <v>0</v>
      </c>
    </row>
    <row r="42" spans="5:19" ht="15.6" thickTop="1" thickBot="1">
      <c r="E42" s="110">
        <v>36</v>
      </c>
      <c r="F42" s="352">
        <v>12.201000000000001</v>
      </c>
      <c r="G42" s="110">
        <v>36</v>
      </c>
      <c r="S42" s="2">
        <v>0</v>
      </c>
    </row>
    <row r="43" spans="5:19" ht="15.6" thickTop="1" thickBot="1">
      <c r="E43" s="110">
        <v>37</v>
      </c>
      <c r="F43" s="352">
        <v>1.2011000000000001</v>
      </c>
      <c r="G43" s="110">
        <v>37</v>
      </c>
      <c r="S43" s="2">
        <v>0</v>
      </c>
    </row>
    <row r="44" spans="5:19" ht="15.6" thickTop="1" thickBot="1">
      <c r="E44" s="110">
        <v>38</v>
      </c>
      <c r="F44" s="352">
        <v>2.2010999999999998</v>
      </c>
      <c r="G44" s="110">
        <v>38</v>
      </c>
      <c r="S44" s="2">
        <v>0</v>
      </c>
    </row>
    <row r="45" spans="5:19" ht="15.6" thickTop="1" thickBot="1">
      <c r="E45" s="110">
        <v>39</v>
      </c>
      <c r="F45" s="352">
        <v>3.2010999999999998</v>
      </c>
      <c r="G45" s="110">
        <v>39</v>
      </c>
      <c r="S45" s="2">
        <v>0</v>
      </c>
    </row>
    <row r="46" spans="5:19" ht="15.6" thickTop="1" thickBot="1">
      <c r="E46" s="110">
        <v>40</v>
      </c>
      <c r="F46" s="352">
        <v>4.2011000000000003</v>
      </c>
      <c r="G46" s="110">
        <v>40</v>
      </c>
      <c r="S46" s="2">
        <v>0</v>
      </c>
    </row>
    <row r="47" spans="5:19" ht="15.6" thickTop="1" thickBot="1">
      <c r="E47" s="110">
        <v>41</v>
      </c>
      <c r="F47" s="352">
        <v>5.2011000000000003</v>
      </c>
      <c r="G47" s="110">
        <v>41</v>
      </c>
      <c r="S47" s="2">
        <v>0</v>
      </c>
    </row>
    <row r="48" spans="5:19" ht="15.6" thickTop="1" thickBot="1">
      <c r="E48" s="110">
        <v>42</v>
      </c>
      <c r="F48" s="352">
        <v>6.2011000000000003</v>
      </c>
      <c r="G48" s="110">
        <v>42</v>
      </c>
      <c r="S48" s="2">
        <v>0</v>
      </c>
    </row>
    <row r="49" spans="5:19" ht="15.6" thickTop="1" thickBot="1">
      <c r="E49" s="110">
        <v>43</v>
      </c>
      <c r="F49" s="352">
        <v>7.2011000000000003</v>
      </c>
      <c r="G49" s="110">
        <v>43</v>
      </c>
      <c r="S49" s="2">
        <v>0</v>
      </c>
    </row>
    <row r="50" spans="5:19" ht="15.6" thickTop="1" thickBot="1">
      <c r="E50" s="110">
        <v>44</v>
      </c>
      <c r="F50" s="352">
        <v>8.2011000000000003</v>
      </c>
      <c r="G50" s="110">
        <v>44</v>
      </c>
      <c r="S50" s="2">
        <v>0</v>
      </c>
    </row>
    <row r="51" spans="5:19" ht="15.6" thickTop="1" thickBot="1">
      <c r="E51" s="110">
        <v>45</v>
      </c>
      <c r="F51" s="352">
        <v>9.2011000000000003</v>
      </c>
      <c r="G51" s="110">
        <v>45</v>
      </c>
      <c r="S51" s="2">
        <v>0</v>
      </c>
    </row>
    <row r="52" spans="5:19" ht="15.6" thickTop="1" thickBot="1">
      <c r="E52" s="110">
        <v>46</v>
      </c>
      <c r="F52" s="352">
        <v>10.2011</v>
      </c>
      <c r="G52" s="110">
        <v>46</v>
      </c>
      <c r="S52" s="2">
        <v>0</v>
      </c>
    </row>
    <row r="53" spans="5:19" ht="15.6" thickTop="1" thickBot="1">
      <c r="E53" s="110">
        <v>47</v>
      </c>
      <c r="F53" s="352">
        <v>11.2011</v>
      </c>
      <c r="G53" s="110">
        <v>47</v>
      </c>
      <c r="S53" s="2">
        <v>0</v>
      </c>
    </row>
    <row r="54" spans="5:19" ht="15.6" thickTop="1" thickBot="1">
      <c r="E54" s="110">
        <v>48</v>
      </c>
      <c r="F54" s="352">
        <v>12.2011</v>
      </c>
      <c r="G54" s="110">
        <v>48</v>
      </c>
      <c r="S54" s="2">
        <v>0</v>
      </c>
    </row>
    <row r="55" spans="5:19" ht="15.6" thickTop="1" thickBot="1">
      <c r="E55" s="110">
        <v>49</v>
      </c>
      <c r="F55" s="352">
        <v>1.2012</v>
      </c>
      <c r="G55" s="110">
        <v>49</v>
      </c>
      <c r="S55" s="2">
        <v>0</v>
      </c>
    </row>
    <row r="56" spans="5:19" ht="15.6" thickTop="1" thickBot="1">
      <c r="E56" s="110">
        <v>50</v>
      </c>
      <c r="F56" s="352">
        <v>2.2012</v>
      </c>
      <c r="G56" s="110">
        <v>50</v>
      </c>
      <c r="S56" s="2">
        <v>0</v>
      </c>
    </row>
    <row r="57" spans="5:19" ht="15.6" thickTop="1" thickBot="1">
      <c r="E57" s="110">
        <v>51</v>
      </c>
      <c r="F57" s="352">
        <v>3.2012</v>
      </c>
      <c r="G57" s="110">
        <v>51</v>
      </c>
      <c r="S57" s="2">
        <v>0</v>
      </c>
    </row>
    <row r="58" spans="5:19" ht="15.6" thickTop="1" thickBot="1">
      <c r="E58" s="110">
        <v>52</v>
      </c>
      <c r="F58" s="352">
        <v>4.2012</v>
      </c>
      <c r="G58" s="110">
        <v>52</v>
      </c>
      <c r="S58" s="2">
        <v>0</v>
      </c>
    </row>
    <row r="59" spans="5:19" ht="15.6" thickTop="1" thickBot="1">
      <c r="E59" s="110">
        <v>53</v>
      </c>
      <c r="F59" s="352">
        <v>5.2012</v>
      </c>
      <c r="G59" s="110">
        <v>53</v>
      </c>
      <c r="S59" s="2">
        <v>0</v>
      </c>
    </row>
    <row r="60" spans="5:19" ht="15.6" thickTop="1" thickBot="1">
      <c r="E60" s="110">
        <v>54</v>
      </c>
      <c r="F60" s="352">
        <v>6.2012</v>
      </c>
      <c r="G60" s="110">
        <v>54</v>
      </c>
      <c r="S60" s="2">
        <v>0</v>
      </c>
    </row>
    <row r="61" spans="5:19" ht="15.6" thickTop="1" thickBot="1">
      <c r="E61" s="110">
        <v>55</v>
      </c>
      <c r="F61" s="352">
        <v>7.2012</v>
      </c>
      <c r="G61" s="110">
        <v>55</v>
      </c>
      <c r="S61" s="2">
        <v>0</v>
      </c>
    </row>
    <row r="62" spans="5:19" ht="15.6" thickTop="1" thickBot="1">
      <c r="E62" s="110">
        <v>56</v>
      </c>
      <c r="F62" s="352">
        <v>8.2012</v>
      </c>
      <c r="G62" s="110">
        <v>56</v>
      </c>
      <c r="S62" s="2">
        <v>0</v>
      </c>
    </row>
    <row r="63" spans="5:19" ht="15.6" thickTop="1" thickBot="1">
      <c r="E63" s="110">
        <v>57</v>
      </c>
      <c r="F63" s="352">
        <v>9.2012</v>
      </c>
      <c r="G63" s="110">
        <v>57</v>
      </c>
      <c r="S63" s="2">
        <v>0</v>
      </c>
    </row>
    <row r="64" spans="5:19" ht="15.6" thickTop="1" thickBot="1">
      <c r="E64" s="110">
        <v>58</v>
      </c>
      <c r="F64" s="352">
        <v>10.2012</v>
      </c>
      <c r="G64" s="110">
        <v>58</v>
      </c>
      <c r="S64" s="2">
        <v>0</v>
      </c>
    </row>
    <row r="65" spans="5:19" ht="15.6" thickTop="1" thickBot="1">
      <c r="E65" s="110">
        <v>59</v>
      </c>
      <c r="F65" s="352">
        <v>11.2012</v>
      </c>
      <c r="G65" s="110">
        <v>59</v>
      </c>
      <c r="S65" s="2">
        <v>0</v>
      </c>
    </row>
    <row r="66" spans="5:19" ht="15.6" thickTop="1" thickBot="1">
      <c r="E66" s="110">
        <v>60</v>
      </c>
      <c r="F66" s="352">
        <v>12.2012</v>
      </c>
      <c r="G66" s="110">
        <v>60</v>
      </c>
      <c r="S66" s="2">
        <v>0</v>
      </c>
    </row>
    <row r="67" spans="5:19" ht="15.6" thickTop="1" thickBot="1">
      <c r="E67" s="110">
        <v>61</v>
      </c>
      <c r="F67" s="352">
        <v>1.2013</v>
      </c>
      <c r="G67" s="110">
        <v>61</v>
      </c>
      <c r="S67" s="2">
        <v>0</v>
      </c>
    </row>
    <row r="68" spans="5:19" ht="15.6" thickTop="1" thickBot="1">
      <c r="E68" s="110">
        <v>62</v>
      </c>
      <c r="F68" s="352">
        <v>2.2012999999999998</v>
      </c>
      <c r="G68" s="110">
        <v>62</v>
      </c>
      <c r="S68" s="2">
        <v>0</v>
      </c>
    </row>
    <row r="69" spans="5:19" ht="15.6" thickTop="1" thickBot="1">
      <c r="E69" s="110">
        <v>63</v>
      </c>
      <c r="F69" s="352">
        <v>3.2012999999999998</v>
      </c>
      <c r="G69" s="110">
        <v>63</v>
      </c>
      <c r="S69" s="2">
        <v>0</v>
      </c>
    </row>
    <row r="70" spans="5:19" ht="15.6" thickTop="1" thickBot="1">
      <c r="E70" s="110">
        <v>64</v>
      </c>
      <c r="F70" s="352">
        <v>4.2012999999999998</v>
      </c>
      <c r="G70" s="110">
        <v>64</v>
      </c>
      <c r="S70" s="2">
        <v>0</v>
      </c>
    </row>
    <row r="71" spans="5:19" ht="15.6" thickTop="1" thickBot="1">
      <c r="E71" s="110">
        <v>65</v>
      </c>
      <c r="F71" s="352">
        <v>5.2012999999999998</v>
      </c>
      <c r="G71" s="110">
        <v>65</v>
      </c>
      <c r="S71" s="2">
        <v>0</v>
      </c>
    </row>
    <row r="72" spans="5:19" ht="15.6" thickTop="1" thickBot="1">
      <c r="E72" s="110">
        <v>66</v>
      </c>
      <c r="F72" s="352">
        <v>6.2012999999999998</v>
      </c>
      <c r="G72" s="110">
        <v>66</v>
      </c>
      <c r="S72" s="2">
        <v>0</v>
      </c>
    </row>
    <row r="73" spans="5:19" ht="15.6" thickTop="1" thickBot="1">
      <c r="E73" s="110">
        <v>67</v>
      </c>
      <c r="F73" s="352">
        <v>7.2012999999999998</v>
      </c>
      <c r="G73" s="110">
        <v>67</v>
      </c>
      <c r="S73" s="2">
        <v>0</v>
      </c>
    </row>
    <row r="74" spans="5:19" ht="15.6" thickTop="1" thickBot="1">
      <c r="E74" s="110">
        <v>68</v>
      </c>
      <c r="F74" s="352">
        <v>8.2012999999999998</v>
      </c>
      <c r="G74" s="110">
        <v>68</v>
      </c>
      <c r="S74" s="2">
        <v>0</v>
      </c>
    </row>
    <row r="75" spans="5:19" ht="15.6" thickTop="1" thickBot="1">
      <c r="E75" s="110">
        <v>69</v>
      </c>
      <c r="F75" s="352">
        <v>9.2012999999999998</v>
      </c>
      <c r="G75" s="110">
        <v>69</v>
      </c>
      <c r="S75" s="2">
        <v>0</v>
      </c>
    </row>
    <row r="76" spans="5:19" ht="15.6" thickTop="1" thickBot="1">
      <c r="E76" s="110">
        <v>70</v>
      </c>
      <c r="F76" s="352">
        <v>10.2013</v>
      </c>
      <c r="G76" s="110">
        <v>70</v>
      </c>
      <c r="S76" s="2">
        <v>0</v>
      </c>
    </row>
    <row r="77" spans="5:19" ht="15.6" thickTop="1" thickBot="1">
      <c r="E77" s="110">
        <v>71</v>
      </c>
      <c r="F77" s="352">
        <v>11.2013</v>
      </c>
      <c r="G77" s="110">
        <v>71</v>
      </c>
      <c r="S77" s="2">
        <v>0</v>
      </c>
    </row>
    <row r="78" spans="5:19" ht="15.6" thickTop="1" thickBot="1">
      <c r="E78" s="110">
        <v>72</v>
      </c>
      <c r="F78" s="352">
        <v>12.2013</v>
      </c>
      <c r="G78" s="110">
        <v>72</v>
      </c>
      <c r="S78" s="2">
        <v>0</v>
      </c>
    </row>
    <row r="79" spans="5:19" ht="15.6" thickTop="1" thickBot="1">
      <c r="E79" s="110">
        <v>73</v>
      </c>
      <c r="F79" s="352">
        <v>1.2014</v>
      </c>
      <c r="G79" s="110">
        <v>73</v>
      </c>
      <c r="S79" s="2">
        <v>0</v>
      </c>
    </row>
    <row r="80" spans="5:19" ht="15.6" thickTop="1" thickBot="1">
      <c r="E80" s="110">
        <v>74</v>
      </c>
      <c r="F80" s="352">
        <v>2.2014</v>
      </c>
      <c r="G80" s="110">
        <v>74</v>
      </c>
      <c r="S80" s="2">
        <v>0</v>
      </c>
    </row>
    <row r="81" spans="5:19" ht="15.6" thickTop="1" thickBot="1">
      <c r="E81" s="110">
        <v>75</v>
      </c>
      <c r="F81" s="352">
        <v>3.2014</v>
      </c>
      <c r="G81" s="110">
        <v>75</v>
      </c>
      <c r="S81" s="2">
        <v>0</v>
      </c>
    </row>
    <row r="82" spans="5:19" ht="15.6" thickTop="1" thickBot="1">
      <c r="E82" s="110">
        <v>76</v>
      </c>
      <c r="F82" s="352">
        <v>4.2013999999999996</v>
      </c>
      <c r="G82" s="110">
        <v>76</v>
      </c>
      <c r="S82" s="2">
        <v>0</v>
      </c>
    </row>
    <row r="83" spans="5:19" ht="15.6" thickTop="1" thickBot="1">
      <c r="E83" s="110">
        <v>77</v>
      </c>
      <c r="F83" s="352">
        <v>5.2013999999999996</v>
      </c>
      <c r="G83" s="110">
        <v>77</v>
      </c>
      <c r="S83" s="2">
        <v>0</v>
      </c>
    </row>
    <row r="84" spans="5:19" ht="15.6" thickTop="1" thickBot="1">
      <c r="E84" s="110">
        <v>78</v>
      </c>
      <c r="F84" s="352">
        <v>6.2013999999999996</v>
      </c>
      <c r="G84" s="110">
        <v>78</v>
      </c>
      <c r="S84" s="2">
        <v>0</v>
      </c>
    </row>
    <row r="85" spans="5:19" ht="15.6" thickTop="1" thickBot="1">
      <c r="E85" s="110">
        <v>79</v>
      </c>
      <c r="F85" s="352">
        <v>7.2013999999999996</v>
      </c>
      <c r="G85" s="110">
        <v>79</v>
      </c>
      <c r="S85" s="2">
        <v>0</v>
      </c>
    </row>
    <row r="86" spans="5:19" ht="15.6" thickTop="1" thickBot="1">
      <c r="E86" s="110">
        <v>80</v>
      </c>
      <c r="F86" s="352">
        <v>8.2013999999999996</v>
      </c>
      <c r="G86" s="110">
        <v>80</v>
      </c>
      <c r="S86" s="2">
        <v>0</v>
      </c>
    </row>
    <row r="87" spans="5:19" ht="15.6" thickTop="1" thickBot="1">
      <c r="E87" s="110">
        <v>81</v>
      </c>
      <c r="F87" s="352">
        <v>9.2013999999999996</v>
      </c>
      <c r="G87" s="110">
        <v>81</v>
      </c>
      <c r="S87" s="2">
        <v>0</v>
      </c>
    </row>
    <row r="88" spans="5:19" ht="15.6" thickTop="1" thickBot="1">
      <c r="E88" s="110">
        <v>82</v>
      </c>
      <c r="F88" s="352">
        <v>10.2014</v>
      </c>
      <c r="G88" s="110">
        <v>82</v>
      </c>
      <c r="S88" s="2">
        <v>0</v>
      </c>
    </row>
    <row r="89" spans="5:19" ht="15.6" thickTop="1" thickBot="1">
      <c r="E89" s="110">
        <v>83</v>
      </c>
      <c r="F89" s="352">
        <v>11.2014</v>
      </c>
      <c r="G89" s="110">
        <v>83</v>
      </c>
      <c r="S89" s="2">
        <v>0</v>
      </c>
    </row>
    <row r="90" spans="5:19" ht="15.6" thickTop="1" thickBot="1">
      <c r="E90" s="110">
        <v>84</v>
      </c>
      <c r="F90" s="352">
        <v>12.2014</v>
      </c>
      <c r="G90" s="110">
        <v>84</v>
      </c>
      <c r="S90" s="2">
        <v>0</v>
      </c>
    </row>
    <row r="91" spans="5:19" ht="15.6" thickTop="1" thickBot="1">
      <c r="E91" s="110">
        <v>85</v>
      </c>
      <c r="F91" s="352">
        <v>1.2015</v>
      </c>
      <c r="G91" s="110">
        <v>85</v>
      </c>
      <c r="S91" s="2">
        <v>0</v>
      </c>
    </row>
    <row r="92" spans="5:19" ht="15.6" thickTop="1" thickBot="1">
      <c r="E92" s="110">
        <v>86</v>
      </c>
      <c r="F92" s="352">
        <v>2.2014999999999998</v>
      </c>
      <c r="G92" s="110">
        <v>86</v>
      </c>
      <c r="S92" s="2">
        <v>0</v>
      </c>
    </row>
    <row r="93" spans="5:19" ht="15.6" thickTop="1" thickBot="1">
      <c r="E93" s="110">
        <v>87</v>
      </c>
      <c r="F93" s="352">
        <v>3.2014999999999998</v>
      </c>
      <c r="G93" s="110">
        <v>87</v>
      </c>
      <c r="S93" s="2">
        <v>0</v>
      </c>
    </row>
    <row r="94" spans="5:19" ht="15.6" thickTop="1" thickBot="1">
      <c r="E94" s="110">
        <v>88</v>
      </c>
      <c r="F94" s="352">
        <v>4.2015000000000002</v>
      </c>
      <c r="G94" s="110">
        <v>88</v>
      </c>
      <c r="S94" s="2">
        <v>0</v>
      </c>
    </row>
    <row r="95" spans="5:19" ht="15.6" thickTop="1" thickBot="1">
      <c r="E95" s="110">
        <v>89</v>
      </c>
      <c r="F95" s="352">
        <v>5.2015000000000002</v>
      </c>
      <c r="G95" s="110">
        <v>89</v>
      </c>
      <c r="S95" s="2">
        <v>0</v>
      </c>
    </row>
    <row r="96" spans="5:19" ht="15.6" thickTop="1" thickBot="1">
      <c r="E96" s="110">
        <v>90</v>
      </c>
      <c r="F96" s="352">
        <v>6.2015000000000002</v>
      </c>
      <c r="G96" s="110">
        <v>90</v>
      </c>
      <c r="S96" s="2">
        <v>0</v>
      </c>
    </row>
    <row r="97" spans="5:19" ht="15.6" thickTop="1" thickBot="1">
      <c r="E97" s="110">
        <v>91</v>
      </c>
      <c r="F97" s="352">
        <v>7.2015000000000002</v>
      </c>
      <c r="G97" s="110">
        <v>91</v>
      </c>
      <c r="S97" s="2">
        <v>0</v>
      </c>
    </row>
    <row r="98" spans="5:19" ht="15.6" thickTop="1" thickBot="1">
      <c r="E98" s="110">
        <v>92</v>
      </c>
      <c r="F98" s="352">
        <v>8.2014999999999993</v>
      </c>
      <c r="G98" s="110">
        <v>92</v>
      </c>
      <c r="S98" s="2">
        <v>0</v>
      </c>
    </row>
    <row r="99" spans="5:19" ht="15.6" thickTop="1" thickBot="1">
      <c r="E99" s="110">
        <v>93</v>
      </c>
      <c r="F99" s="352">
        <v>9.2014999999999993</v>
      </c>
      <c r="G99" s="110">
        <v>93</v>
      </c>
      <c r="S99" s="2">
        <v>0</v>
      </c>
    </row>
    <row r="100" spans="5:19" ht="15.6" thickTop="1" thickBot="1">
      <c r="E100" s="110">
        <v>94</v>
      </c>
      <c r="F100" s="352">
        <v>10.201499999999999</v>
      </c>
      <c r="G100" s="110">
        <v>94</v>
      </c>
      <c r="S100" s="2">
        <v>0</v>
      </c>
    </row>
    <row r="101" spans="5:19" ht="15.6" thickTop="1" thickBot="1">
      <c r="E101" s="110">
        <v>95</v>
      </c>
      <c r="F101" s="352">
        <v>11.201499999999999</v>
      </c>
      <c r="G101" s="110">
        <v>95</v>
      </c>
      <c r="S101" s="2">
        <v>0</v>
      </c>
    </row>
    <row r="102" spans="5:19" ht="15.6" thickTop="1" thickBot="1">
      <c r="E102" s="110">
        <v>96</v>
      </c>
      <c r="F102" s="352">
        <v>12.201499999999999</v>
      </c>
      <c r="G102" s="110">
        <v>96</v>
      </c>
      <c r="S102" s="2">
        <v>0</v>
      </c>
    </row>
    <row r="103" spans="5:19" ht="15.6" thickTop="1" thickBot="1">
      <c r="E103" s="110">
        <v>97</v>
      </c>
      <c r="F103" s="352">
        <v>1.2016</v>
      </c>
      <c r="G103" s="110">
        <v>97</v>
      </c>
      <c r="S103" s="2">
        <v>0</v>
      </c>
    </row>
    <row r="104" spans="5:19" ht="15.6" thickTop="1" thickBot="1">
      <c r="E104" s="110">
        <v>98</v>
      </c>
      <c r="F104" s="352">
        <v>2.2016</v>
      </c>
      <c r="G104" s="110">
        <v>98</v>
      </c>
      <c r="S104" s="2">
        <v>0</v>
      </c>
    </row>
    <row r="105" spans="5:19" ht="15.6" thickTop="1" thickBot="1">
      <c r="E105" s="110">
        <v>99</v>
      </c>
      <c r="F105" s="352">
        <v>3.2016</v>
      </c>
      <c r="G105" s="110">
        <v>99</v>
      </c>
      <c r="S105" s="2">
        <v>0</v>
      </c>
    </row>
    <row r="106" spans="5:19" ht="15.6" thickTop="1" thickBot="1">
      <c r="E106" s="110">
        <v>100</v>
      </c>
      <c r="F106" s="352">
        <v>4.2016</v>
      </c>
      <c r="G106" s="110">
        <v>100</v>
      </c>
      <c r="S106" s="2">
        <v>0</v>
      </c>
    </row>
    <row r="107" spans="5:19" ht="15.6" thickTop="1" thickBot="1">
      <c r="E107" s="110">
        <v>101</v>
      </c>
      <c r="F107" s="352">
        <v>5.2016</v>
      </c>
      <c r="G107" s="110">
        <v>101</v>
      </c>
      <c r="S107" s="2">
        <v>0</v>
      </c>
    </row>
    <row r="108" spans="5:19" ht="15.6" thickTop="1" thickBot="1">
      <c r="E108" s="110">
        <v>102</v>
      </c>
      <c r="F108" s="352">
        <v>6.2016</v>
      </c>
      <c r="G108" s="110">
        <v>102</v>
      </c>
      <c r="S108" s="2">
        <v>0</v>
      </c>
    </row>
    <row r="109" spans="5:19" ht="15.6" thickTop="1" thickBot="1">
      <c r="E109" s="110">
        <v>103</v>
      </c>
      <c r="F109" s="352">
        <v>7.2016</v>
      </c>
      <c r="G109" s="110">
        <v>103</v>
      </c>
      <c r="S109" s="2">
        <v>0</v>
      </c>
    </row>
    <row r="110" spans="5:19" ht="15.6" thickTop="1" thickBot="1">
      <c r="E110" s="110">
        <v>104</v>
      </c>
      <c r="F110" s="352">
        <v>8.2015999999999991</v>
      </c>
      <c r="G110" s="110">
        <v>104</v>
      </c>
      <c r="S110" s="2">
        <v>0</v>
      </c>
    </row>
    <row r="111" spans="5:19" ht="15.6" thickTop="1" thickBot="1">
      <c r="E111" s="110">
        <v>105</v>
      </c>
      <c r="F111" s="352">
        <v>9.2015999999999991</v>
      </c>
      <c r="G111" s="110">
        <v>105</v>
      </c>
      <c r="S111" s="2">
        <v>0</v>
      </c>
    </row>
    <row r="112" spans="5:19" ht="15.6" thickTop="1" thickBot="1">
      <c r="E112" s="110">
        <v>106</v>
      </c>
      <c r="F112" s="352">
        <v>10.201599999999999</v>
      </c>
      <c r="G112" s="110">
        <v>106</v>
      </c>
      <c r="S112" s="2">
        <v>0</v>
      </c>
    </row>
    <row r="113" spans="5:19" ht="15.6" thickTop="1" thickBot="1">
      <c r="E113" s="110">
        <v>107</v>
      </c>
      <c r="F113" s="352">
        <v>11.201599999999999</v>
      </c>
      <c r="G113" s="110">
        <v>107</v>
      </c>
      <c r="S113" s="2">
        <v>0</v>
      </c>
    </row>
    <row r="114" spans="5:19" ht="15.6" thickTop="1" thickBot="1">
      <c r="E114" s="110">
        <v>108</v>
      </c>
      <c r="F114" s="352">
        <v>12.201599999999999</v>
      </c>
      <c r="G114" s="110">
        <v>108</v>
      </c>
      <c r="S114" s="2">
        <v>0</v>
      </c>
    </row>
    <row r="115" spans="5:19" ht="15.6" thickTop="1" thickBot="1">
      <c r="E115" s="110">
        <v>109</v>
      </c>
      <c r="F115" s="352">
        <v>1.2017</v>
      </c>
      <c r="G115" s="110">
        <v>109</v>
      </c>
      <c r="S115" s="2">
        <v>0</v>
      </c>
    </row>
    <row r="116" spans="5:19" ht="15.6" thickTop="1" thickBot="1">
      <c r="E116" s="110">
        <v>110</v>
      </c>
      <c r="F116" s="352">
        <v>2.2017000000000002</v>
      </c>
      <c r="G116" s="110">
        <v>110</v>
      </c>
      <c r="S116" s="2">
        <v>0</v>
      </c>
    </row>
    <row r="117" spans="5:19" ht="15.6" thickTop="1" thickBot="1">
      <c r="E117" s="110">
        <v>111</v>
      </c>
      <c r="F117" s="352">
        <v>3.2017000000000002</v>
      </c>
      <c r="G117" s="110">
        <v>111</v>
      </c>
      <c r="S117" s="2">
        <v>0</v>
      </c>
    </row>
    <row r="118" spans="5:19" ht="15.6" thickTop="1" thickBot="1">
      <c r="E118" s="110">
        <v>112</v>
      </c>
      <c r="F118" s="352">
        <v>4.2016999999999998</v>
      </c>
      <c r="G118" s="110">
        <v>112</v>
      </c>
      <c r="S118" s="2">
        <v>0</v>
      </c>
    </row>
    <row r="119" spans="5:19" ht="15.6" thickTop="1" thickBot="1">
      <c r="E119" s="110">
        <v>113</v>
      </c>
      <c r="F119" s="352">
        <v>5.2016999999999998</v>
      </c>
      <c r="G119" s="110">
        <v>113</v>
      </c>
      <c r="S119" s="2">
        <v>0</v>
      </c>
    </row>
    <row r="120" spans="5:19" ht="15.6" thickTop="1" thickBot="1">
      <c r="E120" s="110">
        <v>114</v>
      </c>
      <c r="F120" s="352">
        <v>6.2016999999999998</v>
      </c>
      <c r="G120" s="110">
        <v>114</v>
      </c>
      <c r="S120" s="2">
        <v>0</v>
      </c>
    </row>
    <row r="121" spans="5:19" ht="15.6" thickTop="1" thickBot="1">
      <c r="E121" s="110">
        <v>115</v>
      </c>
      <c r="F121" s="352">
        <v>7.2016999999999998</v>
      </c>
      <c r="G121" s="110">
        <v>115</v>
      </c>
      <c r="S121" s="2">
        <v>0</v>
      </c>
    </row>
    <row r="122" spans="5:19" ht="15.6" thickTop="1" thickBot="1">
      <c r="E122" s="110">
        <v>116</v>
      </c>
      <c r="F122" s="352">
        <v>8.2017000000000007</v>
      </c>
      <c r="G122" s="110">
        <v>116</v>
      </c>
      <c r="S122" s="2">
        <v>0</v>
      </c>
    </row>
    <row r="123" spans="5:19" ht="15.6" thickTop="1" thickBot="1">
      <c r="E123" s="110">
        <v>117</v>
      </c>
      <c r="F123" s="352">
        <v>9.2017000000000007</v>
      </c>
      <c r="G123" s="110">
        <v>117</v>
      </c>
      <c r="S123" s="2">
        <v>0</v>
      </c>
    </row>
    <row r="124" spans="5:19" ht="15.6" thickTop="1" thickBot="1">
      <c r="E124" s="110">
        <v>118</v>
      </c>
      <c r="F124" s="352">
        <v>10.201700000000001</v>
      </c>
      <c r="G124" s="110">
        <v>118</v>
      </c>
      <c r="S124" s="2">
        <v>0</v>
      </c>
    </row>
    <row r="125" spans="5:19" ht="15.6" thickTop="1" thickBot="1">
      <c r="E125" s="110">
        <v>119</v>
      </c>
      <c r="F125" s="352">
        <v>11.201700000000001</v>
      </c>
      <c r="G125" s="110">
        <v>119</v>
      </c>
      <c r="S125" s="2">
        <v>0</v>
      </c>
    </row>
    <row r="126" spans="5:19" ht="15.6" thickTop="1" thickBot="1">
      <c r="E126" s="110">
        <v>120</v>
      </c>
      <c r="F126" s="352">
        <v>12.201700000000001</v>
      </c>
      <c r="G126" s="110">
        <v>120</v>
      </c>
      <c r="S126" s="2">
        <v>0</v>
      </c>
    </row>
    <row r="127" spans="5:19" ht="15.6" thickTop="1" thickBot="1">
      <c r="E127" s="110">
        <v>121</v>
      </c>
      <c r="F127" s="352">
        <v>1.2018</v>
      </c>
      <c r="G127" s="110">
        <v>121</v>
      </c>
      <c r="S127" s="2">
        <v>0</v>
      </c>
    </row>
    <row r="128" spans="5:19" ht="15.6" thickTop="1" thickBot="1">
      <c r="E128" s="110">
        <v>122</v>
      </c>
      <c r="F128" s="352">
        <v>2.2018</v>
      </c>
      <c r="G128" s="110">
        <v>122</v>
      </c>
      <c r="S128" s="2">
        <v>0</v>
      </c>
    </row>
    <row r="129" spans="5:19" ht="15.6" thickTop="1" thickBot="1">
      <c r="E129" s="110">
        <v>123</v>
      </c>
      <c r="F129" s="352">
        <v>3.2018</v>
      </c>
      <c r="G129" s="110">
        <v>123</v>
      </c>
      <c r="S129" s="2">
        <v>0</v>
      </c>
    </row>
    <row r="130" spans="5:19" ht="15.6" thickTop="1" thickBot="1">
      <c r="E130" s="110">
        <v>124</v>
      </c>
      <c r="F130" s="352">
        <v>4.2018000000000004</v>
      </c>
      <c r="G130" s="110">
        <v>124</v>
      </c>
      <c r="S130" s="2">
        <v>0</v>
      </c>
    </row>
    <row r="131" spans="5:19" ht="15.6" thickTop="1" thickBot="1">
      <c r="E131" s="110">
        <v>125</v>
      </c>
      <c r="F131" s="352">
        <v>5.2018000000000004</v>
      </c>
      <c r="G131" s="110">
        <v>125</v>
      </c>
      <c r="S131" s="2">
        <v>0</v>
      </c>
    </row>
    <row r="132" spans="5:19" ht="15.6" thickTop="1" thickBot="1">
      <c r="E132" s="110">
        <v>126</v>
      </c>
      <c r="F132" s="352">
        <v>6.2018000000000004</v>
      </c>
      <c r="G132" s="110">
        <v>126</v>
      </c>
      <c r="S132" s="2">
        <v>0</v>
      </c>
    </row>
    <row r="133" spans="5:19" ht="15.6" thickTop="1" thickBot="1">
      <c r="E133" s="110">
        <v>127</v>
      </c>
      <c r="F133" s="352">
        <v>7.2018000000000004</v>
      </c>
      <c r="G133" s="110">
        <v>127</v>
      </c>
      <c r="S133" s="2">
        <v>0</v>
      </c>
    </row>
    <row r="134" spans="5:19" ht="15.6" thickTop="1" thickBot="1">
      <c r="E134" s="110">
        <v>128</v>
      </c>
      <c r="F134" s="352">
        <v>8.2018000000000004</v>
      </c>
      <c r="G134" s="110">
        <v>128</v>
      </c>
      <c r="S134" s="2">
        <v>0</v>
      </c>
    </row>
    <row r="135" spans="5:19" ht="15.6" thickTop="1" thickBot="1">
      <c r="E135" s="110">
        <v>129</v>
      </c>
      <c r="F135" s="352">
        <v>9.2018000000000004</v>
      </c>
      <c r="G135" s="110">
        <v>129</v>
      </c>
      <c r="S135" s="2">
        <v>0</v>
      </c>
    </row>
    <row r="136" spans="5:19" ht="15.6" thickTop="1" thickBot="1">
      <c r="E136" s="110">
        <v>130</v>
      </c>
      <c r="F136" s="352">
        <v>10.2018</v>
      </c>
      <c r="G136" s="110">
        <v>130</v>
      </c>
      <c r="S136" s="2">
        <v>0</v>
      </c>
    </row>
    <row r="137" spans="5:19" ht="15.6" thickTop="1" thickBot="1">
      <c r="E137" s="110">
        <v>131</v>
      </c>
      <c r="F137" s="352">
        <v>11.2018</v>
      </c>
      <c r="G137" s="110">
        <v>131</v>
      </c>
      <c r="S137" s="2">
        <v>0</v>
      </c>
    </row>
    <row r="138" spans="5:19" ht="15.6" thickTop="1" thickBot="1">
      <c r="E138" s="110">
        <v>132</v>
      </c>
      <c r="F138" s="352">
        <v>12.2018</v>
      </c>
      <c r="G138" s="110">
        <v>132</v>
      </c>
      <c r="S138" s="2">
        <v>0</v>
      </c>
    </row>
    <row r="139" spans="5:19" ht="15.6" thickTop="1" thickBot="1">
      <c r="E139" s="110">
        <v>133</v>
      </c>
      <c r="F139" s="352">
        <v>1.2019</v>
      </c>
      <c r="G139" s="110">
        <v>133</v>
      </c>
      <c r="S139" s="2">
        <v>0</v>
      </c>
    </row>
    <row r="140" spans="5:19" ht="15.6" thickTop="1" thickBot="1">
      <c r="E140" s="110">
        <v>134</v>
      </c>
      <c r="F140" s="352">
        <v>2.2019000000000002</v>
      </c>
      <c r="G140" s="110">
        <v>134</v>
      </c>
      <c r="S140" s="2">
        <v>0</v>
      </c>
    </row>
    <row r="141" spans="5:19" ht="15.6" thickTop="1" thickBot="1">
      <c r="E141" s="110">
        <v>135</v>
      </c>
      <c r="F141" s="352">
        <v>3.2019000000000002</v>
      </c>
      <c r="G141" s="110">
        <v>135</v>
      </c>
      <c r="S141" s="2">
        <v>0</v>
      </c>
    </row>
    <row r="142" spans="5:19" ht="15.6" thickTop="1" thickBot="1">
      <c r="E142" s="110">
        <v>136</v>
      </c>
      <c r="F142" s="352">
        <v>4.2019000000000002</v>
      </c>
      <c r="G142" s="110">
        <v>136</v>
      </c>
      <c r="S142" s="2">
        <v>0</v>
      </c>
    </row>
    <row r="143" spans="5:19" ht="15.6" thickTop="1" thickBot="1">
      <c r="E143" s="110">
        <v>137</v>
      </c>
      <c r="F143" s="352">
        <v>5.2019000000000002</v>
      </c>
      <c r="G143" s="110">
        <v>137</v>
      </c>
      <c r="S143" s="2">
        <v>0</v>
      </c>
    </row>
    <row r="144" spans="5:19" ht="15.6" thickTop="1" thickBot="1">
      <c r="E144" s="110">
        <v>138</v>
      </c>
      <c r="F144" s="352">
        <v>6.2019000000000002</v>
      </c>
      <c r="G144" s="110">
        <v>138</v>
      </c>
      <c r="S144" s="2">
        <v>0</v>
      </c>
    </row>
    <row r="145" spans="5:19" ht="15.6" thickTop="1" thickBot="1">
      <c r="E145" s="110">
        <v>139</v>
      </c>
      <c r="F145" s="352">
        <v>7.2019000000000002</v>
      </c>
      <c r="G145" s="110">
        <v>139</v>
      </c>
      <c r="S145" s="2">
        <v>0</v>
      </c>
    </row>
    <row r="146" spans="5:19" ht="15.6" thickTop="1" thickBot="1">
      <c r="E146" s="110">
        <v>140</v>
      </c>
      <c r="F146" s="352">
        <v>8.2019000000000002</v>
      </c>
      <c r="G146" s="110">
        <v>140</v>
      </c>
      <c r="S146" s="2">
        <v>0</v>
      </c>
    </row>
    <row r="147" spans="5:19" ht="15.6" thickTop="1" thickBot="1">
      <c r="E147" s="110">
        <v>141</v>
      </c>
      <c r="F147" s="352">
        <v>9.2019000000000002</v>
      </c>
      <c r="G147" s="110">
        <v>141</v>
      </c>
      <c r="S147" s="2">
        <v>0</v>
      </c>
    </row>
    <row r="148" spans="5:19" ht="15.6" thickTop="1" thickBot="1">
      <c r="E148" s="110">
        <v>142</v>
      </c>
      <c r="F148" s="352">
        <v>10.2019</v>
      </c>
      <c r="G148" s="110">
        <v>142</v>
      </c>
      <c r="S148" s="2">
        <v>0</v>
      </c>
    </row>
    <row r="149" spans="5:19" ht="15.6" thickTop="1" thickBot="1">
      <c r="E149" s="110">
        <v>143</v>
      </c>
      <c r="F149" s="352">
        <v>11.2019</v>
      </c>
      <c r="G149" s="110">
        <v>143</v>
      </c>
      <c r="S149" s="2">
        <v>0</v>
      </c>
    </row>
    <row r="150" spans="5:19" ht="15.6" thickTop="1" thickBot="1">
      <c r="E150" s="110">
        <v>144</v>
      </c>
      <c r="F150" s="352">
        <v>12.2019</v>
      </c>
      <c r="G150" s="110">
        <v>144</v>
      </c>
      <c r="S150" s="2">
        <v>0</v>
      </c>
    </row>
    <row r="151" spans="5:19" ht="15.6" thickTop="1" thickBot="1">
      <c r="E151" s="110">
        <v>145</v>
      </c>
      <c r="F151" s="352">
        <v>1.202</v>
      </c>
      <c r="G151" s="110">
        <v>145</v>
      </c>
      <c r="S151" s="2">
        <v>0</v>
      </c>
    </row>
    <row r="152" spans="5:19" ht="15.6" thickTop="1" thickBot="1">
      <c r="E152" s="110">
        <v>146</v>
      </c>
      <c r="F152" s="352">
        <v>2.202</v>
      </c>
      <c r="G152" s="110">
        <v>146</v>
      </c>
      <c r="S152" s="2">
        <v>0</v>
      </c>
    </row>
    <row r="153" spans="5:19" ht="15.6" thickTop="1" thickBot="1">
      <c r="E153" s="110">
        <v>147</v>
      </c>
      <c r="F153" s="352">
        <v>3.202</v>
      </c>
      <c r="G153" s="110">
        <v>147</v>
      </c>
      <c r="S153" s="2">
        <v>0</v>
      </c>
    </row>
    <row r="154" spans="5:19" ht="15.6" thickTop="1" thickBot="1">
      <c r="E154" s="110">
        <v>148</v>
      </c>
      <c r="F154" s="352">
        <v>4.202</v>
      </c>
      <c r="G154" s="110">
        <v>148</v>
      </c>
      <c r="S154" s="2">
        <v>0</v>
      </c>
    </row>
    <row r="155" spans="5:19" ht="15.6" thickTop="1" thickBot="1">
      <c r="E155" s="110">
        <v>149</v>
      </c>
      <c r="F155" s="352">
        <v>5.202</v>
      </c>
      <c r="G155" s="110">
        <v>149</v>
      </c>
      <c r="S155" s="2">
        <v>0</v>
      </c>
    </row>
    <row r="156" spans="5:19" ht="15.6" thickTop="1" thickBot="1">
      <c r="E156" s="110">
        <v>150</v>
      </c>
      <c r="F156" s="352">
        <v>6.202</v>
      </c>
      <c r="G156" s="110">
        <v>150</v>
      </c>
      <c r="S156" s="2">
        <v>0</v>
      </c>
    </row>
    <row r="157" spans="5:19" ht="15.6" thickTop="1" thickBot="1">
      <c r="E157" s="110">
        <v>151</v>
      </c>
      <c r="F157" s="352">
        <v>7.202</v>
      </c>
      <c r="G157" s="110">
        <v>151</v>
      </c>
      <c r="S157" s="2">
        <v>0</v>
      </c>
    </row>
    <row r="158" spans="5:19" ht="15.6" thickTop="1" thickBot="1">
      <c r="E158" s="110">
        <v>152</v>
      </c>
      <c r="F158" s="352">
        <v>8.202</v>
      </c>
      <c r="G158" s="110">
        <v>152</v>
      </c>
      <c r="S158" s="2">
        <v>0</v>
      </c>
    </row>
    <row r="159" spans="5:19" ht="15.6" thickTop="1" thickBot="1">
      <c r="E159" s="110">
        <v>153</v>
      </c>
      <c r="F159" s="352">
        <v>9.202</v>
      </c>
      <c r="G159" s="110">
        <v>153</v>
      </c>
      <c r="S159" s="2">
        <v>0</v>
      </c>
    </row>
    <row r="160" spans="5:19" ht="15.6" thickTop="1" thickBot="1">
      <c r="E160" s="110">
        <v>154</v>
      </c>
      <c r="F160" s="352">
        <v>10.202</v>
      </c>
      <c r="G160" s="110">
        <v>154</v>
      </c>
      <c r="S160" s="2">
        <v>0</v>
      </c>
    </row>
    <row r="161" spans="5:19" ht="15.6" thickTop="1" thickBot="1">
      <c r="E161" s="110">
        <v>155</v>
      </c>
      <c r="F161" s="352">
        <v>11.202</v>
      </c>
      <c r="G161" s="110">
        <v>155</v>
      </c>
      <c r="S161" s="2">
        <v>0</v>
      </c>
    </row>
    <row r="162" spans="5:19" ht="15.6" thickTop="1" thickBot="1">
      <c r="E162" s="110">
        <v>156</v>
      </c>
      <c r="F162" s="352">
        <v>12.202</v>
      </c>
      <c r="G162" s="110">
        <v>156</v>
      </c>
      <c r="S162" s="2">
        <v>0</v>
      </c>
    </row>
    <row r="163" spans="5:19" ht="15.6" thickTop="1" thickBot="1">
      <c r="E163" s="110">
        <v>157</v>
      </c>
      <c r="F163" s="352">
        <v>1.2020999999999999</v>
      </c>
      <c r="G163" s="110">
        <v>157</v>
      </c>
      <c r="S163" s="2">
        <v>0</v>
      </c>
    </row>
    <row r="164" spans="5:19" ht="15.6" thickTop="1" thickBot="1">
      <c r="E164" s="110">
        <v>158</v>
      </c>
      <c r="F164" s="352">
        <v>2.2021000000000002</v>
      </c>
      <c r="G164" s="110">
        <v>158</v>
      </c>
      <c r="S164" s="2">
        <v>0</v>
      </c>
    </row>
    <row r="165" spans="5:19" ht="15.6" thickTop="1" thickBot="1">
      <c r="E165" s="110">
        <v>159</v>
      </c>
      <c r="F165" s="352">
        <v>3.2021000000000002</v>
      </c>
      <c r="G165" s="110">
        <v>159</v>
      </c>
      <c r="S165" s="2">
        <v>0</v>
      </c>
    </row>
    <row r="166" spans="5:19" ht="15.6" thickTop="1" thickBot="1">
      <c r="E166" s="110">
        <v>160</v>
      </c>
      <c r="F166" s="352">
        <v>4.2020999999999997</v>
      </c>
      <c r="G166" s="110">
        <v>160</v>
      </c>
      <c r="S166" s="2">
        <v>0</v>
      </c>
    </row>
    <row r="167" spans="5:19" ht="15.6" thickTop="1" thickBot="1">
      <c r="E167" s="110">
        <v>161</v>
      </c>
      <c r="F167" s="352">
        <v>5.2020999999999997</v>
      </c>
      <c r="G167" s="110">
        <v>161</v>
      </c>
      <c r="S167" s="2">
        <v>0</v>
      </c>
    </row>
    <row r="168" spans="5:19" ht="15.6" thickTop="1" thickBot="1">
      <c r="E168" s="110">
        <v>162</v>
      </c>
      <c r="F168" s="352">
        <v>6.2020999999999997</v>
      </c>
      <c r="G168" s="110">
        <v>162</v>
      </c>
      <c r="S168" s="2">
        <v>0</v>
      </c>
    </row>
    <row r="169" spans="5:19" ht="15.6" thickTop="1" thickBot="1">
      <c r="E169" s="110">
        <v>163</v>
      </c>
      <c r="F169" s="352">
        <v>7.2020999999999997</v>
      </c>
      <c r="G169" s="110">
        <v>163</v>
      </c>
      <c r="S169" s="2">
        <v>0</v>
      </c>
    </row>
    <row r="170" spans="5:19" ht="15.6" thickTop="1" thickBot="1">
      <c r="E170" s="110">
        <v>164</v>
      </c>
      <c r="F170" s="352">
        <v>8.2020999999999997</v>
      </c>
      <c r="G170" s="110">
        <v>164</v>
      </c>
      <c r="S170" s="2">
        <v>0</v>
      </c>
    </row>
    <row r="171" spans="5:19" ht="15.6" thickTop="1" thickBot="1">
      <c r="E171" s="110">
        <v>165</v>
      </c>
      <c r="F171" s="352">
        <v>9.2020999999999997</v>
      </c>
      <c r="G171" s="110">
        <v>165</v>
      </c>
      <c r="S171" s="2">
        <v>0</v>
      </c>
    </row>
    <row r="172" spans="5:19" ht="15.6" thickTop="1" thickBot="1">
      <c r="E172" s="110">
        <v>166</v>
      </c>
      <c r="F172" s="352">
        <v>10.2021</v>
      </c>
      <c r="G172" s="110">
        <v>166</v>
      </c>
      <c r="S172" s="2">
        <v>0</v>
      </c>
    </row>
    <row r="173" spans="5:19" ht="15.6" thickTop="1" thickBot="1">
      <c r="E173" s="110">
        <v>167</v>
      </c>
      <c r="F173" s="352">
        <v>11.2021</v>
      </c>
      <c r="G173" s="110">
        <v>167</v>
      </c>
      <c r="S173" s="2">
        <v>0</v>
      </c>
    </row>
    <row r="174" spans="5:19" ht="15.6" thickTop="1" thickBot="1">
      <c r="E174" s="110">
        <v>168</v>
      </c>
      <c r="F174" s="352">
        <v>12.2021</v>
      </c>
      <c r="G174" s="110">
        <v>168</v>
      </c>
      <c r="S174" s="2">
        <v>0</v>
      </c>
    </row>
    <row r="175" spans="5:19" ht="15.6" thickTop="1" thickBot="1">
      <c r="E175" s="110">
        <v>169</v>
      </c>
      <c r="F175" s="352">
        <v>1.2021999999999999</v>
      </c>
      <c r="G175" s="110">
        <v>169</v>
      </c>
      <c r="S175" s="2">
        <v>0</v>
      </c>
    </row>
    <row r="176" spans="5:19" ht="15.6" thickTop="1" thickBot="1">
      <c r="E176" s="110">
        <v>170</v>
      </c>
      <c r="F176" s="352">
        <v>2.2021999999999999</v>
      </c>
      <c r="G176" s="110">
        <v>170</v>
      </c>
      <c r="S176" s="2">
        <v>0</v>
      </c>
    </row>
    <row r="177" spans="5:19" ht="15.6" thickTop="1" thickBot="1">
      <c r="E177" s="110">
        <v>171</v>
      </c>
      <c r="F177" s="352">
        <v>3.2021999999999999</v>
      </c>
      <c r="G177" s="110">
        <v>171</v>
      </c>
      <c r="S177" s="2">
        <v>0</v>
      </c>
    </row>
    <row r="178" spans="5:19" ht="15.6" thickTop="1" thickBot="1">
      <c r="E178" s="110">
        <v>172</v>
      </c>
      <c r="F178" s="352">
        <v>4.2022000000000004</v>
      </c>
      <c r="G178" s="110">
        <v>172</v>
      </c>
      <c r="S178" s="2">
        <v>0</v>
      </c>
    </row>
    <row r="179" spans="5:19" ht="15.6" thickTop="1" thickBot="1">
      <c r="E179" s="110">
        <v>173</v>
      </c>
      <c r="F179" s="352">
        <v>5.2022000000000004</v>
      </c>
      <c r="G179" s="110">
        <v>173</v>
      </c>
      <c r="S179" s="2">
        <v>0</v>
      </c>
    </row>
    <row r="180" spans="5:19" ht="15.6" thickTop="1" thickBot="1">
      <c r="E180" s="110">
        <v>174</v>
      </c>
      <c r="F180" s="352">
        <v>6.2022000000000004</v>
      </c>
      <c r="G180" s="110">
        <v>174</v>
      </c>
      <c r="S180" s="2">
        <v>0</v>
      </c>
    </row>
    <row r="181" spans="5:19" ht="15.6" thickTop="1" thickBot="1">
      <c r="E181" s="110">
        <v>175</v>
      </c>
      <c r="F181" s="352">
        <v>7.2022000000000004</v>
      </c>
      <c r="G181" s="110">
        <v>175</v>
      </c>
      <c r="S181" s="2">
        <v>0</v>
      </c>
    </row>
    <row r="182" spans="5:19" ht="15.6" thickTop="1" thickBot="1">
      <c r="E182" s="110">
        <v>176</v>
      </c>
      <c r="F182" s="352">
        <v>8.2021999999999995</v>
      </c>
      <c r="G182" s="110">
        <v>176</v>
      </c>
      <c r="S182" s="2">
        <v>0</v>
      </c>
    </row>
    <row r="183" spans="5:19" ht="15.6" thickTop="1" thickBot="1">
      <c r="E183" s="110">
        <v>177</v>
      </c>
      <c r="F183" s="352">
        <v>9.2021999999999995</v>
      </c>
      <c r="G183" s="110">
        <v>177</v>
      </c>
      <c r="S183" s="2">
        <v>0</v>
      </c>
    </row>
    <row r="184" spans="5:19" ht="15.6" thickTop="1" thickBot="1">
      <c r="E184" s="110">
        <v>178</v>
      </c>
      <c r="F184" s="352">
        <v>10.202199999999999</v>
      </c>
      <c r="G184" s="110">
        <v>178</v>
      </c>
      <c r="S184" s="2">
        <v>0</v>
      </c>
    </row>
    <row r="185" spans="5:19" ht="15.6" thickTop="1" thickBot="1">
      <c r="E185" s="110">
        <v>179</v>
      </c>
      <c r="F185" s="352">
        <v>11.202199999999999</v>
      </c>
      <c r="G185" s="110">
        <v>179</v>
      </c>
      <c r="S185" s="2">
        <v>0</v>
      </c>
    </row>
    <row r="186" spans="5:19" ht="15.6" thickTop="1" thickBot="1">
      <c r="E186" s="110">
        <v>180</v>
      </c>
      <c r="F186" s="352">
        <v>12.202199999999999</v>
      </c>
      <c r="G186" s="110">
        <v>180</v>
      </c>
      <c r="S186" s="2">
        <v>0</v>
      </c>
    </row>
    <row r="187" spans="5:19" ht="15.6" thickTop="1" thickBot="1">
      <c r="E187" s="110">
        <v>181</v>
      </c>
      <c r="F187" s="352">
        <v>1.2022999999999999</v>
      </c>
      <c r="G187" s="110">
        <v>181</v>
      </c>
      <c r="S187" s="2">
        <v>0</v>
      </c>
    </row>
    <row r="188" spans="5:19" ht="15.6" thickTop="1" thickBot="1">
      <c r="E188" s="110">
        <v>182</v>
      </c>
      <c r="F188" s="352">
        <v>2.2023000000000001</v>
      </c>
      <c r="G188" s="110">
        <v>182</v>
      </c>
      <c r="S188" s="2">
        <v>0</v>
      </c>
    </row>
    <row r="189" spans="5:19" ht="15.6" thickTop="1" thickBot="1">
      <c r="E189" s="110">
        <v>183</v>
      </c>
      <c r="F189" s="352">
        <v>3.2023000000000001</v>
      </c>
      <c r="G189" s="110">
        <v>183</v>
      </c>
      <c r="S189" s="2">
        <v>0</v>
      </c>
    </row>
    <row r="190" spans="5:19" ht="15.6" thickTop="1" thickBot="1">
      <c r="E190" s="110">
        <v>184</v>
      </c>
      <c r="F190" s="352">
        <v>4.2023000000000001</v>
      </c>
      <c r="G190" s="110">
        <v>184</v>
      </c>
      <c r="S190" s="2">
        <v>0</v>
      </c>
    </row>
    <row r="191" spans="5:19" ht="15.6" thickTop="1" thickBot="1">
      <c r="E191" s="110">
        <v>185</v>
      </c>
      <c r="F191" s="352">
        <v>5.2023000000000001</v>
      </c>
      <c r="G191" s="110">
        <v>185</v>
      </c>
      <c r="S191" s="2">
        <v>0</v>
      </c>
    </row>
    <row r="192" spans="5:19" ht="15.6" thickTop="1" thickBot="1">
      <c r="E192" s="110">
        <v>186</v>
      </c>
      <c r="F192" s="352">
        <v>6.2023000000000001</v>
      </c>
      <c r="G192" s="110">
        <v>186</v>
      </c>
      <c r="S192" s="2">
        <v>0</v>
      </c>
    </row>
    <row r="193" spans="5:19" ht="15.6" thickTop="1" thickBot="1">
      <c r="E193" s="110">
        <v>187</v>
      </c>
      <c r="F193" s="352">
        <v>7.2023000000000001</v>
      </c>
      <c r="G193" s="110">
        <v>187</v>
      </c>
      <c r="S193" s="2">
        <v>0</v>
      </c>
    </row>
    <row r="194" spans="5:19" ht="15.6" thickTop="1" thickBot="1">
      <c r="E194" s="110">
        <v>188</v>
      </c>
      <c r="F194" s="352">
        <v>8.2022999999999993</v>
      </c>
      <c r="G194" s="110">
        <v>188</v>
      </c>
      <c r="S194" s="2">
        <v>0</v>
      </c>
    </row>
    <row r="195" spans="5:19" ht="15.6" thickTop="1" thickBot="1">
      <c r="E195" s="110">
        <v>189</v>
      </c>
      <c r="F195" s="352">
        <v>9.2022999999999993</v>
      </c>
      <c r="G195" s="110">
        <v>189</v>
      </c>
      <c r="S195" s="2">
        <v>0</v>
      </c>
    </row>
    <row r="196" spans="5:19" ht="15.6" thickTop="1" thickBot="1">
      <c r="E196" s="110">
        <v>190</v>
      </c>
      <c r="F196" s="352">
        <v>10.202299999999999</v>
      </c>
      <c r="G196" s="110">
        <v>190</v>
      </c>
      <c r="S196" s="2">
        <v>0</v>
      </c>
    </row>
    <row r="197" spans="5:19" ht="15.6" thickTop="1" thickBot="1">
      <c r="E197" s="110">
        <v>191</v>
      </c>
      <c r="F197" s="352">
        <v>11.202299999999999</v>
      </c>
      <c r="G197" s="110">
        <v>191</v>
      </c>
      <c r="S197" s="2">
        <v>0</v>
      </c>
    </row>
    <row r="198" spans="5:19" ht="15.6" thickTop="1" thickBot="1">
      <c r="E198" s="110">
        <v>192</v>
      </c>
      <c r="F198" s="352">
        <v>12.202299999999999</v>
      </c>
      <c r="G198" s="110">
        <v>192</v>
      </c>
      <c r="S198" s="2">
        <v>0</v>
      </c>
    </row>
    <row r="199" spans="5:19" ht="18" thickTop="1" thickBot="1">
      <c r="E199" s="110">
        <v>193</v>
      </c>
      <c r="F199" s="352">
        <v>1.2023999999999999</v>
      </c>
      <c r="G199" s="110">
        <v>193</v>
      </c>
      <c r="H199" s="350">
        <v>748.69</v>
      </c>
      <c r="I199" s="347">
        <v>955.64</v>
      </c>
      <c r="J199" s="347">
        <v>955.64</v>
      </c>
      <c r="K199" s="347">
        <v>1090.56</v>
      </c>
      <c r="L199" s="347">
        <v>1090.56</v>
      </c>
      <c r="M199" s="347">
        <v>1090.56</v>
      </c>
      <c r="N199" s="347">
        <v>1226.5899999999999</v>
      </c>
      <c r="O199" s="347">
        <v>1226.5899999999999</v>
      </c>
      <c r="P199" s="347">
        <v>1226.5899999999999</v>
      </c>
      <c r="Q199" s="347">
        <v>1226.5899999999999</v>
      </c>
      <c r="R199" s="347">
        <v>1226.5899999999999</v>
      </c>
      <c r="S199" s="2">
        <v>0</v>
      </c>
    </row>
    <row r="200" spans="5:19" ht="18" thickTop="1" thickBot="1">
      <c r="E200" s="110">
        <v>194</v>
      </c>
      <c r="F200" s="352">
        <v>2.2023999999999999</v>
      </c>
      <c r="G200" s="110">
        <v>194</v>
      </c>
      <c r="H200" s="351">
        <v>748.69</v>
      </c>
      <c r="I200" s="341">
        <v>955.64</v>
      </c>
      <c r="J200" s="341">
        <v>955.64</v>
      </c>
      <c r="K200" s="341">
        <v>1090.56</v>
      </c>
      <c r="L200" s="341">
        <v>1090.56</v>
      </c>
      <c r="M200" s="341">
        <v>1090.56</v>
      </c>
      <c r="N200" s="341">
        <v>1226.5899999999999</v>
      </c>
      <c r="O200" s="341">
        <v>1226.5899999999999</v>
      </c>
      <c r="P200" s="341">
        <v>1226.5899999999999</v>
      </c>
      <c r="Q200" s="341">
        <v>1226.5899999999999</v>
      </c>
      <c r="R200" s="341">
        <v>1226.5899999999999</v>
      </c>
      <c r="S200" s="2">
        <v>0</v>
      </c>
    </row>
    <row r="201" spans="5:19" ht="18" thickTop="1" thickBot="1">
      <c r="E201" s="110">
        <v>195</v>
      </c>
      <c r="F201" s="352">
        <v>3.2023999999999999</v>
      </c>
      <c r="G201" s="110">
        <v>195</v>
      </c>
      <c r="H201" s="351">
        <v>748.69</v>
      </c>
      <c r="I201" s="341">
        <v>955.64</v>
      </c>
      <c r="J201" s="341">
        <v>955.64</v>
      </c>
      <c r="K201" s="341">
        <v>1090.56</v>
      </c>
      <c r="L201" s="341">
        <v>1090.56</v>
      </c>
      <c r="M201" s="341">
        <v>1090.56</v>
      </c>
      <c r="N201" s="341">
        <v>1226.5899999999999</v>
      </c>
      <c r="O201" s="341">
        <v>1226.5899999999999</v>
      </c>
      <c r="P201" s="341">
        <v>1226.5899999999999</v>
      </c>
      <c r="Q201" s="341">
        <v>1226.5899999999999</v>
      </c>
      <c r="R201" s="341">
        <v>1226.5899999999999</v>
      </c>
      <c r="S201" s="2">
        <v>0</v>
      </c>
    </row>
    <row r="202" spans="5:19" ht="18" thickTop="1" thickBot="1">
      <c r="E202" s="110">
        <v>196</v>
      </c>
      <c r="F202" s="352">
        <v>4.2023999999999999</v>
      </c>
      <c r="G202" s="110">
        <v>196</v>
      </c>
      <c r="H202" s="351">
        <v>748.69</v>
      </c>
      <c r="I202" s="341">
        <v>955.64</v>
      </c>
      <c r="J202" s="341">
        <v>955.64</v>
      </c>
      <c r="K202" s="341">
        <v>1090.56</v>
      </c>
      <c r="L202" s="341">
        <v>1090.56</v>
      </c>
      <c r="M202" s="341">
        <v>1090.56</v>
      </c>
      <c r="N202" s="341">
        <v>1226.5899999999999</v>
      </c>
      <c r="O202" s="341">
        <v>1226.5899999999999</v>
      </c>
      <c r="P202" s="341">
        <v>1226.5899999999999</v>
      </c>
      <c r="Q202" s="341">
        <v>1226.5899999999999</v>
      </c>
      <c r="R202" s="341">
        <v>1226.5899999999999</v>
      </c>
      <c r="S202" s="2">
        <v>0</v>
      </c>
    </row>
    <row r="203" spans="5:19" ht="18" thickTop="1" thickBot="1">
      <c r="E203" s="110">
        <v>197</v>
      </c>
      <c r="F203" s="352">
        <v>5.2023999999999999</v>
      </c>
      <c r="G203" s="110">
        <v>197</v>
      </c>
      <c r="H203" s="351">
        <v>748.69</v>
      </c>
      <c r="I203" s="341">
        <v>955.64</v>
      </c>
      <c r="J203" s="341">
        <v>955.64</v>
      </c>
      <c r="K203" s="341">
        <v>1090.56</v>
      </c>
      <c r="L203" s="341">
        <v>1090.56</v>
      </c>
      <c r="M203" s="341">
        <v>1090.56</v>
      </c>
      <c r="N203" s="341">
        <v>1226.5899999999999</v>
      </c>
      <c r="O203" s="341">
        <v>1226.5899999999999</v>
      </c>
      <c r="P203" s="341">
        <v>1226.5899999999999</v>
      </c>
      <c r="Q203" s="341">
        <v>1226.5899999999999</v>
      </c>
      <c r="R203" s="341">
        <v>1226.5899999999999</v>
      </c>
      <c r="S203" s="2">
        <v>0</v>
      </c>
    </row>
    <row r="204" spans="5:19" ht="18" thickTop="1" thickBot="1">
      <c r="E204" s="110">
        <v>198</v>
      </c>
      <c r="F204" s="352">
        <v>6.2023999999999999</v>
      </c>
      <c r="G204" s="110">
        <v>198</v>
      </c>
      <c r="H204" s="351">
        <v>748.69</v>
      </c>
      <c r="I204" s="341">
        <v>955.64</v>
      </c>
      <c r="J204" s="341">
        <v>955.64</v>
      </c>
      <c r="K204" s="341">
        <v>1090.56</v>
      </c>
      <c r="L204" s="341">
        <v>1090.56</v>
      </c>
      <c r="M204" s="341">
        <v>1090.56</v>
      </c>
      <c r="N204" s="341">
        <v>1226.5899999999999</v>
      </c>
      <c r="O204" s="341">
        <v>1226.5899999999999</v>
      </c>
      <c r="P204" s="341">
        <v>1226.5899999999999</v>
      </c>
      <c r="Q204" s="341">
        <v>1226.5899999999999</v>
      </c>
      <c r="R204" s="341">
        <v>1226.5899999999999</v>
      </c>
      <c r="S204" s="2">
        <v>0</v>
      </c>
    </row>
    <row r="205" spans="5:19" ht="18" thickTop="1" thickBot="1">
      <c r="E205" s="110">
        <v>199</v>
      </c>
      <c r="F205" s="352">
        <v>7.2023999999999999</v>
      </c>
      <c r="G205" s="110">
        <v>199</v>
      </c>
      <c r="H205" s="351">
        <v>748.69</v>
      </c>
      <c r="I205" s="341">
        <v>955.64</v>
      </c>
      <c r="J205" s="341">
        <v>955.64</v>
      </c>
      <c r="K205" s="341">
        <v>1090.56</v>
      </c>
      <c r="L205" s="341">
        <v>1090.56</v>
      </c>
      <c r="M205" s="341">
        <v>1090.56</v>
      </c>
      <c r="N205" s="341">
        <v>1226.5899999999999</v>
      </c>
      <c r="O205" s="341">
        <v>1226.5899999999999</v>
      </c>
      <c r="P205" s="341">
        <v>1226.5899999999999</v>
      </c>
      <c r="Q205" s="341">
        <v>1226.5899999999999</v>
      </c>
      <c r="R205" s="341">
        <v>1226.5899999999999</v>
      </c>
      <c r="S205" s="2">
        <v>0</v>
      </c>
    </row>
    <row r="206" spans="5:19" ht="18" thickTop="1" thickBot="1">
      <c r="E206" s="110">
        <v>200</v>
      </c>
      <c r="F206" s="352">
        <v>8.2024000000000008</v>
      </c>
      <c r="G206" s="110">
        <v>200</v>
      </c>
      <c r="H206" s="351">
        <v>748.69</v>
      </c>
      <c r="I206" s="341">
        <v>955.64</v>
      </c>
      <c r="J206" s="341">
        <v>955.64</v>
      </c>
      <c r="K206" s="341">
        <v>1090.56</v>
      </c>
      <c r="L206" s="341">
        <v>1090.56</v>
      </c>
      <c r="M206" s="341">
        <v>1090.56</v>
      </c>
      <c r="N206" s="341">
        <v>1226.5899999999999</v>
      </c>
      <c r="O206" s="341">
        <v>1226.5899999999999</v>
      </c>
      <c r="P206" s="341">
        <v>1226.5899999999999</v>
      </c>
      <c r="Q206" s="341">
        <v>1226.5899999999999</v>
      </c>
      <c r="R206" s="341">
        <v>1226.5899999999999</v>
      </c>
      <c r="S206" s="2">
        <v>0</v>
      </c>
    </row>
    <row r="207" spans="5:19" ht="18" thickTop="1" thickBot="1">
      <c r="E207" s="110">
        <v>201</v>
      </c>
      <c r="F207" s="352">
        <v>9.2024000000000008</v>
      </c>
      <c r="G207" s="110">
        <v>201</v>
      </c>
      <c r="H207" s="351">
        <v>748.69</v>
      </c>
      <c r="I207" s="341">
        <v>955.64</v>
      </c>
      <c r="J207" s="341">
        <v>955.64</v>
      </c>
      <c r="K207" s="341">
        <v>1090.56</v>
      </c>
      <c r="L207" s="341">
        <v>1090.56</v>
      </c>
      <c r="M207" s="341">
        <v>1090.56</v>
      </c>
      <c r="N207" s="341">
        <v>1226.5899999999999</v>
      </c>
      <c r="O207" s="341">
        <v>1226.5899999999999</v>
      </c>
      <c r="P207" s="341">
        <v>1226.5899999999999</v>
      </c>
      <c r="Q207" s="341">
        <v>1226.5899999999999</v>
      </c>
      <c r="R207" s="341">
        <v>1226.5899999999999</v>
      </c>
      <c r="S207" s="2">
        <v>0</v>
      </c>
    </row>
    <row r="208" spans="5:19" ht="18" thickTop="1" thickBot="1">
      <c r="E208" s="110">
        <v>202</v>
      </c>
      <c r="F208" s="352">
        <v>10.202400000000001</v>
      </c>
      <c r="G208" s="110">
        <v>202</v>
      </c>
      <c r="H208" s="351">
        <v>748.69</v>
      </c>
      <c r="I208" s="341">
        <v>955.64</v>
      </c>
      <c r="J208" s="341">
        <v>955.64</v>
      </c>
      <c r="K208" s="341">
        <v>1090.56</v>
      </c>
      <c r="L208" s="341">
        <v>1090.56</v>
      </c>
      <c r="M208" s="341">
        <v>1090.56</v>
      </c>
      <c r="N208" s="341">
        <v>1226.5899999999999</v>
      </c>
      <c r="O208" s="341">
        <v>1226.5899999999999</v>
      </c>
      <c r="P208" s="341">
        <v>1226.5899999999999</v>
      </c>
      <c r="Q208" s="341">
        <v>1226.5899999999999</v>
      </c>
      <c r="R208" s="341">
        <v>1226.5899999999999</v>
      </c>
      <c r="S208" s="2">
        <v>0</v>
      </c>
    </row>
    <row r="209" spans="5:19" ht="18" thickTop="1" thickBot="1">
      <c r="E209" s="110">
        <v>203</v>
      </c>
      <c r="F209" s="352">
        <v>11.202400000000001</v>
      </c>
      <c r="G209" s="110">
        <v>203</v>
      </c>
      <c r="H209" s="351">
        <v>748.69</v>
      </c>
      <c r="I209" s="341">
        <v>955.64</v>
      </c>
      <c r="J209" s="341">
        <v>955.64</v>
      </c>
      <c r="K209" s="341">
        <v>1090.56</v>
      </c>
      <c r="L209" s="341">
        <v>1090.56</v>
      </c>
      <c r="M209" s="341">
        <v>1090.56</v>
      </c>
      <c r="N209" s="341">
        <v>1226.5899999999999</v>
      </c>
      <c r="O209" s="341">
        <v>1226.5899999999999</v>
      </c>
      <c r="P209" s="341">
        <v>1226.5899999999999</v>
      </c>
      <c r="Q209" s="341">
        <v>1226.5899999999999</v>
      </c>
      <c r="R209" s="341">
        <v>1226.5899999999999</v>
      </c>
      <c r="S209" s="2">
        <v>0</v>
      </c>
    </row>
    <row r="210" spans="5:19" ht="18" thickTop="1" thickBot="1">
      <c r="E210" s="110">
        <v>204</v>
      </c>
      <c r="F210" s="352">
        <v>12.202400000000001</v>
      </c>
      <c r="G210" s="110">
        <v>204</v>
      </c>
      <c r="H210" s="351">
        <v>748.69</v>
      </c>
      <c r="I210" s="341">
        <v>955.64</v>
      </c>
      <c r="J210" s="341">
        <v>955.64</v>
      </c>
      <c r="K210" s="341">
        <v>1090.56</v>
      </c>
      <c r="L210" s="341">
        <v>1090.56</v>
      </c>
      <c r="M210" s="341">
        <v>1090.56</v>
      </c>
      <c r="N210" s="341">
        <v>1226.5899999999999</v>
      </c>
      <c r="O210" s="341">
        <v>1226.5899999999999</v>
      </c>
      <c r="P210" s="341">
        <v>1226.5899999999999</v>
      </c>
      <c r="Q210" s="341">
        <v>1226.5899999999999</v>
      </c>
      <c r="R210" s="341">
        <v>1226.5899999999999</v>
      </c>
      <c r="S210" s="2">
        <v>0</v>
      </c>
    </row>
    <row r="211" spans="5:19" ht="18" thickTop="1" thickBot="1">
      <c r="E211" s="110">
        <v>205</v>
      </c>
      <c r="F211" s="352">
        <v>1.2024999999999999</v>
      </c>
      <c r="G211" s="110">
        <v>205</v>
      </c>
      <c r="H211" s="351">
        <v>772.93</v>
      </c>
      <c r="I211" s="341">
        <v>986.58</v>
      </c>
      <c r="J211" s="341">
        <v>986.58</v>
      </c>
      <c r="K211" s="341">
        <v>1125.8699999999999</v>
      </c>
      <c r="L211" s="341">
        <v>1125.8699999999999</v>
      </c>
      <c r="M211" s="341">
        <v>1125.8699999999999</v>
      </c>
      <c r="N211" s="341">
        <v>1266.31</v>
      </c>
      <c r="O211" s="341">
        <v>1266.31</v>
      </c>
      <c r="P211" s="341">
        <v>1266.31</v>
      </c>
      <c r="Q211" s="341">
        <v>1266.31</v>
      </c>
      <c r="R211" s="341">
        <v>1266.31</v>
      </c>
      <c r="S211" s="2">
        <v>0</v>
      </c>
    </row>
    <row r="212" spans="5:19" ht="18" thickTop="1" thickBot="1">
      <c r="E212" s="110">
        <v>206</v>
      </c>
      <c r="F212" s="352">
        <v>2.2025000000000001</v>
      </c>
      <c r="G212" s="110">
        <v>206</v>
      </c>
      <c r="H212" s="351">
        <v>772.93</v>
      </c>
      <c r="I212" s="341">
        <v>986.58</v>
      </c>
      <c r="J212" s="341">
        <v>986.58</v>
      </c>
      <c r="K212" s="341">
        <v>1125.8699999999999</v>
      </c>
      <c r="L212" s="341">
        <v>1125.8699999999999</v>
      </c>
      <c r="M212" s="341">
        <v>1125.8699999999999</v>
      </c>
      <c r="N212" s="341">
        <v>1266.31</v>
      </c>
      <c r="O212" s="341">
        <v>1266.31</v>
      </c>
      <c r="P212" s="341">
        <v>1266.31</v>
      </c>
      <c r="Q212" s="341">
        <v>1266.31</v>
      </c>
      <c r="R212" s="341">
        <v>1266.31</v>
      </c>
      <c r="S212" s="2">
        <v>0</v>
      </c>
    </row>
    <row r="213" spans="5:19" ht="18" thickTop="1" thickBot="1">
      <c r="E213" s="110">
        <v>207</v>
      </c>
      <c r="F213" s="352">
        <v>3.2025000000000001</v>
      </c>
      <c r="G213" s="110">
        <v>207</v>
      </c>
      <c r="H213" s="351">
        <v>772.93</v>
      </c>
      <c r="I213" s="341">
        <v>986.58</v>
      </c>
      <c r="J213" s="341">
        <v>986.58</v>
      </c>
      <c r="K213" s="341">
        <v>1125.8699999999999</v>
      </c>
      <c r="L213" s="341">
        <v>1125.8699999999999</v>
      </c>
      <c r="M213" s="341">
        <v>1125.8699999999999</v>
      </c>
      <c r="N213" s="341">
        <v>1266.31</v>
      </c>
      <c r="O213" s="341">
        <v>1266.31</v>
      </c>
      <c r="P213" s="341">
        <v>1266.31</v>
      </c>
      <c r="Q213" s="341">
        <v>1266.31</v>
      </c>
      <c r="R213" s="341">
        <v>1266.31</v>
      </c>
      <c r="S213" s="2">
        <v>0</v>
      </c>
    </row>
    <row r="214" spans="5:19" ht="18" thickTop="1" thickBot="1">
      <c r="E214" s="110">
        <v>208</v>
      </c>
      <c r="F214" s="352">
        <v>4.2024999999999997</v>
      </c>
      <c r="G214" s="110">
        <v>208</v>
      </c>
      <c r="H214" s="351">
        <v>772.93</v>
      </c>
      <c r="I214" s="341">
        <v>986.58</v>
      </c>
      <c r="J214" s="341">
        <v>986.58</v>
      </c>
      <c r="K214" s="341">
        <v>1125.8699999999999</v>
      </c>
      <c r="L214" s="341">
        <v>1125.8699999999999</v>
      </c>
      <c r="M214" s="341">
        <v>1125.8699999999999</v>
      </c>
      <c r="N214" s="341">
        <v>1266.31</v>
      </c>
      <c r="O214" s="341">
        <v>1266.31</v>
      </c>
      <c r="P214" s="341">
        <v>1266.31</v>
      </c>
      <c r="Q214" s="341">
        <v>1266.31</v>
      </c>
      <c r="R214" s="341">
        <v>1266.31</v>
      </c>
      <c r="S214" s="2">
        <v>0</v>
      </c>
    </row>
    <row r="215" spans="5:19" ht="18" thickTop="1" thickBot="1">
      <c r="E215" s="110">
        <v>209</v>
      </c>
      <c r="F215" s="352">
        <v>5.2024999999999997</v>
      </c>
      <c r="G215" s="110">
        <v>209</v>
      </c>
      <c r="H215" s="351">
        <v>772.93</v>
      </c>
      <c r="I215" s="341">
        <v>986.58</v>
      </c>
      <c r="J215" s="341">
        <v>986.58</v>
      </c>
      <c r="K215" s="341">
        <v>1125.8699999999999</v>
      </c>
      <c r="L215" s="341">
        <v>1125.8699999999999</v>
      </c>
      <c r="M215" s="341">
        <v>1125.8699999999999</v>
      </c>
      <c r="N215" s="341">
        <v>1266.31</v>
      </c>
      <c r="O215" s="341">
        <v>1266.31</v>
      </c>
      <c r="P215" s="341">
        <v>1266.31</v>
      </c>
      <c r="Q215" s="341">
        <v>1266.31</v>
      </c>
      <c r="R215" s="341">
        <v>1266.31</v>
      </c>
      <c r="S215" s="2">
        <v>0</v>
      </c>
    </row>
    <row r="216" spans="5:19" ht="18" thickTop="1" thickBot="1">
      <c r="E216" s="110">
        <v>210</v>
      </c>
      <c r="F216" s="352">
        <v>6.2024999999999997</v>
      </c>
      <c r="G216" s="110">
        <v>210</v>
      </c>
      <c r="H216" s="351">
        <v>772.93</v>
      </c>
      <c r="I216" s="341">
        <v>986.58</v>
      </c>
      <c r="J216" s="341">
        <v>986.58</v>
      </c>
      <c r="K216" s="341">
        <v>1125.8699999999999</v>
      </c>
      <c r="L216" s="341">
        <v>1125.8699999999999</v>
      </c>
      <c r="M216" s="341">
        <v>1125.8699999999999</v>
      </c>
      <c r="N216" s="341">
        <v>1266.31</v>
      </c>
      <c r="O216" s="341">
        <v>1266.31</v>
      </c>
      <c r="P216" s="341">
        <v>1266.31</v>
      </c>
      <c r="Q216" s="341">
        <v>1266.31</v>
      </c>
      <c r="R216" s="341">
        <v>1266.31</v>
      </c>
      <c r="S216" s="2">
        <v>0</v>
      </c>
    </row>
    <row r="217" spans="5:19" ht="18" thickTop="1" thickBot="1">
      <c r="E217" s="110">
        <v>211</v>
      </c>
      <c r="F217" s="352">
        <v>7.2024999999999997</v>
      </c>
      <c r="G217" s="110">
        <v>211</v>
      </c>
      <c r="H217" s="351">
        <v>772.93</v>
      </c>
      <c r="I217" s="341">
        <v>986.58</v>
      </c>
      <c r="J217" s="341">
        <v>986.58</v>
      </c>
      <c r="K217" s="341">
        <v>1125.8699999999999</v>
      </c>
      <c r="L217" s="341">
        <v>1125.8699999999999</v>
      </c>
      <c r="M217" s="341">
        <v>1125.8699999999999</v>
      </c>
      <c r="N217" s="341">
        <v>1266.31</v>
      </c>
      <c r="O217" s="341">
        <v>1266.31</v>
      </c>
      <c r="P217" s="341">
        <v>1266.31</v>
      </c>
      <c r="Q217" s="341">
        <v>1266.31</v>
      </c>
      <c r="R217" s="341">
        <v>1266.31</v>
      </c>
      <c r="S217" s="2">
        <v>0</v>
      </c>
    </row>
    <row r="218" spans="5:19" ht="18" thickTop="1" thickBot="1">
      <c r="E218" s="110">
        <v>212</v>
      </c>
      <c r="F218" s="352">
        <v>8.2025000000000006</v>
      </c>
      <c r="G218" s="110">
        <v>212</v>
      </c>
      <c r="H218" s="351">
        <v>772.93</v>
      </c>
      <c r="I218" s="341">
        <v>986.58</v>
      </c>
      <c r="J218" s="341">
        <v>986.58</v>
      </c>
      <c r="K218" s="341">
        <v>1125.8699999999999</v>
      </c>
      <c r="L218" s="341">
        <v>1125.8699999999999</v>
      </c>
      <c r="M218" s="341">
        <v>1125.8699999999999</v>
      </c>
      <c r="N218" s="341">
        <v>1266.31</v>
      </c>
      <c r="O218" s="341">
        <v>1266.31</v>
      </c>
      <c r="P218" s="341">
        <v>1266.31</v>
      </c>
      <c r="Q218" s="341">
        <v>1266.31</v>
      </c>
      <c r="R218" s="341">
        <v>1266.31</v>
      </c>
      <c r="S218" s="2">
        <v>0</v>
      </c>
    </row>
    <row r="219" spans="5:19" ht="18" thickTop="1" thickBot="1">
      <c r="E219" s="110">
        <v>213</v>
      </c>
      <c r="F219" s="352">
        <v>9.2025000000000006</v>
      </c>
      <c r="G219" s="110">
        <v>213</v>
      </c>
      <c r="H219" s="351">
        <v>772.93</v>
      </c>
      <c r="I219" s="341">
        <v>986.58</v>
      </c>
      <c r="J219" s="341">
        <v>986.58</v>
      </c>
      <c r="K219" s="341">
        <v>1125.8699999999999</v>
      </c>
      <c r="L219" s="341">
        <v>1125.8699999999999</v>
      </c>
      <c r="M219" s="341">
        <v>1125.8699999999999</v>
      </c>
      <c r="N219" s="341">
        <v>1266.31</v>
      </c>
      <c r="O219" s="341">
        <v>1266.31</v>
      </c>
      <c r="P219" s="341">
        <v>1266.31</v>
      </c>
      <c r="Q219" s="341">
        <v>1266.31</v>
      </c>
      <c r="R219" s="341">
        <v>1266.31</v>
      </c>
      <c r="S219" s="2">
        <v>0</v>
      </c>
    </row>
    <row r="220" spans="5:19" ht="18" thickTop="1" thickBot="1">
      <c r="E220" s="110">
        <v>214</v>
      </c>
      <c r="F220" s="352">
        <v>10.202500000000001</v>
      </c>
      <c r="G220" s="110">
        <v>214</v>
      </c>
      <c r="H220" s="351">
        <v>772.93</v>
      </c>
      <c r="I220" s="341">
        <v>986.58</v>
      </c>
      <c r="J220" s="341">
        <v>986.58</v>
      </c>
      <c r="K220" s="341">
        <v>1125.8699999999999</v>
      </c>
      <c r="L220" s="341">
        <v>1125.8699999999999</v>
      </c>
      <c r="M220" s="341">
        <v>1125.8699999999999</v>
      </c>
      <c r="N220" s="341">
        <v>1266.31</v>
      </c>
      <c r="O220" s="341">
        <v>1266.31</v>
      </c>
      <c r="P220" s="341">
        <v>1266.31</v>
      </c>
      <c r="Q220" s="341">
        <v>1266.31</v>
      </c>
      <c r="R220" s="341">
        <v>1266.31</v>
      </c>
      <c r="S220" s="2">
        <v>0</v>
      </c>
    </row>
    <row r="221" spans="5:19" ht="18" thickTop="1" thickBot="1">
      <c r="E221" s="110">
        <v>215</v>
      </c>
      <c r="F221" s="352">
        <v>11.202500000000001</v>
      </c>
      <c r="G221" s="110">
        <v>215</v>
      </c>
      <c r="H221" s="351">
        <v>772.93</v>
      </c>
      <c r="I221" s="341">
        <v>986.58</v>
      </c>
      <c r="J221" s="341">
        <v>986.58</v>
      </c>
      <c r="K221" s="341">
        <v>1125.8699999999999</v>
      </c>
      <c r="L221" s="341">
        <v>1125.8699999999999</v>
      </c>
      <c r="M221" s="341">
        <v>1125.8699999999999</v>
      </c>
      <c r="N221" s="341">
        <v>1266.31</v>
      </c>
      <c r="O221" s="341">
        <v>1266.31</v>
      </c>
      <c r="P221" s="341">
        <v>1266.31</v>
      </c>
      <c r="Q221" s="341">
        <v>1266.31</v>
      </c>
      <c r="R221" s="341">
        <v>1266.31</v>
      </c>
      <c r="S221" s="2">
        <v>0</v>
      </c>
    </row>
    <row r="222" spans="5:19" ht="18" thickTop="1" thickBot="1">
      <c r="E222" s="110">
        <v>216</v>
      </c>
      <c r="F222" s="352">
        <v>12.202500000000001</v>
      </c>
      <c r="G222" s="110">
        <v>216</v>
      </c>
      <c r="H222" s="351">
        <v>772.93</v>
      </c>
      <c r="I222" s="341">
        <v>986.58</v>
      </c>
      <c r="J222" s="341">
        <v>986.58</v>
      </c>
      <c r="K222" s="341">
        <v>1125.8699999999999</v>
      </c>
      <c r="L222" s="341">
        <v>1125.8699999999999</v>
      </c>
      <c r="M222" s="341">
        <v>1125.8699999999999</v>
      </c>
      <c r="N222" s="341">
        <v>1266.31</v>
      </c>
      <c r="O222" s="341">
        <v>1266.31</v>
      </c>
      <c r="P222" s="341">
        <v>1266.31</v>
      </c>
      <c r="Q222" s="341">
        <v>1266.31</v>
      </c>
      <c r="R222" s="341">
        <v>1266.31</v>
      </c>
      <c r="S222" s="2">
        <v>0</v>
      </c>
    </row>
    <row r="223" spans="5:19" ht="15.6" thickTop="1" thickBot="1">
      <c r="E223" s="110">
        <v>217</v>
      </c>
      <c r="F223" s="352">
        <v>1.2025999999999999</v>
      </c>
      <c r="G223" s="110">
        <v>217</v>
      </c>
      <c r="S223" s="2">
        <v>0</v>
      </c>
    </row>
    <row r="224" spans="5:19" ht="15.6" thickTop="1" thickBot="1">
      <c r="E224" s="110">
        <v>218</v>
      </c>
      <c r="F224" s="352">
        <v>2.2025999999999999</v>
      </c>
      <c r="G224" s="110">
        <v>218</v>
      </c>
      <c r="S224" s="2">
        <v>0</v>
      </c>
    </row>
    <row r="225" spans="5:19" ht="15.6" thickTop="1" thickBot="1">
      <c r="E225" s="110">
        <v>219</v>
      </c>
      <c r="F225" s="352">
        <v>3.2025999999999999</v>
      </c>
      <c r="G225" s="110">
        <v>219</v>
      </c>
      <c r="S225" s="2">
        <v>0</v>
      </c>
    </row>
    <row r="226" spans="5:19" ht="15.6" thickTop="1" thickBot="1">
      <c r="E226" s="110">
        <v>220</v>
      </c>
      <c r="F226" s="352">
        <v>4.2026000000000003</v>
      </c>
      <c r="G226" s="110">
        <v>220</v>
      </c>
      <c r="S226" s="2">
        <v>0</v>
      </c>
    </row>
    <row r="227" spans="5:19" ht="15.6" thickTop="1" thickBot="1">
      <c r="E227" s="110">
        <v>221</v>
      </c>
      <c r="F227" s="352">
        <v>5.2026000000000003</v>
      </c>
      <c r="G227" s="110">
        <v>221</v>
      </c>
      <c r="S227" s="2">
        <v>0</v>
      </c>
    </row>
    <row r="228" spans="5:19" ht="15.6" thickTop="1" thickBot="1">
      <c r="E228" s="110">
        <v>222</v>
      </c>
      <c r="F228" s="352">
        <v>6.2026000000000003</v>
      </c>
      <c r="G228" s="110">
        <v>222</v>
      </c>
      <c r="S228" s="2">
        <v>0</v>
      </c>
    </row>
    <row r="229" spans="5:19" ht="15.6" thickTop="1" thickBot="1">
      <c r="E229" s="110">
        <v>223</v>
      </c>
      <c r="F229" s="352">
        <v>7.2026000000000003</v>
      </c>
      <c r="G229" s="110">
        <v>223</v>
      </c>
      <c r="S229" s="2">
        <v>0</v>
      </c>
    </row>
    <row r="230" spans="5:19" ht="15.6" thickTop="1" thickBot="1">
      <c r="E230" s="110">
        <v>224</v>
      </c>
      <c r="F230" s="352">
        <v>8.2026000000000003</v>
      </c>
      <c r="G230" s="110">
        <v>224</v>
      </c>
      <c r="S230" s="2">
        <v>0</v>
      </c>
    </row>
    <row r="231" spans="5:19" ht="15.6" thickTop="1" thickBot="1">
      <c r="E231" s="110">
        <v>225</v>
      </c>
      <c r="F231" s="352">
        <v>9.2026000000000003</v>
      </c>
      <c r="G231" s="110">
        <v>225</v>
      </c>
      <c r="S231" s="2">
        <v>0</v>
      </c>
    </row>
    <row r="232" spans="5:19" ht="15.6" thickTop="1" thickBot="1">
      <c r="E232" s="110">
        <v>226</v>
      </c>
      <c r="F232" s="352">
        <v>10.2026</v>
      </c>
      <c r="G232" s="110">
        <v>226</v>
      </c>
      <c r="S232" s="2">
        <v>0</v>
      </c>
    </row>
    <row r="233" spans="5:19" ht="15.6" thickTop="1" thickBot="1">
      <c r="E233" s="110">
        <v>227</v>
      </c>
      <c r="F233" s="352">
        <v>11.2026</v>
      </c>
      <c r="G233" s="110">
        <v>227</v>
      </c>
      <c r="S233" s="2">
        <v>0</v>
      </c>
    </row>
    <row r="234" spans="5:19" ht="15.6" thickTop="1" thickBot="1">
      <c r="E234" s="110">
        <v>228</v>
      </c>
      <c r="F234" s="352">
        <v>12.2026</v>
      </c>
      <c r="G234" s="110">
        <v>228</v>
      </c>
      <c r="S234" s="2">
        <v>0</v>
      </c>
    </row>
    <row r="235" spans="5:19" ht="15" thickTop="1">
      <c r="G235" s="1"/>
    </row>
    <row r="236" spans="5:19">
      <c r="G236" s="1"/>
    </row>
    <row r="237" spans="5:19">
      <c r="G237" s="1"/>
    </row>
    <row r="238" spans="5:19">
      <c r="G238" s="1"/>
    </row>
    <row r="239" spans="5:19">
      <c r="G239" s="1"/>
    </row>
    <row r="240" spans="5:19">
      <c r="G240" s="1"/>
    </row>
    <row r="241" spans="7:7">
      <c r="G241" s="1"/>
    </row>
    <row r="242" spans="7:7">
      <c r="G242" s="1"/>
    </row>
    <row r="243" spans="7:7">
      <c r="G243" s="1"/>
    </row>
    <row r="244" spans="7:7">
      <c r="G244" s="1"/>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2B61B-9A32-42CD-ACA1-CE0D844A4E82}">
  <sheetPr codeName="גיליון7"/>
  <dimension ref="A1:H10"/>
  <sheetViews>
    <sheetView rightToLeft="1" workbookViewId="0">
      <selection activeCell="H10" sqref="H10"/>
    </sheetView>
  </sheetViews>
  <sheetFormatPr defaultRowHeight="14.4"/>
  <cols>
    <col min="1" max="1" width="73.109375" customWidth="1"/>
    <col min="4" max="4" width="17" bestFit="1" customWidth="1"/>
    <col min="6" max="6" width="14" bestFit="1" customWidth="1"/>
    <col min="7" max="7" width="9.77734375" bestFit="1" customWidth="1"/>
  </cols>
  <sheetData>
    <row r="1" spans="1:8" ht="71.400000000000006">
      <c r="A1" s="375" t="s">
        <v>3387</v>
      </c>
      <c r="D1" t="s">
        <v>7</v>
      </c>
      <c r="E1">
        <f>+'Netunei Gimlai'!B4</f>
        <v>9</v>
      </c>
      <c r="F1" t="str">
        <f>VLOOKUP(E1,MISRAD!$A$5:$B$81,2,0)</f>
        <v>הבריאות</v>
      </c>
      <c r="G1">
        <f>VLOOKUP(E1,MISRAD!$A$5:$D$81,4,0)</f>
        <v>107</v>
      </c>
    </row>
    <row r="2" spans="1:8" ht="112.2">
      <c r="A2" s="375" t="s">
        <v>3388</v>
      </c>
    </row>
    <row r="3" spans="1:8">
      <c r="A3" s="380"/>
      <c r="D3" t="s">
        <v>5085</v>
      </c>
      <c r="F3" t="e">
        <f>IF('Netunei Gimlai'!#REF!=TRUE,1,0)</f>
        <v>#REF!</v>
      </c>
      <c r="G3" t="s">
        <v>5225</v>
      </c>
      <c r="H3" s="5" t="e">
        <f>+'Netunei Gimlai'!#REF!</f>
        <v>#REF!</v>
      </c>
    </row>
    <row r="4" spans="1:8">
      <c r="A4" s="380"/>
    </row>
    <row r="5" spans="1:8">
      <c r="D5" s="108" t="s">
        <v>5082</v>
      </c>
      <c r="E5" s="377"/>
    </row>
    <row r="6" spans="1:8">
      <c r="C6">
        <v>11</v>
      </c>
      <c r="D6" t="s">
        <v>5083</v>
      </c>
      <c r="E6">
        <v>109</v>
      </c>
      <c r="F6" s="6">
        <v>7.4999999999999997E-2</v>
      </c>
      <c r="G6">
        <f>IF($G$1=E6,1,0)</f>
        <v>0</v>
      </c>
      <c r="H6" s="84">
        <f>+G6*F6</f>
        <v>0</v>
      </c>
    </row>
    <row r="7" spans="1:8">
      <c r="C7">
        <v>47</v>
      </c>
      <c r="D7" t="s">
        <v>1406</v>
      </c>
      <c r="E7">
        <v>180</v>
      </c>
      <c r="F7" s="6">
        <v>0.15</v>
      </c>
      <c r="G7">
        <f>IF($G$1=E7,1,0)</f>
        <v>0</v>
      </c>
      <c r="H7" s="84">
        <f t="shared" ref="H7:H8" si="0">+G7*F7</f>
        <v>0</v>
      </c>
    </row>
    <row r="8" spans="1:8" ht="15" thickBot="1">
      <c r="C8">
        <v>44</v>
      </c>
      <c r="D8" t="s">
        <v>594</v>
      </c>
      <c r="E8">
        <v>170</v>
      </c>
      <c r="F8" s="6">
        <v>0.08</v>
      </c>
      <c r="G8">
        <f>IF($G$1=E8,1,0)</f>
        <v>0</v>
      </c>
      <c r="H8" s="84">
        <f t="shared" si="0"/>
        <v>0</v>
      </c>
    </row>
    <row r="9" spans="1:8" ht="15.6" thickTop="1" thickBot="1">
      <c r="G9" s="378" t="s">
        <v>5084</v>
      </c>
      <c r="H9" s="379" t="e">
        <f>IF(F3=1,IF(H3&gt;0,H3,SUM(H6:H8)),0)</f>
        <v>#REF!</v>
      </c>
    </row>
    <row r="10" spans="1:8" ht="15" thickTop="1"/>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04E5F-8971-407B-A00F-EF194EF05796}">
  <sheetPr codeName="גיליון9"/>
  <dimension ref="A1:F434"/>
  <sheetViews>
    <sheetView rightToLeft="1" workbookViewId="0">
      <selection activeCell="A410" sqref="A1:XFD1048576"/>
    </sheetView>
  </sheetViews>
  <sheetFormatPr defaultRowHeight="14.4"/>
  <cols>
    <col min="4" max="4" width="25" style="1" bestFit="1" customWidth="1"/>
  </cols>
  <sheetData>
    <row r="1" spans="1:6">
      <c r="A1" t="s">
        <v>1437</v>
      </c>
      <c r="B1" t="s">
        <v>1438</v>
      </c>
      <c r="C1" t="s">
        <v>1439</v>
      </c>
      <c r="D1" s="1" t="s">
        <v>1440</v>
      </c>
      <c r="E1" t="s">
        <v>1441</v>
      </c>
      <c r="F1" t="s">
        <v>1442</v>
      </c>
    </row>
    <row r="2" spans="1:6">
      <c r="A2">
        <v>0</v>
      </c>
      <c r="B2" s="120">
        <v>17533</v>
      </c>
      <c r="C2" t="s">
        <v>1443</v>
      </c>
      <c r="D2" s="1" t="s">
        <v>1444</v>
      </c>
      <c r="E2">
        <v>1</v>
      </c>
      <c r="F2">
        <v>309</v>
      </c>
    </row>
    <row r="3" spans="1:6">
      <c r="A3">
        <v>28</v>
      </c>
      <c r="B3" s="120">
        <v>41275</v>
      </c>
      <c r="C3" t="s">
        <v>1443</v>
      </c>
      <c r="D3" s="1" t="s">
        <v>1445</v>
      </c>
      <c r="E3">
        <v>3071</v>
      </c>
      <c r="F3">
        <v>309</v>
      </c>
    </row>
    <row r="4" spans="1:6">
      <c r="A4">
        <v>39</v>
      </c>
      <c r="B4" s="120">
        <v>41275</v>
      </c>
      <c r="C4" t="s">
        <v>1443</v>
      </c>
      <c r="D4" s="1" t="s">
        <v>1446</v>
      </c>
      <c r="E4">
        <v>3072</v>
      </c>
      <c r="F4">
        <v>309</v>
      </c>
    </row>
    <row r="5" spans="1:6">
      <c r="A5">
        <v>304</v>
      </c>
      <c r="B5" s="120">
        <v>18264</v>
      </c>
      <c r="C5" t="s">
        <v>1443</v>
      </c>
      <c r="D5" s="1" t="s">
        <v>1447</v>
      </c>
      <c r="E5">
        <v>2016</v>
      </c>
      <c r="F5">
        <v>309</v>
      </c>
    </row>
    <row r="6" spans="1:6">
      <c r="A6">
        <v>305</v>
      </c>
      <c r="B6" s="120">
        <v>17533</v>
      </c>
      <c r="C6" t="s">
        <v>1443</v>
      </c>
      <c r="D6" s="1" t="s">
        <v>1448</v>
      </c>
      <c r="E6">
        <v>4</v>
      </c>
      <c r="F6">
        <v>309</v>
      </c>
    </row>
    <row r="7" spans="1:6">
      <c r="A7">
        <v>306</v>
      </c>
      <c r="B7" s="120">
        <v>18264</v>
      </c>
      <c r="C7" t="s">
        <v>1443</v>
      </c>
      <c r="D7" s="1" t="s">
        <v>1447</v>
      </c>
      <c r="E7">
        <v>2017</v>
      </c>
      <c r="F7">
        <v>309</v>
      </c>
    </row>
    <row r="8" spans="1:6">
      <c r="A8">
        <v>507</v>
      </c>
      <c r="B8" s="120">
        <v>17533</v>
      </c>
      <c r="C8" t="s">
        <v>1443</v>
      </c>
      <c r="D8" s="1" t="s">
        <v>1271</v>
      </c>
      <c r="E8">
        <v>2030</v>
      </c>
      <c r="F8">
        <v>309</v>
      </c>
    </row>
    <row r="9" spans="1:6">
      <c r="A9">
        <v>508</v>
      </c>
      <c r="B9" s="120">
        <v>17533</v>
      </c>
      <c r="C9" t="s">
        <v>1443</v>
      </c>
      <c r="D9" s="1" t="s">
        <v>1449</v>
      </c>
      <c r="E9">
        <v>2076</v>
      </c>
      <c r="F9">
        <v>309</v>
      </c>
    </row>
    <row r="10" spans="1:6">
      <c r="A10">
        <v>509</v>
      </c>
      <c r="B10" s="120">
        <v>17533</v>
      </c>
      <c r="C10" t="s">
        <v>1443</v>
      </c>
      <c r="D10" s="1" t="s">
        <v>1450</v>
      </c>
      <c r="E10">
        <v>5</v>
      </c>
      <c r="F10">
        <v>309</v>
      </c>
    </row>
    <row r="11" spans="1:6">
      <c r="A11">
        <v>510</v>
      </c>
      <c r="B11" s="120">
        <v>17533</v>
      </c>
      <c r="C11" t="s">
        <v>1443</v>
      </c>
      <c r="D11" s="1" t="s">
        <v>1451</v>
      </c>
      <c r="E11">
        <v>2077</v>
      </c>
      <c r="F11">
        <v>309</v>
      </c>
    </row>
    <row r="12" spans="1:6">
      <c r="A12">
        <v>512</v>
      </c>
      <c r="B12" s="120">
        <v>17533</v>
      </c>
      <c r="C12" t="s">
        <v>1443</v>
      </c>
      <c r="D12" s="1" t="s">
        <v>1272</v>
      </c>
      <c r="E12">
        <v>6</v>
      </c>
      <c r="F12">
        <v>309</v>
      </c>
    </row>
    <row r="13" spans="1:6">
      <c r="A13">
        <v>514</v>
      </c>
      <c r="B13" s="120">
        <v>17533</v>
      </c>
      <c r="C13" t="s">
        <v>1443</v>
      </c>
      <c r="D13" s="1" t="s">
        <v>1452</v>
      </c>
      <c r="E13">
        <v>7</v>
      </c>
      <c r="F13">
        <v>309</v>
      </c>
    </row>
    <row r="14" spans="1:6">
      <c r="A14">
        <v>516</v>
      </c>
      <c r="B14" s="120">
        <v>17533</v>
      </c>
      <c r="C14" t="s">
        <v>1443</v>
      </c>
      <c r="D14" s="1" t="s">
        <v>1273</v>
      </c>
      <c r="E14">
        <v>8</v>
      </c>
      <c r="F14">
        <v>309</v>
      </c>
    </row>
    <row r="15" spans="1:6">
      <c r="A15">
        <v>520</v>
      </c>
      <c r="B15" s="120">
        <v>17533</v>
      </c>
      <c r="C15" t="s">
        <v>1443</v>
      </c>
      <c r="D15" s="1" t="s">
        <v>1274</v>
      </c>
      <c r="E15">
        <v>9</v>
      </c>
      <c r="F15">
        <v>309</v>
      </c>
    </row>
    <row r="16" spans="1:6">
      <c r="A16">
        <v>522</v>
      </c>
      <c r="B16" s="120">
        <v>17533</v>
      </c>
      <c r="C16" t="s">
        <v>1443</v>
      </c>
      <c r="D16" s="1" t="s">
        <v>1275</v>
      </c>
      <c r="E16">
        <v>10</v>
      </c>
      <c r="F16">
        <v>309</v>
      </c>
    </row>
    <row r="17" spans="1:6">
      <c r="A17">
        <v>524</v>
      </c>
      <c r="B17" s="120">
        <v>17533</v>
      </c>
      <c r="C17" t="s">
        <v>1443</v>
      </c>
      <c r="D17" s="1" t="s">
        <v>1276</v>
      </c>
      <c r="E17">
        <v>11</v>
      </c>
      <c r="F17">
        <v>309</v>
      </c>
    </row>
    <row r="18" spans="1:6">
      <c r="A18">
        <v>527</v>
      </c>
      <c r="B18" s="120">
        <v>17533</v>
      </c>
      <c r="C18" t="s">
        <v>1443</v>
      </c>
      <c r="D18" s="1" t="s">
        <v>1453</v>
      </c>
      <c r="E18">
        <v>12</v>
      </c>
      <c r="F18">
        <v>309</v>
      </c>
    </row>
    <row r="19" spans="1:6">
      <c r="A19">
        <v>528</v>
      </c>
      <c r="B19" s="120">
        <v>17533</v>
      </c>
      <c r="C19" t="s">
        <v>1443</v>
      </c>
      <c r="D19" s="1" t="s">
        <v>1277</v>
      </c>
      <c r="E19">
        <v>13</v>
      </c>
      <c r="F19">
        <v>309</v>
      </c>
    </row>
    <row r="20" spans="1:6">
      <c r="A20">
        <v>529</v>
      </c>
      <c r="B20" s="120">
        <v>17533</v>
      </c>
      <c r="C20" t="s">
        <v>1443</v>
      </c>
      <c r="D20" s="1" t="s">
        <v>1454</v>
      </c>
      <c r="E20">
        <v>14</v>
      </c>
      <c r="F20">
        <v>309</v>
      </c>
    </row>
    <row r="21" spans="1:6">
      <c r="A21">
        <v>533</v>
      </c>
      <c r="B21" s="120">
        <v>17533</v>
      </c>
      <c r="C21" t="s">
        <v>1443</v>
      </c>
      <c r="D21" s="1" t="s">
        <v>1455</v>
      </c>
      <c r="E21">
        <v>15</v>
      </c>
      <c r="F21">
        <v>309</v>
      </c>
    </row>
    <row r="22" spans="1:6">
      <c r="A22">
        <v>534</v>
      </c>
      <c r="B22" s="120">
        <v>17533</v>
      </c>
      <c r="C22" t="s">
        <v>1443</v>
      </c>
      <c r="D22" s="1" t="s">
        <v>1456</v>
      </c>
      <c r="E22">
        <v>16</v>
      </c>
      <c r="F22">
        <v>309</v>
      </c>
    </row>
    <row r="23" spans="1:6">
      <c r="A23">
        <v>535</v>
      </c>
      <c r="B23" s="120">
        <v>17533</v>
      </c>
      <c r="C23" t="s">
        <v>1443</v>
      </c>
      <c r="D23" s="1" t="s">
        <v>1457</v>
      </c>
      <c r="E23">
        <v>2031</v>
      </c>
      <c r="F23">
        <v>309</v>
      </c>
    </row>
    <row r="24" spans="1:6">
      <c r="A24">
        <v>537</v>
      </c>
      <c r="B24" s="120">
        <v>17533</v>
      </c>
      <c r="C24" t="s">
        <v>1443</v>
      </c>
      <c r="D24" s="1" t="s">
        <v>1458</v>
      </c>
      <c r="E24">
        <v>17</v>
      </c>
      <c r="F24">
        <v>309</v>
      </c>
    </row>
    <row r="25" spans="1:6">
      <c r="A25">
        <v>539</v>
      </c>
      <c r="B25" s="120">
        <v>17533</v>
      </c>
      <c r="C25" t="s">
        <v>1443</v>
      </c>
      <c r="D25" s="1" t="s">
        <v>1459</v>
      </c>
      <c r="E25">
        <v>18</v>
      </c>
      <c r="F25">
        <v>309</v>
      </c>
    </row>
    <row r="26" spans="1:6">
      <c r="A26">
        <v>549</v>
      </c>
      <c r="B26" s="120">
        <v>17533</v>
      </c>
      <c r="C26" t="s">
        <v>1443</v>
      </c>
      <c r="D26" s="1" t="s">
        <v>1460</v>
      </c>
      <c r="E26">
        <v>19</v>
      </c>
      <c r="F26">
        <v>309</v>
      </c>
    </row>
    <row r="27" spans="1:6">
      <c r="A27">
        <v>551</v>
      </c>
      <c r="B27" s="120">
        <v>17533</v>
      </c>
      <c r="C27" t="s">
        <v>1443</v>
      </c>
      <c r="D27" s="1" t="s">
        <v>1461</v>
      </c>
      <c r="E27">
        <v>2032</v>
      </c>
      <c r="F27">
        <v>309</v>
      </c>
    </row>
    <row r="28" spans="1:6">
      <c r="A28">
        <v>559</v>
      </c>
      <c r="B28" s="120">
        <v>17533</v>
      </c>
      <c r="C28" t="s">
        <v>1443</v>
      </c>
      <c r="D28" s="1" t="s">
        <v>1462</v>
      </c>
      <c r="E28">
        <v>20</v>
      </c>
      <c r="F28">
        <v>309</v>
      </c>
    </row>
    <row r="29" spans="1:6">
      <c r="A29">
        <v>567</v>
      </c>
      <c r="B29" s="120">
        <v>18264</v>
      </c>
      <c r="C29" t="s">
        <v>1443</v>
      </c>
      <c r="D29" s="1" t="s">
        <v>1463</v>
      </c>
      <c r="E29">
        <v>1081</v>
      </c>
      <c r="F29">
        <v>309</v>
      </c>
    </row>
    <row r="30" spans="1:6">
      <c r="A30">
        <v>569</v>
      </c>
      <c r="B30" s="120">
        <v>17533</v>
      </c>
      <c r="C30" t="s">
        <v>1443</v>
      </c>
      <c r="D30" s="1" t="s">
        <v>1464</v>
      </c>
      <c r="E30">
        <v>21</v>
      </c>
      <c r="F30">
        <v>309</v>
      </c>
    </row>
    <row r="31" spans="1:6">
      <c r="A31">
        <v>570</v>
      </c>
      <c r="B31" s="120">
        <v>17533</v>
      </c>
      <c r="C31" t="s">
        <v>1443</v>
      </c>
      <c r="D31" s="1" t="s">
        <v>795</v>
      </c>
      <c r="E31">
        <v>22</v>
      </c>
      <c r="F31">
        <v>309</v>
      </c>
    </row>
    <row r="32" spans="1:6">
      <c r="A32">
        <v>571</v>
      </c>
      <c r="B32" s="120">
        <v>17533</v>
      </c>
      <c r="C32" t="s">
        <v>1443</v>
      </c>
      <c r="D32" s="1" t="s">
        <v>1465</v>
      </c>
      <c r="E32">
        <v>23</v>
      </c>
      <c r="F32">
        <v>309</v>
      </c>
    </row>
    <row r="33" spans="1:6">
      <c r="A33">
        <v>576</v>
      </c>
      <c r="B33" s="120">
        <v>17533</v>
      </c>
      <c r="C33" t="s">
        <v>1443</v>
      </c>
      <c r="D33" s="1" t="s">
        <v>1280</v>
      </c>
      <c r="E33">
        <v>24</v>
      </c>
      <c r="F33">
        <v>309</v>
      </c>
    </row>
    <row r="34" spans="1:6">
      <c r="A34">
        <v>578</v>
      </c>
      <c r="B34" s="120">
        <v>17533</v>
      </c>
      <c r="C34" t="s">
        <v>1443</v>
      </c>
      <c r="D34" s="1" t="s">
        <v>797</v>
      </c>
      <c r="E34">
        <v>25</v>
      </c>
      <c r="F34">
        <v>309</v>
      </c>
    </row>
    <row r="35" spans="1:6">
      <c r="A35">
        <v>579</v>
      </c>
      <c r="B35" s="120">
        <v>17533</v>
      </c>
      <c r="C35" t="s">
        <v>1443</v>
      </c>
      <c r="D35" s="1" t="s">
        <v>1466</v>
      </c>
      <c r="E35">
        <v>2033</v>
      </c>
      <c r="F35">
        <v>309</v>
      </c>
    </row>
    <row r="36" spans="1:6">
      <c r="A36">
        <v>585</v>
      </c>
      <c r="B36" s="120">
        <v>17533</v>
      </c>
      <c r="C36" t="s">
        <v>1443</v>
      </c>
      <c r="D36" s="1" t="s">
        <v>799</v>
      </c>
      <c r="E36">
        <v>26</v>
      </c>
      <c r="F36">
        <v>309</v>
      </c>
    </row>
    <row r="37" spans="1:6">
      <c r="A37">
        <v>588</v>
      </c>
      <c r="B37" s="120">
        <v>17533</v>
      </c>
      <c r="C37" t="s">
        <v>1443</v>
      </c>
      <c r="D37" s="1" t="s">
        <v>1467</v>
      </c>
      <c r="E37">
        <v>27</v>
      </c>
      <c r="F37">
        <v>309</v>
      </c>
    </row>
    <row r="38" spans="1:6">
      <c r="A38">
        <v>592</v>
      </c>
      <c r="B38" s="120">
        <v>17533</v>
      </c>
      <c r="C38" t="s">
        <v>1443</v>
      </c>
      <c r="D38" s="1" t="s">
        <v>1468</v>
      </c>
      <c r="E38">
        <v>28</v>
      </c>
      <c r="F38">
        <v>309</v>
      </c>
    </row>
    <row r="39" spans="1:6">
      <c r="A39">
        <v>594</v>
      </c>
      <c r="B39" s="120">
        <v>17533</v>
      </c>
      <c r="C39" t="s">
        <v>1443</v>
      </c>
      <c r="D39" s="1" t="s">
        <v>1469</v>
      </c>
      <c r="E39">
        <v>29</v>
      </c>
      <c r="F39">
        <v>309</v>
      </c>
    </row>
    <row r="40" spans="1:6">
      <c r="A40">
        <v>597</v>
      </c>
      <c r="B40" s="120">
        <v>17533</v>
      </c>
      <c r="C40" t="s">
        <v>1443</v>
      </c>
      <c r="D40" s="1" t="s">
        <v>1281</v>
      </c>
      <c r="E40">
        <v>30</v>
      </c>
      <c r="F40">
        <v>309</v>
      </c>
    </row>
    <row r="41" spans="1:6">
      <c r="A41">
        <v>599</v>
      </c>
      <c r="B41" s="120">
        <v>17533</v>
      </c>
      <c r="C41" t="s">
        <v>1443</v>
      </c>
      <c r="D41" s="1" t="s">
        <v>1470</v>
      </c>
      <c r="E41">
        <v>31</v>
      </c>
      <c r="F41">
        <v>309</v>
      </c>
    </row>
    <row r="42" spans="1:6">
      <c r="A42">
        <v>600</v>
      </c>
      <c r="B42" s="120">
        <v>17533</v>
      </c>
      <c r="C42" t="s">
        <v>1443</v>
      </c>
      <c r="D42" s="1" t="s">
        <v>1404</v>
      </c>
      <c r="E42">
        <v>32</v>
      </c>
      <c r="F42">
        <v>309</v>
      </c>
    </row>
    <row r="43" spans="1:6">
      <c r="A43">
        <v>601</v>
      </c>
      <c r="B43" s="120">
        <v>18264</v>
      </c>
      <c r="C43" t="s">
        <v>1443</v>
      </c>
      <c r="D43" s="1" t="s">
        <v>1283</v>
      </c>
      <c r="E43">
        <v>1082</v>
      </c>
      <c r="F43">
        <v>309</v>
      </c>
    </row>
    <row r="44" spans="1:6">
      <c r="A44">
        <v>603</v>
      </c>
      <c r="B44" s="120">
        <v>17533</v>
      </c>
      <c r="C44" t="s">
        <v>1443</v>
      </c>
      <c r="D44" s="1" t="s">
        <v>1471</v>
      </c>
      <c r="E44">
        <v>33</v>
      </c>
      <c r="F44">
        <v>309</v>
      </c>
    </row>
    <row r="45" spans="1:6">
      <c r="A45">
        <v>606</v>
      </c>
      <c r="B45" s="120">
        <v>17533</v>
      </c>
      <c r="C45" t="s">
        <v>1443</v>
      </c>
      <c r="D45" s="1" t="s">
        <v>1284</v>
      </c>
      <c r="E45">
        <v>34</v>
      </c>
      <c r="F45">
        <v>309</v>
      </c>
    </row>
    <row r="46" spans="1:6">
      <c r="A46">
        <v>607</v>
      </c>
      <c r="B46" s="120">
        <v>17533</v>
      </c>
      <c r="C46" t="s">
        <v>1443</v>
      </c>
      <c r="D46" s="1" t="s">
        <v>1284</v>
      </c>
      <c r="E46">
        <v>35</v>
      </c>
      <c r="F46">
        <v>309</v>
      </c>
    </row>
    <row r="47" spans="1:6">
      <c r="A47">
        <v>608</v>
      </c>
      <c r="B47" s="120">
        <v>17533</v>
      </c>
      <c r="C47" t="s">
        <v>1443</v>
      </c>
      <c r="D47" s="1" t="s">
        <v>1285</v>
      </c>
      <c r="E47">
        <v>36</v>
      </c>
      <c r="F47">
        <v>309</v>
      </c>
    </row>
    <row r="48" spans="1:6">
      <c r="A48">
        <v>609</v>
      </c>
      <c r="B48" s="120">
        <v>43831</v>
      </c>
      <c r="C48" t="s">
        <v>1443</v>
      </c>
      <c r="D48" s="1" t="s">
        <v>1472</v>
      </c>
      <c r="E48">
        <v>4011</v>
      </c>
      <c r="F48">
        <v>0</v>
      </c>
    </row>
    <row r="49" spans="1:6">
      <c r="A49">
        <v>610</v>
      </c>
      <c r="B49" s="120">
        <v>18264</v>
      </c>
      <c r="C49" t="s">
        <v>1443</v>
      </c>
      <c r="D49" s="1" t="s">
        <v>1473</v>
      </c>
      <c r="E49">
        <v>2018</v>
      </c>
      <c r="F49">
        <v>309</v>
      </c>
    </row>
    <row r="50" spans="1:6">
      <c r="A50">
        <v>617</v>
      </c>
      <c r="B50" s="120">
        <v>17533</v>
      </c>
      <c r="C50" t="s">
        <v>1443</v>
      </c>
      <c r="D50" s="1" t="s">
        <v>1300</v>
      </c>
      <c r="E50">
        <v>37</v>
      </c>
      <c r="F50">
        <v>309</v>
      </c>
    </row>
    <row r="51" spans="1:6">
      <c r="A51">
        <v>623</v>
      </c>
      <c r="B51" s="120">
        <v>17533</v>
      </c>
      <c r="C51" t="s">
        <v>1443</v>
      </c>
      <c r="D51" s="1" t="s">
        <v>1286</v>
      </c>
      <c r="E51">
        <v>38</v>
      </c>
      <c r="F51">
        <v>309</v>
      </c>
    </row>
    <row r="52" spans="1:6">
      <c r="A52">
        <v>626</v>
      </c>
      <c r="B52" s="120">
        <v>17533</v>
      </c>
      <c r="C52" t="s">
        <v>1443</v>
      </c>
      <c r="D52" s="1" t="s">
        <v>1287</v>
      </c>
      <c r="E52">
        <v>39</v>
      </c>
      <c r="F52">
        <v>309</v>
      </c>
    </row>
    <row r="53" spans="1:6">
      <c r="A53">
        <v>628</v>
      </c>
      <c r="B53" s="120">
        <v>17533</v>
      </c>
      <c r="C53" t="s">
        <v>1443</v>
      </c>
      <c r="D53" s="1" t="s">
        <v>807</v>
      </c>
      <c r="E53">
        <v>40</v>
      </c>
      <c r="F53">
        <v>309</v>
      </c>
    </row>
    <row r="54" spans="1:6">
      <c r="A54">
        <v>630</v>
      </c>
      <c r="B54" s="120">
        <v>17533</v>
      </c>
      <c r="C54" t="s">
        <v>1443</v>
      </c>
      <c r="D54" s="1" t="s">
        <v>1474</v>
      </c>
      <c r="E54">
        <v>41</v>
      </c>
      <c r="F54">
        <v>309</v>
      </c>
    </row>
    <row r="55" spans="1:6">
      <c r="A55">
        <v>635</v>
      </c>
      <c r="B55" s="120">
        <v>17533</v>
      </c>
      <c r="C55" t="s">
        <v>1443</v>
      </c>
      <c r="D55" s="1" t="s">
        <v>1475</v>
      </c>
      <c r="E55">
        <v>42</v>
      </c>
      <c r="F55">
        <v>309</v>
      </c>
    </row>
    <row r="56" spans="1:6">
      <c r="A56">
        <v>639</v>
      </c>
      <c r="B56" s="120">
        <v>17533</v>
      </c>
      <c r="C56" t="s">
        <v>1443</v>
      </c>
      <c r="D56" s="1" t="s">
        <v>1476</v>
      </c>
      <c r="E56">
        <v>43</v>
      </c>
      <c r="F56">
        <v>309</v>
      </c>
    </row>
    <row r="57" spans="1:6">
      <c r="A57">
        <v>642</v>
      </c>
      <c r="B57" s="120">
        <v>17533</v>
      </c>
      <c r="C57" t="s">
        <v>1443</v>
      </c>
      <c r="D57" s="1" t="s">
        <v>1477</v>
      </c>
      <c r="E57">
        <v>44</v>
      </c>
      <c r="F57">
        <v>309</v>
      </c>
    </row>
    <row r="58" spans="1:6">
      <c r="A58">
        <v>643</v>
      </c>
      <c r="B58" s="120">
        <v>17533</v>
      </c>
      <c r="C58" t="s">
        <v>1443</v>
      </c>
      <c r="D58" s="1" t="s">
        <v>1478</v>
      </c>
      <c r="E58">
        <v>45</v>
      </c>
      <c r="F58">
        <v>309</v>
      </c>
    </row>
    <row r="59" spans="1:6">
      <c r="A59">
        <v>646</v>
      </c>
      <c r="B59" s="120">
        <v>17533</v>
      </c>
      <c r="C59" t="s">
        <v>1443</v>
      </c>
      <c r="D59" s="1" t="s">
        <v>1479</v>
      </c>
      <c r="E59">
        <v>46</v>
      </c>
      <c r="F59">
        <v>309</v>
      </c>
    </row>
    <row r="60" spans="1:6">
      <c r="A60">
        <v>647</v>
      </c>
      <c r="B60" s="120">
        <v>17533</v>
      </c>
      <c r="C60" t="s">
        <v>1443</v>
      </c>
      <c r="D60" s="1" t="s">
        <v>1372</v>
      </c>
      <c r="E60">
        <v>47</v>
      </c>
      <c r="F60">
        <v>309</v>
      </c>
    </row>
    <row r="61" spans="1:6">
      <c r="A61">
        <v>649</v>
      </c>
      <c r="B61" s="120">
        <v>18264</v>
      </c>
      <c r="C61" t="s">
        <v>1443</v>
      </c>
      <c r="D61" s="1" t="s">
        <v>1480</v>
      </c>
      <c r="E61">
        <v>2019</v>
      </c>
      <c r="F61">
        <v>309</v>
      </c>
    </row>
    <row r="62" spans="1:6">
      <c r="A62">
        <v>650</v>
      </c>
      <c r="B62" s="120">
        <v>17533</v>
      </c>
      <c r="C62" t="s">
        <v>1443</v>
      </c>
      <c r="D62" s="1" t="s">
        <v>1481</v>
      </c>
      <c r="E62">
        <v>48</v>
      </c>
      <c r="F62">
        <v>309</v>
      </c>
    </row>
    <row r="63" spans="1:6">
      <c r="A63">
        <v>652</v>
      </c>
      <c r="B63" s="120">
        <v>17533</v>
      </c>
      <c r="C63" t="s">
        <v>1443</v>
      </c>
      <c r="D63" s="1" t="s">
        <v>1482</v>
      </c>
      <c r="E63">
        <v>49</v>
      </c>
      <c r="F63">
        <v>309</v>
      </c>
    </row>
    <row r="64" spans="1:6">
      <c r="A64">
        <v>654</v>
      </c>
      <c r="B64" s="120">
        <v>17533</v>
      </c>
      <c r="C64" t="s">
        <v>1443</v>
      </c>
      <c r="D64" s="1" t="s">
        <v>1483</v>
      </c>
      <c r="E64">
        <v>50</v>
      </c>
      <c r="F64">
        <v>309</v>
      </c>
    </row>
    <row r="65" spans="1:6">
      <c r="A65">
        <v>655</v>
      </c>
      <c r="B65" s="120">
        <v>18264</v>
      </c>
      <c r="C65" t="s">
        <v>1443</v>
      </c>
      <c r="D65" s="1" t="s">
        <v>1484</v>
      </c>
      <c r="E65">
        <v>2020</v>
      </c>
      <c r="F65">
        <v>309</v>
      </c>
    </row>
    <row r="66" spans="1:6">
      <c r="A66">
        <v>658</v>
      </c>
      <c r="B66" s="120">
        <v>17533</v>
      </c>
      <c r="C66" t="s">
        <v>1443</v>
      </c>
      <c r="D66" s="1" t="s">
        <v>68</v>
      </c>
      <c r="E66">
        <v>51</v>
      </c>
      <c r="F66">
        <v>309</v>
      </c>
    </row>
    <row r="67" spans="1:6">
      <c r="A67">
        <v>659</v>
      </c>
      <c r="B67" s="120">
        <v>18264</v>
      </c>
      <c r="C67" t="s">
        <v>1443</v>
      </c>
      <c r="D67" s="1" t="s">
        <v>1485</v>
      </c>
      <c r="E67">
        <v>1003</v>
      </c>
      <c r="F67">
        <v>309</v>
      </c>
    </row>
    <row r="68" spans="1:6">
      <c r="A68">
        <v>660</v>
      </c>
      <c r="B68" s="120">
        <v>17533</v>
      </c>
      <c r="C68" t="s">
        <v>1443</v>
      </c>
      <c r="D68" s="1" t="s">
        <v>1486</v>
      </c>
      <c r="E68">
        <v>52</v>
      </c>
      <c r="F68">
        <v>309</v>
      </c>
    </row>
    <row r="69" spans="1:6">
      <c r="A69">
        <v>661</v>
      </c>
      <c r="B69" s="120">
        <v>17533</v>
      </c>
      <c r="C69" t="s">
        <v>1443</v>
      </c>
      <c r="D69" s="1" t="s">
        <v>1290</v>
      </c>
      <c r="E69">
        <v>53</v>
      </c>
      <c r="F69">
        <v>309</v>
      </c>
    </row>
    <row r="70" spans="1:6">
      <c r="A70">
        <v>663</v>
      </c>
      <c r="B70" s="120">
        <v>17533</v>
      </c>
      <c r="C70" t="s">
        <v>1443</v>
      </c>
      <c r="D70" s="1" t="s">
        <v>1292</v>
      </c>
      <c r="E70">
        <v>54</v>
      </c>
      <c r="F70">
        <v>309</v>
      </c>
    </row>
    <row r="71" spans="1:6">
      <c r="A71">
        <v>667</v>
      </c>
      <c r="B71" s="120">
        <v>17533</v>
      </c>
      <c r="C71" t="s">
        <v>1443</v>
      </c>
      <c r="D71" s="1" t="s">
        <v>1372</v>
      </c>
      <c r="E71">
        <v>55</v>
      </c>
      <c r="F71">
        <v>309</v>
      </c>
    </row>
    <row r="72" spans="1:6">
      <c r="A72">
        <v>668</v>
      </c>
      <c r="B72" s="120">
        <v>17533</v>
      </c>
      <c r="C72" t="s">
        <v>1443</v>
      </c>
      <c r="D72" s="1" t="s">
        <v>1487</v>
      </c>
      <c r="E72">
        <v>2069</v>
      </c>
      <c r="F72">
        <v>309</v>
      </c>
    </row>
    <row r="73" spans="1:6">
      <c r="A73">
        <v>674</v>
      </c>
      <c r="B73" s="120">
        <v>17533</v>
      </c>
      <c r="C73" t="s">
        <v>1443</v>
      </c>
      <c r="D73" s="1" t="s">
        <v>1488</v>
      </c>
      <c r="E73">
        <v>56</v>
      </c>
      <c r="F73">
        <v>309</v>
      </c>
    </row>
    <row r="74" spans="1:6">
      <c r="A74">
        <v>675</v>
      </c>
      <c r="B74" s="120">
        <v>17533</v>
      </c>
      <c r="C74" t="s">
        <v>1443</v>
      </c>
      <c r="D74" s="1" t="s">
        <v>1293</v>
      </c>
      <c r="E74">
        <v>57</v>
      </c>
      <c r="F74">
        <v>309</v>
      </c>
    </row>
    <row r="75" spans="1:6">
      <c r="A75">
        <v>678</v>
      </c>
      <c r="B75" s="120">
        <v>17533</v>
      </c>
      <c r="C75" t="s">
        <v>1443</v>
      </c>
      <c r="D75" s="1" t="s">
        <v>1294</v>
      </c>
      <c r="E75">
        <v>58</v>
      </c>
      <c r="F75">
        <v>309</v>
      </c>
    </row>
    <row r="76" spans="1:6">
      <c r="A76">
        <v>681</v>
      </c>
      <c r="B76" s="120">
        <v>17533</v>
      </c>
      <c r="C76" t="s">
        <v>1443</v>
      </c>
      <c r="D76" s="1" t="s">
        <v>1295</v>
      </c>
      <c r="E76">
        <v>59</v>
      </c>
      <c r="F76">
        <v>309</v>
      </c>
    </row>
    <row r="77" spans="1:6">
      <c r="A77">
        <v>682</v>
      </c>
      <c r="B77" s="120">
        <v>17533</v>
      </c>
      <c r="C77" t="s">
        <v>1443</v>
      </c>
      <c r="D77" s="1" t="s">
        <v>1489</v>
      </c>
      <c r="E77">
        <v>60</v>
      </c>
      <c r="F77">
        <v>309</v>
      </c>
    </row>
    <row r="78" spans="1:6">
      <c r="A78">
        <v>683</v>
      </c>
      <c r="B78" s="120">
        <v>17533</v>
      </c>
      <c r="C78" t="s">
        <v>1443</v>
      </c>
      <c r="D78" s="1" t="s">
        <v>1490</v>
      </c>
      <c r="E78">
        <v>61</v>
      </c>
      <c r="F78">
        <v>309</v>
      </c>
    </row>
    <row r="79" spans="1:6">
      <c r="A79">
        <v>684</v>
      </c>
      <c r="B79" s="120">
        <v>17533</v>
      </c>
      <c r="C79" t="s">
        <v>1443</v>
      </c>
      <c r="D79" s="1" t="s">
        <v>1491</v>
      </c>
      <c r="E79">
        <v>62</v>
      </c>
      <c r="F79">
        <v>309</v>
      </c>
    </row>
    <row r="80" spans="1:6">
      <c r="A80">
        <v>687</v>
      </c>
      <c r="B80" s="120">
        <v>17533</v>
      </c>
      <c r="C80" t="s">
        <v>1443</v>
      </c>
      <c r="D80" s="1" t="s">
        <v>1492</v>
      </c>
      <c r="E80">
        <v>2072</v>
      </c>
      <c r="F80">
        <v>309</v>
      </c>
    </row>
    <row r="81" spans="1:6">
      <c r="A81">
        <v>692</v>
      </c>
      <c r="B81" s="120">
        <v>17533</v>
      </c>
      <c r="C81" t="s">
        <v>1443</v>
      </c>
      <c r="D81" s="1" t="s">
        <v>1491</v>
      </c>
      <c r="E81">
        <v>63</v>
      </c>
      <c r="F81">
        <v>309</v>
      </c>
    </row>
    <row r="82" spans="1:6">
      <c r="A82">
        <v>694</v>
      </c>
      <c r="B82" s="120">
        <v>17533</v>
      </c>
      <c r="C82" t="s">
        <v>1443</v>
      </c>
      <c r="D82" s="1" t="s">
        <v>1493</v>
      </c>
      <c r="E82">
        <v>64</v>
      </c>
      <c r="F82">
        <v>309</v>
      </c>
    </row>
    <row r="83" spans="1:6">
      <c r="A83">
        <v>695</v>
      </c>
      <c r="B83" s="120">
        <v>17533</v>
      </c>
      <c r="C83" t="s">
        <v>1443</v>
      </c>
      <c r="D83" s="1" t="s">
        <v>1494</v>
      </c>
      <c r="E83">
        <v>65</v>
      </c>
      <c r="F83">
        <v>309</v>
      </c>
    </row>
    <row r="84" spans="1:6">
      <c r="A84">
        <v>697</v>
      </c>
      <c r="B84" s="120">
        <v>17533</v>
      </c>
      <c r="C84" t="s">
        <v>1443</v>
      </c>
      <c r="D84" s="1" t="s">
        <v>1422</v>
      </c>
      <c r="E84">
        <v>66</v>
      </c>
      <c r="F84">
        <v>309</v>
      </c>
    </row>
    <row r="85" spans="1:6">
      <c r="A85">
        <v>698</v>
      </c>
      <c r="B85" s="120">
        <v>18264</v>
      </c>
      <c r="C85" t="s">
        <v>1443</v>
      </c>
      <c r="D85" s="1" t="s">
        <v>1495</v>
      </c>
      <c r="E85">
        <v>1083</v>
      </c>
      <c r="F85">
        <v>309</v>
      </c>
    </row>
    <row r="86" spans="1:6">
      <c r="A86">
        <v>699</v>
      </c>
      <c r="B86" s="120">
        <v>17533</v>
      </c>
      <c r="C86" t="s">
        <v>1443</v>
      </c>
      <c r="D86" s="1" t="s">
        <v>838</v>
      </c>
      <c r="E86">
        <v>67</v>
      </c>
      <c r="F86">
        <v>309</v>
      </c>
    </row>
    <row r="87" spans="1:6">
      <c r="A87">
        <v>705</v>
      </c>
      <c r="B87" s="120">
        <v>17533</v>
      </c>
      <c r="C87" t="s">
        <v>1443</v>
      </c>
      <c r="D87" s="1" t="s">
        <v>1373</v>
      </c>
      <c r="E87">
        <v>68</v>
      </c>
      <c r="F87">
        <v>309</v>
      </c>
    </row>
    <row r="88" spans="1:6">
      <c r="A88">
        <v>707</v>
      </c>
      <c r="B88" s="120">
        <v>17533</v>
      </c>
      <c r="C88" t="s">
        <v>1443</v>
      </c>
      <c r="D88" s="1" t="s">
        <v>1299</v>
      </c>
      <c r="E88">
        <v>69</v>
      </c>
      <c r="F88">
        <v>309</v>
      </c>
    </row>
    <row r="89" spans="1:6">
      <c r="A89">
        <v>717</v>
      </c>
      <c r="B89" s="120">
        <v>17533</v>
      </c>
      <c r="C89" t="s">
        <v>1443</v>
      </c>
      <c r="D89" s="1" t="s">
        <v>1300</v>
      </c>
      <c r="E89">
        <v>70</v>
      </c>
      <c r="F89">
        <v>309</v>
      </c>
    </row>
    <row r="90" spans="1:6">
      <c r="A90">
        <v>721</v>
      </c>
      <c r="B90" s="120">
        <v>18264</v>
      </c>
      <c r="C90" t="s">
        <v>1443</v>
      </c>
      <c r="D90" s="1" t="s">
        <v>1496</v>
      </c>
      <c r="E90">
        <v>1115</v>
      </c>
      <c r="F90">
        <v>413</v>
      </c>
    </row>
    <row r="91" spans="1:6">
      <c r="A91">
        <v>724</v>
      </c>
      <c r="B91" s="120">
        <v>17533</v>
      </c>
      <c r="C91" t="s">
        <v>1443</v>
      </c>
      <c r="D91" s="1" t="s">
        <v>1497</v>
      </c>
      <c r="E91">
        <v>71</v>
      </c>
      <c r="F91">
        <v>309</v>
      </c>
    </row>
    <row r="92" spans="1:6">
      <c r="A92">
        <v>726</v>
      </c>
      <c r="B92" s="120">
        <v>17533</v>
      </c>
      <c r="C92" t="s">
        <v>1443</v>
      </c>
      <c r="D92" s="1" t="s">
        <v>1498</v>
      </c>
      <c r="E92">
        <v>72</v>
      </c>
      <c r="F92">
        <v>309</v>
      </c>
    </row>
    <row r="93" spans="1:6">
      <c r="A93">
        <v>727</v>
      </c>
      <c r="B93" s="120">
        <v>17533</v>
      </c>
      <c r="C93" t="s">
        <v>1443</v>
      </c>
      <c r="D93" s="1" t="s">
        <v>844</v>
      </c>
      <c r="E93">
        <v>73</v>
      </c>
      <c r="F93">
        <v>309</v>
      </c>
    </row>
    <row r="94" spans="1:6">
      <c r="A94">
        <v>728</v>
      </c>
      <c r="B94" s="120">
        <v>17533</v>
      </c>
      <c r="C94" t="s">
        <v>1443</v>
      </c>
      <c r="D94" s="1" t="s">
        <v>1302</v>
      </c>
      <c r="E94">
        <v>74</v>
      </c>
      <c r="F94">
        <v>309</v>
      </c>
    </row>
    <row r="95" spans="1:6">
      <c r="A95">
        <v>729</v>
      </c>
      <c r="B95" s="120">
        <v>17533</v>
      </c>
      <c r="C95" t="s">
        <v>1443</v>
      </c>
      <c r="D95" s="1" t="s">
        <v>1499</v>
      </c>
      <c r="E95">
        <v>75</v>
      </c>
      <c r="F95">
        <v>309</v>
      </c>
    </row>
    <row r="96" spans="1:6">
      <c r="A96">
        <v>730</v>
      </c>
      <c r="B96" s="120">
        <v>17533</v>
      </c>
      <c r="C96" t="s">
        <v>1443</v>
      </c>
      <c r="D96" s="1" t="s">
        <v>1500</v>
      </c>
      <c r="E96">
        <v>76</v>
      </c>
      <c r="F96">
        <v>309</v>
      </c>
    </row>
    <row r="97" spans="1:6">
      <c r="A97">
        <v>734</v>
      </c>
      <c r="B97" s="120">
        <v>17533</v>
      </c>
      <c r="C97" t="s">
        <v>1443</v>
      </c>
      <c r="D97" s="1" t="s">
        <v>1501</v>
      </c>
      <c r="E97">
        <v>1111</v>
      </c>
      <c r="F97">
        <v>413</v>
      </c>
    </row>
    <row r="98" spans="1:6">
      <c r="A98">
        <v>735</v>
      </c>
      <c r="B98" s="120">
        <v>18264</v>
      </c>
      <c r="C98" t="s">
        <v>1443</v>
      </c>
      <c r="D98" s="1" t="s">
        <v>1502</v>
      </c>
      <c r="E98">
        <v>2051</v>
      </c>
      <c r="F98">
        <v>309</v>
      </c>
    </row>
    <row r="99" spans="1:6">
      <c r="A99">
        <v>736</v>
      </c>
      <c r="B99" s="120">
        <v>17533</v>
      </c>
      <c r="C99" t="s">
        <v>1443</v>
      </c>
      <c r="D99" s="1" t="s">
        <v>1305</v>
      </c>
      <c r="E99">
        <v>78</v>
      </c>
      <c r="F99">
        <v>309</v>
      </c>
    </row>
    <row r="100" spans="1:6">
      <c r="A100">
        <v>737</v>
      </c>
      <c r="B100" s="120">
        <v>17533</v>
      </c>
      <c r="C100" t="s">
        <v>1443</v>
      </c>
      <c r="D100" s="1" t="s">
        <v>1503</v>
      </c>
      <c r="E100">
        <v>2028</v>
      </c>
      <c r="F100">
        <v>309</v>
      </c>
    </row>
    <row r="101" spans="1:6">
      <c r="A101">
        <v>738</v>
      </c>
      <c r="B101" s="120">
        <v>17533</v>
      </c>
      <c r="C101" t="s">
        <v>1443</v>
      </c>
      <c r="D101" s="1" t="s">
        <v>1504</v>
      </c>
      <c r="E101">
        <v>2029</v>
      </c>
      <c r="F101">
        <v>309</v>
      </c>
    </row>
    <row r="102" spans="1:6">
      <c r="A102">
        <v>739</v>
      </c>
      <c r="B102" s="120">
        <v>17533</v>
      </c>
      <c r="C102" t="s">
        <v>1443</v>
      </c>
      <c r="D102" s="1" t="s">
        <v>1307</v>
      </c>
      <c r="E102">
        <v>79</v>
      </c>
      <c r="F102">
        <v>309</v>
      </c>
    </row>
    <row r="103" spans="1:6">
      <c r="A103">
        <v>740</v>
      </c>
      <c r="B103" s="120">
        <v>18264</v>
      </c>
      <c r="C103" t="s">
        <v>1443</v>
      </c>
      <c r="D103" s="1" t="s">
        <v>1505</v>
      </c>
      <c r="E103">
        <v>2057</v>
      </c>
      <c r="F103">
        <v>0</v>
      </c>
    </row>
    <row r="104" spans="1:6">
      <c r="A104">
        <v>741</v>
      </c>
      <c r="B104" s="120">
        <v>17533</v>
      </c>
      <c r="C104" t="s">
        <v>1443</v>
      </c>
      <c r="D104" s="1" t="s">
        <v>1371</v>
      </c>
      <c r="E104">
        <v>80</v>
      </c>
      <c r="F104">
        <v>309</v>
      </c>
    </row>
    <row r="105" spans="1:6">
      <c r="A105">
        <v>742</v>
      </c>
      <c r="B105" s="120">
        <v>18264</v>
      </c>
      <c r="C105" t="s">
        <v>1443</v>
      </c>
      <c r="D105" s="1" t="s">
        <v>1506</v>
      </c>
      <c r="E105">
        <v>1084</v>
      </c>
      <c r="F105">
        <v>309</v>
      </c>
    </row>
    <row r="106" spans="1:6">
      <c r="A106">
        <v>743</v>
      </c>
      <c r="B106" s="120">
        <v>17533</v>
      </c>
      <c r="C106" t="s">
        <v>1443</v>
      </c>
      <c r="D106" s="1" t="s">
        <v>849</v>
      </c>
      <c r="E106">
        <v>81</v>
      </c>
      <c r="F106">
        <v>309</v>
      </c>
    </row>
    <row r="107" spans="1:6">
      <c r="A107">
        <v>745</v>
      </c>
      <c r="B107" s="120">
        <v>17533</v>
      </c>
      <c r="C107" t="s">
        <v>1443</v>
      </c>
      <c r="D107" s="1" t="s">
        <v>1507</v>
      </c>
      <c r="E107">
        <v>82</v>
      </c>
      <c r="F107">
        <v>309</v>
      </c>
    </row>
    <row r="108" spans="1:6">
      <c r="A108">
        <v>746</v>
      </c>
      <c r="B108" s="120">
        <v>17533</v>
      </c>
      <c r="C108" t="s">
        <v>1443</v>
      </c>
      <c r="D108" s="1" t="s">
        <v>1310</v>
      </c>
      <c r="E108">
        <v>83</v>
      </c>
      <c r="F108">
        <v>309</v>
      </c>
    </row>
    <row r="109" spans="1:6">
      <c r="A109">
        <v>747</v>
      </c>
      <c r="B109" s="120">
        <v>17533</v>
      </c>
      <c r="C109" t="s">
        <v>1443</v>
      </c>
      <c r="D109" s="1" t="s">
        <v>1508</v>
      </c>
      <c r="E109">
        <v>84</v>
      </c>
      <c r="F109">
        <v>309</v>
      </c>
    </row>
    <row r="110" spans="1:6">
      <c r="A110">
        <v>748</v>
      </c>
      <c r="B110" s="120">
        <v>17533</v>
      </c>
      <c r="C110" t="s">
        <v>1443</v>
      </c>
      <c r="D110" s="1" t="s">
        <v>1312</v>
      </c>
      <c r="E110">
        <v>85</v>
      </c>
      <c r="F110">
        <v>309</v>
      </c>
    </row>
    <row r="111" spans="1:6">
      <c r="A111">
        <v>751</v>
      </c>
      <c r="B111" s="120">
        <v>17533</v>
      </c>
      <c r="C111" t="s">
        <v>1443</v>
      </c>
      <c r="D111" s="1" t="s">
        <v>1509</v>
      </c>
      <c r="E111">
        <v>86</v>
      </c>
      <c r="F111">
        <v>309</v>
      </c>
    </row>
    <row r="112" spans="1:6">
      <c r="A112">
        <v>752</v>
      </c>
      <c r="B112" s="120">
        <v>17533</v>
      </c>
      <c r="C112" t="s">
        <v>1443</v>
      </c>
      <c r="D112" s="1" t="s">
        <v>1510</v>
      </c>
      <c r="E112">
        <v>87</v>
      </c>
      <c r="F112">
        <v>309</v>
      </c>
    </row>
    <row r="113" spans="1:6">
      <c r="A113">
        <v>753</v>
      </c>
      <c r="B113" s="120">
        <v>17533</v>
      </c>
      <c r="C113" t="s">
        <v>1443</v>
      </c>
      <c r="D113" s="1" t="s">
        <v>1313</v>
      </c>
      <c r="E113">
        <v>2035</v>
      </c>
      <c r="F113">
        <v>309</v>
      </c>
    </row>
    <row r="114" spans="1:6">
      <c r="A114">
        <v>755</v>
      </c>
      <c r="B114" s="120">
        <v>17533</v>
      </c>
      <c r="C114" t="s">
        <v>1443</v>
      </c>
      <c r="D114" s="1" t="s">
        <v>1511</v>
      </c>
      <c r="E114">
        <v>2036</v>
      </c>
      <c r="F114">
        <v>309</v>
      </c>
    </row>
    <row r="115" spans="1:6">
      <c r="A115">
        <v>756</v>
      </c>
      <c r="B115" s="120">
        <v>17533</v>
      </c>
      <c r="C115" t="s">
        <v>1443</v>
      </c>
      <c r="D115" s="1" t="s">
        <v>855</v>
      </c>
      <c r="E115">
        <v>88</v>
      </c>
      <c r="F115">
        <v>309</v>
      </c>
    </row>
    <row r="116" spans="1:6">
      <c r="A116">
        <v>759</v>
      </c>
      <c r="B116" s="120">
        <v>17533</v>
      </c>
      <c r="C116" t="s">
        <v>1443</v>
      </c>
      <c r="D116" s="1" t="s">
        <v>1512</v>
      </c>
      <c r="E116">
        <v>89</v>
      </c>
      <c r="F116">
        <v>309</v>
      </c>
    </row>
    <row r="117" spans="1:6">
      <c r="A117">
        <v>764</v>
      </c>
      <c r="B117" s="120">
        <v>17533</v>
      </c>
      <c r="C117" t="s">
        <v>1443</v>
      </c>
      <c r="D117" s="1" t="s">
        <v>1405</v>
      </c>
      <c r="E117">
        <v>90</v>
      </c>
      <c r="F117">
        <v>309</v>
      </c>
    </row>
    <row r="118" spans="1:6">
      <c r="A118">
        <v>766</v>
      </c>
      <c r="B118" s="120">
        <v>17533</v>
      </c>
      <c r="C118" t="s">
        <v>1443</v>
      </c>
      <c r="D118" s="1" t="s">
        <v>1513</v>
      </c>
      <c r="E118">
        <v>91</v>
      </c>
      <c r="F118">
        <v>309</v>
      </c>
    </row>
    <row r="119" spans="1:6">
      <c r="A119">
        <v>768</v>
      </c>
      <c r="B119" s="120">
        <v>17533</v>
      </c>
      <c r="C119" t="s">
        <v>1443</v>
      </c>
      <c r="D119" s="1" t="s">
        <v>1315</v>
      </c>
      <c r="E119">
        <v>92</v>
      </c>
      <c r="F119">
        <v>309</v>
      </c>
    </row>
    <row r="120" spans="1:6">
      <c r="A120">
        <v>776</v>
      </c>
      <c r="B120" s="120">
        <v>17533</v>
      </c>
      <c r="C120" t="s">
        <v>1443</v>
      </c>
      <c r="D120" s="1" t="s">
        <v>1514</v>
      </c>
      <c r="E120">
        <v>93</v>
      </c>
      <c r="F120">
        <v>309</v>
      </c>
    </row>
    <row r="121" spans="1:6">
      <c r="A121">
        <v>778</v>
      </c>
      <c r="B121" s="120">
        <v>17533</v>
      </c>
      <c r="C121" t="s">
        <v>1443</v>
      </c>
      <c r="D121" s="1" t="s">
        <v>1316</v>
      </c>
      <c r="E121">
        <v>94</v>
      </c>
      <c r="F121">
        <v>309</v>
      </c>
    </row>
    <row r="122" spans="1:6">
      <c r="A122">
        <v>779</v>
      </c>
      <c r="B122" s="120">
        <v>17533</v>
      </c>
      <c r="C122" t="s">
        <v>1443</v>
      </c>
      <c r="D122" s="1" t="s">
        <v>1515</v>
      </c>
      <c r="E122">
        <v>95</v>
      </c>
      <c r="F122">
        <v>309</v>
      </c>
    </row>
    <row r="123" spans="1:6">
      <c r="A123">
        <v>781</v>
      </c>
      <c r="B123" s="120">
        <v>17533</v>
      </c>
      <c r="C123" t="s">
        <v>1443</v>
      </c>
      <c r="D123" s="1" t="s">
        <v>1275</v>
      </c>
      <c r="E123">
        <v>96</v>
      </c>
      <c r="F123">
        <v>309</v>
      </c>
    </row>
    <row r="124" spans="1:6">
      <c r="A124">
        <v>782</v>
      </c>
      <c r="B124" s="120">
        <v>17533</v>
      </c>
      <c r="C124" t="s">
        <v>1443</v>
      </c>
      <c r="D124" s="1" t="s">
        <v>1275</v>
      </c>
      <c r="E124">
        <v>97</v>
      </c>
      <c r="F124">
        <v>309</v>
      </c>
    </row>
    <row r="125" spans="1:6">
      <c r="A125">
        <v>784</v>
      </c>
      <c r="B125" s="120">
        <v>17533</v>
      </c>
      <c r="C125" t="s">
        <v>1443</v>
      </c>
      <c r="D125" s="1" t="s">
        <v>1516</v>
      </c>
      <c r="E125">
        <v>98</v>
      </c>
      <c r="F125">
        <v>309</v>
      </c>
    </row>
    <row r="126" spans="1:6">
      <c r="A126">
        <v>786</v>
      </c>
      <c r="B126" s="120">
        <v>17533</v>
      </c>
      <c r="C126" t="s">
        <v>1443</v>
      </c>
      <c r="D126" s="1" t="s">
        <v>1517</v>
      </c>
      <c r="E126">
        <v>99</v>
      </c>
      <c r="F126">
        <v>309</v>
      </c>
    </row>
    <row r="127" spans="1:6">
      <c r="A127">
        <v>787</v>
      </c>
      <c r="B127" s="120">
        <v>17533</v>
      </c>
      <c r="C127" t="s">
        <v>1443</v>
      </c>
      <c r="D127" s="1" t="s">
        <v>1275</v>
      </c>
      <c r="E127">
        <v>100</v>
      </c>
      <c r="F127">
        <v>309</v>
      </c>
    </row>
    <row r="128" spans="1:6">
      <c r="A128">
        <v>788</v>
      </c>
      <c r="B128" s="120">
        <v>17533</v>
      </c>
      <c r="C128" t="s">
        <v>1443</v>
      </c>
      <c r="D128" s="1" t="s">
        <v>1518</v>
      </c>
      <c r="E128">
        <v>101</v>
      </c>
      <c r="F128">
        <v>309</v>
      </c>
    </row>
    <row r="129" spans="1:6">
      <c r="A129">
        <v>793</v>
      </c>
      <c r="B129" s="120">
        <v>17533</v>
      </c>
      <c r="C129" t="s">
        <v>1443</v>
      </c>
      <c r="D129" s="1" t="s">
        <v>1519</v>
      </c>
      <c r="E129">
        <v>102</v>
      </c>
      <c r="F129">
        <v>309</v>
      </c>
    </row>
    <row r="130" spans="1:6">
      <c r="A130">
        <v>794</v>
      </c>
      <c r="B130" s="120">
        <v>17533</v>
      </c>
      <c r="C130" t="s">
        <v>1443</v>
      </c>
      <c r="D130" s="1" t="s">
        <v>1520</v>
      </c>
      <c r="E130">
        <v>103</v>
      </c>
      <c r="F130">
        <v>309</v>
      </c>
    </row>
    <row r="131" spans="1:6">
      <c r="A131">
        <v>797</v>
      </c>
      <c r="B131" s="120">
        <v>17533</v>
      </c>
      <c r="C131" t="s">
        <v>1443</v>
      </c>
      <c r="D131" s="1" t="s">
        <v>1318</v>
      </c>
      <c r="E131">
        <v>104</v>
      </c>
      <c r="F131">
        <v>309</v>
      </c>
    </row>
    <row r="132" spans="1:6">
      <c r="A132">
        <v>798</v>
      </c>
      <c r="B132" s="120">
        <v>17533</v>
      </c>
      <c r="C132" t="s">
        <v>1443</v>
      </c>
      <c r="D132" s="1" t="s">
        <v>866</v>
      </c>
      <c r="E132">
        <v>105</v>
      </c>
      <c r="F132">
        <v>309</v>
      </c>
    </row>
    <row r="133" spans="1:6">
      <c r="A133">
        <v>805</v>
      </c>
      <c r="B133" s="120">
        <v>17533</v>
      </c>
      <c r="C133" t="s">
        <v>1443</v>
      </c>
      <c r="D133" s="1" t="s">
        <v>868</v>
      </c>
      <c r="E133">
        <v>106</v>
      </c>
      <c r="F133">
        <v>309</v>
      </c>
    </row>
    <row r="134" spans="1:6">
      <c r="A134">
        <v>807</v>
      </c>
      <c r="B134" s="120">
        <v>17533</v>
      </c>
      <c r="C134" t="s">
        <v>1443</v>
      </c>
      <c r="D134" s="1" t="s">
        <v>870</v>
      </c>
      <c r="E134">
        <v>107</v>
      </c>
      <c r="F134">
        <v>309</v>
      </c>
    </row>
    <row r="135" spans="1:6">
      <c r="A135">
        <v>808</v>
      </c>
      <c r="B135" s="120">
        <v>17533</v>
      </c>
      <c r="C135" t="s">
        <v>1443</v>
      </c>
      <c r="D135" s="1" t="s">
        <v>1319</v>
      </c>
      <c r="E135">
        <v>108</v>
      </c>
      <c r="F135">
        <v>309</v>
      </c>
    </row>
    <row r="136" spans="1:6">
      <c r="A136">
        <v>809</v>
      </c>
      <c r="B136" s="120">
        <v>17533</v>
      </c>
      <c r="C136" t="s">
        <v>1443</v>
      </c>
      <c r="D136" s="1" t="s">
        <v>1320</v>
      </c>
      <c r="E136">
        <v>109</v>
      </c>
      <c r="F136">
        <v>309</v>
      </c>
    </row>
    <row r="137" spans="1:6">
      <c r="A137">
        <v>815</v>
      </c>
      <c r="B137" s="120">
        <v>17533</v>
      </c>
      <c r="C137" t="s">
        <v>1443</v>
      </c>
      <c r="D137" s="1" t="s">
        <v>1521</v>
      </c>
      <c r="E137">
        <v>2065</v>
      </c>
      <c r="F137">
        <v>309</v>
      </c>
    </row>
    <row r="138" spans="1:6">
      <c r="A138">
        <v>817</v>
      </c>
      <c r="B138" s="120">
        <v>17533</v>
      </c>
      <c r="C138" t="s">
        <v>1443</v>
      </c>
      <c r="D138" s="1" t="s">
        <v>1522</v>
      </c>
      <c r="E138">
        <v>110</v>
      </c>
      <c r="F138">
        <v>309</v>
      </c>
    </row>
    <row r="139" spans="1:6">
      <c r="A139">
        <v>828</v>
      </c>
      <c r="B139" s="120">
        <v>18264</v>
      </c>
      <c r="C139" t="s">
        <v>1443</v>
      </c>
      <c r="D139" s="1" t="s">
        <v>1523</v>
      </c>
      <c r="E139">
        <v>1112</v>
      </c>
      <c r="F139">
        <v>0</v>
      </c>
    </row>
    <row r="140" spans="1:6">
      <c r="A140">
        <v>838</v>
      </c>
      <c r="B140" s="120">
        <v>17533</v>
      </c>
      <c r="C140" t="s">
        <v>1443</v>
      </c>
      <c r="D140" s="1" t="s">
        <v>1524</v>
      </c>
      <c r="E140">
        <v>111</v>
      </c>
      <c r="F140">
        <v>309</v>
      </c>
    </row>
    <row r="141" spans="1:6">
      <c r="A141">
        <v>839</v>
      </c>
      <c r="B141" s="120">
        <v>17533</v>
      </c>
      <c r="C141" t="s">
        <v>1443</v>
      </c>
      <c r="D141" s="1" t="s">
        <v>1525</v>
      </c>
      <c r="E141">
        <v>112</v>
      </c>
      <c r="F141">
        <v>309</v>
      </c>
    </row>
    <row r="142" spans="1:6">
      <c r="A142">
        <v>840</v>
      </c>
      <c r="B142" s="120">
        <v>17533</v>
      </c>
      <c r="C142" t="s">
        <v>1443</v>
      </c>
      <c r="D142" s="1" t="s">
        <v>1526</v>
      </c>
      <c r="E142">
        <v>2037</v>
      </c>
      <c r="F142">
        <v>309</v>
      </c>
    </row>
    <row r="143" spans="1:6">
      <c r="A143">
        <v>850</v>
      </c>
      <c r="B143" s="120">
        <v>17533</v>
      </c>
      <c r="C143" t="s">
        <v>1443</v>
      </c>
      <c r="D143" s="1" t="s">
        <v>1321</v>
      </c>
      <c r="E143">
        <v>113</v>
      </c>
      <c r="F143">
        <v>309</v>
      </c>
    </row>
    <row r="144" spans="1:6">
      <c r="A144">
        <v>851</v>
      </c>
      <c r="B144" s="120">
        <v>17533</v>
      </c>
      <c r="C144" t="s">
        <v>1443</v>
      </c>
      <c r="D144" s="1" t="s">
        <v>1322</v>
      </c>
      <c r="E144">
        <v>114</v>
      </c>
      <c r="F144">
        <v>309</v>
      </c>
    </row>
    <row r="145" spans="1:6">
      <c r="A145">
        <v>853</v>
      </c>
      <c r="B145" s="120">
        <v>18264</v>
      </c>
      <c r="C145" t="s">
        <v>1443</v>
      </c>
      <c r="D145" s="1" t="s">
        <v>1527</v>
      </c>
      <c r="E145">
        <v>1085</v>
      </c>
      <c r="F145">
        <v>309</v>
      </c>
    </row>
    <row r="146" spans="1:6">
      <c r="A146">
        <v>858</v>
      </c>
      <c r="B146" s="120">
        <v>17533</v>
      </c>
      <c r="C146" t="s">
        <v>1443</v>
      </c>
      <c r="D146" s="1" t="s">
        <v>855</v>
      </c>
      <c r="E146">
        <v>115</v>
      </c>
      <c r="F146">
        <v>309</v>
      </c>
    </row>
    <row r="147" spans="1:6">
      <c r="A147">
        <v>859</v>
      </c>
      <c r="B147" s="120">
        <v>17533</v>
      </c>
      <c r="C147" t="s">
        <v>1443</v>
      </c>
      <c r="D147" s="1" t="s">
        <v>1323</v>
      </c>
      <c r="E147">
        <v>116</v>
      </c>
      <c r="F147">
        <v>309</v>
      </c>
    </row>
    <row r="148" spans="1:6">
      <c r="A148">
        <v>863</v>
      </c>
      <c r="B148" s="120">
        <v>18264</v>
      </c>
      <c r="C148" t="s">
        <v>1443</v>
      </c>
      <c r="D148" s="1" t="s">
        <v>943</v>
      </c>
      <c r="E148">
        <v>2114</v>
      </c>
      <c r="F148">
        <v>0</v>
      </c>
    </row>
    <row r="149" spans="1:6">
      <c r="A149">
        <v>865</v>
      </c>
      <c r="B149" s="120">
        <v>17533</v>
      </c>
      <c r="C149" t="s">
        <v>1443</v>
      </c>
      <c r="D149" s="1" t="s">
        <v>1324</v>
      </c>
      <c r="E149">
        <v>117</v>
      </c>
      <c r="F149">
        <v>309</v>
      </c>
    </row>
    <row r="150" spans="1:6">
      <c r="A150">
        <v>866</v>
      </c>
      <c r="B150" s="120">
        <v>17533</v>
      </c>
      <c r="C150" t="s">
        <v>1443</v>
      </c>
      <c r="D150" s="1" t="s">
        <v>1325</v>
      </c>
      <c r="E150">
        <v>118</v>
      </c>
      <c r="F150">
        <v>309</v>
      </c>
    </row>
    <row r="151" spans="1:6">
      <c r="A151">
        <v>868</v>
      </c>
      <c r="B151" s="120">
        <v>17533</v>
      </c>
      <c r="C151" t="s">
        <v>1443</v>
      </c>
      <c r="D151" s="1" t="s">
        <v>1528</v>
      </c>
      <c r="E151">
        <v>119</v>
      </c>
      <c r="F151">
        <v>309</v>
      </c>
    </row>
    <row r="152" spans="1:6">
      <c r="A152">
        <v>871</v>
      </c>
      <c r="B152" s="120">
        <v>18264</v>
      </c>
      <c r="C152" t="s">
        <v>1443</v>
      </c>
      <c r="D152" s="1" t="s">
        <v>1529</v>
      </c>
      <c r="E152">
        <v>2111</v>
      </c>
      <c r="F152">
        <v>413</v>
      </c>
    </row>
    <row r="153" spans="1:6">
      <c r="A153">
        <v>874</v>
      </c>
      <c r="B153" s="120">
        <v>18264</v>
      </c>
      <c r="C153" t="s">
        <v>1443</v>
      </c>
      <c r="D153" s="1" t="s">
        <v>1530</v>
      </c>
      <c r="E153">
        <v>1120</v>
      </c>
      <c r="F153">
        <v>413</v>
      </c>
    </row>
    <row r="154" spans="1:6">
      <c r="A154">
        <v>875</v>
      </c>
      <c r="B154" s="120">
        <v>17533</v>
      </c>
      <c r="C154" t="s">
        <v>1443</v>
      </c>
      <c r="D154" s="1" t="s">
        <v>1531</v>
      </c>
      <c r="E154">
        <v>120</v>
      </c>
      <c r="F154">
        <v>309</v>
      </c>
    </row>
    <row r="155" spans="1:6">
      <c r="A155">
        <v>876</v>
      </c>
      <c r="B155" s="120">
        <v>18264</v>
      </c>
      <c r="C155" t="s">
        <v>1443</v>
      </c>
      <c r="D155" s="1" t="s">
        <v>1529</v>
      </c>
      <c r="E155">
        <v>1086</v>
      </c>
      <c r="F155">
        <v>309</v>
      </c>
    </row>
    <row r="156" spans="1:6">
      <c r="A156">
        <v>877</v>
      </c>
      <c r="B156" s="120">
        <v>17533</v>
      </c>
      <c r="C156" t="s">
        <v>1443</v>
      </c>
      <c r="D156" s="1" t="s">
        <v>1532</v>
      </c>
      <c r="E156">
        <v>121</v>
      </c>
      <c r="F156">
        <v>309</v>
      </c>
    </row>
    <row r="157" spans="1:6">
      <c r="A157">
        <v>878</v>
      </c>
      <c r="B157" s="120">
        <v>43472</v>
      </c>
      <c r="C157" t="s">
        <v>1443</v>
      </c>
      <c r="D157" s="1" t="s">
        <v>1533</v>
      </c>
      <c r="E157">
        <v>2059</v>
      </c>
      <c r="F157">
        <v>413</v>
      </c>
    </row>
    <row r="158" spans="1:6">
      <c r="A158">
        <v>879</v>
      </c>
      <c r="B158" s="120">
        <v>17533</v>
      </c>
      <c r="C158" t="s">
        <v>1443</v>
      </c>
      <c r="D158" s="1" t="s">
        <v>1534</v>
      </c>
      <c r="E158">
        <v>122</v>
      </c>
      <c r="F158">
        <v>309</v>
      </c>
    </row>
    <row r="159" spans="1:6">
      <c r="A159">
        <v>880</v>
      </c>
      <c r="B159" s="120">
        <v>17533</v>
      </c>
      <c r="C159" t="s">
        <v>1443</v>
      </c>
      <c r="D159" s="1" t="s">
        <v>1535</v>
      </c>
      <c r="E159">
        <v>123</v>
      </c>
      <c r="F159">
        <v>309</v>
      </c>
    </row>
    <row r="160" spans="1:6">
      <c r="A160">
        <v>883</v>
      </c>
      <c r="B160" s="120">
        <v>17533</v>
      </c>
      <c r="C160" t="s">
        <v>1443</v>
      </c>
      <c r="D160" s="1" t="s">
        <v>1536</v>
      </c>
      <c r="E160">
        <v>124</v>
      </c>
      <c r="F160">
        <v>309</v>
      </c>
    </row>
    <row r="161" spans="1:6">
      <c r="A161">
        <v>884</v>
      </c>
      <c r="B161" s="120">
        <v>17533</v>
      </c>
      <c r="C161" t="s">
        <v>1443</v>
      </c>
      <c r="D161" s="1" t="s">
        <v>1537</v>
      </c>
      <c r="E161">
        <v>125</v>
      </c>
      <c r="F161">
        <v>309</v>
      </c>
    </row>
    <row r="162" spans="1:6">
      <c r="A162">
        <v>889</v>
      </c>
      <c r="B162" s="120">
        <v>17533</v>
      </c>
      <c r="C162" t="s">
        <v>1443</v>
      </c>
      <c r="D162" s="1" t="s">
        <v>1538</v>
      </c>
      <c r="E162">
        <v>1102</v>
      </c>
      <c r="F162">
        <v>413</v>
      </c>
    </row>
    <row r="163" spans="1:6">
      <c r="A163">
        <v>890</v>
      </c>
      <c r="B163" s="120">
        <v>17533</v>
      </c>
      <c r="C163" t="s">
        <v>1443</v>
      </c>
      <c r="D163" s="1" t="s">
        <v>1469</v>
      </c>
      <c r="E163">
        <v>2038</v>
      </c>
      <c r="F163">
        <v>309</v>
      </c>
    </row>
    <row r="164" spans="1:6">
      <c r="A164">
        <v>893</v>
      </c>
      <c r="B164" s="120">
        <v>17533</v>
      </c>
      <c r="C164" t="s">
        <v>1443</v>
      </c>
      <c r="D164" s="1" t="s">
        <v>1539</v>
      </c>
      <c r="E164">
        <v>126</v>
      </c>
      <c r="F164">
        <v>309</v>
      </c>
    </row>
    <row r="165" spans="1:6">
      <c r="A165">
        <v>894</v>
      </c>
      <c r="B165" s="120">
        <v>18264</v>
      </c>
      <c r="C165" t="s">
        <v>1443</v>
      </c>
      <c r="D165" s="1" t="s">
        <v>1540</v>
      </c>
      <c r="E165">
        <v>2060</v>
      </c>
      <c r="F165">
        <v>309</v>
      </c>
    </row>
    <row r="166" spans="1:6">
      <c r="A166">
        <v>895</v>
      </c>
      <c r="B166" s="120">
        <v>17533</v>
      </c>
      <c r="C166" t="s">
        <v>1443</v>
      </c>
      <c r="D166" s="1" t="s">
        <v>943</v>
      </c>
      <c r="E166">
        <v>127</v>
      </c>
      <c r="F166">
        <v>309</v>
      </c>
    </row>
    <row r="167" spans="1:6">
      <c r="A167">
        <v>896</v>
      </c>
      <c r="B167" s="120">
        <v>17533</v>
      </c>
      <c r="C167" t="s">
        <v>1443</v>
      </c>
      <c r="D167" s="1" t="s">
        <v>1329</v>
      </c>
      <c r="E167">
        <v>128</v>
      </c>
      <c r="F167">
        <v>309</v>
      </c>
    </row>
    <row r="168" spans="1:6">
      <c r="A168">
        <v>897</v>
      </c>
      <c r="B168" s="120">
        <v>17533</v>
      </c>
      <c r="C168" t="s">
        <v>1443</v>
      </c>
      <c r="D168" s="1" t="s">
        <v>1541</v>
      </c>
      <c r="E168">
        <v>129</v>
      </c>
      <c r="F168">
        <v>309</v>
      </c>
    </row>
    <row r="169" spans="1:6">
      <c r="A169">
        <v>898</v>
      </c>
      <c r="B169" s="120">
        <v>17533</v>
      </c>
      <c r="C169" t="s">
        <v>1443</v>
      </c>
      <c r="D169" s="1" t="s">
        <v>1542</v>
      </c>
      <c r="E169">
        <v>2039</v>
      </c>
      <c r="F169">
        <v>309</v>
      </c>
    </row>
    <row r="170" spans="1:6">
      <c r="A170">
        <v>899</v>
      </c>
      <c r="B170" s="120">
        <v>17533</v>
      </c>
      <c r="C170" t="s">
        <v>1443</v>
      </c>
      <c r="D170" s="1" t="s">
        <v>1543</v>
      </c>
      <c r="E170">
        <v>130</v>
      </c>
      <c r="F170">
        <v>309</v>
      </c>
    </row>
    <row r="171" spans="1:6">
      <c r="A171">
        <v>902</v>
      </c>
      <c r="B171" s="120">
        <v>17533</v>
      </c>
      <c r="C171" t="s">
        <v>1443</v>
      </c>
      <c r="D171" s="1" t="s">
        <v>1538</v>
      </c>
      <c r="E171">
        <v>2113</v>
      </c>
      <c r="F171">
        <v>0</v>
      </c>
    </row>
    <row r="172" spans="1:6">
      <c r="A172">
        <v>907</v>
      </c>
      <c r="B172" s="120">
        <v>17533</v>
      </c>
      <c r="C172" t="s">
        <v>1443</v>
      </c>
      <c r="D172" s="1" t="s">
        <v>1544</v>
      </c>
      <c r="E172">
        <v>131</v>
      </c>
      <c r="F172">
        <v>309</v>
      </c>
    </row>
    <row r="173" spans="1:6">
      <c r="A173">
        <v>911</v>
      </c>
      <c r="B173" s="120">
        <v>17533</v>
      </c>
      <c r="C173" t="s">
        <v>1443</v>
      </c>
      <c r="D173" s="1" t="s">
        <v>1330</v>
      </c>
      <c r="E173">
        <v>132</v>
      </c>
      <c r="F173">
        <v>309</v>
      </c>
    </row>
    <row r="174" spans="1:6">
      <c r="A174">
        <v>912</v>
      </c>
      <c r="B174" s="120">
        <v>17533</v>
      </c>
      <c r="C174" t="s">
        <v>1443</v>
      </c>
      <c r="D174" s="1" t="s">
        <v>1331</v>
      </c>
      <c r="E174">
        <v>133</v>
      </c>
      <c r="F174">
        <v>309</v>
      </c>
    </row>
    <row r="175" spans="1:6">
      <c r="A175">
        <v>913</v>
      </c>
      <c r="B175" s="120">
        <v>18264</v>
      </c>
      <c r="C175" t="s">
        <v>1443</v>
      </c>
      <c r="D175" s="1" t="s">
        <v>1545</v>
      </c>
      <c r="E175">
        <v>1087</v>
      </c>
      <c r="F175">
        <v>309</v>
      </c>
    </row>
    <row r="176" spans="1:6">
      <c r="A176">
        <v>914</v>
      </c>
      <c r="B176" s="120">
        <v>17533</v>
      </c>
      <c r="C176" t="s">
        <v>1443</v>
      </c>
      <c r="D176" s="1" t="s">
        <v>1546</v>
      </c>
      <c r="E176">
        <v>134</v>
      </c>
      <c r="F176">
        <v>309</v>
      </c>
    </row>
    <row r="177" spans="1:6">
      <c r="A177">
        <v>916</v>
      </c>
      <c r="B177" s="120">
        <v>18264</v>
      </c>
      <c r="C177" t="s">
        <v>1443</v>
      </c>
      <c r="D177" s="1" t="s">
        <v>1547</v>
      </c>
      <c r="E177">
        <v>2054</v>
      </c>
      <c r="F177">
        <v>309</v>
      </c>
    </row>
    <row r="178" spans="1:6">
      <c r="A178">
        <v>918</v>
      </c>
      <c r="B178" s="120">
        <v>17533</v>
      </c>
      <c r="C178" t="s">
        <v>1443</v>
      </c>
      <c r="D178" s="1" t="s">
        <v>1332</v>
      </c>
      <c r="E178">
        <v>135</v>
      </c>
      <c r="F178">
        <v>309</v>
      </c>
    </row>
    <row r="179" spans="1:6">
      <c r="A179">
        <v>920</v>
      </c>
      <c r="B179" s="120">
        <v>17533</v>
      </c>
      <c r="C179" t="s">
        <v>1443</v>
      </c>
      <c r="D179" s="1" t="s">
        <v>1548</v>
      </c>
      <c r="E179">
        <v>136</v>
      </c>
      <c r="F179">
        <v>309</v>
      </c>
    </row>
    <row r="180" spans="1:6">
      <c r="A180">
        <v>921</v>
      </c>
      <c r="B180" s="120">
        <v>17533</v>
      </c>
      <c r="C180" t="s">
        <v>1443</v>
      </c>
      <c r="D180" s="1" t="s">
        <v>1549</v>
      </c>
      <c r="E180">
        <v>1108</v>
      </c>
      <c r="F180">
        <v>413</v>
      </c>
    </row>
    <row r="181" spans="1:6">
      <c r="A181">
        <v>922</v>
      </c>
      <c r="B181" s="120">
        <v>17533</v>
      </c>
      <c r="C181" t="s">
        <v>1443</v>
      </c>
      <c r="D181" s="1" t="s">
        <v>1550</v>
      </c>
      <c r="E181">
        <v>137</v>
      </c>
      <c r="F181">
        <v>309</v>
      </c>
    </row>
    <row r="182" spans="1:6">
      <c r="A182">
        <v>924</v>
      </c>
      <c r="B182" s="120">
        <v>17533</v>
      </c>
      <c r="C182" t="s">
        <v>1443</v>
      </c>
      <c r="D182" s="1" t="s">
        <v>1541</v>
      </c>
      <c r="E182">
        <v>138</v>
      </c>
      <c r="F182">
        <v>309</v>
      </c>
    </row>
    <row r="183" spans="1:6">
      <c r="A183">
        <v>927</v>
      </c>
      <c r="B183" s="120">
        <v>17533</v>
      </c>
      <c r="C183" t="s">
        <v>1443</v>
      </c>
      <c r="D183" s="1" t="s">
        <v>1551</v>
      </c>
      <c r="E183">
        <v>139</v>
      </c>
      <c r="F183">
        <v>309</v>
      </c>
    </row>
    <row r="184" spans="1:6">
      <c r="A184">
        <v>928</v>
      </c>
      <c r="B184" s="120">
        <v>17533</v>
      </c>
      <c r="C184" t="s">
        <v>1443</v>
      </c>
      <c r="D184" s="1" t="s">
        <v>1552</v>
      </c>
      <c r="E184">
        <v>140</v>
      </c>
      <c r="F184">
        <v>309</v>
      </c>
    </row>
    <row r="185" spans="1:6">
      <c r="A185">
        <v>940</v>
      </c>
      <c r="B185" s="120">
        <v>18264</v>
      </c>
      <c r="C185" t="s">
        <v>1443</v>
      </c>
      <c r="D185" s="1" t="s">
        <v>1553</v>
      </c>
      <c r="E185">
        <v>2021</v>
      </c>
      <c r="F185">
        <v>309</v>
      </c>
    </row>
    <row r="186" spans="1:6">
      <c r="A186">
        <v>954</v>
      </c>
      <c r="B186" s="120">
        <v>17533</v>
      </c>
      <c r="C186" t="s">
        <v>1443</v>
      </c>
      <c r="D186" s="1" t="s">
        <v>1554</v>
      </c>
      <c r="E186">
        <v>141</v>
      </c>
      <c r="F186">
        <v>309</v>
      </c>
    </row>
    <row r="187" spans="1:6">
      <c r="A187">
        <v>955</v>
      </c>
      <c r="B187" s="120">
        <v>17533</v>
      </c>
      <c r="C187" t="s">
        <v>1443</v>
      </c>
      <c r="D187" s="1" t="s">
        <v>1555</v>
      </c>
      <c r="E187">
        <v>2040</v>
      </c>
      <c r="F187">
        <v>309</v>
      </c>
    </row>
    <row r="188" spans="1:6">
      <c r="A188">
        <v>956</v>
      </c>
      <c r="B188" s="120">
        <v>17533</v>
      </c>
      <c r="C188" t="s">
        <v>1443</v>
      </c>
      <c r="D188" s="1" t="s">
        <v>1556</v>
      </c>
      <c r="E188">
        <v>142</v>
      </c>
      <c r="F188">
        <v>309</v>
      </c>
    </row>
    <row r="189" spans="1:6">
      <c r="A189">
        <v>957</v>
      </c>
      <c r="B189" s="120">
        <v>17533</v>
      </c>
      <c r="C189" t="s">
        <v>1443</v>
      </c>
      <c r="D189" s="1" t="s">
        <v>1557</v>
      </c>
      <c r="E189">
        <v>143</v>
      </c>
      <c r="F189">
        <v>309</v>
      </c>
    </row>
    <row r="190" spans="1:6">
      <c r="A190">
        <v>959</v>
      </c>
      <c r="B190" s="120">
        <v>17533</v>
      </c>
      <c r="C190" t="s">
        <v>1443</v>
      </c>
      <c r="D190" s="1" t="s">
        <v>1558</v>
      </c>
      <c r="E190">
        <v>144</v>
      </c>
      <c r="F190">
        <v>309</v>
      </c>
    </row>
    <row r="191" spans="1:6">
      <c r="A191">
        <v>962</v>
      </c>
      <c r="B191" s="120">
        <v>17533</v>
      </c>
      <c r="C191" t="s">
        <v>1443</v>
      </c>
      <c r="D191" s="1" t="s">
        <v>1559</v>
      </c>
      <c r="E191">
        <v>145</v>
      </c>
      <c r="F191">
        <v>309</v>
      </c>
    </row>
    <row r="192" spans="1:6">
      <c r="A192">
        <v>963</v>
      </c>
      <c r="B192" s="120">
        <v>17533</v>
      </c>
      <c r="C192" t="s">
        <v>1443</v>
      </c>
      <c r="D192" s="1" t="s">
        <v>1334</v>
      </c>
      <c r="E192">
        <v>146</v>
      </c>
      <c r="F192">
        <v>309</v>
      </c>
    </row>
    <row r="193" spans="1:6">
      <c r="A193">
        <v>965</v>
      </c>
      <c r="B193" s="120">
        <v>17533</v>
      </c>
      <c r="C193" t="s">
        <v>1443</v>
      </c>
      <c r="D193" s="1" t="s">
        <v>1560</v>
      </c>
      <c r="E193">
        <v>147</v>
      </c>
      <c r="F193">
        <v>309</v>
      </c>
    </row>
    <row r="194" spans="1:6">
      <c r="A194">
        <v>966</v>
      </c>
      <c r="B194" s="120">
        <v>17533</v>
      </c>
      <c r="C194" t="s">
        <v>1443</v>
      </c>
      <c r="D194" s="1" t="s">
        <v>1335</v>
      </c>
      <c r="E194">
        <v>148</v>
      </c>
      <c r="F194">
        <v>309</v>
      </c>
    </row>
    <row r="195" spans="1:6">
      <c r="A195">
        <v>974</v>
      </c>
      <c r="B195" s="120">
        <v>18264</v>
      </c>
      <c r="C195" t="s">
        <v>1443</v>
      </c>
      <c r="D195" s="1" t="s">
        <v>1561</v>
      </c>
      <c r="E195">
        <v>1119</v>
      </c>
      <c r="F195">
        <v>413</v>
      </c>
    </row>
    <row r="196" spans="1:6">
      <c r="A196">
        <v>976</v>
      </c>
      <c r="B196" s="120">
        <v>17533</v>
      </c>
      <c r="C196" t="s">
        <v>1443</v>
      </c>
      <c r="D196" s="1" t="s">
        <v>1491</v>
      </c>
      <c r="E196">
        <v>149</v>
      </c>
      <c r="F196">
        <v>309</v>
      </c>
    </row>
    <row r="197" spans="1:6">
      <c r="A197">
        <v>978</v>
      </c>
      <c r="B197" s="120">
        <v>17533</v>
      </c>
      <c r="C197" t="s">
        <v>1443</v>
      </c>
      <c r="D197" s="1" t="s">
        <v>1562</v>
      </c>
      <c r="E197">
        <v>150</v>
      </c>
      <c r="F197">
        <v>309</v>
      </c>
    </row>
    <row r="198" spans="1:6">
      <c r="A198">
        <v>981</v>
      </c>
      <c r="B198" s="120">
        <v>17533</v>
      </c>
      <c r="C198" t="s">
        <v>1443</v>
      </c>
      <c r="D198" s="1" t="s">
        <v>1563</v>
      </c>
      <c r="E198">
        <v>151</v>
      </c>
      <c r="F198">
        <v>309</v>
      </c>
    </row>
    <row r="199" spans="1:6">
      <c r="A199">
        <v>983</v>
      </c>
      <c r="B199" s="120">
        <v>17533</v>
      </c>
      <c r="C199" t="s">
        <v>1443</v>
      </c>
      <c r="D199" s="1" t="s">
        <v>1337</v>
      </c>
      <c r="E199">
        <v>152</v>
      </c>
      <c r="F199">
        <v>309</v>
      </c>
    </row>
    <row r="200" spans="1:6">
      <c r="A200">
        <v>986</v>
      </c>
      <c r="B200" s="120">
        <v>18264</v>
      </c>
      <c r="C200" t="s">
        <v>1443</v>
      </c>
      <c r="D200" s="1" t="s">
        <v>1075</v>
      </c>
      <c r="E200">
        <v>631</v>
      </c>
      <c r="F200">
        <v>0</v>
      </c>
    </row>
    <row r="201" spans="1:6">
      <c r="A201">
        <v>987</v>
      </c>
      <c r="B201" s="120">
        <v>17533</v>
      </c>
      <c r="C201" t="s">
        <v>1443</v>
      </c>
      <c r="D201" s="1" t="s">
        <v>1016</v>
      </c>
      <c r="E201">
        <v>153</v>
      </c>
      <c r="F201">
        <v>309</v>
      </c>
    </row>
    <row r="202" spans="1:6">
      <c r="A202">
        <v>991</v>
      </c>
      <c r="B202" s="120">
        <v>17533</v>
      </c>
      <c r="C202" t="s">
        <v>1443</v>
      </c>
      <c r="D202" s="1" t="s">
        <v>1564</v>
      </c>
      <c r="E202">
        <v>154</v>
      </c>
      <c r="F202">
        <v>309</v>
      </c>
    </row>
    <row r="203" spans="1:6">
      <c r="A203">
        <v>992</v>
      </c>
      <c r="B203" s="120">
        <v>17533</v>
      </c>
      <c r="C203" t="s">
        <v>1443</v>
      </c>
      <c r="D203" s="1" t="s">
        <v>1278</v>
      </c>
      <c r="E203">
        <v>2041</v>
      </c>
      <c r="F203">
        <v>309</v>
      </c>
    </row>
    <row r="204" spans="1:6">
      <c r="A204">
        <v>993</v>
      </c>
      <c r="B204" s="120">
        <v>17533</v>
      </c>
      <c r="C204" t="s">
        <v>1443</v>
      </c>
      <c r="D204" s="1" t="s">
        <v>1565</v>
      </c>
      <c r="E204">
        <v>155</v>
      </c>
      <c r="F204">
        <v>309</v>
      </c>
    </row>
    <row r="205" spans="1:6">
      <c r="A205">
        <v>995</v>
      </c>
      <c r="B205" s="120">
        <v>18264</v>
      </c>
      <c r="C205" t="s">
        <v>1443</v>
      </c>
      <c r="D205" s="1" t="s">
        <v>1566</v>
      </c>
      <c r="E205">
        <v>1113</v>
      </c>
      <c r="F205">
        <v>0</v>
      </c>
    </row>
    <row r="206" spans="1:6">
      <c r="A206">
        <v>998</v>
      </c>
      <c r="B206" s="120">
        <v>17533</v>
      </c>
      <c r="C206" t="s">
        <v>1443</v>
      </c>
      <c r="D206" s="1" t="s">
        <v>1567</v>
      </c>
      <c r="E206">
        <v>2071</v>
      </c>
      <c r="F206">
        <v>309</v>
      </c>
    </row>
    <row r="207" spans="1:6">
      <c r="A207">
        <v>999</v>
      </c>
      <c r="B207" s="120">
        <v>18264</v>
      </c>
      <c r="C207" t="s">
        <v>1443</v>
      </c>
      <c r="D207" s="1" t="s">
        <v>1075</v>
      </c>
      <c r="E207">
        <v>631</v>
      </c>
      <c r="F207">
        <v>0</v>
      </c>
    </row>
    <row r="208" spans="1:6">
      <c r="A208">
        <v>1014</v>
      </c>
      <c r="B208" s="120">
        <v>17533</v>
      </c>
      <c r="C208" t="s">
        <v>1443</v>
      </c>
      <c r="D208" s="1" t="s">
        <v>1568</v>
      </c>
      <c r="E208">
        <v>235</v>
      </c>
      <c r="F208">
        <v>527</v>
      </c>
    </row>
    <row r="209" spans="1:6">
      <c r="A209">
        <v>1021</v>
      </c>
      <c r="B209" s="120">
        <v>17533</v>
      </c>
      <c r="C209" t="s">
        <v>1443</v>
      </c>
      <c r="D209" s="1" t="s">
        <v>1305</v>
      </c>
      <c r="E209">
        <v>156</v>
      </c>
      <c r="F209">
        <v>309</v>
      </c>
    </row>
    <row r="210" spans="1:6">
      <c r="A210">
        <v>1025</v>
      </c>
      <c r="B210" s="120">
        <v>17533</v>
      </c>
      <c r="C210" t="s">
        <v>1443</v>
      </c>
      <c r="D210" s="1" t="s">
        <v>1568</v>
      </c>
      <c r="E210">
        <v>235</v>
      </c>
      <c r="F210">
        <v>527</v>
      </c>
    </row>
    <row r="211" spans="1:6">
      <c r="A211">
        <v>1026</v>
      </c>
      <c r="B211" s="120">
        <v>17533</v>
      </c>
      <c r="C211" t="s">
        <v>1443</v>
      </c>
      <c r="D211" s="1" t="s">
        <v>1568</v>
      </c>
      <c r="E211">
        <v>235</v>
      </c>
      <c r="F211">
        <v>527</v>
      </c>
    </row>
    <row r="212" spans="1:6">
      <c r="A212">
        <v>1059</v>
      </c>
      <c r="B212" s="120">
        <v>17533</v>
      </c>
      <c r="C212" t="s">
        <v>1443</v>
      </c>
      <c r="D212" s="1" t="s">
        <v>1569</v>
      </c>
      <c r="E212">
        <v>157</v>
      </c>
      <c r="F212">
        <v>309</v>
      </c>
    </row>
    <row r="213" spans="1:6">
      <c r="A213">
        <v>1076</v>
      </c>
      <c r="B213" s="120">
        <v>18264</v>
      </c>
      <c r="C213" t="s">
        <v>1443</v>
      </c>
      <c r="D213" s="1" t="s">
        <v>883</v>
      </c>
      <c r="E213">
        <v>1089</v>
      </c>
      <c r="F213">
        <v>309</v>
      </c>
    </row>
    <row r="214" spans="1:6">
      <c r="A214">
        <v>1097</v>
      </c>
      <c r="B214" s="120">
        <v>17533</v>
      </c>
      <c r="C214" t="s">
        <v>1443</v>
      </c>
      <c r="D214" s="1" t="s">
        <v>1570</v>
      </c>
      <c r="E214">
        <v>2109</v>
      </c>
      <c r="F214">
        <v>413</v>
      </c>
    </row>
    <row r="215" spans="1:6">
      <c r="A215">
        <v>1100</v>
      </c>
      <c r="B215" s="120">
        <v>17533</v>
      </c>
      <c r="C215" t="s">
        <v>1443</v>
      </c>
      <c r="D215" s="1" t="s">
        <v>1571</v>
      </c>
      <c r="E215">
        <v>158</v>
      </c>
      <c r="F215">
        <v>309</v>
      </c>
    </row>
    <row r="216" spans="1:6">
      <c r="A216">
        <v>1111</v>
      </c>
      <c r="B216" s="120">
        <v>17533</v>
      </c>
      <c r="C216" t="s">
        <v>1443</v>
      </c>
      <c r="D216" s="1" t="s">
        <v>1572</v>
      </c>
      <c r="E216">
        <v>1106</v>
      </c>
      <c r="F216">
        <v>413</v>
      </c>
    </row>
    <row r="217" spans="1:6">
      <c r="A217">
        <v>1118</v>
      </c>
      <c r="B217" s="120">
        <v>18264</v>
      </c>
      <c r="C217" t="s">
        <v>1443</v>
      </c>
      <c r="D217" s="1" t="s">
        <v>915</v>
      </c>
      <c r="E217">
        <v>1090</v>
      </c>
      <c r="F217">
        <v>309</v>
      </c>
    </row>
    <row r="218" spans="1:6">
      <c r="A218">
        <v>1121</v>
      </c>
      <c r="B218" s="120">
        <v>17533</v>
      </c>
      <c r="C218" t="s">
        <v>1443</v>
      </c>
      <c r="D218" s="1" t="s">
        <v>1573</v>
      </c>
      <c r="E218">
        <v>159</v>
      </c>
      <c r="F218">
        <v>309</v>
      </c>
    </row>
    <row r="219" spans="1:6">
      <c r="A219">
        <v>1123</v>
      </c>
      <c r="B219" s="120">
        <v>17533</v>
      </c>
      <c r="C219" t="s">
        <v>1443</v>
      </c>
      <c r="D219" s="1" t="s">
        <v>1339</v>
      </c>
      <c r="E219">
        <v>160</v>
      </c>
      <c r="F219">
        <v>309</v>
      </c>
    </row>
    <row r="220" spans="1:6">
      <c r="A220">
        <v>1132</v>
      </c>
      <c r="B220" s="120">
        <v>18264</v>
      </c>
      <c r="C220" t="s">
        <v>1443</v>
      </c>
      <c r="D220" s="1" t="s">
        <v>917</v>
      </c>
      <c r="E220">
        <v>2074</v>
      </c>
      <c r="F220">
        <v>309</v>
      </c>
    </row>
    <row r="221" spans="1:6">
      <c r="A221">
        <v>1168</v>
      </c>
      <c r="B221" s="120">
        <v>17533</v>
      </c>
      <c r="C221" t="s">
        <v>1443</v>
      </c>
      <c r="D221" s="1" t="s">
        <v>1574</v>
      </c>
      <c r="E221">
        <v>161</v>
      </c>
      <c r="F221">
        <v>309</v>
      </c>
    </row>
    <row r="222" spans="1:6">
      <c r="A222">
        <v>1169</v>
      </c>
      <c r="B222" s="120">
        <v>17533</v>
      </c>
      <c r="C222" t="s">
        <v>1443</v>
      </c>
      <c r="D222" s="1" t="s">
        <v>1575</v>
      </c>
      <c r="E222">
        <v>162</v>
      </c>
      <c r="F222">
        <v>309</v>
      </c>
    </row>
    <row r="223" spans="1:6">
      <c r="A223">
        <v>1170</v>
      </c>
      <c r="B223" s="120">
        <v>17533</v>
      </c>
      <c r="C223" t="s">
        <v>1443</v>
      </c>
      <c r="D223" s="1" t="s">
        <v>1576</v>
      </c>
      <c r="E223">
        <v>163</v>
      </c>
      <c r="F223">
        <v>309</v>
      </c>
    </row>
    <row r="224" spans="1:6">
      <c r="A224">
        <v>1210</v>
      </c>
      <c r="B224" s="120">
        <v>17533</v>
      </c>
      <c r="C224" t="s">
        <v>1443</v>
      </c>
      <c r="D224" s="1" t="s">
        <v>1577</v>
      </c>
      <c r="E224">
        <v>2042</v>
      </c>
      <c r="F224">
        <v>309</v>
      </c>
    </row>
    <row r="225" spans="1:6">
      <c r="A225">
        <v>1247</v>
      </c>
      <c r="B225" s="120">
        <v>17533</v>
      </c>
      <c r="C225" t="s">
        <v>1443</v>
      </c>
      <c r="D225" s="1" t="s">
        <v>1578</v>
      </c>
      <c r="E225">
        <v>2104</v>
      </c>
      <c r="F225">
        <v>413</v>
      </c>
    </row>
    <row r="226" spans="1:6">
      <c r="A226">
        <v>1251</v>
      </c>
      <c r="B226" s="120">
        <v>17533</v>
      </c>
      <c r="C226" t="s">
        <v>1443</v>
      </c>
      <c r="D226" s="1" t="s">
        <v>1579</v>
      </c>
      <c r="E226">
        <v>164</v>
      </c>
      <c r="F226">
        <v>309</v>
      </c>
    </row>
    <row r="227" spans="1:6">
      <c r="A227">
        <v>1252</v>
      </c>
      <c r="B227" s="120">
        <v>18264</v>
      </c>
      <c r="C227" t="s">
        <v>1443</v>
      </c>
      <c r="D227" s="1" t="s">
        <v>1580</v>
      </c>
      <c r="E227">
        <v>2022</v>
      </c>
      <c r="F227">
        <v>309</v>
      </c>
    </row>
    <row r="228" spans="1:6">
      <c r="A228">
        <v>1260</v>
      </c>
      <c r="B228" s="120">
        <v>18264</v>
      </c>
      <c r="C228" t="s">
        <v>1443</v>
      </c>
      <c r="D228" s="1" t="s">
        <v>1533</v>
      </c>
      <c r="E228">
        <v>2062</v>
      </c>
      <c r="F228">
        <v>309</v>
      </c>
    </row>
    <row r="229" spans="1:6">
      <c r="A229">
        <v>1286</v>
      </c>
      <c r="B229" s="120">
        <v>17533</v>
      </c>
      <c r="C229" t="s">
        <v>1443</v>
      </c>
      <c r="D229" s="1" t="s">
        <v>1581</v>
      </c>
      <c r="E229">
        <v>165</v>
      </c>
      <c r="F229">
        <v>309</v>
      </c>
    </row>
    <row r="230" spans="1:6">
      <c r="A230">
        <v>1297</v>
      </c>
      <c r="B230" s="120">
        <v>17533</v>
      </c>
      <c r="C230" t="s">
        <v>1443</v>
      </c>
      <c r="D230" s="1" t="s">
        <v>1582</v>
      </c>
      <c r="E230">
        <v>166</v>
      </c>
      <c r="F230">
        <v>309</v>
      </c>
    </row>
    <row r="231" spans="1:6">
      <c r="A231">
        <v>1319</v>
      </c>
      <c r="B231" s="120">
        <v>18264</v>
      </c>
      <c r="C231" t="s">
        <v>1443</v>
      </c>
      <c r="D231" s="1" t="s">
        <v>1583</v>
      </c>
      <c r="E231">
        <v>2115</v>
      </c>
      <c r="F231">
        <v>413</v>
      </c>
    </row>
    <row r="232" spans="1:6">
      <c r="A232">
        <v>1348</v>
      </c>
      <c r="B232" s="120">
        <v>17533</v>
      </c>
      <c r="C232" t="s">
        <v>1443</v>
      </c>
      <c r="D232" s="1" t="s">
        <v>1584</v>
      </c>
      <c r="E232">
        <v>167</v>
      </c>
      <c r="F232">
        <v>309</v>
      </c>
    </row>
    <row r="233" spans="1:6">
      <c r="A233">
        <v>1349</v>
      </c>
      <c r="B233" s="120">
        <v>17533</v>
      </c>
      <c r="C233" t="s">
        <v>1443</v>
      </c>
      <c r="D233" s="1" t="s">
        <v>1585</v>
      </c>
      <c r="E233">
        <v>168</v>
      </c>
      <c r="F233">
        <v>309</v>
      </c>
    </row>
    <row r="234" spans="1:6">
      <c r="A234">
        <v>1365</v>
      </c>
      <c r="B234" s="120">
        <v>17533</v>
      </c>
      <c r="C234" t="s">
        <v>1443</v>
      </c>
      <c r="D234" s="1" t="s">
        <v>1083</v>
      </c>
      <c r="E234">
        <v>253</v>
      </c>
      <c r="F234">
        <v>413</v>
      </c>
    </row>
    <row r="235" spans="1:6">
      <c r="A235">
        <v>1368</v>
      </c>
      <c r="B235" s="120">
        <v>18264</v>
      </c>
      <c r="C235" t="s">
        <v>1443</v>
      </c>
      <c r="D235" s="1" t="s">
        <v>1586</v>
      </c>
      <c r="E235">
        <v>251</v>
      </c>
      <c r="F235">
        <v>0</v>
      </c>
    </row>
    <row r="236" spans="1:6">
      <c r="A236">
        <v>1375</v>
      </c>
      <c r="B236" s="120">
        <v>17533</v>
      </c>
      <c r="C236" t="s">
        <v>1443</v>
      </c>
      <c r="D236" s="1" t="s">
        <v>1587</v>
      </c>
      <c r="E236">
        <v>1121</v>
      </c>
      <c r="F236">
        <v>413</v>
      </c>
    </row>
    <row r="237" spans="1:6">
      <c r="A237">
        <v>1389</v>
      </c>
      <c r="B237" s="120">
        <v>17533</v>
      </c>
      <c r="C237" t="s">
        <v>1443</v>
      </c>
      <c r="D237" s="1" t="s">
        <v>1588</v>
      </c>
      <c r="E237">
        <v>169</v>
      </c>
      <c r="F237">
        <v>309</v>
      </c>
    </row>
    <row r="238" spans="1:6">
      <c r="A238">
        <v>1397</v>
      </c>
      <c r="B238" s="120">
        <v>17533</v>
      </c>
      <c r="C238" t="s">
        <v>1443</v>
      </c>
      <c r="D238" s="1" t="s">
        <v>1589</v>
      </c>
      <c r="E238">
        <v>1110</v>
      </c>
      <c r="F238">
        <v>413</v>
      </c>
    </row>
    <row r="239" spans="1:6">
      <c r="A239">
        <v>1398</v>
      </c>
      <c r="B239" s="120">
        <v>17533</v>
      </c>
      <c r="C239" t="s">
        <v>1443</v>
      </c>
      <c r="D239" s="1" t="s">
        <v>1590</v>
      </c>
      <c r="E239">
        <v>2116</v>
      </c>
      <c r="F239">
        <v>413</v>
      </c>
    </row>
    <row r="240" spans="1:6">
      <c r="A240">
        <v>1399</v>
      </c>
      <c r="B240" s="120">
        <v>17533</v>
      </c>
      <c r="C240" t="s">
        <v>1443</v>
      </c>
      <c r="D240" s="1" t="s">
        <v>1591</v>
      </c>
      <c r="E240">
        <v>1110</v>
      </c>
      <c r="F240">
        <v>413</v>
      </c>
    </row>
    <row r="241" spans="1:6">
      <c r="A241">
        <v>1400</v>
      </c>
      <c r="B241" s="120">
        <v>43472</v>
      </c>
      <c r="C241" t="s">
        <v>1443</v>
      </c>
      <c r="D241" s="1" t="s">
        <v>1592</v>
      </c>
      <c r="E241">
        <v>1124</v>
      </c>
      <c r="F241">
        <v>413</v>
      </c>
    </row>
    <row r="242" spans="1:6">
      <c r="A242">
        <v>1405</v>
      </c>
      <c r="B242" s="120">
        <v>17533</v>
      </c>
      <c r="C242" t="s">
        <v>1443</v>
      </c>
      <c r="D242" s="1" t="s">
        <v>1566</v>
      </c>
      <c r="E242">
        <v>1109</v>
      </c>
      <c r="F242">
        <v>413</v>
      </c>
    </row>
    <row r="243" spans="1:6">
      <c r="A243">
        <v>1412</v>
      </c>
      <c r="B243" s="120">
        <v>17533</v>
      </c>
      <c r="C243" t="s">
        <v>1443</v>
      </c>
      <c r="D243" s="1" t="s">
        <v>1593</v>
      </c>
      <c r="E243">
        <v>2108</v>
      </c>
      <c r="F243">
        <v>413</v>
      </c>
    </row>
    <row r="244" spans="1:6">
      <c r="A244">
        <v>1414</v>
      </c>
      <c r="B244" s="120">
        <v>17533</v>
      </c>
      <c r="C244" t="s">
        <v>1443</v>
      </c>
      <c r="D244" s="1" t="s">
        <v>1594</v>
      </c>
      <c r="E244">
        <v>2480249</v>
      </c>
      <c r="F244">
        <v>527</v>
      </c>
    </row>
    <row r="245" spans="1:6">
      <c r="A245">
        <v>1424</v>
      </c>
      <c r="B245" s="120">
        <v>17533</v>
      </c>
      <c r="C245" t="s">
        <v>1443</v>
      </c>
      <c r="D245" s="1" t="s">
        <v>1595</v>
      </c>
      <c r="E245">
        <v>236</v>
      </c>
      <c r="F245">
        <v>527</v>
      </c>
    </row>
    <row r="246" spans="1:6">
      <c r="A246">
        <v>1450</v>
      </c>
      <c r="B246" s="120">
        <v>18264</v>
      </c>
      <c r="C246" t="s">
        <v>1443</v>
      </c>
      <c r="D246" s="1" t="s">
        <v>1596</v>
      </c>
      <c r="E246">
        <v>1116</v>
      </c>
      <c r="F246">
        <v>413</v>
      </c>
    </row>
    <row r="247" spans="1:6">
      <c r="A247">
        <v>1470</v>
      </c>
      <c r="B247" s="120">
        <v>17533</v>
      </c>
      <c r="C247" t="s">
        <v>1443</v>
      </c>
      <c r="D247" s="1" t="s">
        <v>1597</v>
      </c>
      <c r="E247">
        <v>170</v>
      </c>
      <c r="F247">
        <v>309</v>
      </c>
    </row>
    <row r="248" spans="1:6">
      <c r="A248">
        <v>1471</v>
      </c>
      <c r="B248" s="120">
        <v>17533</v>
      </c>
      <c r="C248" t="s">
        <v>1443</v>
      </c>
      <c r="D248" s="1" t="s">
        <v>1508</v>
      </c>
      <c r="E248">
        <v>171</v>
      </c>
      <c r="F248">
        <v>309</v>
      </c>
    </row>
    <row r="249" spans="1:6">
      <c r="A249">
        <v>1478</v>
      </c>
      <c r="B249" s="120">
        <v>17533</v>
      </c>
      <c r="C249" t="s">
        <v>1443</v>
      </c>
      <c r="D249" s="1" t="s">
        <v>1422</v>
      </c>
      <c r="E249">
        <v>172</v>
      </c>
      <c r="F249">
        <v>309</v>
      </c>
    </row>
    <row r="250" spans="1:6">
      <c r="A250">
        <v>1489</v>
      </c>
      <c r="B250" s="120">
        <v>17533</v>
      </c>
      <c r="C250" t="s">
        <v>1443</v>
      </c>
      <c r="D250" s="1" t="s">
        <v>1598</v>
      </c>
      <c r="E250">
        <v>2043</v>
      </c>
      <c r="F250">
        <v>309</v>
      </c>
    </row>
    <row r="251" spans="1:6">
      <c r="A251">
        <v>1497</v>
      </c>
      <c r="B251" s="120">
        <v>18264</v>
      </c>
      <c r="C251" t="s">
        <v>1443</v>
      </c>
      <c r="D251" s="1" t="s">
        <v>1599</v>
      </c>
      <c r="E251">
        <v>1114</v>
      </c>
      <c r="F251">
        <v>413</v>
      </c>
    </row>
    <row r="252" spans="1:6">
      <c r="A252">
        <v>1498</v>
      </c>
      <c r="B252" s="120">
        <v>17533</v>
      </c>
      <c r="C252" t="s">
        <v>1443</v>
      </c>
      <c r="D252" s="1" t="s">
        <v>1600</v>
      </c>
      <c r="E252">
        <v>200</v>
      </c>
      <c r="F252">
        <v>413</v>
      </c>
    </row>
    <row r="253" spans="1:6">
      <c r="A253">
        <v>1501</v>
      </c>
      <c r="B253" s="120">
        <v>17533</v>
      </c>
      <c r="C253" t="s">
        <v>1443</v>
      </c>
      <c r="D253" s="1" t="s">
        <v>1601</v>
      </c>
      <c r="E253">
        <v>173</v>
      </c>
      <c r="F253">
        <v>309</v>
      </c>
    </row>
    <row r="254" spans="1:6">
      <c r="A254">
        <v>1565</v>
      </c>
      <c r="B254" s="120">
        <v>17533</v>
      </c>
      <c r="C254" t="s">
        <v>1443</v>
      </c>
      <c r="D254" s="1" t="s">
        <v>1602</v>
      </c>
      <c r="E254">
        <v>174</v>
      </c>
      <c r="F254">
        <v>309</v>
      </c>
    </row>
    <row r="255" spans="1:6">
      <c r="A255">
        <v>1592</v>
      </c>
      <c r="B255" s="120">
        <v>17533</v>
      </c>
      <c r="C255" t="s">
        <v>1443</v>
      </c>
      <c r="D255" s="1" t="s">
        <v>1603</v>
      </c>
      <c r="E255">
        <v>175</v>
      </c>
      <c r="F255">
        <v>309</v>
      </c>
    </row>
    <row r="256" spans="1:6">
      <c r="A256">
        <v>1607</v>
      </c>
      <c r="B256" s="120">
        <v>17533</v>
      </c>
      <c r="C256" t="s">
        <v>1443</v>
      </c>
      <c r="D256" s="1" t="s">
        <v>1604</v>
      </c>
      <c r="E256">
        <v>176</v>
      </c>
      <c r="F256">
        <v>309</v>
      </c>
    </row>
    <row r="257" spans="1:6">
      <c r="A257">
        <v>1613</v>
      </c>
      <c r="B257" s="120">
        <v>17533</v>
      </c>
      <c r="C257" t="s">
        <v>1443</v>
      </c>
      <c r="D257" s="1" t="s">
        <v>1605</v>
      </c>
      <c r="E257">
        <v>1101</v>
      </c>
      <c r="F257">
        <v>413</v>
      </c>
    </row>
    <row r="258" spans="1:6">
      <c r="A258">
        <v>1614</v>
      </c>
      <c r="B258" s="120">
        <v>17533</v>
      </c>
      <c r="C258" t="s">
        <v>1443</v>
      </c>
      <c r="D258" s="1" t="s">
        <v>1606</v>
      </c>
      <c r="E258">
        <v>177</v>
      </c>
      <c r="F258">
        <v>309</v>
      </c>
    </row>
    <row r="259" spans="1:6">
      <c r="A259">
        <v>1615</v>
      </c>
      <c r="B259" s="120">
        <v>17533</v>
      </c>
      <c r="C259" t="s">
        <v>1443</v>
      </c>
      <c r="D259" s="1" t="s">
        <v>1607</v>
      </c>
      <c r="E259">
        <v>178</v>
      </c>
      <c r="F259">
        <v>309</v>
      </c>
    </row>
    <row r="260" spans="1:6">
      <c r="A260">
        <v>1616</v>
      </c>
      <c r="B260" s="120">
        <v>17533</v>
      </c>
      <c r="C260" t="s">
        <v>1443</v>
      </c>
      <c r="D260" s="1" t="s">
        <v>1608</v>
      </c>
      <c r="E260">
        <v>179</v>
      </c>
      <c r="F260">
        <v>309</v>
      </c>
    </row>
    <row r="261" spans="1:6">
      <c r="A261">
        <v>1617</v>
      </c>
      <c r="B261" s="120">
        <v>17533</v>
      </c>
      <c r="C261" t="s">
        <v>1443</v>
      </c>
      <c r="D261" s="1" t="s">
        <v>1609</v>
      </c>
      <c r="E261">
        <v>180</v>
      </c>
      <c r="F261">
        <v>309</v>
      </c>
    </row>
    <row r="262" spans="1:6">
      <c r="A262">
        <v>1618</v>
      </c>
      <c r="B262" s="120">
        <v>17533</v>
      </c>
      <c r="C262" t="s">
        <v>1443</v>
      </c>
      <c r="D262" s="1" t="s">
        <v>1610</v>
      </c>
      <c r="E262">
        <v>181</v>
      </c>
      <c r="F262">
        <v>309</v>
      </c>
    </row>
    <row r="263" spans="1:6">
      <c r="A263">
        <v>1619</v>
      </c>
      <c r="B263" s="120">
        <v>17533</v>
      </c>
      <c r="C263" t="s">
        <v>1443</v>
      </c>
      <c r="D263" s="1" t="s">
        <v>1611</v>
      </c>
      <c r="E263">
        <v>182</v>
      </c>
      <c r="F263">
        <v>309</v>
      </c>
    </row>
    <row r="264" spans="1:6">
      <c r="A264">
        <v>1632</v>
      </c>
      <c r="B264" s="120">
        <v>17533</v>
      </c>
      <c r="C264" t="s">
        <v>1443</v>
      </c>
      <c r="D264" s="1" t="s">
        <v>1612</v>
      </c>
      <c r="E264">
        <v>183</v>
      </c>
      <c r="F264">
        <v>309</v>
      </c>
    </row>
    <row r="265" spans="1:6">
      <c r="A265">
        <v>1640</v>
      </c>
      <c r="B265" s="120">
        <v>17533</v>
      </c>
      <c r="C265" t="s">
        <v>1443</v>
      </c>
      <c r="D265" s="1" t="s">
        <v>1613</v>
      </c>
      <c r="E265">
        <v>184</v>
      </c>
      <c r="F265">
        <v>309</v>
      </c>
    </row>
    <row r="266" spans="1:6">
      <c r="A266">
        <v>1647</v>
      </c>
      <c r="B266" s="120">
        <v>17533</v>
      </c>
      <c r="C266" t="s">
        <v>1443</v>
      </c>
      <c r="D266" s="1" t="s">
        <v>1614</v>
      </c>
      <c r="E266">
        <v>185</v>
      </c>
      <c r="F266">
        <v>309</v>
      </c>
    </row>
    <row r="267" spans="1:6">
      <c r="A267">
        <v>1648</v>
      </c>
      <c r="B267" s="120">
        <v>17533</v>
      </c>
      <c r="C267" t="s">
        <v>1443</v>
      </c>
      <c r="D267" s="1" t="s">
        <v>1615</v>
      </c>
      <c r="E267">
        <v>186</v>
      </c>
      <c r="F267">
        <v>309</v>
      </c>
    </row>
    <row r="268" spans="1:6">
      <c r="A268">
        <v>1653</v>
      </c>
      <c r="B268" s="120">
        <v>17533</v>
      </c>
      <c r="C268" t="s">
        <v>1443</v>
      </c>
      <c r="D268" s="1" t="s">
        <v>1616</v>
      </c>
      <c r="E268">
        <v>187</v>
      </c>
      <c r="F268">
        <v>309</v>
      </c>
    </row>
    <row r="269" spans="1:6">
      <c r="A269">
        <v>1661</v>
      </c>
      <c r="B269" s="120">
        <v>17533</v>
      </c>
      <c r="C269" t="s">
        <v>1443</v>
      </c>
      <c r="D269" s="1" t="s">
        <v>1617</v>
      </c>
      <c r="E269">
        <v>188</v>
      </c>
      <c r="F269">
        <v>309</v>
      </c>
    </row>
    <row r="270" spans="1:6">
      <c r="A270">
        <v>1672</v>
      </c>
      <c r="B270" s="120">
        <v>17533</v>
      </c>
      <c r="C270" t="s">
        <v>1443</v>
      </c>
      <c r="D270" s="1" t="s">
        <v>1618</v>
      </c>
      <c r="E270">
        <v>189</v>
      </c>
      <c r="F270">
        <v>309</v>
      </c>
    </row>
    <row r="271" spans="1:6">
      <c r="A271">
        <v>1697</v>
      </c>
      <c r="B271" s="120">
        <v>17533</v>
      </c>
      <c r="C271" t="s">
        <v>1443</v>
      </c>
      <c r="D271" s="1" t="s">
        <v>1619</v>
      </c>
      <c r="E271">
        <v>190</v>
      </c>
      <c r="F271">
        <v>309</v>
      </c>
    </row>
    <row r="272" spans="1:6">
      <c r="A272">
        <v>1699</v>
      </c>
      <c r="B272" s="120">
        <v>17533</v>
      </c>
      <c r="C272" t="s">
        <v>1443</v>
      </c>
      <c r="D272" s="1" t="s">
        <v>1375</v>
      </c>
      <c r="E272">
        <v>191</v>
      </c>
      <c r="F272">
        <v>309</v>
      </c>
    </row>
    <row r="273" spans="1:6">
      <c r="A273">
        <v>1710</v>
      </c>
      <c r="B273" s="120">
        <v>18264</v>
      </c>
      <c r="C273" t="s">
        <v>1443</v>
      </c>
      <c r="D273" s="1" t="s">
        <v>1620</v>
      </c>
      <c r="E273">
        <v>1118</v>
      </c>
      <c r="F273">
        <v>413</v>
      </c>
    </row>
    <row r="274" spans="1:6">
      <c r="A274">
        <v>1771</v>
      </c>
      <c r="B274" s="120">
        <v>18264</v>
      </c>
      <c r="C274" t="s">
        <v>1443</v>
      </c>
      <c r="D274" s="1" t="s">
        <v>1621</v>
      </c>
      <c r="E274">
        <v>1123</v>
      </c>
      <c r="F274">
        <v>413</v>
      </c>
    </row>
    <row r="275" spans="1:6">
      <c r="A275">
        <v>1792</v>
      </c>
      <c r="B275" s="120">
        <v>17533</v>
      </c>
      <c r="C275" t="s">
        <v>1443</v>
      </c>
      <c r="D275" s="1" t="s">
        <v>943</v>
      </c>
      <c r="E275">
        <v>192</v>
      </c>
      <c r="F275">
        <v>309</v>
      </c>
    </row>
    <row r="276" spans="1:6">
      <c r="A276">
        <v>1799</v>
      </c>
      <c r="B276" s="120">
        <v>17533</v>
      </c>
      <c r="C276" t="s">
        <v>1443</v>
      </c>
      <c r="D276" s="1" t="s">
        <v>85</v>
      </c>
      <c r="E276">
        <v>220</v>
      </c>
      <c r="F276">
        <v>527</v>
      </c>
    </row>
    <row r="277" spans="1:6">
      <c r="A277">
        <v>1866</v>
      </c>
      <c r="B277" s="120">
        <v>18264</v>
      </c>
      <c r="C277" t="s">
        <v>1443</v>
      </c>
      <c r="D277" s="1" t="s">
        <v>1622</v>
      </c>
      <c r="E277">
        <v>234</v>
      </c>
      <c r="F277">
        <v>0</v>
      </c>
    </row>
    <row r="278" spans="1:6">
      <c r="A278">
        <v>1921</v>
      </c>
      <c r="B278" s="120">
        <v>18264</v>
      </c>
      <c r="C278" t="s">
        <v>1443</v>
      </c>
      <c r="D278" s="1" t="s">
        <v>1623</v>
      </c>
      <c r="E278">
        <v>245</v>
      </c>
      <c r="F278">
        <v>0</v>
      </c>
    </row>
    <row r="279" spans="1:6">
      <c r="A279">
        <v>1922</v>
      </c>
      <c r="B279" s="120">
        <v>43466</v>
      </c>
      <c r="C279" t="s">
        <v>1443</v>
      </c>
      <c r="D279" s="1" t="s">
        <v>1624</v>
      </c>
      <c r="E279">
        <v>2112</v>
      </c>
      <c r="F279">
        <v>413</v>
      </c>
    </row>
    <row r="280" spans="1:6">
      <c r="A280">
        <v>1924</v>
      </c>
      <c r="B280" s="120">
        <v>18264</v>
      </c>
      <c r="C280" t="s">
        <v>1443</v>
      </c>
      <c r="D280" s="1" t="s">
        <v>1625</v>
      </c>
      <c r="E280">
        <v>261</v>
      </c>
      <c r="F280">
        <v>0</v>
      </c>
    </row>
    <row r="281" spans="1:6">
      <c r="A281">
        <v>1925</v>
      </c>
      <c r="B281" s="120">
        <v>17533</v>
      </c>
      <c r="C281" t="s">
        <v>1443</v>
      </c>
      <c r="D281" s="1" t="s">
        <v>1626</v>
      </c>
      <c r="E281">
        <v>260</v>
      </c>
      <c r="F281">
        <v>527</v>
      </c>
    </row>
    <row r="282" spans="1:6">
      <c r="A282">
        <v>1942</v>
      </c>
      <c r="B282" s="120">
        <v>17533</v>
      </c>
      <c r="C282" t="s">
        <v>1443</v>
      </c>
      <c r="D282" s="1" t="s">
        <v>1275</v>
      </c>
      <c r="E282">
        <v>193</v>
      </c>
      <c r="F282">
        <v>309</v>
      </c>
    </row>
    <row r="283" spans="1:6">
      <c r="A283">
        <v>1944</v>
      </c>
      <c r="B283" s="120">
        <v>17533</v>
      </c>
      <c r="C283" t="s">
        <v>1443</v>
      </c>
      <c r="D283" s="1" t="s">
        <v>1627</v>
      </c>
      <c r="E283">
        <v>194</v>
      </c>
      <c r="F283">
        <v>309</v>
      </c>
    </row>
    <row r="284" spans="1:6">
      <c r="A284">
        <v>1948</v>
      </c>
      <c r="B284" s="120">
        <v>17533</v>
      </c>
      <c r="C284" t="s">
        <v>1443</v>
      </c>
      <c r="D284" s="1" t="s">
        <v>1628</v>
      </c>
      <c r="E284">
        <v>2053</v>
      </c>
      <c r="F284">
        <v>309</v>
      </c>
    </row>
    <row r="285" spans="1:6">
      <c r="A285">
        <v>1951</v>
      </c>
      <c r="B285" s="120">
        <v>17533</v>
      </c>
      <c r="C285" t="s">
        <v>1443</v>
      </c>
      <c r="D285" s="1" t="s">
        <v>1629</v>
      </c>
      <c r="E285">
        <v>195</v>
      </c>
      <c r="F285">
        <v>309</v>
      </c>
    </row>
    <row r="286" spans="1:6">
      <c r="A286">
        <v>1957</v>
      </c>
      <c r="B286" s="120">
        <v>17533</v>
      </c>
      <c r="C286" t="s">
        <v>1443</v>
      </c>
      <c r="D286" s="1" t="s">
        <v>1321</v>
      </c>
      <c r="E286">
        <v>196</v>
      </c>
      <c r="F286">
        <v>309</v>
      </c>
    </row>
    <row r="287" spans="1:6">
      <c r="A287">
        <v>1961</v>
      </c>
      <c r="B287" s="120">
        <v>17533</v>
      </c>
      <c r="C287" t="s">
        <v>1443</v>
      </c>
      <c r="D287" s="1" t="s">
        <v>950</v>
      </c>
      <c r="E287">
        <v>197</v>
      </c>
      <c r="F287">
        <v>309</v>
      </c>
    </row>
    <row r="288" spans="1:6">
      <c r="A288">
        <v>1962</v>
      </c>
      <c r="B288" s="120">
        <v>17533</v>
      </c>
      <c r="C288" t="s">
        <v>1443</v>
      </c>
      <c r="D288" s="1" t="s">
        <v>1630</v>
      </c>
      <c r="E288">
        <v>198</v>
      </c>
      <c r="F288">
        <v>309</v>
      </c>
    </row>
    <row r="289" spans="1:6">
      <c r="A289">
        <v>1964</v>
      </c>
      <c r="B289" s="120">
        <v>17533</v>
      </c>
      <c r="C289" t="s">
        <v>1443</v>
      </c>
      <c r="D289" s="1" t="s">
        <v>1631</v>
      </c>
      <c r="E289">
        <v>199</v>
      </c>
      <c r="F289">
        <v>309</v>
      </c>
    </row>
    <row r="290" spans="1:6">
      <c r="A290">
        <v>1965</v>
      </c>
      <c r="B290" s="120">
        <v>17533</v>
      </c>
      <c r="C290" t="s">
        <v>1443</v>
      </c>
      <c r="D290" s="1" t="s">
        <v>1632</v>
      </c>
      <c r="E290">
        <v>1005</v>
      </c>
      <c r="F290">
        <v>309</v>
      </c>
    </row>
    <row r="291" spans="1:6">
      <c r="A291">
        <v>1968</v>
      </c>
      <c r="B291" s="120">
        <v>17533</v>
      </c>
      <c r="C291" t="s">
        <v>1443</v>
      </c>
      <c r="D291" s="1" t="s">
        <v>1633</v>
      </c>
      <c r="E291">
        <v>1006</v>
      </c>
      <c r="F291">
        <v>309</v>
      </c>
    </row>
    <row r="292" spans="1:6">
      <c r="A292">
        <v>1972</v>
      </c>
      <c r="B292" s="120">
        <v>43473</v>
      </c>
      <c r="C292" t="s">
        <v>1443</v>
      </c>
      <c r="D292" s="1" t="s">
        <v>1634</v>
      </c>
      <c r="E292">
        <v>1125</v>
      </c>
      <c r="F292">
        <v>309</v>
      </c>
    </row>
    <row r="293" spans="1:6">
      <c r="A293">
        <v>1973</v>
      </c>
      <c r="B293" s="120">
        <v>17533</v>
      </c>
      <c r="C293" t="s">
        <v>1443</v>
      </c>
      <c r="D293" s="1" t="s">
        <v>1323</v>
      </c>
      <c r="E293">
        <v>1007</v>
      </c>
      <c r="F293">
        <v>309</v>
      </c>
    </row>
    <row r="294" spans="1:6">
      <c r="A294">
        <v>1974</v>
      </c>
      <c r="B294" s="120">
        <v>44927</v>
      </c>
      <c r="C294" t="s">
        <v>1443</v>
      </c>
      <c r="D294" s="1" t="s">
        <v>1635</v>
      </c>
      <c r="E294">
        <v>4003</v>
      </c>
      <c r="F294">
        <v>309</v>
      </c>
    </row>
    <row r="295" spans="1:6">
      <c r="A295">
        <v>1978</v>
      </c>
      <c r="B295" s="120">
        <v>17533</v>
      </c>
      <c r="C295" t="s">
        <v>1443</v>
      </c>
      <c r="D295" s="1" t="s">
        <v>1324</v>
      </c>
      <c r="E295">
        <v>1008</v>
      </c>
      <c r="F295">
        <v>309</v>
      </c>
    </row>
    <row r="296" spans="1:6">
      <c r="A296">
        <v>1982</v>
      </c>
      <c r="B296" s="120">
        <v>17533</v>
      </c>
      <c r="C296" t="s">
        <v>1443</v>
      </c>
      <c r="D296" s="1" t="s">
        <v>1345</v>
      </c>
      <c r="E296">
        <v>1009</v>
      </c>
      <c r="F296">
        <v>309</v>
      </c>
    </row>
    <row r="297" spans="1:6">
      <c r="A297">
        <v>1987</v>
      </c>
      <c r="B297" s="120">
        <v>17533</v>
      </c>
      <c r="C297" t="s">
        <v>1443</v>
      </c>
      <c r="D297" s="1" t="s">
        <v>1346</v>
      </c>
      <c r="E297">
        <v>1010</v>
      </c>
      <c r="F297">
        <v>309</v>
      </c>
    </row>
    <row r="298" spans="1:6">
      <c r="A298">
        <v>1989</v>
      </c>
      <c r="B298" s="120">
        <v>17533</v>
      </c>
      <c r="C298" t="s">
        <v>1443</v>
      </c>
      <c r="D298" s="1" t="s">
        <v>1636</v>
      </c>
      <c r="E298">
        <v>1011</v>
      </c>
      <c r="F298">
        <v>309</v>
      </c>
    </row>
    <row r="299" spans="1:6">
      <c r="A299">
        <v>1992</v>
      </c>
      <c r="B299" s="120">
        <v>14611</v>
      </c>
      <c r="C299" t="s">
        <v>1443</v>
      </c>
      <c r="D299" s="1" t="s">
        <v>1511</v>
      </c>
      <c r="E299">
        <v>2052</v>
      </c>
      <c r="F299">
        <v>309</v>
      </c>
    </row>
    <row r="300" spans="1:6">
      <c r="A300">
        <v>2255</v>
      </c>
      <c r="B300" s="120">
        <v>17533</v>
      </c>
      <c r="C300" t="s">
        <v>1443</v>
      </c>
      <c r="D300" s="1" t="s">
        <v>1637</v>
      </c>
      <c r="E300">
        <v>296</v>
      </c>
      <c r="F300">
        <v>413</v>
      </c>
    </row>
    <row r="301" spans="1:6">
      <c r="A301">
        <v>2256</v>
      </c>
      <c r="B301" s="120">
        <v>17533</v>
      </c>
      <c r="C301" t="s">
        <v>1443</v>
      </c>
      <c r="D301" s="1" t="s">
        <v>1638</v>
      </c>
      <c r="E301">
        <v>298</v>
      </c>
      <c r="F301">
        <v>413</v>
      </c>
    </row>
    <row r="302" spans="1:6">
      <c r="A302">
        <v>2345</v>
      </c>
      <c r="B302" s="120">
        <v>17533</v>
      </c>
      <c r="C302" t="s">
        <v>1443</v>
      </c>
      <c r="D302" s="1" t="s">
        <v>1639</v>
      </c>
      <c r="E302">
        <v>287</v>
      </c>
      <c r="F302">
        <v>0</v>
      </c>
    </row>
    <row r="303" spans="1:6">
      <c r="A303">
        <v>4128</v>
      </c>
      <c r="B303" s="120">
        <v>17533</v>
      </c>
      <c r="C303" t="s">
        <v>1443</v>
      </c>
      <c r="D303" s="1" t="s">
        <v>1640</v>
      </c>
      <c r="E303">
        <v>1104</v>
      </c>
      <c r="F303">
        <v>413</v>
      </c>
    </row>
    <row r="304" spans="1:6">
      <c r="A304">
        <v>4135</v>
      </c>
      <c r="B304" s="120">
        <v>17533</v>
      </c>
      <c r="C304" t="s">
        <v>1443</v>
      </c>
      <c r="D304" s="1" t="s">
        <v>1641</v>
      </c>
      <c r="E304">
        <v>1012</v>
      </c>
      <c r="F304">
        <v>309</v>
      </c>
    </row>
    <row r="305" spans="1:6">
      <c r="A305">
        <v>4144</v>
      </c>
      <c r="B305" s="120">
        <v>18264</v>
      </c>
      <c r="C305" t="s">
        <v>1443</v>
      </c>
      <c r="D305" s="1" t="s">
        <v>1642</v>
      </c>
      <c r="E305">
        <v>1091</v>
      </c>
      <c r="F305">
        <v>309</v>
      </c>
    </row>
    <row r="306" spans="1:6">
      <c r="A306">
        <v>4147</v>
      </c>
      <c r="B306" s="120">
        <v>17533</v>
      </c>
      <c r="C306" t="s">
        <v>1443</v>
      </c>
      <c r="D306" s="1" t="s">
        <v>1643</v>
      </c>
      <c r="E306">
        <v>1013</v>
      </c>
      <c r="F306">
        <v>309</v>
      </c>
    </row>
    <row r="307" spans="1:6">
      <c r="A307">
        <v>4169</v>
      </c>
      <c r="B307" s="120">
        <v>17533</v>
      </c>
      <c r="C307" t="s">
        <v>1443</v>
      </c>
      <c r="D307" s="1" t="s">
        <v>1644</v>
      </c>
      <c r="E307">
        <v>1014</v>
      </c>
      <c r="F307">
        <v>309</v>
      </c>
    </row>
    <row r="308" spans="1:6">
      <c r="A308">
        <v>4179</v>
      </c>
      <c r="B308" s="120">
        <v>18264</v>
      </c>
      <c r="C308" t="s">
        <v>1443</v>
      </c>
      <c r="D308" s="1" t="s">
        <v>1645</v>
      </c>
      <c r="E308">
        <v>289</v>
      </c>
      <c r="F308">
        <v>0</v>
      </c>
    </row>
    <row r="309" spans="1:6">
      <c r="A309">
        <v>4180</v>
      </c>
      <c r="B309" s="120">
        <v>17533</v>
      </c>
      <c r="C309" t="s">
        <v>1443</v>
      </c>
      <c r="D309" s="1" t="s">
        <v>1646</v>
      </c>
      <c r="E309">
        <v>1015</v>
      </c>
      <c r="F309">
        <v>309</v>
      </c>
    </row>
    <row r="310" spans="1:6">
      <c r="A310">
        <v>4196</v>
      </c>
      <c r="B310" s="120">
        <v>17533</v>
      </c>
      <c r="C310" t="s">
        <v>1443</v>
      </c>
      <c r="D310" s="1" t="s">
        <v>1647</v>
      </c>
      <c r="E310">
        <v>2070</v>
      </c>
      <c r="F310">
        <v>309</v>
      </c>
    </row>
    <row r="311" spans="1:6">
      <c r="A311">
        <v>4209</v>
      </c>
      <c r="B311" s="120">
        <v>17533</v>
      </c>
      <c r="C311" t="s">
        <v>1443</v>
      </c>
      <c r="D311" s="1" t="s">
        <v>1648</v>
      </c>
      <c r="E311">
        <v>1016</v>
      </c>
      <c r="F311">
        <v>309</v>
      </c>
    </row>
    <row r="312" spans="1:6">
      <c r="A312">
        <v>4220</v>
      </c>
      <c r="B312" s="120">
        <v>17533</v>
      </c>
      <c r="C312" t="s">
        <v>1443</v>
      </c>
      <c r="D312" s="1" t="s">
        <v>1649</v>
      </c>
      <c r="E312">
        <v>4012</v>
      </c>
      <c r="F312">
        <v>309</v>
      </c>
    </row>
    <row r="313" spans="1:6">
      <c r="A313">
        <v>4233</v>
      </c>
      <c r="B313" s="120">
        <v>17533</v>
      </c>
      <c r="C313" t="s">
        <v>1443</v>
      </c>
      <c r="D313" s="1" t="s">
        <v>1650</v>
      </c>
      <c r="E313">
        <v>1017</v>
      </c>
      <c r="F313">
        <v>309</v>
      </c>
    </row>
    <row r="314" spans="1:6">
      <c r="A314">
        <v>4244</v>
      </c>
      <c r="B314" s="120">
        <v>17533</v>
      </c>
      <c r="C314" t="s">
        <v>1443</v>
      </c>
      <c r="D314" s="1" t="s">
        <v>1348</v>
      </c>
      <c r="E314">
        <v>1018</v>
      </c>
      <c r="F314">
        <v>309</v>
      </c>
    </row>
    <row r="315" spans="1:6">
      <c r="A315">
        <v>4248</v>
      </c>
      <c r="B315" s="120">
        <v>17533</v>
      </c>
      <c r="C315" t="s">
        <v>1443</v>
      </c>
      <c r="D315" s="1" t="s">
        <v>1651</v>
      </c>
      <c r="E315">
        <v>2105</v>
      </c>
      <c r="F315">
        <v>413</v>
      </c>
    </row>
    <row r="316" spans="1:6">
      <c r="A316">
        <v>4262</v>
      </c>
      <c r="B316" s="120">
        <v>17533</v>
      </c>
      <c r="C316" t="s">
        <v>1443</v>
      </c>
      <c r="D316" s="1" t="s">
        <v>1652</v>
      </c>
      <c r="E316">
        <v>1019</v>
      </c>
      <c r="F316">
        <v>309</v>
      </c>
    </row>
    <row r="317" spans="1:6">
      <c r="A317">
        <v>4266</v>
      </c>
      <c r="B317" s="120">
        <v>17533</v>
      </c>
      <c r="C317" t="s">
        <v>1443</v>
      </c>
      <c r="D317" s="1" t="s">
        <v>1345</v>
      </c>
      <c r="E317">
        <v>1020</v>
      </c>
      <c r="F317">
        <v>309</v>
      </c>
    </row>
    <row r="318" spans="1:6">
      <c r="A318">
        <v>4271</v>
      </c>
      <c r="B318" s="120">
        <v>18264</v>
      </c>
      <c r="C318" t="s">
        <v>1443</v>
      </c>
      <c r="D318" s="1" t="s">
        <v>1653</v>
      </c>
      <c r="E318">
        <v>1092</v>
      </c>
      <c r="F318">
        <v>309</v>
      </c>
    </row>
    <row r="319" spans="1:6">
      <c r="A319">
        <v>4287</v>
      </c>
      <c r="B319" s="120">
        <v>17533</v>
      </c>
      <c r="C319" t="s">
        <v>1443</v>
      </c>
      <c r="D319" s="1" t="s">
        <v>1654</v>
      </c>
      <c r="E319">
        <v>2045</v>
      </c>
      <c r="F319">
        <v>309</v>
      </c>
    </row>
    <row r="320" spans="1:6">
      <c r="A320">
        <v>4290</v>
      </c>
      <c r="B320" s="120">
        <v>44927</v>
      </c>
      <c r="C320" t="s">
        <v>1443</v>
      </c>
      <c r="D320" s="1" t="s">
        <v>1655</v>
      </c>
      <c r="E320">
        <v>4004</v>
      </c>
      <c r="F320">
        <v>0</v>
      </c>
    </row>
    <row r="321" spans="1:6">
      <c r="A321">
        <v>4313</v>
      </c>
      <c r="B321" s="120">
        <v>17533</v>
      </c>
      <c r="C321" t="s">
        <v>1443</v>
      </c>
      <c r="D321" s="1" t="s">
        <v>1656</v>
      </c>
      <c r="E321">
        <v>293</v>
      </c>
      <c r="F321">
        <v>413</v>
      </c>
    </row>
    <row r="322" spans="1:6">
      <c r="A322">
        <v>4314</v>
      </c>
      <c r="B322" s="120">
        <v>17533</v>
      </c>
      <c r="C322" t="s">
        <v>1443</v>
      </c>
      <c r="D322" s="1" t="s">
        <v>1657</v>
      </c>
      <c r="E322">
        <v>290</v>
      </c>
      <c r="F322">
        <v>413</v>
      </c>
    </row>
    <row r="323" spans="1:6">
      <c r="A323">
        <v>4315</v>
      </c>
      <c r="B323" s="120">
        <v>17533</v>
      </c>
      <c r="C323" t="s">
        <v>1443</v>
      </c>
      <c r="D323" s="1" t="s">
        <v>1658</v>
      </c>
      <c r="E323">
        <v>291</v>
      </c>
      <c r="F323">
        <v>413</v>
      </c>
    </row>
    <row r="324" spans="1:6">
      <c r="A324">
        <v>4316</v>
      </c>
      <c r="B324" s="120">
        <v>17533</v>
      </c>
      <c r="C324" t="s">
        <v>1443</v>
      </c>
      <c r="D324" s="1" t="s">
        <v>1658</v>
      </c>
      <c r="E324">
        <v>286</v>
      </c>
      <c r="F324">
        <v>413</v>
      </c>
    </row>
    <row r="325" spans="1:6">
      <c r="A325">
        <v>4317</v>
      </c>
      <c r="B325" s="120">
        <v>43466</v>
      </c>
      <c r="C325" t="s">
        <v>1443</v>
      </c>
      <c r="D325" s="1" t="s">
        <v>1659</v>
      </c>
      <c r="E325">
        <v>1317</v>
      </c>
      <c r="F325">
        <v>413</v>
      </c>
    </row>
    <row r="326" spans="1:6">
      <c r="A326">
        <v>4318</v>
      </c>
      <c r="B326" s="120">
        <v>17533</v>
      </c>
      <c r="C326" t="s">
        <v>1443</v>
      </c>
      <c r="D326" s="1" t="s">
        <v>1660</v>
      </c>
      <c r="E326">
        <v>1021</v>
      </c>
      <c r="F326">
        <v>309</v>
      </c>
    </row>
    <row r="327" spans="1:6">
      <c r="A327">
        <v>4319</v>
      </c>
      <c r="B327" s="120">
        <v>17533</v>
      </c>
      <c r="C327" t="s">
        <v>1443</v>
      </c>
      <c r="D327" s="1" t="s">
        <v>970</v>
      </c>
      <c r="E327">
        <v>2046</v>
      </c>
      <c r="F327">
        <v>309</v>
      </c>
    </row>
    <row r="328" spans="1:6">
      <c r="A328">
        <v>4328</v>
      </c>
      <c r="B328" s="120">
        <v>18264</v>
      </c>
      <c r="C328" t="s">
        <v>1443</v>
      </c>
      <c r="D328" s="1" t="s">
        <v>1661</v>
      </c>
      <c r="E328">
        <v>1093</v>
      </c>
      <c r="F328">
        <v>309</v>
      </c>
    </row>
    <row r="329" spans="1:6">
      <c r="A329">
        <v>4360</v>
      </c>
      <c r="B329" s="120">
        <v>18264</v>
      </c>
      <c r="C329" t="s">
        <v>1443</v>
      </c>
      <c r="D329" s="1" t="s">
        <v>1662</v>
      </c>
      <c r="E329">
        <v>2055</v>
      </c>
      <c r="F329">
        <v>0</v>
      </c>
    </row>
    <row r="330" spans="1:6">
      <c r="A330">
        <v>4361</v>
      </c>
      <c r="B330" s="120">
        <v>18264</v>
      </c>
      <c r="C330" t="s">
        <v>1443</v>
      </c>
      <c r="D330" s="1" t="s">
        <v>1662</v>
      </c>
      <c r="E330">
        <v>2056</v>
      </c>
      <c r="F330">
        <v>0</v>
      </c>
    </row>
    <row r="331" spans="1:6">
      <c r="A331">
        <v>4362</v>
      </c>
      <c r="B331" s="120">
        <v>18264</v>
      </c>
      <c r="C331" t="s">
        <v>1443</v>
      </c>
      <c r="D331" s="1" t="s">
        <v>1663</v>
      </c>
      <c r="E331">
        <v>1094</v>
      </c>
      <c r="F331">
        <v>309</v>
      </c>
    </row>
    <row r="332" spans="1:6">
      <c r="A332">
        <v>4365</v>
      </c>
      <c r="B332" s="120">
        <v>17533</v>
      </c>
      <c r="C332" t="s">
        <v>1443</v>
      </c>
      <c r="D332" s="1" t="s">
        <v>1664</v>
      </c>
      <c r="E332">
        <v>2024</v>
      </c>
      <c r="F332">
        <v>309</v>
      </c>
    </row>
    <row r="333" spans="1:6">
      <c r="A333">
        <v>4366</v>
      </c>
      <c r="B333" s="120">
        <v>17533</v>
      </c>
      <c r="C333" t="s">
        <v>1443</v>
      </c>
      <c r="D333" s="1" t="s">
        <v>1665</v>
      </c>
      <c r="E333">
        <v>2025</v>
      </c>
      <c r="F333">
        <v>309</v>
      </c>
    </row>
    <row r="334" spans="1:6">
      <c r="A334">
        <v>4380</v>
      </c>
      <c r="B334" s="120">
        <v>17533</v>
      </c>
      <c r="C334" t="s">
        <v>1443</v>
      </c>
      <c r="D334" s="1" t="s">
        <v>1666</v>
      </c>
      <c r="E334">
        <v>2110</v>
      </c>
      <c r="F334">
        <v>413</v>
      </c>
    </row>
    <row r="335" spans="1:6">
      <c r="A335">
        <v>4401</v>
      </c>
      <c r="B335" s="120">
        <v>18264</v>
      </c>
      <c r="C335" t="s">
        <v>1443</v>
      </c>
      <c r="D335" s="1" t="s">
        <v>1667</v>
      </c>
      <c r="E335">
        <v>1122</v>
      </c>
      <c r="F335">
        <v>413</v>
      </c>
    </row>
    <row r="336" spans="1:6">
      <c r="A336">
        <v>4403</v>
      </c>
      <c r="B336" s="120">
        <v>17533</v>
      </c>
      <c r="C336" t="s">
        <v>1443</v>
      </c>
      <c r="D336" s="1" t="s">
        <v>1668</v>
      </c>
      <c r="E336">
        <v>2026</v>
      </c>
      <c r="F336">
        <v>309</v>
      </c>
    </row>
    <row r="337" spans="1:6">
      <c r="A337">
        <v>4406</v>
      </c>
      <c r="B337" s="120">
        <v>17533</v>
      </c>
      <c r="C337" t="s">
        <v>1443</v>
      </c>
      <c r="D337" s="1" t="s">
        <v>1669</v>
      </c>
      <c r="E337">
        <v>1022</v>
      </c>
      <c r="F337">
        <v>309</v>
      </c>
    </row>
    <row r="338" spans="1:6">
      <c r="A338">
        <v>4415</v>
      </c>
      <c r="B338" s="120">
        <v>18264</v>
      </c>
      <c r="C338" t="s">
        <v>1443</v>
      </c>
      <c r="D338" s="1" t="s">
        <v>1670</v>
      </c>
      <c r="E338">
        <v>1088</v>
      </c>
      <c r="F338">
        <v>309</v>
      </c>
    </row>
    <row r="339" spans="1:6">
      <c r="A339">
        <v>4417</v>
      </c>
      <c r="B339" s="120">
        <v>17533</v>
      </c>
      <c r="C339" t="s">
        <v>1443</v>
      </c>
      <c r="D339" s="1" t="s">
        <v>1671</v>
      </c>
      <c r="E339">
        <v>235</v>
      </c>
      <c r="F339">
        <v>527</v>
      </c>
    </row>
    <row r="340" spans="1:6">
      <c r="A340">
        <v>4418</v>
      </c>
      <c r="B340" s="120">
        <v>17533</v>
      </c>
      <c r="C340" t="s">
        <v>1443</v>
      </c>
      <c r="D340" s="1" t="s">
        <v>1672</v>
      </c>
      <c r="E340">
        <v>1023</v>
      </c>
      <c r="F340">
        <v>309</v>
      </c>
    </row>
    <row r="341" spans="1:6">
      <c r="A341">
        <v>4420</v>
      </c>
      <c r="B341" s="120">
        <v>17533</v>
      </c>
      <c r="C341" t="s">
        <v>1443</v>
      </c>
      <c r="D341" s="1" t="s">
        <v>1673</v>
      </c>
      <c r="E341">
        <v>1024</v>
      </c>
      <c r="F341">
        <v>309</v>
      </c>
    </row>
    <row r="342" spans="1:6">
      <c r="A342">
        <v>4422</v>
      </c>
      <c r="B342" s="120">
        <v>17533</v>
      </c>
      <c r="C342" t="s">
        <v>1443</v>
      </c>
      <c r="D342" s="1" t="s">
        <v>985</v>
      </c>
      <c r="E342">
        <v>1025</v>
      </c>
      <c r="F342">
        <v>309</v>
      </c>
    </row>
    <row r="343" spans="1:6">
      <c r="A343">
        <v>4427</v>
      </c>
      <c r="B343" s="120">
        <v>18264</v>
      </c>
      <c r="C343" t="s">
        <v>1443</v>
      </c>
      <c r="D343" s="1" t="s">
        <v>1674</v>
      </c>
      <c r="E343">
        <v>1096</v>
      </c>
      <c r="F343">
        <v>309</v>
      </c>
    </row>
    <row r="344" spans="1:6">
      <c r="A344">
        <v>4428</v>
      </c>
      <c r="B344" s="120">
        <v>17533</v>
      </c>
      <c r="C344" t="s">
        <v>1443</v>
      </c>
      <c r="D344" s="1" t="s">
        <v>1675</v>
      </c>
      <c r="E344">
        <v>1026</v>
      </c>
      <c r="F344">
        <v>309</v>
      </c>
    </row>
    <row r="345" spans="1:6">
      <c r="A345">
        <v>4446</v>
      </c>
      <c r="B345" s="120">
        <v>17533</v>
      </c>
      <c r="C345" t="s">
        <v>1443</v>
      </c>
      <c r="D345" s="1" t="s">
        <v>1349</v>
      </c>
      <c r="E345">
        <v>1027</v>
      </c>
      <c r="F345">
        <v>309</v>
      </c>
    </row>
    <row r="346" spans="1:6">
      <c r="A346">
        <v>4447</v>
      </c>
      <c r="B346" s="120">
        <v>17533</v>
      </c>
      <c r="C346" t="s">
        <v>1443</v>
      </c>
      <c r="D346" s="1" t="s">
        <v>1350</v>
      </c>
      <c r="E346">
        <v>1028</v>
      </c>
      <c r="F346">
        <v>309</v>
      </c>
    </row>
    <row r="347" spans="1:6">
      <c r="A347">
        <v>4448</v>
      </c>
      <c r="B347" s="120">
        <v>17533</v>
      </c>
      <c r="C347" t="s">
        <v>1443</v>
      </c>
      <c r="D347" s="1" t="s">
        <v>1351</v>
      </c>
      <c r="E347">
        <v>1029</v>
      </c>
      <c r="F347">
        <v>309</v>
      </c>
    </row>
    <row r="348" spans="1:6">
      <c r="A348">
        <v>4449</v>
      </c>
      <c r="B348" s="120">
        <v>17533</v>
      </c>
      <c r="C348" t="s">
        <v>1443</v>
      </c>
      <c r="D348" s="1" t="s">
        <v>1352</v>
      </c>
      <c r="E348">
        <v>1030</v>
      </c>
      <c r="F348">
        <v>309</v>
      </c>
    </row>
    <row r="349" spans="1:6">
      <c r="A349">
        <v>4453</v>
      </c>
      <c r="B349" s="120">
        <v>17533</v>
      </c>
      <c r="C349" t="s">
        <v>1443</v>
      </c>
      <c r="D349" s="1" t="s">
        <v>1676</v>
      </c>
      <c r="E349">
        <v>1031</v>
      </c>
      <c r="F349">
        <v>309</v>
      </c>
    </row>
    <row r="350" spans="1:6">
      <c r="A350">
        <v>4463</v>
      </c>
      <c r="B350" s="120">
        <v>17533</v>
      </c>
      <c r="C350" t="s">
        <v>1443</v>
      </c>
      <c r="D350" s="1" t="s">
        <v>1677</v>
      </c>
      <c r="E350">
        <v>1032</v>
      </c>
      <c r="F350">
        <v>309</v>
      </c>
    </row>
    <row r="351" spans="1:6">
      <c r="A351">
        <v>4468</v>
      </c>
      <c r="B351" s="120">
        <v>17533</v>
      </c>
      <c r="C351" t="s">
        <v>1443</v>
      </c>
      <c r="D351" s="1" t="s">
        <v>1353</v>
      </c>
      <c r="E351">
        <v>1033</v>
      </c>
      <c r="F351">
        <v>309</v>
      </c>
    </row>
    <row r="352" spans="1:6">
      <c r="A352">
        <v>4469</v>
      </c>
      <c r="B352" s="120">
        <v>17533</v>
      </c>
      <c r="C352" t="s">
        <v>1443</v>
      </c>
      <c r="D352" s="1" t="s">
        <v>1354</v>
      </c>
      <c r="E352">
        <v>2047</v>
      </c>
      <c r="F352">
        <v>309</v>
      </c>
    </row>
    <row r="353" spans="1:6">
      <c r="A353">
        <v>4470</v>
      </c>
      <c r="B353" s="120">
        <v>17533</v>
      </c>
      <c r="C353" t="s">
        <v>1443</v>
      </c>
      <c r="D353" s="1" t="s">
        <v>1678</v>
      </c>
      <c r="E353">
        <v>2107</v>
      </c>
      <c r="F353">
        <v>413</v>
      </c>
    </row>
    <row r="354" spans="1:6">
      <c r="A354">
        <v>4485</v>
      </c>
      <c r="B354" s="120">
        <v>17533</v>
      </c>
      <c r="C354" t="s">
        <v>1443</v>
      </c>
      <c r="D354" s="1" t="s">
        <v>1679</v>
      </c>
      <c r="E354">
        <v>1105</v>
      </c>
      <c r="F354">
        <v>413</v>
      </c>
    </row>
    <row r="355" spans="1:6">
      <c r="A355">
        <v>4495</v>
      </c>
      <c r="B355" s="120">
        <v>17533</v>
      </c>
      <c r="C355" t="s">
        <v>1443</v>
      </c>
      <c r="D355" s="1" t="s">
        <v>1680</v>
      </c>
      <c r="E355">
        <v>1034</v>
      </c>
      <c r="F355">
        <v>309</v>
      </c>
    </row>
    <row r="356" spans="1:6">
      <c r="A356">
        <v>4498</v>
      </c>
      <c r="B356" s="120">
        <v>17533</v>
      </c>
      <c r="C356" t="s">
        <v>1443</v>
      </c>
      <c r="D356" s="1" t="s">
        <v>1681</v>
      </c>
      <c r="E356">
        <v>240</v>
      </c>
      <c r="F356">
        <v>413</v>
      </c>
    </row>
    <row r="357" spans="1:6">
      <c r="A357">
        <v>4500</v>
      </c>
      <c r="B357" s="120">
        <v>17533</v>
      </c>
      <c r="C357" t="s">
        <v>1443</v>
      </c>
      <c r="D357" s="1" t="s">
        <v>1682</v>
      </c>
      <c r="E357">
        <v>1035</v>
      </c>
      <c r="F357">
        <v>309</v>
      </c>
    </row>
    <row r="358" spans="1:6">
      <c r="A358">
        <v>4534</v>
      </c>
      <c r="B358" s="120">
        <v>17533</v>
      </c>
      <c r="C358" t="s">
        <v>1443</v>
      </c>
      <c r="D358" s="1" t="s">
        <v>943</v>
      </c>
      <c r="E358">
        <v>1036</v>
      </c>
      <c r="F358">
        <v>309</v>
      </c>
    </row>
    <row r="359" spans="1:6">
      <c r="A359">
        <v>4544</v>
      </c>
      <c r="B359" s="120">
        <v>17533</v>
      </c>
      <c r="C359" t="s">
        <v>1443</v>
      </c>
      <c r="D359" s="1" t="s">
        <v>1370</v>
      </c>
      <c r="E359">
        <v>1037</v>
      </c>
      <c r="F359">
        <v>309</v>
      </c>
    </row>
    <row r="360" spans="1:6">
      <c r="A360">
        <v>4547</v>
      </c>
      <c r="B360" s="120">
        <v>17533</v>
      </c>
      <c r="C360" t="s">
        <v>1443</v>
      </c>
      <c r="D360" s="1" t="s">
        <v>996</v>
      </c>
      <c r="E360">
        <v>1038</v>
      </c>
      <c r="F360">
        <v>309</v>
      </c>
    </row>
    <row r="361" spans="1:6">
      <c r="A361">
        <v>4549</v>
      </c>
      <c r="B361" s="120">
        <v>17533</v>
      </c>
      <c r="C361" t="s">
        <v>1443</v>
      </c>
      <c r="D361" s="1" t="s">
        <v>1460</v>
      </c>
      <c r="E361">
        <v>1039</v>
      </c>
      <c r="F361">
        <v>309</v>
      </c>
    </row>
    <row r="362" spans="1:6">
      <c r="A362">
        <v>4550</v>
      </c>
      <c r="B362" s="120">
        <v>17533</v>
      </c>
      <c r="C362" t="s">
        <v>1443</v>
      </c>
      <c r="D362" s="1" t="s">
        <v>1683</v>
      </c>
      <c r="E362">
        <v>1040</v>
      </c>
      <c r="F362">
        <v>309</v>
      </c>
    </row>
    <row r="363" spans="1:6">
      <c r="A363">
        <v>4575</v>
      </c>
      <c r="B363" s="120">
        <v>18264</v>
      </c>
      <c r="C363" t="s">
        <v>1443</v>
      </c>
      <c r="D363" s="1" t="s">
        <v>1684</v>
      </c>
      <c r="E363">
        <v>1097</v>
      </c>
      <c r="F363">
        <v>309</v>
      </c>
    </row>
    <row r="364" spans="1:6">
      <c r="A364">
        <v>4578</v>
      </c>
      <c r="B364" s="120">
        <v>17533</v>
      </c>
      <c r="C364" t="s">
        <v>1443</v>
      </c>
      <c r="D364" s="1" t="s">
        <v>987</v>
      </c>
      <c r="E364">
        <v>1041</v>
      </c>
      <c r="F364">
        <v>309</v>
      </c>
    </row>
    <row r="365" spans="1:6">
      <c r="A365">
        <v>4579</v>
      </c>
      <c r="B365" s="120">
        <v>17533</v>
      </c>
      <c r="C365" t="s">
        <v>1443</v>
      </c>
      <c r="D365" s="1" t="s">
        <v>1685</v>
      </c>
      <c r="E365">
        <v>1042</v>
      </c>
      <c r="F365">
        <v>309</v>
      </c>
    </row>
    <row r="366" spans="1:6">
      <c r="A366">
        <v>4593</v>
      </c>
      <c r="B366" s="120">
        <v>18264</v>
      </c>
      <c r="C366" t="s">
        <v>1443</v>
      </c>
      <c r="D366" s="1" t="s">
        <v>1686</v>
      </c>
      <c r="E366">
        <v>1098</v>
      </c>
      <c r="F366">
        <v>309</v>
      </c>
    </row>
    <row r="367" spans="1:6">
      <c r="A367">
        <v>4598</v>
      </c>
      <c r="B367" s="120">
        <v>17533</v>
      </c>
      <c r="C367" t="s">
        <v>1443</v>
      </c>
      <c r="D367" s="1" t="s">
        <v>1687</v>
      </c>
      <c r="E367">
        <v>1140</v>
      </c>
      <c r="F367">
        <v>413</v>
      </c>
    </row>
    <row r="368" spans="1:6">
      <c r="A368">
        <v>4599</v>
      </c>
      <c r="B368" s="120">
        <v>17533</v>
      </c>
      <c r="C368" t="s">
        <v>1443</v>
      </c>
      <c r="D368" s="1" t="s">
        <v>1357</v>
      </c>
      <c r="E368">
        <v>1080</v>
      </c>
      <c r="F368">
        <v>309</v>
      </c>
    </row>
    <row r="369" spans="1:6">
      <c r="A369">
        <v>4611</v>
      </c>
      <c r="B369" s="120">
        <v>17533</v>
      </c>
      <c r="C369" t="s">
        <v>1443</v>
      </c>
      <c r="D369" s="1" t="s">
        <v>1688</v>
      </c>
      <c r="E369">
        <v>2048</v>
      </c>
      <c r="F369">
        <v>309</v>
      </c>
    </row>
    <row r="370" spans="1:6">
      <c r="A370">
        <v>4623</v>
      </c>
      <c r="B370" s="120">
        <v>17533</v>
      </c>
      <c r="C370" t="s">
        <v>1443</v>
      </c>
      <c r="D370" s="1" t="s">
        <v>1689</v>
      </c>
      <c r="E370">
        <v>1043</v>
      </c>
      <c r="F370">
        <v>309</v>
      </c>
    </row>
    <row r="371" spans="1:6">
      <c r="A371">
        <v>4624</v>
      </c>
      <c r="B371" s="120">
        <v>17533</v>
      </c>
      <c r="C371" t="s">
        <v>1443</v>
      </c>
      <c r="D371" s="1" t="s">
        <v>1690</v>
      </c>
      <c r="E371">
        <v>1044</v>
      </c>
      <c r="F371">
        <v>309</v>
      </c>
    </row>
    <row r="372" spans="1:6">
      <c r="A372">
        <v>4625</v>
      </c>
      <c r="B372" s="120">
        <v>17533</v>
      </c>
      <c r="C372" t="s">
        <v>1443</v>
      </c>
      <c r="D372" s="1" t="s">
        <v>1691</v>
      </c>
      <c r="E372">
        <v>2049</v>
      </c>
      <c r="F372">
        <v>309</v>
      </c>
    </row>
    <row r="373" spans="1:6">
      <c r="A373">
        <v>4628</v>
      </c>
      <c r="B373" s="120">
        <v>17533</v>
      </c>
      <c r="C373" t="s">
        <v>1443</v>
      </c>
      <c r="D373" s="1" t="s">
        <v>1692</v>
      </c>
      <c r="E373">
        <v>1045</v>
      </c>
      <c r="F373">
        <v>309</v>
      </c>
    </row>
    <row r="374" spans="1:6">
      <c r="A374">
        <v>4640</v>
      </c>
      <c r="B374" s="120">
        <v>17533</v>
      </c>
      <c r="C374" t="s">
        <v>1443</v>
      </c>
      <c r="D374" s="1" t="s">
        <v>1693</v>
      </c>
      <c r="E374">
        <v>1046</v>
      </c>
      <c r="F374">
        <v>309</v>
      </c>
    </row>
    <row r="375" spans="1:6">
      <c r="A375">
        <v>4642</v>
      </c>
      <c r="B375" s="120">
        <v>17533</v>
      </c>
      <c r="C375" t="s">
        <v>1443</v>
      </c>
      <c r="D375" s="1" t="s">
        <v>1690</v>
      </c>
      <c r="E375">
        <v>1047</v>
      </c>
      <c r="F375">
        <v>309</v>
      </c>
    </row>
    <row r="376" spans="1:6">
      <c r="A376">
        <v>4643</v>
      </c>
      <c r="B376" s="120">
        <v>18264</v>
      </c>
      <c r="C376" t="s">
        <v>1443</v>
      </c>
      <c r="D376" s="1" t="s">
        <v>1016</v>
      </c>
      <c r="E376">
        <v>2023</v>
      </c>
      <c r="F376">
        <v>309</v>
      </c>
    </row>
    <row r="377" spans="1:6">
      <c r="A377">
        <v>4650</v>
      </c>
      <c r="B377" s="120">
        <v>17533</v>
      </c>
      <c r="C377" t="s">
        <v>1443</v>
      </c>
      <c r="D377" s="1" t="s">
        <v>1694</v>
      </c>
      <c r="E377">
        <v>1048</v>
      </c>
      <c r="F377">
        <v>309</v>
      </c>
    </row>
    <row r="378" spans="1:6">
      <c r="A378">
        <v>4651</v>
      </c>
      <c r="B378" s="120">
        <v>18264</v>
      </c>
      <c r="C378" t="s">
        <v>1443</v>
      </c>
      <c r="D378" s="1" t="s">
        <v>954</v>
      </c>
      <c r="E378">
        <v>1099</v>
      </c>
      <c r="F378">
        <v>309</v>
      </c>
    </row>
    <row r="379" spans="1:6">
      <c r="A379">
        <v>4656</v>
      </c>
      <c r="B379" s="120">
        <v>17533</v>
      </c>
      <c r="C379" t="s">
        <v>1443</v>
      </c>
      <c r="D379" s="1" t="s">
        <v>1695</v>
      </c>
      <c r="E379">
        <v>1049</v>
      </c>
      <c r="F379">
        <v>309</v>
      </c>
    </row>
    <row r="380" spans="1:6">
      <c r="A380">
        <v>4658</v>
      </c>
      <c r="B380" s="120">
        <v>17533</v>
      </c>
      <c r="C380" t="s">
        <v>1443</v>
      </c>
      <c r="D380" s="1" t="s">
        <v>1696</v>
      </c>
      <c r="E380">
        <v>1050</v>
      </c>
      <c r="F380">
        <v>309</v>
      </c>
    </row>
    <row r="381" spans="1:6">
      <c r="A381">
        <v>4687</v>
      </c>
      <c r="B381" s="120">
        <v>17533</v>
      </c>
      <c r="C381" t="s">
        <v>1443</v>
      </c>
      <c r="D381" s="1" t="s">
        <v>954</v>
      </c>
      <c r="E381">
        <v>1051</v>
      </c>
      <c r="F381">
        <v>309</v>
      </c>
    </row>
    <row r="382" spans="1:6">
      <c r="A382">
        <v>4703</v>
      </c>
      <c r="B382" s="120">
        <v>17533</v>
      </c>
      <c r="C382" t="s">
        <v>1443</v>
      </c>
      <c r="D382" s="1" t="s">
        <v>1697</v>
      </c>
      <c r="E382">
        <v>292</v>
      </c>
      <c r="F382">
        <v>413</v>
      </c>
    </row>
    <row r="383" spans="1:6">
      <c r="A383">
        <v>4926</v>
      </c>
      <c r="B383" s="120">
        <v>17533</v>
      </c>
      <c r="C383" t="s">
        <v>1443</v>
      </c>
      <c r="D383" s="1" t="s">
        <v>1698</v>
      </c>
      <c r="E383">
        <v>1052</v>
      </c>
      <c r="F383">
        <v>309</v>
      </c>
    </row>
    <row r="384" spans="1:6">
      <c r="A384">
        <v>4932</v>
      </c>
      <c r="B384" s="120">
        <v>17533</v>
      </c>
      <c r="C384" t="s">
        <v>1443</v>
      </c>
      <c r="D384" s="1" t="s">
        <v>1699</v>
      </c>
      <c r="E384">
        <v>1053</v>
      </c>
      <c r="F384">
        <v>309</v>
      </c>
    </row>
    <row r="385" spans="1:6">
      <c r="A385">
        <v>4934</v>
      </c>
      <c r="B385" s="120">
        <v>17533</v>
      </c>
      <c r="C385" t="s">
        <v>1443</v>
      </c>
      <c r="D385" s="1" t="s">
        <v>1700</v>
      </c>
      <c r="E385">
        <v>1054</v>
      </c>
      <c r="F385">
        <v>309</v>
      </c>
    </row>
    <row r="386" spans="1:6">
      <c r="A386">
        <v>4950</v>
      </c>
      <c r="B386" s="120">
        <v>18264</v>
      </c>
      <c r="C386" t="s">
        <v>1443</v>
      </c>
      <c r="D386" s="1" t="s">
        <v>1701</v>
      </c>
      <c r="E386">
        <v>2010</v>
      </c>
      <c r="F386">
        <v>309</v>
      </c>
    </row>
    <row r="387" spans="1:6">
      <c r="A387">
        <v>4959</v>
      </c>
      <c r="B387" s="120">
        <v>17533</v>
      </c>
      <c r="C387" t="s">
        <v>1443</v>
      </c>
      <c r="D387" s="1" t="s">
        <v>1702</v>
      </c>
      <c r="E387">
        <v>1055</v>
      </c>
      <c r="F387">
        <v>309</v>
      </c>
    </row>
    <row r="388" spans="1:6">
      <c r="A388">
        <v>4974</v>
      </c>
      <c r="B388" s="120">
        <v>17533</v>
      </c>
      <c r="C388" t="s">
        <v>1443</v>
      </c>
      <c r="D388" s="1" t="s">
        <v>1703</v>
      </c>
      <c r="E388">
        <v>221</v>
      </c>
      <c r="F388">
        <v>527</v>
      </c>
    </row>
    <row r="389" spans="1:6">
      <c r="A389">
        <v>4975</v>
      </c>
      <c r="B389" s="120">
        <v>17533</v>
      </c>
      <c r="C389" t="s">
        <v>1443</v>
      </c>
      <c r="D389" s="1" t="s">
        <v>1704</v>
      </c>
      <c r="E389">
        <v>222</v>
      </c>
      <c r="F389">
        <v>527</v>
      </c>
    </row>
    <row r="390" spans="1:6">
      <c r="A390">
        <v>4979</v>
      </c>
      <c r="B390" s="120">
        <v>17533</v>
      </c>
      <c r="C390" t="s">
        <v>1443</v>
      </c>
      <c r="D390" s="1" t="s">
        <v>1705</v>
      </c>
      <c r="E390">
        <v>2061</v>
      </c>
      <c r="F390">
        <v>309</v>
      </c>
    </row>
    <row r="391" spans="1:6">
      <c r="A391">
        <v>4983</v>
      </c>
      <c r="B391" s="120">
        <v>17533</v>
      </c>
      <c r="C391" t="s">
        <v>1443</v>
      </c>
      <c r="D391" s="1" t="s">
        <v>41</v>
      </c>
      <c r="E391">
        <v>1056</v>
      </c>
      <c r="F391">
        <v>309</v>
      </c>
    </row>
    <row r="392" spans="1:6">
      <c r="A392">
        <v>4990</v>
      </c>
      <c r="B392" s="120">
        <v>17533</v>
      </c>
      <c r="C392" t="s">
        <v>1443</v>
      </c>
      <c r="D392" s="1" t="s">
        <v>1706</v>
      </c>
      <c r="E392">
        <v>223</v>
      </c>
      <c r="F392">
        <v>527</v>
      </c>
    </row>
    <row r="393" spans="1:6">
      <c r="A393">
        <v>4991</v>
      </c>
      <c r="B393" s="120">
        <v>17533</v>
      </c>
      <c r="C393" t="s">
        <v>1443</v>
      </c>
      <c r="D393" s="1" t="s">
        <v>1707</v>
      </c>
      <c r="E393">
        <v>300</v>
      </c>
      <c r="F393">
        <v>527</v>
      </c>
    </row>
    <row r="394" spans="1:6">
      <c r="A394">
        <v>4992</v>
      </c>
      <c r="B394" s="120">
        <v>17533</v>
      </c>
      <c r="C394" t="s">
        <v>1443</v>
      </c>
      <c r="D394" s="1" t="s">
        <v>1708</v>
      </c>
      <c r="E394">
        <v>301</v>
      </c>
      <c r="F394">
        <v>527</v>
      </c>
    </row>
    <row r="395" spans="1:6">
      <c r="A395">
        <v>4994</v>
      </c>
      <c r="B395" s="120">
        <v>17533</v>
      </c>
      <c r="C395" t="s">
        <v>1443</v>
      </c>
      <c r="D395" s="1" t="s">
        <v>1709</v>
      </c>
      <c r="E395">
        <v>1057</v>
      </c>
      <c r="F395">
        <v>309</v>
      </c>
    </row>
    <row r="396" spans="1:6">
      <c r="A396">
        <v>4995</v>
      </c>
      <c r="B396" s="120">
        <v>17533</v>
      </c>
      <c r="C396" t="s">
        <v>1443</v>
      </c>
      <c r="D396" s="1" t="s">
        <v>1710</v>
      </c>
      <c r="E396">
        <v>302</v>
      </c>
      <c r="F396">
        <v>527</v>
      </c>
    </row>
    <row r="397" spans="1:6">
      <c r="A397">
        <v>4996</v>
      </c>
      <c r="B397" s="120">
        <v>17533</v>
      </c>
      <c r="C397" t="s">
        <v>1443</v>
      </c>
      <c r="D397" s="1" t="s">
        <v>1711</v>
      </c>
      <c r="E397">
        <v>1058</v>
      </c>
      <c r="F397">
        <v>309</v>
      </c>
    </row>
    <row r="398" spans="1:6">
      <c r="A398">
        <v>4997</v>
      </c>
      <c r="B398" s="120">
        <v>18264</v>
      </c>
      <c r="C398" t="s">
        <v>1443</v>
      </c>
      <c r="D398" s="1" t="s">
        <v>1712</v>
      </c>
      <c r="E398">
        <v>2011</v>
      </c>
      <c r="F398">
        <v>309</v>
      </c>
    </row>
    <row r="399" spans="1:6">
      <c r="A399">
        <v>4998</v>
      </c>
      <c r="B399" s="120">
        <v>18264</v>
      </c>
      <c r="C399" t="s">
        <v>1443</v>
      </c>
      <c r="D399" s="1" t="s">
        <v>1713</v>
      </c>
      <c r="E399">
        <v>2012</v>
      </c>
      <c r="F399">
        <v>309</v>
      </c>
    </row>
    <row r="400" spans="1:6">
      <c r="A400">
        <v>5216</v>
      </c>
      <c r="B400" s="120">
        <v>17533</v>
      </c>
      <c r="C400" t="s">
        <v>1443</v>
      </c>
      <c r="D400" s="1" t="s">
        <v>1714</v>
      </c>
      <c r="E400">
        <v>1059</v>
      </c>
      <c r="F400">
        <v>309</v>
      </c>
    </row>
    <row r="401" spans="1:6">
      <c r="A401">
        <v>5218</v>
      </c>
      <c r="B401" s="120">
        <v>17533</v>
      </c>
      <c r="C401" t="s">
        <v>1443</v>
      </c>
      <c r="D401" s="1" t="s">
        <v>1613</v>
      </c>
      <c r="E401">
        <v>2050</v>
      </c>
      <c r="F401">
        <v>309</v>
      </c>
    </row>
    <row r="402" spans="1:6">
      <c r="A402">
        <v>5219</v>
      </c>
      <c r="B402" s="120">
        <v>17533</v>
      </c>
      <c r="C402" t="s">
        <v>1443</v>
      </c>
      <c r="D402" s="1" t="s">
        <v>1715</v>
      </c>
      <c r="E402">
        <v>1060</v>
      </c>
      <c r="F402">
        <v>309</v>
      </c>
    </row>
    <row r="403" spans="1:6">
      <c r="A403">
        <v>5224</v>
      </c>
      <c r="B403" s="120">
        <v>18264</v>
      </c>
      <c r="C403" t="s">
        <v>1443</v>
      </c>
      <c r="D403" s="1" t="s">
        <v>985</v>
      </c>
      <c r="E403">
        <v>2013</v>
      </c>
      <c r="F403">
        <v>309</v>
      </c>
    </row>
    <row r="404" spans="1:6">
      <c r="A404">
        <v>5226</v>
      </c>
      <c r="B404" s="120">
        <v>17533</v>
      </c>
      <c r="C404" t="s">
        <v>1443</v>
      </c>
      <c r="D404" s="1" t="s">
        <v>1703</v>
      </c>
      <c r="E404">
        <v>2027</v>
      </c>
      <c r="F404">
        <v>309</v>
      </c>
    </row>
    <row r="405" spans="1:6">
      <c r="A405">
        <v>5240</v>
      </c>
      <c r="B405" s="120">
        <v>18264</v>
      </c>
      <c r="C405" t="s">
        <v>1443</v>
      </c>
      <c r="D405" s="1" t="s">
        <v>1716</v>
      </c>
      <c r="E405">
        <v>2014</v>
      </c>
      <c r="F405">
        <v>309</v>
      </c>
    </row>
    <row r="406" spans="1:6">
      <c r="A406">
        <v>5244</v>
      </c>
      <c r="B406" s="120">
        <v>18264</v>
      </c>
      <c r="C406" t="s">
        <v>1443</v>
      </c>
      <c r="D406" s="1" t="s">
        <v>1717</v>
      </c>
      <c r="E406">
        <v>2058</v>
      </c>
      <c r="F406">
        <v>309</v>
      </c>
    </row>
    <row r="407" spans="1:6">
      <c r="A407">
        <v>5245</v>
      </c>
      <c r="B407" s="120">
        <v>17533</v>
      </c>
      <c r="C407" t="s">
        <v>1443</v>
      </c>
      <c r="D407" s="1" t="s">
        <v>1275</v>
      </c>
      <c r="E407">
        <v>4007</v>
      </c>
      <c r="F407">
        <v>309</v>
      </c>
    </row>
    <row r="408" spans="1:6">
      <c r="A408">
        <v>5251</v>
      </c>
      <c r="B408" s="120">
        <v>17533</v>
      </c>
      <c r="C408" t="s">
        <v>1443</v>
      </c>
      <c r="D408" s="1" t="s">
        <v>1718</v>
      </c>
      <c r="E408">
        <v>1061</v>
      </c>
      <c r="F408">
        <v>309</v>
      </c>
    </row>
    <row r="409" spans="1:6">
      <c r="A409">
        <v>5253</v>
      </c>
      <c r="B409" s="120">
        <v>17533</v>
      </c>
      <c r="C409" t="s">
        <v>1443</v>
      </c>
      <c r="D409" s="1" t="s">
        <v>1374</v>
      </c>
      <c r="E409">
        <v>1062</v>
      </c>
      <c r="F409">
        <v>309</v>
      </c>
    </row>
    <row r="410" spans="1:6">
      <c r="A410">
        <v>5254</v>
      </c>
      <c r="B410" s="120">
        <v>17533</v>
      </c>
      <c r="C410" t="s">
        <v>1443</v>
      </c>
      <c r="D410" s="1" t="s">
        <v>1374</v>
      </c>
      <c r="E410">
        <v>1063</v>
      </c>
      <c r="F410">
        <v>309</v>
      </c>
    </row>
    <row r="411" spans="1:6">
      <c r="A411">
        <v>5256</v>
      </c>
      <c r="B411" s="120">
        <v>17533</v>
      </c>
      <c r="C411" t="s">
        <v>1443</v>
      </c>
      <c r="D411" s="1" t="s">
        <v>1719</v>
      </c>
      <c r="E411">
        <v>303</v>
      </c>
      <c r="F411">
        <v>527</v>
      </c>
    </row>
    <row r="412" spans="1:6">
      <c r="A412">
        <v>5257</v>
      </c>
      <c r="B412" s="120">
        <v>17533</v>
      </c>
      <c r="C412" t="s">
        <v>1443</v>
      </c>
      <c r="D412" s="1" t="s">
        <v>1720</v>
      </c>
      <c r="E412">
        <v>304</v>
      </c>
      <c r="F412">
        <v>527</v>
      </c>
    </row>
    <row r="413" spans="1:6">
      <c r="A413">
        <v>5258</v>
      </c>
      <c r="B413" s="120">
        <v>17533</v>
      </c>
      <c r="C413" t="s">
        <v>1443</v>
      </c>
      <c r="D413" s="1" t="s">
        <v>1721</v>
      </c>
      <c r="E413">
        <v>305</v>
      </c>
      <c r="F413">
        <v>527</v>
      </c>
    </row>
    <row r="414" spans="1:6">
      <c r="A414">
        <v>5260</v>
      </c>
      <c r="B414" s="120">
        <v>17533</v>
      </c>
      <c r="C414" t="s">
        <v>1443</v>
      </c>
      <c r="D414" s="1" t="s">
        <v>1722</v>
      </c>
      <c r="E414">
        <v>1064</v>
      </c>
      <c r="F414">
        <v>309</v>
      </c>
    </row>
    <row r="415" spans="1:6">
      <c r="A415">
        <v>5270</v>
      </c>
      <c r="B415" s="120">
        <v>17533</v>
      </c>
      <c r="C415" t="s">
        <v>1443</v>
      </c>
      <c r="D415" s="1" t="s">
        <v>32</v>
      </c>
      <c r="E415">
        <v>1065</v>
      </c>
      <c r="F415">
        <v>309</v>
      </c>
    </row>
    <row r="416" spans="1:6">
      <c r="A416">
        <v>5276</v>
      </c>
      <c r="B416" s="120">
        <v>17533</v>
      </c>
      <c r="C416" t="s">
        <v>1443</v>
      </c>
      <c r="D416" s="1" t="s">
        <v>1723</v>
      </c>
      <c r="E416">
        <v>1066</v>
      </c>
      <c r="F416">
        <v>309</v>
      </c>
    </row>
    <row r="417" spans="1:6">
      <c r="A417">
        <v>5283</v>
      </c>
      <c r="B417" s="120">
        <v>17533</v>
      </c>
      <c r="C417" t="s">
        <v>1443</v>
      </c>
      <c r="D417" s="1" t="s">
        <v>1047</v>
      </c>
      <c r="E417">
        <v>1004</v>
      </c>
      <c r="F417">
        <v>309</v>
      </c>
    </row>
    <row r="418" spans="1:6">
      <c r="A418">
        <v>5287</v>
      </c>
      <c r="B418" s="120">
        <v>43466</v>
      </c>
      <c r="C418" t="s">
        <v>1443</v>
      </c>
      <c r="D418" s="1" t="s">
        <v>1724</v>
      </c>
      <c r="E418">
        <v>2066</v>
      </c>
      <c r="F418">
        <v>309</v>
      </c>
    </row>
    <row r="419" spans="1:6">
      <c r="A419">
        <v>5294</v>
      </c>
      <c r="B419" s="120">
        <v>18264</v>
      </c>
      <c r="C419" t="s">
        <v>1443</v>
      </c>
      <c r="D419" s="1" t="s">
        <v>1725</v>
      </c>
      <c r="E419">
        <v>2015</v>
      </c>
      <c r="F419">
        <v>309</v>
      </c>
    </row>
    <row r="420" spans="1:6">
      <c r="A420">
        <v>5296</v>
      </c>
      <c r="B420" s="120">
        <v>17533</v>
      </c>
      <c r="C420" t="s">
        <v>1443</v>
      </c>
      <c r="D420" s="1" t="s">
        <v>1360</v>
      </c>
      <c r="E420">
        <v>1067</v>
      </c>
      <c r="F420">
        <v>309</v>
      </c>
    </row>
    <row r="421" spans="1:6">
      <c r="A421">
        <v>5321</v>
      </c>
      <c r="B421" s="120">
        <v>17533</v>
      </c>
      <c r="C421" t="s">
        <v>1443</v>
      </c>
      <c r="D421" s="1" t="s">
        <v>1726</v>
      </c>
      <c r="E421">
        <v>1068</v>
      </c>
      <c r="F421">
        <v>309</v>
      </c>
    </row>
    <row r="422" spans="1:6">
      <c r="A422">
        <v>5322</v>
      </c>
      <c r="B422" s="120">
        <v>17533</v>
      </c>
      <c r="C422" t="s">
        <v>1443</v>
      </c>
      <c r="D422" s="1" t="s">
        <v>1727</v>
      </c>
      <c r="E422">
        <v>1069</v>
      </c>
      <c r="F422">
        <v>309</v>
      </c>
    </row>
    <row r="423" spans="1:6">
      <c r="A423">
        <v>5338</v>
      </c>
      <c r="B423" s="120">
        <v>17533</v>
      </c>
      <c r="C423" t="s">
        <v>1443</v>
      </c>
      <c r="D423" s="1" t="s">
        <v>1728</v>
      </c>
      <c r="E423">
        <v>1070</v>
      </c>
      <c r="F423">
        <v>309</v>
      </c>
    </row>
    <row r="424" spans="1:6">
      <c r="A424">
        <v>5339</v>
      </c>
      <c r="B424" s="120">
        <v>17533</v>
      </c>
      <c r="C424" t="s">
        <v>1443</v>
      </c>
      <c r="D424" s="1" t="s">
        <v>1729</v>
      </c>
      <c r="E424">
        <v>1071</v>
      </c>
      <c r="F424">
        <v>309</v>
      </c>
    </row>
    <row r="425" spans="1:6">
      <c r="A425">
        <v>5340</v>
      </c>
      <c r="B425" s="120">
        <v>17533</v>
      </c>
      <c r="C425" t="s">
        <v>1443</v>
      </c>
      <c r="D425" s="1" t="s">
        <v>1730</v>
      </c>
      <c r="E425">
        <v>1072</v>
      </c>
      <c r="F425">
        <v>309</v>
      </c>
    </row>
    <row r="426" spans="1:6">
      <c r="A426">
        <v>5370</v>
      </c>
      <c r="B426" s="120">
        <v>17533</v>
      </c>
      <c r="C426" t="s">
        <v>1443</v>
      </c>
      <c r="D426" s="1" t="s">
        <v>1731</v>
      </c>
      <c r="E426">
        <v>2102</v>
      </c>
      <c r="F426">
        <v>413</v>
      </c>
    </row>
    <row r="427" spans="1:6">
      <c r="A427">
        <v>5371</v>
      </c>
      <c r="B427" s="120">
        <v>17533</v>
      </c>
      <c r="C427" t="s">
        <v>1443</v>
      </c>
      <c r="D427" s="1" t="s">
        <v>1732</v>
      </c>
      <c r="E427">
        <v>2103</v>
      </c>
      <c r="F427">
        <v>413</v>
      </c>
    </row>
    <row r="428" spans="1:6">
      <c r="A428">
        <v>5374</v>
      </c>
      <c r="B428" s="120">
        <v>43831</v>
      </c>
      <c r="C428" t="s">
        <v>1443</v>
      </c>
      <c r="D428" s="1" t="s">
        <v>1450</v>
      </c>
      <c r="E428">
        <v>4009</v>
      </c>
      <c r="F428">
        <v>309</v>
      </c>
    </row>
    <row r="429" spans="1:6">
      <c r="A429">
        <v>5401</v>
      </c>
      <c r="B429" s="120">
        <v>17533</v>
      </c>
      <c r="C429" t="s">
        <v>1443</v>
      </c>
      <c r="D429" s="1" t="s">
        <v>1733</v>
      </c>
      <c r="E429">
        <v>1077</v>
      </c>
      <c r="F429">
        <v>309</v>
      </c>
    </row>
    <row r="430" spans="1:6">
      <c r="A430">
        <v>5402</v>
      </c>
      <c r="B430" s="120">
        <v>17533</v>
      </c>
      <c r="C430" t="s">
        <v>1443</v>
      </c>
      <c r="D430" s="1" t="s">
        <v>1734</v>
      </c>
      <c r="E430">
        <v>1073</v>
      </c>
      <c r="F430">
        <v>309</v>
      </c>
    </row>
    <row r="431" spans="1:6">
      <c r="A431">
        <v>5422</v>
      </c>
      <c r="B431" s="120">
        <v>17533</v>
      </c>
      <c r="C431" t="s">
        <v>1443</v>
      </c>
      <c r="D431" s="1" t="s">
        <v>1735</v>
      </c>
      <c r="E431">
        <v>1074</v>
      </c>
      <c r="F431">
        <v>309</v>
      </c>
    </row>
    <row r="432" spans="1:6">
      <c r="A432">
        <v>5524</v>
      </c>
      <c r="B432" s="120">
        <v>18264</v>
      </c>
      <c r="C432" t="s">
        <v>1443</v>
      </c>
      <c r="D432" s="1" t="s">
        <v>1736</v>
      </c>
      <c r="E432">
        <v>4005</v>
      </c>
      <c r="F432">
        <v>309</v>
      </c>
    </row>
    <row r="433" spans="1:6">
      <c r="A433">
        <v>5532</v>
      </c>
      <c r="B433" s="120">
        <v>43831</v>
      </c>
      <c r="C433" t="s">
        <v>1443</v>
      </c>
      <c r="D433" s="1" t="s">
        <v>1737</v>
      </c>
      <c r="E433">
        <v>4010</v>
      </c>
      <c r="F433">
        <v>106</v>
      </c>
    </row>
    <row r="434" spans="1:6">
      <c r="A434">
        <v>9803</v>
      </c>
      <c r="B434" s="120">
        <v>17533</v>
      </c>
      <c r="C434" t="s">
        <v>1443</v>
      </c>
      <c r="D434" s="1" t="s">
        <v>68</v>
      </c>
      <c r="E434">
        <v>4</v>
      </c>
      <c r="F434">
        <v>309</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AAD4B-86D9-4263-964A-DE46B1D119C8}">
  <sheetPr codeName="גיליון10"/>
  <dimension ref="A1:P315"/>
  <sheetViews>
    <sheetView rightToLeft="1" topLeftCell="A91" workbookViewId="0">
      <selection activeCell="B1" sqref="B1:B1048576"/>
    </sheetView>
  </sheetViews>
  <sheetFormatPr defaultRowHeight="14.4"/>
  <cols>
    <col min="1" max="1" width="12.109375" customWidth="1"/>
    <col min="2" max="2" width="12.33203125" customWidth="1"/>
    <col min="3" max="3" width="39.6640625" customWidth="1"/>
    <col min="4" max="5" width="22.6640625" customWidth="1"/>
    <col min="6" max="6" width="17.21875" customWidth="1"/>
    <col min="7" max="7" width="15.77734375" customWidth="1"/>
    <col min="8" max="8" width="13.33203125" customWidth="1"/>
    <col min="9" max="9" width="11.33203125" customWidth="1"/>
    <col min="10" max="10" width="167.109375" customWidth="1"/>
    <col min="11" max="11" width="20" customWidth="1"/>
    <col min="12" max="12" width="21.33203125" customWidth="1"/>
    <col min="13" max="13" width="200.6640625" customWidth="1"/>
    <col min="14" max="14" width="44.77734375" customWidth="1"/>
    <col min="15" max="15" width="65" customWidth="1"/>
    <col min="16" max="16" width="80.33203125" customWidth="1"/>
  </cols>
  <sheetData>
    <row r="1" spans="1:16" ht="13.65" customHeight="1">
      <c r="A1" s="367" t="s">
        <v>3235</v>
      </c>
      <c r="B1" s="367" t="s">
        <v>3830</v>
      </c>
      <c r="C1" s="367" t="s">
        <v>3831</v>
      </c>
      <c r="D1" s="367" t="s">
        <v>3832</v>
      </c>
      <c r="E1" s="367" t="s">
        <v>3833</v>
      </c>
      <c r="F1" s="367" t="s">
        <v>3834</v>
      </c>
      <c r="G1" s="367" t="s">
        <v>3835</v>
      </c>
      <c r="H1" s="367" t="s">
        <v>3836</v>
      </c>
      <c r="I1" s="367" t="s">
        <v>3837</v>
      </c>
      <c r="J1" s="367" t="s">
        <v>3838</v>
      </c>
      <c r="K1" s="367" t="s">
        <v>3839</v>
      </c>
      <c r="L1" s="367" t="s">
        <v>3840</v>
      </c>
      <c r="M1" s="367" t="s">
        <v>3841</v>
      </c>
      <c r="N1" s="367" t="s">
        <v>3842</v>
      </c>
      <c r="O1" s="367" t="s">
        <v>3843</v>
      </c>
      <c r="P1" s="367" t="s">
        <v>3844</v>
      </c>
    </row>
    <row r="2" spans="1:16" ht="13.65" customHeight="1">
      <c r="A2" s="368">
        <v>509</v>
      </c>
      <c r="B2" s="369">
        <v>1369</v>
      </c>
      <c r="C2" s="369" t="s">
        <v>3845</v>
      </c>
      <c r="D2" s="369" t="s">
        <v>115</v>
      </c>
      <c r="E2" s="369" t="s">
        <v>116</v>
      </c>
      <c r="F2" s="369" t="s">
        <v>115</v>
      </c>
      <c r="G2" s="369" t="s">
        <v>115</v>
      </c>
      <c r="H2" s="369" t="s">
        <v>1381</v>
      </c>
      <c r="I2" s="369" t="s">
        <v>3259</v>
      </c>
      <c r="J2" s="369" t="s">
        <v>3846</v>
      </c>
      <c r="K2" s="369" t="s">
        <v>3847</v>
      </c>
      <c r="L2" s="369"/>
      <c r="M2" s="369" t="s">
        <v>3848</v>
      </c>
      <c r="N2" s="369" t="s">
        <v>3849</v>
      </c>
      <c r="O2" s="369" t="s">
        <v>3850</v>
      </c>
      <c r="P2" s="369"/>
    </row>
    <row r="3" spans="1:16" ht="13.65" customHeight="1">
      <c r="A3" s="368">
        <v>516</v>
      </c>
      <c r="B3" s="369">
        <v>4038</v>
      </c>
      <c r="C3" s="369" t="s">
        <v>3851</v>
      </c>
      <c r="D3" s="369" t="s">
        <v>116</v>
      </c>
      <c r="E3" s="369" t="s">
        <v>116</v>
      </c>
      <c r="F3" s="369" t="s">
        <v>115</v>
      </c>
      <c r="G3" s="369" t="s">
        <v>115</v>
      </c>
      <c r="H3" s="369" t="s">
        <v>1381</v>
      </c>
      <c r="I3" s="369" t="s">
        <v>3259</v>
      </c>
      <c r="J3" s="369" t="s">
        <v>3852</v>
      </c>
      <c r="K3" s="369" t="s">
        <v>3853</v>
      </c>
      <c r="L3" s="369" t="s">
        <v>3854</v>
      </c>
      <c r="M3" s="369"/>
      <c r="N3" s="369" t="s">
        <v>3855</v>
      </c>
      <c r="O3" s="369" t="s">
        <v>3856</v>
      </c>
      <c r="P3" s="369" t="s">
        <v>3857</v>
      </c>
    </row>
    <row r="4" spans="1:16" ht="13.65" customHeight="1">
      <c r="A4" s="368">
        <v>522</v>
      </c>
      <c r="B4" s="369">
        <v>8109</v>
      </c>
      <c r="C4" s="369" t="s">
        <v>3858</v>
      </c>
      <c r="D4" s="369" t="s">
        <v>115</v>
      </c>
      <c r="E4" s="369" t="s">
        <v>116</v>
      </c>
      <c r="F4" s="369" t="s">
        <v>115</v>
      </c>
      <c r="G4" s="369" t="s">
        <v>115</v>
      </c>
      <c r="H4" s="369" t="s">
        <v>1381</v>
      </c>
      <c r="I4" s="369" t="s">
        <v>3259</v>
      </c>
      <c r="J4" s="369"/>
      <c r="K4" s="369"/>
      <c r="L4" s="369" t="s">
        <v>3859</v>
      </c>
      <c r="M4" s="369" t="s">
        <v>3860</v>
      </c>
      <c r="N4" s="369" t="s">
        <v>3861</v>
      </c>
      <c r="O4" s="369" t="s">
        <v>3862</v>
      </c>
      <c r="P4" s="369"/>
    </row>
    <row r="5" spans="1:16" ht="13.65" customHeight="1">
      <c r="A5" s="368">
        <v>523</v>
      </c>
      <c r="B5" s="369">
        <v>8110</v>
      </c>
      <c r="C5" s="369" t="s">
        <v>3863</v>
      </c>
      <c r="D5" s="369" t="s">
        <v>115</v>
      </c>
      <c r="E5" s="369" t="s">
        <v>116</v>
      </c>
      <c r="F5" s="369" t="s">
        <v>115</v>
      </c>
      <c r="G5" s="369" t="s">
        <v>115</v>
      </c>
      <c r="H5" s="369" t="s">
        <v>1381</v>
      </c>
      <c r="I5" s="369" t="s">
        <v>3259</v>
      </c>
      <c r="J5" s="369"/>
      <c r="K5" s="369"/>
      <c r="L5" s="369" t="s">
        <v>3859</v>
      </c>
      <c r="M5" s="369" t="s">
        <v>3860</v>
      </c>
      <c r="N5" s="369" t="s">
        <v>3861</v>
      </c>
      <c r="O5" s="369" t="s">
        <v>3864</v>
      </c>
      <c r="P5" s="369"/>
    </row>
    <row r="6" spans="1:16" ht="13.65" customHeight="1">
      <c r="A6" s="368">
        <v>529</v>
      </c>
      <c r="B6" s="369">
        <v>4019</v>
      </c>
      <c r="C6" s="369" t="s">
        <v>3865</v>
      </c>
      <c r="D6" s="369" t="s">
        <v>116</v>
      </c>
      <c r="E6" s="369" t="s">
        <v>116</v>
      </c>
      <c r="F6" s="369" t="s">
        <v>115</v>
      </c>
      <c r="G6" s="369" t="s">
        <v>115</v>
      </c>
      <c r="H6" s="369" t="s">
        <v>1381</v>
      </c>
      <c r="I6" s="369" t="s">
        <v>3259</v>
      </c>
      <c r="J6" s="369" t="s">
        <v>3866</v>
      </c>
      <c r="K6" s="369" t="s">
        <v>3867</v>
      </c>
      <c r="L6" s="369" t="s">
        <v>3868</v>
      </c>
      <c r="M6" s="369" t="s">
        <v>3869</v>
      </c>
      <c r="N6" s="369" t="s">
        <v>3870</v>
      </c>
      <c r="O6" s="369" t="s">
        <v>3871</v>
      </c>
      <c r="P6" s="369"/>
    </row>
    <row r="7" spans="1:16" ht="13.65" customHeight="1">
      <c r="A7" s="368">
        <v>535</v>
      </c>
      <c r="B7" s="369">
        <v>8021</v>
      </c>
      <c r="C7" s="369" t="s">
        <v>1457</v>
      </c>
      <c r="D7" s="369" t="s">
        <v>1927</v>
      </c>
      <c r="E7" s="369" t="s">
        <v>1927</v>
      </c>
      <c r="F7" s="369" t="s">
        <v>1927</v>
      </c>
      <c r="G7" s="369" t="s">
        <v>1927</v>
      </c>
      <c r="H7" s="369" t="s">
        <v>1381</v>
      </c>
      <c r="I7" s="369" t="s">
        <v>3259</v>
      </c>
      <c r="J7" s="369" t="s">
        <v>3872</v>
      </c>
      <c r="K7" s="369"/>
      <c r="L7" s="369" t="s">
        <v>3873</v>
      </c>
      <c r="M7" s="369" t="s">
        <v>3874</v>
      </c>
      <c r="N7" s="369"/>
      <c r="O7" s="369" t="s">
        <v>3875</v>
      </c>
      <c r="P7" s="369"/>
    </row>
    <row r="8" spans="1:16" ht="13.65" customHeight="1">
      <c r="A8" s="368">
        <v>543</v>
      </c>
      <c r="B8" s="369">
        <v>8089</v>
      </c>
      <c r="C8" s="369" t="s">
        <v>3876</v>
      </c>
      <c r="D8" s="369" t="s">
        <v>115</v>
      </c>
      <c r="E8" s="369" t="s">
        <v>116</v>
      </c>
      <c r="F8" s="369" t="s">
        <v>115</v>
      </c>
      <c r="G8" s="369" t="s">
        <v>115</v>
      </c>
      <c r="H8" s="369" t="s">
        <v>1378</v>
      </c>
      <c r="I8" s="369" t="s">
        <v>3399</v>
      </c>
      <c r="J8" s="369"/>
      <c r="K8" s="369"/>
      <c r="L8" s="369" t="s">
        <v>3877</v>
      </c>
      <c r="M8" s="369"/>
      <c r="N8" s="369" t="s">
        <v>3878</v>
      </c>
      <c r="O8" s="369" t="s">
        <v>3879</v>
      </c>
      <c r="P8" s="369"/>
    </row>
    <row r="9" spans="1:16" ht="13.65" customHeight="1">
      <c r="A9" s="368">
        <v>546</v>
      </c>
      <c r="B9" s="369">
        <v>1591</v>
      </c>
      <c r="C9" s="369" t="s">
        <v>3880</v>
      </c>
      <c r="D9" s="369" t="s">
        <v>116</v>
      </c>
      <c r="E9" s="369" t="s">
        <v>115</v>
      </c>
      <c r="F9" s="369" t="s">
        <v>115</v>
      </c>
      <c r="G9" s="369" t="s">
        <v>115</v>
      </c>
      <c r="H9" s="369" t="s">
        <v>1378</v>
      </c>
      <c r="I9" s="369" t="s">
        <v>3259</v>
      </c>
      <c r="J9" s="369"/>
      <c r="K9" s="369"/>
      <c r="L9" s="369"/>
      <c r="M9" s="369"/>
      <c r="N9" s="369" t="s">
        <v>3881</v>
      </c>
      <c r="O9" s="369" t="s">
        <v>3882</v>
      </c>
      <c r="P9" s="369"/>
    </row>
    <row r="10" spans="1:16" ht="13.65" customHeight="1">
      <c r="A10" s="368">
        <v>549</v>
      </c>
      <c r="B10" s="369">
        <v>4016</v>
      </c>
      <c r="C10" s="369" t="s">
        <v>789</v>
      </c>
      <c r="D10" s="369" t="s">
        <v>115</v>
      </c>
      <c r="E10" s="369" t="s">
        <v>116</v>
      </c>
      <c r="F10" s="369" t="s">
        <v>115</v>
      </c>
      <c r="G10" s="369" t="s">
        <v>115</v>
      </c>
      <c r="H10" s="369" t="s">
        <v>1381</v>
      </c>
      <c r="I10" s="369" t="s">
        <v>3259</v>
      </c>
      <c r="J10" s="369" t="s">
        <v>3883</v>
      </c>
      <c r="K10" s="369" t="s">
        <v>3884</v>
      </c>
      <c r="L10" s="369"/>
      <c r="M10" s="369"/>
      <c r="N10" s="369" t="s">
        <v>3288</v>
      </c>
      <c r="O10" s="369" t="s">
        <v>3885</v>
      </c>
      <c r="P10" s="369" t="s">
        <v>3886</v>
      </c>
    </row>
    <row r="11" spans="1:16" ht="13.65" customHeight="1">
      <c r="A11" s="368">
        <v>559</v>
      </c>
      <c r="B11" s="369">
        <v>5039</v>
      </c>
      <c r="C11" s="369" t="s">
        <v>791</v>
      </c>
      <c r="D11" s="369" t="s">
        <v>115</v>
      </c>
      <c r="E11" s="369" t="s">
        <v>116</v>
      </c>
      <c r="F11" s="369" t="s">
        <v>115</v>
      </c>
      <c r="G11" s="369" t="s">
        <v>115</v>
      </c>
      <c r="H11" s="369" t="s">
        <v>1381</v>
      </c>
      <c r="I11" s="369" t="s">
        <v>3259</v>
      </c>
      <c r="J11" s="369" t="s">
        <v>3887</v>
      </c>
      <c r="K11" s="369" t="s">
        <v>3888</v>
      </c>
      <c r="L11" s="369" t="s">
        <v>3889</v>
      </c>
      <c r="M11" s="369"/>
      <c r="N11" s="369" t="s">
        <v>3890</v>
      </c>
      <c r="O11" s="369" t="s">
        <v>3891</v>
      </c>
      <c r="P11" s="369" t="s">
        <v>3892</v>
      </c>
    </row>
    <row r="12" spans="1:16" s="19" customFormat="1" ht="13.65" customHeight="1">
      <c r="A12" s="370">
        <v>565</v>
      </c>
      <c r="B12" s="371">
        <v>2015</v>
      </c>
      <c r="C12" s="371" t="s">
        <v>3893</v>
      </c>
      <c r="D12" s="371" t="s">
        <v>3341</v>
      </c>
      <c r="E12" s="371" t="s">
        <v>3341</v>
      </c>
      <c r="F12" s="371" t="s">
        <v>3341</v>
      </c>
      <c r="G12" s="371" t="s">
        <v>3341</v>
      </c>
      <c r="H12" s="371" t="s">
        <v>1378</v>
      </c>
      <c r="I12" s="371" t="s">
        <v>3259</v>
      </c>
      <c r="J12" s="371" t="s">
        <v>3894</v>
      </c>
      <c r="K12" s="371" t="s">
        <v>3895</v>
      </c>
      <c r="L12" s="371"/>
      <c r="M12" s="371"/>
      <c r="N12" s="371"/>
      <c r="O12" s="371" t="s">
        <v>3896</v>
      </c>
      <c r="P12" s="371" t="s">
        <v>3897</v>
      </c>
    </row>
    <row r="13" spans="1:16" ht="13.65" customHeight="1">
      <c r="A13" s="368">
        <v>567</v>
      </c>
      <c r="B13" s="369">
        <v>8020</v>
      </c>
      <c r="C13" s="369" t="s">
        <v>3898</v>
      </c>
      <c r="D13" s="369" t="s">
        <v>1927</v>
      </c>
      <c r="E13" s="369" t="s">
        <v>1927</v>
      </c>
      <c r="F13" s="369" t="s">
        <v>1927</v>
      </c>
      <c r="G13" s="369" t="s">
        <v>1927</v>
      </c>
      <c r="H13" s="369" t="s">
        <v>1381</v>
      </c>
      <c r="I13" s="369" t="s">
        <v>3259</v>
      </c>
      <c r="J13" s="369" t="s">
        <v>3872</v>
      </c>
      <c r="K13" s="369"/>
      <c r="L13" s="369"/>
      <c r="M13" s="369" t="s">
        <v>3899</v>
      </c>
      <c r="N13" s="369"/>
      <c r="O13" s="369" t="s">
        <v>3900</v>
      </c>
      <c r="P13" s="369"/>
    </row>
    <row r="14" spans="1:16" ht="13.65" customHeight="1">
      <c r="A14" s="368">
        <v>569</v>
      </c>
      <c r="B14" s="369">
        <v>5041</v>
      </c>
      <c r="C14" s="369" t="s">
        <v>793</v>
      </c>
      <c r="D14" s="369" t="s">
        <v>115</v>
      </c>
      <c r="E14" s="369" t="s">
        <v>116</v>
      </c>
      <c r="F14" s="369" t="s">
        <v>115</v>
      </c>
      <c r="G14" s="369" t="s">
        <v>115</v>
      </c>
      <c r="H14" s="369" t="s">
        <v>1378</v>
      </c>
      <c r="I14" s="369" t="s">
        <v>3259</v>
      </c>
      <c r="J14" s="369" t="s">
        <v>3901</v>
      </c>
      <c r="K14" s="369" t="s">
        <v>3902</v>
      </c>
      <c r="L14" s="369"/>
      <c r="M14" s="369" t="s">
        <v>3903</v>
      </c>
      <c r="N14" s="369" t="s">
        <v>3904</v>
      </c>
      <c r="O14" s="369" t="s">
        <v>3891</v>
      </c>
      <c r="P14" s="369" t="s">
        <v>3905</v>
      </c>
    </row>
    <row r="15" spans="1:16" s="19" customFormat="1" ht="13.65" customHeight="1">
      <c r="A15" s="370">
        <v>570</v>
      </c>
      <c r="B15" s="371">
        <v>8017</v>
      </c>
      <c r="C15" s="371" t="s">
        <v>795</v>
      </c>
      <c r="D15" s="371" t="s">
        <v>1927</v>
      </c>
      <c r="E15" s="371" t="s">
        <v>1927</v>
      </c>
      <c r="F15" s="371" t="s">
        <v>1927</v>
      </c>
      <c r="G15" s="371" t="s">
        <v>1927</v>
      </c>
      <c r="H15" s="371" t="s">
        <v>1378</v>
      </c>
      <c r="I15" s="371" t="s">
        <v>3259</v>
      </c>
      <c r="J15" s="371" t="s">
        <v>3906</v>
      </c>
      <c r="K15" s="371"/>
      <c r="L15" s="371" t="s">
        <v>3907</v>
      </c>
      <c r="M15" s="371"/>
      <c r="N15" s="371"/>
      <c r="O15" s="371" t="s">
        <v>3908</v>
      </c>
      <c r="P15" s="371"/>
    </row>
    <row r="16" spans="1:16" s="19" customFormat="1" ht="13.65" customHeight="1">
      <c r="A16" s="370">
        <v>570</v>
      </c>
      <c r="B16" s="371">
        <v>8049</v>
      </c>
      <c r="C16" s="371" t="s">
        <v>3909</v>
      </c>
      <c r="D16" s="371" t="s">
        <v>3341</v>
      </c>
      <c r="E16" s="371" t="s">
        <v>3341</v>
      </c>
      <c r="F16" s="371" t="s">
        <v>3341</v>
      </c>
      <c r="G16" s="371" t="s">
        <v>3341</v>
      </c>
      <c r="H16" s="371" t="s">
        <v>1378</v>
      </c>
      <c r="I16" s="371" t="s">
        <v>3259</v>
      </c>
      <c r="J16" s="371"/>
      <c r="K16" s="371"/>
      <c r="L16" s="371" t="s">
        <v>3910</v>
      </c>
      <c r="M16" s="371"/>
      <c r="N16" s="371" t="s">
        <v>3911</v>
      </c>
      <c r="O16" s="371" t="s">
        <v>3912</v>
      </c>
      <c r="P16" s="371"/>
    </row>
    <row r="17" spans="1:16" ht="13.65" customHeight="1">
      <c r="A17" s="368">
        <v>571</v>
      </c>
      <c r="B17" s="369">
        <v>8016</v>
      </c>
      <c r="C17" s="369" t="s">
        <v>1465</v>
      </c>
      <c r="D17" s="369" t="s">
        <v>3341</v>
      </c>
      <c r="E17" s="369" t="s">
        <v>3341</v>
      </c>
      <c r="F17" s="369" t="s">
        <v>3341</v>
      </c>
      <c r="G17" s="369" t="s">
        <v>3341</v>
      </c>
      <c r="H17" s="369" t="s">
        <v>1378</v>
      </c>
      <c r="I17" s="369" t="s">
        <v>3259</v>
      </c>
      <c r="J17" s="369" t="s">
        <v>3872</v>
      </c>
      <c r="K17" s="369"/>
      <c r="L17" s="369"/>
      <c r="M17" s="369"/>
      <c r="N17" s="369"/>
      <c r="O17" s="369"/>
      <c r="P17" s="369"/>
    </row>
    <row r="18" spans="1:16" ht="13.65" customHeight="1">
      <c r="A18" s="368">
        <v>576</v>
      </c>
      <c r="B18" s="369">
        <v>8015</v>
      </c>
      <c r="C18" s="369" t="s">
        <v>1280</v>
      </c>
      <c r="D18" s="369" t="s">
        <v>1927</v>
      </c>
      <c r="E18" s="369" t="s">
        <v>1927</v>
      </c>
      <c r="F18" s="369" t="s">
        <v>1927</v>
      </c>
      <c r="G18" s="369" t="s">
        <v>1927</v>
      </c>
      <c r="H18" s="369" t="s">
        <v>1378</v>
      </c>
      <c r="I18" s="369" t="s">
        <v>3259</v>
      </c>
      <c r="J18" s="369" t="s">
        <v>3872</v>
      </c>
      <c r="K18" s="369" t="s">
        <v>3913</v>
      </c>
      <c r="L18" s="369" t="s">
        <v>3914</v>
      </c>
      <c r="M18" s="369"/>
      <c r="N18" s="369"/>
      <c r="O18" s="369" t="s">
        <v>3915</v>
      </c>
      <c r="P18" s="369"/>
    </row>
    <row r="19" spans="1:16" ht="13.65" customHeight="1">
      <c r="A19" s="368">
        <v>585</v>
      </c>
      <c r="B19" s="369">
        <v>4013</v>
      </c>
      <c r="C19" s="369" t="s">
        <v>799</v>
      </c>
      <c r="D19" s="369" t="s">
        <v>115</v>
      </c>
      <c r="E19" s="369" t="s">
        <v>116</v>
      </c>
      <c r="F19" s="369" t="s">
        <v>115</v>
      </c>
      <c r="G19" s="369" t="s">
        <v>115</v>
      </c>
      <c r="H19" s="369" t="s">
        <v>1378</v>
      </c>
      <c r="I19" s="369" t="s">
        <v>3259</v>
      </c>
      <c r="J19" s="369" t="s">
        <v>3916</v>
      </c>
      <c r="K19" s="369" t="s">
        <v>3917</v>
      </c>
      <c r="L19" s="369" t="s">
        <v>3918</v>
      </c>
      <c r="M19" s="369" t="s">
        <v>3919</v>
      </c>
      <c r="N19" s="369" t="s">
        <v>3920</v>
      </c>
      <c r="O19" s="369" t="s">
        <v>3921</v>
      </c>
      <c r="P19" s="369" t="s">
        <v>3922</v>
      </c>
    </row>
    <row r="20" spans="1:16" ht="13.65" customHeight="1">
      <c r="A20" s="368">
        <v>592</v>
      </c>
      <c r="B20" s="369">
        <v>8033</v>
      </c>
      <c r="C20" s="369" t="s">
        <v>3923</v>
      </c>
      <c r="D20" s="369" t="s">
        <v>3341</v>
      </c>
      <c r="E20" s="369" t="s">
        <v>3341</v>
      </c>
      <c r="F20" s="369" t="s">
        <v>3341</v>
      </c>
      <c r="G20" s="369" t="s">
        <v>3341</v>
      </c>
      <c r="H20" s="369" t="s">
        <v>1378</v>
      </c>
      <c r="I20" s="369" t="s">
        <v>3259</v>
      </c>
      <c r="J20" s="369" t="s">
        <v>3872</v>
      </c>
      <c r="K20" s="369"/>
      <c r="L20" s="369"/>
      <c r="M20" s="369" t="s">
        <v>3924</v>
      </c>
      <c r="N20" s="369" t="s">
        <v>3925</v>
      </c>
      <c r="O20" s="369" t="s">
        <v>3926</v>
      </c>
      <c r="P20" s="369"/>
    </row>
    <row r="21" spans="1:16" ht="13.65" customHeight="1">
      <c r="A21" s="368">
        <v>599</v>
      </c>
      <c r="B21" s="369">
        <v>1261</v>
      </c>
      <c r="C21" s="369" t="s">
        <v>3927</v>
      </c>
      <c r="D21" s="369" t="s">
        <v>115</v>
      </c>
      <c r="E21" s="369" t="s">
        <v>116</v>
      </c>
      <c r="F21" s="369" t="s">
        <v>115</v>
      </c>
      <c r="G21" s="369" t="s">
        <v>115</v>
      </c>
      <c r="H21" s="369" t="s">
        <v>1378</v>
      </c>
      <c r="I21" s="369" t="s">
        <v>3259</v>
      </c>
      <c r="J21" s="369"/>
      <c r="K21" s="369"/>
      <c r="L21" s="369" t="s">
        <v>3928</v>
      </c>
      <c r="M21" s="369"/>
      <c r="N21" s="369" t="s">
        <v>3929</v>
      </c>
      <c r="O21" s="369" t="s">
        <v>3930</v>
      </c>
      <c r="P21" s="369"/>
    </row>
    <row r="22" spans="1:16" ht="13.65" customHeight="1">
      <c r="A22" s="368">
        <v>600</v>
      </c>
      <c r="B22" s="369">
        <v>1370</v>
      </c>
      <c r="C22" s="369" t="s">
        <v>803</v>
      </c>
      <c r="D22" s="369" t="s">
        <v>115</v>
      </c>
      <c r="E22" s="369" t="s">
        <v>116</v>
      </c>
      <c r="F22" s="369" t="s">
        <v>115</v>
      </c>
      <c r="G22" s="369" t="s">
        <v>115</v>
      </c>
      <c r="H22" s="369" t="s">
        <v>1378</v>
      </c>
      <c r="I22" s="369" t="s">
        <v>3259</v>
      </c>
      <c r="J22" s="369" t="s">
        <v>3931</v>
      </c>
      <c r="K22" s="369" t="s">
        <v>3932</v>
      </c>
      <c r="L22" s="369"/>
      <c r="M22" s="369" t="s">
        <v>3933</v>
      </c>
      <c r="N22" s="369" t="s">
        <v>3934</v>
      </c>
      <c r="O22" s="369" t="s">
        <v>3935</v>
      </c>
      <c r="P22" s="369" t="s">
        <v>3936</v>
      </c>
    </row>
    <row r="23" spans="1:16" ht="13.65" customHeight="1">
      <c r="A23" s="368">
        <v>607</v>
      </c>
      <c r="B23" s="369">
        <v>1360</v>
      </c>
      <c r="C23" s="369" t="s">
        <v>1284</v>
      </c>
      <c r="D23" s="369" t="s">
        <v>115</v>
      </c>
      <c r="E23" s="369" t="s">
        <v>115</v>
      </c>
      <c r="F23" s="369" t="s">
        <v>115</v>
      </c>
      <c r="G23" s="369" t="s">
        <v>115</v>
      </c>
      <c r="H23" s="369" t="s">
        <v>1378</v>
      </c>
      <c r="I23" s="369" t="s">
        <v>3259</v>
      </c>
      <c r="J23" s="369" t="s">
        <v>3937</v>
      </c>
      <c r="K23" s="369" t="s">
        <v>3938</v>
      </c>
      <c r="L23" s="369"/>
      <c r="M23" s="369" t="s">
        <v>3939</v>
      </c>
      <c r="N23" s="369" t="s">
        <v>3940</v>
      </c>
      <c r="O23" s="369" t="s">
        <v>3941</v>
      </c>
      <c r="P23" s="369"/>
    </row>
    <row r="24" spans="1:16" ht="13.65" customHeight="1">
      <c r="A24" s="368">
        <v>616</v>
      </c>
      <c r="B24" s="369">
        <v>4016</v>
      </c>
      <c r="C24" s="369" t="s">
        <v>789</v>
      </c>
      <c r="D24" s="369" t="s">
        <v>115</v>
      </c>
      <c r="E24" s="369" t="s">
        <v>116</v>
      </c>
      <c r="F24" s="369" t="s">
        <v>115</v>
      </c>
      <c r="G24" s="369" t="s">
        <v>115</v>
      </c>
      <c r="H24" s="369" t="s">
        <v>1381</v>
      </c>
      <c r="I24" s="369" t="s">
        <v>3259</v>
      </c>
      <c r="J24" s="369" t="s">
        <v>3883</v>
      </c>
      <c r="K24" s="369" t="s">
        <v>3884</v>
      </c>
      <c r="L24" s="369"/>
      <c r="M24" s="369"/>
      <c r="N24" s="369" t="s">
        <v>3288</v>
      </c>
      <c r="O24" s="369" t="s">
        <v>3885</v>
      </c>
      <c r="P24" s="369" t="s">
        <v>3886</v>
      </c>
    </row>
    <row r="25" spans="1:16" ht="13.65" customHeight="1">
      <c r="A25" s="368">
        <v>621</v>
      </c>
      <c r="B25" s="369">
        <v>8086</v>
      </c>
      <c r="C25" s="369" t="s">
        <v>3942</v>
      </c>
      <c r="D25" s="369" t="s">
        <v>115</v>
      </c>
      <c r="E25" s="369" t="s">
        <v>116</v>
      </c>
      <c r="F25" s="369" t="s">
        <v>115</v>
      </c>
      <c r="G25" s="369" t="s">
        <v>115</v>
      </c>
      <c r="H25" s="369" t="s">
        <v>1378</v>
      </c>
      <c r="I25" s="369" t="s">
        <v>3259</v>
      </c>
      <c r="J25" s="369"/>
      <c r="K25" s="369"/>
      <c r="L25" s="369"/>
      <c r="M25" s="369" t="s">
        <v>3943</v>
      </c>
      <c r="N25" s="369"/>
      <c r="O25" s="369" t="s">
        <v>3944</v>
      </c>
      <c r="P25" s="369" t="s">
        <v>3945</v>
      </c>
    </row>
    <row r="26" spans="1:16" ht="13.65" customHeight="1">
      <c r="A26" s="368">
        <v>622</v>
      </c>
      <c r="B26" s="369">
        <v>8087</v>
      </c>
      <c r="C26" s="369" t="s">
        <v>3946</v>
      </c>
      <c r="D26" s="369" t="s">
        <v>115</v>
      </c>
      <c r="E26" s="369" t="s">
        <v>116</v>
      </c>
      <c r="F26" s="369" t="s">
        <v>115</v>
      </c>
      <c r="G26" s="369" t="s">
        <v>115</v>
      </c>
      <c r="H26" s="369" t="s">
        <v>1378</v>
      </c>
      <c r="I26" s="369" t="s">
        <v>3259</v>
      </c>
      <c r="J26" s="369"/>
      <c r="K26" s="369"/>
      <c r="L26" s="369"/>
      <c r="M26" s="369" t="s">
        <v>3947</v>
      </c>
      <c r="N26" s="369"/>
      <c r="O26" s="369" t="s">
        <v>3944</v>
      </c>
      <c r="P26" s="369" t="s">
        <v>3948</v>
      </c>
    </row>
    <row r="27" spans="1:16" ht="13.65" customHeight="1">
      <c r="A27" s="368">
        <v>623</v>
      </c>
      <c r="B27" s="369">
        <v>8088</v>
      </c>
      <c r="C27" s="369" t="s">
        <v>3949</v>
      </c>
      <c r="D27" s="369" t="s">
        <v>115</v>
      </c>
      <c r="E27" s="369" t="s">
        <v>116</v>
      </c>
      <c r="F27" s="369" t="s">
        <v>115</v>
      </c>
      <c r="G27" s="369" t="s">
        <v>115</v>
      </c>
      <c r="H27" s="369" t="s">
        <v>1378</v>
      </c>
      <c r="I27" s="369" t="s">
        <v>3259</v>
      </c>
      <c r="J27" s="369"/>
      <c r="K27" s="369"/>
      <c r="L27" s="369"/>
      <c r="M27" s="369"/>
      <c r="N27" s="369" t="s">
        <v>3950</v>
      </c>
      <c r="O27" s="369"/>
      <c r="P27" s="369"/>
    </row>
    <row r="28" spans="1:16" ht="13.65" customHeight="1">
      <c r="A28" s="368">
        <v>629</v>
      </c>
      <c r="B28" s="369">
        <v>1592</v>
      </c>
      <c r="C28" s="369" t="s">
        <v>3951</v>
      </c>
      <c r="D28" s="369" t="s">
        <v>116</v>
      </c>
      <c r="E28" s="369" t="s">
        <v>116</v>
      </c>
      <c r="F28" s="369" t="s">
        <v>115</v>
      </c>
      <c r="G28" s="369" t="s">
        <v>115</v>
      </c>
      <c r="H28" s="369" t="s">
        <v>1378</v>
      </c>
      <c r="I28" s="369" t="s">
        <v>3259</v>
      </c>
      <c r="J28" s="369"/>
      <c r="K28" s="369"/>
      <c r="L28" s="369"/>
      <c r="M28" s="369"/>
      <c r="N28" s="369" t="s">
        <v>3952</v>
      </c>
      <c r="O28" s="369" t="s">
        <v>3882</v>
      </c>
      <c r="P28" s="369"/>
    </row>
    <row r="29" spans="1:16" ht="13.65" customHeight="1">
      <c r="A29" s="368">
        <v>633</v>
      </c>
      <c r="B29" s="369">
        <v>1576</v>
      </c>
      <c r="C29" s="369" t="s">
        <v>3953</v>
      </c>
      <c r="D29" s="369" t="s">
        <v>1927</v>
      </c>
      <c r="E29" s="369" t="s">
        <v>1927</v>
      </c>
      <c r="F29" s="369" t="s">
        <v>115</v>
      </c>
      <c r="G29" s="369" t="s">
        <v>115</v>
      </c>
      <c r="H29" s="369" t="s">
        <v>1381</v>
      </c>
      <c r="I29" s="369" t="s">
        <v>3399</v>
      </c>
      <c r="J29" s="369"/>
      <c r="K29" s="369"/>
      <c r="L29" s="369" t="s">
        <v>3954</v>
      </c>
      <c r="M29" s="369"/>
      <c r="N29" s="369" t="s">
        <v>3955</v>
      </c>
      <c r="O29" s="369" t="s">
        <v>3956</v>
      </c>
      <c r="P29" s="369" t="s">
        <v>3957</v>
      </c>
    </row>
    <row r="30" spans="1:16" ht="13.65" customHeight="1">
      <c r="A30" s="368">
        <v>636</v>
      </c>
      <c r="B30" s="369">
        <v>8077</v>
      </c>
      <c r="C30" s="369" t="s">
        <v>3958</v>
      </c>
      <c r="D30" s="369" t="s">
        <v>1927</v>
      </c>
      <c r="E30" s="369" t="s">
        <v>1927</v>
      </c>
      <c r="F30" s="369" t="s">
        <v>1927</v>
      </c>
      <c r="G30" s="369" t="s">
        <v>115</v>
      </c>
      <c r="H30" s="369" t="s">
        <v>1378</v>
      </c>
      <c r="I30" s="369" t="s">
        <v>3259</v>
      </c>
      <c r="J30" s="369"/>
      <c r="K30" s="369"/>
      <c r="L30" s="369"/>
      <c r="M30" s="369" t="s">
        <v>3959</v>
      </c>
      <c r="N30" s="369" t="s">
        <v>3960</v>
      </c>
      <c r="O30" s="369" t="s">
        <v>3961</v>
      </c>
      <c r="P30" s="369" t="s">
        <v>3962</v>
      </c>
    </row>
    <row r="31" spans="1:16" ht="13.65" customHeight="1">
      <c r="A31" s="368">
        <v>652</v>
      </c>
      <c r="B31" s="369">
        <v>1373</v>
      </c>
      <c r="C31" s="369" t="s">
        <v>3963</v>
      </c>
      <c r="D31" s="369" t="s">
        <v>115</v>
      </c>
      <c r="E31" s="369" t="s">
        <v>116</v>
      </c>
      <c r="F31" s="369" t="s">
        <v>115</v>
      </c>
      <c r="G31" s="369" t="s">
        <v>115</v>
      </c>
      <c r="H31" s="369" t="s">
        <v>1378</v>
      </c>
      <c r="I31" s="369" t="s">
        <v>3259</v>
      </c>
      <c r="J31" s="369" t="s">
        <v>3964</v>
      </c>
      <c r="K31" s="369" t="s">
        <v>3965</v>
      </c>
      <c r="L31" s="369"/>
      <c r="M31" s="369" t="s">
        <v>3966</v>
      </c>
      <c r="N31" s="369" t="s">
        <v>3967</v>
      </c>
      <c r="O31" s="369" t="s">
        <v>3968</v>
      </c>
      <c r="P31" s="369"/>
    </row>
    <row r="32" spans="1:16" ht="13.65" customHeight="1">
      <c r="A32" s="368">
        <v>653</v>
      </c>
      <c r="B32" s="369">
        <v>4018</v>
      </c>
      <c r="C32" s="369" t="s">
        <v>3969</v>
      </c>
      <c r="D32" s="369" t="s">
        <v>1927</v>
      </c>
      <c r="E32" s="369" t="s">
        <v>1927</v>
      </c>
      <c r="F32" s="369" t="s">
        <v>1927</v>
      </c>
      <c r="G32" s="369" t="s">
        <v>1927</v>
      </c>
      <c r="H32" s="369" t="s">
        <v>1378</v>
      </c>
      <c r="I32" s="369" t="s">
        <v>3259</v>
      </c>
      <c r="J32" s="369" t="s">
        <v>3970</v>
      </c>
      <c r="K32" s="369" t="s">
        <v>3971</v>
      </c>
      <c r="L32" s="369"/>
      <c r="M32" s="369" t="s">
        <v>3972</v>
      </c>
      <c r="N32" s="369" t="s">
        <v>3973</v>
      </c>
      <c r="O32" s="369" t="s">
        <v>3974</v>
      </c>
      <c r="P32" s="369" t="s">
        <v>3975</v>
      </c>
    </row>
    <row r="33" spans="1:16" ht="13.65" customHeight="1">
      <c r="A33" s="368">
        <v>654</v>
      </c>
      <c r="B33" s="369">
        <v>8071</v>
      </c>
      <c r="C33" s="369" t="s">
        <v>3976</v>
      </c>
      <c r="D33" s="369" t="s">
        <v>115</v>
      </c>
      <c r="E33" s="369" t="s">
        <v>116</v>
      </c>
      <c r="F33" s="369" t="s">
        <v>115</v>
      </c>
      <c r="G33" s="369" t="s">
        <v>115</v>
      </c>
      <c r="H33" s="369" t="s">
        <v>1378</v>
      </c>
      <c r="I33" s="369" t="s">
        <v>3259</v>
      </c>
      <c r="J33" s="369"/>
      <c r="K33" s="369"/>
      <c r="L33" s="369" t="s">
        <v>3977</v>
      </c>
      <c r="M33" s="369" t="s">
        <v>3978</v>
      </c>
      <c r="N33" s="369" t="s">
        <v>3979</v>
      </c>
      <c r="O33" s="369" t="s">
        <v>3980</v>
      </c>
      <c r="P33" s="369" t="s">
        <v>3981</v>
      </c>
    </row>
    <row r="34" spans="1:16" ht="13.65" customHeight="1">
      <c r="A34" s="368">
        <v>659</v>
      </c>
      <c r="B34" s="369">
        <v>1053</v>
      </c>
      <c r="C34" s="369" t="s">
        <v>3982</v>
      </c>
      <c r="D34" s="369" t="s">
        <v>115</v>
      </c>
      <c r="E34" s="369" t="s">
        <v>116</v>
      </c>
      <c r="F34" s="369" t="s">
        <v>115</v>
      </c>
      <c r="G34" s="369" t="s">
        <v>115</v>
      </c>
      <c r="H34" s="369" t="s">
        <v>1381</v>
      </c>
      <c r="I34" s="369" t="s">
        <v>3399</v>
      </c>
      <c r="J34" s="369" t="s">
        <v>3983</v>
      </c>
      <c r="K34" s="369" t="s">
        <v>3984</v>
      </c>
      <c r="L34" s="369"/>
      <c r="M34" s="369" t="s">
        <v>3985</v>
      </c>
      <c r="N34" s="369" t="s">
        <v>3986</v>
      </c>
      <c r="O34" s="369" t="s">
        <v>3987</v>
      </c>
      <c r="P34" s="369"/>
    </row>
    <row r="35" spans="1:16" ht="13.65" customHeight="1">
      <c r="A35" s="368">
        <v>661</v>
      </c>
      <c r="B35" s="369">
        <v>8096</v>
      </c>
      <c r="C35" s="369" t="s">
        <v>3988</v>
      </c>
      <c r="D35" s="369" t="s">
        <v>115</v>
      </c>
      <c r="E35" s="369" t="s">
        <v>116</v>
      </c>
      <c r="F35" s="369" t="s">
        <v>115</v>
      </c>
      <c r="G35" s="369" t="s">
        <v>115</v>
      </c>
      <c r="H35" s="369" t="s">
        <v>1378</v>
      </c>
      <c r="I35" s="369" t="s">
        <v>3259</v>
      </c>
      <c r="J35" s="369"/>
      <c r="K35" s="369"/>
      <c r="L35" s="369"/>
      <c r="M35" s="369"/>
      <c r="N35" s="369" t="s">
        <v>3989</v>
      </c>
      <c r="O35" s="369" t="s">
        <v>3944</v>
      </c>
      <c r="P35" s="369" t="s">
        <v>3945</v>
      </c>
    </row>
    <row r="36" spans="1:16" ht="13.65" customHeight="1">
      <c r="A36" s="368">
        <v>662</v>
      </c>
      <c r="B36" s="369">
        <v>8097</v>
      </c>
      <c r="C36" s="369" t="s">
        <v>3990</v>
      </c>
      <c r="D36" s="369" t="s">
        <v>115</v>
      </c>
      <c r="E36" s="369" t="s">
        <v>116</v>
      </c>
      <c r="F36" s="369" t="s">
        <v>115</v>
      </c>
      <c r="G36" s="369" t="s">
        <v>115</v>
      </c>
      <c r="H36" s="369" t="s">
        <v>1378</v>
      </c>
      <c r="I36" s="369" t="s">
        <v>3259</v>
      </c>
      <c r="J36" s="369"/>
      <c r="K36" s="369"/>
      <c r="L36" s="369"/>
      <c r="M36" s="369"/>
      <c r="N36" s="369" t="s">
        <v>3991</v>
      </c>
      <c r="O36" s="369" t="s">
        <v>3944</v>
      </c>
      <c r="P36" s="369" t="s">
        <v>3948</v>
      </c>
    </row>
    <row r="37" spans="1:16" ht="13.65" customHeight="1">
      <c r="A37" s="368">
        <v>663</v>
      </c>
      <c r="B37" s="369">
        <v>1044</v>
      </c>
      <c r="C37" s="369" t="s">
        <v>3992</v>
      </c>
      <c r="D37" s="369" t="s">
        <v>115</v>
      </c>
      <c r="E37" s="369" t="s">
        <v>116</v>
      </c>
      <c r="F37" s="369" t="s">
        <v>115</v>
      </c>
      <c r="G37" s="369" t="s">
        <v>115</v>
      </c>
      <c r="H37" s="369" t="s">
        <v>1378</v>
      </c>
      <c r="I37" s="369" t="s">
        <v>3259</v>
      </c>
      <c r="J37" s="369" t="s">
        <v>3993</v>
      </c>
      <c r="K37" s="369" t="s">
        <v>3994</v>
      </c>
      <c r="L37" s="369"/>
      <c r="M37" s="369"/>
      <c r="N37" s="369" t="s">
        <v>3995</v>
      </c>
      <c r="O37" s="369" t="s">
        <v>3996</v>
      </c>
      <c r="P37" s="369" t="s">
        <v>3997</v>
      </c>
    </row>
    <row r="38" spans="1:16" ht="13.65" customHeight="1">
      <c r="A38" s="368">
        <v>667</v>
      </c>
      <c r="B38" s="369">
        <v>8072</v>
      </c>
      <c r="C38" s="369" t="s">
        <v>3998</v>
      </c>
      <c r="D38" s="369" t="s">
        <v>115</v>
      </c>
      <c r="E38" s="369" t="s">
        <v>116</v>
      </c>
      <c r="F38" s="369" t="s">
        <v>115</v>
      </c>
      <c r="G38" s="369" t="s">
        <v>115</v>
      </c>
      <c r="H38" s="369" t="s">
        <v>1378</v>
      </c>
      <c r="I38" s="369" t="s">
        <v>3259</v>
      </c>
      <c r="J38" s="369"/>
      <c r="K38" s="369"/>
      <c r="L38" s="369" t="s">
        <v>3999</v>
      </c>
      <c r="M38" s="369" t="s">
        <v>3978</v>
      </c>
      <c r="N38" s="369" t="s">
        <v>4000</v>
      </c>
      <c r="O38" s="369" t="s">
        <v>4001</v>
      </c>
      <c r="P38" s="369" t="s">
        <v>4002</v>
      </c>
    </row>
    <row r="39" spans="1:16" ht="13.65" customHeight="1">
      <c r="A39" s="368">
        <v>669</v>
      </c>
      <c r="B39" s="369">
        <v>1054</v>
      </c>
      <c r="C39" s="369" t="s">
        <v>825</v>
      </c>
      <c r="D39" s="369" t="s">
        <v>115</v>
      </c>
      <c r="E39" s="369" t="s">
        <v>116</v>
      </c>
      <c r="F39" s="369" t="s">
        <v>115</v>
      </c>
      <c r="G39" s="369" t="s">
        <v>115</v>
      </c>
      <c r="H39" s="369" t="s">
        <v>1381</v>
      </c>
      <c r="I39" s="369" t="s">
        <v>3399</v>
      </c>
      <c r="J39" s="369" t="s">
        <v>4003</v>
      </c>
      <c r="K39" s="369" t="s">
        <v>4004</v>
      </c>
      <c r="L39" s="369"/>
      <c r="M39" s="369"/>
      <c r="N39" s="369" t="s">
        <v>4005</v>
      </c>
      <c r="O39" s="369" t="s">
        <v>4006</v>
      </c>
      <c r="P39" s="369"/>
    </row>
    <row r="40" spans="1:16" ht="13.65" customHeight="1">
      <c r="A40" s="368">
        <v>674</v>
      </c>
      <c r="B40" s="369">
        <v>1477</v>
      </c>
      <c r="C40" s="369" t="s">
        <v>827</v>
      </c>
      <c r="D40" s="369" t="s">
        <v>115</v>
      </c>
      <c r="E40" s="369" t="s">
        <v>116</v>
      </c>
      <c r="F40" s="369" t="s">
        <v>115</v>
      </c>
      <c r="G40" s="369" t="s">
        <v>115</v>
      </c>
      <c r="H40" s="369" t="s">
        <v>1381</v>
      </c>
      <c r="I40" s="369" t="s">
        <v>3259</v>
      </c>
      <c r="J40" s="369"/>
      <c r="K40" s="369"/>
      <c r="L40" s="369"/>
      <c r="M40" s="369" t="s">
        <v>4007</v>
      </c>
      <c r="N40" s="369" t="s">
        <v>4008</v>
      </c>
      <c r="O40" s="369" t="s">
        <v>4009</v>
      </c>
      <c r="P40" s="369"/>
    </row>
    <row r="41" spans="1:16" ht="13.65" customHeight="1">
      <c r="A41" s="368">
        <v>681</v>
      </c>
      <c r="B41" s="369">
        <v>5012</v>
      </c>
      <c r="C41" s="369" t="s">
        <v>4010</v>
      </c>
      <c r="D41" s="369" t="s">
        <v>1927</v>
      </c>
      <c r="E41" s="369" t="s">
        <v>1927</v>
      </c>
      <c r="F41" s="369" t="s">
        <v>115</v>
      </c>
      <c r="G41" s="369" t="s">
        <v>115</v>
      </c>
      <c r="H41" s="369" t="s">
        <v>1378</v>
      </c>
      <c r="I41" s="369" t="s">
        <v>3259</v>
      </c>
      <c r="J41" s="369" t="s">
        <v>4011</v>
      </c>
      <c r="K41" s="369" t="s">
        <v>4012</v>
      </c>
      <c r="L41" s="369"/>
      <c r="M41" s="369"/>
      <c r="N41" s="369" t="s">
        <v>4013</v>
      </c>
      <c r="O41" s="369" t="s">
        <v>4014</v>
      </c>
      <c r="P41" s="369" t="s">
        <v>4015</v>
      </c>
    </row>
    <row r="42" spans="1:16" ht="13.65" customHeight="1">
      <c r="A42" s="368">
        <v>684</v>
      </c>
      <c r="B42" s="369">
        <v>8075</v>
      </c>
      <c r="C42" s="369" t="s">
        <v>4016</v>
      </c>
      <c r="D42" s="369" t="s">
        <v>115</v>
      </c>
      <c r="E42" s="369" t="s">
        <v>116</v>
      </c>
      <c r="F42" s="369" t="s">
        <v>115</v>
      </c>
      <c r="G42" s="369" t="s">
        <v>115</v>
      </c>
      <c r="H42" s="369" t="s">
        <v>1378</v>
      </c>
      <c r="I42" s="369" t="s">
        <v>3259</v>
      </c>
      <c r="J42" s="369"/>
      <c r="K42" s="369"/>
      <c r="L42" s="369" t="s">
        <v>4017</v>
      </c>
      <c r="M42" s="369" t="s">
        <v>3978</v>
      </c>
      <c r="N42" s="369" t="s">
        <v>4018</v>
      </c>
      <c r="O42" s="369" t="s">
        <v>4019</v>
      </c>
      <c r="P42" s="369" t="s">
        <v>3981</v>
      </c>
    </row>
    <row r="43" spans="1:16" ht="13.65" customHeight="1">
      <c r="A43" s="368">
        <v>686</v>
      </c>
      <c r="B43" s="369">
        <v>8024</v>
      </c>
      <c r="C43" s="369" t="s">
        <v>4020</v>
      </c>
      <c r="D43" s="369" t="s">
        <v>1927</v>
      </c>
      <c r="E43" s="369" t="s">
        <v>1927</v>
      </c>
      <c r="F43" s="369" t="s">
        <v>1927</v>
      </c>
      <c r="G43" s="369" t="s">
        <v>1927</v>
      </c>
      <c r="H43" s="369" t="s">
        <v>1378</v>
      </c>
      <c r="I43" s="369" t="s">
        <v>3399</v>
      </c>
      <c r="J43" s="369" t="s">
        <v>4021</v>
      </c>
      <c r="K43" s="369" t="s">
        <v>4022</v>
      </c>
      <c r="L43" s="369"/>
      <c r="M43" s="369" t="s">
        <v>4023</v>
      </c>
      <c r="N43" s="369"/>
      <c r="O43" s="369" t="s">
        <v>4024</v>
      </c>
      <c r="P43" s="369"/>
    </row>
    <row r="44" spans="1:16" ht="13.65" customHeight="1">
      <c r="A44" s="368">
        <v>687</v>
      </c>
      <c r="B44" s="369">
        <v>8026</v>
      </c>
      <c r="C44" s="369" t="s">
        <v>4025</v>
      </c>
      <c r="D44" s="369" t="s">
        <v>1927</v>
      </c>
      <c r="E44" s="369" t="s">
        <v>1927</v>
      </c>
      <c r="F44" s="369" t="s">
        <v>115</v>
      </c>
      <c r="G44" s="369" t="s">
        <v>115</v>
      </c>
      <c r="H44" s="369" t="s">
        <v>1378</v>
      </c>
      <c r="I44" s="369" t="s">
        <v>3259</v>
      </c>
      <c r="J44" s="369" t="s">
        <v>4026</v>
      </c>
      <c r="K44" s="369" t="s">
        <v>4027</v>
      </c>
      <c r="L44" s="369" t="s">
        <v>4028</v>
      </c>
      <c r="M44" s="369" t="s">
        <v>4029</v>
      </c>
      <c r="N44" s="369"/>
      <c r="O44" s="369" t="s">
        <v>4030</v>
      </c>
      <c r="P44" s="369"/>
    </row>
    <row r="45" spans="1:16" ht="13.65" customHeight="1">
      <c r="A45" s="368">
        <v>692</v>
      </c>
      <c r="B45" s="369">
        <v>1528</v>
      </c>
      <c r="C45" s="369" t="s">
        <v>4031</v>
      </c>
      <c r="D45" s="369" t="s">
        <v>1927</v>
      </c>
      <c r="E45" s="369" t="s">
        <v>1927</v>
      </c>
      <c r="F45" s="369" t="s">
        <v>1927</v>
      </c>
      <c r="G45" s="369" t="s">
        <v>1927</v>
      </c>
      <c r="H45" s="369" t="s">
        <v>1378</v>
      </c>
      <c r="I45" s="369" t="s">
        <v>3259</v>
      </c>
      <c r="J45" s="369"/>
      <c r="K45" s="369"/>
      <c r="L45" s="369"/>
      <c r="M45" s="369" t="s">
        <v>4032</v>
      </c>
      <c r="N45" s="369" t="s">
        <v>4033</v>
      </c>
      <c r="O45" s="369" t="s">
        <v>4034</v>
      </c>
      <c r="P45" s="369" t="s">
        <v>4035</v>
      </c>
    </row>
    <row r="46" spans="1:16" ht="13.65" customHeight="1">
      <c r="A46" s="368">
        <v>694</v>
      </c>
      <c r="B46" s="369">
        <v>1519</v>
      </c>
      <c r="C46" s="369" t="s">
        <v>4036</v>
      </c>
      <c r="D46" s="369" t="s">
        <v>115</v>
      </c>
      <c r="E46" s="369" t="s">
        <v>116</v>
      </c>
      <c r="F46" s="369" t="s">
        <v>115</v>
      </c>
      <c r="G46" s="369" t="s">
        <v>115</v>
      </c>
      <c r="H46" s="369" t="s">
        <v>1381</v>
      </c>
      <c r="I46" s="369" t="s">
        <v>3259</v>
      </c>
      <c r="J46" s="369" t="s">
        <v>4037</v>
      </c>
      <c r="K46" s="369" t="s">
        <v>4038</v>
      </c>
      <c r="L46" s="369" t="s">
        <v>4039</v>
      </c>
      <c r="M46" s="369" t="s">
        <v>4040</v>
      </c>
      <c r="N46" s="369" t="s">
        <v>4041</v>
      </c>
      <c r="O46" s="369" t="s">
        <v>4042</v>
      </c>
      <c r="P46" s="369"/>
    </row>
    <row r="47" spans="1:16" s="19" customFormat="1" ht="13.65" customHeight="1">
      <c r="A47" s="370">
        <v>695</v>
      </c>
      <c r="B47" s="371">
        <v>1301</v>
      </c>
      <c r="C47" s="371" t="s">
        <v>4043</v>
      </c>
      <c r="D47" s="371" t="s">
        <v>116</v>
      </c>
      <c r="E47" s="371" t="s">
        <v>116</v>
      </c>
      <c r="F47" s="371" t="s">
        <v>115</v>
      </c>
      <c r="G47" s="371" t="s">
        <v>115</v>
      </c>
      <c r="H47" s="371" t="s">
        <v>1381</v>
      </c>
      <c r="I47" s="371" t="s">
        <v>3259</v>
      </c>
      <c r="J47" s="371" t="s">
        <v>4044</v>
      </c>
      <c r="K47" s="371" t="s">
        <v>4045</v>
      </c>
      <c r="L47" s="371" t="s">
        <v>4046</v>
      </c>
      <c r="M47" s="371" t="s">
        <v>4047</v>
      </c>
      <c r="N47" s="371" t="s">
        <v>4048</v>
      </c>
      <c r="O47" s="371" t="s">
        <v>4049</v>
      </c>
      <c r="P47" s="371"/>
    </row>
    <row r="48" spans="1:16" s="19" customFormat="1" ht="13.65" customHeight="1">
      <c r="A48" s="370">
        <v>695</v>
      </c>
      <c r="B48" s="371">
        <v>1310</v>
      </c>
      <c r="C48" s="371" t="s">
        <v>1045</v>
      </c>
      <c r="D48" s="371" t="s">
        <v>1927</v>
      </c>
      <c r="E48" s="371" t="s">
        <v>1927</v>
      </c>
      <c r="F48" s="371" t="s">
        <v>1927</v>
      </c>
      <c r="G48" s="371" t="s">
        <v>1927</v>
      </c>
      <c r="H48" s="371"/>
      <c r="I48" s="371" t="s">
        <v>3259</v>
      </c>
      <c r="J48" s="371" t="s">
        <v>4050</v>
      </c>
      <c r="K48" s="371" t="s">
        <v>4051</v>
      </c>
      <c r="L48" s="371" t="s">
        <v>4052</v>
      </c>
      <c r="M48" s="371"/>
      <c r="N48" s="371"/>
      <c r="O48" s="371" t="s">
        <v>4053</v>
      </c>
      <c r="P48" s="371" t="s">
        <v>4054</v>
      </c>
    </row>
    <row r="49" spans="1:16" ht="13.65" customHeight="1">
      <c r="A49" s="368">
        <v>698</v>
      </c>
      <c r="B49" s="369">
        <v>8025</v>
      </c>
      <c r="C49" s="369" t="s">
        <v>4055</v>
      </c>
      <c r="D49" s="369" t="s">
        <v>3341</v>
      </c>
      <c r="E49" s="369" t="s">
        <v>3341</v>
      </c>
      <c r="F49" s="369" t="s">
        <v>3341</v>
      </c>
      <c r="G49" s="369" t="s">
        <v>3341</v>
      </c>
      <c r="H49" s="369" t="s">
        <v>3299</v>
      </c>
      <c r="I49" s="369" t="s">
        <v>3259</v>
      </c>
      <c r="J49" s="369" t="s">
        <v>3872</v>
      </c>
      <c r="K49" s="369"/>
      <c r="L49" s="369"/>
      <c r="M49" s="369" t="s">
        <v>4056</v>
      </c>
      <c r="N49" s="369"/>
      <c r="O49" s="369" t="s">
        <v>4057</v>
      </c>
      <c r="P49" s="369"/>
    </row>
    <row r="50" spans="1:16" ht="13.65" customHeight="1">
      <c r="A50" s="368">
        <v>699</v>
      </c>
      <c r="B50" s="369">
        <v>4011</v>
      </c>
      <c r="C50" s="369" t="s">
        <v>4058</v>
      </c>
      <c r="D50" s="369" t="s">
        <v>1927</v>
      </c>
      <c r="E50" s="369" t="s">
        <v>1927</v>
      </c>
      <c r="F50" s="369" t="s">
        <v>115</v>
      </c>
      <c r="G50" s="369" t="s">
        <v>115</v>
      </c>
      <c r="H50" s="369" t="s">
        <v>1378</v>
      </c>
      <c r="I50" s="369" t="s">
        <v>3259</v>
      </c>
      <c r="J50" s="369" t="s">
        <v>4059</v>
      </c>
      <c r="K50" s="369" t="s">
        <v>4060</v>
      </c>
      <c r="L50" s="369"/>
      <c r="M50" s="369" t="s">
        <v>4061</v>
      </c>
      <c r="N50" s="369" t="s">
        <v>4062</v>
      </c>
      <c r="O50" s="369" t="s">
        <v>4063</v>
      </c>
      <c r="P50" s="369" t="s">
        <v>4064</v>
      </c>
    </row>
    <row r="51" spans="1:16" ht="13.65" customHeight="1">
      <c r="A51" s="368">
        <v>714</v>
      </c>
      <c r="B51" s="369">
        <v>8005</v>
      </c>
      <c r="C51" s="369" t="s">
        <v>4065</v>
      </c>
      <c r="D51" s="369" t="s">
        <v>3341</v>
      </c>
      <c r="E51" s="369" t="s">
        <v>3341</v>
      </c>
      <c r="F51" s="369" t="s">
        <v>3341</v>
      </c>
      <c r="G51" s="369" t="s">
        <v>3341</v>
      </c>
      <c r="H51" s="369" t="s">
        <v>1378</v>
      </c>
      <c r="I51" s="369" t="s">
        <v>3259</v>
      </c>
      <c r="J51" s="369" t="s">
        <v>4066</v>
      </c>
      <c r="K51" s="369" t="s">
        <v>4067</v>
      </c>
      <c r="L51" s="369"/>
      <c r="M51" s="369"/>
      <c r="N51" s="369"/>
      <c r="O51" s="369"/>
      <c r="P51" s="369"/>
    </row>
    <row r="52" spans="1:16" ht="13.65" customHeight="1">
      <c r="A52" s="368">
        <v>721</v>
      </c>
      <c r="B52" s="369">
        <v>8050</v>
      </c>
      <c r="C52" s="369" t="s">
        <v>4068</v>
      </c>
      <c r="D52" s="369" t="s">
        <v>1927</v>
      </c>
      <c r="E52" s="369" t="s">
        <v>1927</v>
      </c>
      <c r="F52" s="369" t="s">
        <v>1927</v>
      </c>
      <c r="G52" s="369" t="s">
        <v>1927</v>
      </c>
      <c r="H52" s="369" t="s">
        <v>1378</v>
      </c>
      <c r="I52" s="369" t="s">
        <v>3259</v>
      </c>
      <c r="J52" s="369"/>
      <c r="K52" s="369"/>
      <c r="L52" s="369"/>
      <c r="M52" s="369" t="s">
        <v>4069</v>
      </c>
      <c r="N52" s="369"/>
      <c r="O52" s="369" t="s">
        <v>4070</v>
      </c>
      <c r="P52" s="369"/>
    </row>
    <row r="53" spans="1:16" ht="13.65" customHeight="1">
      <c r="A53" s="368">
        <v>722</v>
      </c>
      <c r="B53" s="369">
        <v>8051</v>
      </c>
      <c r="C53" s="369" t="s">
        <v>4071</v>
      </c>
      <c r="D53" s="369" t="s">
        <v>1927</v>
      </c>
      <c r="E53" s="369" t="s">
        <v>1927</v>
      </c>
      <c r="F53" s="369" t="s">
        <v>1927</v>
      </c>
      <c r="G53" s="369" t="s">
        <v>1927</v>
      </c>
      <c r="H53" s="369" t="s">
        <v>1378</v>
      </c>
      <c r="I53" s="369" t="s">
        <v>3259</v>
      </c>
      <c r="J53" s="369"/>
      <c r="K53" s="369"/>
      <c r="L53" s="369"/>
      <c r="M53" s="369" t="s">
        <v>4072</v>
      </c>
      <c r="N53" s="369"/>
      <c r="O53" s="369" t="s">
        <v>4073</v>
      </c>
      <c r="P53" s="369"/>
    </row>
    <row r="54" spans="1:16" ht="13.65" customHeight="1">
      <c r="A54" s="368">
        <v>724</v>
      </c>
      <c r="B54" s="369">
        <v>1375</v>
      </c>
      <c r="C54" s="369" t="s">
        <v>4074</v>
      </c>
      <c r="D54" s="369" t="s">
        <v>115</v>
      </c>
      <c r="E54" s="369" t="s">
        <v>116</v>
      </c>
      <c r="F54" s="369" t="s">
        <v>115</v>
      </c>
      <c r="G54" s="369" t="s">
        <v>115</v>
      </c>
      <c r="H54" s="369" t="s">
        <v>1381</v>
      </c>
      <c r="I54" s="369" t="s">
        <v>3259</v>
      </c>
      <c r="J54" s="369" t="s">
        <v>4075</v>
      </c>
      <c r="K54" s="369" t="s">
        <v>4076</v>
      </c>
      <c r="L54" s="369" t="s">
        <v>4077</v>
      </c>
      <c r="M54" s="369" t="s">
        <v>4078</v>
      </c>
      <c r="N54" s="369" t="s">
        <v>4079</v>
      </c>
      <c r="O54" s="369" t="s">
        <v>4080</v>
      </c>
      <c r="P54" s="369"/>
    </row>
    <row r="55" spans="1:16" ht="13.65" customHeight="1">
      <c r="A55" s="368">
        <v>726</v>
      </c>
      <c r="B55" s="369">
        <v>8003</v>
      </c>
      <c r="C55" s="369" t="s">
        <v>4081</v>
      </c>
      <c r="D55" s="369" t="s">
        <v>1927</v>
      </c>
      <c r="E55" s="369" t="s">
        <v>1927</v>
      </c>
      <c r="F55" s="369" t="s">
        <v>1927</v>
      </c>
      <c r="G55" s="369" t="s">
        <v>1927</v>
      </c>
      <c r="H55" s="369" t="s">
        <v>3299</v>
      </c>
      <c r="I55" s="369" t="s">
        <v>3259</v>
      </c>
      <c r="J55" s="369" t="s">
        <v>4082</v>
      </c>
      <c r="K55" s="369" t="s">
        <v>4083</v>
      </c>
      <c r="L55" s="369" t="s">
        <v>4084</v>
      </c>
      <c r="M55" s="369" t="s">
        <v>4085</v>
      </c>
      <c r="N55" s="369"/>
      <c r="O55" s="369" t="s">
        <v>4086</v>
      </c>
      <c r="P55" s="369"/>
    </row>
    <row r="56" spans="1:16" ht="13.65" customHeight="1">
      <c r="A56" s="368">
        <v>729</v>
      </c>
      <c r="B56" s="369">
        <v>1486</v>
      </c>
      <c r="C56" s="369" t="s">
        <v>4087</v>
      </c>
      <c r="D56" s="369" t="s">
        <v>115</v>
      </c>
      <c r="E56" s="369" t="s">
        <v>116</v>
      </c>
      <c r="F56" s="369" t="s">
        <v>115</v>
      </c>
      <c r="G56" s="369" t="s">
        <v>115</v>
      </c>
      <c r="H56" s="369" t="s">
        <v>1381</v>
      </c>
      <c r="I56" s="369" t="s">
        <v>3259</v>
      </c>
      <c r="J56" s="369"/>
      <c r="K56" s="369"/>
      <c r="L56" s="369"/>
      <c r="M56" s="369" t="s">
        <v>4088</v>
      </c>
      <c r="N56" s="369" t="s">
        <v>4089</v>
      </c>
      <c r="O56" s="369" t="s">
        <v>4090</v>
      </c>
      <c r="P56" s="369"/>
    </row>
    <row r="57" spans="1:16" ht="13.65" customHeight="1">
      <c r="A57" s="368">
        <v>742</v>
      </c>
      <c r="B57" s="369">
        <v>8022</v>
      </c>
      <c r="C57" s="369" t="s">
        <v>4091</v>
      </c>
      <c r="D57" s="369" t="s">
        <v>1927</v>
      </c>
      <c r="E57" s="369" t="s">
        <v>1927</v>
      </c>
      <c r="F57" s="369" t="s">
        <v>1927</v>
      </c>
      <c r="G57" s="369" t="s">
        <v>1927</v>
      </c>
      <c r="H57" s="369" t="s">
        <v>1381</v>
      </c>
      <c r="I57" s="369" t="s">
        <v>3259</v>
      </c>
      <c r="J57" s="369" t="s">
        <v>3872</v>
      </c>
      <c r="K57" s="369"/>
      <c r="L57" s="369"/>
      <c r="M57" s="369" t="s">
        <v>4092</v>
      </c>
      <c r="N57" s="369"/>
      <c r="O57" s="369"/>
      <c r="P57" s="369"/>
    </row>
    <row r="58" spans="1:16" ht="13.65" customHeight="1">
      <c r="A58" s="368">
        <v>748</v>
      </c>
      <c r="B58" s="369">
        <v>8003</v>
      </c>
      <c r="C58" s="369" t="s">
        <v>4081</v>
      </c>
      <c r="D58" s="369" t="s">
        <v>1927</v>
      </c>
      <c r="E58" s="369" t="s">
        <v>1927</v>
      </c>
      <c r="F58" s="369" t="s">
        <v>1927</v>
      </c>
      <c r="G58" s="369" t="s">
        <v>1927</v>
      </c>
      <c r="H58" s="369" t="s">
        <v>3299</v>
      </c>
      <c r="I58" s="369" t="s">
        <v>3259</v>
      </c>
      <c r="J58" s="369" t="s">
        <v>4082</v>
      </c>
      <c r="K58" s="369" t="s">
        <v>4083</v>
      </c>
      <c r="L58" s="369" t="s">
        <v>4084</v>
      </c>
      <c r="M58" s="369" t="s">
        <v>4085</v>
      </c>
      <c r="N58" s="369"/>
      <c r="O58" s="369" t="s">
        <v>4086</v>
      </c>
      <c r="P58" s="369"/>
    </row>
    <row r="59" spans="1:16" ht="13.65" customHeight="1">
      <c r="A59" s="368">
        <v>764</v>
      </c>
      <c r="B59" s="369">
        <v>1023</v>
      </c>
      <c r="C59" s="369" t="s">
        <v>4093</v>
      </c>
      <c r="D59" s="369" t="s">
        <v>115</v>
      </c>
      <c r="E59" s="369" t="s">
        <v>116</v>
      </c>
      <c r="F59" s="369" t="s">
        <v>115</v>
      </c>
      <c r="G59" s="369" t="s">
        <v>115</v>
      </c>
      <c r="H59" s="369" t="s">
        <v>1378</v>
      </c>
      <c r="I59" s="369" t="s">
        <v>3259</v>
      </c>
      <c r="J59" s="369" t="s">
        <v>4094</v>
      </c>
      <c r="K59" s="369" t="s">
        <v>4095</v>
      </c>
      <c r="L59" s="369"/>
      <c r="M59" s="369" t="s">
        <v>3959</v>
      </c>
      <c r="N59" s="369" t="s">
        <v>4096</v>
      </c>
      <c r="O59" s="369" t="s">
        <v>4097</v>
      </c>
      <c r="P59" s="369" t="s">
        <v>3962</v>
      </c>
    </row>
    <row r="60" spans="1:16" ht="13.65" customHeight="1">
      <c r="A60" s="368">
        <v>766</v>
      </c>
      <c r="B60" s="369">
        <v>1520</v>
      </c>
      <c r="C60" s="369" t="s">
        <v>4098</v>
      </c>
      <c r="D60" s="369" t="s">
        <v>1927</v>
      </c>
      <c r="E60" s="369" t="s">
        <v>1927</v>
      </c>
      <c r="F60" s="369" t="s">
        <v>1927</v>
      </c>
      <c r="G60" s="369" t="s">
        <v>115</v>
      </c>
      <c r="H60" s="369" t="s">
        <v>1381</v>
      </c>
      <c r="I60" s="369" t="s">
        <v>3259</v>
      </c>
      <c r="J60" s="369" t="s">
        <v>4099</v>
      </c>
      <c r="K60" s="369" t="s">
        <v>4100</v>
      </c>
      <c r="L60" s="369"/>
      <c r="M60" s="369" t="s">
        <v>4040</v>
      </c>
      <c r="N60" s="369" t="s">
        <v>4101</v>
      </c>
      <c r="O60" s="369" t="s">
        <v>4102</v>
      </c>
      <c r="P60" s="369"/>
    </row>
    <row r="61" spans="1:16" ht="13.65" customHeight="1">
      <c r="A61" s="368">
        <v>786</v>
      </c>
      <c r="B61" s="369">
        <v>1395</v>
      </c>
      <c r="C61" s="369" t="s">
        <v>862</v>
      </c>
      <c r="D61" s="369" t="s">
        <v>115</v>
      </c>
      <c r="E61" s="369" t="s">
        <v>116</v>
      </c>
      <c r="F61" s="369" t="s">
        <v>115</v>
      </c>
      <c r="G61" s="369" t="s">
        <v>115</v>
      </c>
      <c r="H61" s="369" t="s">
        <v>1378</v>
      </c>
      <c r="I61" s="369" t="s">
        <v>3259</v>
      </c>
      <c r="J61" s="369" t="s">
        <v>4103</v>
      </c>
      <c r="K61" s="369" t="s">
        <v>4104</v>
      </c>
      <c r="L61" s="369"/>
      <c r="M61" s="369" t="s">
        <v>4105</v>
      </c>
      <c r="N61" s="369" t="s">
        <v>4106</v>
      </c>
      <c r="O61" s="369" t="s">
        <v>4107</v>
      </c>
      <c r="P61" s="369" t="s">
        <v>4108</v>
      </c>
    </row>
    <row r="62" spans="1:16" s="19" customFormat="1" ht="13.65" customHeight="1">
      <c r="A62" s="370">
        <v>795</v>
      </c>
      <c r="B62" s="371">
        <v>2014</v>
      </c>
      <c r="C62" s="371" t="s">
        <v>4109</v>
      </c>
      <c r="D62" s="371" t="s">
        <v>3341</v>
      </c>
      <c r="E62" s="371" t="s">
        <v>3341</v>
      </c>
      <c r="F62" s="371" t="s">
        <v>3341</v>
      </c>
      <c r="G62" s="371" t="s">
        <v>3341</v>
      </c>
      <c r="H62" s="371" t="s">
        <v>1378</v>
      </c>
      <c r="I62" s="371" t="s">
        <v>3399</v>
      </c>
      <c r="J62" s="371" t="s">
        <v>4110</v>
      </c>
      <c r="K62" s="371" t="s">
        <v>4111</v>
      </c>
      <c r="L62" s="371"/>
      <c r="M62" s="371"/>
      <c r="N62" s="371" t="s">
        <v>4112</v>
      </c>
      <c r="O62" s="371" t="s">
        <v>4113</v>
      </c>
      <c r="P62" s="371"/>
    </row>
    <row r="63" spans="1:16" ht="13.65" customHeight="1">
      <c r="A63" s="368">
        <v>798</v>
      </c>
      <c r="B63" s="369">
        <v>4025</v>
      </c>
      <c r="C63" s="369" t="s">
        <v>866</v>
      </c>
      <c r="D63" s="369" t="s">
        <v>115</v>
      </c>
      <c r="E63" s="369" t="s">
        <v>116</v>
      </c>
      <c r="F63" s="369" t="s">
        <v>115</v>
      </c>
      <c r="G63" s="369" t="s">
        <v>115</v>
      </c>
      <c r="H63" s="369" t="s">
        <v>1381</v>
      </c>
      <c r="I63" s="369" t="s">
        <v>3259</v>
      </c>
      <c r="J63" s="369" t="s">
        <v>4114</v>
      </c>
      <c r="K63" s="369" t="s">
        <v>4115</v>
      </c>
      <c r="L63" s="369"/>
      <c r="M63" s="369" t="s">
        <v>3966</v>
      </c>
      <c r="N63" s="369" t="s">
        <v>4116</v>
      </c>
      <c r="O63" s="369" t="s">
        <v>4117</v>
      </c>
      <c r="P63" s="369" t="s">
        <v>4118</v>
      </c>
    </row>
    <row r="64" spans="1:16" ht="13.65" customHeight="1">
      <c r="A64" s="368">
        <v>825</v>
      </c>
      <c r="B64" s="369">
        <v>1287</v>
      </c>
      <c r="C64" s="369" t="s">
        <v>4119</v>
      </c>
      <c r="D64" s="369" t="s">
        <v>1927</v>
      </c>
      <c r="E64" s="369" t="s">
        <v>1927</v>
      </c>
      <c r="F64" s="369" t="s">
        <v>1927</v>
      </c>
      <c r="G64" s="369" t="s">
        <v>1927</v>
      </c>
      <c r="H64" s="369" t="s">
        <v>1378</v>
      </c>
      <c r="I64" s="369" t="s">
        <v>3399</v>
      </c>
      <c r="J64" s="369"/>
      <c r="K64" s="369"/>
      <c r="L64" s="369"/>
      <c r="M64" s="369"/>
      <c r="N64" s="369" t="s">
        <v>4120</v>
      </c>
      <c r="O64" s="369" t="s">
        <v>4121</v>
      </c>
      <c r="P64" s="369"/>
    </row>
    <row r="65" spans="1:16" ht="13.65" customHeight="1">
      <c r="A65" s="368">
        <v>826</v>
      </c>
      <c r="B65" s="369">
        <v>3201</v>
      </c>
      <c r="C65" s="369" t="s">
        <v>4122</v>
      </c>
      <c r="D65" s="369" t="s">
        <v>1927</v>
      </c>
      <c r="E65" s="369" t="s">
        <v>1927</v>
      </c>
      <c r="F65" s="369" t="s">
        <v>1927</v>
      </c>
      <c r="G65" s="369" t="s">
        <v>115</v>
      </c>
      <c r="H65" s="369" t="s">
        <v>1378</v>
      </c>
      <c r="I65" s="369" t="s">
        <v>3399</v>
      </c>
      <c r="J65" s="369" t="s">
        <v>4123</v>
      </c>
      <c r="K65" s="369" t="s">
        <v>4124</v>
      </c>
      <c r="L65" s="369" t="s">
        <v>4125</v>
      </c>
      <c r="M65" s="369" t="s">
        <v>4126</v>
      </c>
      <c r="N65" s="369" t="s">
        <v>4127</v>
      </c>
      <c r="O65" s="369" t="s">
        <v>4128</v>
      </c>
      <c r="P65" s="369"/>
    </row>
    <row r="66" spans="1:16" ht="13.65" customHeight="1">
      <c r="A66" s="368">
        <v>838</v>
      </c>
      <c r="B66" s="369">
        <v>1309</v>
      </c>
      <c r="C66" s="369" t="s">
        <v>4129</v>
      </c>
      <c r="D66" s="369" t="s">
        <v>1927</v>
      </c>
      <c r="E66" s="369" t="s">
        <v>1927</v>
      </c>
      <c r="F66" s="369" t="s">
        <v>1927</v>
      </c>
      <c r="G66" s="369" t="s">
        <v>1927</v>
      </c>
      <c r="H66" s="369" t="s">
        <v>1381</v>
      </c>
      <c r="I66" s="369" t="s">
        <v>3259</v>
      </c>
      <c r="J66" s="369" t="s">
        <v>4130</v>
      </c>
      <c r="K66" s="369" t="s">
        <v>4131</v>
      </c>
      <c r="L66" s="369" t="s">
        <v>4132</v>
      </c>
      <c r="M66" s="369" t="s">
        <v>4133</v>
      </c>
      <c r="N66" s="369" t="s">
        <v>4134</v>
      </c>
      <c r="O66" s="369" t="s">
        <v>4135</v>
      </c>
      <c r="P66" s="369"/>
    </row>
    <row r="67" spans="1:16" ht="13.65" customHeight="1">
      <c r="A67" s="368">
        <v>839</v>
      </c>
      <c r="B67" s="369">
        <v>1209</v>
      </c>
      <c r="C67" s="369" t="s">
        <v>4136</v>
      </c>
      <c r="D67" s="369" t="s">
        <v>115</v>
      </c>
      <c r="E67" s="369" t="s">
        <v>116</v>
      </c>
      <c r="F67" s="369" t="s">
        <v>115</v>
      </c>
      <c r="G67" s="369" t="s">
        <v>115</v>
      </c>
      <c r="H67" s="369" t="s">
        <v>1378</v>
      </c>
      <c r="I67" s="369" t="s">
        <v>3259</v>
      </c>
      <c r="J67" s="369" t="s">
        <v>4137</v>
      </c>
      <c r="K67" s="369" t="s">
        <v>4138</v>
      </c>
      <c r="L67" s="369" t="s">
        <v>4139</v>
      </c>
      <c r="M67" s="369" t="s">
        <v>4140</v>
      </c>
      <c r="N67" s="369" t="s">
        <v>4141</v>
      </c>
      <c r="O67" s="369" t="s">
        <v>4142</v>
      </c>
      <c r="P67" s="369" t="s">
        <v>4143</v>
      </c>
    </row>
    <row r="68" spans="1:16" ht="13.65" customHeight="1">
      <c r="A68" s="368">
        <v>843</v>
      </c>
      <c r="B68" s="369">
        <v>8007</v>
      </c>
      <c r="C68" s="369" t="s">
        <v>4144</v>
      </c>
      <c r="D68" s="369" t="s">
        <v>1927</v>
      </c>
      <c r="E68" s="369" t="s">
        <v>1927</v>
      </c>
      <c r="F68" s="369" t="s">
        <v>1927</v>
      </c>
      <c r="G68" s="369" t="s">
        <v>1927</v>
      </c>
      <c r="H68" s="369" t="s">
        <v>1378</v>
      </c>
      <c r="I68" s="369" t="s">
        <v>3259</v>
      </c>
      <c r="J68" s="369" t="s">
        <v>4145</v>
      </c>
      <c r="K68" s="369" t="s">
        <v>4146</v>
      </c>
      <c r="L68" s="369"/>
      <c r="M68" s="369" t="s">
        <v>4147</v>
      </c>
      <c r="N68" s="369"/>
      <c r="O68" s="369" t="s">
        <v>4148</v>
      </c>
      <c r="P68" s="369"/>
    </row>
    <row r="69" spans="1:16" ht="13.65" customHeight="1">
      <c r="A69" s="368">
        <v>866</v>
      </c>
      <c r="B69" s="369">
        <v>4035</v>
      </c>
      <c r="C69" s="369" t="s">
        <v>4149</v>
      </c>
      <c r="D69" s="369" t="s">
        <v>3341</v>
      </c>
      <c r="E69" s="369" t="s">
        <v>3341</v>
      </c>
      <c r="F69" s="369" t="s">
        <v>3341</v>
      </c>
      <c r="G69" s="369" t="s">
        <v>3341</v>
      </c>
      <c r="H69" s="369" t="s">
        <v>1381</v>
      </c>
      <c r="I69" s="369" t="s">
        <v>3259</v>
      </c>
      <c r="J69" s="369" t="s">
        <v>4150</v>
      </c>
      <c r="K69" s="369" t="s">
        <v>4151</v>
      </c>
      <c r="L69" s="369"/>
      <c r="M69" s="369"/>
      <c r="N69" s="369" t="s">
        <v>4152</v>
      </c>
      <c r="O69" s="369" t="s">
        <v>4153</v>
      </c>
      <c r="P69" s="369"/>
    </row>
    <row r="70" spans="1:16" ht="13.65" customHeight="1">
      <c r="A70" s="368">
        <v>876</v>
      </c>
      <c r="B70" s="369">
        <v>2005</v>
      </c>
      <c r="C70" s="369" t="s">
        <v>4154</v>
      </c>
      <c r="D70" s="369" t="s">
        <v>115</v>
      </c>
      <c r="E70" s="369" t="s">
        <v>116</v>
      </c>
      <c r="F70" s="369" t="s">
        <v>115</v>
      </c>
      <c r="G70" s="369" t="s">
        <v>115</v>
      </c>
      <c r="H70" s="369" t="s">
        <v>1381</v>
      </c>
      <c r="I70" s="369" t="s">
        <v>3399</v>
      </c>
      <c r="J70" s="369" t="s">
        <v>4155</v>
      </c>
      <c r="K70" s="369" t="s">
        <v>4156</v>
      </c>
      <c r="L70" s="369"/>
      <c r="M70" s="369" t="s">
        <v>4157</v>
      </c>
      <c r="N70" s="369" t="s">
        <v>4158</v>
      </c>
      <c r="O70" s="369" t="s">
        <v>4159</v>
      </c>
      <c r="P70" s="369" t="s">
        <v>4160</v>
      </c>
    </row>
    <row r="71" spans="1:16" s="19" customFormat="1" ht="13.65" customHeight="1">
      <c r="A71" s="370">
        <v>884</v>
      </c>
      <c r="B71" s="371">
        <v>1574</v>
      </c>
      <c r="C71" s="371" t="s">
        <v>4161</v>
      </c>
      <c r="D71" s="371" t="s">
        <v>115</v>
      </c>
      <c r="E71" s="371" t="s">
        <v>116</v>
      </c>
      <c r="F71" s="371" t="s">
        <v>115</v>
      </c>
      <c r="G71" s="371" t="s">
        <v>115</v>
      </c>
      <c r="H71" s="371"/>
      <c r="I71" s="371" t="s">
        <v>3259</v>
      </c>
      <c r="J71" s="371"/>
      <c r="K71" s="371"/>
      <c r="L71" s="371" t="s">
        <v>4162</v>
      </c>
      <c r="M71" s="371" t="s">
        <v>4163</v>
      </c>
      <c r="N71" s="371" t="s">
        <v>4164</v>
      </c>
      <c r="O71" s="371" t="s">
        <v>4165</v>
      </c>
      <c r="P71" s="371" t="s">
        <v>4166</v>
      </c>
    </row>
    <row r="72" spans="1:16" s="19" customFormat="1" ht="13.65" customHeight="1">
      <c r="A72" s="370">
        <v>884</v>
      </c>
      <c r="B72" s="371">
        <v>8029</v>
      </c>
      <c r="C72" s="371" t="s">
        <v>883</v>
      </c>
      <c r="D72" s="371" t="s">
        <v>3341</v>
      </c>
      <c r="E72" s="371" t="s">
        <v>3341</v>
      </c>
      <c r="F72" s="371" t="s">
        <v>115</v>
      </c>
      <c r="G72" s="371" t="s">
        <v>3341</v>
      </c>
      <c r="H72" s="371" t="s">
        <v>1378</v>
      </c>
      <c r="I72" s="371" t="s">
        <v>3259</v>
      </c>
      <c r="J72" s="371" t="s">
        <v>4167</v>
      </c>
      <c r="K72" s="371" t="s">
        <v>4168</v>
      </c>
      <c r="L72" s="371" t="s">
        <v>4169</v>
      </c>
      <c r="M72" s="371" t="s">
        <v>4170</v>
      </c>
      <c r="N72" s="371"/>
      <c r="O72" s="371" t="s">
        <v>4171</v>
      </c>
      <c r="P72" s="371"/>
    </row>
    <row r="73" spans="1:16" ht="13.65" customHeight="1">
      <c r="A73" s="368">
        <v>886</v>
      </c>
      <c r="B73" s="369">
        <v>8009</v>
      </c>
      <c r="C73" s="369" t="s">
        <v>4172</v>
      </c>
      <c r="D73" s="369" t="s">
        <v>3341</v>
      </c>
      <c r="E73" s="369" t="s">
        <v>3341</v>
      </c>
      <c r="F73" s="369" t="s">
        <v>3341</v>
      </c>
      <c r="G73" s="369" t="s">
        <v>3341</v>
      </c>
      <c r="H73" s="369" t="s">
        <v>1378</v>
      </c>
      <c r="I73" s="369" t="s">
        <v>3259</v>
      </c>
      <c r="J73" s="369" t="s">
        <v>4173</v>
      </c>
      <c r="K73" s="369"/>
      <c r="L73" s="369"/>
      <c r="M73" s="369"/>
      <c r="N73" s="369"/>
      <c r="O73" s="369"/>
      <c r="P73" s="369"/>
    </row>
    <row r="74" spans="1:16" ht="13.65" customHeight="1">
      <c r="A74" s="368">
        <v>890</v>
      </c>
      <c r="B74" s="369">
        <v>1600</v>
      </c>
      <c r="C74" s="369" t="s">
        <v>4174</v>
      </c>
      <c r="D74" s="369" t="s">
        <v>1927</v>
      </c>
      <c r="E74" s="369" t="s">
        <v>1927</v>
      </c>
      <c r="F74" s="369" t="s">
        <v>1927</v>
      </c>
      <c r="G74" s="369" t="s">
        <v>1927</v>
      </c>
      <c r="H74" s="369" t="s">
        <v>1378</v>
      </c>
      <c r="I74" s="369" t="s">
        <v>3259</v>
      </c>
      <c r="J74" s="369"/>
      <c r="K74" s="369"/>
      <c r="L74" s="369" t="s">
        <v>4175</v>
      </c>
      <c r="M74" s="369"/>
      <c r="N74" s="369" t="s">
        <v>4176</v>
      </c>
      <c r="O74" s="369" t="s">
        <v>4177</v>
      </c>
      <c r="P74" s="369"/>
    </row>
    <row r="75" spans="1:16" ht="13.65" customHeight="1">
      <c r="A75" s="368">
        <v>893</v>
      </c>
      <c r="B75" s="369">
        <v>4015</v>
      </c>
      <c r="C75" s="369" t="s">
        <v>4178</v>
      </c>
      <c r="D75" s="369" t="s">
        <v>1927</v>
      </c>
      <c r="E75" s="369" t="s">
        <v>1927</v>
      </c>
      <c r="F75" s="369" t="s">
        <v>115</v>
      </c>
      <c r="G75" s="369" t="s">
        <v>1927</v>
      </c>
      <c r="H75" s="369" t="s">
        <v>1381</v>
      </c>
      <c r="I75" s="369" t="s">
        <v>3399</v>
      </c>
      <c r="J75" s="369"/>
      <c r="K75" s="369"/>
      <c r="L75" s="369" t="s">
        <v>4179</v>
      </c>
      <c r="M75" s="369" t="s">
        <v>16</v>
      </c>
      <c r="N75" s="369" t="s">
        <v>4180</v>
      </c>
      <c r="O75" s="369" t="s">
        <v>4181</v>
      </c>
      <c r="P75" s="369" t="s">
        <v>4182</v>
      </c>
    </row>
    <row r="76" spans="1:16" ht="13.65" customHeight="1">
      <c r="A76" s="368">
        <v>898</v>
      </c>
      <c r="B76" s="369">
        <v>4063</v>
      </c>
      <c r="C76" s="369" t="s">
        <v>1542</v>
      </c>
      <c r="D76" s="369" t="s">
        <v>1927</v>
      </c>
      <c r="E76" s="369" t="s">
        <v>1927</v>
      </c>
      <c r="F76" s="369" t="s">
        <v>1927</v>
      </c>
      <c r="G76" s="369" t="s">
        <v>1927</v>
      </c>
      <c r="H76" s="369" t="s">
        <v>3299</v>
      </c>
      <c r="I76" s="369" t="s">
        <v>3259</v>
      </c>
      <c r="J76" s="369"/>
      <c r="K76" s="369"/>
      <c r="L76" s="369"/>
      <c r="M76" s="369"/>
      <c r="N76" s="369"/>
      <c r="O76" s="369"/>
      <c r="P76" s="369"/>
    </row>
    <row r="77" spans="1:16" ht="13.65" customHeight="1">
      <c r="A77" s="368">
        <v>899</v>
      </c>
      <c r="B77" s="369">
        <v>4003</v>
      </c>
      <c r="C77" s="369" t="s">
        <v>890</v>
      </c>
      <c r="D77" s="369" t="s">
        <v>1927</v>
      </c>
      <c r="E77" s="369" t="s">
        <v>1927</v>
      </c>
      <c r="F77" s="369" t="s">
        <v>115</v>
      </c>
      <c r="G77" s="369" t="s">
        <v>115</v>
      </c>
      <c r="H77" s="369" t="s">
        <v>1381</v>
      </c>
      <c r="I77" s="369" t="s">
        <v>3259</v>
      </c>
      <c r="J77" s="369" t="s">
        <v>4183</v>
      </c>
      <c r="K77" s="369" t="s">
        <v>4184</v>
      </c>
      <c r="L77" s="369"/>
      <c r="M77" s="369" t="s">
        <v>4185</v>
      </c>
      <c r="N77" s="369" t="s">
        <v>4186</v>
      </c>
      <c r="O77" s="369" t="s">
        <v>4187</v>
      </c>
      <c r="P77" s="369" t="s">
        <v>4188</v>
      </c>
    </row>
    <row r="78" spans="1:16" ht="13.65" customHeight="1">
      <c r="A78" s="368">
        <v>913</v>
      </c>
      <c r="B78" s="369">
        <v>1373</v>
      </c>
      <c r="C78" s="369" t="s">
        <v>3963</v>
      </c>
      <c r="D78" s="369" t="s">
        <v>115</v>
      </c>
      <c r="E78" s="369" t="s">
        <v>116</v>
      </c>
      <c r="F78" s="369" t="s">
        <v>115</v>
      </c>
      <c r="G78" s="369" t="s">
        <v>115</v>
      </c>
      <c r="H78" s="369" t="s">
        <v>1378</v>
      </c>
      <c r="I78" s="369" t="s">
        <v>3259</v>
      </c>
      <c r="J78" s="369" t="s">
        <v>3964</v>
      </c>
      <c r="K78" s="369" t="s">
        <v>3965</v>
      </c>
      <c r="L78" s="369"/>
      <c r="M78" s="369" t="s">
        <v>3966</v>
      </c>
      <c r="N78" s="369" t="s">
        <v>3967</v>
      </c>
      <c r="O78" s="369" t="s">
        <v>3968</v>
      </c>
      <c r="P78" s="369"/>
    </row>
    <row r="79" spans="1:16" ht="13.65" customHeight="1">
      <c r="A79" s="368">
        <v>924</v>
      </c>
      <c r="B79" s="369">
        <v>8080</v>
      </c>
      <c r="C79" s="369" t="s">
        <v>4189</v>
      </c>
      <c r="D79" s="369" t="s">
        <v>115</v>
      </c>
      <c r="E79" s="369" t="s">
        <v>116</v>
      </c>
      <c r="F79" s="369" t="s">
        <v>115</v>
      </c>
      <c r="G79" s="369" t="s">
        <v>115</v>
      </c>
      <c r="H79" s="369" t="s">
        <v>1378</v>
      </c>
      <c r="I79" s="369" t="s">
        <v>3259</v>
      </c>
      <c r="J79" s="369"/>
      <c r="K79" s="369"/>
      <c r="L79" s="369" t="s">
        <v>4190</v>
      </c>
      <c r="M79" s="369" t="s">
        <v>4191</v>
      </c>
      <c r="N79" s="369"/>
      <c r="O79" s="369" t="s">
        <v>4192</v>
      </c>
      <c r="P79" s="369" t="s">
        <v>4193</v>
      </c>
    </row>
    <row r="80" spans="1:16" ht="13.65" customHeight="1">
      <c r="A80" s="368">
        <v>943</v>
      </c>
      <c r="B80" s="369">
        <v>8007</v>
      </c>
      <c r="C80" s="369" t="s">
        <v>4144</v>
      </c>
      <c r="D80" s="369" t="s">
        <v>1927</v>
      </c>
      <c r="E80" s="369" t="s">
        <v>1927</v>
      </c>
      <c r="F80" s="369" t="s">
        <v>1927</v>
      </c>
      <c r="G80" s="369" t="s">
        <v>1927</v>
      </c>
      <c r="H80" s="369" t="s">
        <v>1378</v>
      </c>
      <c r="I80" s="369" t="s">
        <v>3259</v>
      </c>
      <c r="J80" s="369" t="s">
        <v>4145</v>
      </c>
      <c r="K80" s="369" t="s">
        <v>4146</v>
      </c>
      <c r="L80" s="369"/>
      <c r="M80" s="369" t="s">
        <v>4147</v>
      </c>
      <c r="N80" s="369"/>
      <c r="O80" s="369" t="s">
        <v>4148</v>
      </c>
      <c r="P80" s="369"/>
    </row>
    <row r="81" spans="1:16" ht="13.65" customHeight="1">
      <c r="A81" s="368">
        <v>945</v>
      </c>
      <c r="B81" s="369">
        <v>1259</v>
      </c>
      <c r="C81" s="369" t="s">
        <v>4194</v>
      </c>
      <c r="D81" s="369" t="s">
        <v>1927</v>
      </c>
      <c r="E81" s="369" t="s">
        <v>1927</v>
      </c>
      <c r="F81" s="369" t="s">
        <v>1927</v>
      </c>
      <c r="G81" s="369" t="s">
        <v>1927</v>
      </c>
      <c r="H81" s="369" t="s">
        <v>1381</v>
      </c>
      <c r="I81" s="369" t="s">
        <v>3259</v>
      </c>
      <c r="J81" s="369"/>
      <c r="K81" s="369"/>
      <c r="L81" s="369" t="s">
        <v>4195</v>
      </c>
      <c r="M81" s="369" t="s">
        <v>4196</v>
      </c>
      <c r="N81" s="369"/>
      <c r="O81" s="369" t="s">
        <v>4197</v>
      </c>
      <c r="P81" s="369"/>
    </row>
    <row r="82" spans="1:16" ht="13.65" customHeight="1">
      <c r="A82" s="368">
        <v>956</v>
      </c>
      <c r="B82" s="369">
        <v>1386</v>
      </c>
      <c r="C82" s="369" t="s">
        <v>1556</v>
      </c>
      <c r="D82" s="369" t="s">
        <v>115</v>
      </c>
      <c r="E82" s="369" t="s">
        <v>116</v>
      </c>
      <c r="F82" s="369" t="s">
        <v>115</v>
      </c>
      <c r="G82" s="369" t="s">
        <v>115</v>
      </c>
      <c r="H82" s="369" t="s">
        <v>1378</v>
      </c>
      <c r="I82" s="369" t="s">
        <v>3259</v>
      </c>
      <c r="J82" s="369" t="s">
        <v>4198</v>
      </c>
      <c r="K82" s="369" t="s">
        <v>4199</v>
      </c>
      <c r="L82" s="369"/>
      <c r="M82" s="369" t="s">
        <v>4200</v>
      </c>
      <c r="N82" s="369" t="s">
        <v>4201</v>
      </c>
      <c r="O82" s="369" t="s">
        <v>4202</v>
      </c>
      <c r="P82" s="369" t="s">
        <v>4203</v>
      </c>
    </row>
    <row r="83" spans="1:16" ht="13.65" customHeight="1">
      <c r="A83" s="368">
        <v>957</v>
      </c>
      <c r="B83" s="369">
        <v>1387</v>
      </c>
      <c r="C83" s="369" t="s">
        <v>4204</v>
      </c>
      <c r="D83" s="369" t="s">
        <v>115</v>
      </c>
      <c r="E83" s="369" t="s">
        <v>116</v>
      </c>
      <c r="F83" s="369" t="s">
        <v>115</v>
      </c>
      <c r="G83" s="369" t="s">
        <v>115</v>
      </c>
      <c r="H83" s="369" t="s">
        <v>1378</v>
      </c>
      <c r="I83" s="369" t="s">
        <v>3259</v>
      </c>
      <c r="J83" s="369" t="s">
        <v>4205</v>
      </c>
      <c r="K83" s="369" t="s">
        <v>4206</v>
      </c>
      <c r="L83" s="369"/>
      <c r="M83" s="369" t="s">
        <v>4207</v>
      </c>
      <c r="N83" s="369" t="s">
        <v>4208</v>
      </c>
      <c r="O83" s="369" t="s">
        <v>4202</v>
      </c>
      <c r="P83" s="369" t="s">
        <v>4209</v>
      </c>
    </row>
    <row r="84" spans="1:16" ht="13.65" customHeight="1">
      <c r="A84" s="368">
        <v>961</v>
      </c>
      <c r="B84" s="369">
        <v>4082</v>
      </c>
      <c r="C84" s="369" t="s">
        <v>4210</v>
      </c>
      <c r="D84" s="369" t="s">
        <v>115</v>
      </c>
      <c r="E84" s="369" t="s">
        <v>116</v>
      </c>
      <c r="F84" s="369" t="s">
        <v>115</v>
      </c>
      <c r="G84" s="369" t="s">
        <v>115</v>
      </c>
      <c r="H84" s="369" t="s">
        <v>1381</v>
      </c>
      <c r="I84" s="369" t="s">
        <v>3259</v>
      </c>
      <c r="J84" s="369" t="s">
        <v>4211</v>
      </c>
      <c r="K84" s="369" t="s">
        <v>4212</v>
      </c>
      <c r="L84" s="369" t="s">
        <v>4213</v>
      </c>
      <c r="M84" s="369"/>
      <c r="N84" s="369" t="s">
        <v>4214</v>
      </c>
      <c r="O84" s="369" t="s">
        <v>4215</v>
      </c>
      <c r="P84" s="369" t="s">
        <v>4216</v>
      </c>
    </row>
    <row r="85" spans="1:16" ht="13.65" customHeight="1">
      <c r="A85" s="368">
        <v>965</v>
      </c>
      <c r="B85" s="369">
        <v>1374</v>
      </c>
      <c r="C85" s="369" t="s">
        <v>4217</v>
      </c>
      <c r="D85" s="369" t="s">
        <v>115</v>
      </c>
      <c r="E85" s="369" t="s">
        <v>116</v>
      </c>
      <c r="F85" s="369" t="s">
        <v>115</v>
      </c>
      <c r="G85" s="369" t="s">
        <v>115</v>
      </c>
      <c r="H85" s="369" t="s">
        <v>1378</v>
      </c>
      <c r="I85" s="369" t="s">
        <v>3259</v>
      </c>
      <c r="J85" s="369" t="s">
        <v>4218</v>
      </c>
      <c r="K85" s="369" t="s">
        <v>4219</v>
      </c>
      <c r="L85" s="369"/>
      <c r="M85" s="369" t="s">
        <v>3966</v>
      </c>
      <c r="N85" s="369" t="s">
        <v>4220</v>
      </c>
      <c r="O85" s="369" t="s">
        <v>4221</v>
      </c>
      <c r="P85" s="369" t="s">
        <v>4222</v>
      </c>
    </row>
    <row r="86" spans="1:16" ht="13.65" customHeight="1">
      <c r="A86" s="368">
        <v>966</v>
      </c>
      <c r="B86" s="369">
        <v>1442</v>
      </c>
      <c r="C86" s="369" t="s">
        <v>4223</v>
      </c>
      <c r="D86" s="369" t="s">
        <v>1927</v>
      </c>
      <c r="E86" s="369" t="s">
        <v>1927</v>
      </c>
      <c r="F86" s="369" t="s">
        <v>1927</v>
      </c>
      <c r="G86" s="369" t="s">
        <v>1927</v>
      </c>
      <c r="H86" s="369" t="s">
        <v>1378</v>
      </c>
      <c r="I86" s="369" t="s">
        <v>3259</v>
      </c>
      <c r="J86" s="369" t="s">
        <v>4224</v>
      </c>
      <c r="K86" s="369" t="s">
        <v>4225</v>
      </c>
      <c r="L86" s="369"/>
      <c r="M86" s="369" t="s">
        <v>3933</v>
      </c>
      <c r="N86" s="369" t="s">
        <v>4226</v>
      </c>
      <c r="O86" s="369" t="s">
        <v>4227</v>
      </c>
      <c r="P86" s="369" t="s">
        <v>4228</v>
      </c>
    </row>
    <row r="87" spans="1:16" ht="13.65" customHeight="1">
      <c r="A87" s="368">
        <v>998</v>
      </c>
      <c r="B87" s="369">
        <v>8029</v>
      </c>
      <c r="C87" s="369" t="s">
        <v>883</v>
      </c>
      <c r="D87" s="369" t="s">
        <v>3341</v>
      </c>
      <c r="E87" s="369" t="s">
        <v>3341</v>
      </c>
      <c r="F87" s="369" t="s">
        <v>115</v>
      </c>
      <c r="G87" s="369" t="s">
        <v>3341</v>
      </c>
      <c r="H87" s="369" t="s">
        <v>1378</v>
      </c>
      <c r="I87" s="369" t="s">
        <v>3259</v>
      </c>
      <c r="J87" s="369" t="s">
        <v>4167</v>
      </c>
      <c r="K87" s="369" t="s">
        <v>4168</v>
      </c>
      <c r="L87" s="369" t="s">
        <v>4169</v>
      </c>
      <c r="M87" s="369" t="s">
        <v>4170</v>
      </c>
      <c r="N87" s="369"/>
      <c r="O87" s="369" t="s">
        <v>4171</v>
      </c>
      <c r="P87" s="369"/>
    </row>
    <row r="88" spans="1:16" ht="13.65" customHeight="1">
      <c r="A88" s="368">
        <v>1013</v>
      </c>
      <c r="B88" s="369">
        <v>3002</v>
      </c>
      <c r="C88" s="369" t="s">
        <v>2410</v>
      </c>
      <c r="D88" s="369" t="s">
        <v>116</v>
      </c>
      <c r="E88" s="369" t="s">
        <v>116</v>
      </c>
      <c r="F88" s="369" t="s">
        <v>115</v>
      </c>
      <c r="G88" s="369" t="s">
        <v>115</v>
      </c>
      <c r="H88" s="369" t="s">
        <v>4229</v>
      </c>
      <c r="I88" s="369"/>
      <c r="J88" s="369" t="s">
        <v>4230</v>
      </c>
      <c r="K88" s="369" t="s">
        <v>4231</v>
      </c>
      <c r="L88" s="369" t="s">
        <v>4232</v>
      </c>
      <c r="M88" s="369"/>
      <c r="N88" s="369" t="s">
        <v>4233</v>
      </c>
      <c r="O88" s="369" t="s">
        <v>4234</v>
      </c>
      <c r="P88" s="369"/>
    </row>
    <row r="89" spans="1:16" ht="13.65" customHeight="1">
      <c r="A89" s="368">
        <v>1027</v>
      </c>
      <c r="B89" s="369">
        <v>3002</v>
      </c>
      <c r="C89" s="369" t="s">
        <v>2410</v>
      </c>
      <c r="D89" s="369" t="s">
        <v>116</v>
      </c>
      <c r="E89" s="369" t="s">
        <v>116</v>
      </c>
      <c r="F89" s="369" t="s">
        <v>115</v>
      </c>
      <c r="G89" s="369" t="s">
        <v>115</v>
      </c>
      <c r="H89" s="369" t="s">
        <v>4229</v>
      </c>
      <c r="I89" s="369"/>
      <c r="J89" s="369" t="s">
        <v>4230</v>
      </c>
      <c r="K89" s="369" t="s">
        <v>4231</v>
      </c>
      <c r="L89" s="369" t="s">
        <v>4232</v>
      </c>
      <c r="M89" s="369"/>
      <c r="N89" s="369" t="s">
        <v>4233</v>
      </c>
      <c r="O89" s="369" t="s">
        <v>4234</v>
      </c>
      <c r="P89" s="369"/>
    </row>
    <row r="90" spans="1:16" ht="13.65" customHeight="1">
      <c r="A90" s="368">
        <v>1029</v>
      </c>
      <c r="B90" s="369">
        <v>1139</v>
      </c>
      <c r="C90" s="369" t="s">
        <v>4235</v>
      </c>
      <c r="D90" s="369" t="s">
        <v>3341</v>
      </c>
      <c r="E90" s="369" t="s">
        <v>3341</v>
      </c>
      <c r="F90" s="369" t="s">
        <v>3341</v>
      </c>
      <c r="G90" s="369" t="s">
        <v>3341</v>
      </c>
      <c r="H90" s="369" t="s">
        <v>1378</v>
      </c>
      <c r="I90" s="369" t="s">
        <v>3399</v>
      </c>
      <c r="J90" s="369"/>
      <c r="K90" s="369"/>
      <c r="L90" s="369" t="s">
        <v>4236</v>
      </c>
      <c r="M90" s="369"/>
      <c r="N90" s="369"/>
      <c r="O90" s="369" t="s">
        <v>4237</v>
      </c>
      <c r="P90" s="369"/>
    </row>
    <row r="91" spans="1:16" s="19" customFormat="1" ht="13.65" customHeight="1">
      <c r="A91" s="370">
        <v>1041</v>
      </c>
      <c r="B91" s="371">
        <v>3003</v>
      </c>
      <c r="C91" s="371" t="s">
        <v>4238</v>
      </c>
      <c r="D91" s="371" t="s">
        <v>116</v>
      </c>
      <c r="E91" s="371" t="s">
        <v>116</v>
      </c>
      <c r="F91" s="371" t="s">
        <v>115</v>
      </c>
      <c r="G91" s="371" t="s">
        <v>115</v>
      </c>
      <c r="H91" s="371" t="s">
        <v>4239</v>
      </c>
      <c r="I91" s="371"/>
      <c r="J91" s="371" t="s">
        <v>4240</v>
      </c>
      <c r="K91" s="371" t="s">
        <v>4241</v>
      </c>
      <c r="L91" s="371" t="s">
        <v>4242</v>
      </c>
      <c r="M91" s="371"/>
      <c r="N91" s="371" t="s">
        <v>4243</v>
      </c>
      <c r="O91" s="371" t="s">
        <v>4244</v>
      </c>
      <c r="P91" s="371"/>
    </row>
    <row r="92" spans="1:16" ht="13.65" customHeight="1">
      <c r="A92" s="368">
        <v>1043</v>
      </c>
      <c r="B92" s="369">
        <v>3002</v>
      </c>
      <c r="C92" s="369" t="s">
        <v>2410</v>
      </c>
      <c r="D92" s="369" t="s">
        <v>116</v>
      </c>
      <c r="E92" s="369" t="s">
        <v>116</v>
      </c>
      <c r="F92" s="369" t="s">
        <v>115</v>
      </c>
      <c r="G92" s="369" t="s">
        <v>115</v>
      </c>
      <c r="H92" s="369" t="s">
        <v>4229</v>
      </c>
      <c r="I92" s="369"/>
      <c r="J92" s="369" t="s">
        <v>4230</v>
      </c>
      <c r="K92" s="369" t="s">
        <v>4231</v>
      </c>
      <c r="L92" s="369" t="s">
        <v>4232</v>
      </c>
      <c r="M92" s="369"/>
      <c r="N92" s="369" t="s">
        <v>4233</v>
      </c>
      <c r="O92" s="369" t="s">
        <v>4234</v>
      </c>
      <c r="P92" s="369"/>
    </row>
    <row r="93" spans="1:16" ht="13.65" customHeight="1">
      <c r="A93" s="368">
        <v>1044</v>
      </c>
      <c r="B93" s="369">
        <v>3003</v>
      </c>
      <c r="C93" s="369" t="s">
        <v>4238</v>
      </c>
      <c r="D93" s="369" t="s">
        <v>116</v>
      </c>
      <c r="E93" s="369" t="s">
        <v>116</v>
      </c>
      <c r="F93" s="369" t="s">
        <v>115</v>
      </c>
      <c r="G93" s="369" t="s">
        <v>115</v>
      </c>
      <c r="H93" s="369" t="s">
        <v>4239</v>
      </c>
      <c r="I93" s="369"/>
      <c r="J93" s="369" t="s">
        <v>4240</v>
      </c>
      <c r="K93" s="369" t="s">
        <v>4241</v>
      </c>
      <c r="L93" s="369" t="s">
        <v>4242</v>
      </c>
      <c r="M93" s="369"/>
      <c r="N93" s="369" t="s">
        <v>4243</v>
      </c>
      <c r="O93" s="369" t="s">
        <v>4244</v>
      </c>
      <c r="P93" s="369"/>
    </row>
    <row r="94" spans="1:16" ht="13.65" customHeight="1">
      <c r="A94" s="368">
        <v>1049</v>
      </c>
      <c r="B94" s="369">
        <v>3002</v>
      </c>
      <c r="C94" s="369" t="s">
        <v>2410</v>
      </c>
      <c r="D94" s="369" t="s">
        <v>116</v>
      </c>
      <c r="E94" s="369" t="s">
        <v>116</v>
      </c>
      <c r="F94" s="369" t="s">
        <v>115</v>
      </c>
      <c r="G94" s="369" t="s">
        <v>115</v>
      </c>
      <c r="H94" s="369" t="s">
        <v>4229</v>
      </c>
      <c r="I94" s="369"/>
      <c r="J94" s="369" t="s">
        <v>4230</v>
      </c>
      <c r="K94" s="369" t="s">
        <v>4231</v>
      </c>
      <c r="L94" s="369" t="s">
        <v>4232</v>
      </c>
      <c r="M94" s="369"/>
      <c r="N94" s="369" t="s">
        <v>4233</v>
      </c>
      <c r="O94" s="369" t="s">
        <v>4234</v>
      </c>
      <c r="P94" s="369"/>
    </row>
    <row r="95" spans="1:16" ht="13.65" customHeight="1">
      <c r="A95" s="368">
        <v>1057</v>
      </c>
      <c r="B95" s="369">
        <v>1326</v>
      </c>
      <c r="C95" s="369" t="s">
        <v>4245</v>
      </c>
      <c r="D95" s="369" t="s">
        <v>116</v>
      </c>
      <c r="E95" s="369" t="s">
        <v>116</v>
      </c>
      <c r="F95" s="369" t="s">
        <v>115</v>
      </c>
      <c r="G95" s="369" t="s">
        <v>115</v>
      </c>
      <c r="H95" s="369" t="s">
        <v>1381</v>
      </c>
      <c r="I95" s="369" t="s">
        <v>3259</v>
      </c>
      <c r="J95" s="369"/>
      <c r="K95" s="369"/>
      <c r="L95" s="369"/>
      <c r="M95" s="369"/>
      <c r="N95" s="369" t="s">
        <v>4246</v>
      </c>
      <c r="O95" s="369" t="s">
        <v>4247</v>
      </c>
      <c r="P95" s="369"/>
    </row>
    <row r="96" spans="1:16" ht="13.65" customHeight="1">
      <c r="A96" s="368">
        <v>1069</v>
      </c>
      <c r="B96" s="369">
        <v>3009</v>
      </c>
      <c r="C96" s="369" t="s">
        <v>2436</v>
      </c>
      <c r="D96" s="369" t="s">
        <v>116</v>
      </c>
      <c r="E96" s="369" t="s">
        <v>116</v>
      </c>
      <c r="F96" s="369" t="s">
        <v>115</v>
      </c>
      <c r="G96" s="369" t="s">
        <v>115</v>
      </c>
      <c r="H96" s="369" t="s">
        <v>4239</v>
      </c>
      <c r="I96" s="369"/>
      <c r="J96" s="369" t="s">
        <v>4248</v>
      </c>
      <c r="K96" s="369" t="s">
        <v>4249</v>
      </c>
      <c r="L96" s="369"/>
      <c r="M96" s="369"/>
      <c r="N96" s="369" t="s">
        <v>4250</v>
      </c>
      <c r="O96" s="369" t="s">
        <v>4251</v>
      </c>
      <c r="P96" s="369"/>
    </row>
    <row r="97" spans="1:16" ht="13.65" customHeight="1">
      <c r="A97" s="368">
        <v>1076</v>
      </c>
      <c r="B97" s="369">
        <v>1393</v>
      </c>
      <c r="C97" s="369" t="s">
        <v>929</v>
      </c>
      <c r="D97" s="369" t="s">
        <v>115</v>
      </c>
      <c r="E97" s="369" t="s">
        <v>116</v>
      </c>
      <c r="F97" s="369" t="s">
        <v>115</v>
      </c>
      <c r="G97" s="369" t="s">
        <v>115</v>
      </c>
      <c r="H97" s="369" t="s">
        <v>1381</v>
      </c>
      <c r="I97" s="369" t="s">
        <v>3259</v>
      </c>
      <c r="J97" s="369" t="s">
        <v>4252</v>
      </c>
      <c r="K97" s="369" t="s">
        <v>4253</v>
      </c>
      <c r="L97" s="369"/>
      <c r="M97" s="369" t="s">
        <v>3966</v>
      </c>
      <c r="N97" s="369" t="s">
        <v>4254</v>
      </c>
      <c r="O97" s="369" t="s">
        <v>4255</v>
      </c>
      <c r="P97" s="369"/>
    </row>
    <row r="98" spans="1:16" ht="13.65" customHeight="1">
      <c r="A98" s="368">
        <v>1093</v>
      </c>
      <c r="B98" s="369">
        <v>4081</v>
      </c>
      <c r="C98" s="369" t="s">
        <v>4256</v>
      </c>
      <c r="D98" s="369" t="s">
        <v>1927</v>
      </c>
      <c r="E98" s="369" t="s">
        <v>1927</v>
      </c>
      <c r="F98" s="369" t="s">
        <v>1927</v>
      </c>
      <c r="G98" s="369" t="s">
        <v>1927</v>
      </c>
      <c r="H98" s="369"/>
      <c r="I98" s="369"/>
      <c r="J98" s="369" t="s">
        <v>4257</v>
      </c>
      <c r="K98" s="369" t="s">
        <v>4258</v>
      </c>
      <c r="L98" s="369" t="s">
        <v>4259</v>
      </c>
      <c r="M98" s="369"/>
      <c r="N98" s="369" t="s">
        <v>4260</v>
      </c>
      <c r="O98" s="369" t="s">
        <v>4261</v>
      </c>
      <c r="P98" s="369"/>
    </row>
    <row r="99" spans="1:16" ht="13.65" customHeight="1">
      <c r="A99" s="368">
        <v>1103</v>
      </c>
      <c r="B99" s="369">
        <v>1440</v>
      </c>
      <c r="C99" s="369" t="s">
        <v>4262</v>
      </c>
      <c r="D99" s="369" t="s">
        <v>1927</v>
      </c>
      <c r="E99" s="369" t="s">
        <v>1927</v>
      </c>
      <c r="F99" s="369" t="s">
        <v>1927</v>
      </c>
      <c r="G99" s="369" t="s">
        <v>1927</v>
      </c>
      <c r="H99" s="369" t="s">
        <v>1381</v>
      </c>
      <c r="I99" s="369" t="s">
        <v>3399</v>
      </c>
      <c r="J99" s="369" t="s">
        <v>4263</v>
      </c>
      <c r="K99" s="369" t="s">
        <v>4264</v>
      </c>
      <c r="L99" s="369"/>
      <c r="M99" s="369" t="s">
        <v>4265</v>
      </c>
      <c r="N99" s="369" t="s">
        <v>4266</v>
      </c>
      <c r="O99" s="369" t="s">
        <v>4267</v>
      </c>
      <c r="P99" s="369"/>
    </row>
    <row r="100" spans="1:16" ht="13.65" customHeight="1">
      <c r="A100" s="368">
        <v>1104</v>
      </c>
      <c r="B100" s="369">
        <v>1000</v>
      </c>
      <c r="C100" s="369" t="s">
        <v>67</v>
      </c>
      <c r="D100" s="369" t="s">
        <v>115</v>
      </c>
      <c r="E100" s="369" t="s">
        <v>116</v>
      </c>
      <c r="F100" s="369" t="s">
        <v>115</v>
      </c>
      <c r="G100" s="369" t="s">
        <v>115</v>
      </c>
      <c r="H100" s="369" t="s">
        <v>1378</v>
      </c>
      <c r="I100" s="369" t="s">
        <v>3259</v>
      </c>
      <c r="J100" s="369" t="s">
        <v>4268</v>
      </c>
      <c r="K100" s="369" t="s">
        <v>4269</v>
      </c>
      <c r="L100" s="369" t="s">
        <v>4270</v>
      </c>
      <c r="M100" s="369"/>
      <c r="N100" s="369" t="s">
        <v>4271</v>
      </c>
      <c r="O100" s="369" t="s">
        <v>4272</v>
      </c>
      <c r="P100" s="369" t="s">
        <v>4273</v>
      </c>
    </row>
    <row r="101" spans="1:16" ht="13.65" customHeight="1">
      <c r="A101" s="368">
        <v>1115</v>
      </c>
      <c r="B101" s="369">
        <v>8035</v>
      </c>
      <c r="C101" s="369" t="s">
        <v>4274</v>
      </c>
      <c r="D101" s="369" t="s">
        <v>1927</v>
      </c>
      <c r="E101" s="369" t="s">
        <v>1927</v>
      </c>
      <c r="F101" s="369" t="s">
        <v>1927</v>
      </c>
      <c r="G101" s="369" t="s">
        <v>1927</v>
      </c>
      <c r="H101" s="369" t="s">
        <v>4239</v>
      </c>
      <c r="I101" s="369" t="s">
        <v>3259</v>
      </c>
      <c r="J101" s="369" t="s">
        <v>3872</v>
      </c>
      <c r="K101" s="369"/>
      <c r="L101" s="369"/>
      <c r="M101" s="369"/>
      <c r="N101" s="369"/>
      <c r="O101" s="369" t="s">
        <v>4275</v>
      </c>
      <c r="P101" s="369"/>
    </row>
    <row r="102" spans="1:16" ht="13.65" customHeight="1">
      <c r="A102" s="368">
        <v>1149</v>
      </c>
      <c r="B102" s="369">
        <v>1419</v>
      </c>
      <c r="C102" s="369" t="s">
        <v>4276</v>
      </c>
      <c r="D102" s="369" t="s">
        <v>1927</v>
      </c>
      <c r="E102" s="369" t="s">
        <v>1927</v>
      </c>
      <c r="F102" s="369" t="s">
        <v>1927</v>
      </c>
      <c r="G102" s="369" t="s">
        <v>1927</v>
      </c>
      <c r="H102" s="369" t="s">
        <v>1381</v>
      </c>
      <c r="I102" s="369" t="s">
        <v>3399</v>
      </c>
      <c r="J102" s="369" t="s">
        <v>4277</v>
      </c>
      <c r="K102" s="369" t="s">
        <v>4278</v>
      </c>
      <c r="L102" s="369"/>
      <c r="M102" s="369" t="s">
        <v>4279</v>
      </c>
      <c r="N102" s="369" t="s">
        <v>4280</v>
      </c>
      <c r="O102" s="369" t="s">
        <v>4281</v>
      </c>
      <c r="P102" s="369"/>
    </row>
    <row r="103" spans="1:16" ht="13.65" customHeight="1">
      <c r="A103" s="368">
        <v>1151</v>
      </c>
      <c r="B103" s="369">
        <v>8047</v>
      </c>
      <c r="C103" s="369" t="s">
        <v>4282</v>
      </c>
      <c r="D103" s="369" t="s">
        <v>1927</v>
      </c>
      <c r="E103" s="369" t="s">
        <v>1927</v>
      </c>
      <c r="F103" s="369" t="s">
        <v>1927</v>
      </c>
      <c r="G103" s="369" t="s">
        <v>1927</v>
      </c>
      <c r="H103" s="369" t="s">
        <v>4239</v>
      </c>
      <c r="I103" s="369" t="s">
        <v>3259</v>
      </c>
      <c r="J103" s="369"/>
      <c r="K103" s="369"/>
      <c r="L103" s="369" t="s">
        <v>4283</v>
      </c>
      <c r="M103" s="369"/>
      <c r="N103" s="369"/>
      <c r="O103" s="369" t="s">
        <v>4284</v>
      </c>
      <c r="P103" s="369"/>
    </row>
    <row r="104" spans="1:16" ht="13.65" customHeight="1">
      <c r="A104" s="368">
        <v>1159</v>
      </c>
      <c r="B104" s="369">
        <v>6008</v>
      </c>
      <c r="C104" s="369" t="s">
        <v>4285</v>
      </c>
      <c r="D104" s="369" t="s">
        <v>1927</v>
      </c>
      <c r="E104" s="369" t="s">
        <v>1927</v>
      </c>
      <c r="F104" s="369" t="s">
        <v>1927</v>
      </c>
      <c r="G104" s="369" t="s">
        <v>1927</v>
      </c>
      <c r="H104" s="369" t="s">
        <v>1381</v>
      </c>
      <c r="I104" s="369" t="s">
        <v>3399</v>
      </c>
      <c r="J104" s="369"/>
      <c r="K104" s="369"/>
      <c r="L104" s="369" t="s">
        <v>4286</v>
      </c>
      <c r="M104" s="369" t="s">
        <v>4287</v>
      </c>
      <c r="N104" s="369" t="s">
        <v>4288</v>
      </c>
      <c r="O104" s="369" t="s">
        <v>4289</v>
      </c>
      <c r="P104" s="369"/>
    </row>
    <row r="105" spans="1:16" ht="13.65" customHeight="1">
      <c r="A105" s="368">
        <v>1160</v>
      </c>
      <c r="B105" s="369">
        <v>6009</v>
      </c>
      <c r="C105" s="369" t="s">
        <v>4290</v>
      </c>
      <c r="D105" s="369" t="s">
        <v>1927</v>
      </c>
      <c r="E105" s="369" t="s">
        <v>1927</v>
      </c>
      <c r="F105" s="369" t="s">
        <v>1927</v>
      </c>
      <c r="G105" s="369" t="s">
        <v>1927</v>
      </c>
      <c r="H105" s="369" t="s">
        <v>4239</v>
      </c>
      <c r="I105" s="369" t="s">
        <v>3399</v>
      </c>
      <c r="J105" s="369"/>
      <c r="K105" s="369"/>
      <c r="L105" s="369"/>
      <c r="M105" s="369" t="s">
        <v>4287</v>
      </c>
      <c r="N105" s="369" t="s">
        <v>4291</v>
      </c>
      <c r="O105" s="369" t="s">
        <v>4292</v>
      </c>
      <c r="P105" s="369"/>
    </row>
    <row r="106" spans="1:16" ht="13.65" customHeight="1">
      <c r="A106" s="368">
        <v>1161</v>
      </c>
      <c r="B106" s="369">
        <v>6010</v>
      </c>
      <c r="C106" s="369" t="s">
        <v>4293</v>
      </c>
      <c r="D106" s="369" t="s">
        <v>1927</v>
      </c>
      <c r="E106" s="369" t="s">
        <v>1927</v>
      </c>
      <c r="F106" s="369" t="s">
        <v>1927</v>
      </c>
      <c r="G106" s="369" t="s">
        <v>1927</v>
      </c>
      <c r="H106" s="369" t="s">
        <v>1381</v>
      </c>
      <c r="I106" s="369" t="s">
        <v>3399</v>
      </c>
      <c r="J106" s="369"/>
      <c r="K106" s="369"/>
      <c r="L106" s="369"/>
      <c r="M106" s="369" t="s">
        <v>4287</v>
      </c>
      <c r="N106" s="369" t="s">
        <v>4294</v>
      </c>
      <c r="O106" s="369" t="s">
        <v>4295</v>
      </c>
      <c r="P106" s="369"/>
    </row>
    <row r="107" spans="1:16" ht="13.65" customHeight="1">
      <c r="A107" s="368">
        <v>1180</v>
      </c>
      <c r="B107" s="369">
        <v>1052</v>
      </c>
      <c r="C107" s="369" t="s">
        <v>4296</v>
      </c>
      <c r="D107" s="369" t="s">
        <v>3341</v>
      </c>
      <c r="E107" s="369" t="s">
        <v>3341</v>
      </c>
      <c r="F107" s="369" t="s">
        <v>3341</v>
      </c>
      <c r="G107" s="369" t="s">
        <v>3341</v>
      </c>
      <c r="H107" s="369" t="s">
        <v>1378</v>
      </c>
      <c r="I107" s="369" t="s">
        <v>3399</v>
      </c>
      <c r="J107" s="369" t="s">
        <v>4297</v>
      </c>
      <c r="K107" s="369" t="s">
        <v>4297</v>
      </c>
      <c r="L107" s="369"/>
      <c r="M107" s="369"/>
      <c r="N107" s="369"/>
      <c r="O107" s="369" t="s">
        <v>4298</v>
      </c>
      <c r="P107" s="369"/>
    </row>
    <row r="108" spans="1:16" s="19" customFormat="1" ht="13.65" customHeight="1">
      <c r="A108" s="370">
        <v>1244</v>
      </c>
      <c r="B108" s="371">
        <v>4072</v>
      </c>
      <c r="C108" s="371" t="s">
        <v>4299</v>
      </c>
      <c r="D108" s="371" t="s">
        <v>1927</v>
      </c>
      <c r="E108" s="371" t="s">
        <v>1927</v>
      </c>
      <c r="F108" s="371" t="s">
        <v>1927</v>
      </c>
      <c r="G108" s="371" t="s">
        <v>1927</v>
      </c>
      <c r="H108" s="371" t="s">
        <v>1378</v>
      </c>
      <c r="I108" s="371" t="s">
        <v>3399</v>
      </c>
      <c r="J108" s="371" t="s">
        <v>4300</v>
      </c>
      <c r="K108" s="371" t="s">
        <v>4301</v>
      </c>
      <c r="L108" s="371"/>
      <c r="M108" s="371"/>
      <c r="N108" s="371"/>
      <c r="O108" s="371" t="s">
        <v>4302</v>
      </c>
      <c r="P108" s="371" t="s">
        <v>4303</v>
      </c>
    </row>
    <row r="109" spans="1:16" ht="13.65" customHeight="1">
      <c r="A109" s="368">
        <v>1250</v>
      </c>
      <c r="B109" s="369">
        <v>1556</v>
      </c>
      <c r="C109" s="369" t="s">
        <v>4304</v>
      </c>
      <c r="D109" s="369" t="s">
        <v>3341</v>
      </c>
      <c r="E109" s="369" t="s">
        <v>3341</v>
      </c>
      <c r="F109" s="369" t="s">
        <v>3341</v>
      </c>
      <c r="G109" s="369" t="s">
        <v>3341</v>
      </c>
      <c r="H109" s="369" t="s">
        <v>1378</v>
      </c>
      <c r="I109" s="369" t="s">
        <v>3399</v>
      </c>
      <c r="J109" s="369"/>
      <c r="K109" s="369"/>
      <c r="L109" s="369"/>
      <c r="M109" s="369"/>
      <c r="N109" s="369" t="s">
        <v>4305</v>
      </c>
      <c r="O109" s="369" t="s">
        <v>4306</v>
      </c>
      <c r="P109" s="369"/>
    </row>
    <row r="110" spans="1:16" ht="13.65" customHeight="1">
      <c r="A110" s="368">
        <v>1254</v>
      </c>
      <c r="B110" s="369">
        <v>1433</v>
      </c>
      <c r="C110" s="369" t="s">
        <v>4307</v>
      </c>
      <c r="D110" s="369" t="s">
        <v>1927</v>
      </c>
      <c r="E110" s="369" t="s">
        <v>1927</v>
      </c>
      <c r="F110" s="369" t="s">
        <v>1927</v>
      </c>
      <c r="G110" s="369" t="s">
        <v>1927</v>
      </c>
      <c r="H110" s="369" t="s">
        <v>4229</v>
      </c>
      <c r="I110" s="369" t="s">
        <v>3399</v>
      </c>
      <c r="J110" s="369" t="s">
        <v>4308</v>
      </c>
      <c r="K110" s="369" t="s">
        <v>4309</v>
      </c>
      <c r="L110" s="369" t="s">
        <v>4310</v>
      </c>
      <c r="M110" s="369" t="s">
        <v>4311</v>
      </c>
      <c r="N110" s="369" t="s">
        <v>4312</v>
      </c>
      <c r="O110" s="369" t="s">
        <v>4313</v>
      </c>
      <c r="P110" s="369"/>
    </row>
    <row r="111" spans="1:16" ht="13.65" customHeight="1">
      <c r="A111" s="368">
        <v>1256</v>
      </c>
      <c r="B111" s="369">
        <v>1434</v>
      </c>
      <c r="C111" s="369" t="s">
        <v>4314</v>
      </c>
      <c r="D111" s="369" t="s">
        <v>1927</v>
      </c>
      <c r="E111" s="369" t="s">
        <v>1927</v>
      </c>
      <c r="F111" s="369" t="s">
        <v>1927</v>
      </c>
      <c r="G111" s="369" t="s">
        <v>1927</v>
      </c>
      <c r="H111" s="369" t="s">
        <v>4229</v>
      </c>
      <c r="I111" s="369" t="s">
        <v>3399</v>
      </c>
      <c r="J111" s="369" t="s">
        <v>4315</v>
      </c>
      <c r="K111" s="369" t="s">
        <v>4316</v>
      </c>
      <c r="L111" s="369" t="s">
        <v>4317</v>
      </c>
      <c r="M111" s="369" t="s">
        <v>4311</v>
      </c>
      <c r="N111" s="369" t="s">
        <v>4318</v>
      </c>
      <c r="O111" s="369" t="s">
        <v>4313</v>
      </c>
      <c r="P111" s="369"/>
    </row>
    <row r="112" spans="1:16" ht="13.65" customHeight="1">
      <c r="A112" s="368">
        <v>1257</v>
      </c>
      <c r="B112" s="369">
        <v>1435</v>
      </c>
      <c r="C112" s="369" t="s">
        <v>4319</v>
      </c>
      <c r="D112" s="369" t="s">
        <v>1927</v>
      </c>
      <c r="E112" s="369" t="s">
        <v>1927</v>
      </c>
      <c r="F112" s="369" t="s">
        <v>1927</v>
      </c>
      <c r="G112" s="369" t="s">
        <v>1927</v>
      </c>
      <c r="H112" s="369" t="s">
        <v>4229</v>
      </c>
      <c r="I112" s="369" t="s">
        <v>3399</v>
      </c>
      <c r="J112" s="369" t="s">
        <v>4320</v>
      </c>
      <c r="K112" s="369" t="s">
        <v>4321</v>
      </c>
      <c r="L112" s="369" t="s">
        <v>4310</v>
      </c>
      <c r="M112" s="369" t="s">
        <v>4311</v>
      </c>
      <c r="N112" s="369" t="s">
        <v>4322</v>
      </c>
      <c r="O112" s="369" t="s">
        <v>4313</v>
      </c>
      <c r="P112" s="369"/>
    </row>
    <row r="113" spans="1:16" ht="13.65" customHeight="1">
      <c r="A113" s="368">
        <v>1259</v>
      </c>
      <c r="B113" s="369">
        <v>8076</v>
      </c>
      <c r="C113" s="369" t="s">
        <v>4323</v>
      </c>
      <c r="D113" s="369" t="s">
        <v>116</v>
      </c>
      <c r="E113" s="369" t="s">
        <v>116</v>
      </c>
      <c r="F113" s="369" t="s">
        <v>115</v>
      </c>
      <c r="G113" s="369" t="s">
        <v>115</v>
      </c>
      <c r="H113" s="369" t="s">
        <v>1378</v>
      </c>
      <c r="I113" s="369" t="s">
        <v>3399</v>
      </c>
      <c r="J113" s="369"/>
      <c r="K113" s="369"/>
      <c r="L113" s="369" t="s">
        <v>4324</v>
      </c>
      <c r="M113" s="369"/>
      <c r="N113" s="369" t="s">
        <v>4325</v>
      </c>
      <c r="O113" s="369" t="s">
        <v>4326</v>
      </c>
      <c r="P113" s="369" t="s">
        <v>4327</v>
      </c>
    </row>
    <row r="114" spans="1:16" ht="13.65" customHeight="1">
      <c r="A114" s="368">
        <v>1260</v>
      </c>
      <c r="B114" s="369">
        <v>1177</v>
      </c>
      <c r="C114" s="369" t="s">
        <v>2217</v>
      </c>
      <c r="D114" s="369" t="s">
        <v>116</v>
      </c>
      <c r="E114" s="369" t="s">
        <v>116</v>
      </c>
      <c r="F114" s="369" t="s">
        <v>115</v>
      </c>
      <c r="G114" s="369" t="s">
        <v>115</v>
      </c>
      <c r="H114" s="369" t="s">
        <v>1378</v>
      </c>
      <c r="I114" s="369" t="s">
        <v>3259</v>
      </c>
      <c r="J114" s="369" t="s">
        <v>4328</v>
      </c>
      <c r="K114" s="369" t="s">
        <v>4329</v>
      </c>
      <c r="L114" s="369" t="s">
        <v>4330</v>
      </c>
      <c r="M114" s="369" t="s">
        <v>4331</v>
      </c>
      <c r="N114" s="369" t="s">
        <v>4332</v>
      </c>
      <c r="O114" s="369" t="s">
        <v>4333</v>
      </c>
      <c r="P114" s="369" t="s">
        <v>4334</v>
      </c>
    </row>
    <row r="115" spans="1:16" ht="13.65" customHeight="1">
      <c r="A115" s="368">
        <v>1269</v>
      </c>
      <c r="B115" s="369">
        <v>1177</v>
      </c>
      <c r="C115" s="369" t="s">
        <v>2217</v>
      </c>
      <c r="D115" s="369" t="s">
        <v>116</v>
      </c>
      <c r="E115" s="369" t="s">
        <v>116</v>
      </c>
      <c r="F115" s="369" t="s">
        <v>115</v>
      </c>
      <c r="G115" s="369" t="s">
        <v>115</v>
      </c>
      <c r="H115" s="369" t="s">
        <v>1378</v>
      </c>
      <c r="I115" s="369" t="s">
        <v>3259</v>
      </c>
      <c r="J115" s="369" t="s">
        <v>4328</v>
      </c>
      <c r="K115" s="369" t="s">
        <v>4329</v>
      </c>
      <c r="L115" s="369" t="s">
        <v>4330</v>
      </c>
      <c r="M115" s="369" t="s">
        <v>4331</v>
      </c>
      <c r="N115" s="369" t="s">
        <v>4332</v>
      </c>
      <c r="O115" s="369" t="s">
        <v>4333</v>
      </c>
      <c r="P115" s="369" t="s">
        <v>4334</v>
      </c>
    </row>
    <row r="116" spans="1:16" ht="13.65" customHeight="1">
      <c r="A116" s="368">
        <v>1276</v>
      </c>
      <c r="B116" s="369">
        <v>1290</v>
      </c>
      <c r="C116" s="369" t="s">
        <v>4335</v>
      </c>
      <c r="D116" s="369" t="s">
        <v>1927</v>
      </c>
      <c r="E116" s="369" t="s">
        <v>1927</v>
      </c>
      <c r="F116" s="369" t="s">
        <v>1927</v>
      </c>
      <c r="G116" s="369" t="s">
        <v>1927</v>
      </c>
      <c r="H116" s="369" t="s">
        <v>3299</v>
      </c>
      <c r="I116" s="369" t="s">
        <v>3399</v>
      </c>
      <c r="J116" s="369"/>
      <c r="K116" s="369"/>
      <c r="L116" s="369"/>
      <c r="M116" s="369" t="s">
        <v>4336</v>
      </c>
      <c r="N116" s="369" t="s">
        <v>4337</v>
      </c>
      <c r="O116" s="369" t="s">
        <v>4338</v>
      </c>
      <c r="P116" s="369"/>
    </row>
    <row r="117" spans="1:16" ht="13.65" customHeight="1">
      <c r="A117" s="368">
        <v>1279</v>
      </c>
      <c r="B117" s="369">
        <v>1425</v>
      </c>
      <c r="C117" s="369" t="s">
        <v>4339</v>
      </c>
      <c r="D117" s="369" t="s">
        <v>1927</v>
      </c>
      <c r="E117" s="369" t="s">
        <v>1927</v>
      </c>
      <c r="F117" s="369" t="s">
        <v>1927</v>
      </c>
      <c r="G117" s="369" t="s">
        <v>116</v>
      </c>
      <c r="H117" s="369" t="s">
        <v>4229</v>
      </c>
      <c r="I117" s="369" t="s">
        <v>3399</v>
      </c>
      <c r="J117" s="369" t="s">
        <v>4340</v>
      </c>
      <c r="K117" s="369" t="s">
        <v>4341</v>
      </c>
      <c r="L117" s="369" t="s">
        <v>4342</v>
      </c>
      <c r="M117" s="369" t="s">
        <v>4343</v>
      </c>
      <c r="N117" s="369" t="s">
        <v>4344</v>
      </c>
      <c r="O117" s="369" t="s">
        <v>4345</v>
      </c>
      <c r="P117" s="369"/>
    </row>
    <row r="118" spans="1:16" ht="13.65" customHeight="1">
      <c r="A118" s="368">
        <v>1280</v>
      </c>
      <c r="B118" s="369">
        <v>1426</v>
      </c>
      <c r="C118" s="369" t="s">
        <v>4346</v>
      </c>
      <c r="D118" s="369" t="s">
        <v>1927</v>
      </c>
      <c r="E118" s="369" t="s">
        <v>1927</v>
      </c>
      <c r="F118" s="369" t="s">
        <v>1927</v>
      </c>
      <c r="G118" s="369" t="s">
        <v>116</v>
      </c>
      <c r="H118" s="369" t="s">
        <v>4229</v>
      </c>
      <c r="I118" s="369" t="s">
        <v>3399</v>
      </c>
      <c r="J118" s="369" t="s">
        <v>4347</v>
      </c>
      <c r="K118" s="369" t="s">
        <v>4348</v>
      </c>
      <c r="L118" s="369" t="s">
        <v>4349</v>
      </c>
      <c r="M118" s="369" t="s">
        <v>4343</v>
      </c>
      <c r="N118" s="369" t="s">
        <v>4350</v>
      </c>
      <c r="O118" s="369" t="s">
        <v>4351</v>
      </c>
      <c r="P118" s="369"/>
    </row>
    <row r="119" spans="1:16" ht="13.65" customHeight="1">
      <c r="A119" s="368">
        <v>1281</v>
      </c>
      <c r="B119" s="369">
        <v>1427</v>
      </c>
      <c r="C119" s="369" t="s">
        <v>4352</v>
      </c>
      <c r="D119" s="369" t="s">
        <v>1927</v>
      </c>
      <c r="E119" s="369" t="s">
        <v>1927</v>
      </c>
      <c r="F119" s="369" t="s">
        <v>1927</v>
      </c>
      <c r="G119" s="369" t="s">
        <v>116</v>
      </c>
      <c r="H119" s="369" t="s">
        <v>4229</v>
      </c>
      <c r="I119" s="369" t="s">
        <v>3399</v>
      </c>
      <c r="J119" s="369" t="s">
        <v>4353</v>
      </c>
      <c r="K119" s="369" t="s">
        <v>4354</v>
      </c>
      <c r="L119" s="369" t="s">
        <v>4349</v>
      </c>
      <c r="M119" s="369" t="s">
        <v>4343</v>
      </c>
      <c r="N119" s="369" t="s">
        <v>4355</v>
      </c>
      <c r="O119" s="369" t="s">
        <v>4351</v>
      </c>
      <c r="P119" s="369"/>
    </row>
    <row r="120" spans="1:16" ht="13.65" customHeight="1">
      <c r="A120" s="368">
        <v>1283</v>
      </c>
      <c r="B120" s="369">
        <v>1432</v>
      </c>
      <c r="C120" s="369" t="s">
        <v>4356</v>
      </c>
      <c r="D120" s="369" t="s">
        <v>1927</v>
      </c>
      <c r="E120" s="369" t="s">
        <v>1927</v>
      </c>
      <c r="F120" s="369" t="s">
        <v>1927</v>
      </c>
      <c r="G120" s="369" t="s">
        <v>1927</v>
      </c>
      <c r="H120" s="369" t="s">
        <v>4229</v>
      </c>
      <c r="I120" s="369" t="s">
        <v>3399</v>
      </c>
      <c r="J120" s="369" t="s">
        <v>4357</v>
      </c>
      <c r="K120" s="369" t="s">
        <v>4358</v>
      </c>
      <c r="L120" s="369"/>
      <c r="M120" s="369" t="s">
        <v>4311</v>
      </c>
      <c r="N120" s="369" t="s">
        <v>4359</v>
      </c>
      <c r="O120" s="369" t="s">
        <v>4360</v>
      </c>
      <c r="P120" s="369"/>
    </row>
    <row r="121" spans="1:16" ht="13.65" customHeight="1">
      <c r="A121" s="368">
        <v>1285</v>
      </c>
      <c r="B121" s="369">
        <v>1439</v>
      </c>
      <c r="C121" s="369" t="s">
        <v>4361</v>
      </c>
      <c r="D121" s="369" t="s">
        <v>1927</v>
      </c>
      <c r="E121" s="369" t="s">
        <v>1927</v>
      </c>
      <c r="F121" s="369" t="s">
        <v>1927</v>
      </c>
      <c r="G121" s="369" t="s">
        <v>1927</v>
      </c>
      <c r="H121" s="369" t="s">
        <v>4229</v>
      </c>
      <c r="I121" s="369" t="s">
        <v>3399</v>
      </c>
      <c r="J121" s="369" t="s">
        <v>4362</v>
      </c>
      <c r="K121" s="369" t="s">
        <v>4363</v>
      </c>
      <c r="L121" s="369"/>
      <c r="M121" s="369" t="s">
        <v>4364</v>
      </c>
      <c r="N121" s="369" t="s">
        <v>4365</v>
      </c>
      <c r="O121" s="369" t="s">
        <v>4366</v>
      </c>
      <c r="P121" s="369"/>
    </row>
    <row r="122" spans="1:16" ht="13.65" customHeight="1">
      <c r="A122" s="368">
        <v>1291</v>
      </c>
      <c r="B122" s="369">
        <v>1416</v>
      </c>
      <c r="C122" s="369" t="s">
        <v>4367</v>
      </c>
      <c r="D122" s="369" t="s">
        <v>3341</v>
      </c>
      <c r="E122" s="369" t="s">
        <v>3341</v>
      </c>
      <c r="F122" s="369" t="s">
        <v>3341</v>
      </c>
      <c r="G122" s="369" t="s">
        <v>3341</v>
      </c>
      <c r="H122" s="369" t="s">
        <v>1381</v>
      </c>
      <c r="I122" s="369" t="s">
        <v>3399</v>
      </c>
      <c r="J122" s="369" t="s">
        <v>4368</v>
      </c>
      <c r="K122" s="369" t="s">
        <v>4369</v>
      </c>
      <c r="L122" s="369"/>
      <c r="M122" s="369" t="s">
        <v>4370</v>
      </c>
      <c r="N122" s="369" t="s">
        <v>4371</v>
      </c>
      <c r="O122" s="369" t="s">
        <v>4372</v>
      </c>
      <c r="P122" s="369" t="s">
        <v>4373</v>
      </c>
    </row>
    <row r="123" spans="1:16" ht="13.65" customHeight="1">
      <c r="A123" s="368">
        <v>1292</v>
      </c>
      <c r="B123" s="369">
        <v>1417</v>
      </c>
      <c r="C123" s="369" t="s">
        <v>4374</v>
      </c>
      <c r="D123" s="369" t="s">
        <v>1927</v>
      </c>
      <c r="E123" s="369" t="s">
        <v>1927</v>
      </c>
      <c r="F123" s="369" t="s">
        <v>1927</v>
      </c>
      <c r="G123" s="369" t="s">
        <v>1927</v>
      </c>
      <c r="H123" s="369" t="s">
        <v>1381</v>
      </c>
      <c r="I123" s="369" t="s">
        <v>3399</v>
      </c>
      <c r="J123" s="369" t="s">
        <v>4375</v>
      </c>
      <c r="K123" s="369" t="s">
        <v>4376</v>
      </c>
      <c r="L123" s="369"/>
      <c r="M123" s="369" t="s">
        <v>4377</v>
      </c>
      <c r="N123" s="369" t="s">
        <v>4378</v>
      </c>
      <c r="O123" s="369" t="s">
        <v>4379</v>
      </c>
      <c r="P123" s="369"/>
    </row>
    <row r="124" spans="1:16" ht="13.65" customHeight="1">
      <c r="A124" s="368">
        <v>1293</v>
      </c>
      <c r="B124" s="369">
        <v>1538</v>
      </c>
      <c r="C124" s="369" t="s">
        <v>4380</v>
      </c>
      <c r="D124" s="369" t="s">
        <v>1927</v>
      </c>
      <c r="E124" s="369" t="s">
        <v>1927</v>
      </c>
      <c r="F124" s="369" t="s">
        <v>1927</v>
      </c>
      <c r="G124" s="369" t="s">
        <v>1927</v>
      </c>
      <c r="H124" s="369" t="s">
        <v>1378</v>
      </c>
      <c r="I124" s="369" t="s">
        <v>3399</v>
      </c>
      <c r="J124" s="369"/>
      <c r="K124" s="369"/>
      <c r="L124" s="369"/>
      <c r="M124" s="369" t="s">
        <v>4381</v>
      </c>
      <c r="N124" s="369" t="s">
        <v>4382</v>
      </c>
      <c r="O124" s="369" t="s">
        <v>4383</v>
      </c>
      <c r="P124" s="369" t="s">
        <v>4384</v>
      </c>
    </row>
    <row r="125" spans="1:16" ht="13.65" customHeight="1">
      <c r="A125" s="368">
        <v>1297</v>
      </c>
      <c r="B125" s="369">
        <v>1580</v>
      </c>
      <c r="C125" s="369" t="s">
        <v>4385</v>
      </c>
      <c r="D125" s="369" t="s">
        <v>1927</v>
      </c>
      <c r="E125" s="369" t="s">
        <v>1927</v>
      </c>
      <c r="F125" s="369" t="s">
        <v>1927</v>
      </c>
      <c r="G125" s="369" t="s">
        <v>1927</v>
      </c>
      <c r="H125" s="369" t="s">
        <v>4239</v>
      </c>
      <c r="I125" s="369" t="s">
        <v>3399</v>
      </c>
      <c r="J125" s="369"/>
      <c r="K125" s="369"/>
      <c r="L125" s="369"/>
      <c r="M125" s="369"/>
      <c r="N125" s="369" t="s">
        <v>4386</v>
      </c>
      <c r="O125" s="369" t="s">
        <v>4387</v>
      </c>
      <c r="P125" s="369"/>
    </row>
    <row r="126" spans="1:16" ht="13.65" customHeight="1">
      <c r="A126" s="368">
        <v>1312</v>
      </c>
      <c r="B126" s="369">
        <v>8037</v>
      </c>
      <c r="C126" s="369" t="s">
        <v>4388</v>
      </c>
      <c r="D126" s="369" t="s">
        <v>1927</v>
      </c>
      <c r="E126" s="369" t="s">
        <v>1927</v>
      </c>
      <c r="F126" s="369" t="s">
        <v>1927</v>
      </c>
      <c r="G126" s="369" t="s">
        <v>1927</v>
      </c>
      <c r="H126" s="369" t="s">
        <v>1378</v>
      </c>
      <c r="I126" s="369" t="s">
        <v>3399</v>
      </c>
      <c r="J126" s="369" t="s">
        <v>3872</v>
      </c>
      <c r="K126" s="369"/>
      <c r="L126" s="369"/>
      <c r="M126" s="369"/>
      <c r="N126" s="369"/>
      <c r="O126" s="369" t="s">
        <v>4389</v>
      </c>
      <c r="P126" s="369"/>
    </row>
    <row r="127" spans="1:16" ht="13.65" customHeight="1">
      <c r="A127" s="368">
        <v>1319</v>
      </c>
      <c r="B127" s="369">
        <v>8038</v>
      </c>
      <c r="C127" s="369" t="s">
        <v>4390</v>
      </c>
      <c r="D127" s="369" t="s">
        <v>1927</v>
      </c>
      <c r="E127" s="369" t="s">
        <v>1927</v>
      </c>
      <c r="F127" s="369" t="s">
        <v>1927</v>
      </c>
      <c r="G127" s="369" t="s">
        <v>1927</v>
      </c>
      <c r="H127" s="369" t="s">
        <v>1378</v>
      </c>
      <c r="I127" s="369" t="s">
        <v>3399</v>
      </c>
      <c r="J127" s="369" t="s">
        <v>3872</v>
      </c>
      <c r="K127" s="369"/>
      <c r="L127" s="369"/>
      <c r="M127" s="369"/>
      <c r="N127" s="369"/>
      <c r="O127" s="369"/>
      <c r="P127" s="369"/>
    </row>
    <row r="128" spans="1:16" ht="13.65" customHeight="1">
      <c r="A128" s="368">
        <v>1367</v>
      </c>
      <c r="B128" s="369">
        <v>1436</v>
      </c>
      <c r="C128" s="369" t="s">
        <v>4391</v>
      </c>
      <c r="D128" s="369" t="s">
        <v>1927</v>
      </c>
      <c r="E128" s="369" t="s">
        <v>1927</v>
      </c>
      <c r="F128" s="369" t="s">
        <v>1927</v>
      </c>
      <c r="G128" s="369" t="s">
        <v>1927</v>
      </c>
      <c r="H128" s="369" t="s">
        <v>4229</v>
      </c>
      <c r="I128" s="369" t="s">
        <v>3399</v>
      </c>
      <c r="J128" s="369" t="s">
        <v>4392</v>
      </c>
      <c r="K128" s="369" t="s">
        <v>4393</v>
      </c>
      <c r="L128" s="369" t="s">
        <v>4317</v>
      </c>
      <c r="M128" s="369" t="s">
        <v>4311</v>
      </c>
      <c r="N128" s="369" t="s">
        <v>4394</v>
      </c>
      <c r="O128" s="369" t="s">
        <v>4313</v>
      </c>
      <c r="P128" s="369"/>
    </row>
    <row r="129" spans="1:16" ht="13.65" customHeight="1">
      <c r="A129" s="368">
        <v>1369</v>
      </c>
      <c r="B129" s="369">
        <v>1438</v>
      </c>
      <c r="C129" s="369" t="s">
        <v>4395</v>
      </c>
      <c r="D129" s="369" t="s">
        <v>1927</v>
      </c>
      <c r="E129" s="369" t="s">
        <v>1927</v>
      </c>
      <c r="F129" s="369" t="s">
        <v>1927</v>
      </c>
      <c r="G129" s="369" t="s">
        <v>1927</v>
      </c>
      <c r="H129" s="369" t="s">
        <v>4229</v>
      </c>
      <c r="I129" s="369" t="s">
        <v>3399</v>
      </c>
      <c r="J129" s="369" t="s">
        <v>4396</v>
      </c>
      <c r="K129" s="369" t="s">
        <v>4397</v>
      </c>
      <c r="L129" s="369"/>
      <c r="M129" s="369" t="s">
        <v>4398</v>
      </c>
      <c r="N129" s="369" t="s">
        <v>4399</v>
      </c>
      <c r="O129" s="369" t="s">
        <v>4400</v>
      </c>
      <c r="P129" s="369"/>
    </row>
    <row r="130" spans="1:16" ht="13.65" customHeight="1">
      <c r="A130" s="368">
        <v>1382</v>
      </c>
      <c r="B130" s="369">
        <v>8044</v>
      </c>
      <c r="C130" s="369" t="s">
        <v>4401</v>
      </c>
      <c r="D130" s="369" t="s">
        <v>3341</v>
      </c>
      <c r="E130" s="369" t="s">
        <v>3341</v>
      </c>
      <c r="F130" s="369" t="s">
        <v>3341</v>
      </c>
      <c r="G130" s="369" t="s">
        <v>3341</v>
      </c>
      <c r="H130" s="369" t="s">
        <v>1378</v>
      </c>
      <c r="I130" s="369" t="s">
        <v>3399</v>
      </c>
      <c r="J130" s="369" t="s">
        <v>4402</v>
      </c>
      <c r="K130" s="369" t="s">
        <v>4403</v>
      </c>
      <c r="L130" s="369" t="s">
        <v>4404</v>
      </c>
      <c r="M130" s="369"/>
      <c r="N130" s="369"/>
      <c r="O130" s="369"/>
      <c r="P130" s="369"/>
    </row>
    <row r="131" spans="1:16" ht="13.65" customHeight="1">
      <c r="A131" s="368">
        <v>1393</v>
      </c>
      <c r="B131" s="369">
        <v>4012</v>
      </c>
      <c r="C131" s="369" t="s">
        <v>4405</v>
      </c>
      <c r="D131" s="369" t="s">
        <v>1927</v>
      </c>
      <c r="E131" s="369" t="s">
        <v>1927</v>
      </c>
      <c r="F131" s="369" t="s">
        <v>1927</v>
      </c>
      <c r="G131" s="369" t="s">
        <v>116</v>
      </c>
      <c r="H131" s="369" t="s">
        <v>4229</v>
      </c>
      <c r="I131" s="369" t="s">
        <v>3259</v>
      </c>
      <c r="J131" s="369" t="s">
        <v>4406</v>
      </c>
      <c r="K131" s="369" t="s">
        <v>4407</v>
      </c>
      <c r="L131" s="369"/>
      <c r="M131" s="369" t="s">
        <v>4408</v>
      </c>
      <c r="N131" s="369" t="s">
        <v>4409</v>
      </c>
      <c r="O131" s="369" t="s">
        <v>4410</v>
      </c>
      <c r="P131" s="369"/>
    </row>
    <row r="132" spans="1:16" ht="13.65" customHeight="1">
      <c r="A132" s="368">
        <v>1407</v>
      </c>
      <c r="B132" s="369">
        <v>1437</v>
      </c>
      <c r="C132" s="369" t="s">
        <v>4411</v>
      </c>
      <c r="D132" s="369" t="s">
        <v>1927</v>
      </c>
      <c r="E132" s="369" t="s">
        <v>1927</v>
      </c>
      <c r="F132" s="369" t="s">
        <v>1927</v>
      </c>
      <c r="G132" s="369" t="s">
        <v>1927</v>
      </c>
      <c r="H132" s="369" t="s">
        <v>4229</v>
      </c>
      <c r="I132" s="369" t="s">
        <v>3399</v>
      </c>
      <c r="J132" s="369" t="s">
        <v>4412</v>
      </c>
      <c r="K132" s="369" t="s">
        <v>4413</v>
      </c>
      <c r="L132" s="369"/>
      <c r="M132" s="369" t="s">
        <v>4311</v>
      </c>
      <c r="N132" s="369" t="s">
        <v>4414</v>
      </c>
      <c r="O132" s="369" t="s">
        <v>4313</v>
      </c>
      <c r="P132" s="369"/>
    </row>
    <row r="133" spans="1:16" ht="13.65" customHeight="1">
      <c r="A133" s="368">
        <v>1425</v>
      </c>
      <c r="B133" s="369">
        <v>2001</v>
      </c>
      <c r="C133" s="369" t="s">
        <v>4415</v>
      </c>
      <c r="D133" s="369" t="s">
        <v>115</v>
      </c>
      <c r="E133" s="369" t="s">
        <v>116</v>
      </c>
      <c r="F133" s="369" t="s">
        <v>1927</v>
      </c>
      <c r="G133" s="369" t="s">
        <v>1927</v>
      </c>
      <c r="H133" s="369" t="s">
        <v>1381</v>
      </c>
      <c r="I133" s="369" t="s">
        <v>3259</v>
      </c>
      <c r="J133" s="369" t="s">
        <v>4416</v>
      </c>
      <c r="K133" s="369" t="s">
        <v>4417</v>
      </c>
      <c r="L133" s="369" t="s">
        <v>4418</v>
      </c>
      <c r="M133" s="369"/>
      <c r="N133" s="369" t="s">
        <v>4419</v>
      </c>
      <c r="O133" s="369" t="s">
        <v>4420</v>
      </c>
      <c r="P133" s="369"/>
    </row>
    <row r="134" spans="1:16" ht="13.65" customHeight="1">
      <c r="A134" s="368">
        <v>1426</v>
      </c>
      <c r="B134" s="369">
        <v>2001</v>
      </c>
      <c r="C134" s="369" t="s">
        <v>4415</v>
      </c>
      <c r="D134" s="369" t="s">
        <v>115</v>
      </c>
      <c r="E134" s="369" t="s">
        <v>116</v>
      </c>
      <c r="F134" s="369" t="s">
        <v>1927</v>
      </c>
      <c r="G134" s="369" t="s">
        <v>1927</v>
      </c>
      <c r="H134" s="369" t="s">
        <v>1381</v>
      </c>
      <c r="I134" s="369" t="s">
        <v>3259</v>
      </c>
      <c r="J134" s="369" t="s">
        <v>4416</v>
      </c>
      <c r="K134" s="369" t="s">
        <v>4417</v>
      </c>
      <c r="L134" s="369" t="s">
        <v>4418</v>
      </c>
      <c r="M134" s="369"/>
      <c r="N134" s="369" t="s">
        <v>4419</v>
      </c>
      <c r="O134" s="369" t="s">
        <v>4420</v>
      </c>
      <c r="P134" s="369"/>
    </row>
    <row r="135" spans="1:16" ht="13.65" customHeight="1">
      <c r="A135" s="368">
        <v>1453</v>
      </c>
      <c r="B135" s="369">
        <v>1444</v>
      </c>
      <c r="C135" s="369" t="s">
        <v>4421</v>
      </c>
      <c r="D135" s="369" t="s">
        <v>1927</v>
      </c>
      <c r="E135" s="369" t="s">
        <v>1927</v>
      </c>
      <c r="F135" s="369" t="s">
        <v>1927</v>
      </c>
      <c r="G135" s="369" t="s">
        <v>1927</v>
      </c>
      <c r="H135" s="369" t="s">
        <v>4229</v>
      </c>
      <c r="I135" s="369" t="s">
        <v>3399</v>
      </c>
      <c r="J135" s="369" t="s">
        <v>4422</v>
      </c>
      <c r="K135" s="369" t="s">
        <v>4423</v>
      </c>
      <c r="L135" s="369" t="s">
        <v>4424</v>
      </c>
      <c r="M135" s="369" t="s">
        <v>4425</v>
      </c>
      <c r="N135" s="369" t="s">
        <v>4426</v>
      </c>
      <c r="O135" s="369" t="s">
        <v>4427</v>
      </c>
      <c r="P135" s="369"/>
    </row>
    <row r="136" spans="1:16" ht="13.65" customHeight="1">
      <c r="A136" s="368">
        <v>1454</v>
      </c>
      <c r="B136" s="369">
        <v>1443</v>
      </c>
      <c r="C136" s="369" t="s">
        <v>4428</v>
      </c>
      <c r="D136" s="369" t="s">
        <v>1927</v>
      </c>
      <c r="E136" s="369" t="s">
        <v>1927</v>
      </c>
      <c r="F136" s="369" t="s">
        <v>1927</v>
      </c>
      <c r="G136" s="369" t="s">
        <v>1927</v>
      </c>
      <c r="H136" s="369" t="s">
        <v>4229</v>
      </c>
      <c r="I136" s="369" t="s">
        <v>3399</v>
      </c>
      <c r="J136" s="369" t="s">
        <v>4429</v>
      </c>
      <c r="K136" s="369" t="s">
        <v>4430</v>
      </c>
      <c r="L136" s="369" t="s">
        <v>4431</v>
      </c>
      <c r="M136" s="369" t="s">
        <v>4425</v>
      </c>
      <c r="N136" s="369" t="s">
        <v>4432</v>
      </c>
      <c r="O136" s="369" t="s">
        <v>4427</v>
      </c>
      <c r="P136" s="369"/>
    </row>
    <row r="137" spans="1:16" ht="13.65" customHeight="1">
      <c r="A137" s="368">
        <v>1457</v>
      </c>
      <c r="B137" s="369">
        <v>1446</v>
      </c>
      <c r="C137" s="369" t="s">
        <v>4433</v>
      </c>
      <c r="D137" s="369" t="s">
        <v>1927</v>
      </c>
      <c r="E137" s="369" t="s">
        <v>1927</v>
      </c>
      <c r="F137" s="369" t="s">
        <v>1927</v>
      </c>
      <c r="G137" s="369" t="s">
        <v>1927</v>
      </c>
      <c r="H137" s="369" t="s">
        <v>4229</v>
      </c>
      <c r="I137" s="369" t="s">
        <v>3399</v>
      </c>
      <c r="J137" s="369" t="s">
        <v>4434</v>
      </c>
      <c r="K137" s="369" t="s">
        <v>4435</v>
      </c>
      <c r="L137" s="369" t="s">
        <v>4424</v>
      </c>
      <c r="M137" s="369" t="s">
        <v>4425</v>
      </c>
      <c r="N137" s="369" t="s">
        <v>4436</v>
      </c>
      <c r="O137" s="369" t="s">
        <v>4427</v>
      </c>
      <c r="P137" s="369"/>
    </row>
    <row r="138" spans="1:16" ht="13.65" customHeight="1">
      <c r="A138" s="368">
        <v>1459</v>
      </c>
      <c r="B138" s="369">
        <v>1447</v>
      </c>
      <c r="C138" s="369" t="s">
        <v>4437</v>
      </c>
      <c r="D138" s="369" t="s">
        <v>1927</v>
      </c>
      <c r="E138" s="369" t="s">
        <v>1927</v>
      </c>
      <c r="F138" s="369" t="s">
        <v>1927</v>
      </c>
      <c r="G138" s="369" t="s">
        <v>1927</v>
      </c>
      <c r="H138" s="369" t="s">
        <v>4229</v>
      </c>
      <c r="I138" s="369" t="s">
        <v>3399</v>
      </c>
      <c r="J138" s="369" t="s">
        <v>4438</v>
      </c>
      <c r="K138" s="369" t="s">
        <v>4439</v>
      </c>
      <c r="L138" s="369" t="s">
        <v>4424</v>
      </c>
      <c r="M138" s="369" t="s">
        <v>4425</v>
      </c>
      <c r="N138" s="369" t="s">
        <v>4440</v>
      </c>
      <c r="O138" s="369" t="s">
        <v>4427</v>
      </c>
      <c r="P138" s="369"/>
    </row>
    <row r="139" spans="1:16" ht="13.65" customHeight="1">
      <c r="A139" s="368">
        <v>1460</v>
      </c>
      <c r="B139" s="369">
        <v>1448</v>
      </c>
      <c r="C139" s="369" t="s">
        <v>4441</v>
      </c>
      <c r="D139" s="369" t="s">
        <v>1927</v>
      </c>
      <c r="E139" s="369" t="s">
        <v>1927</v>
      </c>
      <c r="F139" s="369" t="s">
        <v>1927</v>
      </c>
      <c r="G139" s="369" t="s">
        <v>1927</v>
      </c>
      <c r="H139" s="369" t="s">
        <v>4229</v>
      </c>
      <c r="I139" s="369" t="s">
        <v>3399</v>
      </c>
      <c r="J139" s="369" t="s">
        <v>4442</v>
      </c>
      <c r="K139" s="369" t="s">
        <v>4443</v>
      </c>
      <c r="L139" s="369" t="s">
        <v>4424</v>
      </c>
      <c r="M139" s="369" t="s">
        <v>4425</v>
      </c>
      <c r="N139" s="369" t="s">
        <v>4444</v>
      </c>
      <c r="O139" s="369" t="s">
        <v>4427</v>
      </c>
      <c r="P139" s="369"/>
    </row>
    <row r="140" spans="1:16" ht="13.65" customHeight="1">
      <c r="A140" s="368">
        <v>1463</v>
      </c>
      <c r="B140" s="369">
        <v>4078</v>
      </c>
      <c r="C140" s="369" t="s">
        <v>4445</v>
      </c>
      <c r="D140" s="369" t="s">
        <v>1927</v>
      </c>
      <c r="E140" s="369" t="s">
        <v>1927</v>
      </c>
      <c r="F140" s="369" t="s">
        <v>1927</v>
      </c>
      <c r="G140" s="369" t="s">
        <v>115</v>
      </c>
      <c r="H140" s="369" t="s">
        <v>1378</v>
      </c>
      <c r="I140" s="369" t="s">
        <v>3399</v>
      </c>
      <c r="J140" s="369" t="s">
        <v>4446</v>
      </c>
      <c r="K140" s="369" t="s">
        <v>4447</v>
      </c>
      <c r="L140" s="369"/>
      <c r="M140" s="369"/>
      <c r="N140" s="369"/>
      <c r="O140" s="369" t="s">
        <v>4448</v>
      </c>
      <c r="P140" s="369"/>
    </row>
    <row r="141" spans="1:16" ht="13.65" customHeight="1">
      <c r="A141" s="368">
        <v>1513</v>
      </c>
      <c r="B141" s="369">
        <v>1380</v>
      </c>
      <c r="C141" s="369" t="s">
        <v>4449</v>
      </c>
      <c r="D141" s="369" t="s">
        <v>1927</v>
      </c>
      <c r="E141" s="369" t="s">
        <v>116</v>
      </c>
      <c r="F141" s="369" t="s">
        <v>1927</v>
      </c>
      <c r="G141" s="369" t="s">
        <v>1927</v>
      </c>
      <c r="H141" s="369" t="s">
        <v>3299</v>
      </c>
      <c r="I141" s="369" t="s">
        <v>3399</v>
      </c>
      <c r="J141" s="369" t="s">
        <v>4450</v>
      </c>
      <c r="K141" s="369" t="s">
        <v>4451</v>
      </c>
      <c r="L141" s="369"/>
      <c r="M141" s="369" t="s">
        <v>4452</v>
      </c>
      <c r="N141" s="369" t="s">
        <v>4453</v>
      </c>
      <c r="O141" s="369" t="s">
        <v>4454</v>
      </c>
      <c r="P141" s="369" t="s">
        <v>4455</v>
      </c>
    </row>
    <row r="142" spans="1:16" ht="13.65" customHeight="1">
      <c r="A142" s="368">
        <v>1522</v>
      </c>
      <c r="B142" s="369">
        <v>1584</v>
      </c>
      <c r="C142" s="369" t="s">
        <v>4456</v>
      </c>
      <c r="D142" s="369" t="s">
        <v>1927</v>
      </c>
      <c r="E142" s="369" t="s">
        <v>1927</v>
      </c>
      <c r="F142" s="369" t="s">
        <v>1927</v>
      </c>
      <c r="G142" s="369" t="s">
        <v>1927</v>
      </c>
      <c r="H142" s="369" t="s">
        <v>1378</v>
      </c>
      <c r="I142" s="369" t="s">
        <v>3399</v>
      </c>
      <c r="J142" s="369"/>
      <c r="K142" s="369"/>
      <c r="L142" s="369"/>
      <c r="M142" s="369"/>
      <c r="N142" s="369" t="s">
        <v>4457</v>
      </c>
      <c r="O142" s="369" t="s">
        <v>4458</v>
      </c>
      <c r="P142" s="369"/>
    </row>
    <row r="143" spans="1:16" ht="13.65" customHeight="1">
      <c r="A143" s="368">
        <v>1524</v>
      </c>
      <c r="B143" s="369">
        <v>3003</v>
      </c>
      <c r="C143" s="369" t="s">
        <v>4238</v>
      </c>
      <c r="D143" s="369" t="s">
        <v>116</v>
      </c>
      <c r="E143" s="369" t="s">
        <v>116</v>
      </c>
      <c r="F143" s="369" t="s">
        <v>115</v>
      </c>
      <c r="G143" s="369" t="s">
        <v>115</v>
      </c>
      <c r="H143" s="369" t="s">
        <v>4239</v>
      </c>
      <c r="I143" s="369"/>
      <c r="J143" s="369" t="s">
        <v>4240</v>
      </c>
      <c r="K143" s="369" t="s">
        <v>4241</v>
      </c>
      <c r="L143" s="369" t="s">
        <v>4242</v>
      </c>
      <c r="M143" s="369"/>
      <c r="N143" s="369" t="s">
        <v>4243</v>
      </c>
      <c r="O143" s="369" t="s">
        <v>4244</v>
      </c>
      <c r="P143" s="369"/>
    </row>
    <row r="144" spans="1:16" ht="13.65" customHeight="1">
      <c r="A144" s="368">
        <v>1525</v>
      </c>
      <c r="B144" s="369">
        <v>4092</v>
      </c>
      <c r="C144" s="369" t="s">
        <v>4459</v>
      </c>
      <c r="D144" s="369" t="s">
        <v>1927</v>
      </c>
      <c r="E144" s="369" t="s">
        <v>1927</v>
      </c>
      <c r="F144" s="369" t="s">
        <v>1927</v>
      </c>
      <c r="G144" s="369" t="s">
        <v>1927</v>
      </c>
      <c r="H144" s="369" t="s">
        <v>3299</v>
      </c>
      <c r="I144" s="369" t="s">
        <v>3399</v>
      </c>
      <c r="J144" s="369" t="s">
        <v>4460</v>
      </c>
      <c r="K144" s="369" t="s">
        <v>4461</v>
      </c>
      <c r="L144" s="369" t="s">
        <v>4462</v>
      </c>
      <c r="M144" s="369" t="s">
        <v>4463</v>
      </c>
      <c r="N144" s="369"/>
      <c r="O144" s="369" t="s">
        <v>4464</v>
      </c>
      <c r="P144" s="369"/>
    </row>
    <row r="145" spans="1:16" ht="13.65" customHeight="1">
      <c r="A145" s="368">
        <v>1528</v>
      </c>
      <c r="B145" s="369">
        <v>1469</v>
      </c>
      <c r="C145" s="369" t="s">
        <v>4465</v>
      </c>
      <c r="D145" s="369" t="s">
        <v>116</v>
      </c>
      <c r="E145" s="369" t="s">
        <v>116</v>
      </c>
      <c r="F145" s="369" t="s">
        <v>115</v>
      </c>
      <c r="G145" s="369" t="s">
        <v>116</v>
      </c>
      <c r="H145" s="369" t="s">
        <v>1381</v>
      </c>
      <c r="I145" s="369" t="s">
        <v>3399</v>
      </c>
      <c r="J145" s="369"/>
      <c r="K145" s="369"/>
      <c r="L145" s="369"/>
      <c r="M145" s="369" t="s">
        <v>4466</v>
      </c>
      <c r="N145" s="369" t="s">
        <v>4467</v>
      </c>
      <c r="O145" s="369" t="s">
        <v>4468</v>
      </c>
      <c r="P145" s="369"/>
    </row>
    <row r="146" spans="1:16" ht="13.65" customHeight="1">
      <c r="A146" s="368">
        <v>1529</v>
      </c>
      <c r="B146" s="369">
        <v>1565</v>
      </c>
      <c r="C146" s="369" t="s">
        <v>4469</v>
      </c>
      <c r="D146" s="369" t="s">
        <v>1927</v>
      </c>
      <c r="E146" s="369" t="s">
        <v>1927</v>
      </c>
      <c r="F146" s="369" t="s">
        <v>1927</v>
      </c>
      <c r="G146" s="369" t="s">
        <v>1927</v>
      </c>
      <c r="H146" s="369" t="s">
        <v>1381</v>
      </c>
      <c r="I146" s="369" t="s">
        <v>3399</v>
      </c>
      <c r="J146" s="369"/>
      <c r="K146" s="369"/>
      <c r="L146" s="369" t="s">
        <v>4470</v>
      </c>
      <c r="M146" s="369" t="s">
        <v>4471</v>
      </c>
      <c r="N146" s="369" t="s">
        <v>4472</v>
      </c>
      <c r="O146" s="369" t="s">
        <v>4473</v>
      </c>
      <c r="P146" s="369" t="s">
        <v>4474</v>
      </c>
    </row>
    <row r="147" spans="1:16" ht="13.65" customHeight="1">
      <c r="A147" s="368">
        <v>1532</v>
      </c>
      <c r="B147" s="369">
        <v>1545</v>
      </c>
      <c r="C147" s="369" t="s">
        <v>4475</v>
      </c>
      <c r="D147" s="369" t="s">
        <v>1927</v>
      </c>
      <c r="E147" s="369" t="s">
        <v>1927</v>
      </c>
      <c r="F147" s="369" t="s">
        <v>1927</v>
      </c>
      <c r="G147" s="369" t="s">
        <v>1927</v>
      </c>
      <c r="H147" s="369" t="s">
        <v>1381</v>
      </c>
      <c r="I147" s="369" t="s">
        <v>3399</v>
      </c>
      <c r="J147" s="369"/>
      <c r="K147" s="369"/>
      <c r="L147" s="369"/>
      <c r="M147" s="369" t="s">
        <v>4476</v>
      </c>
      <c r="N147" s="369" t="s">
        <v>4477</v>
      </c>
      <c r="O147" s="369" t="s">
        <v>4478</v>
      </c>
      <c r="P147" s="369"/>
    </row>
    <row r="148" spans="1:16" ht="13.65" customHeight="1">
      <c r="A148" s="368">
        <v>1538</v>
      </c>
      <c r="B148" s="369">
        <v>1470</v>
      </c>
      <c r="C148" s="369" t="s">
        <v>4479</v>
      </c>
      <c r="D148" s="369" t="s">
        <v>116</v>
      </c>
      <c r="E148" s="369" t="s">
        <v>116</v>
      </c>
      <c r="F148" s="369" t="s">
        <v>115</v>
      </c>
      <c r="G148" s="369" t="s">
        <v>116</v>
      </c>
      <c r="H148" s="369" t="s">
        <v>1381</v>
      </c>
      <c r="I148" s="369" t="s">
        <v>3399</v>
      </c>
      <c r="J148" s="369"/>
      <c r="K148" s="369"/>
      <c r="L148" s="369"/>
      <c r="M148" s="369" t="s">
        <v>4466</v>
      </c>
      <c r="N148" s="369" t="s">
        <v>4480</v>
      </c>
      <c r="O148" s="369" t="s">
        <v>4481</v>
      </c>
      <c r="P148" s="369"/>
    </row>
    <row r="149" spans="1:16" ht="13.65" customHeight="1">
      <c r="A149" s="368">
        <v>1550</v>
      </c>
      <c r="B149" s="369">
        <v>1531</v>
      </c>
      <c r="C149" s="369" t="s">
        <v>4482</v>
      </c>
      <c r="D149" s="369" t="s">
        <v>1927</v>
      </c>
      <c r="E149" s="369" t="s">
        <v>1927</v>
      </c>
      <c r="F149" s="369" t="s">
        <v>1927</v>
      </c>
      <c r="G149" s="369" t="s">
        <v>1927</v>
      </c>
      <c r="H149" s="369" t="s">
        <v>1381</v>
      </c>
      <c r="I149" s="369" t="s">
        <v>3399</v>
      </c>
      <c r="J149" s="369"/>
      <c r="K149" s="369"/>
      <c r="L149" s="369"/>
      <c r="M149" s="369" t="s">
        <v>4483</v>
      </c>
      <c r="N149" s="369" t="s">
        <v>4484</v>
      </c>
      <c r="O149" s="369" t="s">
        <v>4485</v>
      </c>
      <c r="P149" s="369"/>
    </row>
    <row r="150" spans="1:16" ht="13.65" customHeight="1">
      <c r="A150" s="368">
        <v>1562</v>
      </c>
      <c r="B150" s="369">
        <v>1440</v>
      </c>
      <c r="C150" s="369" t="s">
        <v>4262</v>
      </c>
      <c r="D150" s="369" t="s">
        <v>1927</v>
      </c>
      <c r="E150" s="369" t="s">
        <v>1927</v>
      </c>
      <c r="F150" s="369" t="s">
        <v>1927</v>
      </c>
      <c r="G150" s="369" t="s">
        <v>1927</v>
      </c>
      <c r="H150" s="369" t="s">
        <v>1381</v>
      </c>
      <c r="I150" s="369" t="s">
        <v>3399</v>
      </c>
      <c r="J150" s="369" t="s">
        <v>4263</v>
      </c>
      <c r="K150" s="369" t="s">
        <v>4264</v>
      </c>
      <c r="L150" s="369"/>
      <c r="M150" s="369" t="s">
        <v>4265</v>
      </c>
      <c r="N150" s="369" t="s">
        <v>4266</v>
      </c>
      <c r="O150" s="369" t="s">
        <v>4267</v>
      </c>
      <c r="P150" s="369"/>
    </row>
    <row r="151" spans="1:16" ht="13.65" customHeight="1">
      <c r="A151" s="368">
        <v>1564</v>
      </c>
      <c r="B151" s="369">
        <v>1470</v>
      </c>
      <c r="C151" s="369" t="s">
        <v>4479</v>
      </c>
      <c r="D151" s="369" t="s">
        <v>116</v>
      </c>
      <c r="E151" s="369" t="s">
        <v>116</v>
      </c>
      <c r="F151" s="369" t="s">
        <v>115</v>
      </c>
      <c r="G151" s="369" t="s">
        <v>116</v>
      </c>
      <c r="H151" s="369" t="s">
        <v>1381</v>
      </c>
      <c r="I151" s="369" t="s">
        <v>3399</v>
      </c>
      <c r="J151" s="369"/>
      <c r="K151" s="369"/>
      <c r="L151" s="369"/>
      <c r="M151" s="369" t="s">
        <v>4466</v>
      </c>
      <c r="N151" s="369" t="s">
        <v>4480</v>
      </c>
      <c r="O151" s="369" t="s">
        <v>4481</v>
      </c>
      <c r="P151" s="369"/>
    </row>
    <row r="152" spans="1:16" ht="13.65" customHeight="1">
      <c r="A152" s="368">
        <v>1566</v>
      </c>
      <c r="B152" s="369">
        <v>1491</v>
      </c>
      <c r="C152" s="369" t="s">
        <v>4486</v>
      </c>
      <c r="D152" s="369" t="s">
        <v>1927</v>
      </c>
      <c r="E152" s="369" t="s">
        <v>1927</v>
      </c>
      <c r="F152" s="369" t="s">
        <v>1927</v>
      </c>
      <c r="G152" s="369" t="s">
        <v>1927</v>
      </c>
      <c r="H152" s="369" t="s">
        <v>1381</v>
      </c>
      <c r="I152" s="369" t="s">
        <v>3399</v>
      </c>
      <c r="J152" s="369"/>
      <c r="K152" s="369"/>
      <c r="L152" s="369"/>
      <c r="M152" s="369" t="s">
        <v>4487</v>
      </c>
      <c r="N152" s="369" t="s">
        <v>4488</v>
      </c>
      <c r="O152" s="369" t="s">
        <v>4485</v>
      </c>
      <c r="P152" s="369"/>
    </row>
    <row r="153" spans="1:16" ht="13.65" customHeight="1">
      <c r="A153" s="368">
        <v>1568</v>
      </c>
      <c r="B153" s="369">
        <v>1539</v>
      </c>
      <c r="C153" s="369" t="s">
        <v>4489</v>
      </c>
      <c r="D153" s="369" t="s">
        <v>1927</v>
      </c>
      <c r="E153" s="369" t="s">
        <v>1927</v>
      </c>
      <c r="F153" s="369" t="s">
        <v>1927</v>
      </c>
      <c r="G153" s="369" t="s">
        <v>1927</v>
      </c>
      <c r="H153" s="369" t="s">
        <v>1381</v>
      </c>
      <c r="I153" s="369" t="s">
        <v>3399</v>
      </c>
      <c r="J153" s="369"/>
      <c r="K153" s="369"/>
      <c r="L153" s="369"/>
      <c r="M153" s="369" t="s">
        <v>4490</v>
      </c>
      <c r="N153" s="369" t="s">
        <v>4491</v>
      </c>
      <c r="O153" s="369" t="s">
        <v>4492</v>
      </c>
      <c r="P153" s="369"/>
    </row>
    <row r="154" spans="1:16" ht="13.65" customHeight="1">
      <c r="A154" s="368">
        <v>1570</v>
      </c>
      <c r="B154" s="369">
        <v>1469</v>
      </c>
      <c r="C154" s="369" t="s">
        <v>4465</v>
      </c>
      <c r="D154" s="369" t="s">
        <v>116</v>
      </c>
      <c r="E154" s="369" t="s">
        <v>116</v>
      </c>
      <c r="F154" s="369" t="s">
        <v>115</v>
      </c>
      <c r="G154" s="369" t="s">
        <v>116</v>
      </c>
      <c r="H154" s="369" t="s">
        <v>1381</v>
      </c>
      <c r="I154" s="369" t="s">
        <v>3399</v>
      </c>
      <c r="J154" s="369"/>
      <c r="K154" s="369"/>
      <c r="L154" s="369"/>
      <c r="M154" s="369" t="s">
        <v>4466</v>
      </c>
      <c r="N154" s="369" t="s">
        <v>4467</v>
      </c>
      <c r="O154" s="369" t="s">
        <v>4468</v>
      </c>
      <c r="P154" s="369"/>
    </row>
    <row r="155" spans="1:16" ht="13.65" customHeight="1">
      <c r="A155" s="368">
        <v>1572</v>
      </c>
      <c r="B155" s="369">
        <v>1527</v>
      </c>
      <c r="C155" s="369" t="s">
        <v>4493</v>
      </c>
      <c r="D155" s="369" t="s">
        <v>1927</v>
      </c>
      <c r="E155" s="369" t="s">
        <v>1927</v>
      </c>
      <c r="F155" s="369" t="s">
        <v>1927</v>
      </c>
      <c r="G155" s="369" t="s">
        <v>1927</v>
      </c>
      <c r="H155" s="369" t="s">
        <v>1381</v>
      </c>
      <c r="I155" s="369" t="s">
        <v>3399</v>
      </c>
      <c r="J155" s="369"/>
      <c r="K155" s="369"/>
      <c r="L155" s="369"/>
      <c r="M155" s="369" t="s">
        <v>4483</v>
      </c>
      <c r="N155" s="369" t="s">
        <v>4494</v>
      </c>
      <c r="O155" s="369" t="s">
        <v>4485</v>
      </c>
      <c r="P155" s="369"/>
    </row>
    <row r="156" spans="1:16" ht="13.65" customHeight="1">
      <c r="A156" s="368">
        <v>1590</v>
      </c>
      <c r="B156" s="369">
        <v>4048</v>
      </c>
      <c r="C156" s="369" t="s">
        <v>4495</v>
      </c>
      <c r="D156" s="369" t="s">
        <v>116</v>
      </c>
      <c r="E156" s="369" t="s">
        <v>116</v>
      </c>
      <c r="F156" s="369" t="s">
        <v>115</v>
      </c>
      <c r="G156" s="369" t="s">
        <v>115</v>
      </c>
      <c r="H156" s="369" t="s">
        <v>1378</v>
      </c>
      <c r="I156" s="369" t="s">
        <v>3399</v>
      </c>
      <c r="J156" s="369" t="s">
        <v>4496</v>
      </c>
      <c r="K156" s="369" t="s">
        <v>4497</v>
      </c>
      <c r="L156" s="369" t="s">
        <v>4498</v>
      </c>
      <c r="M156" s="369"/>
      <c r="N156" s="369"/>
      <c r="O156" s="369" t="s">
        <v>4499</v>
      </c>
      <c r="P156" s="369"/>
    </row>
    <row r="157" spans="1:16" ht="13.65" customHeight="1">
      <c r="A157" s="368">
        <v>1591</v>
      </c>
      <c r="B157" s="369">
        <v>4048</v>
      </c>
      <c r="C157" s="369" t="s">
        <v>4495</v>
      </c>
      <c r="D157" s="369" t="s">
        <v>116</v>
      </c>
      <c r="E157" s="369" t="s">
        <v>116</v>
      </c>
      <c r="F157" s="369" t="s">
        <v>115</v>
      </c>
      <c r="G157" s="369" t="s">
        <v>115</v>
      </c>
      <c r="H157" s="369" t="s">
        <v>1378</v>
      </c>
      <c r="I157" s="369" t="s">
        <v>3399</v>
      </c>
      <c r="J157" s="369" t="s">
        <v>4496</v>
      </c>
      <c r="K157" s="369" t="s">
        <v>4497</v>
      </c>
      <c r="L157" s="369" t="s">
        <v>4498</v>
      </c>
      <c r="M157" s="369"/>
      <c r="N157" s="369"/>
      <c r="O157" s="369" t="s">
        <v>4499</v>
      </c>
      <c r="P157" s="369"/>
    </row>
    <row r="158" spans="1:16" ht="13.65" customHeight="1">
      <c r="A158" s="368">
        <v>1593</v>
      </c>
      <c r="B158" s="369">
        <v>4048</v>
      </c>
      <c r="C158" s="369" t="s">
        <v>4495</v>
      </c>
      <c r="D158" s="369" t="s">
        <v>116</v>
      </c>
      <c r="E158" s="369" t="s">
        <v>116</v>
      </c>
      <c r="F158" s="369" t="s">
        <v>115</v>
      </c>
      <c r="G158" s="369" t="s">
        <v>115</v>
      </c>
      <c r="H158" s="369" t="s">
        <v>1378</v>
      </c>
      <c r="I158" s="369" t="s">
        <v>3399</v>
      </c>
      <c r="J158" s="369" t="s">
        <v>4496</v>
      </c>
      <c r="K158" s="369" t="s">
        <v>4497</v>
      </c>
      <c r="L158" s="369" t="s">
        <v>4498</v>
      </c>
      <c r="M158" s="369"/>
      <c r="N158" s="369"/>
      <c r="O158" s="369" t="s">
        <v>4499</v>
      </c>
      <c r="P158" s="369"/>
    </row>
    <row r="159" spans="1:16" ht="13.65" customHeight="1">
      <c r="A159" s="368">
        <v>1594</v>
      </c>
      <c r="B159" s="369">
        <v>4048</v>
      </c>
      <c r="C159" s="369" t="s">
        <v>4495</v>
      </c>
      <c r="D159" s="369" t="s">
        <v>116</v>
      </c>
      <c r="E159" s="369" t="s">
        <v>116</v>
      </c>
      <c r="F159" s="369" t="s">
        <v>115</v>
      </c>
      <c r="G159" s="369" t="s">
        <v>115</v>
      </c>
      <c r="H159" s="369" t="s">
        <v>1378</v>
      </c>
      <c r="I159" s="369" t="s">
        <v>3399</v>
      </c>
      <c r="J159" s="369" t="s">
        <v>4496</v>
      </c>
      <c r="K159" s="369" t="s">
        <v>4497</v>
      </c>
      <c r="L159" s="369" t="s">
        <v>4498</v>
      </c>
      <c r="M159" s="369"/>
      <c r="N159" s="369"/>
      <c r="O159" s="369" t="s">
        <v>4499</v>
      </c>
      <c r="P159" s="369"/>
    </row>
    <row r="160" spans="1:16" s="19" customFormat="1" ht="13.65" customHeight="1">
      <c r="A160" s="370">
        <v>1613</v>
      </c>
      <c r="B160" s="371">
        <v>1357</v>
      </c>
      <c r="C160" s="371" t="s">
        <v>1624</v>
      </c>
      <c r="D160" s="371" t="s">
        <v>1927</v>
      </c>
      <c r="E160" s="371" t="s">
        <v>1927</v>
      </c>
      <c r="F160" s="371" t="s">
        <v>1927</v>
      </c>
      <c r="G160" s="371" t="s">
        <v>1927</v>
      </c>
      <c r="H160" s="371"/>
      <c r="I160" s="371"/>
      <c r="J160" s="371" t="s">
        <v>4500</v>
      </c>
      <c r="K160" s="371" t="s">
        <v>4501</v>
      </c>
      <c r="L160" s="371"/>
      <c r="M160" s="371" t="s">
        <v>4502</v>
      </c>
      <c r="N160" s="371" t="s">
        <v>4503</v>
      </c>
      <c r="O160" s="371" t="s">
        <v>4504</v>
      </c>
      <c r="P160" s="371"/>
    </row>
    <row r="161" spans="1:16" s="19" customFormat="1" ht="13.65" customHeight="1">
      <c r="A161" s="370">
        <v>1613</v>
      </c>
      <c r="B161" s="371">
        <v>8044</v>
      </c>
      <c r="C161" s="371" t="s">
        <v>4401</v>
      </c>
      <c r="D161" s="371" t="s">
        <v>3341</v>
      </c>
      <c r="E161" s="371" t="s">
        <v>3341</v>
      </c>
      <c r="F161" s="371" t="s">
        <v>3341</v>
      </c>
      <c r="G161" s="371" t="s">
        <v>3341</v>
      </c>
      <c r="H161" s="371" t="s">
        <v>1378</v>
      </c>
      <c r="I161" s="371" t="s">
        <v>3399</v>
      </c>
      <c r="J161" s="371" t="s">
        <v>4402</v>
      </c>
      <c r="K161" s="371" t="s">
        <v>4403</v>
      </c>
      <c r="L161" s="371" t="s">
        <v>4404</v>
      </c>
      <c r="M161" s="371"/>
      <c r="N161" s="371"/>
      <c r="O161" s="371"/>
      <c r="P161" s="371"/>
    </row>
    <row r="162" spans="1:16" ht="13.65" customHeight="1">
      <c r="A162" s="368">
        <v>1646</v>
      </c>
      <c r="B162" s="369">
        <v>1320</v>
      </c>
      <c r="C162" s="369" t="s">
        <v>4505</v>
      </c>
      <c r="D162" s="369" t="s">
        <v>1927</v>
      </c>
      <c r="E162" s="369" t="s">
        <v>1927</v>
      </c>
      <c r="F162" s="369" t="s">
        <v>1927</v>
      </c>
      <c r="G162" s="369" t="s">
        <v>1927</v>
      </c>
      <c r="H162" s="369" t="s">
        <v>1381</v>
      </c>
      <c r="I162" s="369" t="s">
        <v>3399</v>
      </c>
      <c r="J162" s="369" t="s">
        <v>4506</v>
      </c>
      <c r="K162" s="369" t="s">
        <v>4507</v>
      </c>
      <c r="L162" s="369" t="s">
        <v>4508</v>
      </c>
      <c r="M162" s="369" t="s">
        <v>4509</v>
      </c>
      <c r="N162" s="369"/>
      <c r="O162" s="369" t="s">
        <v>4510</v>
      </c>
      <c r="P162" s="369"/>
    </row>
    <row r="163" spans="1:16" ht="13.65" customHeight="1">
      <c r="A163" s="368">
        <v>1660</v>
      </c>
      <c r="B163" s="369">
        <v>1444</v>
      </c>
      <c r="C163" s="369" t="s">
        <v>4421</v>
      </c>
      <c r="D163" s="369" t="s">
        <v>1927</v>
      </c>
      <c r="E163" s="369" t="s">
        <v>1927</v>
      </c>
      <c r="F163" s="369" t="s">
        <v>1927</v>
      </c>
      <c r="G163" s="369" t="s">
        <v>1927</v>
      </c>
      <c r="H163" s="369" t="s">
        <v>4229</v>
      </c>
      <c r="I163" s="369" t="s">
        <v>3399</v>
      </c>
      <c r="J163" s="369" t="s">
        <v>4422</v>
      </c>
      <c r="K163" s="369" t="s">
        <v>4423</v>
      </c>
      <c r="L163" s="369" t="s">
        <v>4424</v>
      </c>
      <c r="M163" s="369" t="s">
        <v>4425</v>
      </c>
      <c r="N163" s="369" t="s">
        <v>4426</v>
      </c>
      <c r="O163" s="369" t="s">
        <v>4427</v>
      </c>
      <c r="P163" s="369"/>
    </row>
    <row r="164" spans="1:16" ht="13.65" customHeight="1">
      <c r="A164" s="368">
        <v>1661</v>
      </c>
      <c r="B164" s="369">
        <v>1443</v>
      </c>
      <c r="C164" s="369" t="s">
        <v>4428</v>
      </c>
      <c r="D164" s="369" t="s">
        <v>1927</v>
      </c>
      <c r="E164" s="369" t="s">
        <v>1927</v>
      </c>
      <c r="F164" s="369" t="s">
        <v>1927</v>
      </c>
      <c r="G164" s="369" t="s">
        <v>1927</v>
      </c>
      <c r="H164" s="369" t="s">
        <v>4229</v>
      </c>
      <c r="I164" s="369" t="s">
        <v>3399</v>
      </c>
      <c r="J164" s="369" t="s">
        <v>4429</v>
      </c>
      <c r="K164" s="369" t="s">
        <v>4430</v>
      </c>
      <c r="L164" s="369" t="s">
        <v>4431</v>
      </c>
      <c r="M164" s="369" t="s">
        <v>4425</v>
      </c>
      <c r="N164" s="369" t="s">
        <v>4432</v>
      </c>
      <c r="O164" s="369" t="s">
        <v>4427</v>
      </c>
      <c r="P164" s="369"/>
    </row>
    <row r="165" spans="1:16" ht="13.65" customHeight="1">
      <c r="A165" s="368">
        <v>1663</v>
      </c>
      <c r="B165" s="369">
        <v>1446</v>
      </c>
      <c r="C165" s="369" t="s">
        <v>4433</v>
      </c>
      <c r="D165" s="369" t="s">
        <v>1927</v>
      </c>
      <c r="E165" s="369" t="s">
        <v>1927</v>
      </c>
      <c r="F165" s="369" t="s">
        <v>1927</v>
      </c>
      <c r="G165" s="369" t="s">
        <v>1927</v>
      </c>
      <c r="H165" s="369" t="s">
        <v>4229</v>
      </c>
      <c r="I165" s="369" t="s">
        <v>3399</v>
      </c>
      <c r="J165" s="369" t="s">
        <v>4434</v>
      </c>
      <c r="K165" s="369" t="s">
        <v>4435</v>
      </c>
      <c r="L165" s="369" t="s">
        <v>4424</v>
      </c>
      <c r="M165" s="369" t="s">
        <v>4425</v>
      </c>
      <c r="N165" s="369" t="s">
        <v>4436</v>
      </c>
      <c r="O165" s="369" t="s">
        <v>4427</v>
      </c>
      <c r="P165" s="369"/>
    </row>
    <row r="166" spans="1:16" ht="13.65" customHeight="1">
      <c r="A166" s="368">
        <v>1668</v>
      </c>
      <c r="B166" s="369">
        <v>1447</v>
      </c>
      <c r="C166" s="369" t="s">
        <v>4437</v>
      </c>
      <c r="D166" s="369" t="s">
        <v>1927</v>
      </c>
      <c r="E166" s="369" t="s">
        <v>1927</v>
      </c>
      <c r="F166" s="369" t="s">
        <v>1927</v>
      </c>
      <c r="G166" s="369" t="s">
        <v>1927</v>
      </c>
      <c r="H166" s="369" t="s">
        <v>4229</v>
      </c>
      <c r="I166" s="369" t="s">
        <v>3399</v>
      </c>
      <c r="J166" s="369" t="s">
        <v>4438</v>
      </c>
      <c r="K166" s="369" t="s">
        <v>4439</v>
      </c>
      <c r="L166" s="369" t="s">
        <v>4424</v>
      </c>
      <c r="M166" s="369" t="s">
        <v>4425</v>
      </c>
      <c r="N166" s="369" t="s">
        <v>4440</v>
      </c>
      <c r="O166" s="369" t="s">
        <v>4427</v>
      </c>
      <c r="P166" s="369"/>
    </row>
    <row r="167" spans="1:16" ht="13.65" customHeight="1">
      <c r="A167" s="368">
        <v>1669</v>
      </c>
      <c r="B167" s="369">
        <v>1448</v>
      </c>
      <c r="C167" s="369" t="s">
        <v>4441</v>
      </c>
      <c r="D167" s="369" t="s">
        <v>1927</v>
      </c>
      <c r="E167" s="369" t="s">
        <v>1927</v>
      </c>
      <c r="F167" s="369" t="s">
        <v>1927</v>
      </c>
      <c r="G167" s="369" t="s">
        <v>1927</v>
      </c>
      <c r="H167" s="369" t="s">
        <v>4229</v>
      </c>
      <c r="I167" s="369" t="s">
        <v>3399</v>
      </c>
      <c r="J167" s="369" t="s">
        <v>4442</v>
      </c>
      <c r="K167" s="369" t="s">
        <v>4443</v>
      </c>
      <c r="L167" s="369" t="s">
        <v>4424</v>
      </c>
      <c r="M167" s="369" t="s">
        <v>4425</v>
      </c>
      <c r="N167" s="369" t="s">
        <v>4444</v>
      </c>
      <c r="O167" s="369" t="s">
        <v>4427</v>
      </c>
      <c r="P167" s="369"/>
    </row>
    <row r="168" spans="1:16" ht="13.65" customHeight="1">
      <c r="A168" s="368">
        <v>1693</v>
      </c>
      <c r="B168" s="369">
        <v>3002</v>
      </c>
      <c r="C168" s="369" t="s">
        <v>2410</v>
      </c>
      <c r="D168" s="369" t="s">
        <v>116</v>
      </c>
      <c r="E168" s="369" t="s">
        <v>116</v>
      </c>
      <c r="F168" s="369" t="s">
        <v>115</v>
      </c>
      <c r="G168" s="369" t="s">
        <v>115</v>
      </c>
      <c r="H168" s="369" t="s">
        <v>4229</v>
      </c>
      <c r="I168" s="369"/>
      <c r="J168" s="369" t="s">
        <v>4230</v>
      </c>
      <c r="K168" s="369" t="s">
        <v>4231</v>
      </c>
      <c r="L168" s="369" t="s">
        <v>4232</v>
      </c>
      <c r="M168" s="369"/>
      <c r="N168" s="369" t="s">
        <v>4233</v>
      </c>
      <c r="O168" s="369" t="s">
        <v>4234</v>
      </c>
      <c r="P168" s="369"/>
    </row>
    <row r="169" spans="1:16" ht="13.65" customHeight="1">
      <c r="A169" s="368">
        <v>1694</v>
      </c>
      <c r="B169" s="369">
        <v>3003</v>
      </c>
      <c r="C169" s="369" t="s">
        <v>4238</v>
      </c>
      <c r="D169" s="369" t="s">
        <v>116</v>
      </c>
      <c r="E169" s="369" t="s">
        <v>116</v>
      </c>
      <c r="F169" s="369" t="s">
        <v>115</v>
      </c>
      <c r="G169" s="369" t="s">
        <v>115</v>
      </c>
      <c r="H169" s="369" t="s">
        <v>4239</v>
      </c>
      <c r="I169" s="369"/>
      <c r="J169" s="369" t="s">
        <v>4240</v>
      </c>
      <c r="K169" s="369" t="s">
        <v>4241</v>
      </c>
      <c r="L169" s="369" t="s">
        <v>4242</v>
      </c>
      <c r="M169" s="369"/>
      <c r="N169" s="369" t="s">
        <v>4243</v>
      </c>
      <c r="O169" s="369" t="s">
        <v>4244</v>
      </c>
      <c r="P169" s="369"/>
    </row>
    <row r="170" spans="1:16" s="19" customFormat="1" ht="13.65" customHeight="1">
      <c r="A170" s="370">
        <v>1766</v>
      </c>
      <c r="B170" s="371">
        <v>3002</v>
      </c>
      <c r="C170" s="371" t="s">
        <v>2410</v>
      </c>
      <c r="D170" s="371" t="s">
        <v>116</v>
      </c>
      <c r="E170" s="371" t="s">
        <v>116</v>
      </c>
      <c r="F170" s="371" t="s">
        <v>115</v>
      </c>
      <c r="G170" s="371" t="s">
        <v>115</v>
      </c>
      <c r="H170" s="371" t="s">
        <v>4229</v>
      </c>
      <c r="I170" s="371"/>
      <c r="J170" s="371" t="s">
        <v>4230</v>
      </c>
      <c r="K170" s="371" t="s">
        <v>4231</v>
      </c>
      <c r="L170" s="371" t="s">
        <v>4232</v>
      </c>
      <c r="M170" s="371"/>
      <c r="N170" s="371" t="s">
        <v>4233</v>
      </c>
      <c r="O170" s="371" t="s">
        <v>4234</v>
      </c>
      <c r="P170" s="371"/>
    </row>
    <row r="171" spans="1:16" ht="13.65" customHeight="1">
      <c r="A171" s="368">
        <v>1787</v>
      </c>
      <c r="B171" s="369">
        <v>1424</v>
      </c>
      <c r="C171" s="369" t="s">
        <v>4511</v>
      </c>
      <c r="D171" s="369" t="s">
        <v>1927</v>
      </c>
      <c r="E171" s="369" t="s">
        <v>1927</v>
      </c>
      <c r="F171" s="369" t="s">
        <v>1927</v>
      </c>
      <c r="G171" s="369" t="s">
        <v>116</v>
      </c>
      <c r="H171" s="369" t="s">
        <v>1378</v>
      </c>
      <c r="I171" s="369" t="s">
        <v>3399</v>
      </c>
      <c r="J171" s="369" t="s">
        <v>4512</v>
      </c>
      <c r="K171" s="369" t="s">
        <v>4513</v>
      </c>
      <c r="L171" s="369"/>
      <c r="M171" s="369"/>
      <c r="N171" s="369" t="s">
        <v>4514</v>
      </c>
      <c r="O171" s="369" t="s">
        <v>4515</v>
      </c>
      <c r="P171" s="369"/>
    </row>
    <row r="172" spans="1:16" ht="13.65" customHeight="1">
      <c r="A172" s="368">
        <v>1791</v>
      </c>
      <c r="B172" s="369">
        <v>3009</v>
      </c>
      <c r="C172" s="369" t="s">
        <v>2436</v>
      </c>
      <c r="D172" s="369" t="s">
        <v>116</v>
      </c>
      <c r="E172" s="369" t="s">
        <v>116</v>
      </c>
      <c r="F172" s="369" t="s">
        <v>115</v>
      </c>
      <c r="G172" s="369" t="s">
        <v>115</v>
      </c>
      <c r="H172" s="369" t="s">
        <v>4239</v>
      </c>
      <c r="I172" s="369"/>
      <c r="J172" s="369" t="s">
        <v>4248</v>
      </c>
      <c r="K172" s="369" t="s">
        <v>4249</v>
      </c>
      <c r="L172" s="369"/>
      <c r="M172" s="369"/>
      <c r="N172" s="369" t="s">
        <v>4250</v>
      </c>
      <c r="O172" s="369" t="s">
        <v>4251</v>
      </c>
      <c r="P172" s="369"/>
    </row>
    <row r="173" spans="1:16" ht="13.65" customHeight="1">
      <c r="A173" s="368">
        <v>1911</v>
      </c>
      <c r="B173" s="369">
        <v>1534</v>
      </c>
      <c r="C173" s="369" t="s">
        <v>4516</v>
      </c>
      <c r="D173" s="369" t="s">
        <v>1927</v>
      </c>
      <c r="E173" s="369" t="s">
        <v>1927</v>
      </c>
      <c r="F173" s="369" t="s">
        <v>1927</v>
      </c>
      <c r="G173" s="369" t="s">
        <v>1927</v>
      </c>
      <c r="H173" s="369" t="s">
        <v>3299</v>
      </c>
      <c r="I173" s="369" t="s">
        <v>3399</v>
      </c>
      <c r="J173" s="369"/>
      <c r="K173" s="369"/>
      <c r="L173" s="369" t="s">
        <v>4517</v>
      </c>
      <c r="M173" s="369" t="s">
        <v>3848</v>
      </c>
      <c r="N173" s="369" t="s">
        <v>4518</v>
      </c>
      <c r="O173" s="369" t="s">
        <v>4519</v>
      </c>
      <c r="P173" s="369"/>
    </row>
    <row r="174" spans="1:16" ht="13.65" customHeight="1">
      <c r="A174" s="368">
        <v>1930</v>
      </c>
      <c r="B174" s="369">
        <v>8008</v>
      </c>
      <c r="C174" s="369" t="s">
        <v>4520</v>
      </c>
      <c r="D174" s="369" t="s">
        <v>1927</v>
      </c>
      <c r="E174" s="369" t="s">
        <v>1927</v>
      </c>
      <c r="F174" s="369" t="s">
        <v>1927</v>
      </c>
      <c r="G174" s="369" t="s">
        <v>1927</v>
      </c>
      <c r="H174" s="369" t="s">
        <v>1378</v>
      </c>
      <c r="I174" s="369" t="s">
        <v>3259</v>
      </c>
      <c r="J174" s="369" t="s">
        <v>4521</v>
      </c>
      <c r="K174" s="369" t="s">
        <v>4522</v>
      </c>
      <c r="L174" s="369" t="s">
        <v>4523</v>
      </c>
      <c r="M174" s="369"/>
      <c r="N174" s="369"/>
      <c r="O174" s="369" t="s">
        <v>4524</v>
      </c>
      <c r="P174" s="369"/>
    </row>
    <row r="175" spans="1:16" ht="13.65" customHeight="1">
      <c r="A175" s="368">
        <v>1934</v>
      </c>
      <c r="B175" s="369">
        <v>1183</v>
      </c>
      <c r="C175" s="369" t="s">
        <v>4525</v>
      </c>
      <c r="D175" s="369" t="s">
        <v>116</v>
      </c>
      <c r="E175" s="369" t="s">
        <v>116</v>
      </c>
      <c r="F175" s="369" t="s">
        <v>115</v>
      </c>
      <c r="G175" s="369" t="s">
        <v>115</v>
      </c>
      <c r="H175" s="369" t="s">
        <v>1378</v>
      </c>
      <c r="I175" s="369" t="s">
        <v>3399</v>
      </c>
      <c r="J175" s="369" t="s">
        <v>4526</v>
      </c>
      <c r="K175" s="369" t="s">
        <v>4527</v>
      </c>
      <c r="L175" s="369" t="s">
        <v>4528</v>
      </c>
      <c r="M175" s="369"/>
      <c r="N175" s="369" t="s">
        <v>4529</v>
      </c>
      <c r="O175" s="369" t="s">
        <v>4530</v>
      </c>
      <c r="P175" s="369"/>
    </row>
    <row r="176" spans="1:16" ht="13.65" customHeight="1">
      <c r="A176" s="368">
        <v>1962</v>
      </c>
      <c r="B176" s="369">
        <v>1147</v>
      </c>
      <c r="C176" s="369" t="s">
        <v>1630</v>
      </c>
      <c r="D176" s="369" t="s">
        <v>115</v>
      </c>
      <c r="E176" s="369" t="s">
        <v>116</v>
      </c>
      <c r="F176" s="369" t="s">
        <v>115</v>
      </c>
      <c r="G176" s="369" t="s">
        <v>115</v>
      </c>
      <c r="H176" s="369" t="s">
        <v>1381</v>
      </c>
      <c r="I176" s="369" t="s">
        <v>3259</v>
      </c>
      <c r="J176" s="369" t="s">
        <v>4531</v>
      </c>
      <c r="K176" s="369" t="s">
        <v>4532</v>
      </c>
      <c r="L176" s="369"/>
      <c r="M176" s="369" t="s">
        <v>4533</v>
      </c>
      <c r="N176" s="369" t="s">
        <v>4534</v>
      </c>
      <c r="O176" s="369" t="s">
        <v>4535</v>
      </c>
      <c r="P176" s="369"/>
    </row>
    <row r="177" spans="1:16" ht="13.65" customHeight="1">
      <c r="A177" s="368">
        <v>1986</v>
      </c>
      <c r="B177" s="369">
        <v>1152</v>
      </c>
      <c r="C177" s="369" t="s">
        <v>4536</v>
      </c>
      <c r="D177" s="369" t="s">
        <v>1927</v>
      </c>
      <c r="E177" s="369" t="s">
        <v>1927</v>
      </c>
      <c r="F177" s="369" t="s">
        <v>1927</v>
      </c>
      <c r="G177" s="369" t="s">
        <v>1927</v>
      </c>
      <c r="H177" s="369" t="s">
        <v>1381</v>
      </c>
      <c r="I177" s="369" t="s">
        <v>3399</v>
      </c>
      <c r="J177" s="369"/>
      <c r="K177" s="369"/>
      <c r="L177" s="369" t="s">
        <v>4537</v>
      </c>
      <c r="M177" s="369" t="s">
        <v>4538</v>
      </c>
      <c r="N177" s="369" t="s">
        <v>4539</v>
      </c>
      <c r="O177" s="369" t="s">
        <v>4540</v>
      </c>
      <c r="P177" s="369"/>
    </row>
    <row r="178" spans="1:16" ht="13.65" customHeight="1">
      <c r="A178" s="368">
        <v>2212</v>
      </c>
      <c r="B178" s="369">
        <v>3200</v>
      </c>
      <c r="C178" s="369" t="s">
        <v>4541</v>
      </c>
      <c r="D178" s="369" t="s">
        <v>3341</v>
      </c>
      <c r="E178" s="369" t="s">
        <v>3341</v>
      </c>
      <c r="F178" s="369" t="s">
        <v>3341</v>
      </c>
      <c r="G178" s="369" t="s">
        <v>3341</v>
      </c>
      <c r="H178" s="369" t="s">
        <v>1378</v>
      </c>
      <c r="I178" s="369" t="s">
        <v>3399</v>
      </c>
      <c r="J178" s="369" t="s">
        <v>4542</v>
      </c>
      <c r="K178" s="369" t="s">
        <v>4543</v>
      </c>
      <c r="L178" s="369" t="s">
        <v>4544</v>
      </c>
      <c r="M178" s="369"/>
      <c r="N178" s="369" t="s">
        <v>4545</v>
      </c>
      <c r="O178" s="369"/>
      <c r="P178" s="369"/>
    </row>
    <row r="179" spans="1:16" ht="13.65" customHeight="1">
      <c r="A179" s="368">
        <v>2242</v>
      </c>
      <c r="B179" s="369">
        <v>3004</v>
      </c>
      <c r="C179" s="369" t="s">
        <v>4546</v>
      </c>
      <c r="D179" s="369" t="s">
        <v>1927</v>
      </c>
      <c r="E179" s="369" t="s">
        <v>1927</v>
      </c>
      <c r="F179" s="369" t="s">
        <v>1927</v>
      </c>
      <c r="G179" s="369" t="s">
        <v>1927</v>
      </c>
      <c r="H179" s="369" t="s">
        <v>1378</v>
      </c>
      <c r="I179" s="369" t="s">
        <v>3399</v>
      </c>
      <c r="J179" s="369"/>
      <c r="K179" s="369"/>
      <c r="L179" s="369"/>
      <c r="M179" s="369"/>
      <c r="N179" s="369"/>
      <c r="O179" s="369" t="s">
        <v>4547</v>
      </c>
      <c r="P179" s="369"/>
    </row>
    <row r="180" spans="1:16" ht="13.65" customHeight="1">
      <c r="A180" s="368">
        <v>2320</v>
      </c>
      <c r="B180" s="369">
        <v>3200</v>
      </c>
      <c r="C180" s="369" t="s">
        <v>4541</v>
      </c>
      <c r="D180" s="369" t="s">
        <v>3341</v>
      </c>
      <c r="E180" s="369" t="s">
        <v>3341</v>
      </c>
      <c r="F180" s="369" t="s">
        <v>3341</v>
      </c>
      <c r="G180" s="369" t="s">
        <v>3341</v>
      </c>
      <c r="H180" s="369" t="s">
        <v>1378</v>
      </c>
      <c r="I180" s="369" t="s">
        <v>3399</v>
      </c>
      <c r="J180" s="369" t="s">
        <v>4542</v>
      </c>
      <c r="K180" s="369" t="s">
        <v>4543</v>
      </c>
      <c r="L180" s="369" t="s">
        <v>4544</v>
      </c>
      <c r="M180" s="369"/>
      <c r="N180" s="369" t="s">
        <v>4545</v>
      </c>
      <c r="O180" s="369"/>
      <c r="P180" s="369"/>
    </row>
    <row r="181" spans="1:16" ht="13.65" customHeight="1">
      <c r="A181" s="368">
        <v>2340</v>
      </c>
      <c r="B181" s="369">
        <v>3001</v>
      </c>
      <c r="C181" s="369" t="s">
        <v>4548</v>
      </c>
      <c r="D181" s="369" t="s">
        <v>116</v>
      </c>
      <c r="E181" s="369" t="s">
        <v>116</v>
      </c>
      <c r="F181" s="369" t="s">
        <v>1927</v>
      </c>
      <c r="G181" s="369" t="s">
        <v>1927</v>
      </c>
      <c r="H181" s="369" t="s">
        <v>1378</v>
      </c>
      <c r="I181" s="369" t="s">
        <v>3399</v>
      </c>
      <c r="J181" s="369"/>
      <c r="K181" s="369"/>
      <c r="L181" s="369"/>
      <c r="M181" s="369"/>
      <c r="N181" s="369"/>
      <c r="O181" s="369" t="s">
        <v>4549</v>
      </c>
      <c r="P181" s="369"/>
    </row>
    <row r="182" spans="1:16" ht="13.65" customHeight="1">
      <c r="A182" s="368">
        <v>2418</v>
      </c>
      <c r="B182" s="369">
        <v>3200</v>
      </c>
      <c r="C182" s="369" t="s">
        <v>4541</v>
      </c>
      <c r="D182" s="369" t="s">
        <v>3341</v>
      </c>
      <c r="E182" s="369" t="s">
        <v>3341</v>
      </c>
      <c r="F182" s="369" t="s">
        <v>3341</v>
      </c>
      <c r="G182" s="369" t="s">
        <v>3341</v>
      </c>
      <c r="H182" s="369" t="s">
        <v>1378</v>
      </c>
      <c r="I182" s="369" t="s">
        <v>3399</v>
      </c>
      <c r="J182" s="369" t="s">
        <v>4542</v>
      </c>
      <c r="K182" s="369" t="s">
        <v>4543</v>
      </c>
      <c r="L182" s="369" t="s">
        <v>4544</v>
      </c>
      <c r="M182" s="369"/>
      <c r="N182" s="369" t="s">
        <v>4545</v>
      </c>
      <c r="O182" s="369"/>
      <c r="P182" s="369"/>
    </row>
    <row r="183" spans="1:16" ht="13.65" customHeight="1">
      <c r="A183" s="368">
        <v>2446</v>
      </c>
      <c r="B183" s="369">
        <v>4023</v>
      </c>
      <c r="C183" s="369" t="s">
        <v>4550</v>
      </c>
      <c r="D183" s="369" t="s">
        <v>3341</v>
      </c>
      <c r="E183" s="369" t="s">
        <v>3341</v>
      </c>
      <c r="F183" s="369" t="s">
        <v>3341</v>
      </c>
      <c r="G183" s="369" t="s">
        <v>3341</v>
      </c>
      <c r="H183" s="369" t="s">
        <v>1378</v>
      </c>
      <c r="I183" s="369" t="s">
        <v>3399</v>
      </c>
      <c r="J183" s="369" t="s">
        <v>4551</v>
      </c>
      <c r="K183" s="369" t="s">
        <v>4552</v>
      </c>
      <c r="L183" s="369"/>
      <c r="M183" s="369"/>
      <c r="N183" s="369"/>
      <c r="O183" s="369"/>
      <c r="P183" s="369"/>
    </row>
    <row r="184" spans="1:16" ht="13.65" customHeight="1">
      <c r="A184" s="368">
        <v>2501</v>
      </c>
      <c r="B184" s="369">
        <v>3200</v>
      </c>
      <c r="C184" s="369" t="s">
        <v>4541</v>
      </c>
      <c r="D184" s="369" t="s">
        <v>3341</v>
      </c>
      <c r="E184" s="369" t="s">
        <v>3341</v>
      </c>
      <c r="F184" s="369" t="s">
        <v>3341</v>
      </c>
      <c r="G184" s="369" t="s">
        <v>3341</v>
      </c>
      <c r="H184" s="369" t="s">
        <v>1378</v>
      </c>
      <c r="I184" s="369" t="s">
        <v>3399</v>
      </c>
      <c r="J184" s="369" t="s">
        <v>4542</v>
      </c>
      <c r="K184" s="369" t="s">
        <v>4543</v>
      </c>
      <c r="L184" s="369" t="s">
        <v>4544</v>
      </c>
      <c r="M184" s="369"/>
      <c r="N184" s="369" t="s">
        <v>4545</v>
      </c>
      <c r="O184" s="369"/>
      <c r="P184" s="369"/>
    </row>
    <row r="185" spans="1:16" ht="13.65" customHeight="1">
      <c r="A185" s="368">
        <v>3001</v>
      </c>
      <c r="B185" s="369">
        <v>3200</v>
      </c>
      <c r="C185" s="369" t="s">
        <v>4541</v>
      </c>
      <c r="D185" s="369" t="s">
        <v>3341</v>
      </c>
      <c r="E185" s="369" t="s">
        <v>3341</v>
      </c>
      <c r="F185" s="369" t="s">
        <v>3341</v>
      </c>
      <c r="G185" s="369" t="s">
        <v>3341</v>
      </c>
      <c r="H185" s="369" t="s">
        <v>1378</v>
      </c>
      <c r="I185" s="369" t="s">
        <v>3399</v>
      </c>
      <c r="J185" s="369" t="s">
        <v>4542</v>
      </c>
      <c r="K185" s="369" t="s">
        <v>4543</v>
      </c>
      <c r="L185" s="369" t="s">
        <v>4544</v>
      </c>
      <c r="M185" s="369"/>
      <c r="N185" s="369" t="s">
        <v>4545</v>
      </c>
      <c r="O185" s="369"/>
      <c r="P185" s="369"/>
    </row>
    <row r="186" spans="1:16" ht="13.65" customHeight="1">
      <c r="A186" s="368">
        <v>3016</v>
      </c>
      <c r="B186" s="369">
        <v>3200</v>
      </c>
      <c r="C186" s="369" t="s">
        <v>4541</v>
      </c>
      <c r="D186" s="369" t="s">
        <v>3341</v>
      </c>
      <c r="E186" s="369" t="s">
        <v>3341</v>
      </c>
      <c r="F186" s="369" t="s">
        <v>3341</v>
      </c>
      <c r="G186" s="369" t="s">
        <v>3341</v>
      </c>
      <c r="H186" s="369" t="s">
        <v>1378</v>
      </c>
      <c r="I186" s="369" t="s">
        <v>3399</v>
      </c>
      <c r="J186" s="369" t="s">
        <v>4542</v>
      </c>
      <c r="K186" s="369" t="s">
        <v>4543</v>
      </c>
      <c r="L186" s="369" t="s">
        <v>4544</v>
      </c>
      <c r="M186" s="369"/>
      <c r="N186" s="369" t="s">
        <v>4545</v>
      </c>
      <c r="O186" s="369"/>
      <c r="P186" s="369"/>
    </row>
    <row r="187" spans="1:16" ht="13.65" customHeight="1">
      <c r="A187" s="368">
        <v>3046</v>
      </c>
      <c r="B187" s="369">
        <v>3200</v>
      </c>
      <c r="C187" s="369" t="s">
        <v>4541</v>
      </c>
      <c r="D187" s="369" t="s">
        <v>3341</v>
      </c>
      <c r="E187" s="369" t="s">
        <v>3341</v>
      </c>
      <c r="F187" s="369" t="s">
        <v>3341</v>
      </c>
      <c r="G187" s="369" t="s">
        <v>3341</v>
      </c>
      <c r="H187" s="369" t="s">
        <v>1378</v>
      </c>
      <c r="I187" s="369" t="s">
        <v>3399</v>
      </c>
      <c r="J187" s="369" t="s">
        <v>4542</v>
      </c>
      <c r="K187" s="369" t="s">
        <v>4543</v>
      </c>
      <c r="L187" s="369" t="s">
        <v>4544</v>
      </c>
      <c r="M187" s="369"/>
      <c r="N187" s="369" t="s">
        <v>4545</v>
      </c>
      <c r="O187" s="369"/>
      <c r="P187" s="369"/>
    </row>
    <row r="188" spans="1:16" ht="13.65" customHeight="1">
      <c r="A188" s="368">
        <v>3107</v>
      </c>
      <c r="B188" s="369">
        <v>1378</v>
      </c>
      <c r="C188" s="369" t="s">
        <v>4553</v>
      </c>
      <c r="D188" s="369" t="s">
        <v>3341</v>
      </c>
      <c r="E188" s="369" t="s">
        <v>3341</v>
      </c>
      <c r="F188" s="369" t="s">
        <v>3341</v>
      </c>
      <c r="G188" s="369" t="s">
        <v>3341</v>
      </c>
      <c r="H188" s="369" t="s">
        <v>1378</v>
      </c>
      <c r="I188" s="369" t="s">
        <v>3399</v>
      </c>
      <c r="J188" s="369" t="s">
        <v>4554</v>
      </c>
      <c r="K188" s="369" t="s">
        <v>4555</v>
      </c>
      <c r="L188" s="369"/>
      <c r="M188" s="369" t="s">
        <v>4556</v>
      </c>
      <c r="N188" s="369" t="s">
        <v>4557</v>
      </c>
      <c r="O188" s="369" t="s">
        <v>4558</v>
      </c>
      <c r="P188" s="369"/>
    </row>
    <row r="189" spans="1:16" ht="13.65" customHeight="1">
      <c r="A189" s="368">
        <v>3204</v>
      </c>
      <c r="B189" s="369">
        <v>3200</v>
      </c>
      <c r="C189" s="369" t="s">
        <v>4541</v>
      </c>
      <c r="D189" s="369" t="s">
        <v>3341</v>
      </c>
      <c r="E189" s="369" t="s">
        <v>3341</v>
      </c>
      <c r="F189" s="369" t="s">
        <v>3341</v>
      </c>
      <c r="G189" s="369" t="s">
        <v>3341</v>
      </c>
      <c r="H189" s="369" t="s">
        <v>1378</v>
      </c>
      <c r="I189" s="369" t="s">
        <v>3399</v>
      </c>
      <c r="J189" s="369" t="s">
        <v>4542</v>
      </c>
      <c r="K189" s="369" t="s">
        <v>4543</v>
      </c>
      <c r="L189" s="369" t="s">
        <v>4544</v>
      </c>
      <c r="M189" s="369"/>
      <c r="N189" s="369" t="s">
        <v>4545</v>
      </c>
      <c r="O189" s="369"/>
      <c r="P189" s="369"/>
    </row>
    <row r="190" spans="1:16" ht="13.65" customHeight="1">
      <c r="A190" s="368">
        <v>3802</v>
      </c>
      <c r="B190" s="369">
        <v>3200</v>
      </c>
      <c r="C190" s="369" t="s">
        <v>4541</v>
      </c>
      <c r="D190" s="369" t="s">
        <v>3341</v>
      </c>
      <c r="E190" s="369" t="s">
        <v>3341</v>
      </c>
      <c r="F190" s="369" t="s">
        <v>3341</v>
      </c>
      <c r="G190" s="369" t="s">
        <v>3341</v>
      </c>
      <c r="H190" s="369" t="s">
        <v>1378</v>
      </c>
      <c r="I190" s="369" t="s">
        <v>3399</v>
      </c>
      <c r="J190" s="369" t="s">
        <v>4542</v>
      </c>
      <c r="K190" s="369" t="s">
        <v>4543</v>
      </c>
      <c r="L190" s="369" t="s">
        <v>4544</v>
      </c>
      <c r="M190" s="369"/>
      <c r="N190" s="369" t="s">
        <v>4545</v>
      </c>
      <c r="O190" s="369"/>
      <c r="P190" s="369"/>
    </row>
    <row r="191" spans="1:16" ht="13.65" customHeight="1">
      <c r="A191" s="368">
        <v>3852</v>
      </c>
      <c r="B191" s="369">
        <v>3200</v>
      </c>
      <c r="C191" s="369" t="s">
        <v>4541</v>
      </c>
      <c r="D191" s="369" t="s">
        <v>3341</v>
      </c>
      <c r="E191" s="369" t="s">
        <v>3341</v>
      </c>
      <c r="F191" s="369" t="s">
        <v>3341</v>
      </c>
      <c r="G191" s="369" t="s">
        <v>3341</v>
      </c>
      <c r="H191" s="369" t="s">
        <v>1378</v>
      </c>
      <c r="I191" s="369" t="s">
        <v>3399</v>
      </c>
      <c r="J191" s="369" t="s">
        <v>4542</v>
      </c>
      <c r="K191" s="369" t="s">
        <v>4543</v>
      </c>
      <c r="L191" s="369" t="s">
        <v>4544</v>
      </c>
      <c r="M191" s="369"/>
      <c r="N191" s="369" t="s">
        <v>4545</v>
      </c>
      <c r="O191" s="369"/>
      <c r="P191" s="369"/>
    </row>
    <row r="192" spans="1:16" ht="13.65" customHeight="1">
      <c r="A192" s="368">
        <v>4114</v>
      </c>
      <c r="B192" s="369">
        <v>4061</v>
      </c>
      <c r="C192" s="369" t="s">
        <v>4559</v>
      </c>
      <c r="D192" s="369" t="s">
        <v>115</v>
      </c>
      <c r="E192" s="369" t="s">
        <v>116</v>
      </c>
      <c r="F192" s="369" t="s">
        <v>115</v>
      </c>
      <c r="G192" s="369" t="s">
        <v>115</v>
      </c>
      <c r="H192" s="369"/>
      <c r="I192" s="369" t="s">
        <v>3399</v>
      </c>
      <c r="J192" s="369" t="s">
        <v>4560</v>
      </c>
      <c r="K192" s="369" t="s">
        <v>4561</v>
      </c>
      <c r="L192" s="369" t="s">
        <v>4562</v>
      </c>
      <c r="M192" s="369"/>
      <c r="N192" s="369" t="s">
        <v>4563</v>
      </c>
      <c r="O192" s="369" t="s">
        <v>4564</v>
      </c>
      <c r="P192" s="369"/>
    </row>
    <row r="193" spans="1:16" ht="13.65" customHeight="1">
      <c r="A193" s="368">
        <v>4185</v>
      </c>
      <c r="B193" s="369">
        <v>4090</v>
      </c>
      <c r="C193" s="369" t="s">
        <v>4565</v>
      </c>
      <c r="D193" s="369" t="s">
        <v>116</v>
      </c>
      <c r="E193" s="369" t="s">
        <v>1927</v>
      </c>
      <c r="F193" s="369" t="s">
        <v>1927</v>
      </c>
      <c r="G193" s="369" t="s">
        <v>1927</v>
      </c>
      <c r="H193" s="369" t="s">
        <v>1381</v>
      </c>
      <c r="I193" s="369" t="s">
        <v>3399</v>
      </c>
      <c r="J193" s="369" t="s">
        <v>4566</v>
      </c>
      <c r="K193" s="369" t="s">
        <v>4567</v>
      </c>
      <c r="L193" s="369" t="s">
        <v>4568</v>
      </c>
      <c r="M193" s="369"/>
      <c r="N193" s="369" t="s">
        <v>4569</v>
      </c>
      <c r="O193" s="369" t="s">
        <v>4570</v>
      </c>
      <c r="P193" s="369" t="s">
        <v>4571</v>
      </c>
    </row>
    <row r="194" spans="1:16" ht="13.65" customHeight="1">
      <c r="A194" s="368">
        <v>4186</v>
      </c>
      <c r="B194" s="369">
        <v>4083</v>
      </c>
      <c r="C194" s="369" t="s">
        <v>4572</v>
      </c>
      <c r="D194" s="369" t="s">
        <v>116</v>
      </c>
      <c r="E194" s="369" t="s">
        <v>1927</v>
      </c>
      <c r="F194" s="369" t="s">
        <v>1927</v>
      </c>
      <c r="G194" s="369" t="s">
        <v>1927</v>
      </c>
      <c r="H194" s="369" t="s">
        <v>1381</v>
      </c>
      <c r="I194" s="369" t="s">
        <v>3399</v>
      </c>
      <c r="J194" s="369" t="s">
        <v>4566</v>
      </c>
      <c r="K194" s="369" t="s">
        <v>4573</v>
      </c>
      <c r="L194" s="369"/>
      <c r="M194" s="369"/>
      <c r="N194" s="369" t="s">
        <v>4574</v>
      </c>
      <c r="O194" s="369" t="s">
        <v>4570</v>
      </c>
      <c r="P194" s="369" t="s">
        <v>4575</v>
      </c>
    </row>
    <row r="195" spans="1:16" ht="13.65" customHeight="1">
      <c r="A195" s="368">
        <v>4187</v>
      </c>
      <c r="B195" s="369">
        <v>1127</v>
      </c>
      <c r="C195" s="369" t="s">
        <v>4576</v>
      </c>
      <c r="D195" s="369" t="s">
        <v>1927</v>
      </c>
      <c r="E195" s="369" t="s">
        <v>1927</v>
      </c>
      <c r="F195" s="369" t="s">
        <v>1927</v>
      </c>
      <c r="G195" s="369" t="s">
        <v>1927</v>
      </c>
      <c r="H195" s="369" t="s">
        <v>1378</v>
      </c>
      <c r="I195" s="369" t="s">
        <v>3399</v>
      </c>
      <c r="J195" s="369"/>
      <c r="K195" s="369"/>
      <c r="L195" s="369"/>
      <c r="M195" s="369" t="s">
        <v>4577</v>
      </c>
      <c r="N195" s="369"/>
      <c r="O195" s="369" t="s">
        <v>4578</v>
      </c>
      <c r="P195" s="369"/>
    </row>
    <row r="196" spans="1:16" ht="13.65" customHeight="1">
      <c r="A196" s="368">
        <v>4196</v>
      </c>
      <c r="B196" s="369">
        <v>8030</v>
      </c>
      <c r="C196" s="369" t="s">
        <v>1647</v>
      </c>
      <c r="D196" s="369" t="s">
        <v>1927</v>
      </c>
      <c r="E196" s="369" t="s">
        <v>1927</v>
      </c>
      <c r="F196" s="369" t="s">
        <v>115</v>
      </c>
      <c r="G196" s="369" t="s">
        <v>1927</v>
      </c>
      <c r="H196" s="369" t="s">
        <v>1381</v>
      </c>
      <c r="I196" s="369" t="s">
        <v>3259</v>
      </c>
      <c r="J196" s="369" t="s">
        <v>3872</v>
      </c>
      <c r="K196" s="369"/>
      <c r="L196" s="369" t="s">
        <v>4579</v>
      </c>
      <c r="M196" s="369" t="s">
        <v>4580</v>
      </c>
      <c r="N196" s="369" t="s">
        <v>4581</v>
      </c>
      <c r="O196" s="369" t="s">
        <v>4582</v>
      </c>
      <c r="P196" s="369"/>
    </row>
    <row r="197" spans="1:16" ht="13.65" customHeight="1">
      <c r="A197" s="368">
        <v>4228</v>
      </c>
      <c r="B197" s="369">
        <v>8028</v>
      </c>
      <c r="C197" s="369" t="s">
        <v>4583</v>
      </c>
      <c r="D197" s="369" t="s">
        <v>3341</v>
      </c>
      <c r="E197" s="369" t="s">
        <v>3341</v>
      </c>
      <c r="F197" s="369" t="s">
        <v>3341</v>
      </c>
      <c r="G197" s="369" t="s">
        <v>3341</v>
      </c>
      <c r="H197" s="369" t="s">
        <v>1378</v>
      </c>
      <c r="I197" s="369" t="s">
        <v>3259</v>
      </c>
      <c r="J197" s="369" t="s">
        <v>3872</v>
      </c>
      <c r="K197" s="369"/>
      <c r="L197" s="369"/>
      <c r="M197" s="369" t="s">
        <v>4584</v>
      </c>
      <c r="N197" s="369"/>
      <c r="O197" s="369"/>
      <c r="P197" s="369"/>
    </row>
    <row r="198" spans="1:16" ht="13.65" customHeight="1">
      <c r="A198" s="368">
        <v>4262</v>
      </c>
      <c r="B198" s="369">
        <v>4016</v>
      </c>
      <c r="C198" s="369" t="s">
        <v>789</v>
      </c>
      <c r="D198" s="369" t="s">
        <v>115</v>
      </c>
      <c r="E198" s="369" t="s">
        <v>116</v>
      </c>
      <c r="F198" s="369" t="s">
        <v>115</v>
      </c>
      <c r="G198" s="369" t="s">
        <v>115</v>
      </c>
      <c r="H198" s="369" t="s">
        <v>1381</v>
      </c>
      <c r="I198" s="369" t="s">
        <v>3259</v>
      </c>
      <c r="J198" s="369" t="s">
        <v>3883</v>
      </c>
      <c r="K198" s="369" t="s">
        <v>3884</v>
      </c>
      <c r="L198" s="369"/>
      <c r="M198" s="369"/>
      <c r="N198" s="369" t="s">
        <v>3288</v>
      </c>
      <c r="O198" s="369" t="s">
        <v>3885</v>
      </c>
      <c r="P198" s="369" t="s">
        <v>3886</v>
      </c>
    </row>
    <row r="199" spans="1:16" ht="13.65" customHeight="1">
      <c r="A199" s="368">
        <v>4264</v>
      </c>
      <c r="B199" s="369">
        <v>1274</v>
      </c>
      <c r="C199" s="369" t="s">
        <v>4585</v>
      </c>
      <c r="D199" s="369" t="s">
        <v>115</v>
      </c>
      <c r="E199" s="369" t="s">
        <v>116</v>
      </c>
      <c r="F199" s="369" t="s">
        <v>115</v>
      </c>
      <c r="G199" s="369" t="s">
        <v>116</v>
      </c>
      <c r="H199" s="369" t="s">
        <v>1378</v>
      </c>
      <c r="I199" s="369" t="s">
        <v>3399</v>
      </c>
      <c r="J199" s="369"/>
      <c r="K199" s="369"/>
      <c r="L199" s="369"/>
      <c r="M199" s="369"/>
      <c r="N199" s="369" t="s">
        <v>4586</v>
      </c>
      <c r="O199" s="369" t="s">
        <v>4587</v>
      </c>
      <c r="P199" s="369"/>
    </row>
    <row r="200" spans="1:16" s="19" customFormat="1" ht="13.65" customHeight="1">
      <c r="A200" s="370">
        <v>4265</v>
      </c>
      <c r="B200" s="371">
        <v>5033</v>
      </c>
      <c r="C200" s="371" t="s">
        <v>4588</v>
      </c>
      <c r="D200" s="371" t="s">
        <v>3341</v>
      </c>
      <c r="E200" s="371" t="s">
        <v>3341</v>
      </c>
      <c r="F200" s="371" t="s">
        <v>3341</v>
      </c>
      <c r="G200" s="371" t="s">
        <v>3341</v>
      </c>
      <c r="H200" s="371" t="s">
        <v>1378</v>
      </c>
      <c r="I200" s="371" t="s">
        <v>3399</v>
      </c>
      <c r="J200" s="371" t="s">
        <v>4589</v>
      </c>
      <c r="K200" s="371" t="s">
        <v>4590</v>
      </c>
      <c r="L200" s="371"/>
      <c r="M200" s="371"/>
      <c r="N200" s="371"/>
      <c r="O200" s="371" t="s">
        <v>4591</v>
      </c>
      <c r="P200" s="371"/>
    </row>
    <row r="201" spans="1:16" s="19" customFormat="1" ht="13.65" customHeight="1">
      <c r="A201" s="370">
        <v>4265</v>
      </c>
      <c r="B201" s="371">
        <v>8042</v>
      </c>
      <c r="C201" s="371" t="s">
        <v>4592</v>
      </c>
      <c r="D201" s="371" t="s">
        <v>116</v>
      </c>
      <c r="E201" s="371" t="s">
        <v>116</v>
      </c>
      <c r="F201" s="371" t="s">
        <v>1927</v>
      </c>
      <c r="G201" s="371" t="s">
        <v>1927</v>
      </c>
      <c r="H201" s="371" t="s">
        <v>1378</v>
      </c>
      <c r="I201" s="371" t="s">
        <v>3259</v>
      </c>
      <c r="J201" s="371" t="s">
        <v>4593</v>
      </c>
      <c r="K201" s="371" t="s">
        <v>4594</v>
      </c>
      <c r="L201" s="371"/>
      <c r="M201" s="371" t="s">
        <v>4595</v>
      </c>
      <c r="N201" s="371"/>
      <c r="O201" s="371" t="s">
        <v>4504</v>
      </c>
      <c r="P201" s="371"/>
    </row>
    <row r="202" spans="1:16" ht="13.65" customHeight="1">
      <c r="A202" s="368">
        <v>4268</v>
      </c>
      <c r="B202" s="369">
        <v>1002</v>
      </c>
      <c r="C202" s="369" t="s">
        <v>21</v>
      </c>
      <c r="D202" s="369" t="s">
        <v>115</v>
      </c>
      <c r="E202" s="369" t="s">
        <v>116</v>
      </c>
      <c r="F202" s="369" t="s">
        <v>115</v>
      </c>
      <c r="G202" s="369" t="s">
        <v>115</v>
      </c>
      <c r="H202" s="369" t="s">
        <v>1378</v>
      </c>
      <c r="I202" s="369" t="s">
        <v>3259</v>
      </c>
      <c r="J202" s="369" t="s">
        <v>4596</v>
      </c>
      <c r="K202" s="369" t="s">
        <v>4597</v>
      </c>
      <c r="L202" s="369" t="s">
        <v>4598</v>
      </c>
      <c r="M202" s="369" t="s">
        <v>3978</v>
      </c>
      <c r="N202" s="369" t="s">
        <v>4599</v>
      </c>
      <c r="O202" s="369" t="s">
        <v>4600</v>
      </c>
      <c r="P202" s="369" t="s">
        <v>4002</v>
      </c>
    </row>
    <row r="203" spans="1:16" ht="13.65" customHeight="1">
      <c r="A203" s="368">
        <v>4269</v>
      </c>
      <c r="B203" s="369">
        <v>1003</v>
      </c>
      <c r="C203" s="369" t="s">
        <v>22</v>
      </c>
      <c r="D203" s="369" t="s">
        <v>115</v>
      </c>
      <c r="E203" s="369" t="s">
        <v>116</v>
      </c>
      <c r="F203" s="369" t="s">
        <v>115</v>
      </c>
      <c r="G203" s="369" t="s">
        <v>115</v>
      </c>
      <c r="H203" s="369" t="s">
        <v>1378</v>
      </c>
      <c r="I203" s="369" t="s">
        <v>3259</v>
      </c>
      <c r="J203" s="369" t="s">
        <v>4601</v>
      </c>
      <c r="K203" s="369" t="s">
        <v>4602</v>
      </c>
      <c r="L203" s="369" t="s">
        <v>4603</v>
      </c>
      <c r="M203" s="369" t="s">
        <v>4191</v>
      </c>
      <c r="N203" s="369" t="s">
        <v>4604</v>
      </c>
      <c r="O203" s="369" t="s">
        <v>4605</v>
      </c>
      <c r="P203" s="369" t="s">
        <v>4193</v>
      </c>
    </row>
    <row r="204" spans="1:16" ht="13.65" customHeight="1">
      <c r="A204" s="368">
        <v>4330</v>
      </c>
      <c r="B204" s="369">
        <v>4091</v>
      </c>
      <c r="C204" s="369" t="s">
        <v>4606</v>
      </c>
      <c r="D204" s="369" t="s">
        <v>1927</v>
      </c>
      <c r="E204" s="369" t="s">
        <v>1927</v>
      </c>
      <c r="F204" s="369" t="s">
        <v>1927</v>
      </c>
      <c r="G204" s="369" t="s">
        <v>1927</v>
      </c>
      <c r="H204" s="369" t="s">
        <v>3299</v>
      </c>
      <c r="I204" s="369" t="s">
        <v>3399</v>
      </c>
      <c r="J204" s="369" t="s">
        <v>4607</v>
      </c>
      <c r="K204" s="369" t="s">
        <v>4608</v>
      </c>
      <c r="L204" s="369"/>
      <c r="M204" s="369"/>
      <c r="N204" s="369" t="s">
        <v>4609</v>
      </c>
      <c r="O204" s="369" t="s">
        <v>4610</v>
      </c>
      <c r="P204" s="369"/>
    </row>
    <row r="205" spans="1:16" ht="13.65" customHeight="1">
      <c r="A205" s="368">
        <v>4337</v>
      </c>
      <c r="B205" s="369">
        <v>1576</v>
      </c>
      <c r="C205" s="369" t="s">
        <v>3953</v>
      </c>
      <c r="D205" s="369" t="s">
        <v>1927</v>
      </c>
      <c r="E205" s="369" t="s">
        <v>1927</v>
      </c>
      <c r="F205" s="369" t="s">
        <v>115</v>
      </c>
      <c r="G205" s="369" t="s">
        <v>115</v>
      </c>
      <c r="H205" s="369" t="s">
        <v>1381</v>
      </c>
      <c r="I205" s="369" t="s">
        <v>3399</v>
      </c>
      <c r="J205" s="369"/>
      <c r="K205" s="369"/>
      <c r="L205" s="369" t="s">
        <v>3954</v>
      </c>
      <c r="M205" s="369"/>
      <c r="N205" s="369" t="s">
        <v>3955</v>
      </c>
      <c r="O205" s="369" t="s">
        <v>3956</v>
      </c>
      <c r="P205" s="369" t="s">
        <v>3957</v>
      </c>
    </row>
    <row r="206" spans="1:16" ht="13.65" customHeight="1">
      <c r="A206" s="368">
        <v>4409</v>
      </c>
      <c r="B206" s="369">
        <v>1244</v>
      </c>
      <c r="C206" s="369" t="s">
        <v>4611</v>
      </c>
      <c r="D206" s="369" t="s">
        <v>3341</v>
      </c>
      <c r="E206" s="369" t="s">
        <v>3341</v>
      </c>
      <c r="F206" s="369" t="s">
        <v>3341</v>
      </c>
      <c r="G206" s="369" t="s">
        <v>3341</v>
      </c>
      <c r="H206" s="369" t="s">
        <v>1378</v>
      </c>
      <c r="I206" s="369" t="s">
        <v>3399</v>
      </c>
      <c r="J206" s="369"/>
      <c r="K206" s="369"/>
      <c r="L206" s="369"/>
      <c r="M206" s="369"/>
      <c r="N206" s="369"/>
      <c r="O206" s="369" t="s">
        <v>4612</v>
      </c>
      <c r="P206" s="369"/>
    </row>
    <row r="207" spans="1:16" ht="13.65" customHeight="1">
      <c r="A207" s="368">
        <v>4415</v>
      </c>
      <c r="B207" s="369">
        <v>1394</v>
      </c>
      <c r="C207" s="369" t="s">
        <v>4613</v>
      </c>
      <c r="D207" s="369" t="s">
        <v>116</v>
      </c>
      <c r="E207" s="369" t="s">
        <v>116</v>
      </c>
      <c r="F207" s="369" t="s">
        <v>115</v>
      </c>
      <c r="G207" s="369" t="s">
        <v>115</v>
      </c>
      <c r="H207" s="369" t="s">
        <v>1381</v>
      </c>
      <c r="I207" s="369" t="s">
        <v>3259</v>
      </c>
      <c r="J207" s="369" t="s">
        <v>4614</v>
      </c>
      <c r="K207" s="369" t="s">
        <v>4615</v>
      </c>
      <c r="L207" s="369" t="s">
        <v>4616</v>
      </c>
      <c r="M207" s="369" t="s">
        <v>4617</v>
      </c>
      <c r="N207" s="369" t="s">
        <v>4618</v>
      </c>
      <c r="O207" s="369" t="s">
        <v>4619</v>
      </c>
      <c r="P207" s="369" t="s">
        <v>4620</v>
      </c>
    </row>
    <row r="208" spans="1:16" ht="13.65" customHeight="1">
      <c r="A208" s="368">
        <v>4418</v>
      </c>
      <c r="B208" s="369">
        <v>1420</v>
      </c>
      <c r="C208" s="369" t="s">
        <v>4621</v>
      </c>
      <c r="D208" s="369" t="s">
        <v>1927</v>
      </c>
      <c r="E208" s="369" t="s">
        <v>1927</v>
      </c>
      <c r="F208" s="369" t="s">
        <v>1927</v>
      </c>
      <c r="G208" s="369" t="s">
        <v>115</v>
      </c>
      <c r="H208" s="369" t="s">
        <v>1381</v>
      </c>
      <c r="I208" s="369" t="s">
        <v>3259</v>
      </c>
      <c r="J208" s="369" t="s">
        <v>4622</v>
      </c>
      <c r="K208" s="369" t="s">
        <v>4623</v>
      </c>
      <c r="L208" s="369"/>
      <c r="M208" s="369" t="s">
        <v>4624</v>
      </c>
      <c r="N208" s="369" t="s">
        <v>4625</v>
      </c>
      <c r="O208" s="369" t="s">
        <v>4626</v>
      </c>
      <c r="P208" s="369"/>
    </row>
    <row r="209" spans="1:16" ht="13.65" customHeight="1">
      <c r="A209" s="368">
        <v>4419</v>
      </c>
      <c r="B209" s="369">
        <v>1421</v>
      </c>
      <c r="C209" s="369" t="s">
        <v>4627</v>
      </c>
      <c r="D209" s="369" t="s">
        <v>1927</v>
      </c>
      <c r="E209" s="369" t="s">
        <v>1927</v>
      </c>
      <c r="F209" s="369" t="s">
        <v>1927</v>
      </c>
      <c r="G209" s="369" t="s">
        <v>115</v>
      </c>
      <c r="H209" s="369" t="s">
        <v>1381</v>
      </c>
      <c r="I209" s="369" t="s">
        <v>3259</v>
      </c>
      <c r="J209" s="369" t="s">
        <v>4628</v>
      </c>
      <c r="K209" s="369" t="s">
        <v>4629</v>
      </c>
      <c r="L209" s="369"/>
      <c r="M209" s="369" t="s">
        <v>4630</v>
      </c>
      <c r="N209" s="369" t="s">
        <v>4631</v>
      </c>
      <c r="O209" s="369" t="s">
        <v>4626</v>
      </c>
      <c r="P209" s="369"/>
    </row>
    <row r="210" spans="1:16" ht="13.65" customHeight="1">
      <c r="A210" s="368">
        <v>4420</v>
      </c>
      <c r="B210" s="369">
        <v>4084</v>
      </c>
      <c r="C210" s="369" t="s">
        <v>983</v>
      </c>
      <c r="D210" s="369" t="s">
        <v>1927</v>
      </c>
      <c r="E210" s="369" t="s">
        <v>1927</v>
      </c>
      <c r="F210" s="369" t="s">
        <v>115</v>
      </c>
      <c r="G210" s="369" t="s">
        <v>115</v>
      </c>
      <c r="H210" s="369" t="s">
        <v>1381</v>
      </c>
      <c r="I210" s="369" t="s">
        <v>3259</v>
      </c>
      <c r="J210" s="369" t="s">
        <v>4632</v>
      </c>
      <c r="K210" s="369" t="s">
        <v>4633</v>
      </c>
      <c r="L210" s="369"/>
      <c r="M210" s="369"/>
      <c r="N210" s="369" t="s">
        <v>4634</v>
      </c>
      <c r="O210" s="369" t="s">
        <v>4635</v>
      </c>
      <c r="P210" s="369"/>
    </row>
    <row r="211" spans="1:16" ht="13.65" customHeight="1">
      <c r="A211" s="368">
        <v>4441</v>
      </c>
      <c r="B211" s="369">
        <v>3003</v>
      </c>
      <c r="C211" s="369" t="s">
        <v>4238</v>
      </c>
      <c r="D211" s="369" t="s">
        <v>116</v>
      </c>
      <c r="E211" s="369" t="s">
        <v>116</v>
      </c>
      <c r="F211" s="369" t="s">
        <v>115</v>
      </c>
      <c r="G211" s="369" t="s">
        <v>115</v>
      </c>
      <c r="H211" s="369" t="s">
        <v>4239</v>
      </c>
      <c r="I211" s="369"/>
      <c r="J211" s="369" t="s">
        <v>4240</v>
      </c>
      <c r="K211" s="369" t="s">
        <v>4241</v>
      </c>
      <c r="L211" s="369" t="s">
        <v>4242</v>
      </c>
      <c r="M211" s="369"/>
      <c r="N211" s="369" t="s">
        <v>4243</v>
      </c>
      <c r="O211" s="369" t="s">
        <v>4244</v>
      </c>
      <c r="P211" s="369"/>
    </row>
    <row r="212" spans="1:16" ht="13.65" customHeight="1">
      <c r="A212" s="368">
        <v>4464</v>
      </c>
      <c r="B212" s="369">
        <v>8019</v>
      </c>
      <c r="C212" s="369" t="s">
        <v>1283</v>
      </c>
      <c r="D212" s="369" t="s">
        <v>1927</v>
      </c>
      <c r="E212" s="369" t="s">
        <v>116</v>
      </c>
      <c r="F212" s="369" t="s">
        <v>1927</v>
      </c>
      <c r="G212" s="369" t="s">
        <v>1927</v>
      </c>
      <c r="H212" s="369" t="s">
        <v>1378</v>
      </c>
      <c r="I212" s="369" t="s">
        <v>3259</v>
      </c>
      <c r="J212" s="369" t="s">
        <v>4636</v>
      </c>
      <c r="K212" s="369" t="s">
        <v>4637</v>
      </c>
      <c r="L212" s="369" t="s">
        <v>4638</v>
      </c>
      <c r="M212" s="369"/>
      <c r="N212" s="369" t="s">
        <v>4639</v>
      </c>
      <c r="O212" s="369" t="s">
        <v>4640</v>
      </c>
      <c r="P212" s="369" t="s">
        <v>4641</v>
      </c>
    </row>
    <row r="213" spans="1:16" ht="13.65" customHeight="1">
      <c r="A213" s="368">
        <v>4490</v>
      </c>
      <c r="B213" s="369">
        <v>4098</v>
      </c>
      <c r="C213" s="369" t="s">
        <v>4642</v>
      </c>
      <c r="D213" s="369" t="s">
        <v>1927</v>
      </c>
      <c r="E213" s="369" t="s">
        <v>1927</v>
      </c>
      <c r="F213" s="369" t="s">
        <v>1927</v>
      </c>
      <c r="G213" s="369" t="s">
        <v>1927</v>
      </c>
      <c r="H213" s="369" t="s">
        <v>3299</v>
      </c>
      <c r="I213" s="369" t="s">
        <v>3259</v>
      </c>
      <c r="J213" s="369"/>
      <c r="K213" s="369"/>
      <c r="L213" s="369"/>
      <c r="M213" s="369"/>
      <c r="N213" s="369"/>
      <c r="O213" s="369" t="s">
        <v>4643</v>
      </c>
      <c r="P213" s="369"/>
    </row>
    <row r="214" spans="1:16" ht="13.65" customHeight="1">
      <c r="A214" s="368">
        <v>4500</v>
      </c>
      <c r="B214" s="369">
        <v>1397</v>
      </c>
      <c r="C214" s="369" t="s">
        <v>991</v>
      </c>
      <c r="D214" s="369" t="s">
        <v>115</v>
      </c>
      <c r="E214" s="369" t="s">
        <v>116</v>
      </c>
      <c r="F214" s="369" t="s">
        <v>115</v>
      </c>
      <c r="G214" s="369" t="s">
        <v>115</v>
      </c>
      <c r="H214" s="369" t="s">
        <v>1381</v>
      </c>
      <c r="I214" s="369" t="s">
        <v>3259</v>
      </c>
      <c r="J214" s="369" t="s">
        <v>4644</v>
      </c>
      <c r="K214" s="369" t="s">
        <v>4645</v>
      </c>
      <c r="L214" s="369"/>
      <c r="M214" s="369" t="s">
        <v>4040</v>
      </c>
      <c r="N214" s="369" t="s">
        <v>4646</v>
      </c>
      <c r="O214" s="369" t="s">
        <v>4647</v>
      </c>
      <c r="P214" s="369"/>
    </row>
    <row r="215" spans="1:16" ht="13.65" customHeight="1">
      <c r="A215" s="368">
        <v>4514</v>
      </c>
      <c r="B215" s="369">
        <v>1587</v>
      </c>
      <c r="C215" s="369" t="s">
        <v>4648</v>
      </c>
      <c r="D215" s="369" t="s">
        <v>1927</v>
      </c>
      <c r="E215" s="369" t="s">
        <v>1927</v>
      </c>
      <c r="F215" s="369" t="s">
        <v>1927</v>
      </c>
      <c r="G215" s="369" t="s">
        <v>1927</v>
      </c>
      <c r="H215" s="369" t="s">
        <v>3299</v>
      </c>
      <c r="I215" s="369" t="s">
        <v>3399</v>
      </c>
      <c r="J215" s="369"/>
      <c r="K215" s="369"/>
      <c r="L215" s="369"/>
      <c r="M215" s="369" t="s">
        <v>4649</v>
      </c>
      <c r="N215" s="369" t="s">
        <v>4650</v>
      </c>
      <c r="O215" s="369" t="s">
        <v>4651</v>
      </c>
      <c r="P215" s="369"/>
    </row>
    <row r="216" spans="1:16" ht="13.65" customHeight="1">
      <c r="A216" s="368">
        <v>4536</v>
      </c>
      <c r="B216" s="369">
        <v>1116</v>
      </c>
      <c r="C216" s="369" t="s">
        <v>4652</v>
      </c>
      <c r="D216" s="369" t="s">
        <v>3341</v>
      </c>
      <c r="E216" s="369" t="s">
        <v>3341</v>
      </c>
      <c r="F216" s="369" t="s">
        <v>3341</v>
      </c>
      <c r="G216" s="369" t="s">
        <v>3341</v>
      </c>
      <c r="H216" s="369" t="s">
        <v>1378</v>
      </c>
      <c r="I216" s="369" t="s">
        <v>3399</v>
      </c>
      <c r="J216" s="369"/>
      <c r="K216" s="369"/>
      <c r="L216" s="369"/>
      <c r="M216" s="369"/>
      <c r="N216" s="369"/>
      <c r="O216" s="369" t="s">
        <v>4653</v>
      </c>
      <c r="P216" s="369"/>
    </row>
    <row r="217" spans="1:16" ht="13.65" customHeight="1">
      <c r="A217" s="368">
        <v>4537</v>
      </c>
      <c r="B217" s="369">
        <v>1116</v>
      </c>
      <c r="C217" s="369" t="s">
        <v>4652</v>
      </c>
      <c r="D217" s="369" t="s">
        <v>3341</v>
      </c>
      <c r="E217" s="369" t="s">
        <v>3341</v>
      </c>
      <c r="F217" s="369" t="s">
        <v>3341</v>
      </c>
      <c r="G217" s="369" t="s">
        <v>3341</v>
      </c>
      <c r="H217" s="369" t="s">
        <v>1378</v>
      </c>
      <c r="I217" s="369" t="s">
        <v>3399</v>
      </c>
      <c r="J217" s="369"/>
      <c r="K217" s="369"/>
      <c r="L217" s="369"/>
      <c r="M217" s="369"/>
      <c r="N217" s="369"/>
      <c r="O217" s="369" t="s">
        <v>4653</v>
      </c>
      <c r="P217" s="369"/>
    </row>
    <row r="218" spans="1:16" ht="13.65" customHeight="1">
      <c r="A218" s="368">
        <v>4549</v>
      </c>
      <c r="B218" s="369">
        <v>4016</v>
      </c>
      <c r="C218" s="369" t="s">
        <v>789</v>
      </c>
      <c r="D218" s="369" t="s">
        <v>115</v>
      </c>
      <c r="E218" s="369" t="s">
        <v>116</v>
      </c>
      <c r="F218" s="369" t="s">
        <v>115</v>
      </c>
      <c r="G218" s="369" t="s">
        <v>115</v>
      </c>
      <c r="H218" s="369" t="s">
        <v>1381</v>
      </c>
      <c r="I218" s="369" t="s">
        <v>3259</v>
      </c>
      <c r="J218" s="369" t="s">
        <v>3883</v>
      </c>
      <c r="K218" s="369" t="s">
        <v>3884</v>
      </c>
      <c r="L218" s="369"/>
      <c r="M218" s="369"/>
      <c r="N218" s="369" t="s">
        <v>3288</v>
      </c>
      <c r="O218" s="369" t="s">
        <v>3885</v>
      </c>
      <c r="P218" s="369" t="s">
        <v>3886</v>
      </c>
    </row>
    <row r="219" spans="1:16" ht="13.65" customHeight="1">
      <c r="A219" s="368">
        <v>4611</v>
      </c>
      <c r="B219" s="369">
        <v>8034</v>
      </c>
      <c r="C219" s="369" t="s">
        <v>4654</v>
      </c>
      <c r="D219" s="369" t="s">
        <v>1927</v>
      </c>
      <c r="E219" s="369" t="s">
        <v>1927</v>
      </c>
      <c r="F219" s="369" t="s">
        <v>1927</v>
      </c>
      <c r="G219" s="369" t="s">
        <v>1927</v>
      </c>
      <c r="H219" s="369" t="s">
        <v>1381</v>
      </c>
      <c r="I219" s="369" t="s">
        <v>3259</v>
      </c>
      <c r="J219" s="369" t="s">
        <v>3872</v>
      </c>
      <c r="K219" s="369"/>
      <c r="L219" s="369"/>
      <c r="M219" s="369" t="s">
        <v>4655</v>
      </c>
      <c r="N219" s="369"/>
      <c r="O219" s="369" t="s">
        <v>4656</v>
      </c>
      <c r="P219" s="369"/>
    </row>
    <row r="220" spans="1:16" ht="13.65" customHeight="1">
      <c r="A220" s="368">
        <v>4628</v>
      </c>
      <c r="B220" s="369">
        <v>5021</v>
      </c>
      <c r="C220" s="369" t="s">
        <v>1010</v>
      </c>
      <c r="D220" s="369" t="s">
        <v>115</v>
      </c>
      <c r="E220" s="369" t="s">
        <v>116</v>
      </c>
      <c r="F220" s="369" t="s">
        <v>115</v>
      </c>
      <c r="G220" s="369" t="s">
        <v>115</v>
      </c>
      <c r="H220" s="369" t="s">
        <v>1381</v>
      </c>
      <c r="I220" s="369" t="s">
        <v>3259</v>
      </c>
      <c r="J220" s="369" t="s">
        <v>4657</v>
      </c>
      <c r="K220" s="369" t="s">
        <v>4658</v>
      </c>
      <c r="L220" s="369" t="s">
        <v>4659</v>
      </c>
      <c r="M220" s="369"/>
      <c r="N220" s="369" t="s">
        <v>4660</v>
      </c>
      <c r="O220" s="369" t="s">
        <v>4661</v>
      </c>
      <c r="P220" s="369"/>
    </row>
    <row r="221" spans="1:16" ht="13.65" customHeight="1">
      <c r="A221" s="368">
        <v>4631</v>
      </c>
      <c r="B221" s="369">
        <v>1476</v>
      </c>
      <c r="C221" s="369" t="s">
        <v>4662</v>
      </c>
      <c r="D221" s="369" t="s">
        <v>1927</v>
      </c>
      <c r="E221" s="369" t="s">
        <v>1927</v>
      </c>
      <c r="F221" s="369" t="s">
        <v>1927</v>
      </c>
      <c r="G221" s="369" t="s">
        <v>1927</v>
      </c>
      <c r="H221" s="369" t="s">
        <v>4239</v>
      </c>
      <c r="I221" s="369" t="s">
        <v>3399</v>
      </c>
      <c r="J221" s="369"/>
      <c r="K221" s="369"/>
      <c r="L221" s="369"/>
      <c r="M221" s="369" t="s">
        <v>4663</v>
      </c>
      <c r="N221" s="369" t="s">
        <v>4664</v>
      </c>
      <c r="O221" s="369" t="s">
        <v>4665</v>
      </c>
      <c r="P221" s="369"/>
    </row>
    <row r="222" spans="1:16" ht="13.65" customHeight="1">
      <c r="A222" s="368">
        <v>4639</v>
      </c>
      <c r="B222" s="369">
        <v>1209</v>
      </c>
      <c r="C222" s="369" t="s">
        <v>4136</v>
      </c>
      <c r="D222" s="369" t="s">
        <v>115</v>
      </c>
      <c r="E222" s="369" t="s">
        <v>116</v>
      </c>
      <c r="F222" s="369" t="s">
        <v>115</v>
      </c>
      <c r="G222" s="369" t="s">
        <v>115</v>
      </c>
      <c r="H222" s="369" t="s">
        <v>1378</v>
      </c>
      <c r="I222" s="369" t="s">
        <v>3259</v>
      </c>
      <c r="J222" s="369" t="s">
        <v>4137</v>
      </c>
      <c r="K222" s="369" t="s">
        <v>4138</v>
      </c>
      <c r="L222" s="369" t="s">
        <v>4139</v>
      </c>
      <c r="M222" s="369" t="s">
        <v>4140</v>
      </c>
      <c r="N222" s="369" t="s">
        <v>4141</v>
      </c>
      <c r="O222" s="369" t="s">
        <v>4142</v>
      </c>
      <c r="P222" s="369" t="s">
        <v>4143</v>
      </c>
    </row>
    <row r="223" spans="1:16" ht="13.65" customHeight="1">
      <c r="A223" s="368">
        <v>4650</v>
      </c>
      <c r="B223" s="369">
        <v>4014</v>
      </c>
      <c r="C223" s="369" t="s">
        <v>4666</v>
      </c>
      <c r="D223" s="369" t="s">
        <v>1927</v>
      </c>
      <c r="E223" s="369" t="s">
        <v>1927</v>
      </c>
      <c r="F223" s="369" t="s">
        <v>115</v>
      </c>
      <c r="G223" s="369" t="s">
        <v>115</v>
      </c>
      <c r="H223" s="369" t="s">
        <v>1378</v>
      </c>
      <c r="I223" s="369" t="s">
        <v>3259</v>
      </c>
      <c r="J223" s="369" t="s">
        <v>4667</v>
      </c>
      <c r="K223" s="369" t="s">
        <v>4668</v>
      </c>
      <c r="L223" s="369" t="s">
        <v>4669</v>
      </c>
      <c r="M223" s="369" t="s">
        <v>4670</v>
      </c>
      <c r="N223" s="369" t="s">
        <v>4671</v>
      </c>
      <c r="O223" s="369" t="s">
        <v>4672</v>
      </c>
      <c r="P223" s="369" t="s">
        <v>4673</v>
      </c>
    </row>
    <row r="224" spans="1:16" ht="13.65" customHeight="1">
      <c r="A224" s="368">
        <v>4919</v>
      </c>
      <c r="B224" s="369">
        <v>8052</v>
      </c>
      <c r="C224" s="369" t="s">
        <v>4674</v>
      </c>
      <c r="D224" s="369" t="s">
        <v>1927</v>
      </c>
      <c r="E224" s="369" t="s">
        <v>1927</v>
      </c>
      <c r="F224" s="369" t="s">
        <v>1927</v>
      </c>
      <c r="G224" s="369" t="s">
        <v>1927</v>
      </c>
      <c r="H224" s="369" t="s">
        <v>1378</v>
      </c>
      <c r="I224" s="369" t="s">
        <v>3259</v>
      </c>
      <c r="J224" s="369"/>
      <c r="K224" s="369"/>
      <c r="L224" s="369"/>
      <c r="M224" s="369"/>
      <c r="N224" s="369" t="s">
        <v>4675</v>
      </c>
      <c r="O224" s="369"/>
      <c r="P224" s="369"/>
    </row>
    <row r="225" spans="1:16" ht="13.65" customHeight="1">
      <c r="A225" s="368">
        <v>4937</v>
      </c>
      <c r="B225" s="369">
        <v>4058</v>
      </c>
      <c r="C225" s="369" t="s">
        <v>4676</v>
      </c>
      <c r="D225" s="369" t="s">
        <v>116</v>
      </c>
      <c r="E225" s="369" t="s">
        <v>116</v>
      </c>
      <c r="F225" s="369" t="s">
        <v>1927</v>
      </c>
      <c r="G225" s="369" t="s">
        <v>1927</v>
      </c>
      <c r="H225" s="369" t="s">
        <v>4239</v>
      </c>
      <c r="I225" s="369" t="s">
        <v>3259</v>
      </c>
      <c r="J225" s="369" t="s">
        <v>4677</v>
      </c>
      <c r="K225" s="369" t="s">
        <v>4678</v>
      </c>
      <c r="L225" s="369" t="s">
        <v>4679</v>
      </c>
      <c r="M225" s="369"/>
      <c r="N225" s="369"/>
      <c r="O225" s="369" t="s">
        <v>4680</v>
      </c>
      <c r="P225" s="369"/>
    </row>
    <row r="226" spans="1:16" ht="13.65" customHeight="1">
      <c r="A226" s="368">
        <v>4947</v>
      </c>
      <c r="B226" s="369">
        <v>4077</v>
      </c>
      <c r="C226" s="369" t="s">
        <v>4681</v>
      </c>
      <c r="D226" s="369" t="s">
        <v>1927</v>
      </c>
      <c r="E226" s="369" t="s">
        <v>1927</v>
      </c>
      <c r="F226" s="369" t="s">
        <v>1927</v>
      </c>
      <c r="G226" s="369" t="s">
        <v>1927</v>
      </c>
      <c r="H226" s="369" t="s">
        <v>1378</v>
      </c>
      <c r="I226" s="369" t="s">
        <v>3399</v>
      </c>
      <c r="J226" s="369" t="s">
        <v>4682</v>
      </c>
      <c r="K226" s="369" t="s">
        <v>4683</v>
      </c>
      <c r="L226" s="369"/>
      <c r="M226" s="369"/>
      <c r="N226" s="369" t="s">
        <v>4684</v>
      </c>
      <c r="O226" s="369" t="s">
        <v>4685</v>
      </c>
      <c r="P226" s="369"/>
    </row>
    <row r="227" spans="1:16" ht="13.65" customHeight="1">
      <c r="A227" s="368">
        <v>4984</v>
      </c>
      <c r="B227" s="369">
        <v>1601</v>
      </c>
      <c r="C227" s="369" t="s">
        <v>4686</v>
      </c>
      <c r="D227" s="369" t="s">
        <v>3341</v>
      </c>
      <c r="E227" s="369" t="s">
        <v>3341</v>
      </c>
      <c r="F227" s="369" t="s">
        <v>3341</v>
      </c>
      <c r="G227" s="369" t="s">
        <v>3341</v>
      </c>
      <c r="H227" s="369" t="s">
        <v>4239</v>
      </c>
      <c r="I227" s="369" t="s">
        <v>3399</v>
      </c>
      <c r="J227" s="369"/>
      <c r="K227" s="369"/>
      <c r="L227" s="369" t="s">
        <v>4687</v>
      </c>
      <c r="M227" s="369" t="s">
        <v>4688</v>
      </c>
      <c r="N227" s="369" t="s">
        <v>4689</v>
      </c>
      <c r="O227" s="369" t="s">
        <v>4690</v>
      </c>
      <c r="P227" s="369" t="s">
        <v>4691</v>
      </c>
    </row>
    <row r="228" spans="1:16" ht="13.65" customHeight="1">
      <c r="A228" s="368">
        <v>4996</v>
      </c>
      <c r="B228" s="369">
        <v>1022</v>
      </c>
      <c r="C228" s="369" t="s">
        <v>4692</v>
      </c>
      <c r="D228" s="369" t="s">
        <v>115</v>
      </c>
      <c r="E228" s="369" t="s">
        <v>116</v>
      </c>
      <c r="F228" s="369" t="s">
        <v>115</v>
      </c>
      <c r="G228" s="369" t="s">
        <v>115</v>
      </c>
      <c r="H228" s="369" t="s">
        <v>1378</v>
      </c>
      <c r="I228" s="369" t="s">
        <v>3259</v>
      </c>
      <c r="J228" s="369"/>
      <c r="K228" s="369"/>
      <c r="L228" s="369"/>
      <c r="M228" s="369"/>
      <c r="N228" s="369"/>
      <c r="O228" s="369" t="s">
        <v>4693</v>
      </c>
      <c r="P228" s="369"/>
    </row>
    <row r="229" spans="1:16" ht="13.65" customHeight="1">
      <c r="A229" s="368">
        <v>5216</v>
      </c>
      <c r="B229" s="369">
        <v>1368</v>
      </c>
      <c r="C229" s="369" t="s">
        <v>40</v>
      </c>
      <c r="D229" s="369" t="s">
        <v>116</v>
      </c>
      <c r="E229" s="369" t="s">
        <v>116</v>
      </c>
      <c r="F229" s="369" t="s">
        <v>115</v>
      </c>
      <c r="G229" s="369" t="s">
        <v>115</v>
      </c>
      <c r="H229" s="369" t="s">
        <v>1381</v>
      </c>
      <c r="I229" s="369" t="s">
        <v>3259</v>
      </c>
      <c r="J229" s="369" t="s">
        <v>4694</v>
      </c>
      <c r="K229" s="369" t="s">
        <v>4695</v>
      </c>
      <c r="L229" s="369"/>
      <c r="M229" s="369" t="s">
        <v>4696</v>
      </c>
      <c r="N229" s="369" t="s">
        <v>4697</v>
      </c>
      <c r="O229" s="369" t="s">
        <v>4698</v>
      </c>
      <c r="P229" s="369"/>
    </row>
    <row r="230" spans="1:16" ht="13.65" customHeight="1">
      <c r="A230" s="368">
        <v>5218</v>
      </c>
      <c r="B230" s="369">
        <v>1060</v>
      </c>
      <c r="C230" s="369" t="s">
        <v>4699</v>
      </c>
      <c r="D230" s="369" t="s">
        <v>115</v>
      </c>
      <c r="E230" s="369" t="s">
        <v>116</v>
      </c>
      <c r="F230" s="369" t="s">
        <v>115</v>
      </c>
      <c r="G230" s="369" t="s">
        <v>115</v>
      </c>
      <c r="H230" s="369" t="s">
        <v>1381</v>
      </c>
      <c r="I230" s="369" t="s">
        <v>3399</v>
      </c>
      <c r="J230" s="369" t="s">
        <v>4700</v>
      </c>
      <c r="K230" s="369" t="s">
        <v>4701</v>
      </c>
      <c r="L230" s="369"/>
      <c r="M230" s="369" t="s">
        <v>4702</v>
      </c>
      <c r="N230" s="369" t="s">
        <v>4703</v>
      </c>
      <c r="O230" s="369" t="s">
        <v>4704</v>
      </c>
      <c r="P230" s="369" t="s">
        <v>4705</v>
      </c>
    </row>
    <row r="231" spans="1:16" ht="13.65" customHeight="1">
      <c r="A231" s="368">
        <v>5219</v>
      </c>
      <c r="B231" s="369">
        <v>1310</v>
      </c>
      <c r="C231" s="369" t="s">
        <v>1045</v>
      </c>
      <c r="D231" s="369" t="s">
        <v>1927</v>
      </c>
      <c r="E231" s="369" t="s">
        <v>1927</v>
      </c>
      <c r="F231" s="369" t="s">
        <v>1927</v>
      </c>
      <c r="G231" s="369" t="s">
        <v>1927</v>
      </c>
      <c r="H231" s="369"/>
      <c r="I231" s="369" t="s">
        <v>3259</v>
      </c>
      <c r="J231" s="369" t="s">
        <v>4050</v>
      </c>
      <c r="K231" s="369" t="s">
        <v>4051</v>
      </c>
      <c r="L231" s="369" t="s">
        <v>4052</v>
      </c>
      <c r="M231" s="369"/>
      <c r="N231" s="369"/>
      <c r="O231" s="369" t="s">
        <v>4053</v>
      </c>
      <c r="P231" s="369" t="s">
        <v>4054</v>
      </c>
    </row>
    <row r="232" spans="1:16" ht="13.65" customHeight="1">
      <c r="A232" s="368">
        <v>5245</v>
      </c>
      <c r="B232" s="369">
        <v>8093</v>
      </c>
      <c r="C232" s="369" t="s">
        <v>943</v>
      </c>
      <c r="D232" s="369" t="s">
        <v>116</v>
      </c>
      <c r="E232" s="369" t="s">
        <v>116</v>
      </c>
      <c r="F232" s="369" t="s">
        <v>115</v>
      </c>
      <c r="G232" s="369" t="s">
        <v>115</v>
      </c>
      <c r="H232" s="369" t="s">
        <v>3299</v>
      </c>
      <c r="I232" s="369" t="s">
        <v>3259</v>
      </c>
      <c r="J232" s="369"/>
      <c r="K232" s="369"/>
      <c r="L232" s="369" t="s">
        <v>4706</v>
      </c>
      <c r="M232" s="369" t="s">
        <v>4707</v>
      </c>
      <c r="N232" s="369" t="s">
        <v>4708</v>
      </c>
      <c r="O232" s="369" t="s">
        <v>4709</v>
      </c>
      <c r="P232" s="369"/>
    </row>
    <row r="233" spans="1:16" ht="13.65" customHeight="1">
      <c r="A233" s="368">
        <v>5249</v>
      </c>
      <c r="B233" s="369">
        <v>8032</v>
      </c>
      <c r="C233" s="369" t="s">
        <v>4710</v>
      </c>
      <c r="D233" s="369" t="s">
        <v>3341</v>
      </c>
      <c r="E233" s="369" t="s">
        <v>3341</v>
      </c>
      <c r="F233" s="369" t="s">
        <v>3341</v>
      </c>
      <c r="G233" s="369" t="s">
        <v>3341</v>
      </c>
      <c r="H233" s="369" t="s">
        <v>1378</v>
      </c>
      <c r="I233" s="369" t="s">
        <v>3259</v>
      </c>
      <c r="J233" s="369" t="s">
        <v>3872</v>
      </c>
      <c r="K233" s="369"/>
      <c r="L233" s="369"/>
      <c r="M233" s="369" t="s">
        <v>4711</v>
      </c>
      <c r="N233" s="369"/>
      <c r="O233" s="369"/>
      <c r="P233" s="369"/>
    </row>
    <row r="234" spans="1:16" ht="13.65" customHeight="1">
      <c r="A234" s="368">
        <v>5268</v>
      </c>
      <c r="B234" s="369">
        <v>1303</v>
      </c>
      <c r="C234" s="369" t="s">
        <v>1053</v>
      </c>
      <c r="D234" s="369" t="s">
        <v>116</v>
      </c>
      <c r="E234" s="369" t="s">
        <v>116</v>
      </c>
      <c r="F234" s="369" t="s">
        <v>115</v>
      </c>
      <c r="G234" s="369" t="s">
        <v>115</v>
      </c>
      <c r="H234" s="369" t="s">
        <v>1378</v>
      </c>
      <c r="I234" s="369" t="s">
        <v>3259</v>
      </c>
      <c r="J234" s="369" t="s">
        <v>4712</v>
      </c>
      <c r="K234" s="369" t="s">
        <v>4713</v>
      </c>
      <c r="L234" s="369" t="s">
        <v>4714</v>
      </c>
      <c r="M234" s="369"/>
      <c r="N234" s="369" t="s">
        <v>4715</v>
      </c>
      <c r="O234" s="369" t="s">
        <v>4716</v>
      </c>
      <c r="P234" s="369" t="s">
        <v>4717</v>
      </c>
    </row>
    <row r="235" spans="1:16" ht="13.65" customHeight="1">
      <c r="A235" s="368">
        <v>5270</v>
      </c>
      <c r="B235" s="369">
        <v>1162</v>
      </c>
      <c r="C235" s="369" t="s">
        <v>4718</v>
      </c>
      <c r="D235" s="369" t="s">
        <v>116</v>
      </c>
      <c r="E235" s="369" t="s">
        <v>116</v>
      </c>
      <c r="F235" s="369" t="s">
        <v>115</v>
      </c>
      <c r="G235" s="369" t="s">
        <v>115</v>
      </c>
      <c r="H235" s="369" t="s">
        <v>1378</v>
      </c>
      <c r="I235" s="369" t="s">
        <v>3259</v>
      </c>
      <c r="J235" s="369" t="s">
        <v>4719</v>
      </c>
      <c r="K235" s="369" t="s">
        <v>4720</v>
      </c>
      <c r="L235" s="369"/>
      <c r="M235" s="369"/>
      <c r="N235" s="369" t="s">
        <v>4721</v>
      </c>
      <c r="O235" s="369" t="s">
        <v>4722</v>
      </c>
      <c r="P235" s="369" t="s">
        <v>4723</v>
      </c>
    </row>
    <row r="236" spans="1:16" ht="13.65" customHeight="1">
      <c r="A236" s="368">
        <v>5276</v>
      </c>
      <c r="B236" s="369">
        <v>4073</v>
      </c>
      <c r="C236" s="369" t="s">
        <v>4724</v>
      </c>
      <c r="D236" s="369" t="s">
        <v>1927</v>
      </c>
      <c r="E236" s="369" t="s">
        <v>1927</v>
      </c>
      <c r="F236" s="369" t="s">
        <v>115</v>
      </c>
      <c r="G236" s="369" t="s">
        <v>115</v>
      </c>
      <c r="H236" s="369" t="s">
        <v>1381</v>
      </c>
      <c r="I236" s="369" t="s">
        <v>3259</v>
      </c>
      <c r="J236" s="369" t="s">
        <v>4725</v>
      </c>
      <c r="K236" s="369" t="s">
        <v>4726</v>
      </c>
      <c r="L236" s="369"/>
      <c r="M236" s="369" t="s">
        <v>4727</v>
      </c>
      <c r="N236" s="369" t="s">
        <v>4728</v>
      </c>
      <c r="O236" s="369" t="s">
        <v>4729</v>
      </c>
      <c r="P236" s="369" t="s">
        <v>4730</v>
      </c>
    </row>
    <row r="237" spans="1:16" ht="13.65" customHeight="1">
      <c r="A237" s="368">
        <v>5299</v>
      </c>
      <c r="B237" s="369">
        <v>1235</v>
      </c>
      <c r="C237" s="369" t="s">
        <v>4731</v>
      </c>
      <c r="D237" s="369" t="s">
        <v>1927</v>
      </c>
      <c r="E237" s="369" t="s">
        <v>1927</v>
      </c>
      <c r="F237" s="369" t="s">
        <v>1927</v>
      </c>
      <c r="G237" s="369" t="s">
        <v>1927</v>
      </c>
      <c r="H237" s="369" t="s">
        <v>4229</v>
      </c>
      <c r="I237" s="369" t="s">
        <v>3399</v>
      </c>
      <c r="J237" s="369" t="s">
        <v>4732</v>
      </c>
      <c r="K237" s="369" t="s">
        <v>4733</v>
      </c>
      <c r="L237" s="369" t="s">
        <v>4734</v>
      </c>
      <c r="M237" s="369"/>
      <c r="N237" s="369" t="s">
        <v>4735</v>
      </c>
      <c r="O237" s="369" t="s">
        <v>4736</v>
      </c>
      <c r="P237" s="369"/>
    </row>
    <row r="238" spans="1:16" ht="13.65" customHeight="1">
      <c r="A238" s="368">
        <v>5333</v>
      </c>
      <c r="B238" s="369">
        <v>1505</v>
      </c>
      <c r="C238" s="369" t="s">
        <v>4737</v>
      </c>
      <c r="D238" s="369" t="s">
        <v>1927</v>
      </c>
      <c r="E238" s="369" t="s">
        <v>1927</v>
      </c>
      <c r="F238" s="369" t="s">
        <v>1927</v>
      </c>
      <c r="G238" s="369" t="s">
        <v>1927</v>
      </c>
      <c r="H238" s="369" t="s">
        <v>4229</v>
      </c>
      <c r="I238" s="369" t="s">
        <v>3399</v>
      </c>
      <c r="J238" s="369"/>
      <c r="K238" s="369"/>
      <c r="L238" s="369"/>
      <c r="M238" s="369" t="s">
        <v>4738</v>
      </c>
      <c r="N238" s="369" t="s">
        <v>4739</v>
      </c>
      <c r="O238" s="369" t="s">
        <v>4740</v>
      </c>
      <c r="P238" s="369"/>
    </row>
    <row r="239" spans="1:16" ht="13.65" customHeight="1">
      <c r="A239" s="368">
        <v>5334</v>
      </c>
      <c r="B239" s="369">
        <v>1506</v>
      </c>
      <c r="C239" s="369" t="s">
        <v>4741</v>
      </c>
      <c r="D239" s="369" t="s">
        <v>1927</v>
      </c>
      <c r="E239" s="369" t="s">
        <v>1927</v>
      </c>
      <c r="F239" s="369" t="s">
        <v>1927</v>
      </c>
      <c r="G239" s="369" t="s">
        <v>1927</v>
      </c>
      <c r="H239" s="369" t="s">
        <v>4229</v>
      </c>
      <c r="I239" s="369" t="s">
        <v>3399</v>
      </c>
      <c r="J239" s="369"/>
      <c r="K239" s="369"/>
      <c r="L239" s="369"/>
      <c r="M239" s="369" t="s">
        <v>4738</v>
      </c>
      <c r="N239" s="369" t="s">
        <v>4742</v>
      </c>
      <c r="O239" s="369" t="s">
        <v>4743</v>
      </c>
      <c r="P239" s="369"/>
    </row>
    <row r="240" spans="1:16" ht="13.65" customHeight="1">
      <c r="A240" s="368">
        <v>5336</v>
      </c>
      <c r="B240" s="369">
        <v>1507</v>
      </c>
      <c r="C240" s="369" t="s">
        <v>4744</v>
      </c>
      <c r="D240" s="369" t="s">
        <v>1927</v>
      </c>
      <c r="E240" s="369" t="s">
        <v>1927</v>
      </c>
      <c r="F240" s="369" t="s">
        <v>1927</v>
      </c>
      <c r="G240" s="369" t="s">
        <v>1927</v>
      </c>
      <c r="H240" s="369" t="s">
        <v>4229</v>
      </c>
      <c r="I240" s="369" t="s">
        <v>3399</v>
      </c>
      <c r="J240" s="369"/>
      <c r="K240" s="369"/>
      <c r="L240" s="369"/>
      <c r="M240" s="369" t="s">
        <v>4738</v>
      </c>
      <c r="N240" s="369" t="s">
        <v>4745</v>
      </c>
      <c r="O240" s="369" t="s">
        <v>4743</v>
      </c>
      <c r="P240" s="369"/>
    </row>
    <row r="241" spans="1:16" ht="13.65" customHeight="1">
      <c r="A241" s="368">
        <v>5337</v>
      </c>
      <c r="B241" s="369">
        <v>1508</v>
      </c>
      <c r="C241" s="369" t="s">
        <v>4746</v>
      </c>
      <c r="D241" s="369" t="s">
        <v>1927</v>
      </c>
      <c r="E241" s="369" t="s">
        <v>1927</v>
      </c>
      <c r="F241" s="369" t="s">
        <v>1927</v>
      </c>
      <c r="G241" s="369" t="s">
        <v>1927</v>
      </c>
      <c r="H241" s="369" t="s">
        <v>4229</v>
      </c>
      <c r="I241" s="369" t="s">
        <v>3399</v>
      </c>
      <c r="J241" s="369"/>
      <c r="K241" s="369"/>
      <c r="L241" s="369"/>
      <c r="M241" s="369" t="s">
        <v>4738</v>
      </c>
      <c r="N241" s="369" t="s">
        <v>4747</v>
      </c>
      <c r="O241" s="369" t="s">
        <v>4743</v>
      </c>
      <c r="P241" s="369"/>
    </row>
    <row r="242" spans="1:16" ht="13.65" customHeight="1">
      <c r="A242" s="368">
        <v>5338</v>
      </c>
      <c r="B242" s="369">
        <v>4004</v>
      </c>
      <c r="C242" s="369" t="s">
        <v>4748</v>
      </c>
      <c r="D242" s="369" t="s">
        <v>1927</v>
      </c>
      <c r="E242" s="369" t="s">
        <v>1927</v>
      </c>
      <c r="F242" s="369" t="s">
        <v>115</v>
      </c>
      <c r="G242" s="369" t="s">
        <v>115</v>
      </c>
      <c r="H242" s="369" t="s">
        <v>1378</v>
      </c>
      <c r="I242" s="369" t="s">
        <v>3259</v>
      </c>
      <c r="J242" s="369" t="s">
        <v>4749</v>
      </c>
      <c r="K242" s="369" t="s">
        <v>4750</v>
      </c>
      <c r="L242" s="369"/>
      <c r="M242" s="369" t="s">
        <v>4751</v>
      </c>
      <c r="N242" s="369" t="s">
        <v>4752</v>
      </c>
      <c r="O242" s="369" t="s">
        <v>4753</v>
      </c>
      <c r="P242" s="369" t="s">
        <v>4754</v>
      </c>
    </row>
    <row r="243" spans="1:16" ht="13.65" customHeight="1">
      <c r="A243" s="368">
        <v>5339</v>
      </c>
      <c r="B243" s="369">
        <v>4005</v>
      </c>
      <c r="C243" s="369" t="s">
        <v>4755</v>
      </c>
      <c r="D243" s="369" t="s">
        <v>1927</v>
      </c>
      <c r="E243" s="369" t="s">
        <v>1927</v>
      </c>
      <c r="F243" s="369" t="s">
        <v>115</v>
      </c>
      <c r="G243" s="369" t="s">
        <v>115</v>
      </c>
      <c r="H243" s="369" t="s">
        <v>1378</v>
      </c>
      <c r="I243" s="369" t="s">
        <v>3259</v>
      </c>
      <c r="J243" s="369" t="s">
        <v>4756</v>
      </c>
      <c r="K243" s="369" t="s">
        <v>4757</v>
      </c>
      <c r="L243" s="369"/>
      <c r="M243" s="369" t="s">
        <v>4758</v>
      </c>
      <c r="N243" s="369" t="s">
        <v>4759</v>
      </c>
      <c r="O243" s="369" t="s">
        <v>4753</v>
      </c>
      <c r="P243" s="369" t="s">
        <v>4760</v>
      </c>
    </row>
    <row r="244" spans="1:16" ht="13.65" customHeight="1">
      <c r="A244" s="368">
        <v>5340</v>
      </c>
      <c r="B244" s="369">
        <v>1015</v>
      </c>
      <c r="C244" s="369" t="s">
        <v>1070</v>
      </c>
      <c r="D244" s="369" t="s">
        <v>115</v>
      </c>
      <c r="E244" s="369" t="s">
        <v>115</v>
      </c>
      <c r="F244" s="369" t="s">
        <v>115</v>
      </c>
      <c r="G244" s="369" t="s">
        <v>115</v>
      </c>
      <c r="H244" s="369" t="s">
        <v>1378</v>
      </c>
      <c r="I244" s="369" t="s">
        <v>3259</v>
      </c>
      <c r="J244" s="369" t="s">
        <v>4761</v>
      </c>
      <c r="K244" s="369" t="s">
        <v>4762</v>
      </c>
      <c r="L244" s="369" t="s">
        <v>4763</v>
      </c>
      <c r="M244" s="369"/>
      <c r="N244" s="369" t="s">
        <v>4764</v>
      </c>
      <c r="O244" s="369" t="s">
        <v>4765</v>
      </c>
      <c r="P244" s="369"/>
    </row>
    <row r="245" spans="1:16" ht="13.65" customHeight="1">
      <c r="A245" s="368">
        <v>5341</v>
      </c>
      <c r="B245" s="369">
        <v>1398</v>
      </c>
      <c r="C245" s="369" t="s">
        <v>4766</v>
      </c>
      <c r="D245" s="369" t="s">
        <v>1927</v>
      </c>
      <c r="E245" s="369" t="s">
        <v>1927</v>
      </c>
      <c r="F245" s="369" t="s">
        <v>1927</v>
      </c>
      <c r="G245" s="369" t="s">
        <v>116</v>
      </c>
      <c r="H245" s="369" t="s">
        <v>4229</v>
      </c>
      <c r="I245" s="369" t="s">
        <v>3259</v>
      </c>
      <c r="J245" s="369" t="s">
        <v>4767</v>
      </c>
      <c r="K245" s="369" t="s">
        <v>4768</v>
      </c>
      <c r="L245" s="369" t="s">
        <v>4769</v>
      </c>
      <c r="M245" s="369" t="s">
        <v>4770</v>
      </c>
      <c r="N245" s="369" t="s">
        <v>4771</v>
      </c>
      <c r="O245" s="369" t="s">
        <v>4772</v>
      </c>
      <c r="P245" s="369" t="s">
        <v>4773</v>
      </c>
    </row>
    <row r="246" spans="1:16" ht="13.65" customHeight="1">
      <c r="A246" s="368">
        <v>5342</v>
      </c>
      <c r="B246" s="369">
        <v>1399</v>
      </c>
      <c r="C246" s="369" t="s">
        <v>4774</v>
      </c>
      <c r="D246" s="369" t="s">
        <v>1927</v>
      </c>
      <c r="E246" s="369" t="s">
        <v>1927</v>
      </c>
      <c r="F246" s="369" t="s">
        <v>1927</v>
      </c>
      <c r="G246" s="369" t="s">
        <v>116</v>
      </c>
      <c r="H246" s="369" t="s">
        <v>4229</v>
      </c>
      <c r="I246" s="369" t="s">
        <v>3399</v>
      </c>
      <c r="J246" s="369" t="s">
        <v>4775</v>
      </c>
      <c r="K246" s="369" t="s">
        <v>4776</v>
      </c>
      <c r="L246" s="369" t="s">
        <v>4777</v>
      </c>
      <c r="M246" s="369" t="s">
        <v>4770</v>
      </c>
      <c r="N246" s="369" t="s">
        <v>4778</v>
      </c>
      <c r="O246" s="369" t="s">
        <v>4772</v>
      </c>
      <c r="P246" s="369" t="s">
        <v>4779</v>
      </c>
    </row>
    <row r="247" spans="1:16" ht="13.65" customHeight="1">
      <c r="A247" s="368">
        <v>5343</v>
      </c>
      <c r="B247" s="369">
        <v>1400</v>
      </c>
      <c r="C247" s="369" t="s">
        <v>4780</v>
      </c>
      <c r="D247" s="369" t="s">
        <v>1927</v>
      </c>
      <c r="E247" s="369" t="s">
        <v>1927</v>
      </c>
      <c r="F247" s="369" t="s">
        <v>1927</v>
      </c>
      <c r="G247" s="369" t="s">
        <v>116</v>
      </c>
      <c r="H247" s="369" t="s">
        <v>4229</v>
      </c>
      <c r="I247" s="369" t="s">
        <v>3399</v>
      </c>
      <c r="J247" s="369" t="s">
        <v>4781</v>
      </c>
      <c r="K247" s="369" t="s">
        <v>4782</v>
      </c>
      <c r="L247" s="369" t="s">
        <v>4777</v>
      </c>
      <c r="M247" s="369" t="s">
        <v>4770</v>
      </c>
      <c r="N247" s="369" t="s">
        <v>4783</v>
      </c>
      <c r="O247" s="369" t="s">
        <v>4772</v>
      </c>
      <c r="P247" s="369" t="s">
        <v>4784</v>
      </c>
    </row>
    <row r="248" spans="1:16" ht="13.65" customHeight="1">
      <c r="A248" s="368">
        <v>5344</v>
      </c>
      <c r="B248" s="369">
        <v>1403</v>
      </c>
      <c r="C248" s="369" t="s">
        <v>4785</v>
      </c>
      <c r="D248" s="369" t="s">
        <v>1927</v>
      </c>
      <c r="E248" s="369" t="s">
        <v>1927</v>
      </c>
      <c r="F248" s="369" t="s">
        <v>1927</v>
      </c>
      <c r="G248" s="369" t="s">
        <v>116</v>
      </c>
      <c r="H248" s="369" t="s">
        <v>4229</v>
      </c>
      <c r="I248" s="369" t="s">
        <v>3399</v>
      </c>
      <c r="J248" s="369" t="s">
        <v>4786</v>
      </c>
      <c r="K248" s="369" t="s">
        <v>4787</v>
      </c>
      <c r="L248" s="369" t="s">
        <v>4777</v>
      </c>
      <c r="M248" s="369" t="s">
        <v>4788</v>
      </c>
      <c r="N248" s="369" t="s">
        <v>4789</v>
      </c>
      <c r="O248" s="369" t="s">
        <v>4772</v>
      </c>
      <c r="P248" s="369" t="s">
        <v>4790</v>
      </c>
    </row>
    <row r="249" spans="1:16" ht="13.65" customHeight="1">
      <c r="A249" s="368">
        <v>5345</v>
      </c>
      <c r="B249" s="369">
        <v>1404</v>
      </c>
      <c r="C249" s="369" t="s">
        <v>4791</v>
      </c>
      <c r="D249" s="369" t="s">
        <v>1927</v>
      </c>
      <c r="E249" s="369" t="s">
        <v>1927</v>
      </c>
      <c r="F249" s="369" t="s">
        <v>1927</v>
      </c>
      <c r="G249" s="369" t="s">
        <v>116</v>
      </c>
      <c r="H249" s="369" t="s">
        <v>4229</v>
      </c>
      <c r="I249" s="369" t="s">
        <v>3399</v>
      </c>
      <c r="J249" s="369" t="s">
        <v>4792</v>
      </c>
      <c r="K249" s="369" t="s">
        <v>4793</v>
      </c>
      <c r="L249" s="369" t="s">
        <v>4794</v>
      </c>
      <c r="M249" s="369" t="s">
        <v>4795</v>
      </c>
      <c r="N249" s="369" t="s">
        <v>4796</v>
      </c>
      <c r="O249" s="369" t="s">
        <v>4772</v>
      </c>
      <c r="P249" s="369" t="s">
        <v>4797</v>
      </c>
    </row>
    <row r="250" spans="1:16" ht="13.65" customHeight="1">
      <c r="A250" s="368">
        <v>5346</v>
      </c>
      <c r="B250" s="369">
        <v>1405</v>
      </c>
      <c r="C250" s="369" t="s">
        <v>4798</v>
      </c>
      <c r="D250" s="369" t="s">
        <v>1927</v>
      </c>
      <c r="E250" s="369" t="s">
        <v>1927</v>
      </c>
      <c r="F250" s="369" t="s">
        <v>1927</v>
      </c>
      <c r="G250" s="369" t="s">
        <v>116</v>
      </c>
      <c r="H250" s="369" t="s">
        <v>4229</v>
      </c>
      <c r="I250" s="369" t="s">
        <v>3399</v>
      </c>
      <c r="J250" s="369" t="s">
        <v>4799</v>
      </c>
      <c r="K250" s="369" t="s">
        <v>4800</v>
      </c>
      <c r="L250" s="369" t="s">
        <v>4777</v>
      </c>
      <c r="M250" s="369" t="s">
        <v>4788</v>
      </c>
      <c r="N250" s="369" t="s">
        <v>4801</v>
      </c>
      <c r="O250" s="369" t="s">
        <v>4772</v>
      </c>
      <c r="P250" s="369" t="s">
        <v>4802</v>
      </c>
    </row>
    <row r="251" spans="1:16" ht="13.65" customHeight="1">
      <c r="A251" s="368">
        <v>5347</v>
      </c>
      <c r="B251" s="369">
        <v>1401</v>
      </c>
      <c r="C251" s="369" t="s">
        <v>4803</v>
      </c>
      <c r="D251" s="369" t="s">
        <v>1927</v>
      </c>
      <c r="E251" s="369" t="s">
        <v>1927</v>
      </c>
      <c r="F251" s="369" t="s">
        <v>1927</v>
      </c>
      <c r="G251" s="369" t="s">
        <v>116</v>
      </c>
      <c r="H251" s="369" t="s">
        <v>4239</v>
      </c>
      <c r="I251" s="369" t="s">
        <v>3399</v>
      </c>
      <c r="J251" s="369" t="s">
        <v>4804</v>
      </c>
      <c r="K251" s="369" t="s">
        <v>4805</v>
      </c>
      <c r="L251" s="369" t="s">
        <v>4777</v>
      </c>
      <c r="M251" s="369" t="s">
        <v>4806</v>
      </c>
      <c r="N251" s="369" t="s">
        <v>4807</v>
      </c>
      <c r="O251" s="369" t="s">
        <v>4772</v>
      </c>
      <c r="P251" s="369" t="s">
        <v>4808</v>
      </c>
    </row>
    <row r="252" spans="1:16" ht="13.65" customHeight="1">
      <c r="A252" s="368">
        <v>5348</v>
      </c>
      <c r="B252" s="369">
        <v>1406</v>
      </c>
      <c r="C252" s="369" t="s">
        <v>4809</v>
      </c>
      <c r="D252" s="369" t="s">
        <v>1927</v>
      </c>
      <c r="E252" s="369" t="s">
        <v>1927</v>
      </c>
      <c r="F252" s="369" t="s">
        <v>1927</v>
      </c>
      <c r="G252" s="369" t="s">
        <v>116</v>
      </c>
      <c r="H252" s="369" t="s">
        <v>4229</v>
      </c>
      <c r="I252" s="369" t="s">
        <v>3399</v>
      </c>
      <c r="J252" s="369" t="s">
        <v>4810</v>
      </c>
      <c r="K252" s="369" t="s">
        <v>4811</v>
      </c>
      <c r="L252" s="369" t="s">
        <v>4777</v>
      </c>
      <c r="M252" s="369" t="s">
        <v>4806</v>
      </c>
      <c r="N252" s="369" t="s">
        <v>4812</v>
      </c>
      <c r="O252" s="369" t="s">
        <v>4772</v>
      </c>
      <c r="P252" s="369" t="s">
        <v>4813</v>
      </c>
    </row>
    <row r="253" spans="1:16" ht="13.65" customHeight="1">
      <c r="A253" s="368">
        <v>5349</v>
      </c>
      <c r="B253" s="369">
        <v>1407</v>
      </c>
      <c r="C253" s="369" t="s">
        <v>4814</v>
      </c>
      <c r="D253" s="369" t="s">
        <v>1927</v>
      </c>
      <c r="E253" s="369" t="s">
        <v>1927</v>
      </c>
      <c r="F253" s="369" t="s">
        <v>1927</v>
      </c>
      <c r="G253" s="369" t="s">
        <v>116</v>
      </c>
      <c r="H253" s="369" t="s">
        <v>4229</v>
      </c>
      <c r="I253" s="369" t="s">
        <v>3399</v>
      </c>
      <c r="J253" s="369" t="s">
        <v>4815</v>
      </c>
      <c r="K253" s="369" t="s">
        <v>4816</v>
      </c>
      <c r="L253" s="369" t="s">
        <v>4777</v>
      </c>
      <c r="M253" s="369" t="s">
        <v>4817</v>
      </c>
      <c r="N253" s="369" t="s">
        <v>4818</v>
      </c>
      <c r="O253" s="369" t="s">
        <v>4772</v>
      </c>
      <c r="P253" s="369"/>
    </row>
    <row r="254" spans="1:16" ht="13.65" customHeight="1">
      <c r="A254" s="368">
        <v>5350</v>
      </c>
      <c r="B254" s="369">
        <v>1408</v>
      </c>
      <c r="C254" s="369" t="s">
        <v>4819</v>
      </c>
      <c r="D254" s="369" t="s">
        <v>1927</v>
      </c>
      <c r="E254" s="369" t="s">
        <v>1927</v>
      </c>
      <c r="F254" s="369" t="s">
        <v>1927</v>
      </c>
      <c r="G254" s="369" t="s">
        <v>116</v>
      </c>
      <c r="H254" s="369" t="s">
        <v>4229</v>
      </c>
      <c r="I254" s="369" t="s">
        <v>3399</v>
      </c>
      <c r="J254" s="369" t="s">
        <v>4820</v>
      </c>
      <c r="K254" s="369" t="s">
        <v>4821</v>
      </c>
      <c r="L254" s="369" t="s">
        <v>4777</v>
      </c>
      <c r="M254" s="369" t="s">
        <v>4817</v>
      </c>
      <c r="N254" s="369" t="s">
        <v>4822</v>
      </c>
      <c r="O254" s="369" t="s">
        <v>4772</v>
      </c>
      <c r="P254" s="369" t="s">
        <v>4823</v>
      </c>
    </row>
    <row r="255" spans="1:16" ht="13.65" customHeight="1">
      <c r="A255" s="368">
        <v>5352</v>
      </c>
      <c r="B255" s="369">
        <v>1449</v>
      </c>
      <c r="C255" s="369" t="s">
        <v>4824</v>
      </c>
      <c r="D255" s="369" t="s">
        <v>1927</v>
      </c>
      <c r="E255" s="369" t="s">
        <v>1927</v>
      </c>
      <c r="F255" s="369" t="s">
        <v>1927</v>
      </c>
      <c r="G255" s="369" t="s">
        <v>1927</v>
      </c>
      <c r="H255" s="369" t="s">
        <v>4229</v>
      </c>
      <c r="I255" s="369" t="s">
        <v>3399</v>
      </c>
      <c r="J255" s="369" t="s">
        <v>4825</v>
      </c>
      <c r="K255" s="369" t="s">
        <v>4826</v>
      </c>
      <c r="L255" s="369"/>
      <c r="M255" s="369" t="s">
        <v>4827</v>
      </c>
      <c r="N255" s="369" t="s">
        <v>4828</v>
      </c>
      <c r="O255" s="369" t="s">
        <v>4829</v>
      </c>
      <c r="P255" s="369" t="s">
        <v>4830</v>
      </c>
    </row>
    <row r="256" spans="1:16" ht="13.65" customHeight="1">
      <c r="A256" s="368">
        <v>5353</v>
      </c>
      <c r="B256" s="369">
        <v>1450</v>
      </c>
      <c r="C256" s="369" t="s">
        <v>4831</v>
      </c>
      <c r="D256" s="369" t="s">
        <v>1927</v>
      </c>
      <c r="E256" s="369" t="s">
        <v>1927</v>
      </c>
      <c r="F256" s="369" t="s">
        <v>1927</v>
      </c>
      <c r="G256" s="369" t="s">
        <v>1927</v>
      </c>
      <c r="H256" s="369" t="s">
        <v>4229</v>
      </c>
      <c r="I256" s="369" t="s">
        <v>3399</v>
      </c>
      <c r="J256" s="369" t="s">
        <v>4832</v>
      </c>
      <c r="K256" s="369" t="s">
        <v>4833</v>
      </c>
      <c r="L256" s="369"/>
      <c r="M256" s="369" t="s">
        <v>4827</v>
      </c>
      <c r="N256" s="369" t="s">
        <v>4834</v>
      </c>
      <c r="O256" s="369" t="s">
        <v>4829</v>
      </c>
      <c r="P256" s="369" t="s">
        <v>4835</v>
      </c>
    </row>
    <row r="257" spans="1:16" ht="13.65" customHeight="1">
      <c r="A257" s="368">
        <v>5354</v>
      </c>
      <c r="B257" s="369">
        <v>1451</v>
      </c>
      <c r="C257" s="369" t="s">
        <v>4836</v>
      </c>
      <c r="D257" s="369" t="s">
        <v>1927</v>
      </c>
      <c r="E257" s="369" t="s">
        <v>1927</v>
      </c>
      <c r="F257" s="369" t="s">
        <v>1927</v>
      </c>
      <c r="G257" s="369" t="s">
        <v>1927</v>
      </c>
      <c r="H257" s="369" t="s">
        <v>4229</v>
      </c>
      <c r="I257" s="369" t="s">
        <v>3399</v>
      </c>
      <c r="J257" s="369" t="s">
        <v>4837</v>
      </c>
      <c r="K257" s="369" t="s">
        <v>4838</v>
      </c>
      <c r="L257" s="369"/>
      <c r="M257" s="369" t="s">
        <v>4827</v>
      </c>
      <c r="N257" s="369" t="s">
        <v>4839</v>
      </c>
      <c r="O257" s="369" t="s">
        <v>4829</v>
      </c>
      <c r="P257" s="369" t="s">
        <v>4840</v>
      </c>
    </row>
    <row r="258" spans="1:16" ht="13.65" customHeight="1">
      <c r="A258" s="368">
        <v>5355</v>
      </c>
      <c r="B258" s="369">
        <v>1452</v>
      </c>
      <c r="C258" s="369" t="s">
        <v>4841</v>
      </c>
      <c r="D258" s="369" t="s">
        <v>1927</v>
      </c>
      <c r="E258" s="369" t="s">
        <v>1927</v>
      </c>
      <c r="F258" s="369" t="s">
        <v>1927</v>
      </c>
      <c r="G258" s="369" t="s">
        <v>1927</v>
      </c>
      <c r="H258" s="369" t="s">
        <v>4229</v>
      </c>
      <c r="I258" s="369" t="s">
        <v>3399</v>
      </c>
      <c r="J258" s="369" t="s">
        <v>4842</v>
      </c>
      <c r="K258" s="369" t="s">
        <v>4843</v>
      </c>
      <c r="L258" s="369"/>
      <c r="M258" s="369" t="s">
        <v>4827</v>
      </c>
      <c r="N258" s="369" t="s">
        <v>4844</v>
      </c>
      <c r="O258" s="369" t="s">
        <v>4829</v>
      </c>
      <c r="P258" s="369" t="s">
        <v>4845</v>
      </c>
    </row>
    <row r="259" spans="1:16" ht="13.65" customHeight="1">
      <c r="A259" s="368">
        <v>5356</v>
      </c>
      <c r="B259" s="369">
        <v>1453</v>
      </c>
      <c r="C259" s="369" t="s">
        <v>4846</v>
      </c>
      <c r="D259" s="369" t="s">
        <v>1927</v>
      </c>
      <c r="E259" s="369" t="s">
        <v>1927</v>
      </c>
      <c r="F259" s="369" t="s">
        <v>1927</v>
      </c>
      <c r="G259" s="369" t="s">
        <v>1927</v>
      </c>
      <c r="H259" s="369" t="s">
        <v>4229</v>
      </c>
      <c r="I259" s="369" t="s">
        <v>3399</v>
      </c>
      <c r="J259" s="369" t="s">
        <v>4847</v>
      </c>
      <c r="K259" s="369" t="s">
        <v>4848</v>
      </c>
      <c r="L259" s="369"/>
      <c r="M259" s="369" t="s">
        <v>4827</v>
      </c>
      <c r="N259" s="369" t="s">
        <v>4849</v>
      </c>
      <c r="O259" s="369" t="s">
        <v>4829</v>
      </c>
      <c r="P259" s="369" t="s">
        <v>4850</v>
      </c>
    </row>
    <row r="260" spans="1:16" ht="13.65" customHeight="1">
      <c r="A260" s="368">
        <v>5357</v>
      </c>
      <c r="B260" s="369">
        <v>1454</v>
      </c>
      <c r="C260" s="369" t="s">
        <v>4851</v>
      </c>
      <c r="D260" s="369" t="s">
        <v>1927</v>
      </c>
      <c r="E260" s="369" t="s">
        <v>1927</v>
      </c>
      <c r="F260" s="369" t="s">
        <v>1927</v>
      </c>
      <c r="G260" s="369" t="s">
        <v>1927</v>
      </c>
      <c r="H260" s="369" t="s">
        <v>4229</v>
      </c>
      <c r="I260" s="369" t="s">
        <v>3399</v>
      </c>
      <c r="J260" s="369" t="s">
        <v>4852</v>
      </c>
      <c r="K260" s="369" t="s">
        <v>4853</v>
      </c>
      <c r="L260" s="369"/>
      <c r="M260" s="369" t="s">
        <v>4827</v>
      </c>
      <c r="N260" s="369" t="s">
        <v>4854</v>
      </c>
      <c r="O260" s="369" t="s">
        <v>4829</v>
      </c>
      <c r="P260" s="369" t="s">
        <v>4855</v>
      </c>
    </row>
    <row r="261" spans="1:16" ht="13.65" customHeight="1">
      <c r="A261" s="368">
        <v>5362</v>
      </c>
      <c r="B261" s="369">
        <v>1429</v>
      </c>
      <c r="C261" s="369" t="s">
        <v>4856</v>
      </c>
      <c r="D261" s="369" t="s">
        <v>1927</v>
      </c>
      <c r="E261" s="369" t="s">
        <v>1927</v>
      </c>
      <c r="F261" s="369" t="s">
        <v>1927</v>
      </c>
      <c r="G261" s="369" t="s">
        <v>1927</v>
      </c>
      <c r="H261" s="369" t="s">
        <v>1381</v>
      </c>
      <c r="I261" s="369" t="s">
        <v>3399</v>
      </c>
      <c r="J261" s="369" t="s">
        <v>4857</v>
      </c>
      <c r="K261" s="369" t="s">
        <v>4858</v>
      </c>
      <c r="L261" s="369"/>
      <c r="M261" s="369" t="s">
        <v>4859</v>
      </c>
      <c r="N261" s="369" t="s">
        <v>4860</v>
      </c>
      <c r="O261" s="369" t="s">
        <v>4861</v>
      </c>
      <c r="P261" s="369"/>
    </row>
    <row r="262" spans="1:16" ht="13.65" customHeight="1">
      <c r="A262" s="368">
        <v>5363</v>
      </c>
      <c r="B262" s="369">
        <v>1430</v>
      </c>
      <c r="C262" s="369" t="s">
        <v>4862</v>
      </c>
      <c r="D262" s="369" t="s">
        <v>1927</v>
      </c>
      <c r="E262" s="369" t="s">
        <v>1927</v>
      </c>
      <c r="F262" s="369" t="s">
        <v>1927</v>
      </c>
      <c r="G262" s="369" t="s">
        <v>1927</v>
      </c>
      <c r="H262" s="369" t="s">
        <v>1381</v>
      </c>
      <c r="I262" s="369" t="s">
        <v>3399</v>
      </c>
      <c r="J262" s="369" t="s">
        <v>4863</v>
      </c>
      <c r="K262" s="369" t="s">
        <v>4864</v>
      </c>
      <c r="L262" s="369"/>
      <c r="M262" s="369" t="s">
        <v>4859</v>
      </c>
      <c r="N262" s="369" t="s">
        <v>4865</v>
      </c>
      <c r="O262" s="369" t="s">
        <v>4866</v>
      </c>
      <c r="P262" s="369"/>
    </row>
    <row r="263" spans="1:16" ht="13.65" customHeight="1">
      <c r="A263" s="368">
        <v>5364</v>
      </c>
      <c r="B263" s="369">
        <v>4085</v>
      </c>
      <c r="C263" s="369" t="s">
        <v>4867</v>
      </c>
      <c r="D263" s="369" t="s">
        <v>1927</v>
      </c>
      <c r="E263" s="369" t="s">
        <v>1927</v>
      </c>
      <c r="F263" s="369" t="s">
        <v>1927</v>
      </c>
      <c r="G263" s="369" t="s">
        <v>1927</v>
      </c>
      <c r="H263" s="369" t="s">
        <v>1381</v>
      </c>
      <c r="I263" s="369" t="s">
        <v>3259</v>
      </c>
      <c r="J263" s="369" t="s">
        <v>4868</v>
      </c>
      <c r="K263" s="369" t="s">
        <v>4869</v>
      </c>
      <c r="L263" s="369" t="s">
        <v>4870</v>
      </c>
      <c r="M263" s="369"/>
      <c r="N263" s="369"/>
      <c r="O263" s="369" t="s">
        <v>4871</v>
      </c>
      <c r="P263" s="369"/>
    </row>
    <row r="264" spans="1:16" ht="13.65" customHeight="1">
      <c r="A264" s="368">
        <v>5365</v>
      </c>
      <c r="B264" s="369">
        <v>1000</v>
      </c>
      <c r="C264" s="369" t="s">
        <v>67</v>
      </c>
      <c r="D264" s="369" t="s">
        <v>115</v>
      </c>
      <c r="E264" s="369" t="s">
        <v>116</v>
      </c>
      <c r="F264" s="369" t="s">
        <v>115</v>
      </c>
      <c r="G264" s="369" t="s">
        <v>115</v>
      </c>
      <c r="H264" s="369" t="s">
        <v>1378</v>
      </c>
      <c r="I264" s="369" t="s">
        <v>3259</v>
      </c>
      <c r="J264" s="369" t="s">
        <v>4268</v>
      </c>
      <c r="K264" s="369" t="s">
        <v>4269</v>
      </c>
      <c r="L264" s="369" t="s">
        <v>4270</v>
      </c>
      <c r="M264" s="369"/>
      <c r="N264" s="369" t="s">
        <v>4271</v>
      </c>
      <c r="O264" s="369" t="s">
        <v>4272</v>
      </c>
      <c r="P264" s="369" t="s">
        <v>4273</v>
      </c>
    </row>
    <row r="265" spans="1:16" ht="13.65" customHeight="1">
      <c r="A265" s="368">
        <v>5379</v>
      </c>
      <c r="B265" s="369">
        <v>1402</v>
      </c>
      <c r="C265" s="369" t="s">
        <v>4872</v>
      </c>
      <c r="D265" s="369" t="s">
        <v>1927</v>
      </c>
      <c r="E265" s="369" t="s">
        <v>1927</v>
      </c>
      <c r="F265" s="369" t="s">
        <v>1927</v>
      </c>
      <c r="G265" s="369" t="s">
        <v>115</v>
      </c>
      <c r="H265" s="369" t="s">
        <v>4229</v>
      </c>
      <c r="I265" s="369" t="s">
        <v>3399</v>
      </c>
      <c r="J265" s="369" t="s">
        <v>4873</v>
      </c>
      <c r="K265" s="369" t="s">
        <v>4874</v>
      </c>
      <c r="L265" s="369" t="s">
        <v>4777</v>
      </c>
      <c r="M265" s="369" t="s">
        <v>4875</v>
      </c>
      <c r="N265" s="369" t="s">
        <v>4876</v>
      </c>
      <c r="O265" s="369" t="s">
        <v>4772</v>
      </c>
      <c r="P265" s="369" t="s">
        <v>4877</v>
      </c>
    </row>
    <row r="266" spans="1:16" ht="13.65" customHeight="1">
      <c r="A266" s="368">
        <v>5389</v>
      </c>
      <c r="B266" s="369">
        <v>1000</v>
      </c>
      <c r="C266" s="369" t="s">
        <v>67</v>
      </c>
      <c r="D266" s="369" t="s">
        <v>115</v>
      </c>
      <c r="E266" s="369" t="s">
        <v>116</v>
      </c>
      <c r="F266" s="369" t="s">
        <v>115</v>
      </c>
      <c r="G266" s="369" t="s">
        <v>115</v>
      </c>
      <c r="H266" s="369" t="s">
        <v>1378</v>
      </c>
      <c r="I266" s="369" t="s">
        <v>3259</v>
      </c>
      <c r="J266" s="369" t="s">
        <v>4268</v>
      </c>
      <c r="K266" s="369" t="s">
        <v>4269</v>
      </c>
      <c r="L266" s="369" t="s">
        <v>4270</v>
      </c>
      <c r="M266" s="369"/>
      <c r="N266" s="369" t="s">
        <v>4271</v>
      </c>
      <c r="O266" s="369" t="s">
        <v>4272</v>
      </c>
      <c r="P266" s="369" t="s">
        <v>4273</v>
      </c>
    </row>
    <row r="267" spans="1:16" ht="13.65" customHeight="1">
      <c r="A267" s="368">
        <v>5391</v>
      </c>
      <c r="B267" s="369">
        <v>1409</v>
      </c>
      <c r="C267" s="369" t="s">
        <v>4878</v>
      </c>
      <c r="D267" s="369" t="s">
        <v>1927</v>
      </c>
      <c r="E267" s="369" t="s">
        <v>1927</v>
      </c>
      <c r="F267" s="369" t="s">
        <v>1927</v>
      </c>
      <c r="G267" s="369" t="s">
        <v>116</v>
      </c>
      <c r="H267" s="369" t="s">
        <v>4229</v>
      </c>
      <c r="I267" s="369" t="s">
        <v>3399</v>
      </c>
      <c r="J267" s="369" t="s">
        <v>4879</v>
      </c>
      <c r="K267" s="369" t="s">
        <v>4880</v>
      </c>
      <c r="L267" s="369" t="s">
        <v>4881</v>
      </c>
      <c r="M267" s="369" t="s">
        <v>4882</v>
      </c>
      <c r="N267" s="369" t="s">
        <v>4883</v>
      </c>
      <c r="O267" s="369" t="s">
        <v>4772</v>
      </c>
      <c r="P267" s="369" t="s">
        <v>4884</v>
      </c>
    </row>
    <row r="268" spans="1:16" ht="13.65" customHeight="1">
      <c r="A268" s="368">
        <v>5392</v>
      </c>
      <c r="B268" s="369">
        <v>1410</v>
      </c>
      <c r="C268" s="369" t="s">
        <v>4885</v>
      </c>
      <c r="D268" s="369" t="s">
        <v>1927</v>
      </c>
      <c r="E268" s="369" t="s">
        <v>1927</v>
      </c>
      <c r="F268" s="369" t="s">
        <v>1927</v>
      </c>
      <c r="G268" s="369" t="s">
        <v>116</v>
      </c>
      <c r="H268" s="369" t="s">
        <v>4229</v>
      </c>
      <c r="I268" s="369" t="s">
        <v>3399</v>
      </c>
      <c r="J268" s="369" t="s">
        <v>4886</v>
      </c>
      <c r="K268" s="369" t="s">
        <v>4887</v>
      </c>
      <c r="L268" s="369" t="s">
        <v>4888</v>
      </c>
      <c r="M268" s="369" t="s">
        <v>4882</v>
      </c>
      <c r="N268" s="369" t="s">
        <v>4889</v>
      </c>
      <c r="O268" s="369" t="s">
        <v>4772</v>
      </c>
      <c r="P268" s="369" t="s">
        <v>4890</v>
      </c>
    </row>
    <row r="269" spans="1:16" ht="13.65" customHeight="1">
      <c r="A269" s="368">
        <v>5393</v>
      </c>
      <c r="B269" s="369">
        <v>1411</v>
      </c>
      <c r="C269" s="369" t="s">
        <v>4891</v>
      </c>
      <c r="D269" s="369" t="s">
        <v>1927</v>
      </c>
      <c r="E269" s="369" t="s">
        <v>1927</v>
      </c>
      <c r="F269" s="369" t="s">
        <v>1927</v>
      </c>
      <c r="G269" s="369" t="s">
        <v>116</v>
      </c>
      <c r="H269" s="369" t="s">
        <v>4229</v>
      </c>
      <c r="I269" s="369" t="s">
        <v>3399</v>
      </c>
      <c r="J269" s="369" t="s">
        <v>4892</v>
      </c>
      <c r="K269" s="369" t="s">
        <v>4893</v>
      </c>
      <c r="L269" s="369" t="s">
        <v>4888</v>
      </c>
      <c r="M269" s="369" t="s">
        <v>4894</v>
      </c>
      <c r="N269" s="369" t="s">
        <v>4895</v>
      </c>
      <c r="O269" s="369" t="s">
        <v>4772</v>
      </c>
      <c r="P269" s="369" t="s">
        <v>4896</v>
      </c>
    </row>
    <row r="270" spans="1:16" ht="13.65" customHeight="1">
      <c r="A270" s="368">
        <v>5394</v>
      </c>
      <c r="B270" s="369">
        <v>1412</v>
      </c>
      <c r="C270" s="369" t="s">
        <v>4897</v>
      </c>
      <c r="D270" s="369" t="s">
        <v>1927</v>
      </c>
      <c r="E270" s="369" t="s">
        <v>1927</v>
      </c>
      <c r="F270" s="369" t="s">
        <v>1927</v>
      </c>
      <c r="G270" s="369" t="s">
        <v>116</v>
      </c>
      <c r="H270" s="369" t="s">
        <v>4229</v>
      </c>
      <c r="I270" s="369" t="s">
        <v>3399</v>
      </c>
      <c r="J270" s="369" t="s">
        <v>4898</v>
      </c>
      <c r="K270" s="369" t="s">
        <v>4899</v>
      </c>
      <c r="L270" s="369" t="s">
        <v>4888</v>
      </c>
      <c r="M270" s="369" t="s">
        <v>4894</v>
      </c>
      <c r="N270" s="369" t="s">
        <v>4900</v>
      </c>
      <c r="O270" s="369" t="s">
        <v>4772</v>
      </c>
      <c r="P270" s="369" t="s">
        <v>4901</v>
      </c>
    </row>
    <row r="271" spans="1:16" ht="13.65" customHeight="1">
      <c r="A271" s="368">
        <v>5395</v>
      </c>
      <c r="B271" s="369">
        <v>1413</v>
      </c>
      <c r="C271" s="369" t="s">
        <v>4902</v>
      </c>
      <c r="D271" s="369" t="s">
        <v>1927</v>
      </c>
      <c r="E271" s="369" t="s">
        <v>1927</v>
      </c>
      <c r="F271" s="369" t="s">
        <v>1927</v>
      </c>
      <c r="G271" s="369" t="s">
        <v>116</v>
      </c>
      <c r="H271" s="369" t="s">
        <v>4229</v>
      </c>
      <c r="I271" s="369" t="s">
        <v>3399</v>
      </c>
      <c r="J271" s="369" t="s">
        <v>4903</v>
      </c>
      <c r="K271" s="369" t="s">
        <v>4904</v>
      </c>
      <c r="L271" s="369" t="s">
        <v>4905</v>
      </c>
      <c r="M271" s="369" t="s">
        <v>4894</v>
      </c>
      <c r="N271" s="369" t="s">
        <v>4906</v>
      </c>
      <c r="O271" s="369" t="s">
        <v>4772</v>
      </c>
      <c r="P271" s="369" t="s">
        <v>4907</v>
      </c>
    </row>
    <row r="272" spans="1:16" ht="13.65" customHeight="1">
      <c r="A272" s="368">
        <v>5398</v>
      </c>
      <c r="B272" s="369">
        <v>1509</v>
      </c>
      <c r="C272" s="369" t="s">
        <v>4908</v>
      </c>
      <c r="D272" s="369" t="s">
        <v>1927</v>
      </c>
      <c r="E272" s="369" t="s">
        <v>1927</v>
      </c>
      <c r="F272" s="369" t="s">
        <v>1927</v>
      </c>
      <c r="G272" s="369" t="s">
        <v>1927</v>
      </c>
      <c r="H272" s="369" t="s">
        <v>4229</v>
      </c>
      <c r="I272" s="369" t="s">
        <v>3399</v>
      </c>
      <c r="J272" s="369"/>
      <c r="K272" s="369"/>
      <c r="L272" s="369"/>
      <c r="M272" s="369" t="s">
        <v>4738</v>
      </c>
      <c r="N272" s="369" t="s">
        <v>4909</v>
      </c>
      <c r="O272" s="369" t="s">
        <v>4743</v>
      </c>
      <c r="P272" s="369"/>
    </row>
    <row r="273" spans="1:16" ht="13.65" customHeight="1">
      <c r="A273" s="368">
        <v>5411</v>
      </c>
      <c r="B273" s="369">
        <v>1496</v>
      </c>
      <c r="C273" s="369" t="s">
        <v>4910</v>
      </c>
      <c r="D273" s="369" t="s">
        <v>1927</v>
      </c>
      <c r="E273" s="369" t="s">
        <v>1927</v>
      </c>
      <c r="F273" s="369" t="s">
        <v>1927</v>
      </c>
      <c r="G273" s="369" t="s">
        <v>1927</v>
      </c>
      <c r="H273" s="369" t="s">
        <v>4229</v>
      </c>
      <c r="I273" s="369" t="s">
        <v>3399</v>
      </c>
      <c r="J273" s="369"/>
      <c r="K273" s="369"/>
      <c r="L273" s="369"/>
      <c r="M273" s="369" t="s">
        <v>4738</v>
      </c>
      <c r="N273" s="369" t="s">
        <v>4911</v>
      </c>
      <c r="O273" s="369" t="s">
        <v>4912</v>
      </c>
      <c r="P273" s="369"/>
    </row>
    <row r="274" spans="1:16" ht="13.65" customHeight="1">
      <c r="A274" s="368">
        <v>5418</v>
      </c>
      <c r="B274" s="369">
        <v>1503</v>
      </c>
      <c r="C274" s="369" t="s">
        <v>4913</v>
      </c>
      <c r="D274" s="369" t="s">
        <v>1927</v>
      </c>
      <c r="E274" s="369" t="s">
        <v>1927</v>
      </c>
      <c r="F274" s="369" t="s">
        <v>1927</v>
      </c>
      <c r="G274" s="369" t="s">
        <v>1927</v>
      </c>
      <c r="H274" s="369" t="s">
        <v>4229</v>
      </c>
      <c r="I274" s="369" t="s">
        <v>3399</v>
      </c>
      <c r="J274" s="369"/>
      <c r="K274" s="369"/>
      <c r="L274" s="369"/>
      <c r="M274" s="369" t="s">
        <v>4738</v>
      </c>
      <c r="N274" s="369" t="s">
        <v>4914</v>
      </c>
      <c r="O274" s="369" t="s">
        <v>4743</v>
      </c>
      <c r="P274" s="369"/>
    </row>
    <row r="275" spans="1:16" ht="13.65" customHeight="1">
      <c r="A275" s="368">
        <v>5419</v>
      </c>
      <c r="B275" s="369">
        <v>1504</v>
      </c>
      <c r="C275" s="369" t="s">
        <v>4915</v>
      </c>
      <c r="D275" s="369" t="s">
        <v>1927</v>
      </c>
      <c r="E275" s="369" t="s">
        <v>1927</v>
      </c>
      <c r="F275" s="369" t="s">
        <v>1927</v>
      </c>
      <c r="G275" s="369" t="s">
        <v>1927</v>
      </c>
      <c r="H275" s="369" t="s">
        <v>4229</v>
      </c>
      <c r="I275" s="369" t="s">
        <v>3399</v>
      </c>
      <c r="J275" s="369"/>
      <c r="K275" s="369"/>
      <c r="L275" s="369"/>
      <c r="M275" s="369" t="s">
        <v>4738</v>
      </c>
      <c r="N275" s="369" t="s">
        <v>4916</v>
      </c>
      <c r="O275" s="369" t="s">
        <v>4743</v>
      </c>
      <c r="P275" s="369"/>
    </row>
    <row r="276" spans="1:16" ht="13.65" customHeight="1">
      <c r="A276" s="368">
        <v>5425</v>
      </c>
      <c r="B276" s="369">
        <v>4028</v>
      </c>
      <c r="C276" s="369" t="s">
        <v>4917</v>
      </c>
      <c r="D276" s="369" t="s">
        <v>1927</v>
      </c>
      <c r="E276" s="369" t="s">
        <v>1927</v>
      </c>
      <c r="F276" s="369" t="s">
        <v>1927</v>
      </c>
      <c r="G276" s="369" t="s">
        <v>1927</v>
      </c>
      <c r="H276" s="369" t="s">
        <v>3299</v>
      </c>
      <c r="I276" s="369" t="s">
        <v>3399</v>
      </c>
      <c r="J276" s="369" t="s">
        <v>4918</v>
      </c>
      <c r="K276" s="369" t="s">
        <v>4919</v>
      </c>
      <c r="L276" s="369"/>
      <c r="M276" s="369"/>
      <c r="N276" s="369" t="s">
        <v>4920</v>
      </c>
      <c r="O276" s="369" t="s">
        <v>4921</v>
      </c>
      <c r="P276" s="369"/>
    </row>
    <row r="277" spans="1:16" ht="13.65" customHeight="1">
      <c r="A277" s="368">
        <v>5455</v>
      </c>
      <c r="B277" s="369">
        <v>1423</v>
      </c>
      <c r="C277" s="369" t="s">
        <v>4922</v>
      </c>
      <c r="D277" s="369" t="s">
        <v>1927</v>
      </c>
      <c r="E277" s="369" t="s">
        <v>1927</v>
      </c>
      <c r="F277" s="369" t="s">
        <v>115</v>
      </c>
      <c r="G277" s="369" t="s">
        <v>115</v>
      </c>
      <c r="H277" s="369" t="s">
        <v>1381</v>
      </c>
      <c r="I277" s="369" t="s">
        <v>3259</v>
      </c>
      <c r="J277" s="369" t="s">
        <v>4923</v>
      </c>
      <c r="K277" s="369" t="s">
        <v>4924</v>
      </c>
      <c r="L277" s="369"/>
      <c r="M277" s="369" t="s">
        <v>4925</v>
      </c>
      <c r="N277" s="369" t="s">
        <v>4926</v>
      </c>
      <c r="O277" s="369" t="s">
        <v>4927</v>
      </c>
      <c r="P277" s="369"/>
    </row>
    <row r="278" spans="1:16" ht="13.65" customHeight="1">
      <c r="A278" s="368">
        <v>9804</v>
      </c>
      <c r="B278" s="369">
        <v>8043</v>
      </c>
      <c r="C278" s="369" t="s">
        <v>1447</v>
      </c>
      <c r="D278" s="369" t="s">
        <v>3341</v>
      </c>
      <c r="E278" s="369" t="s">
        <v>116</v>
      </c>
      <c r="F278" s="369" t="s">
        <v>115</v>
      </c>
      <c r="G278" s="369" t="s">
        <v>115</v>
      </c>
      <c r="H278" s="369" t="s">
        <v>1378</v>
      </c>
      <c r="I278" s="369" t="s">
        <v>3259</v>
      </c>
      <c r="J278" s="369" t="s">
        <v>4928</v>
      </c>
      <c r="K278" s="369" t="s">
        <v>4929</v>
      </c>
      <c r="L278" s="369"/>
      <c r="M278" s="369"/>
      <c r="N278" s="369"/>
      <c r="O278" s="369" t="s">
        <v>4504</v>
      </c>
      <c r="P278" s="369"/>
    </row>
    <row r="279" spans="1:16" ht="13.5" customHeight="1">
      <c r="A279" s="368">
        <v>9805</v>
      </c>
      <c r="B279" s="369">
        <v>1510</v>
      </c>
      <c r="C279" s="369" t="s">
        <v>1215</v>
      </c>
      <c r="D279" s="369" t="s">
        <v>116</v>
      </c>
      <c r="E279" s="369" t="s">
        <v>116</v>
      </c>
      <c r="F279" s="369" t="s">
        <v>115</v>
      </c>
      <c r="G279" s="369" t="s">
        <v>115</v>
      </c>
      <c r="H279" s="369" t="s">
        <v>1381</v>
      </c>
      <c r="I279" s="369" t="s">
        <v>3259</v>
      </c>
      <c r="J279" s="369"/>
      <c r="K279" s="369"/>
      <c r="L279" s="369"/>
      <c r="M279" s="369" t="s">
        <v>4930</v>
      </c>
      <c r="N279" s="369" t="s">
        <v>4931</v>
      </c>
      <c r="O279" s="369" t="s">
        <v>4932</v>
      </c>
      <c r="P279" s="369" t="s">
        <v>4933</v>
      </c>
    </row>
    <row r="280" spans="1:16" s="19" customFormat="1" ht="13.65" customHeight="1">
      <c r="A280" s="370">
        <v>10002</v>
      </c>
      <c r="B280" s="371">
        <v>1000</v>
      </c>
      <c r="C280" s="371" t="s">
        <v>67</v>
      </c>
      <c r="D280" s="371" t="s">
        <v>115</v>
      </c>
      <c r="E280" s="371" t="s">
        <v>116</v>
      </c>
      <c r="F280" s="371" t="s">
        <v>115</v>
      </c>
      <c r="G280" s="371" t="s">
        <v>115</v>
      </c>
      <c r="H280" s="371" t="s">
        <v>1378</v>
      </c>
      <c r="I280" s="371" t="s">
        <v>3259</v>
      </c>
      <c r="J280" s="371" t="s">
        <v>4268</v>
      </c>
      <c r="K280" s="371" t="s">
        <v>4269</v>
      </c>
      <c r="L280" s="371" t="s">
        <v>4270</v>
      </c>
      <c r="M280" s="371"/>
      <c r="N280" s="371" t="s">
        <v>4271</v>
      </c>
      <c r="O280" s="371" t="s">
        <v>4272</v>
      </c>
      <c r="P280" s="371" t="s">
        <v>4273</v>
      </c>
    </row>
    <row r="281" spans="1:16" s="19" customFormat="1" ht="13.65" customHeight="1">
      <c r="A281" s="370">
        <v>10002</v>
      </c>
      <c r="B281" s="371">
        <v>1001</v>
      </c>
      <c r="C281" s="371" t="s">
        <v>1771</v>
      </c>
      <c r="D281" s="371" t="s">
        <v>116</v>
      </c>
      <c r="E281" s="371" t="s">
        <v>116</v>
      </c>
      <c r="F281" s="371" t="s">
        <v>115</v>
      </c>
      <c r="G281" s="371" t="s">
        <v>115</v>
      </c>
      <c r="H281" s="371" t="s">
        <v>1381</v>
      </c>
      <c r="I281" s="371" t="s">
        <v>3259</v>
      </c>
      <c r="J281" s="371" t="s">
        <v>4934</v>
      </c>
      <c r="K281" s="371" t="s">
        <v>4935</v>
      </c>
      <c r="L281" s="371" t="s">
        <v>4936</v>
      </c>
      <c r="M281" s="371" t="s">
        <v>4937</v>
      </c>
      <c r="N281" s="371" t="s">
        <v>4938</v>
      </c>
      <c r="O281" s="371" t="s">
        <v>4939</v>
      </c>
      <c r="P281" s="371" t="s">
        <v>4933</v>
      </c>
    </row>
    <row r="282" spans="1:16" s="19" customFormat="1" ht="13.65" customHeight="1">
      <c r="A282" s="370">
        <v>10002</v>
      </c>
      <c r="B282" s="371">
        <v>1183</v>
      </c>
      <c r="C282" s="371" t="s">
        <v>4525</v>
      </c>
      <c r="D282" s="371" t="s">
        <v>116</v>
      </c>
      <c r="E282" s="371" t="s">
        <v>116</v>
      </c>
      <c r="F282" s="371" t="s">
        <v>115</v>
      </c>
      <c r="G282" s="371" t="s">
        <v>115</v>
      </c>
      <c r="H282" s="371" t="s">
        <v>1378</v>
      </c>
      <c r="I282" s="371" t="s">
        <v>3399</v>
      </c>
      <c r="J282" s="371" t="s">
        <v>4526</v>
      </c>
      <c r="K282" s="371" t="s">
        <v>4527</v>
      </c>
      <c r="L282" s="371" t="s">
        <v>4528</v>
      </c>
      <c r="M282" s="371"/>
      <c r="N282" s="371" t="s">
        <v>4529</v>
      </c>
      <c r="O282" s="371" t="s">
        <v>4530</v>
      </c>
      <c r="P282" s="371"/>
    </row>
    <row r="283" spans="1:16" s="19" customFormat="1" ht="13.65" customHeight="1">
      <c r="A283" s="370">
        <v>10002</v>
      </c>
      <c r="B283" s="371">
        <v>1358</v>
      </c>
      <c r="C283" s="371" t="s">
        <v>4940</v>
      </c>
      <c r="D283" s="371" t="s">
        <v>115</v>
      </c>
      <c r="E283" s="371" t="s">
        <v>115</v>
      </c>
      <c r="F283" s="371" t="s">
        <v>115</v>
      </c>
      <c r="G283" s="371" t="s">
        <v>115</v>
      </c>
      <c r="H283" s="371" t="s">
        <v>1378</v>
      </c>
      <c r="I283" s="371" t="s">
        <v>3259</v>
      </c>
      <c r="J283" s="371" t="s">
        <v>4941</v>
      </c>
      <c r="K283" s="371" t="s">
        <v>4942</v>
      </c>
      <c r="L283" s="371"/>
      <c r="M283" s="371"/>
      <c r="N283" s="371" t="s">
        <v>4943</v>
      </c>
      <c r="O283" s="371" t="s">
        <v>4504</v>
      </c>
      <c r="P283" s="371" t="s">
        <v>4944</v>
      </c>
    </row>
    <row r="284" spans="1:16" s="19" customFormat="1" ht="13.65" customHeight="1">
      <c r="A284" s="370">
        <v>10002</v>
      </c>
      <c r="B284" s="371">
        <v>1431</v>
      </c>
      <c r="C284" s="371" t="s">
        <v>4945</v>
      </c>
      <c r="D284" s="371" t="s">
        <v>115</v>
      </c>
      <c r="E284" s="371" t="s">
        <v>115</v>
      </c>
      <c r="F284" s="371" t="s">
        <v>115</v>
      </c>
      <c r="G284" s="371" t="s">
        <v>115</v>
      </c>
      <c r="H284" s="371" t="s">
        <v>4239</v>
      </c>
      <c r="I284" s="371" t="s">
        <v>3259</v>
      </c>
      <c r="J284" s="371" t="s">
        <v>4946</v>
      </c>
      <c r="K284" s="371" t="s">
        <v>4947</v>
      </c>
      <c r="L284" s="371"/>
      <c r="M284" s="371"/>
      <c r="N284" s="371" t="s">
        <v>4948</v>
      </c>
      <c r="O284" s="371" t="s">
        <v>4949</v>
      </c>
      <c r="P284" s="371"/>
    </row>
    <row r="285" spans="1:16" s="19" customFormat="1" ht="13.65" customHeight="1">
      <c r="A285" s="370">
        <v>10002</v>
      </c>
      <c r="B285" s="371">
        <v>1462</v>
      </c>
      <c r="C285" s="371" t="s">
        <v>4950</v>
      </c>
      <c r="D285" s="371" t="s">
        <v>115</v>
      </c>
      <c r="E285" s="371" t="s">
        <v>115</v>
      </c>
      <c r="F285" s="371" t="s">
        <v>115</v>
      </c>
      <c r="G285" s="371" t="s">
        <v>115</v>
      </c>
      <c r="H285" s="371" t="s">
        <v>1378</v>
      </c>
      <c r="I285" s="371" t="s">
        <v>3259</v>
      </c>
      <c r="J285" s="371" t="s">
        <v>4951</v>
      </c>
      <c r="K285" s="371" t="s">
        <v>4952</v>
      </c>
      <c r="L285" s="371" t="s">
        <v>4953</v>
      </c>
      <c r="M285" s="371" t="s">
        <v>16</v>
      </c>
      <c r="N285" s="371" t="s">
        <v>4954</v>
      </c>
      <c r="O285" s="371" t="s">
        <v>4955</v>
      </c>
      <c r="P285" s="371"/>
    </row>
    <row r="286" spans="1:16" s="19" customFormat="1" ht="13.65" customHeight="1">
      <c r="A286" s="370">
        <v>10002</v>
      </c>
      <c r="B286" s="371">
        <v>10000</v>
      </c>
      <c r="C286" s="371" t="s">
        <v>4956</v>
      </c>
      <c r="D286" s="371" t="s">
        <v>115</v>
      </c>
      <c r="E286" s="371" t="s">
        <v>115</v>
      </c>
      <c r="F286" s="371" t="s">
        <v>115</v>
      </c>
      <c r="G286" s="371" t="s">
        <v>115</v>
      </c>
      <c r="H286" s="371"/>
      <c r="I286" s="371" t="s">
        <v>3259</v>
      </c>
      <c r="J286" s="371" t="s">
        <v>4957</v>
      </c>
      <c r="K286" s="371" t="s">
        <v>4958</v>
      </c>
      <c r="L286" s="371"/>
      <c r="M286" s="371"/>
      <c r="N286" s="371" t="s">
        <v>4943</v>
      </c>
      <c r="O286" s="371" t="s">
        <v>4959</v>
      </c>
      <c r="P286" s="371"/>
    </row>
    <row r="287" spans="1:16" s="19" customFormat="1" ht="13.65" customHeight="1">
      <c r="A287" s="370">
        <v>10002</v>
      </c>
      <c r="B287" s="371">
        <v>11000</v>
      </c>
      <c r="C287" s="371" t="s">
        <v>4960</v>
      </c>
      <c r="D287" s="371" t="s">
        <v>115</v>
      </c>
      <c r="E287" s="371" t="s">
        <v>115</v>
      </c>
      <c r="F287" s="371" t="s">
        <v>115</v>
      </c>
      <c r="G287" s="371" t="s">
        <v>115</v>
      </c>
      <c r="H287" s="371" t="s">
        <v>1378</v>
      </c>
      <c r="I287" s="371" t="s">
        <v>3399</v>
      </c>
      <c r="J287" s="371"/>
      <c r="K287" s="371"/>
      <c r="L287" s="371" t="s">
        <v>4961</v>
      </c>
      <c r="M287" s="371"/>
      <c r="N287" s="371" t="s">
        <v>4943</v>
      </c>
      <c r="O287" s="371" t="s">
        <v>4504</v>
      </c>
      <c r="P287" s="371"/>
    </row>
    <row r="288" spans="1:16" ht="13.65" customHeight="1">
      <c r="A288" s="368" t="s">
        <v>4962</v>
      </c>
      <c r="B288" s="369">
        <v>1279</v>
      </c>
      <c r="C288" s="369" t="s">
        <v>4963</v>
      </c>
      <c r="D288" s="369" t="s">
        <v>116</v>
      </c>
      <c r="E288" s="369" t="s">
        <v>116</v>
      </c>
      <c r="F288" s="369" t="s">
        <v>1927</v>
      </c>
      <c r="G288" s="369" t="s">
        <v>116</v>
      </c>
      <c r="H288" s="369" t="s">
        <v>1378</v>
      </c>
      <c r="I288" s="369" t="s">
        <v>3399</v>
      </c>
      <c r="J288" s="369"/>
      <c r="K288" s="369"/>
      <c r="L288" s="369"/>
      <c r="M288" s="369"/>
      <c r="N288" s="369" t="s">
        <v>4964</v>
      </c>
      <c r="O288" s="369" t="s">
        <v>4965</v>
      </c>
      <c r="P288" s="369"/>
    </row>
    <row r="289" spans="1:16" ht="13.65" customHeight="1">
      <c r="A289" s="368" t="s">
        <v>4966</v>
      </c>
      <c r="B289" s="369">
        <v>1299</v>
      </c>
      <c r="C289" s="369" t="s">
        <v>4967</v>
      </c>
      <c r="D289" s="369" t="s">
        <v>1927</v>
      </c>
      <c r="E289" s="369" t="s">
        <v>1927</v>
      </c>
      <c r="F289" s="369" t="s">
        <v>1927</v>
      </c>
      <c r="G289" s="369" t="s">
        <v>1927</v>
      </c>
      <c r="H289" s="369" t="s">
        <v>1378</v>
      </c>
      <c r="I289" s="369" t="s">
        <v>3399</v>
      </c>
      <c r="J289" s="369"/>
      <c r="K289" s="369"/>
      <c r="L289" s="369" t="s">
        <v>4968</v>
      </c>
      <c r="M289" s="369"/>
      <c r="N289" s="369"/>
      <c r="O289" s="369" t="s">
        <v>4969</v>
      </c>
      <c r="P289" s="369"/>
    </row>
    <row r="290" spans="1:16" ht="13.65" customHeight="1">
      <c r="A290" s="368" t="s">
        <v>4970</v>
      </c>
      <c r="B290" s="369">
        <v>1557</v>
      </c>
      <c r="C290" s="369" t="s">
        <v>4971</v>
      </c>
      <c r="D290" s="369" t="s">
        <v>1927</v>
      </c>
      <c r="E290" s="369" t="s">
        <v>1927</v>
      </c>
      <c r="F290" s="369" t="s">
        <v>1927</v>
      </c>
      <c r="G290" s="369" t="s">
        <v>1927</v>
      </c>
      <c r="H290" s="369" t="s">
        <v>1378</v>
      </c>
      <c r="I290" s="369" t="s">
        <v>3259</v>
      </c>
      <c r="J290" s="369"/>
      <c r="K290" s="369"/>
      <c r="L290" s="369"/>
      <c r="M290" s="369"/>
      <c r="N290" s="369"/>
      <c r="O290" s="369"/>
      <c r="P290" s="369"/>
    </row>
    <row r="291" spans="1:16" ht="13.65" customHeight="1">
      <c r="A291" s="368" t="s">
        <v>4972</v>
      </c>
      <c r="B291" s="369">
        <v>1571</v>
      </c>
      <c r="C291" s="369" t="s">
        <v>4973</v>
      </c>
      <c r="D291" s="369" t="s">
        <v>1927</v>
      </c>
      <c r="E291" s="369" t="s">
        <v>1927</v>
      </c>
      <c r="F291" s="369" t="s">
        <v>1927</v>
      </c>
      <c r="G291" s="369" t="s">
        <v>1927</v>
      </c>
      <c r="H291" s="369" t="s">
        <v>1381</v>
      </c>
      <c r="I291" s="369" t="s">
        <v>3259</v>
      </c>
      <c r="J291" s="369"/>
      <c r="K291" s="369"/>
      <c r="L291" s="369"/>
      <c r="M291" s="369"/>
      <c r="N291" s="369" t="s">
        <v>4974</v>
      </c>
      <c r="O291" s="369" t="s">
        <v>4975</v>
      </c>
      <c r="P291" s="369"/>
    </row>
    <row r="292" spans="1:16" ht="13.65" customHeight="1">
      <c r="A292" s="368" t="s">
        <v>4976</v>
      </c>
      <c r="B292" s="369">
        <v>1606</v>
      </c>
      <c r="C292" s="369" t="s">
        <v>4977</v>
      </c>
      <c r="D292" s="369" t="s">
        <v>1927</v>
      </c>
      <c r="E292" s="369" t="s">
        <v>1927</v>
      </c>
      <c r="F292" s="369" t="s">
        <v>1927</v>
      </c>
      <c r="G292" s="369" t="s">
        <v>1927</v>
      </c>
      <c r="H292" s="369" t="s">
        <v>4239</v>
      </c>
      <c r="I292" s="369" t="s">
        <v>3399</v>
      </c>
      <c r="J292" s="369"/>
      <c r="K292" s="369"/>
      <c r="L292" s="369"/>
      <c r="M292" s="369"/>
      <c r="N292" s="369" t="s">
        <v>4978</v>
      </c>
      <c r="O292" s="369" t="s">
        <v>4458</v>
      </c>
      <c r="P292" s="369"/>
    </row>
    <row r="293" spans="1:16" ht="13.65" customHeight="1">
      <c r="A293" s="368" t="s">
        <v>4979</v>
      </c>
      <c r="B293" s="369">
        <v>1614</v>
      </c>
      <c r="C293" s="369" t="s">
        <v>4980</v>
      </c>
      <c r="D293" s="369" t="s">
        <v>116</v>
      </c>
      <c r="E293" s="369" t="s">
        <v>115</v>
      </c>
      <c r="F293" s="369" t="s">
        <v>115</v>
      </c>
      <c r="G293" s="369" t="s">
        <v>115</v>
      </c>
      <c r="H293" s="369"/>
      <c r="I293" s="369" t="s">
        <v>3259</v>
      </c>
      <c r="J293" s="369"/>
      <c r="K293" s="369"/>
      <c r="L293" s="369" t="s">
        <v>4981</v>
      </c>
      <c r="M293" s="369"/>
      <c r="N293" s="369" t="s">
        <v>4982</v>
      </c>
      <c r="O293" s="369" t="s">
        <v>4983</v>
      </c>
      <c r="P293" s="369" t="s">
        <v>4984</v>
      </c>
    </row>
    <row r="294" spans="1:16" ht="13.65" customHeight="1">
      <c r="A294" s="368" t="s">
        <v>4985</v>
      </c>
      <c r="B294" s="369">
        <v>1615</v>
      </c>
      <c r="C294" s="369" t="s">
        <v>4986</v>
      </c>
      <c r="D294" s="369" t="s">
        <v>116</v>
      </c>
      <c r="E294" s="369" t="s">
        <v>115</v>
      </c>
      <c r="F294" s="369" t="s">
        <v>115</v>
      </c>
      <c r="G294" s="369" t="s">
        <v>115</v>
      </c>
      <c r="H294" s="369"/>
      <c r="I294" s="369" t="s">
        <v>3259</v>
      </c>
      <c r="J294" s="369"/>
      <c r="K294" s="369"/>
      <c r="L294" s="369"/>
      <c r="M294" s="369"/>
      <c r="N294" s="369"/>
      <c r="O294" s="369" t="s">
        <v>4983</v>
      </c>
      <c r="P294" s="369" t="s">
        <v>4987</v>
      </c>
    </row>
    <row r="295" spans="1:16" ht="13.65" customHeight="1">
      <c r="A295" s="368" t="s">
        <v>4988</v>
      </c>
      <c r="B295" s="369">
        <v>1616</v>
      </c>
      <c r="C295" s="369" t="s">
        <v>4989</v>
      </c>
      <c r="D295" s="369" t="s">
        <v>116</v>
      </c>
      <c r="E295" s="369" t="s">
        <v>115</v>
      </c>
      <c r="F295" s="369" t="s">
        <v>115</v>
      </c>
      <c r="G295" s="369" t="s">
        <v>115</v>
      </c>
      <c r="H295" s="369"/>
      <c r="I295" s="369" t="s">
        <v>3259</v>
      </c>
      <c r="J295" s="369"/>
      <c r="K295" s="369"/>
      <c r="L295" s="369" t="s">
        <v>4981</v>
      </c>
      <c r="M295" s="369"/>
      <c r="N295" s="369" t="s">
        <v>4990</v>
      </c>
      <c r="O295" s="369" t="s">
        <v>4991</v>
      </c>
      <c r="P295" s="369" t="s">
        <v>4984</v>
      </c>
    </row>
    <row r="296" spans="1:16" ht="13.65" customHeight="1">
      <c r="A296" s="368" t="s">
        <v>4992</v>
      </c>
      <c r="B296" s="369">
        <v>1618</v>
      </c>
      <c r="C296" s="369" t="s">
        <v>4993</v>
      </c>
      <c r="D296" s="369" t="s">
        <v>3341</v>
      </c>
      <c r="E296" s="369" t="s">
        <v>3341</v>
      </c>
      <c r="F296" s="369" t="s">
        <v>3341</v>
      </c>
      <c r="G296" s="369" t="s">
        <v>3341</v>
      </c>
      <c r="H296" s="369"/>
      <c r="I296" s="369" t="s">
        <v>3259</v>
      </c>
      <c r="J296" s="369"/>
      <c r="K296" s="369"/>
      <c r="L296" s="369"/>
      <c r="M296" s="369"/>
      <c r="N296" s="369" t="s">
        <v>4994</v>
      </c>
      <c r="O296" s="369"/>
      <c r="P296" s="369"/>
    </row>
    <row r="297" spans="1:16" ht="13.65" customHeight="1">
      <c r="A297" s="368" t="s">
        <v>4995</v>
      </c>
      <c r="B297" s="369">
        <v>1620</v>
      </c>
      <c r="C297" s="369" t="s">
        <v>4996</v>
      </c>
      <c r="D297" s="369" t="s">
        <v>115</v>
      </c>
      <c r="E297" s="369" t="s">
        <v>116</v>
      </c>
      <c r="F297" s="369" t="s">
        <v>115</v>
      </c>
      <c r="G297" s="369" t="s">
        <v>115</v>
      </c>
      <c r="H297" s="369" t="s">
        <v>1378</v>
      </c>
      <c r="I297" s="369" t="s">
        <v>3259</v>
      </c>
      <c r="J297" s="369"/>
      <c r="K297" s="369"/>
      <c r="L297" s="369" t="s">
        <v>4997</v>
      </c>
      <c r="M297" s="369" t="s">
        <v>4998</v>
      </c>
      <c r="N297" s="369" t="s">
        <v>4999</v>
      </c>
      <c r="O297" s="369" t="s">
        <v>5000</v>
      </c>
      <c r="P297" s="369" t="s">
        <v>5001</v>
      </c>
    </row>
    <row r="298" spans="1:16" ht="13.65" customHeight="1">
      <c r="A298" s="368" t="s">
        <v>5002</v>
      </c>
      <c r="B298" s="369">
        <v>1774</v>
      </c>
      <c r="C298" s="369" t="s">
        <v>2568</v>
      </c>
      <c r="D298" s="369" t="s">
        <v>115</v>
      </c>
      <c r="E298" s="369" t="s">
        <v>116</v>
      </c>
      <c r="F298" s="369" t="s">
        <v>115</v>
      </c>
      <c r="G298" s="369" t="s">
        <v>115</v>
      </c>
      <c r="H298" s="369" t="s">
        <v>1381</v>
      </c>
      <c r="I298" s="369" t="s">
        <v>3259</v>
      </c>
      <c r="J298" s="369"/>
      <c r="K298" s="369"/>
      <c r="L298" s="369" t="s">
        <v>5003</v>
      </c>
      <c r="M298" s="369"/>
      <c r="N298" s="369" t="s">
        <v>5004</v>
      </c>
      <c r="O298" s="369" t="s">
        <v>5005</v>
      </c>
      <c r="P298" s="369" t="s">
        <v>5006</v>
      </c>
    </row>
    <row r="299" spans="1:16" ht="13.65" customHeight="1">
      <c r="A299" s="368" t="s">
        <v>5007</v>
      </c>
      <c r="B299" s="369">
        <v>2010</v>
      </c>
      <c r="C299" s="369" t="s">
        <v>5008</v>
      </c>
      <c r="D299" s="369" t="s">
        <v>1927</v>
      </c>
      <c r="E299" s="369" t="s">
        <v>1927</v>
      </c>
      <c r="F299" s="369" t="s">
        <v>1927</v>
      </c>
      <c r="G299" s="369" t="s">
        <v>1927</v>
      </c>
      <c r="H299" s="369" t="s">
        <v>1378</v>
      </c>
      <c r="I299" s="369" t="s">
        <v>3399</v>
      </c>
      <c r="J299" s="369" t="s">
        <v>5009</v>
      </c>
      <c r="K299" s="369" t="s">
        <v>5010</v>
      </c>
      <c r="L299" s="369" t="s">
        <v>5011</v>
      </c>
      <c r="M299" s="369"/>
      <c r="N299" s="369" t="s">
        <v>5012</v>
      </c>
      <c r="O299" s="369" t="s">
        <v>5013</v>
      </c>
      <c r="P299" s="369"/>
    </row>
    <row r="300" spans="1:16" ht="13.65" customHeight="1">
      <c r="A300" s="368" t="s">
        <v>5014</v>
      </c>
      <c r="B300" s="369">
        <v>2013</v>
      </c>
      <c r="C300" s="369" t="s">
        <v>5015</v>
      </c>
      <c r="D300" s="369" t="s">
        <v>3341</v>
      </c>
      <c r="E300" s="369" t="s">
        <v>3341</v>
      </c>
      <c r="F300" s="369" t="s">
        <v>3341</v>
      </c>
      <c r="G300" s="369" t="s">
        <v>3341</v>
      </c>
      <c r="H300" s="369" t="s">
        <v>1378</v>
      </c>
      <c r="I300" s="369" t="s">
        <v>3259</v>
      </c>
      <c r="J300" s="369" t="s">
        <v>5016</v>
      </c>
      <c r="K300" s="369" t="s">
        <v>5017</v>
      </c>
      <c r="L300" s="369"/>
      <c r="M300" s="369"/>
      <c r="N300" s="369" t="s">
        <v>5018</v>
      </c>
      <c r="O300" s="369" t="s">
        <v>5019</v>
      </c>
      <c r="P300" s="369"/>
    </row>
    <row r="301" spans="1:16" ht="13.65" customHeight="1">
      <c r="A301" s="368" t="s">
        <v>5020</v>
      </c>
      <c r="B301" s="369">
        <v>4079</v>
      </c>
      <c r="C301" s="369" t="s">
        <v>702</v>
      </c>
      <c r="D301" s="369" t="s">
        <v>1927</v>
      </c>
      <c r="E301" s="369" t="s">
        <v>1927</v>
      </c>
      <c r="F301" s="369" t="s">
        <v>1927</v>
      </c>
      <c r="G301" s="369" t="s">
        <v>1927</v>
      </c>
      <c r="H301" s="369" t="s">
        <v>1378</v>
      </c>
      <c r="I301" s="369" t="s">
        <v>3259</v>
      </c>
      <c r="J301" s="369" t="s">
        <v>5021</v>
      </c>
      <c r="K301" s="369" t="s">
        <v>5022</v>
      </c>
      <c r="L301" s="369"/>
      <c r="M301" s="369"/>
      <c r="N301" s="369"/>
      <c r="O301" s="369"/>
      <c r="P301" s="369"/>
    </row>
    <row r="302" spans="1:16" ht="13.65" customHeight="1">
      <c r="A302" s="368" t="s">
        <v>5023</v>
      </c>
      <c r="B302" s="369">
        <v>4101</v>
      </c>
      <c r="C302" s="369" t="s">
        <v>5024</v>
      </c>
      <c r="D302" s="369" t="s">
        <v>116</v>
      </c>
      <c r="E302" s="369" t="s">
        <v>115</v>
      </c>
      <c r="F302" s="369" t="s">
        <v>115</v>
      </c>
      <c r="G302" s="369" t="s">
        <v>115</v>
      </c>
      <c r="H302" s="369"/>
      <c r="I302" s="369" t="s">
        <v>3259</v>
      </c>
      <c r="J302" s="369"/>
      <c r="K302" s="369"/>
      <c r="L302" s="369"/>
      <c r="M302" s="369"/>
      <c r="N302" s="369" t="s">
        <v>5025</v>
      </c>
      <c r="O302" s="369" t="s">
        <v>5026</v>
      </c>
      <c r="P302" s="369"/>
    </row>
    <row r="303" spans="1:16" ht="13.65" customHeight="1">
      <c r="A303" s="368" t="s">
        <v>5027</v>
      </c>
      <c r="B303" s="369">
        <v>5042</v>
      </c>
      <c r="C303" s="369" t="s">
        <v>1331</v>
      </c>
      <c r="D303" s="369" t="s">
        <v>3341</v>
      </c>
      <c r="E303" s="369" t="s">
        <v>3341</v>
      </c>
      <c r="F303" s="369" t="s">
        <v>3341</v>
      </c>
      <c r="G303" s="369" t="s">
        <v>3341</v>
      </c>
      <c r="H303" s="369" t="s">
        <v>3299</v>
      </c>
      <c r="I303" s="369" t="s">
        <v>3259</v>
      </c>
      <c r="J303" s="369"/>
      <c r="K303" s="369"/>
      <c r="L303" s="369" t="s">
        <v>5028</v>
      </c>
      <c r="M303" s="369"/>
      <c r="N303" s="369"/>
      <c r="O303" s="369" t="s">
        <v>5029</v>
      </c>
      <c r="P303" s="369"/>
    </row>
    <row r="304" spans="1:16" ht="13.65" customHeight="1">
      <c r="A304" s="368" t="s">
        <v>5030</v>
      </c>
      <c r="B304" s="369">
        <v>5059</v>
      </c>
      <c r="C304" s="369" t="s">
        <v>2058</v>
      </c>
      <c r="D304" s="369" t="s">
        <v>116</v>
      </c>
      <c r="E304" s="369" t="s">
        <v>116</v>
      </c>
      <c r="F304" s="369" t="s">
        <v>115</v>
      </c>
      <c r="G304" s="369" t="s">
        <v>115</v>
      </c>
      <c r="H304" s="369" t="s">
        <v>1378</v>
      </c>
      <c r="I304" s="369" t="s">
        <v>3259</v>
      </c>
      <c r="J304" s="369"/>
      <c r="K304" s="369"/>
      <c r="L304" s="369"/>
      <c r="M304" s="369" t="s">
        <v>5031</v>
      </c>
      <c r="N304" s="369"/>
      <c r="O304" s="369" t="s">
        <v>5032</v>
      </c>
      <c r="P304" s="369"/>
    </row>
    <row r="305" spans="1:16" ht="13.65" customHeight="1">
      <c r="A305" s="368" t="s">
        <v>5033</v>
      </c>
      <c r="B305" s="369">
        <v>8055</v>
      </c>
      <c r="C305" s="369" t="s">
        <v>5034</v>
      </c>
      <c r="D305" s="369" t="s">
        <v>3341</v>
      </c>
      <c r="E305" s="369" t="s">
        <v>3341</v>
      </c>
      <c r="F305" s="369" t="s">
        <v>3341</v>
      </c>
      <c r="G305" s="369" t="s">
        <v>3341</v>
      </c>
      <c r="H305" s="369" t="s">
        <v>3299</v>
      </c>
      <c r="I305" s="369" t="s">
        <v>3399</v>
      </c>
      <c r="J305" s="369"/>
      <c r="K305" s="369"/>
      <c r="L305" s="369" t="s">
        <v>5035</v>
      </c>
      <c r="M305" s="369"/>
      <c r="N305" s="369" t="s">
        <v>5036</v>
      </c>
      <c r="O305" s="369" t="s">
        <v>5037</v>
      </c>
      <c r="P305" s="369"/>
    </row>
    <row r="306" spans="1:16" ht="13.65" customHeight="1">
      <c r="A306" s="368" t="s">
        <v>5038</v>
      </c>
      <c r="B306" s="369">
        <v>8059</v>
      </c>
      <c r="C306" s="369" t="s">
        <v>1358</v>
      </c>
      <c r="D306" s="369" t="s">
        <v>3341</v>
      </c>
      <c r="E306" s="369" t="s">
        <v>3341</v>
      </c>
      <c r="F306" s="369" t="s">
        <v>115</v>
      </c>
      <c r="G306" s="369" t="s">
        <v>115</v>
      </c>
      <c r="H306" s="369" t="s">
        <v>1381</v>
      </c>
      <c r="I306" s="369" t="s">
        <v>3259</v>
      </c>
      <c r="J306" s="369"/>
      <c r="K306" s="369"/>
      <c r="L306" s="369"/>
      <c r="M306" s="369"/>
      <c r="N306" s="369"/>
      <c r="O306" s="369" t="s">
        <v>5039</v>
      </c>
      <c r="P306" s="369"/>
    </row>
    <row r="307" spans="1:16" ht="13.65" customHeight="1">
      <c r="A307" s="368" t="s">
        <v>5040</v>
      </c>
      <c r="B307" s="369">
        <v>8061</v>
      </c>
      <c r="C307" s="369" t="s">
        <v>1037</v>
      </c>
      <c r="D307" s="369" t="s">
        <v>3341</v>
      </c>
      <c r="E307" s="369" t="s">
        <v>3341</v>
      </c>
      <c r="F307" s="369" t="s">
        <v>115</v>
      </c>
      <c r="G307" s="369" t="s">
        <v>115</v>
      </c>
      <c r="H307" s="369" t="s">
        <v>1381</v>
      </c>
      <c r="I307" s="369" t="s">
        <v>3259</v>
      </c>
      <c r="J307" s="369"/>
      <c r="K307" s="369"/>
      <c r="L307" s="369"/>
      <c r="M307" s="369"/>
      <c r="N307" s="369"/>
      <c r="O307" s="369" t="s">
        <v>5041</v>
      </c>
      <c r="P307" s="369"/>
    </row>
    <row r="308" spans="1:16" ht="13.65" customHeight="1">
      <c r="A308" s="368" t="s">
        <v>5042</v>
      </c>
      <c r="B308" s="369">
        <v>8062</v>
      </c>
      <c r="C308" s="369" t="s">
        <v>5043</v>
      </c>
      <c r="D308" s="369" t="s">
        <v>3341</v>
      </c>
      <c r="E308" s="369" t="s">
        <v>3341</v>
      </c>
      <c r="F308" s="369" t="s">
        <v>115</v>
      </c>
      <c r="G308" s="369" t="s">
        <v>115</v>
      </c>
      <c r="H308" s="369" t="s">
        <v>1381</v>
      </c>
      <c r="I308" s="369" t="s">
        <v>3259</v>
      </c>
      <c r="J308" s="369"/>
      <c r="K308" s="369"/>
      <c r="L308" s="369"/>
      <c r="M308" s="369"/>
      <c r="N308" s="369"/>
      <c r="O308" s="369" t="s">
        <v>5044</v>
      </c>
      <c r="P308" s="369"/>
    </row>
    <row r="309" spans="1:16" ht="13.65" customHeight="1">
      <c r="A309" s="368" t="s">
        <v>5045</v>
      </c>
      <c r="B309" s="369">
        <v>8063</v>
      </c>
      <c r="C309" s="369" t="s">
        <v>1345</v>
      </c>
      <c r="D309" s="369" t="s">
        <v>3341</v>
      </c>
      <c r="E309" s="369" t="s">
        <v>3341</v>
      </c>
      <c r="F309" s="369" t="s">
        <v>3341</v>
      </c>
      <c r="G309" s="369" t="s">
        <v>3341</v>
      </c>
      <c r="H309" s="369" t="s">
        <v>1381</v>
      </c>
      <c r="I309" s="369" t="s">
        <v>3259</v>
      </c>
      <c r="J309" s="369"/>
      <c r="K309" s="369"/>
      <c r="L309" s="369"/>
      <c r="M309" s="369"/>
      <c r="N309" s="369"/>
      <c r="O309" s="369" t="s">
        <v>5046</v>
      </c>
      <c r="P309" s="369"/>
    </row>
    <row r="310" spans="1:16" ht="13.65" customHeight="1">
      <c r="A310" s="368" t="s">
        <v>5047</v>
      </c>
      <c r="B310" s="369">
        <v>8064</v>
      </c>
      <c r="C310" s="369" t="s">
        <v>5048</v>
      </c>
      <c r="D310" s="369" t="s">
        <v>3341</v>
      </c>
      <c r="E310" s="369" t="s">
        <v>3341</v>
      </c>
      <c r="F310" s="369" t="s">
        <v>3341</v>
      </c>
      <c r="G310" s="369" t="s">
        <v>3341</v>
      </c>
      <c r="H310" s="369" t="s">
        <v>1381</v>
      </c>
      <c r="I310" s="369" t="s">
        <v>3259</v>
      </c>
      <c r="J310" s="369"/>
      <c r="K310" s="369"/>
      <c r="L310" s="369"/>
      <c r="M310" s="369"/>
      <c r="N310" s="369"/>
      <c r="O310" s="369"/>
      <c r="P310" s="369"/>
    </row>
    <row r="311" spans="1:16" ht="13.65" customHeight="1">
      <c r="A311" s="368" t="s">
        <v>5049</v>
      </c>
      <c r="B311" s="369">
        <v>8065</v>
      </c>
      <c r="C311" s="369" t="s">
        <v>5050</v>
      </c>
      <c r="D311" s="369" t="s">
        <v>116</v>
      </c>
      <c r="E311" s="369" t="s">
        <v>116</v>
      </c>
      <c r="F311" s="369" t="s">
        <v>115</v>
      </c>
      <c r="G311" s="369" t="s">
        <v>115</v>
      </c>
      <c r="H311" s="369"/>
      <c r="I311" s="369" t="s">
        <v>3259</v>
      </c>
      <c r="J311" s="369"/>
      <c r="K311" s="369"/>
      <c r="L311" s="369"/>
      <c r="M311" s="369"/>
      <c r="N311" s="369" t="s">
        <v>5051</v>
      </c>
      <c r="O311" s="369" t="s">
        <v>5052</v>
      </c>
      <c r="P311" s="369" t="s">
        <v>5053</v>
      </c>
    </row>
    <row r="312" spans="1:16" ht="13.65" customHeight="1">
      <c r="A312" s="368" t="s">
        <v>5054</v>
      </c>
      <c r="B312" s="369">
        <v>8066</v>
      </c>
      <c r="C312" s="369" t="s">
        <v>5055</v>
      </c>
      <c r="D312" s="369" t="s">
        <v>116</v>
      </c>
      <c r="E312" s="369" t="s">
        <v>116</v>
      </c>
      <c r="F312" s="369" t="s">
        <v>115</v>
      </c>
      <c r="G312" s="369" t="s">
        <v>115</v>
      </c>
      <c r="H312" s="369"/>
      <c r="I312" s="369" t="s">
        <v>3259</v>
      </c>
      <c r="J312" s="369"/>
      <c r="K312" s="369"/>
      <c r="L312" s="369"/>
      <c r="M312" s="369"/>
      <c r="N312" s="369"/>
      <c r="O312" s="369" t="s">
        <v>5052</v>
      </c>
      <c r="P312" s="369" t="s">
        <v>5056</v>
      </c>
    </row>
    <row r="313" spans="1:16" ht="13.65" customHeight="1">
      <c r="A313" s="368" t="s">
        <v>5057</v>
      </c>
      <c r="B313" s="369">
        <v>8067</v>
      </c>
      <c r="C313" s="369" t="s">
        <v>5058</v>
      </c>
      <c r="D313" s="369" t="s">
        <v>116</v>
      </c>
      <c r="E313" s="369" t="s">
        <v>116</v>
      </c>
      <c r="F313" s="369" t="s">
        <v>115</v>
      </c>
      <c r="G313" s="369" t="s">
        <v>115</v>
      </c>
      <c r="H313" s="369"/>
      <c r="I313" s="369" t="s">
        <v>3259</v>
      </c>
      <c r="J313" s="369"/>
      <c r="K313" s="369"/>
      <c r="L313" s="369"/>
      <c r="M313" s="369"/>
      <c r="N313" s="369"/>
      <c r="O313" s="369" t="s">
        <v>5052</v>
      </c>
      <c r="P313" s="369" t="s">
        <v>5059</v>
      </c>
    </row>
    <row r="314" spans="1:16" ht="13.65" customHeight="1">
      <c r="A314" s="368" t="s">
        <v>5060</v>
      </c>
      <c r="B314" s="369">
        <v>8068</v>
      </c>
      <c r="C314" s="369" t="s">
        <v>5061</v>
      </c>
      <c r="D314" s="369" t="s">
        <v>116</v>
      </c>
      <c r="E314" s="369" t="s">
        <v>116</v>
      </c>
      <c r="F314" s="369" t="s">
        <v>115</v>
      </c>
      <c r="G314" s="369" t="s">
        <v>115</v>
      </c>
      <c r="H314" s="369" t="s">
        <v>1378</v>
      </c>
      <c r="I314" s="369" t="s">
        <v>3259</v>
      </c>
      <c r="J314" s="369"/>
      <c r="K314" s="369"/>
      <c r="L314" s="369"/>
      <c r="M314" s="369" t="s">
        <v>16</v>
      </c>
      <c r="N314" s="369" t="s">
        <v>5062</v>
      </c>
      <c r="O314" s="369" t="s">
        <v>5063</v>
      </c>
      <c r="P314" s="369" t="s">
        <v>5064</v>
      </c>
    </row>
    <row r="315" spans="1:16" ht="13.65" customHeight="1">
      <c r="A315" s="368" t="s">
        <v>5065</v>
      </c>
      <c r="B315" s="369">
        <v>8069</v>
      </c>
      <c r="C315" s="369" t="s">
        <v>5066</v>
      </c>
      <c r="D315" s="369" t="s">
        <v>116</v>
      </c>
      <c r="E315" s="369" t="s">
        <v>116</v>
      </c>
      <c r="F315" s="369" t="s">
        <v>115</v>
      </c>
      <c r="G315" s="369" t="s">
        <v>115</v>
      </c>
      <c r="H315" s="369" t="s">
        <v>1378</v>
      </c>
      <c r="I315" s="369" t="s">
        <v>3259</v>
      </c>
      <c r="J315" s="369"/>
      <c r="K315" s="369"/>
      <c r="L315" s="369"/>
      <c r="M315" s="369"/>
      <c r="N315" s="369"/>
      <c r="O315" s="369" t="s">
        <v>5063</v>
      </c>
      <c r="P315" s="369" t="s">
        <v>5067</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C6D51-773E-4712-8987-1D6E9F295706}">
  <sheetPr codeName="גיליון11"/>
  <dimension ref="A1:AE127"/>
  <sheetViews>
    <sheetView rightToLeft="1" workbookViewId="0">
      <pane ySplit="552" topLeftCell="A49" activePane="bottomLeft"/>
      <selection activeCell="G1" sqref="G1"/>
      <selection pane="bottomLeft" activeCell="A77" sqref="A77"/>
    </sheetView>
  </sheetViews>
  <sheetFormatPr defaultColWidth="7.77734375" defaultRowHeight="14.4"/>
  <cols>
    <col min="1" max="1" width="7.77734375" style="19"/>
    <col min="2" max="2" width="7.77734375" style="365"/>
    <col min="3" max="3" width="13.5546875" style="365" customWidth="1"/>
    <col min="4" max="4" width="7.77734375" style="365"/>
    <col min="5" max="6" width="7.77734375" style="19"/>
    <col min="7" max="7" width="7.77734375" style="366"/>
    <col min="8" max="10" width="7.77734375" style="19"/>
    <col min="11" max="30" width="7.77734375" style="365"/>
    <col min="31" max="31" width="7.77734375" style="366"/>
  </cols>
  <sheetData>
    <row r="1" spans="1:31" ht="13.65" customHeight="1">
      <c r="A1" s="359" t="s">
        <v>3235</v>
      </c>
      <c r="B1" s="360" t="s">
        <v>3236</v>
      </c>
      <c r="C1" s="360" t="s">
        <v>1764</v>
      </c>
      <c r="D1" s="360" t="s">
        <v>3237</v>
      </c>
      <c r="E1" s="359" t="s">
        <v>3238</v>
      </c>
      <c r="F1" s="359" t="s">
        <v>1765</v>
      </c>
      <c r="G1" s="361" t="s">
        <v>1766</v>
      </c>
      <c r="H1" s="359" t="s">
        <v>3239</v>
      </c>
      <c r="I1" s="359" t="s">
        <v>1768</v>
      </c>
      <c r="J1" s="359" t="s">
        <v>3240</v>
      </c>
      <c r="K1" s="360" t="s">
        <v>3241</v>
      </c>
      <c r="L1" s="360" t="s">
        <v>3242</v>
      </c>
      <c r="M1" s="360" t="s">
        <v>3243</v>
      </c>
      <c r="N1" s="360" t="s">
        <v>3244</v>
      </c>
      <c r="O1" s="360" t="s">
        <v>3245</v>
      </c>
      <c r="P1" s="360" t="s">
        <v>3246</v>
      </c>
      <c r="Q1" s="360" t="s">
        <v>3247</v>
      </c>
      <c r="R1" s="360" t="s">
        <v>3248</v>
      </c>
      <c r="S1" s="360" t="s">
        <v>1384</v>
      </c>
      <c r="T1" s="360" t="s">
        <v>3249</v>
      </c>
      <c r="U1" s="360" t="s">
        <v>3250</v>
      </c>
      <c r="V1" s="360" t="s">
        <v>3251</v>
      </c>
      <c r="W1" s="360" t="s">
        <v>3252</v>
      </c>
      <c r="X1" s="360" t="s">
        <v>3253</v>
      </c>
      <c r="Y1" s="360" t="s">
        <v>3254</v>
      </c>
      <c r="Z1" s="360" t="s">
        <v>3255</v>
      </c>
      <c r="AA1" s="360" t="s">
        <v>3256</v>
      </c>
      <c r="AB1" s="360" t="s">
        <v>3257</v>
      </c>
      <c r="AC1" s="360" t="s">
        <v>3258</v>
      </c>
      <c r="AD1" s="360" t="s">
        <v>1762</v>
      </c>
      <c r="AE1" s="361" t="s">
        <v>1767</v>
      </c>
    </row>
    <row r="2" spans="1:31" ht="13.65" customHeight="1">
      <c r="A2" s="362">
        <v>525</v>
      </c>
      <c r="B2" s="363">
        <v>525</v>
      </c>
      <c r="C2" s="363" t="s">
        <v>1843</v>
      </c>
      <c r="D2" s="363"/>
      <c r="E2" s="362">
        <v>861</v>
      </c>
      <c r="F2" s="362" t="s">
        <v>116</v>
      </c>
      <c r="G2" s="364" t="s">
        <v>116</v>
      </c>
      <c r="H2" s="362" t="s">
        <v>115</v>
      </c>
      <c r="I2" s="362" t="s">
        <v>115</v>
      </c>
      <c r="J2" s="362" t="s">
        <v>3259</v>
      </c>
      <c r="K2" s="363" t="s">
        <v>3260</v>
      </c>
      <c r="L2" s="363"/>
      <c r="M2" s="363" t="s">
        <v>3261</v>
      </c>
      <c r="N2" s="363" t="s">
        <v>3261</v>
      </c>
      <c r="O2" s="363"/>
      <c r="P2" s="363" t="s">
        <v>3262</v>
      </c>
      <c r="Q2" s="363" t="s">
        <v>3263</v>
      </c>
      <c r="R2" s="363" t="s">
        <v>3264</v>
      </c>
      <c r="S2" s="363"/>
      <c r="T2" s="363"/>
      <c r="U2" s="363">
        <v>525</v>
      </c>
      <c r="V2" s="363"/>
      <c r="W2" s="363"/>
      <c r="X2" s="363" t="s">
        <v>3265</v>
      </c>
      <c r="Y2" s="363"/>
      <c r="Z2" s="363"/>
      <c r="AA2" s="363"/>
      <c r="AB2" s="363" t="s">
        <v>3266</v>
      </c>
      <c r="AC2" s="363">
        <v>1590</v>
      </c>
      <c r="AD2" s="363"/>
      <c r="AE2" s="364" t="s">
        <v>115</v>
      </c>
    </row>
    <row r="3" spans="1:31" ht="13.65" customHeight="1">
      <c r="A3" s="362">
        <v>534</v>
      </c>
      <c r="B3" s="363">
        <v>534</v>
      </c>
      <c r="C3" s="363" t="s">
        <v>1456</v>
      </c>
      <c r="D3" s="363"/>
      <c r="E3" s="362">
        <v>1235</v>
      </c>
      <c r="F3" s="362" t="s">
        <v>115</v>
      </c>
      <c r="G3" s="364" t="s">
        <v>116</v>
      </c>
      <c r="H3" s="362" t="s">
        <v>115</v>
      </c>
      <c r="I3" s="362" t="s">
        <v>115</v>
      </c>
      <c r="J3" s="362" t="s">
        <v>3259</v>
      </c>
      <c r="K3" s="363" t="s">
        <v>3260</v>
      </c>
      <c r="L3" s="363"/>
      <c r="M3" s="363" t="s">
        <v>3261</v>
      </c>
      <c r="N3" s="363" t="s">
        <v>3261</v>
      </c>
      <c r="O3" s="363"/>
      <c r="P3" s="363" t="s">
        <v>3267</v>
      </c>
      <c r="Q3" s="363" t="s">
        <v>3268</v>
      </c>
      <c r="R3" s="363" t="s">
        <v>3269</v>
      </c>
      <c r="S3" s="363"/>
      <c r="T3" s="363"/>
      <c r="U3" s="363">
        <v>534</v>
      </c>
      <c r="V3" s="363" t="s">
        <v>3270</v>
      </c>
      <c r="W3" s="363" t="s">
        <v>3271</v>
      </c>
      <c r="X3" s="363"/>
      <c r="Y3" s="363"/>
      <c r="Z3" s="363" t="s">
        <v>3272</v>
      </c>
      <c r="AA3" s="363"/>
      <c r="AB3" s="363" t="s">
        <v>3273</v>
      </c>
      <c r="AC3" s="363">
        <v>5022</v>
      </c>
      <c r="AD3" s="363"/>
      <c r="AE3" s="364" t="s">
        <v>115</v>
      </c>
    </row>
    <row r="4" spans="1:31" ht="13.65" customHeight="1">
      <c r="A4" s="362">
        <v>537</v>
      </c>
      <c r="B4" s="363">
        <v>537</v>
      </c>
      <c r="C4" s="363" t="s">
        <v>1849</v>
      </c>
      <c r="D4" s="363">
        <v>537</v>
      </c>
      <c r="E4" s="362">
        <v>3028</v>
      </c>
      <c r="F4" s="362" t="s">
        <v>115</v>
      </c>
      <c r="G4" s="364" t="s">
        <v>116</v>
      </c>
      <c r="H4" s="362" t="s">
        <v>115</v>
      </c>
      <c r="I4" s="362" t="s">
        <v>115</v>
      </c>
      <c r="J4" s="362" t="s">
        <v>3259</v>
      </c>
      <c r="K4" s="363" t="s">
        <v>3260</v>
      </c>
      <c r="L4" s="363"/>
      <c r="M4" s="363" t="s">
        <v>3274</v>
      </c>
      <c r="N4" s="363" t="s">
        <v>651</v>
      </c>
      <c r="O4" s="363" t="s">
        <v>3275</v>
      </c>
      <c r="P4" s="363" t="s">
        <v>3276</v>
      </c>
      <c r="Q4" s="363" t="s">
        <v>3277</v>
      </c>
      <c r="R4" s="363" t="s">
        <v>3278</v>
      </c>
      <c r="S4" s="363"/>
      <c r="T4" s="363"/>
      <c r="U4" s="363">
        <v>537</v>
      </c>
      <c r="V4" s="363" t="s">
        <v>3279</v>
      </c>
      <c r="W4" s="363"/>
      <c r="X4" s="363" t="s">
        <v>3280</v>
      </c>
      <c r="Y4" s="363" t="s">
        <v>3281</v>
      </c>
      <c r="Z4" s="363"/>
      <c r="AA4" s="363"/>
      <c r="AB4" s="363" t="s">
        <v>3282</v>
      </c>
      <c r="AC4" s="363">
        <v>1472</v>
      </c>
      <c r="AD4" s="363"/>
      <c r="AE4" s="364" t="s">
        <v>116</v>
      </c>
    </row>
    <row r="5" spans="1:31" ht="13.65" customHeight="1">
      <c r="A5" s="362">
        <v>549</v>
      </c>
      <c r="B5" s="363">
        <v>4262</v>
      </c>
      <c r="C5" s="363" t="s">
        <v>2581</v>
      </c>
      <c r="D5" s="363">
        <v>4262</v>
      </c>
      <c r="E5" s="362">
        <v>97</v>
      </c>
      <c r="F5" s="362" t="s">
        <v>115</v>
      </c>
      <c r="G5" s="364" t="s">
        <v>116</v>
      </c>
      <c r="H5" s="362" t="s">
        <v>115</v>
      </c>
      <c r="I5" s="362" t="s">
        <v>115</v>
      </c>
      <c r="J5" s="362" t="s">
        <v>3259</v>
      </c>
      <c r="K5" s="363" t="s">
        <v>3260</v>
      </c>
      <c r="L5" s="363"/>
      <c r="M5" s="363" t="s">
        <v>3274</v>
      </c>
      <c r="N5" s="363" t="s">
        <v>3283</v>
      </c>
      <c r="O5" s="363"/>
      <c r="P5" s="363" t="s">
        <v>3284</v>
      </c>
      <c r="Q5" s="363" t="s">
        <v>3285</v>
      </c>
      <c r="R5" s="363"/>
      <c r="S5" s="363"/>
      <c r="T5" s="363"/>
      <c r="U5" s="363">
        <v>4262</v>
      </c>
      <c r="V5" s="363" t="s">
        <v>3286</v>
      </c>
      <c r="W5" s="363"/>
      <c r="X5" s="363" t="s">
        <v>3287</v>
      </c>
      <c r="Y5" s="363"/>
      <c r="Z5" s="363"/>
      <c r="AA5" s="363"/>
      <c r="AB5" s="363" t="s">
        <v>3288</v>
      </c>
      <c r="AC5" s="363">
        <v>4016</v>
      </c>
      <c r="AD5" s="363"/>
      <c r="AE5" s="364" t="s">
        <v>115</v>
      </c>
    </row>
    <row r="6" spans="1:31" ht="13.65" customHeight="1">
      <c r="A6" s="362">
        <v>549</v>
      </c>
      <c r="B6" s="363">
        <v>549</v>
      </c>
      <c r="C6" s="363" t="s">
        <v>1851</v>
      </c>
      <c r="D6" s="363">
        <v>549</v>
      </c>
      <c r="E6" s="362">
        <v>97</v>
      </c>
      <c r="F6" s="362" t="s">
        <v>115</v>
      </c>
      <c r="G6" s="364" t="s">
        <v>116</v>
      </c>
      <c r="H6" s="362" t="s">
        <v>115</v>
      </c>
      <c r="I6" s="362" t="s">
        <v>115</v>
      </c>
      <c r="J6" s="362" t="s">
        <v>3259</v>
      </c>
      <c r="K6" s="363" t="s">
        <v>3260</v>
      </c>
      <c r="L6" s="363"/>
      <c r="M6" s="363" t="s">
        <v>3274</v>
      </c>
      <c r="N6" s="363" t="s">
        <v>3283</v>
      </c>
      <c r="O6" s="363"/>
      <c r="P6" s="363" t="s">
        <v>3284</v>
      </c>
      <c r="Q6" s="363" t="s">
        <v>3285</v>
      </c>
      <c r="R6" s="363"/>
      <c r="S6" s="363"/>
      <c r="T6" s="363"/>
      <c r="U6" s="363">
        <v>549</v>
      </c>
      <c r="V6" s="363" t="s">
        <v>3289</v>
      </c>
      <c r="W6" s="363"/>
      <c r="X6" s="363" t="s">
        <v>3290</v>
      </c>
      <c r="Y6" s="363"/>
      <c r="Z6" s="363"/>
      <c r="AA6" s="363"/>
      <c r="AB6" s="363" t="s">
        <v>3288</v>
      </c>
      <c r="AC6" s="363">
        <v>4016</v>
      </c>
      <c r="AD6" s="363"/>
      <c r="AE6" s="364" t="s">
        <v>115</v>
      </c>
    </row>
    <row r="7" spans="1:31" ht="13.65" customHeight="1">
      <c r="A7" s="362">
        <v>564</v>
      </c>
      <c r="B7" s="363">
        <v>564</v>
      </c>
      <c r="C7" s="363" t="s">
        <v>1859</v>
      </c>
      <c r="D7" s="363">
        <v>564</v>
      </c>
      <c r="E7" s="362">
        <v>70</v>
      </c>
      <c r="F7" s="362" t="s">
        <v>115</v>
      </c>
      <c r="G7" s="364" t="s">
        <v>116</v>
      </c>
      <c r="H7" s="362" t="s">
        <v>115</v>
      </c>
      <c r="I7" s="362" t="s">
        <v>115</v>
      </c>
      <c r="J7" s="362" t="s">
        <v>3259</v>
      </c>
      <c r="K7" s="363" t="s">
        <v>3260</v>
      </c>
      <c r="L7" s="363"/>
      <c r="M7" s="363" t="s">
        <v>3274</v>
      </c>
      <c r="N7" s="363" t="s">
        <v>3291</v>
      </c>
      <c r="O7" s="363" t="s">
        <v>3292</v>
      </c>
      <c r="P7" s="363" t="s">
        <v>3293</v>
      </c>
      <c r="Q7" s="363" t="s">
        <v>3294</v>
      </c>
      <c r="R7" s="363" t="s">
        <v>3295</v>
      </c>
      <c r="S7" s="363"/>
      <c r="T7" s="363"/>
      <c r="U7" s="363">
        <v>564</v>
      </c>
      <c r="V7" s="363" t="s">
        <v>3296</v>
      </c>
      <c r="W7" s="363"/>
      <c r="X7" s="363"/>
      <c r="Y7" s="363"/>
      <c r="Z7" s="363" t="s">
        <v>3297</v>
      </c>
      <c r="AA7" s="363"/>
      <c r="AB7" s="363" t="s">
        <v>3298</v>
      </c>
      <c r="AC7" s="363">
        <v>1249</v>
      </c>
      <c r="AD7" s="363"/>
      <c r="AE7" s="364" t="s">
        <v>115</v>
      </c>
    </row>
    <row r="8" spans="1:31" ht="13.65" customHeight="1">
      <c r="A8" s="362">
        <v>578</v>
      </c>
      <c r="B8" s="363">
        <v>578</v>
      </c>
      <c r="C8" s="363" t="s">
        <v>797</v>
      </c>
      <c r="D8" s="363">
        <v>578</v>
      </c>
      <c r="E8" s="362">
        <v>446</v>
      </c>
      <c r="F8" s="362" t="s">
        <v>115</v>
      </c>
      <c r="G8" s="364" t="s">
        <v>116</v>
      </c>
      <c r="H8" s="362" t="s">
        <v>115</v>
      </c>
      <c r="I8" s="362" t="s">
        <v>115</v>
      </c>
      <c r="J8" s="362" t="s">
        <v>3259</v>
      </c>
      <c r="K8" s="363" t="s">
        <v>3260</v>
      </c>
      <c r="L8" s="363"/>
      <c r="M8" s="363" t="s">
        <v>3274</v>
      </c>
      <c r="N8" s="363" t="s">
        <v>3299</v>
      </c>
      <c r="O8" s="363" t="s">
        <v>1381</v>
      </c>
      <c r="P8" s="363" t="s">
        <v>3300</v>
      </c>
      <c r="Q8" s="363" t="s">
        <v>3301</v>
      </c>
      <c r="R8" s="363"/>
      <c r="S8" s="363"/>
      <c r="T8" s="363"/>
      <c r="U8" s="363">
        <v>578</v>
      </c>
      <c r="V8" s="363" t="s">
        <v>3270</v>
      </c>
      <c r="W8" s="363" t="s">
        <v>3302</v>
      </c>
      <c r="X8" s="363"/>
      <c r="Y8" s="363">
        <v>9200</v>
      </c>
      <c r="Z8" s="363"/>
      <c r="AA8" s="363"/>
      <c r="AB8" s="363" t="s">
        <v>3303</v>
      </c>
      <c r="AC8" s="363">
        <v>5038</v>
      </c>
      <c r="AD8" s="363"/>
      <c r="AE8" s="364" t="s">
        <v>115</v>
      </c>
    </row>
    <row r="9" spans="1:31" ht="13.65" customHeight="1">
      <c r="A9" s="362">
        <v>616</v>
      </c>
      <c r="B9" s="363">
        <v>616</v>
      </c>
      <c r="C9" s="363" t="s">
        <v>1851</v>
      </c>
      <c r="D9" s="363"/>
      <c r="E9" s="362">
        <v>15</v>
      </c>
      <c r="F9" s="362" t="s">
        <v>115</v>
      </c>
      <c r="G9" s="364" t="s">
        <v>116</v>
      </c>
      <c r="H9" s="362" t="s">
        <v>115</v>
      </c>
      <c r="I9" s="362" t="s">
        <v>115</v>
      </c>
      <c r="J9" s="362" t="s">
        <v>3259</v>
      </c>
      <c r="K9" s="363" t="s">
        <v>3260</v>
      </c>
      <c r="L9" s="363"/>
      <c r="M9" s="363" t="s">
        <v>3261</v>
      </c>
      <c r="N9" s="363" t="s">
        <v>3261</v>
      </c>
      <c r="O9" s="363"/>
      <c r="P9" s="363"/>
      <c r="Q9" s="363"/>
      <c r="R9" s="363"/>
      <c r="S9" s="363"/>
      <c r="T9" s="363"/>
      <c r="U9" s="363">
        <v>616</v>
      </c>
      <c r="V9" s="363" t="s">
        <v>3304</v>
      </c>
      <c r="W9" s="363"/>
      <c r="X9" s="363" t="s">
        <v>3305</v>
      </c>
      <c r="Y9" s="363"/>
      <c r="Z9" s="363"/>
      <c r="AA9" s="363"/>
      <c r="AB9" s="363"/>
      <c r="AC9" s="363">
        <v>0</v>
      </c>
      <c r="AD9" s="363"/>
      <c r="AE9" s="364" t="s">
        <v>116</v>
      </c>
    </row>
    <row r="10" spans="1:31" ht="13.65" customHeight="1">
      <c r="A10" s="362">
        <v>643</v>
      </c>
      <c r="B10" s="363">
        <v>243</v>
      </c>
      <c r="C10" s="363" t="s">
        <v>1795</v>
      </c>
      <c r="D10" s="363">
        <v>243</v>
      </c>
      <c r="E10" s="362">
        <v>2428</v>
      </c>
      <c r="F10" s="362" t="s">
        <v>116</v>
      </c>
      <c r="G10" s="364" t="s">
        <v>116</v>
      </c>
      <c r="H10" s="362" t="s">
        <v>115</v>
      </c>
      <c r="I10" s="362" t="s">
        <v>115</v>
      </c>
      <c r="J10" s="362" t="s">
        <v>3259</v>
      </c>
      <c r="K10" s="363" t="s">
        <v>3260</v>
      </c>
      <c r="L10" s="363"/>
      <c r="M10" s="363" t="s">
        <v>3274</v>
      </c>
      <c r="N10" s="363" t="s">
        <v>3283</v>
      </c>
      <c r="O10" s="363"/>
      <c r="P10" s="363" t="s">
        <v>3306</v>
      </c>
      <c r="Q10" s="363" t="s">
        <v>3307</v>
      </c>
      <c r="R10" s="363"/>
      <c r="S10" s="363"/>
      <c r="T10" s="363"/>
      <c r="U10" s="363">
        <v>243</v>
      </c>
      <c r="V10" s="363" t="s">
        <v>3308</v>
      </c>
      <c r="W10" s="363"/>
      <c r="X10" s="363" t="s">
        <v>3309</v>
      </c>
      <c r="Y10" s="363"/>
      <c r="Z10" s="363" t="s">
        <v>3310</v>
      </c>
      <c r="AA10" s="363"/>
      <c r="AB10" s="363" t="s">
        <v>3311</v>
      </c>
      <c r="AC10" s="363">
        <v>4006</v>
      </c>
      <c r="AD10" s="363"/>
      <c r="AE10" s="364" t="s">
        <v>115</v>
      </c>
    </row>
    <row r="11" spans="1:31" ht="13.65" customHeight="1">
      <c r="A11" s="362">
        <v>643</v>
      </c>
      <c r="B11" s="363">
        <v>643</v>
      </c>
      <c r="C11" s="363" t="s">
        <v>1883</v>
      </c>
      <c r="D11" s="363">
        <v>643</v>
      </c>
      <c r="E11" s="362">
        <v>2428</v>
      </c>
      <c r="F11" s="362" t="s">
        <v>116</v>
      </c>
      <c r="G11" s="364" t="s">
        <v>116</v>
      </c>
      <c r="H11" s="362" t="s">
        <v>115</v>
      </c>
      <c r="I11" s="362" t="s">
        <v>115</v>
      </c>
      <c r="J11" s="362" t="s">
        <v>3259</v>
      </c>
      <c r="K11" s="363" t="s">
        <v>3260</v>
      </c>
      <c r="L11" s="363"/>
      <c r="M11" s="363" t="s">
        <v>3274</v>
      </c>
      <c r="N11" s="363" t="s">
        <v>651</v>
      </c>
      <c r="O11" s="363" t="s">
        <v>3312</v>
      </c>
      <c r="P11" s="363" t="s">
        <v>3306</v>
      </c>
      <c r="Q11" s="363" t="s">
        <v>3307</v>
      </c>
      <c r="R11" s="363"/>
      <c r="S11" s="363"/>
      <c r="T11" s="363"/>
      <c r="U11" s="363">
        <v>643</v>
      </c>
      <c r="V11" s="363" t="s">
        <v>3313</v>
      </c>
      <c r="W11" s="363"/>
      <c r="X11" s="363" t="s">
        <v>3314</v>
      </c>
      <c r="Y11" s="363"/>
      <c r="Z11" s="363" t="s">
        <v>3315</v>
      </c>
      <c r="AA11" s="363"/>
      <c r="AB11" s="363" t="s">
        <v>3311</v>
      </c>
      <c r="AC11" s="363">
        <v>4006</v>
      </c>
      <c r="AD11" s="363"/>
      <c r="AE11" s="364" t="s">
        <v>115</v>
      </c>
    </row>
    <row r="12" spans="1:31" ht="13.65" customHeight="1">
      <c r="A12" s="362">
        <v>647</v>
      </c>
      <c r="B12" s="363">
        <v>4268</v>
      </c>
      <c r="C12" s="363" t="s">
        <v>2586</v>
      </c>
      <c r="D12" s="363">
        <v>4268</v>
      </c>
      <c r="E12" s="362">
        <v>10075</v>
      </c>
      <c r="F12" s="362" t="s">
        <v>115</v>
      </c>
      <c r="G12" s="364" t="s">
        <v>116</v>
      </c>
      <c r="H12" s="362" t="s">
        <v>115</v>
      </c>
      <c r="I12" s="362" t="s">
        <v>115</v>
      </c>
      <c r="J12" s="362" t="s">
        <v>3259</v>
      </c>
      <c r="K12" s="363" t="s">
        <v>3260</v>
      </c>
      <c r="L12" s="363"/>
      <c r="M12" s="363" t="s">
        <v>3274</v>
      </c>
      <c r="N12" s="363" t="s">
        <v>3283</v>
      </c>
      <c r="O12" s="363"/>
      <c r="P12" s="363" t="s">
        <v>3316</v>
      </c>
      <c r="Q12" s="363" t="s">
        <v>3317</v>
      </c>
      <c r="R12" s="363" t="s">
        <v>3318</v>
      </c>
      <c r="S12" s="363"/>
      <c r="T12" s="363"/>
      <c r="U12" s="363">
        <v>4268</v>
      </c>
      <c r="V12" s="363" t="s">
        <v>3319</v>
      </c>
      <c r="W12" s="363"/>
      <c r="X12" s="363" t="s">
        <v>3290</v>
      </c>
      <c r="Y12" s="363"/>
      <c r="Z12" s="363" t="s">
        <v>3320</v>
      </c>
      <c r="AA12" s="363"/>
      <c r="AB12" s="363" t="s">
        <v>3321</v>
      </c>
      <c r="AC12" s="363">
        <v>1002</v>
      </c>
      <c r="AD12" s="363"/>
      <c r="AE12" s="364" t="s">
        <v>115</v>
      </c>
    </row>
    <row r="13" spans="1:31" ht="13.65" customHeight="1">
      <c r="A13" s="362">
        <v>650</v>
      </c>
      <c r="B13" s="363">
        <v>650</v>
      </c>
      <c r="C13" s="363" t="s">
        <v>1886</v>
      </c>
      <c r="D13" s="363">
        <v>650</v>
      </c>
      <c r="E13" s="362">
        <v>11876</v>
      </c>
      <c r="F13" s="362" t="s">
        <v>116</v>
      </c>
      <c r="G13" s="364" t="s">
        <v>116</v>
      </c>
      <c r="H13" s="362" t="s">
        <v>115</v>
      </c>
      <c r="I13" s="362" t="s">
        <v>115</v>
      </c>
      <c r="J13" s="362" t="s">
        <v>3259</v>
      </c>
      <c r="K13" s="363" t="s">
        <v>3260</v>
      </c>
      <c r="L13" s="363"/>
      <c r="M13" s="363" t="s">
        <v>3274</v>
      </c>
      <c r="N13" s="363" t="s">
        <v>3283</v>
      </c>
      <c r="O13" s="363"/>
      <c r="P13" s="363" t="s">
        <v>219</v>
      </c>
      <c r="Q13" s="363" t="s">
        <v>3322</v>
      </c>
      <c r="R13" s="363"/>
      <c r="S13" s="363"/>
      <c r="T13" s="363"/>
      <c r="U13" s="363">
        <v>650</v>
      </c>
      <c r="V13" s="363" t="s">
        <v>3286</v>
      </c>
      <c r="W13" s="363"/>
      <c r="X13" s="363" t="s">
        <v>3323</v>
      </c>
      <c r="Y13" s="363"/>
      <c r="Z13" s="363" t="s">
        <v>3324</v>
      </c>
      <c r="AA13" s="363"/>
      <c r="AB13" s="363">
        <v>0</v>
      </c>
      <c r="AC13" s="363" t="s">
        <v>3325</v>
      </c>
      <c r="AD13" s="363">
        <v>650</v>
      </c>
      <c r="AE13" s="364" t="s">
        <v>116</v>
      </c>
    </row>
    <row r="14" spans="1:31" ht="13.65" customHeight="1">
      <c r="A14" s="362">
        <v>652</v>
      </c>
      <c r="B14" s="363">
        <v>652</v>
      </c>
      <c r="C14" s="363" t="s">
        <v>1888</v>
      </c>
      <c r="D14" s="363"/>
      <c r="E14" s="362">
        <v>949</v>
      </c>
      <c r="F14" s="362" t="s">
        <v>116</v>
      </c>
      <c r="G14" s="364" t="s">
        <v>116</v>
      </c>
      <c r="H14" s="362" t="s">
        <v>115</v>
      </c>
      <c r="I14" s="362" t="s">
        <v>115</v>
      </c>
      <c r="J14" s="362" t="s">
        <v>3259</v>
      </c>
      <c r="K14" s="363" t="s">
        <v>3260</v>
      </c>
      <c r="L14" s="363"/>
      <c r="M14" s="363" t="s">
        <v>3261</v>
      </c>
      <c r="N14" s="363" t="s">
        <v>3261</v>
      </c>
      <c r="O14" s="363"/>
      <c r="P14" s="363" t="s">
        <v>3326</v>
      </c>
      <c r="Q14" s="363"/>
      <c r="R14" s="363"/>
      <c r="S14" s="363"/>
      <c r="T14" s="363"/>
      <c r="U14" s="363">
        <v>652</v>
      </c>
      <c r="V14" s="363" t="s">
        <v>3327</v>
      </c>
      <c r="W14" s="363"/>
      <c r="X14" s="363" t="s">
        <v>3328</v>
      </c>
      <c r="Y14" s="363"/>
      <c r="Z14" s="363" t="s">
        <v>3329</v>
      </c>
      <c r="AA14" s="363"/>
      <c r="AB14" s="363">
        <v>0</v>
      </c>
      <c r="AC14" s="363" t="s">
        <v>3330</v>
      </c>
      <c r="AD14" s="363"/>
      <c r="AE14" s="364" t="s">
        <v>115</v>
      </c>
    </row>
    <row r="15" spans="1:31" ht="13.65" customHeight="1">
      <c r="A15" s="362">
        <v>654</v>
      </c>
      <c r="B15" s="363"/>
      <c r="C15" s="363"/>
      <c r="D15" s="363"/>
      <c r="E15" s="362">
        <v>1</v>
      </c>
      <c r="F15" s="362" t="s">
        <v>115</v>
      </c>
      <c r="G15" s="364"/>
      <c r="H15" s="362" t="s">
        <v>115</v>
      </c>
      <c r="I15" s="362" t="s">
        <v>115</v>
      </c>
      <c r="J15" s="362" t="s">
        <v>3259</v>
      </c>
      <c r="K15" s="363"/>
      <c r="L15" s="363"/>
      <c r="M15" s="363"/>
      <c r="N15" s="363"/>
      <c r="O15" s="363"/>
      <c r="P15" s="363"/>
      <c r="Q15" s="363"/>
      <c r="R15" s="363"/>
      <c r="S15" s="363"/>
      <c r="T15" s="363"/>
      <c r="U15" s="363"/>
      <c r="V15" s="363"/>
      <c r="W15" s="363"/>
      <c r="X15" s="363"/>
      <c r="Y15" s="363"/>
      <c r="Z15" s="363"/>
      <c r="AA15" s="363"/>
      <c r="AB15" s="363"/>
      <c r="AC15" s="363"/>
      <c r="AD15" s="363"/>
      <c r="AE15" s="364"/>
    </row>
    <row r="16" spans="1:31" ht="13.65" customHeight="1">
      <c r="A16" s="362">
        <v>678</v>
      </c>
      <c r="B16" s="363">
        <v>678</v>
      </c>
      <c r="C16" s="363" t="s">
        <v>1898</v>
      </c>
      <c r="D16" s="363">
        <v>678</v>
      </c>
      <c r="E16" s="362">
        <v>51</v>
      </c>
      <c r="F16" s="362" t="s">
        <v>116</v>
      </c>
      <c r="G16" s="364" t="s">
        <v>116</v>
      </c>
      <c r="H16" s="362" t="s">
        <v>115</v>
      </c>
      <c r="I16" s="362" t="s">
        <v>115</v>
      </c>
      <c r="J16" s="362" t="s">
        <v>3259</v>
      </c>
      <c r="K16" s="363" t="s">
        <v>3260</v>
      </c>
      <c r="L16" s="363"/>
      <c r="M16" s="363" t="s">
        <v>3274</v>
      </c>
      <c r="N16" s="363" t="s">
        <v>1378</v>
      </c>
      <c r="O16" s="363" t="s">
        <v>3331</v>
      </c>
      <c r="P16" s="363" t="s">
        <v>3332</v>
      </c>
      <c r="Q16" s="363"/>
      <c r="R16" s="363"/>
      <c r="S16" s="363"/>
      <c r="T16" s="363"/>
      <c r="U16" s="363">
        <v>678</v>
      </c>
      <c r="V16" s="363"/>
      <c r="W16" s="363"/>
      <c r="X16" s="363"/>
      <c r="Y16" s="363"/>
      <c r="Z16" s="363"/>
      <c r="AA16" s="363"/>
      <c r="AB16" s="363">
        <v>0</v>
      </c>
      <c r="AC16" s="363" t="s">
        <v>3330</v>
      </c>
      <c r="AD16" s="363"/>
      <c r="AE16" s="364" t="s">
        <v>115</v>
      </c>
    </row>
    <row r="17" spans="1:31" ht="13.65" customHeight="1">
      <c r="A17" s="362">
        <v>697</v>
      </c>
      <c r="B17" s="363">
        <v>697</v>
      </c>
      <c r="C17" s="363" t="s">
        <v>1422</v>
      </c>
      <c r="D17" s="363">
        <v>697</v>
      </c>
      <c r="E17" s="362">
        <v>856</v>
      </c>
      <c r="F17" s="362" t="s">
        <v>115</v>
      </c>
      <c r="G17" s="364" t="s">
        <v>116</v>
      </c>
      <c r="H17" s="362" t="s">
        <v>115</v>
      </c>
      <c r="I17" s="362" t="s">
        <v>115</v>
      </c>
      <c r="J17" s="362" t="s">
        <v>3259</v>
      </c>
      <c r="K17" s="363" t="s">
        <v>3260</v>
      </c>
      <c r="L17" s="363"/>
      <c r="M17" s="363" t="s">
        <v>3274</v>
      </c>
      <c r="N17" s="363" t="s">
        <v>3283</v>
      </c>
      <c r="O17" s="363"/>
      <c r="P17" s="363" t="s">
        <v>3333</v>
      </c>
      <c r="Q17" s="363" t="s">
        <v>3334</v>
      </c>
      <c r="R17" s="363"/>
      <c r="S17" s="363"/>
      <c r="T17" s="363"/>
      <c r="U17" s="363">
        <v>697</v>
      </c>
      <c r="V17" s="363" t="s">
        <v>3335</v>
      </c>
      <c r="W17" s="363" t="s">
        <v>3302</v>
      </c>
      <c r="X17" s="363" t="s">
        <v>3290</v>
      </c>
      <c r="Y17" s="363">
        <v>9200</v>
      </c>
      <c r="Z17" s="363"/>
      <c r="AA17" s="363"/>
      <c r="AB17" s="363" t="s">
        <v>3336</v>
      </c>
      <c r="AC17" s="363">
        <v>1149</v>
      </c>
      <c r="AD17" s="363"/>
      <c r="AE17" s="364" t="s">
        <v>115</v>
      </c>
    </row>
    <row r="18" spans="1:31" ht="13.65" customHeight="1">
      <c r="A18" s="362">
        <v>705</v>
      </c>
      <c r="B18" s="363">
        <v>705</v>
      </c>
      <c r="C18" s="363" t="s">
        <v>25</v>
      </c>
      <c r="D18" s="363">
        <v>705</v>
      </c>
      <c r="E18" s="362">
        <v>3964</v>
      </c>
      <c r="F18" s="362" t="s">
        <v>115</v>
      </c>
      <c r="G18" s="364" t="s">
        <v>116</v>
      </c>
      <c r="H18" s="362" t="s">
        <v>115</v>
      </c>
      <c r="I18" s="362" t="s">
        <v>115</v>
      </c>
      <c r="J18" s="362" t="s">
        <v>3259</v>
      </c>
      <c r="K18" s="363" t="s">
        <v>3260</v>
      </c>
      <c r="L18" s="363"/>
      <c r="M18" s="363" t="s">
        <v>3274</v>
      </c>
      <c r="N18" s="363" t="s">
        <v>3283</v>
      </c>
      <c r="O18" s="363"/>
      <c r="P18" s="363" t="s">
        <v>3337</v>
      </c>
      <c r="Q18" s="363" t="s">
        <v>3338</v>
      </c>
      <c r="R18" s="363" t="s">
        <v>3339</v>
      </c>
      <c r="S18" s="363"/>
      <c r="T18" s="363"/>
      <c r="U18" s="363">
        <v>705</v>
      </c>
      <c r="V18" s="363" t="s">
        <v>3289</v>
      </c>
      <c r="W18" s="363"/>
      <c r="X18" s="363" t="s">
        <v>3290</v>
      </c>
      <c r="Y18" s="363"/>
      <c r="Z18" s="363"/>
      <c r="AA18" s="363"/>
      <c r="AB18" s="363" t="s">
        <v>3340</v>
      </c>
      <c r="AC18" s="363">
        <v>1016</v>
      </c>
      <c r="AD18" s="363"/>
      <c r="AE18" s="364" t="s">
        <v>115</v>
      </c>
    </row>
    <row r="19" spans="1:31" ht="13.65" customHeight="1">
      <c r="A19" s="362">
        <v>717</v>
      </c>
      <c r="B19" s="363">
        <v>717</v>
      </c>
      <c r="C19" s="363" t="s">
        <v>1846</v>
      </c>
      <c r="D19" s="363">
        <v>717</v>
      </c>
      <c r="E19" s="362" t="s">
        <v>3341</v>
      </c>
      <c r="F19" s="362" t="s">
        <v>116</v>
      </c>
      <c r="G19" s="364" t="s">
        <v>116</v>
      </c>
      <c r="H19" s="362" t="s">
        <v>115</v>
      </c>
      <c r="I19" s="362" t="s">
        <v>115</v>
      </c>
      <c r="J19" s="362" t="s">
        <v>3259</v>
      </c>
      <c r="K19" s="363" t="s">
        <v>3260</v>
      </c>
      <c r="L19" s="363"/>
      <c r="M19" s="363" t="s">
        <v>3274</v>
      </c>
      <c r="N19" s="363" t="s">
        <v>651</v>
      </c>
      <c r="O19" s="363" t="s">
        <v>3342</v>
      </c>
      <c r="P19" s="363" t="s">
        <v>3343</v>
      </c>
      <c r="Q19" s="363" t="s">
        <v>3344</v>
      </c>
      <c r="R19" s="363" t="s">
        <v>3345</v>
      </c>
      <c r="S19" s="363"/>
      <c r="T19" s="363"/>
      <c r="U19" s="363">
        <v>717</v>
      </c>
      <c r="V19" s="363" t="s">
        <v>3313</v>
      </c>
      <c r="W19" s="363"/>
      <c r="X19" s="363" t="s">
        <v>3314</v>
      </c>
      <c r="Y19" s="363"/>
      <c r="Z19" s="363"/>
      <c r="AA19" s="363"/>
      <c r="AB19" s="363" t="s">
        <v>3346</v>
      </c>
      <c r="AC19" s="363">
        <v>1414</v>
      </c>
      <c r="AD19" s="363"/>
      <c r="AE19" s="364" t="s">
        <v>115</v>
      </c>
    </row>
    <row r="20" spans="1:31" ht="13.65" customHeight="1">
      <c r="A20" s="362">
        <v>727</v>
      </c>
      <c r="B20" s="363">
        <v>727</v>
      </c>
      <c r="C20" s="363" t="s">
        <v>844</v>
      </c>
      <c r="D20" s="363">
        <v>727</v>
      </c>
      <c r="E20" s="362">
        <v>1638</v>
      </c>
      <c r="F20" s="362" t="s">
        <v>115</v>
      </c>
      <c r="G20" s="364" t="s">
        <v>116</v>
      </c>
      <c r="H20" s="362" t="s">
        <v>115</v>
      </c>
      <c r="I20" s="362" t="s">
        <v>115</v>
      </c>
      <c r="J20" s="362" t="s">
        <v>3259</v>
      </c>
      <c r="K20" s="363" t="s">
        <v>3260</v>
      </c>
      <c r="L20" s="363"/>
      <c r="M20" s="363" t="s">
        <v>3274</v>
      </c>
      <c r="N20" s="363" t="s">
        <v>3283</v>
      </c>
      <c r="O20" s="363"/>
      <c r="P20" s="363" t="s">
        <v>3347</v>
      </c>
      <c r="Q20" s="363" t="s">
        <v>3348</v>
      </c>
      <c r="R20" s="363"/>
      <c r="S20" s="363"/>
      <c r="T20" s="363"/>
      <c r="U20" s="363">
        <v>727</v>
      </c>
      <c r="V20" s="363" t="s">
        <v>3349</v>
      </c>
      <c r="W20" s="363">
        <v>9200</v>
      </c>
      <c r="X20" s="363" t="s">
        <v>3350</v>
      </c>
      <c r="Y20" s="363">
        <v>9200</v>
      </c>
      <c r="Z20" s="363"/>
      <c r="AA20" s="363"/>
      <c r="AB20" s="363" t="s">
        <v>3351</v>
      </c>
      <c r="AC20" s="363">
        <v>1372</v>
      </c>
      <c r="AD20" s="363"/>
      <c r="AE20" s="364" t="s">
        <v>115</v>
      </c>
    </row>
    <row r="21" spans="1:31" ht="13.65" customHeight="1">
      <c r="A21" s="362">
        <v>730</v>
      </c>
      <c r="B21" s="363">
        <v>730</v>
      </c>
      <c r="C21" s="363" t="s">
        <v>1918</v>
      </c>
      <c r="D21" s="363">
        <v>730</v>
      </c>
      <c r="E21" s="362">
        <v>0</v>
      </c>
      <c r="F21" s="362" t="s">
        <v>115</v>
      </c>
      <c r="G21" s="364" t="s">
        <v>116</v>
      </c>
      <c r="H21" s="362" t="s">
        <v>115</v>
      </c>
      <c r="I21" s="362" t="s">
        <v>115</v>
      </c>
      <c r="J21" s="362" t="s">
        <v>3259</v>
      </c>
      <c r="K21" s="363" t="s">
        <v>3260</v>
      </c>
      <c r="L21" s="363"/>
      <c r="M21" s="363" t="s">
        <v>3274</v>
      </c>
      <c r="N21" s="363" t="s">
        <v>651</v>
      </c>
      <c r="O21" s="363" t="s">
        <v>3352</v>
      </c>
      <c r="P21" s="363" t="s">
        <v>3353</v>
      </c>
      <c r="Q21" s="363" t="s">
        <v>3354</v>
      </c>
      <c r="R21" s="363"/>
      <c r="S21" s="363"/>
      <c r="T21" s="363"/>
      <c r="U21" s="363">
        <v>730</v>
      </c>
      <c r="V21" s="363" t="s">
        <v>3355</v>
      </c>
      <c r="W21" s="363" t="s">
        <v>3302</v>
      </c>
      <c r="X21" s="363" t="s">
        <v>3356</v>
      </c>
      <c r="Y21" s="363"/>
      <c r="Z21" s="363"/>
      <c r="AA21" s="363"/>
      <c r="AB21" s="363" t="s">
        <v>3357</v>
      </c>
      <c r="AC21" s="363">
        <v>1248</v>
      </c>
      <c r="AD21" s="363"/>
      <c r="AE21" s="364" t="s">
        <v>115</v>
      </c>
    </row>
    <row r="22" spans="1:31" ht="13.65" customHeight="1">
      <c r="A22" s="362">
        <v>736</v>
      </c>
      <c r="B22" s="363">
        <v>736</v>
      </c>
      <c r="C22" s="363" t="s">
        <v>1305</v>
      </c>
      <c r="D22" s="363">
        <v>736</v>
      </c>
      <c r="E22" s="362">
        <v>1357</v>
      </c>
      <c r="F22" s="362" t="s">
        <v>116</v>
      </c>
      <c r="G22" s="364" t="s">
        <v>116</v>
      </c>
      <c r="H22" s="362" t="s">
        <v>115</v>
      </c>
      <c r="I22" s="362" t="s">
        <v>115</v>
      </c>
      <c r="J22" s="362" t="s">
        <v>3259</v>
      </c>
      <c r="K22" s="363" t="s">
        <v>3260</v>
      </c>
      <c r="L22" s="363"/>
      <c r="M22" s="363" t="s">
        <v>3274</v>
      </c>
      <c r="N22" s="363" t="s">
        <v>3283</v>
      </c>
      <c r="O22" s="363"/>
      <c r="P22" s="363" t="s">
        <v>3358</v>
      </c>
      <c r="Q22" s="363" t="s">
        <v>3359</v>
      </c>
      <c r="R22" s="363"/>
      <c r="S22" s="363"/>
      <c r="T22" s="363"/>
      <c r="U22" s="363">
        <v>736</v>
      </c>
      <c r="V22" s="363" t="s">
        <v>3360</v>
      </c>
      <c r="W22" s="363"/>
      <c r="X22" s="363" t="s">
        <v>3323</v>
      </c>
      <c r="Y22" s="363"/>
      <c r="Z22" s="363"/>
      <c r="AA22" s="363"/>
      <c r="AB22" s="363" t="s">
        <v>3361</v>
      </c>
      <c r="AC22" s="363">
        <v>1049</v>
      </c>
      <c r="AD22" s="363"/>
      <c r="AE22" s="364" t="s">
        <v>115</v>
      </c>
    </row>
    <row r="23" spans="1:31" ht="13.65" customHeight="1">
      <c r="A23" s="362">
        <v>739</v>
      </c>
      <c r="B23" s="363">
        <v>739</v>
      </c>
      <c r="C23" s="363" t="s">
        <v>1332</v>
      </c>
      <c r="D23" s="363">
        <v>739</v>
      </c>
      <c r="E23" s="362">
        <v>51</v>
      </c>
      <c r="F23" s="362" t="s">
        <v>115</v>
      </c>
      <c r="G23" s="364" t="s">
        <v>116</v>
      </c>
      <c r="H23" s="362" t="s">
        <v>115</v>
      </c>
      <c r="I23" s="362" t="s">
        <v>115</v>
      </c>
      <c r="J23" s="362" t="s">
        <v>3259</v>
      </c>
      <c r="K23" s="363" t="s">
        <v>3260</v>
      </c>
      <c r="L23" s="363"/>
      <c r="M23" s="363" t="s">
        <v>3274</v>
      </c>
      <c r="N23" s="363" t="s">
        <v>3283</v>
      </c>
      <c r="O23" s="363" t="s">
        <v>3362</v>
      </c>
      <c r="P23" s="363" t="s">
        <v>3363</v>
      </c>
      <c r="Q23" s="363" t="s">
        <v>3364</v>
      </c>
      <c r="R23" s="363"/>
      <c r="S23" s="363"/>
      <c r="T23" s="363"/>
      <c r="U23" s="363">
        <v>739</v>
      </c>
      <c r="V23" s="363" t="s">
        <v>3365</v>
      </c>
      <c r="W23" s="363"/>
      <c r="X23" s="363" t="s">
        <v>3366</v>
      </c>
      <c r="Y23" s="363"/>
      <c r="Z23" s="363"/>
      <c r="AA23" s="363"/>
      <c r="AB23" s="363" t="s">
        <v>3367</v>
      </c>
      <c r="AC23" s="363">
        <v>1068</v>
      </c>
      <c r="AD23" s="363"/>
      <c r="AE23" s="364" t="s">
        <v>115</v>
      </c>
    </row>
    <row r="24" spans="1:31" ht="13.65" customHeight="1">
      <c r="A24" s="362">
        <v>741</v>
      </c>
      <c r="B24" s="363">
        <v>741</v>
      </c>
      <c r="C24" s="363" t="s">
        <v>1371</v>
      </c>
      <c r="D24" s="363">
        <v>741</v>
      </c>
      <c r="E24" s="362">
        <v>4676</v>
      </c>
      <c r="F24" s="362" t="s">
        <v>115</v>
      </c>
      <c r="G24" s="364" t="s">
        <v>116</v>
      </c>
      <c r="H24" s="362" t="s">
        <v>115</v>
      </c>
      <c r="I24" s="362" t="s">
        <v>115</v>
      </c>
      <c r="J24" s="362" t="s">
        <v>3259</v>
      </c>
      <c r="K24" s="363" t="s">
        <v>3260</v>
      </c>
      <c r="L24" s="363"/>
      <c r="M24" s="363" t="s">
        <v>3274</v>
      </c>
      <c r="N24" s="363" t="s">
        <v>3299</v>
      </c>
      <c r="O24" s="363" t="s">
        <v>1381</v>
      </c>
      <c r="P24" s="363" t="s">
        <v>3368</v>
      </c>
      <c r="Q24" s="363" t="s">
        <v>3369</v>
      </c>
      <c r="R24" s="363" t="s">
        <v>3370</v>
      </c>
      <c r="S24" s="363"/>
      <c r="T24" s="363"/>
      <c r="U24" s="363">
        <v>741</v>
      </c>
      <c r="V24" s="363" t="s">
        <v>3371</v>
      </c>
      <c r="W24" s="363" t="s">
        <v>3372</v>
      </c>
      <c r="X24" s="363"/>
      <c r="Y24" s="363">
        <v>9741</v>
      </c>
      <c r="Z24" s="363"/>
      <c r="AA24" s="363"/>
      <c r="AB24" s="363" t="s">
        <v>3373</v>
      </c>
      <c r="AC24" s="363">
        <v>1012</v>
      </c>
      <c r="AD24" s="363"/>
      <c r="AE24" s="364" t="s">
        <v>115</v>
      </c>
    </row>
    <row r="25" spans="1:31" ht="13.65" customHeight="1">
      <c r="A25" s="362">
        <v>751</v>
      </c>
      <c r="B25" s="363">
        <v>751</v>
      </c>
      <c r="C25" s="363" t="s">
        <v>851</v>
      </c>
      <c r="D25" s="363">
        <v>751</v>
      </c>
      <c r="E25" s="362">
        <v>1</v>
      </c>
      <c r="F25" s="362" t="s">
        <v>116</v>
      </c>
      <c r="G25" s="364" t="s">
        <v>116</v>
      </c>
      <c r="H25" s="362" t="s">
        <v>115</v>
      </c>
      <c r="I25" s="362" t="s">
        <v>115</v>
      </c>
      <c r="J25" s="362" t="s">
        <v>3259</v>
      </c>
      <c r="K25" s="363" t="s">
        <v>3260</v>
      </c>
      <c r="L25" s="363"/>
      <c r="M25" s="363" t="s">
        <v>3274</v>
      </c>
      <c r="N25" s="363" t="s">
        <v>3283</v>
      </c>
      <c r="O25" s="363"/>
      <c r="P25" s="363" t="s">
        <v>3374</v>
      </c>
      <c r="Q25" s="363" t="s">
        <v>3375</v>
      </c>
      <c r="R25" s="363" t="s">
        <v>3376</v>
      </c>
      <c r="S25" s="363"/>
      <c r="T25" s="363"/>
      <c r="U25" s="363">
        <v>751</v>
      </c>
      <c r="V25" s="363" t="s">
        <v>3377</v>
      </c>
      <c r="W25" s="363"/>
      <c r="X25" s="363" t="s">
        <v>3378</v>
      </c>
      <c r="Y25" s="363">
        <v>9200</v>
      </c>
      <c r="Z25" s="363"/>
      <c r="AA25" s="363"/>
      <c r="AB25" s="363" t="s">
        <v>3379</v>
      </c>
      <c r="AC25" s="363">
        <v>1173</v>
      </c>
      <c r="AD25" s="363"/>
      <c r="AE25" s="364" t="s">
        <v>115</v>
      </c>
    </row>
    <row r="26" spans="1:31" ht="13.65" customHeight="1">
      <c r="A26" s="362">
        <v>752</v>
      </c>
      <c r="B26" s="363">
        <v>752</v>
      </c>
      <c r="C26" s="363" t="s">
        <v>1932</v>
      </c>
      <c r="D26" s="363">
        <v>752</v>
      </c>
      <c r="E26" s="362">
        <v>1348</v>
      </c>
      <c r="F26" s="362" t="s">
        <v>116</v>
      </c>
      <c r="G26" s="364" t="s">
        <v>116</v>
      </c>
      <c r="H26" s="362" t="s">
        <v>115</v>
      </c>
      <c r="I26" s="362" t="s">
        <v>115</v>
      </c>
      <c r="J26" s="362" t="s">
        <v>3259</v>
      </c>
      <c r="K26" s="363" t="s">
        <v>3260</v>
      </c>
      <c r="L26" s="363"/>
      <c r="M26" s="363" t="s">
        <v>3274</v>
      </c>
      <c r="N26" s="363" t="s">
        <v>3299</v>
      </c>
      <c r="O26" s="363" t="s">
        <v>1381</v>
      </c>
      <c r="P26" s="363" t="s">
        <v>3380</v>
      </c>
      <c r="Q26" s="363" t="s">
        <v>3381</v>
      </c>
      <c r="R26" s="363"/>
      <c r="S26" s="363"/>
      <c r="T26" s="363"/>
      <c r="U26" s="363">
        <v>752</v>
      </c>
      <c r="V26" s="363" t="s">
        <v>3355</v>
      </c>
      <c r="W26" s="363" t="s">
        <v>3382</v>
      </c>
      <c r="X26" s="363" t="s">
        <v>3290</v>
      </c>
      <c r="Y26" s="363" t="s">
        <v>3383</v>
      </c>
      <c r="Z26" s="363" t="s">
        <v>3384</v>
      </c>
      <c r="AA26" s="363"/>
      <c r="AB26" s="363" t="s">
        <v>3385</v>
      </c>
      <c r="AC26" s="363">
        <v>1205</v>
      </c>
      <c r="AD26" s="363"/>
      <c r="AE26" s="364" t="s">
        <v>115</v>
      </c>
    </row>
    <row r="27" spans="1:31" ht="13.65" customHeight="1">
      <c r="A27" s="362">
        <v>756</v>
      </c>
      <c r="B27" s="363">
        <v>756</v>
      </c>
      <c r="C27" s="363" t="s">
        <v>1934</v>
      </c>
      <c r="D27" s="363">
        <v>756</v>
      </c>
      <c r="E27" s="362">
        <v>1918</v>
      </c>
      <c r="F27" s="362" t="s">
        <v>115</v>
      </c>
      <c r="G27" s="364" t="s">
        <v>116</v>
      </c>
      <c r="H27" s="362" t="s">
        <v>115</v>
      </c>
      <c r="I27" s="362" t="s">
        <v>115</v>
      </c>
      <c r="J27" s="362" t="s">
        <v>3259</v>
      </c>
      <c r="K27" s="363" t="s">
        <v>3260</v>
      </c>
      <c r="L27" s="363"/>
      <c r="M27" s="363" t="s">
        <v>3386</v>
      </c>
      <c r="N27" s="363" t="s">
        <v>3283</v>
      </c>
      <c r="O27" s="363" t="s">
        <v>3283</v>
      </c>
      <c r="P27" s="363" t="s">
        <v>3387</v>
      </c>
      <c r="Q27" s="363" t="s">
        <v>3388</v>
      </c>
      <c r="R27" s="363"/>
      <c r="S27" s="363"/>
      <c r="T27" s="363"/>
      <c r="U27" s="363">
        <v>756</v>
      </c>
      <c r="V27" s="363" t="s">
        <v>3389</v>
      </c>
      <c r="W27" s="363" t="s">
        <v>3390</v>
      </c>
      <c r="X27" s="363" t="s">
        <v>3391</v>
      </c>
      <c r="Y27" s="363" t="s">
        <v>3392</v>
      </c>
      <c r="Z27" s="363"/>
      <c r="AA27" s="363"/>
      <c r="AB27" s="363" t="s">
        <v>3393</v>
      </c>
      <c r="AC27" s="363" t="s">
        <v>3394</v>
      </c>
      <c r="AD27" s="363"/>
      <c r="AE27" s="364" t="s">
        <v>115</v>
      </c>
    </row>
    <row r="28" spans="1:31" ht="13.65" customHeight="1">
      <c r="A28" s="362">
        <v>756</v>
      </c>
      <c r="B28" s="363">
        <v>1171</v>
      </c>
      <c r="C28" s="363" t="s">
        <v>2156</v>
      </c>
      <c r="D28" s="363">
        <v>1171</v>
      </c>
      <c r="E28" s="362">
        <v>1918</v>
      </c>
      <c r="F28" s="362" t="s">
        <v>115</v>
      </c>
      <c r="G28" s="364" t="s">
        <v>116</v>
      </c>
      <c r="H28" s="362" t="s">
        <v>115</v>
      </c>
      <c r="I28" s="362" t="s">
        <v>115</v>
      </c>
      <c r="J28" s="362" t="s">
        <v>3259</v>
      </c>
      <c r="K28" s="363" t="s">
        <v>3260</v>
      </c>
      <c r="L28" s="363"/>
      <c r="M28" s="363" t="s">
        <v>3274</v>
      </c>
      <c r="N28" s="363" t="s">
        <v>1378</v>
      </c>
      <c r="O28" s="363" t="s">
        <v>3331</v>
      </c>
      <c r="P28" s="363" t="s">
        <v>3395</v>
      </c>
      <c r="Q28" s="363" t="s">
        <v>3396</v>
      </c>
      <c r="R28" s="363" t="s">
        <v>3397</v>
      </c>
      <c r="S28" s="363"/>
      <c r="T28" s="363"/>
      <c r="U28" s="363">
        <v>1171</v>
      </c>
      <c r="V28" s="363"/>
      <c r="W28" s="363"/>
      <c r="X28" s="363"/>
      <c r="Y28" s="363"/>
      <c r="Z28" s="363"/>
      <c r="AA28" s="363"/>
      <c r="AB28" s="363" t="s">
        <v>3331</v>
      </c>
      <c r="AC28" s="363">
        <v>1093</v>
      </c>
      <c r="AD28" s="363"/>
      <c r="AE28" s="364" t="s">
        <v>116</v>
      </c>
    </row>
    <row r="29" spans="1:31" ht="13.65" customHeight="1">
      <c r="A29" s="362">
        <v>768</v>
      </c>
      <c r="B29" s="363">
        <v>768</v>
      </c>
      <c r="C29" s="363" t="s">
        <v>3398</v>
      </c>
      <c r="D29" s="363">
        <v>768</v>
      </c>
      <c r="E29" s="362">
        <v>55</v>
      </c>
      <c r="F29" s="362" t="s">
        <v>115</v>
      </c>
      <c r="G29" s="364" t="s">
        <v>116</v>
      </c>
      <c r="H29" s="362" t="s">
        <v>115</v>
      </c>
      <c r="I29" s="362" t="s">
        <v>115</v>
      </c>
      <c r="J29" s="362" t="s">
        <v>3399</v>
      </c>
      <c r="K29" s="363" t="s">
        <v>3260</v>
      </c>
      <c r="L29" s="363"/>
      <c r="M29" s="363" t="s">
        <v>3400</v>
      </c>
      <c r="N29" s="363" t="s">
        <v>3283</v>
      </c>
      <c r="O29" s="363" t="s">
        <v>3283</v>
      </c>
      <c r="P29" s="363" t="s">
        <v>3401</v>
      </c>
      <c r="Q29" s="363" t="s">
        <v>3402</v>
      </c>
      <c r="R29" s="363"/>
      <c r="S29" s="363"/>
      <c r="T29" s="363"/>
      <c r="U29" s="363">
        <v>768</v>
      </c>
      <c r="V29" s="363" t="s">
        <v>3403</v>
      </c>
      <c r="W29" s="363"/>
      <c r="X29" s="363" t="s">
        <v>3404</v>
      </c>
      <c r="Y29" s="363"/>
      <c r="Z29" s="363" t="s">
        <v>3405</v>
      </c>
      <c r="AA29" s="363"/>
      <c r="AB29" s="363" t="s">
        <v>3406</v>
      </c>
      <c r="AC29" s="363">
        <v>5032</v>
      </c>
      <c r="AD29" s="363"/>
      <c r="AE29" s="364" t="s">
        <v>115</v>
      </c>
    </row>
    <row r="30" spans="1:31" ht="13.65" customHeight="1">
      <c r="A30" s="362">
        <v>768</v>
      </c>
      <c r="B30" s="363">
        <v>268</v>
      </c>
      <c r="C30" s="363" t="s">
        <v>1818</v>
      </c>
      <c r="D30" s="363">
        <v>268</v>
      </c>
      <c r="E30" s="362">
        <v>55</v>
      </c>
      <c r="F30" s="362" t="s">
        <v>115</v>
      </c>
      <c r="G30" s="364" t="s">
        <v>116</v>
      </c>
      <c r="H30" s="362" t="s">
        <v>115</v>
      </c>
      <c r="I30" s="362" t="s">
        <v>115</v>
      </c>
      <c r="J30" s="362" t="s">
        <v>3399</v>
      </c>
      <c r="K30" s="363" t="s">
        <v>3260</v>
      </c>
      <c r="L30" s="363"/>
      <c r="M30" s="363" t="s">
        <v>3407</v>
      </c>
      <c r="N30" s="363"/>
      <c r="O30" s="363" t="s">
        <v>3299</v>
      </c>
      <c r="P30" s="363" t="s">
        <v>3408</v>
      </c>
      <c r="Q30" s="363" t="s">
        <v>3409</v>
      </c>
      <c r="R30" s="363" t="s">
        <v>3410</v>
      </c>
      <c r="S30" s="363" t="s">
        <v>3411</v>
      </c>
      <c r="T30" s="363"/>
      <c r="U30" s="363">
        <v>268</v>
      </c>
      <c r="V30" s="363" t="s">
        <v>3412</v>
      </c>
      <c r="W30" s="363"/>
      <c r="X30" s="363" t="s">
        <v>3413</v>
      </c>
      <c r="Y30" s="363"/>
      <c r="Z30" s="363"/>
      <c r="AA30" s="363"/>
      <c r="AB30" s="363"/>
      <c r="AC30" s="363"/>
      <c r="AD30" s="363"/>
      <c r="AE30" s="364" t="s">
        <v>116</v>
      </c>
    </row>
    <row r="31" spans="1:31" ht="13.65" customHeight="1">
      <c r="A31" s="362">
        <v>794</v>
      </c>
      <c r="B31" s="363">
        <v>794</v>
      </c>
      <c r="C31" s="363" t="s">
        <v>1944</v>
      </c>
      <c r="D31" s="363"/>
      <c r="E31" s="362" t="s">
        <v>3341</v>
      </c>
      <c r="F31" s="362" t="s">
        <v>116</v>
      </c>
      <c r="G31" s="364" t="s">
        <v>116</v>
      </c>
      <c r="H31" s="362" t="s">
        <v>115</v>
      </c>
      <c r="I31" s="362" t="s">
        <v>115</v>
      </c>
      <c r="J31" s="362" t="s">
        <v>3259</v>
      </c>
      <c r="K31" s="363" t="s">
        <v>3260</v>
      </c>
      <c r="L31" s="363"/>
      <c r="M31" s="363" t="s">
        <v>3261</v>
      </c>
      <c r="N31" s="363" t="s">
        <v>3261</v>
      </c>
      <c r="O31" s="363"/>
      <c r="P31" s="363" t="s">
        <v>3414</v>
      </c>
      <c r="Q31" s="363" t="s">
        <v>3415</v>
      </c>
      <c r="R31" s="363"/>
      <c r="S31" s="363"/>
      <c r="T31" s="363"/>
      <c r="U31" s="363">
        <v>794</v>
      </c>
      <c r="V31" s="363" t="s">
        <v>3416</v>
      </c>
      <c r="W31" s="363"/>
      <c r="X31" s="363" t="s">
        <v>3417</v>
      </c>
      <c r="Y31" s="363"/>
      <c r="Z31" s="363"/>
      <c r="AA31" s="363"/>
      <c r="AB31" s="363" t="s">
        <v>3418</v>
      </c>
      <c r="AC31" s="363">
        <v>1376</v>
      </c>
      <c r="AD31" s="363"/>
      <c r="AE31" s="364" t="s">
        <v>115</v>
      </c>
    </row>
    <row r="32" spans="1:31" ht="13.65" customHeight="1">
      <c r="A32" s="362">
        <v>805</v>
      </c>
      <c r="B32" s="363">
        <v>805</v>
      </c>
      <c r="C32" s="363" t="s">
        <v>868</v>
      </c>
      <c r="D32" s="363">
        <v>805</v>
      </c>
      <c r="E32" s="362">
        <v>302</v>
      </c>
      <c r="F32" s="362" t="s">
        <v>115</v>
      </c>
      <c r="G32" s="364" t="s">
        <v>116</v>
      </c>
      <c r="H32" s="362" t="s">
        <v>115</v>
      </c>
      <c r="I32" s="362" t="s">
        <v>115</v>
      </c>
      <c r="J32" s="362" t="s">
        <v>3259</v>
      </c>
      <c r="K32" s="363" t="s">
        <v>3260</v>
      </c>
      <c r="L32" s="363"/>
      <c r="M32" s="363" t="s">
        <v>3274</v>
      </c>
      <c r="N32" s="363" t="s">
        <v>3283</v>
      </c>
      <c r="O32" s="363"/>
      <c r="P32" s="363" t="s">
        <v>3419</v>
      </c>
      <c r="Q32" s="363" t="s">
        <v>3420</v>
      </c>
      <c r="R32" s="363" t="s">
        <v>3421</v>
      </c>
      <c r="S32" s="363"/>
      <c r="T32" s="363"/>
      <c r="U32" s="363">
        <v>805</v>
      </c>
      <c r="V32" s="363"/>
      <c r="W32" s="363"/>
      <c r="X32" s="363" t="s">
        <v>3422</v>
      </c>
      <c r="Y32" s="363"/>
      <c r="Z32" s="363"/>
      <c r="AA32" s="363"/>
      <c r="AB32" s="363" t="s">
        <v>3423</v>
      </c>
      <c r="AC32" s="363">
        <v>1040</v>
      </c>
      <c r="AD32" s="363"/>
      <c r="AE32" s="364" t="s">
        <v>115</v>
      </c>
    </row>
    <row r="33" spans="1:31" ht="13.65" customHeight="1">
      <c r="A33" s="362">
        <v>807</v>
      </c>
      <c r="B33" s="363">
        <v>807</v>
      </c>
      <c r="C33" s="363" t="s">
        <v>870</v>
      </c>
      <c r="D33" s="363"/>
      <c r="E33" s="362">
        <v>221</v>
      </c>
      <c r="F33" s="362" t="s">
        <v>115</v>
      </c>
      <c r="G33" s="364" t="s">
        <v>116</v>
      </c>
      <c r="H33" s="362" t="s">
        <v>115</v>
      </c>
      <c r="I33" s="362" t="s">
        <v>115</v>
      </c>
      <c r="J33" s="362" t="s">
        <v>3259</v>
      </c>
      <c r="K33" s="363" t="s">
        <v>3260</v>
      </c>
      <c r="L33" s="363"/>
      <c r="M33" s="363" t="s">
        <v>3261</v>
      </c>
      <c r="N33" s="363" t="s">
        <v>3261</v>
      </c>
      <c r="O33" s="363"/>
      <c r="P33" s="363" t="s">
        <v>3424</v>
      </c>
      <c r="Q33" s="363" t="s">
        <v>3425</v>
      </c>
      <c r="R33" s="363"/>
      <c r="S33" s="363"/>
      <c r="T33" s="363"/>
      <c r="U33" s="363">
        <v>807</v>
      </c>
      <c r="V33" s="363" t="s">
        <v>3426</v>
      </c>
      <c r="W33" s="363" t="s">
        <v>3427</v>
      </c>
      <c r="X33" s="363" t="s">
        <v>3280</v>
      </c>
      <c r="Y33" s="363" t="s">
        <v>3427</v>
      </c>
      <c r="Z33" s="363" t="s">
        <v>3428</v>
      </c>
      <c r="AA33" s="363"/>
      <c r="AB33" s="363" t="s">
        <v>3429</v>
      </c>
      <c r="AC33" s="363">
        <v>1067</v>
      </c>
      <c r="AD33" s="363"/>
      <c r="AE33" s="364" t="s">
        <v>115</v>
      </c>
    </row>
    <row r="34" spans="1:31" ht="13.65" customHeight="1">
      <c r="A34" s="362">
        <v>809</v>
      </c>
      <c r="B34" s="363">
        <v>809</v>
      </c>
      <c r="C34" s="363" t="s">
        <v>1953</v>
      </c>
      <c r="D34" s="363">
        <v>809</v>
      </c>
      <c r="E34" s="362">
        <v>35</v>
      </c>
      <c r="F34" s="362" t="s">
        <v>115</v>
      </c>
      <c r="G34" s="364" t="s">
        <v>116</v>
      </c>
      <c r="H34" s="362" t="s">
        <v>115</v>
      </c>
      <c r="I34" s="362" t="s">
        <v>115</v>
      </c>
      <c r="J34" s="362" t="s">
        <v>3259</v>
      </c>
      <c r="K34" s="363" t="s">
        <v>3260</v>
      </c>
      <c r="L34" s="363"/>
      <c r="M34" s="363" t="s">
        <v>3274</v>
      </c>
      <c r="N34" s="363" t="s">
        <v>3283</v>
      </c>
      <c r="O34" s="363"/>
      <c r="P34" s="363" t="s">
        <v>3430</v>
      </c>
      <c r="Q34" s="363" t="s">
        <v>3431</v>
      </c>
      <c r="R34" s="363" t="s">
        <v>3432</v>
      </c>
      <c r="S34" s="363"/>
      <c r="T34" s="363"/>
      <c r="U34" s="363">
        <v>809</v>
      </c>
      <c r="V34" s="363" t="s">
        <v>3289</v>
      </c>
      <c r="W34" s="363"/>
      <c r="X34" s="363" t="s">
        <v>3290</v>
      </c>
      <c r="Y34" s="363"/>
      <c r="Z34" s="363"/>
      <c r="AA34" s="363"/>
      <c r="AB34" s="363" t="s">
        <v>3433</v>
      </c>
      <c r="AC34" s="363">
        <v>1193</v>
      </c>
      <c r="AD34" s="363"/>
      <c r="AE34" s="364" t="s">
        <v>115</v>
      </c>
    </row>
    <row r="35" spans="1:31" ht="13.65" customHeight="1">
      <c r="A35" s="362">
        <v>839</v>
      </c>
      <c r="B35" s="363"/>
      <c r="C35" s="363"/>
      <c r="D35" s="363"/>
      <c r="E35" s="362">
        <v>408</v>
      </c>
      <c r="F35" s="362" t="s">
        <v>115</v>
      </c>
      <c r="G35" s="364"/>
      <c r="H35" s="362" t="s">
        <v>115</v>
      </c>
      <c r="I35" s="362" t="s">
        <v>115</v>
      </c>
      <c r="J35" s="362" t="s">
        <v>3259</v>
      </c>
      <c r="K35" s="363"/>
      <c r="L35" s="363"/>
      <c r="M35" s="363"/>
      <c r="N35" s="363"/>
      <c r="O35" s="363"/>
      <c r="P35" s="363"/>
      <c r="Q35" s="363"/>
      <c r="R35" s="363"/>
      <c r="S35" s="363"/>
      <c r="T35" s="363"/>
      <c r="U35" s="363"/>
      <c r="V35" s="363"/>
      <c r="W35" s="363"/>
      <c r="X35" s="363"/>
      <c r="Y35" s="363"/>
      <c r="Z35" s="363"/>
      <c r="AA35" s="363"/>
      <c r="AB35" s="363"/>
      <c r="AC35" s="363"/>
      <c r="AD35" s="363"/>
      <c r="AE35" s="364"/>
    </row>
    <row r="36" spans="1:31" ht="13.65" customHeight="1">
      <c r="A36" s="362">
        <v>850</v>
      </c>
      <c r="B36" s="363">
        <v>850</v>
      </c>
      <c r="C36" s="363" t="s">
        <v>1965</v>
      </c>
      <c r="D36" s="363">
        <v>850</v>
      </c>
      <c r="E36" s="362">
        <v>9702</v>
      </c>
      <c r="F36" s="362" t="s">
        <v>115</v>
      </c>
      <c r="G36" s="364" t="s">
        <v>116</v>
      </c>
      <c r="H36" s="362" t="s">
        <v>115</v>
      </c>
      <c r="I36" s="362" t="s">
        <v>115</v>
      </c>
      <c r="J36" s="362" t="s">
        <v>3259</v>
      </c>
      <c r="K36" s="363" t="s">
        <v>3260</v>
      </c>
      <c r="L36" s="363"/>
      <c r="M36" s="363" t="s">
        <v>3274</v>
      </c>
      <c r="N36" s="363" t="s">
        <v>3299</v>
      </c>
      <c r="O36" s="363" t="s">
        <v>1381</v>
      </c>
      <c r="P36" s="363" t="s">
        <v>3434</v>
      </c>
      <c r="Q36" s="363"/>
      <c r="R36" s="363"/>
      <c r="S36" s="363"/>
      <c r="T36" s="363"/>
      <c r="U36" s="363">
        <v>850</v>
      </c>
      <c r="V36" s="363" t="s">
        <v>3435</v>
      </c>
      <c r="W36" s="363"/>
      <c r="X36" s="363" t="s">
        <v>3436</v>
      </c>
      <c r="Y36" s="363"/>
      <c r="Z36" s="363"/>
      <c r="AA36" s="363"/>
      <c r="AB36" s="363">
        <v>0</v>
      </c>
      <c r="AC36" s="363" t="s">
        <v>3437</v>
      </c>
      <c r="AD36" s="363"/>
      <c r="AE36" s="364" t="s">
        <v>115</v>
      </c>
    </row>
    <row r="37" spans="1:31" ht="13.65" customHeight="1">
      <c r="A37" s="362">
        <v>851</v>
      </c>
      <c r="B37" s="363">
        <v>851</v>
      </c>
      <c r="C37" s="363" t="s">
        <v>1967</v>
      </c>
      <c r="D37" s="363">
        <v>851</v>
      </c>
      <c r="E37" s="362">
        <v>8813</v>
      </c>
      <c r="F37" s="362" t="s">
        <v>115</v>
      </c>
      <c r="G37" s="364" t="s">
        <v>116</v>
      </c>
      <c r="H37" s="362" t="s">
        <v>115</v>
      </c>
      <c r="I37" s="362" t="s">
        <v>115</v>
      </c>
      <c r="J37" s="362" t="s">
        <v>3259</v>
      </c>
      <c r="K37" s="363" t="s">
        <v>3260</v>
      </c>
      <c r="L37" s="363"/>
      <c r="M37" s="363" t="s">
        <v>3274</v>
      </c>
      <c r="N37" s="363" t="s">
        <v>3283</v>
      </c>
      <c r="O37" s="363" t="s">
        <v>3438</v>
      </c>
      <c r="P37" s="363" t="s">
        <v>3439</v>
      </c>
      <c r="Q37" s="363"/>
      <c r="R37" s="363"/>
      <c r="S37" s="363"/>
      <c r="T37" s="363"/>
      <c r="U37" s="363">
        <v>851</v>
      </c>
      <c r="V37" s="363" t="s">
        <v>3440</v>
      </c>
      <c r="W37" s="363"/>
      <c r="X37" s="363" t="s">
        <v>3441</v>
      </c>
      <c r="Y37" s="363"/>
      <c r="Z37" s="363" t="s">
        <v>3442</v>
      </c>
      <c r="AA37" s="363"/>
      <c r="AB37" s="363">
        <v>0</v>
      </c>
      <c r="AC37" s="363" t="s">
        <v>3437</v>
      </c>
      <c r="AD37" s="363"/>
      <c r="AE37" s="364" t="s">
        <v>115</v>
      </c>
    </row>
    <row r="38" spans="1:31" ht="13.65" customHeight="1">
      <c r="A38" s="362">
        <v>852</v>
      </c>
      <c r="B38" s="363">
        <v>852</v>
      </c>
      <c r="C38" s="363" t="s">
        <v>1969</v>
      </c>
      <c r="D38" s="363">
        <v>852</v>
      </c>
      <c r="E38" s="362" t="s">
        <v>3341</v>
      </c>
      <c r="F38" s="362" t="s">
        <v>115</v>
      </c>
      <c r="G38" s="364" t="s">
        <v>116</v>
      </c>
      <c r="H38" s="362" t="s">
        <v>115</v>
      </c>
      <c r="I38" s="362" t="s">
        <v>115</v>
      </c>
      <c r="J38" s="362" t="s">
        <v>3259</v>
      </c>
      <c r="K38" s="363" t="s">
        <v>3260</v>
      </c>
      <c r="L38" s="363"/>
      <c r="M38" s="363" t="s">
        <v>3274</v>
      </c>
      <c r="N38" s="363" t="s">
        <v>3283</v>
      </c>
      <c r="O38" s="363"/>
      <c r="P38" s="363" t="s">
        <v>3443</v>
      </c>
      <c r="Q38" s="363" t="s">
        <v>3444</v>
      </c>
      <c r="R38" s="363"/>
      <c r="S38" s="363"/>
      <c r="T38" s="363"/>
      <c r="U38" s="363">
        <v>852</v>
      </c>
      <c r="V38" s="363" t="s">
        <v>3286</v>
      </c>
      <c r="W38" s="363"/>
      <c r="X38" s="363" t="s">
        <v>3287</v>
      </c>
      <c r="Y38" s="363"/>
      <c r="Z38" s="363"/>
      <c r="AA38" s="363"/>
      <c r="AB38" s="363" t="s">
        <v>3445</v>
      </c>
      <c r="AC38" s="363">
        <v>1363</v>
      </c>
      <c r="AD38" s="363"/>
      <c r="AE38" s="364" t="s">
        <v>115</v>
      </c>
    </row>
    <row r="39" spans="1:31" ht="13.65" customHeight="1">
      <c r="A39" s="362">
        <v>865</v>
      </c>
      <c r="B39" s="363">
        <v>865</v>
      </c>
      <c r="C39" s="363" t="s">
        <v>1344</v>
      </c>
      <c r="D39" s="363"/>
      <c r="E39" s="362">
        <v>5288</v>
      </c>
      <c r="F39" s="362" t="s">
        <v>115</v>
      </c>
      <c r="G39" s="364" t="s">
        <v>116</v>
      </c>
      <c r="H39" s="362" t="s">
        <v>115</v>
      </c>
      <c r="I39" s="362" t="s">
        <v>115</v>
      </c>
      <c r="J39" s="362" t="s">
        <v>3259</v>
      </c>
      <c r="K39" s="363" t="s">
        <v>3260</v>
      </c>
      <c r="L39" s="363"/>
      <c r="M39" s="363" t="s">
        <v>3261</v>
      </c>
      <c r="N39" s="363" t="s">
        <v>3261</v>
      </c>
      <c r="O39" s="363"/>
      <c r="P39" s="363" t="s">
        <v>3446</v>
      </c>
      <c r="Q39" s="363"/>
      <c r="R39" s="363"/>
      <c r="S39" s="363"/>
      <c r="T39" s="363"/>
      <c r="U39" s="363">
        <v>865</v>
      </c>
      <c r="V39" s="363" t="s">
        <v>3447</v>
      </c>
      <c r="W39" s="363"/>
      <c r="X39" s="363" t="s">
        <v>3448</v>
      </c>
      <c r="Y39" s="363"/>
      <c r="Z39" s="363"/>
      <c r="AA39" s="363"/>
      <c r="AB39" s="363">
        <v>0</v>
      </c>
      <c r="AC39" s="363" t="s">
        <v>3449</v>
      </c>
      <c r="AD39" s="363"/>
      <c r="AE39" s="364" t="s">
        <v>115</v>
      </c>
    </row>
    <row r="40" spans="1:31" ht="13.65" customHeight="1">
      <c r="A40" s="362">
        <v>875</v>
      </c>
      <c r="B40" s="363">
        <v>875</v>
      </c>
      <c r="C40" s="363" t="s">
        <v>1531</v>
      </c>
      <c r="D40" s="363">
        <v>9985</v>
      </c>
      <c r="E40" s="362">
        <v>2268</v>
      </c>
      <c r="F40" s="362" t="s">
        <v>115</v>
      </c>
      <c r="G40" s="364" t="s">
        <v>116</v>
      </c>
      <c r="H40" s="362" t="s">
        <v>115</v>
      </c>
      <c r="I40" s="362" t="s">
        <v>115</v>
      </c>
      <c r="J40" s="362" t="s">
        <v>3259</v>
      </c>
      <c r="K40" s="363" t="s">
        <v>3260</v>
      </c>
      <c r="L40" s="363"/>
      <c r="M40" s="363" t="s">
        <v>3386</v>
      </c>
      <c r="N40" s="363" t="s">
        <v>3450</v>
      </c>
      <c r="O40" s="363" t="s">
        <v>3451</v>
      </c>
      <c r="P40" s="363" t="s">
        <v>3452</v>
      </c>
      <c r="Q40" s="363" t="s">
        <v>3453</v>
      </c>
      <c r="R40" s="363" t="s">
        <v>3454</v>
      </c>
      <c r="S40" s="363"/>
      <c r="T40" s="363"/>
      <c r="U40" s="363">
        <v>875</v>
      </c>
      <c r="V40" s="363" t="s">
        <v>3455</v>
      </c>
      <c r="W40" s="363" t="s">
        <v>68</v>
      </c>
      <c r="X40" s="363" t="s">
        <v>3290</v>
      </c>
      <c r="Y40" s="363"/>
      <c r="Z40" s="363" t="s">
        <v>3456</v>
      </c>
      <c r="AA40" s="363"/>
      <c r="AB40" s="363" t="s">
        <v>3457</v>
      </c>
      <c r="AC40" s="363">
        <v>1061</v>
      </c>
      <c r="AD40" s="363"/>
      <c r="AE40" s="364" t="s">
        <v>115</v>
      </c>
    </row>
    <row r="41" spans="1:31" ht="13.65" customHeight="1">
      <c r="A41" s="362">
        <v>877</v>
      </c>
      <c r="B41" s="363">
        <v>877</v>
      </c>
      <c r="C41" s="363" t="s">
        <v>1981</v>
      </c>
      <c r="D41" s="363"/>
      <c r="E41" s="362">
        <v>221</v>
      </c>
      <c r="F41" s="362" t="s">
        <v>115</v>
      </c>
      <c r="G41" s="364" t="s">
        <v>116</v>
      </c>
      <c r="H41" s="362" t="s">
        <v>115</v>
      </c>
      <c r="I41" s="362" t="s">
        <v>115</v>
      </c>
      <c r="J41" s="362" t="s">
        <v>3259</v>
      </c>
      <c r="K41" s="363" t="s">
        <v>3260</v>
      </c>
      <c r="L41" s="363"/>
      <c r="M41" s="363" t="s">
        <v>3261</v>
      </c>
      <c r="N41" s="363" t="s">
        <v>3261</v>
      </c>
      <c r="O41" s="363"/>
      <c r="P41" s="363" t="s">
        <v>3458</v>
      </c>
      <c r="Q41" s="363" t="s">
        <v>3459</v>
      </c>
      <c r="R41" s="363"/>
      <c r="S41" s="363"/>
      <c r="T41" s="363"/>
      <c r="U41" s="363">
        <v>877</v>
      </c>
      <c r="V41" s="363" t="s">
        <v>3460</v>
      </c>
      <c r="W41" s="363"/>
      <c r="X41" s="363" t="s">
        <v>3461</v>
      </c>
      <c r="Y41" s="363"/>
      <c r="Z41" s="363" t="s">
        <v>3462</v>
      </c>
      <c r="AA41" s="363"/>
      <c r="AB41" s="363" t="s">
        <v>3463</v>
      </c>
      <c r="AC41" s="363">
        <v>1367</v>
      </c>
      <c r="AD41" s="363"/>
      <c r="AE41" s="364" t="s">
        <v>115</v>
      </c>
    </row>
    <row r="42" spans="1:31" ht="13.65" customHeight="1">
      <c r="A42" s="362">
        <v>883</v>
      </c>
      <c r="B42" s="363">
        <v>883</v>
      </c>
      <c r="C42" s="363" t="s">
        <v>1536</v>
      </c>
      <c r="D42" s="363">
        <v>883</v>
      </c>
      <c r="E42" s="362">
        <v>4</v>
      </c>
      <c r="F42" s="362" t="s">
        <v>115</v>
      </c>
      <c r="G42" s="364" t="s">
        <v>116</v>
      </c>
      <c r="H42" s="362" t="s">
        <v>115</v>
      </c>
      <c r="I42" s="362" t="s">
        <v>115</v>
      </c>
      <c r="J42" s="362" t="s">
        <v>3259</v>
      </c>
      <c r="K42" s="363" t="s">
        <v>3260</v>
      </c>
      <c r="L42" s="363"/>
      <c r="M42" s="363" t="s">
        <v>3274</v>
      </c>
      <c r="N42" s="363" t="s">
        <v>3283</v>
      </c>
      <c r="O42" s="363"/>
      <c r="P42" s="363" t="s">
        <v>3464</v>
      </c>
      <c r="Q42" s="363" t="s">
        <v>3465</v>
      </c>
      <c r="R42" s="363" t="s">
        <v>3466</v>
      </c>
      <c r="S42" s="363"/>
      <c r="T42" s="363"/>
      <c r="U42" s="363">
        <v>883</v>
      </c>
      <c r="V42" s="363" t="s">
        <v>3289</v>
      </c>
      <c r="W42" s="363"/>
      <c r="X42" s="363" t="s">
        <v>3290</v>
      </c>
      <c r="Y42" s="363"/>
      <c r="Z42" s="363" t="s">
        <v>3467</v>
      </c>
      <c r="AA42" s="363"/>
      <c r="AB42" s="363" t="s">
        <v>3468</v>
      </c>
      <c r="AC42" s="363">
        <v>1042</v>
      </c>
      <c r="AD42" s="363"/>
      <c r="AE42" s="364" t="s">
        <v>115</v>
      </c>
    </row>
    <row r="43" spans="1:31" ht="13.65" customHeight="1">
      <c r="A43" s="362">
        <v>895</v>
      </c>
      <c r="B43" s="363">
        <v>895</v>
      </c>
      <c r="C43" s="363" t="s">
        <v>943</v>
      </c>
      <c r="D43" s="363">
        <v>895</v>
      </c>
      <c r="E43" s="362">
        <v>140</v>
      </c>
      <c r="F43" s="362" t="s">
        <v>115</v>
      </c>
      <c r="G43" s="364" t="s">
        <v>116</v>
      </c>
      <c r="H43" s="362" t="s">
        <v>115</v>
      </c>
      <c r="I43" s="362" t="s">
        <v>115</v>
      </c>
      <c r="J43" s="362" t="s">
        <v>3259</v>
      </c>
      <c r="K43" s="363" t="s">
        <v>3260</v>
      </c>
      <c r="L43" s="363"/>
      <c r="M43" s="363" t="s">
        <v>3274</v>
      </c>
      <c r="N43" s="363" t="s">
        <v>3283</v>
      </c>
      <c r="O43" s="363"/>
      <c r="P43" s="363" t="s">
        <v>3469</v>
      </c>
      <c r="Q43" s="363" t="s">
        <v>3470</v>
      </c>
      <c r="R43" s="363" t="s">
        <v>3471</v>
      </c>
      <c r="S43" s="363"/>
      <c r="T43" s="363"/>
      <c r="U43" s="363">
        <v>895</v>
      </c>
      <c r="V43" s="363" t="s">
        <v>3472</v>
      </c>
      <c r="W43" s="363"/>
      <c r="X43" s="363" t="s">
        <v>3473</v>
      </c>
      <c r="Y43" s="363"/>
      <c r="Z43" s="363" t="s">
        <v>3474</v>
      </c>
      <c r="AA43" s="363"/>
      <c r="AB43" s="363" t="s">
        <v>3475</v>
      </c>
      <c r="AC43" s="363">
        <v>4020</v>
      </c>
      <c r="AD43" s="363"/>
      <c r="AE43" s="364" t="s">
        <v>115</v>
      </c>
    </row>
    <row r="44" spans="1:31" ht="13.65" customHeight="1">
      <c r="A44" s="362">
        <v>895</v>
      </c>
      <c r="B44" s="363">
        <v>895</v>
      </c>
      <c r="C44" s="363" t="s">
        <v>943</v>
      </c>
      <c r="D44" s="363">
        <v>895</v>
      </c>
      <c r="E44" s="362">
        <v>140</v>
      </c>
      <c r="F44" s="362" t="s">
        <v>115</v>
      </c>
      <c r="G44" s="364" t="s">
        <v>116</v>
      </c>
      <c r="H44" s="362" t="s">
        <v>115</v>
      </c>
      <c r="I44" s="362" t="s">
        <v>115</v>
      </c>
      <c r="J44" s="362" t="s">
        <v>3259</v>
      </c>
      <c r="K44" s="363" t="s">
        <v>3260</v>
      </c>
      <c r="L44" s="363"/>
      <c r="M44" s="363" t="s">
        <v>3274</v>
      </c>
      <c r="N44" s="363" t="s">
        <v>3283</v>
      </c>
      <c r="O44" s="363"/>
      <c r="P44" s="363" t="s">
        <v>3469</v>
      </c>
      <c r="Q44" s="363" t="s">
        <v>3470</v>
      </c>
      <c r="R44" s="363" t="s">
        <v>3471</v>
      </c>
      <c r="S44" s="363"/>
      <c r="T44" s="363"/>
      <c r="U44" s="363">
        <v>895</v>
      </c>
      <c r="V44" s="363" t="s">
        <v>3476</v>
      </c>
      <c r="W44" s="363" t="s">
        <v>3477</v>
      </c>
      <c r="X44" s="363" t="s">
        <v>3478</v>
      </c>
      <c r="Y44" s="363"/>
      <c r="Z44" s="363" t="s">
        <v>3479</v>
      </c>
      <c r="AA44" s="363"/>
      <c r="AB44" s="363" t="s">
        <v>3475</v>
      </c>
      <c r="AC44" s="363">
        <v>4020</v>
      </c>
      <c r="AD44" s="363"/>
      <c r="AE44" s="364" t="s">
        <v>115</v>
      </c>
    </row>
    <row r="45" spans="1:31" ht="13.65" customHeight="1">
      <c r="A45" s="362">
        <v>897</v>
      </c>
      <c r="B45" s="363">
        <v>897</v>
      </c>
      <c r="C45" s="363" t="s">
        <v>1988</v>
      </c>
      <c r="D45" s="363">
        <v>9997</v>
      </c>
      <c r="E45" s="362">
        <v>9978</v>
      </c>
      <c r="F45" s="362" t="s">
        <v>115</v>
      </c>
      <c r="G45" s="364" t="s">
        <v>116</v>
      </c>
      <c r="H45" s="362" t="s">
        <v>115</v>
      </c>
      <c r="I45" s="362" t="s">
        <v>115</v>
      </c>
      <c r="J45" s="362" t="s">
        <v>3259</v>
      </c>
      <c r="K45" s="363" t="s">
        <v>3260</v>
      </c>
      <c r="L45" s="363"/>
      <c r="M45" s="363" t="s">
        <v>3274</v>
      </c>
      <c r="N45" s="363" t="s">
        <v>3283</v>
      </c>
      <c r="O45" s="363"/>
      <c r="P45" s="363" t="s">
        <v>3480</v>
      </c>
      <c r="Q45" s="363" t="s">
        <v>3481</v>
      </c>
      <c r="R45" s="363" t="s">
        <v>3482</v>
      </c>
      <c r="S45" s="363"/>
      <c r="T45" s="363"/>
      <c r="U45" s="363">
        <v>897</v>
      </c>
      <c r="V45" s="363" t="s">
        <v>3483</v>
      </c>
      <c r="W45" s="363" t="s">
        <v>3302</v>
      </c>
      <c r="X45" s="363" t="s">
        <v>3484</v>
      </c>
      <c r="Y45" s="363"/>
      <c r="Z45" s="363" t="s">
        <v>3485</v>
      </c>
      <c r="AA45" s="363"/>
      <c r="AB45" s="363" t="s">
        <v>3486</v>
      </c>
      <c r="AC45" s="363">
        <v>1003</v>
      </c>
      <c r="AD45" s="363"/>
      <c r="AE45" s="364" t="s">
        <v>115</v>
      </c>
    </row>
    <row r="46" spans="1:31" ht="13.65" customHeight="1">
      <c r="A46" s="362">
        <v>897</v>
      </c>
      <c r="B46" s="363">
        <v>297</v>
      </c>
      <c r="C46" s="363" t="s">
        <v>1837</v>
      </c>
      <c r="D46" s="363">
        <v>9997</v>
      </c>
      <c r="E46" s="362">
        <v>9978</v>
      </c>
      <c r="F46" s="362" t="s">
        <v>115</v>
      </c>
      <c r="G46" s="364" t="s">
        <v>116</v>
      </c>
      <c r="H46" s="362" t="s">
        <v>115</v>
      </c>
      <c r="I46" s="362" t="s">
        <v>115</v>
      </c>
      <c r="J46" s="362" t="s">
        <v>3259</v>
      </c>
      <c r="K46" s="363" t="s">
        <v>3260</v>
      </c>
      <c r="L46" s="363"/>
      <c r="M46" s="363" t="s">
        <v>3274</v>
      </c>
      <c r="N46" s="363" t="s">
        <v>3283</v>
      </c>
      <c r="O46" s="363"/>
      <c r="P46" s="363" t="s">
        <v>3480</v>
      </c>
      <c r="Q46" s="363" t="s">
        <v>3481</v>
      </c>
      <c r="R46" s="363" t="s">
        <v>3482</v>
      </c>
      <c r="S46" s="363"/>
      <c r="T46" s="363"/>
      <c r="U46" s="363">
        <v>297</v>
      </c>
      <c r="V46" s="363" t="s">
        <v>3487</v>
      </c>
      <c r="W46" s="363"/>
      <c r="X46" s="363" t="s">
        <v>3488</v>
      </c>
      <c r="Y46" s="363"/>
      <c r="Z46" s="363" t="s">
        <v>3489</v>
      </c>
      <c r="AA46" s="363"/>
      <c r="AB46" s="363" t="s">
        <v>3486</v>
      </c>
      <c r="AC46" s="363">
        <v>1003</v>
      </c>
      <c r="AD46" s="363"/>
      <c r="AE46" s="364" t="s">
        <v>115</v>
      </c>
    </row>
    <row r="47" spans="1:31" ht="13.65" customHeight="1">
      <c r="A47" s="362">
        <v>897</v>
      </c>
      <c r="B47" s="363">
        <v>299</v>
      </c>
      <c r="C47" s="363" t="s">
        <v>1841</v>
      </c>
      <c r="D47" s="363">
        <v>9997</v>
      </c>
      <c r="E47" s="362">
        <v>9978</v>
      </c>
      <c r="F47" s="362" t="s">
        <v>115</v>
      </c>
      <c r="G47" s="364" t="s">
        <v>116</v>
      </c>
      <c r="H47" s="362" t="s">
        <v>115</v>
      </c>
      <c r="I47" s="362" t="s">
        <v>115</v>
      </c>
      <c r="J47" s="362" t="s">
        <v>3259</v>
      </c>
      <c r="K47" s="363" t="s">
        <v>3260</v>
      </c>
      <c r="L47" s="363"/>
      <c r="M47" s="363" t="s">
        <v>3274</v>
      </c>
      <c r="N47" s="363" t="s">
        <v>3283</v>
      </c>
      <c r="O47" s="363"/>
      <c r="P47" s="363" t="s">
        <v>3480</v>
      </c>
      <c r="Q47" s="363" t="s">
        <v>3481</v>
      </c>
      <c r="R47" s="363" t="s">
        <v>3482</v>
      </c>
      <c r="S47" s="363"/>
      <c r="T47" s="363"/>
      <c r="U47" s="363">
        <v>299</v>
      </c>
      <c r="V47" s="363" t="s">
        <v>3490</v>
      </c>
      <c r="W47" s="363" t="s">
        <v>3302</v>
      </c>
      <c r="X47" s="363" t="s">
        <v>3488</v>
      </c>
      <c r="Y47" s="363">
        <v>9200</v>
      </c>
      <c r="Z47" s="363" t="s">
        <v>3489</v>
      </c>
      <c r="AA47" s="363"/>
      <c r="AB47" s="363" t="s">
        <v>3486</v>
      </c>
      <c r="AC47" s="363">
        <v>1003</v>
      </c>
      <c r="AD47" s="363"/>
      <c r="AE47" s="364" t="s">
        <v>115</v>
      </c>
    </row>
    <row r="48" spans="1:31" ht="13.65" customHeight="1">
      <c r="A48" s="362">
        <v>897</v>
      </c>
      <c r="B48" s="363">
        <v>298</v>
      </c>
      <c r="C48" s="363" t="s">
        <v>1839</v>
      </c>
      <c r="D48" s="363">
        <v>9997</v>
      </c>
      <c r="E48" s="362">
        <v>9978</v>
      </c>
      <c r="F48" s="362" t="s">
        <v>115</v>
      </c>
      <c r="G48" s="364" t="s">
        <v>116</v>
      </c>
      <c r="H48" s="362" t="s">
        <v>115</v>
      </c>
      <c r="I48" s="362" t="s">
        <v>115</v>
      </c>
      <c r="J48" s="362" t="s">
        <v>3259</v>
      </c>
      <c r="K48" s="363" t="s">
        <v>3260</v>
      </c>
      <c r="L48" s="363"/>
      <c r="M48" s="363" t="s">
        <v>3274</v>
      </c>
      <c r="N48" s="363" t="s">
        <v>3283</v>
      </c>
      <c r="O48" s="363"/>
      <c r="P48" s="363" t="s">
        <v>3480</v>
      </c>
      <c r="Q48" s="363" t="s">
        <v>3481</v>
      </c>
      <c r="R48" s="363" t="s">
        <v>3482</v>
      </c>
      <c r="S48" s="363"/>
      <c r="T48" s="363"/>
      <c r="U48" s="363">
        <v>298</v>
      </c>
      <c r="V48" s="363" t="s">
        <v>3490</v>
      </c>
      <c r="W48" s="363" t="s">
        <v>3302</v>
      </c>
      <c r="X48" s="363" t="s">
        <v>3488</v>
      </c>
      <c r="Y48" s="363">
        <v>9200</v>
      </c>
      <c r="Z48" s="363" t="s">
        <v>3489</v>
      </c>
      <c r="AA48" s="363"/>
      <c r="AB48" s="363" t="s">
        <v>3486</v>
      </c>
      <c r="AC48" s="363">
        <v>1003</v>
      </c>
      <c r="AD48" s="363"/>
      <c r="AE48" s="364" t="s">
        <v>115</v>
      </c>
    </row>
    <row r="49" spans="1:31" ht="13.65" customHeight="1">
      <c r="A49" s="362">
        <v>897</v>
      </c>
      <c r="B49" s="363">
        <v>4269</v>
      </c>
      <c r="C49" s="363" t="s">
        <v>22</v>
      </c>
      <c r="D49" s="363">
        <v>4269</v>
      </c>
      <c r="E49" s="362">
        <v>9978</v>
      </c>
      <c r="F49" s="362" t="s">
        <v>115</v>
      </c>
      <c r="G49" s="364" t="s">
        <v>116</v>
      </c>
      <c r="H49" s="362" t="s">
        <v>115</v>
      </c>
      <c r="I49" s="362" t="s">
        <v>115</v>
      </c>
      <c r="J49" s="362" t="s">
        <v>3259</v>
      </c>
      <c r="K49" s="363" t="s">
        <v>3260</v>
      </c>
      <c r="L49" s="363"/>
      <c r="M49" s="363" t="s">
        <v>3274</v>
      </c>
      <c r="N49" s="363" t="s">
        <v>3283</v>
      </c>
      <c r="O49" s="363"/>
      <c r="P49" s="363" t="s">
        <v>3480</v>
      </c>
      <c r="Q49" s="363" t="s">
        <v>3481</v>
      </c>
      <c r="R49" s="363" t="s">
        <v>3482</v>
      </c>
      <c r="S49" s="363"/>
      <c r="T49" s="363"/>
      <c r="U49" s="363">
        <v>4269</v>
      </c>
      <c r="V49" s="363" t="s">
        <v>3360</v>
      </c>
      <c r="W49" s="363"/>
      <c r="X49" s="363" t="s">
        <v>3491</v>
      </c>
      <c r="Y49" s="363"/>
      <c r="Z49" s="363"/>
      <c r="AA49" s="363"/>
      <c r="AB49" s="363" t="s">
        <v>3486</v>
      </c>
      <c r="AC49" s="363">
        <v>1003</v>
      </c>
      <c r="AD49" s="363"/>
      <c r="AE49" s="364" t="s">
        <v>115</v>
      </c>
    </row>
    <row r="50" spans="1:31" ht="13.65" customHeight="1">
      <c r="A50" s="362">
        <v>897</v>
      </c>
      <c r="B50" s="363">
        <v>1719</v>
      </c>
      <c r="C50" s="363" t="s">
        <v>2420</v>
      </c>
      <c r="D50" s="363">
        <v>1719</v>
      </c>
      <c r="E50" s="362">
        <v>9978</v>
      </c>
      <c r="F50" s="362" t="s">
        <v>115</v>
      </c>
      <c r="G50" s="364" t="s">
        <v>116</v>
      </c>
      <c r="H50" s="362" t="s">
        <v>115</v>
      </c>
      <c r="I50" s="362" t="s">
        <v>115</v>
      </c>
      <c r="J50" s="362" t="s">
        <v>3259</v>
      </c>
      <c r="K50" s="363" t="s">
        <v>3260</v>
      </c>
      <c r="L50" s="363"/>
      <c r="M50" s="363" t="s">
        <v>3274</v>
      </c>
      <c r="N50" s="363" t="s">
        <v>3299</v>
      </c>
      <c r="O50" s="363"/>
      <c r="P50" s="363" t="s">
        <v>3492</v>
      </c>
      <c r="Q50" s="363" t="s">
        <v>3493</v>
      </c>
      <c r="R50" s="363" t="s">
        <v>3494</v>
      </c>
      <c r="S50" s="363"/>
      <c r="T50" s="363"/>
      <c r="U50" s="363">
        <v>1719</v>
      </c>
      <c r="V50" s="363" t="s">
        <v>3495</v>
      </c>
      <c r="W50" s="363"/>
      <c r="X50" s="363" t="s">
        <v>3496</v>
      </c>
      <c r="Y50" s="363"/>
      <c r="Z50" s="363"/>
      <c r="AA50" s="363"/>
      <c r="AB50" s="363" t="s">
        <v>3497</v>
      </c>
      <c r="AC50" s="363">
        <v>1229</v>
      </c>
      <c r="AD50" s="363"/>
      <c r="AE50" s="364" t="s">
        <v>116</v>
      </c>
    </row>
    <row r="51" spans="1:31" ht="13.65" customHeight="1">
      <c r="A51" s="362">
        <v>907</v>
      </c>
      <c r="B51" s="363">
        <v>907</v>
      </c>
      <c r="C51" s="363" t="s">
        <v>1991</v>
      </c>
      <c r="D51" s="363">
        <v>907</v>
      </c>
      <c r="E51" s="362">
        <v>127</v>
      </c>
      <c r="F51" s="362" t="s">
        <v>115</v>
      </c>
      <c r="G51" s="364" t="s">
        <v>116</v>
      </c>
      <c r="H51" s="362" t="s">
        <v>115</v>
      </c>
      <c r="I51" s="362" t="s">
        <v>115</v>
      </c>
      <c r="J51" s="362" t="s">
        <v>3259</v>
      </c>
      <c r="K51" s="363" t="s">
        <v>3260</v>
      </c>
      <c r="L51" s="363"/>
      <c r="M51" s="363" t="s">
        <v>3274</v>
      </c>
      <c r="N51" s="363" t="s">
        <v>3283</v>
      </c>
      <c r="O51" s="363"/>
      <c r="P51" s="363" t="s">
        <v>3498</v>
      </c>
      <c r="Q51" s="363" t="s">
        <v>3499</v>
      </c>
      <c r="R51" s="363" t="s">
        <v>3500</v>
      </c>
      <c r="S51" s="363"/>
      <c r="T51" s="363"/>
      <c r="U51" s="363">
        <v>907</v>
      </c>
      <c r="V51" s="363" t="s">
        <v>3289</v>
      </c>
      <c r="W51" s="363"/>
      <c r="X51" s="363" t="s">
        <v>3290</v>
      </c>
      <c r="Y51" s="363"/>
      <c r="Z51" s="363"/>
      <c r="AA51" s="363"/>
      <c r="AB51" s="363" t="s">
        <v>3501</v>
      </c>
      <c r="AC51" s="363">
        <v>1045</v>
      </c>
      <c r="AD51" s="363"/>
      <c r="AE51" s="364" t="s">
        <v>115</v>
      </c>
    </row>
    <row r="52" spans="1:31" ht="13.65" customHeight="1">
      <c r="A52" s="362">
        <v>918</v>
      </c>
      <c r="B52" s="363">
        <v>918</v>
      </c>
      <c r="C52" s="363" t="s">
        <v>1332</v>
      </c>
      <c r="D52" s="363">
        <v>918</v>
      </c>
      <c r="E52" s="362">
        <v>35</v>
      </c>
      <c r="F52" s="362" t="s">
        <v>115</v>
      </c>
      <c r="G52" s="364" t="s">
        <v>116</v>
      </c>
      <c r="H52" s="362" t="s">
        <v>115</v>
      </c>
      <c r="I52" s="362" t="s">
        <v>115</v>
      </c>
      <c r="J52" s="362" t="s">
        <v>3259</v>
      </c>
      <c r="K52" s="363" t="s">
        <v>3260</v>
      </c>
      <c r="L52" s="363"/>
      <c r="M52" s="363" t="s">
        <v>3274</v>
      </c>
      <c r="N52" s="363" t="s">
        <v>3283</v>
      </c>
      <c r="O52" s="363"/>
      <c r="P52" s="363" t="s">
        <v>3502</v>
      </c>
      <c r="Q52" s="363" t="s">
        <v>3503</v>
      </c>
      <c r="R52" s="363"/>
      <c r="S52" s="363"/>
      <c r="T52" s="363"/>
      <c r="U52" s="363">
        <v>918</v>
      </c>
      <c r="V52" s="363" t="s">
        <v>3504</v>
      </c>
      <c r="W52" s="363"/>
      <c r="X52" s="363" t="s">
        <v>3290</v>
      </c>
      <c r="Y52" s="363"/>
      <c r="Z52" s="363" t="s">
        <v>3467</v>
      </c>
      <c r="AA52" s="363"/>
      <c r="AB52" s="363" t="s">
        <v>3505</v>
      </c>
      <c r="AC52" s="363">
        <v>1046</v>
      </c>
      <c r="AD52" s="363"/>
      <c r="AE52" s="364" t="s">
        <v>115</v>
      </c>
    </row>
    <row r="53" spans="1:31" ht="13.65" customHeight="1">
      <c r="A53" s="362">
        <v>920</v>
      </c>
      <c r="B53" s="363">
        <v>920</v>
      </c>
      <c r="C53" s="363" t="s">
        <v>896</v>
      </c>
      <c r="D53" s="363"/>
      <c r="E53" s="362" t="s">
        <v>3341</v>
      </c>
      <c r="F53" s="362" t="s">
        <v>115</v>
      </c>
      <c r="G53" s="364" t="s">
        <v>116</v>
      </c>
      <c r="H53" s="362" t="s">
        <v>115</v>
      </c>
      <c r="I53" s="362" t="s">
        <v>115</v>
      </c>
      <c r="J53" s="362" t="s">
        <v>3399</v>
      </c>
      <c r="K53" s="363" t="s">
        <v>3260</v>
      </c>
      <c r="L53" s="363"/>
      <c r="M53" s="363" t="s">
        <v>3261</v>
      </c>
      <c r="N53" s="363" t="s">
        <v>3261</v>
      </c>
      <c r="O53" s="363"/>
      <c r="P53" s="363" t="s">
        <v>3506</v>
      </c>
      <c r="Q53" s="363" t="s">
        <v>3507</v>
      </c>
      <c r="R53" s="363" t="s">
        <v>3508</v>
      </c>
      <c r="S53" s="363"/>
      <c r="T53" s="363"/>
      <c r="U53" s="363">
        <v>920</v>
      </c>
      <c r="V53" s="363" t="s">
        <v>3509</v>
      </c>
      <c r="W53" s="363" t="s">
        <v>3510</v>
      </c>
      <c r="X53" s="363" t="s">
        <v>3290</v>
      </c>
      <c r="Y53" s="363">
        <v>9920</v>
      </c>
      <c r="Z53" s="363"/>
      <c r="AA53" s="363"/>
      <c r="AB53" s="363" t="s">
        <v>3511</v>
      </c>
      <c r="AC53" s="363">
        <v>1073</v>
      </c>
      <c r="AD53" s="363"/>
      <c r="AE53" s="364" t="s">
        <v>115</v>
      </c>
    </row>
    <row r="54" spans="1:31" ht="13.65" customHeight="1">
      <c r="A54" s="362">
        <v>922</v>
      </c>
      <c r="B54" s="363">
        <v>922</v>
      </c>
      <c r="C54" s="363" t="s">
        <v>1888</v>
      </c>
      <c r="D54" s="363">
        <v>922</v>
      </c>
      <c r="E54" s="362">
        <v>268</v>
      </c>
      <c r="F54" s="362" t="s">
        <v>115</v>
      </c>
      <c r="G54" s="364" t="s">
        <v>116</v>
      </c>
      <c r="H54" s="362" t="s">
        <v>115</v>
      </c>
      <c r="I54" s="362" t="s">
        <v>115</v>
      </c>
      <c r="J54" s="362" t="s">
        <v>3259</v>
      </c>
      <c r="K54" s="363" t="s">
        <v>3260</v>
      </c>
      <c r="L54" s="363"/>
      <c r="M54" s="363" t="s">
        <v>3274</v>
      </c>
      <c r="N54" s="363" t="s">
        <v>651</v>
      </c>
      <c r="O54" s="363" t="s">
        <v>3512</v>
      </c>
      <c r="P54" s="363" t="s">
        <v>3513</v>
      </c>
      <c r="Q54" s="363" t="s">
        <v>3514</v>
      </c>
      <c r="R54" s="363"/>
      <c r="S54" s="363"/>
      <c r="T54" s="363"/>
      <c r="U54" s="363">
        <v>922</v>
      </c>
      <c r="V54" s="363" t="s">
        <v>3313</v>
      </c>
      <c r="W54" s="363"/>
      <c r="X54" s="363" t="s">
        <v>3314</v>
      </c>
      <c r="Y54" s="363"/>
      <c r="Z54" s="363"/>
      <c r="AA54" s="363"/>
      <c r="AB54" s="363" t="s">
        <v>3515</v>
      </c>
      <c r="AC54" s="363">
        <v>5019</v>
      </c>
      <c r="AD54" s="363"/>
      <c r="AE54" s="364" t="s">
        <v>115</v>
      </c>
    </row>
    <row r="55" spans="1:31" ht="13.65" customHeight="1">
      <c r="A55" s="362">
        <v>962</v>
      </c>
      <c r="B55" s="363">
        <v>962</v>
      </c>
      <c r="C55" s="363" t="s">
        <v>2015</v>
      </c>
      <c r="D55" s="363">
        <v>962</v>
      </c>
      <c r="E55" s="362" t="s">
        <v>3341</v>
      </c>
      <c r="F55" s="362" t="s">
        <v>116</v>
      </c>
      <c r="G55" s="364" t="s">
        <v>116</v>
      </c>
      <c r="H55" s="362" t="s">
        <v>115</v>
      </c>
      <c r="I55" s="362" t="s">
        <v>115</v>
      </c>
      <c r="J55" s="362" t="s">
        <v>3259</v>
      </c>
      <c r="K55" s="363" t="s">
        <v>3260</v>
      </c>
      <c r="L55" s="363"/>
      <c r="M55" s="363" t="s">
        <v>3274</v>
      </c>
      <c r="N55" s="363" t="s">
        <v>3283</v>
      </c>
      <c r="O55" s="363"/>
      <c r="P55" s="363" t="s">
        <v>3516</v>
      </c>
      <c r="Q55" s="363" t="s">
        <v>3517</v>
      </c>
      <c r="R55" s="363"/>
      <c r="S55" s="363"/>
      <c r="T55" s="363"/>
      <c r="U55" s="363">
        <v>962</v>
      </c>
      <c r="V55" s="363" t="s">
        <v>3518</v>
      </c>
      <c r="W55" s="363"/>
      <c r="X55" s="363" t="s">
        <v>3519</v>
      </c>
      <c r="Y55" s="363"/>
      <c r="Z55" s="363"/>
      <c r="AA55" s="363"/>
      <c r="AB55" s="363" t="s">
        <v>3520</v>
      </c>
      <c r="AC55" s="363">
        <v>1529</v>
      </c>
      <c r="AD55" s="363"/>
      <c r="AE55" s="364" t="s">
        <v>115</v>
      </c>
    </row>
    <row r="56" spans="1:31" ht="13.65" customHeight="1">
      <c r="A56" s="362">
        <v>978</v>
      </c>
      <c r="B56" s="363">
        <v>978</v>
      </c>
      <c r="C56" s="363" t="s">
        <v>2021</v>
      </c>
      <c r="D56" s="363">
        <v>978</v>
      </c>
      <c r="E56" s="362">
        <v>132</v>
      </c>
      <c r="F56" s="362" t="s">
        <v>115</v>
      </c>
      <c r="G56" s="364" t="s">
        <v>116</v>
      </c>
      <c r="H56" s="362" t="s">
        <v>115</v>
      </c>
      <c r="I56" s="362" t="s">
        <v>115</v>
      </c>
      <c r="J56" s="362" t="s">
        <v>3259</v>
      </c>
      <c r="K56" s="363" t="s">
        <v>3260</v>
      </c>
      <c r="L56" s="363"/>
      <c r="M56" s="363" t="s">
        <v>3274</v>
      </c>
      <c r="N56" s="363" t="s">
        <v>651</v>
      </c>
      <c r="O56" s="363" t="s">
        <v>3521</v>
      </c>
      <c r="P56" s="363" t="s">
        <v>3522</v>
      </c>
      <c r="Q56" s="363" t="s">
        <v>3523</v>
      </c>
      <c r="R56" s="363" t="s">
        <v>3524</v>
      </c>
      <c r="S56" s="363"/>
      <c r="T56" s="363"/>
      <c r="U56" s="363">
        <v>978</v>
      </c>
      <c r="V56" s="363" t="s">
        <v>3525</v>
      </c>
      <c r="W56" s="363" t="s">
        <v>3526</v>
      </c>
      <c r="X56" s="363" t="s">
        <v>3314</v>
      </c>
      <c r="Y56" s="363" t="s">
        <v>3527</v>
      </c>
      <c r="Z56" s="363" t="s">
        <v>3428</v>
      </c>
      <c r="AA56" s="363"/>
      <c r="AB56" s="363" t="s">
        <v>3528</v>
      </c>
      <c r="AC56" s="363">
        <v>1076</v>
      </c>
      <c r="AD56" s="363"/>
      <c r="AE56" s="364" t="s">
        <v>115</v>
      </c>
    </row>
    <row r="57" spans="1:31" ht="13.65" customHeight="1">
      <c r="A57" s="362">
        <v>981</v>
      </c>
      <c r="B57" s="363">
        <v>981</v>
      </c>
      <c r="C57" s="363" t="s">
        <v>2023</v>
      </c>
      <c r="D57" s="363"/>
      <c r="E57" s="362">
        <v>11847</v>
      </c>
      <c r="F57" s="362" t="s">
        <v>115</v>
      </c>
      <c r="G57" s="364" t="s">
        <v>116</v>
      </c>
      <c r="H57" s="362" t="s">
        <v>115</v>
      </c>
      <c r="I57" s="362" t="s">
        <v>115</v>
      </c>
      <c r="J57" s="362" t="s">
        <v>3259</v>
      </c>
      <c r="K57" s="363" t="s">
        <v>3260</v>
      </c>
      <c r="L57" s="363"/>
      <c r="M57" s="363" t="s">
        <v>3261</v>
      </c>
      <c r="N57" s="363" t="s">
        <v>3261</v>
      </c>
      <c r="O57" s="363"/>
      <c r="P57" s="363" t="s">
        <v>3529</v>
      </c>
      <c r="Q57" s="363" t="s">
        <v>3530</v>
      </c>
      <c r="R57" s="363"/>
      <c r="S57" s="363"/>
      <c r="T57" s="363"/>
      <c r="U57" s="363">
        <v>981</v>
      </c>
      <c r="V57" s="363" t="s">
        <v>3531</v>
      </c>
      <c r="W57" s="363"/>
      <c r="X57" s="363" t="s">
        <v>3532</v>
      </c>
      <c r="Y57" s="363"/>
      <c r="Z57" s="363" t="s">
        <v>3324</v>
      </c>
      <c r="AA57" s="363"/>
      <c r="AB57" s="363"/>
      <c r="AC57" s="363" t="s">
        <v>3325</v>
      </c>
      <c r="AD57" s="363"/>
      <c r="AE57" s="364" t="s">
        <v>116</v>
      </c>
    </row>
    <row r="58" spans="1:31" ht="13.65" customHeight="1">
      <c r="A58" s="362">
        <v>1104</v>
      </c>
      <c r="B58" s="363">
        <v>1104</v>
      </c>
      <c r="C58" s="363" t="s">
        <v>2113</v>
      </c>
      <c r="D58" s="363"/>
      <c r="E58" s="362">
        <v>243</v>
      </c>
      <c r="F58" s="362" t="s">
        <v>115</v>
      </c>
      <c r="G58" s="364" t="s">
        <v>116</v>
      </c>
      <c r="H58" s="362" t="s">
        <v>115</v>
      </c>
      <c r="I58" s="362" t="s">
        <v>115</v>
      </c>
      <c r="J58" s="362" t="s">
        <v>3399</v>
      </c>
      <c r="K58" s="363" t="s">
        <v>3260</v>
      </c>
      <c r="L58" s="363"/>
      <c r="M58" s="363" t="s">
        <v>3400</v>
      </c>
      <c r="N58" s="363" t="s">
        <v>3400</v>
      </c>
      <c r="O58" s="363" t="s">
        <v>3299</v>
      </c>
      <c r="P58" s="363" t="s">
        <v>3533</v>
      </c>
      <c r="Q58" s="363" t="s">
        <v>3534</v>
      </c>
      <c r="R58" s="363"/>
      <c r="S58" s="363"/>
      <c r="T58" s="363"/>
      <c r="U58" s="363">
        <v>1104</v>
      </c>
      <c r="V58" s="363" t="s">
        <v>3535</v>
      </c>
      <c r="W58" s="363"/>
      <c r="X58" s="363" t="s">
        <v>3536</v>
      </c>
      <c r="Y58" s="363"/>
      <c r="Z58" s="363" t="s">
        <v>3537</v>
      </c>
      <c r="AA58" s="363"/>
      <c r="AB58" s="363" t="s">
        <v>3538</v>
      </c>
      <c r="AC58" s="363">
        <v>5031</v>
      </c>
      <c r="AD58" s="363"/>
      <c r="AE58" s="364" t="s">
        <v>115</v>
      </c>
    </row>
    <row r="59" spans="1:31" ht="13.65" customHeight="1">
      <c r="A59" s="362">
        <v>1118</v>
      </c>
      <c r="B59" s="363">
        <v>1118</v>
      </c>
      <c r="C59" s="363" t="s">
        <v>2119</v>
      </c>
      <c r="D59" s="363"/>
      <c r="E59" s="362">
        <v>1050</v>
      </c>
      <c r="F59" s="362" t="s">
        <v>115</v>
      </c>
      <c r="G59" s="364" t="s">
        <v>116</v>
      </c>
      <c r="H59" s="362" t="s">
        <v>115</v>
      </c>
      <c r="I59" s="362" t="s">
        <v>115</v>
      </c>
      <c r="J59" s="362" t="s">
        <v>3259</v>
      </c>
      <c r="K59" s="363" t="s">
        <v>3260</v>
      </c>
      <c r="L59" s="363"/>
      <c r="M59" s="363" t="s">
        <v>3261</v>
      </c>
      <c r="N59" s="363" t="s">
        <v>3261</v>
      </c>
      <c r="O59" s="363"/>
      <c r="P59" s="363" t="s">
        <v>3539</v>
      </c>
      <c r="Q59" s="363" t="s">
        <v>3540</v>
      </c>
      <c r="R59" s="363"/>
      <c r="S59" s="363"/>
      <c r="T59" s="363"/>
      <c r="U59" s="363">
        <v>1118</v>
      </c>
      <c r="V59" s="363" t="s">
        <v>3335</v>
      </c>
      <c r="W59" s="363" t="s">
        <v>3541</v>
      </c>
      <c r="X59" s="363" t="s">
        <v>3290</v>
      </c>
      <c r="Y59" s="363"/>
      <c r="Z59" s="363"/>
      <c r="AA59" s="363"/>
      <c r="AB59" s="363" t="s">
        <v>3542</v>
      </c>
      <c r="AC59" s="363">
        <v>1143</v>
      </c>
      <c r="AD59" s="363"/>
      <c r="AE59" s="364" t="s">
        <v>115</v>
      </c>
    </row>
    <row r="60" spans="1:31" ht="13.65" customHeight="1">
      <c r="A60" s="362">
        <v>1132</v>
      </c>
      <c r="B60" s="363">
        <v>1132</v>
      </c>
      <c r="C60" s="363" t="s">
        <v>2132</v>
      </c>
      <c r="D60" s="363"/>
      <c r="E60" s="362">
        <v>690</v>
      </c>
      <c r="F60" s="362" t="s">
        <v>116</v>
      </c>
      <c r="G60" s="364" t="s">
        <v>116</v>
      </c>
      <c r="H60" s="362" t="s">
        <v>115</v>
      </c>
      <c r="I60" s="362" t="s">
        <v>115</v>
      </c>
      <c r="J60" s="362" t="s">
        <v>3259</v>
      </c>
      <c r="K60" s="363" t="s">
        <v>3260</v>
      </c>
      <c r="L60" s="363"/>
      <c r="M60" s="363" t="s">
        <v>3261</v>
      </c>
      <c r="N60" s="363" t="s">
        <v>3261</v>
      </c>
      <c r="O60" s="363"/>
      <c r="P60" s="363" t="s">
        <v>3543</v>
      </c>
      <c r="Q60" s="363" t="s">
        <v>3544</v>
      </c>
      <c r="R60" s="363"/>
      <c r="S60" s="363"/>
      <c r="T60" s="363"/>
      <c r="U60" s="363">
        <v>1132</v>
      </c>
      <c r="V60" s="363" t="s">
        <v>3289</v>
      </c>
      <c r="W60" s="363"/>
      <c r="X60" s="363" t="s">
        <v>3290</v>
      </c>
      <c r="Y60" s="363"/>
      <c r="Z60" s="363"/>
      <c r="AA60" s="363"/>
      <c r="AB60" s="363" t="s">
        <v>3545</v>
      </c>
      <c r="AC60" s="363">
        <v>1196</v>
      </c>
      <c r="AD60" s="363"/>
      <c r="AE60" s="364" t="s">
        <v>115</v>
      </c>
    </row>
    <row r="61" spans="1:31" ht="13.65" customHeight="1">
      <c r="A61" s="362">
        <v>1260</v>
      </c>
      <c r="B61" s="363"/>
      <c r="C61" s="363"/>
      <c r="D61" s="363"/>
      <c r="E61" s="362">
        <v>926</v>
      </c>
      <c r="F61" s="362" t="s">
        <v>116</v>
      </c>
      <c r="G61" s="364"/>
      <c r="H61" s="362" t="s">
        <v>115</v>
      </c>
      <c r="I61" s="362" t="s">
        <v>115</v>
      </c>
      <c r="J61" s="362" t="s">
        <v>3259</v>
      </c>
      <c r="K61" s="363"/>
      <c r="L61" s="363"/>
      <c r="M61" s="363"/>
      <c r="N61" s="363"/>
      <c r="O61" s="363"/>
      <c r="P61" s="363"/>
      <c r="Q61" s="363"/>
      <c r="R61" s="363"/>
      <c r="S61" s="363"/>
      <c r="T61" s="363"/>
      <c r="U61" s="363"/>
      <c r="V61" s="363"/>
      <c r="W61" s="363"/>
      <c r="X61" s="363"/>
      <c r="Y61" s="363"/>
      <c r="Z61" s="363"/>
      <c r="AA61" s="363"/>
      <c r="AB61" s="363"/>
      <c r="AC61" s="363"/>
      <c r="AD61" s="363"/>
      <c r="AE61" s="364"/>
    </row>
    <row r="62" spans="1:31" ht="13.65" customHeight="1">
      <c r="A62" s="362">
        <v>1565</v>
      </c>
      <c r="B62" s="363">
        <v>1565</v>
      </c>
      <c r="C62" s="363" t="s">
        <v>1602</v>
      </c>
      <c r="D62" s="363"/>
      <c r="E62" s="362">
        <v>1529</v>
      </c>
      <c r="F62" s="362" t="s">
        <v>115</v>
      </c>
      <c r="G62" s="364" t="s">
        <v>116</v>
      </c>
      <c r="H62" s="362" t="s">
        <v>115</v>
      </c>
      <c r="I62" s="362" t="s">
        <v>115</v>
      </c>
      <c r="J62" s="362" t="s">
        <v>3259</v>
      </c>
      <c r="K62" s="363" t="s">
        <v>3260</v>
      </c>
      <c r="L62" s="363"/>
      <c r="M62" s="363" t="s">
        <v>3261</v>
      </c>
      <c r="N62" s="363" t="s">
        <v>3261</v>
      </c>
      <c r="O62" s="363"/>
      <c r="P62" s="363" t="s">
        <v>3546</v>
      </c>
      <c r="Q62" s="363" t="s">
        <v>3547</v>
      </c>
      <c r="R62" s="363" t="s">
        <v>3548</v>
      </c>
      <c r="S62" s="363"/>
      <c r="T62" s="363"/>
      <c r="U62" s="363">
        <v>1565</v>
      </c>
      <c r="V62" s="363" t="s">
        <v>3549</v>
      </c>
      <c r="W62" s="363"/>
      <c r="X62" s="363" t="s">
        <v>3290</v>
      </c>
      <c r="Y62" s="363"/>
      <c r="Z62" s="363"/>
      <c r="AA62" s="363"/>
      <c r="AB62" s="363" t="s">
        <v>3550</v>
      </c>
      <c r="AC62" s="363">
        <v>1206</v>
      </c>
      <c r="AD62" s="363"/>
      <c r="AE62" s="364" t="s">
        <v>115</v>
      </c>
    </row>
    <row r="63" spans="1:31" ht="13.65" customHeight="1">
      <c r="A63" s="362">
        <v>1614</v>
      </c>
      <c r="B63" s="363">
        <v>1614</v>
      </c>
      <c r="C63" s="363" t="s">
        <v>2378</v>
      </c>
      <c r="D63" s="363">
        <v>1614</v>
      </c>
      <c r="E63" s="362">
        <v>267</v>
      </c>
      <c r="F63" s="362" t="s">
        <v>115</v>
      </c>
      <c r="G63" s="364" t="s">
        <v>116</v>
      </c>
      <c r="H63" s="362" t="s">
        <v>115</v>
      </c>
      <c r="I63" s="362" t="s">
        <v>115</v>
      </c>
      <c r="J63" s="362" t="s">
        <v>3259</v>
      </c>
      <c r="K63" s="363" t="s">
        <v>3260</v>
      </c>
      <c r="L63" s="363"/>
      <c r="M63" s="363" t="s">
        <v>3274</v>
      </c>
      <c r="N63" s="363" t="s">
        <v>651</v>
      </c>
      <c r="O63" s="363" t="s">
        <v>3551</v>
      </c>
      <c r="P63" s="363" t="s">
        <v>3552</v>
      </c>
      <c r="Q63" s="363" t="s">
        <v>3553</v>
      </c>
      <c r="R63" s="363" t="s">
        <v>3554</v>
      </c>
      <c r="S63" s="363"/>
      <c r="T63" s="363"/>
      <c r="U63" s="363">
        <v>1614</v>
      </c>
      <c r="V63" s="363" t="s">
        <v>3555</v>
      </c>
      <c r="W63" s="363"/>
      <c r="X63" s="363" t="s">
        <v>3556</v>
      </c>
      <c r="Y63" s="363">
        <v>9200</v>
      </c>
      <c r="Z63" s="363"/>
      <c r="AA63" s="363"/>
      <c r="AB63" s="363" t="s">
        <v>3551</v>
      </c>
      <c r="AC63" s="363">
        <v>5018</v>
      </c>
      <c r="AD63" s="363"/>
      <c r="AE63" s="364" t="s">
        <v>115</v>
      </c>
    </row>
    <row r="64" spans="1:31" ht="13.65" customHeight="1">
      <c r="A64" s="362">
        <v>1672</v>
      </c>
      <c r="B64" s="363">
        <v>1672</v>
      </c>
      <c r="C64" s="363" t="s">
        <v>2404</v>
      </c>
      <c r="D64" s="363">
        <v>1672</v>
      </c>
      <c r="E64" s="362">
        <v>33</v>
      </c>
      <c r="F64" s="362" t="s">
        <v>115</v>
      </c>
      <c r="G64" s="364" t="s">
        <v>116</v>
      </c>
      <c r="H64" s="362" t="s">
        <v>115</v>
      </c>
      <c r="I64" s="362" t="s">
        <v>115</v>
      </c>
      <c r="J64" s="362" t="s">
        <v>3259</v>
      </c>
      <c r="K64" s="363" t="s">
        <v>3260</v>
      </c>
      <c r="L64" s="363"/>
      <c r="M64" s="363" t="s">
        <v>3274</v>
      </c>
      <c r="N64" s="363" t="s">
        <v>651</v>
      </c>
      <c r="O64" s="363" t="s">
        <v>3557</v>
      </c>
      <c r="P64" s="363" t="s">
        <v>3552</v>
      </c>
      <c r="Q64" s="363" t="s">
        <v>3558</v>
      </c>
      <c r="R64" s="363" t="s">
        <v>3559</v>
      </c>
      <c r="S64" s="363"/>
      <c r="T64" s="363"/>
      <c r="U64" s="363">
        <v>1672</v>
      </c>
      <c r="V64" s="363" t="s">
        <v>3555</v>
      </c>
      <c r="W64" s="363"/>
      <c r="X64" s="363" t="s">
        <v>3556</v>
      </c>
      <c r="Y64" s="363">
        <v>9200</v>
      </c>
      <c r="Z64" s="363"/>
      <c r="AA64" s="363"/>
      <c r="AB64" s="363" t="s">
        <v>3560</v>
      </c>
      <c r="AC64" s="363">
        <v>5017</v>
      </c>
      <c r="AD64" s="363"/>
      <c r="AE64" s="364" t="s">
        <v>115</v>
      </c>
    </row>
    <row r="65" spans="1:31" ht="13.65" customHeight="1">
      <c r="A65" s="362">
        <v>1699</v>
      </c>
      <c r="B65" s="363">
        <v>1699</v>
      </c>
      <c r="C65" s="363" t="s">
        <v>1375</v>
      </c>
      <c r="D65" s="363"/>
      <c r="E65" s="362">
        <v>46112</v>
      </c>
      <c r="F65" s="362" t="s">
        <v>116</v>
      </c>
      <c r="G65" s="364" t="s">
        <v>116</v>
      </c>
      <c r="H65" s="362" t="s">
        <v>115</v>
      </c>
      <c r="I65" s="362" t="s">
        <v>115</v>
      </c>
      <c r="J65" s="362" t="s">
        <v>3259</v>
      </c>
      <c r="K65" s="363" t="s">
        <v>3260</v>
      </c>
      <c r="L65" s="363"/>
      <c r="M65" s="363" t="s">
        <v>3261</v>
      </c>
      <c r="N65" s="363" t="s">
        <v>3261</v>
      </c>
      <c r="O65" s="363"/>
      <c r="P65" s="363" t="s">
        <v>3561</v>
      </c>
      <c r="Q65" s="363" t="s">
        <v>3562</v>
      </c>
      <c r="R65" s="363" t="s">
        <v>3563</v>
      </c>
      <c r="S65" s="363"/>
      <c r="T65" s="363"/>
      <c r="U65" s="363">
        <v>1699</v>
      </c>
      <c r="V65" s="363" t="s">
        <v>3564</v>
      </c>
      <c r="W65" s="363"/>
      <c r="X65" s="363"/>
      <c r="Y65" s="363"/>
      <c r="Z65" s="363"/>
      <c r="AA65" s="363"/>
      <c r="AB65" s="363" t="s">
        <v>3565</v>
      </c>
      <c r="AC65" s="363">
        <v>1014</v>
      </c>
      <c r="AD65" s="363"/>
      <c r="AE65" s="364" t="s">
        <v>115</v>
      </c>
    </row>
    <row r="66" spans="1:31" ht="13.65" customHeight="1">
      <c r="A66" s="362">
        <v>1944</v>
      </c>
      <c r="B66" s="363">
        <v>1944</v>
      </c>
      <c r="C66" s="363" t="s">
        <v>2475</v>
      </c>
      <c r="D66" s="363">
        <v>1944</v>
      </c>
      <c r="E66" s="362">
        <v>369</v>
      </c>
      <c r="F66" s="362" t="s">
        <v>115</v>
      </c>
      <c r="G66" s="364" t="s">
        <v>116</v>
      </c>
      <c r="H66" s="362" t="s">
        <v>115</v>
      </c>
      <c r="I66" s="362" t="s">
        <v>115</v>
      </c>
      <c r="J66" s="362" t="s">
        <v>3259</v>
      </c>
      <c r="K66" s="363" t="s">
        <v>3260</v>
      </c>
      <c r="L66" s="363"/>
      <c r="M66" s="363" t="s">
        <v>3274</v>
      </c>
      <c r="N66" s="363" t="s">
        <v>3450</v>
      </c>
      <c r="O66" s="363"/>
      <c r="P66" s="363" t="s">
        <v>3566</v>
      </c>
      <c r="Q66" s="363" t="s">
        <v>3567</v>
      </c>
      <c r="R66" s="363" t="s">
        <v>3568</v>
      </c>
      <c r="S66" s="363"/>
      <c r="T66" s="363"/>
      <c r="U66" s="363">
        <v>1944</v>
      </c>
      <c r="V66" s="363" t="s">
        <v>3569</v>
      </c>
      <c r="W66" s="363"/>
      <c r="X66" s="363" t="s">
        <v>3570</v>
      </c>
      <c r="Y66" s="363"/>
      <c r="Z66" s="363"/>
      <c r="AA66" s="363"/>
      <c r="AB66" s="363" t="s">
        <v>3486</v>
      </c>
      <c r="AC66" s="363">
        <v>1003</v>
      </c>
      <c r="AD66" s="363"/>
      <c r="AE66" s="364" t="s">
        <v>115</v>
      </c>
    </row>
    <row r="67" spans="1:31" ht="13.65" customHeight="1">
      <c r="A67" s="362">
        <v>4122</v>
      </c>
      <c r="B67" s="363">
        <v>4122</v>
      </c>
      <c r="C67" s="363" t="s">
        <v>3571</v>
      </c>
      <c r="D67" s="363"/>
      <c r="E67" s="362">
        <v>37</v>
      </c>
      <c r="F67" s="362" t="s">
        <v>116</v>
      </c>
      <c r="G67" s="364" t="s">
        <v>116</v>
      </c>
      <c r="H67" s="362" t="s">
        <v>115</v>
      </c>
      <c r="I67" s="362" t="s">
        <v>115</v>
      </c>
      <c r="J67" s="362" t="s">
        <v>3399</v>
      </c>
      <c r="K67" s="363" t="s">
        <v>3260</v>
      </c>
      <c r="L67" s="363"/>
      <c r="M67" s="363" t="s">
        <v>3400</v>
      </c>
      <c r="N67" s="363" t="s">
        <v>3400</v>
      </c>
      <c r="O67" s="363" t="s">
        <v>3299</v>
      </c>
      <c r="P67" s="363" t="s">
        <v>3572</v>
      </c>
      <c r="Q67" s="363" t="s">
        <v>3573</v>
      </c>
      <c r="R67" s="363"/>
      <c r="S67" s="363"/>
      <c r="T67" s="363"/>
      <c r="U67" s="363">
        <v>4122</v>
      </c>
      <c r="V67" s="363" t="s">
        <v>3574</v>
      </c>
      <c r="W67" s="363"/>
      <c r="X67" s="363"/>
      <c r="Y67" s="363"/>
      <c r="Z67" s="363" t="s">
        <v>3575</v>
      </c>
      <c r="AA67" s="363"/>
      <c r="AB67" s="363" t="s">
        <v>3576</v>
      </c>
      <c r="AC67" s="363">
        <v>5035</v>
      </c>
      <c r="AD67" s="363"/>
      <c r="AE67" s="364" t="s">
        <v>115</v>
      </c>
    </row>
    <row r="68" spans="1:31" ht="13.65" customHeight="1">
      <c r="A68" s="362">
        <v>4123</v>
      </c>
      <c r="B68" s="363">
        <v>4123</v>
      </c>
      <c r="C68" s="363" t="s">
        <v>2518</v>
      </c>
      <c r="D68" s="363"/>
      <c r="E68" s="362">
        <v>104</v>
      </c>
      <c r="F68" s="362" t="s">
        <v>116</v>
      </c>
      <c r="G68" s="364" t="s">
        <v>116</v>
      </c>
      <c r="H68" s="362" t="s">
        <v>115</v>
      </c>
      <c r="I68" s="362" t="s">
        <v>115</v>
      </c>
      <c r="J68" s="362" t="s">
        <v>3399</v>
      </c>
      <c r="K68" s="363" t="s">
        <v>3260</v>
      </c>
      <c r="L68" s="363"/>
      <c r="M68" s="363" t="s">
        <v>3400</v>
      </c>
      <c r="N68" s="363" t="s">
        <v>3400</v>
      </c>
      <c r="O68" s="363" t="s">
        <v>3577</v>
      </c>
      <c r="P68" s="363" t="s">
        <v>3578</v>
      </c>
      <c r="Q68" s="363" t="s">
        <v>3579</v>
      </c>
      <c r="R68" s="363"/>
      <c r="S68" s="363"/>
      <c r="T68" s="363"/>
      <c r="U68" s="363">
        <v>4123</v>
      </c>
      <c r="V68" s="363" t="s">
        <v>3580</v>
      </c>
      <c r="W68" s="363"/>
      <c r="X68" s="363"/>
      <c r="Y68" s="363"/>
      <c r="Z68" s="363"/>
      <c r="AA68" s="363"/>
      <c r="AB68" s="363" t="s">
        <v>3581</v>
      </c>
      <c r="AC68" s="363">
        <v>5044</v>
      </c>
      <c r="AD68" s="363"/>
      <c r="AE68" s="364" t="s">
        <v>115</v>
      </c>
    </row>
    <row r="69" spans="1:31" ht="13.65" customHeight="1">
      <c r="A69" s="362">
        <v>4124</v>
      </c>
      <c r="B69" s="363">
        <v>4124</v>
      </c>
      <c r="C69" s="363" t="s">
        <v>954</v>
      </c>
      <c r="D69" s="363"/>
      <c r="E69" s="362">
        <v>792</v>
      </c>
      <c r="F69" s="362" t="s">
        <v>116</v>
      </c>
      <c r="G69" s="364" t="s">
        <v>116</v>
      </c>
      <c r="H69" s="362" t="s">
        <v>115</v>
      </c>
      <c r="I69" s="362" t="s">
        <v>115</v>
      </c>
      <c r="J69" s="362" t="s">
        <v>3259</v>
      </c>
      <c r="K69" s="363" t="s">
        <v>3260</v>
      </c>
      <c r="L69" s="363"/>
      <c r="M69" s="363" t="s">
        <v>3261</v>
      </c>
      <c r="N69" s="363" t="s">
        <v>3261</v>
      </c>
      <c r="O69" s="363"/>
      <c r="P69" s="363" t="s">
        <v>3582</v>
      </c>
      <c r="Q69" s="363" t="s">
        <v>3583</v>
      </c>
      <c r="R69" s="363" t="s">
        <v>3584</v>
      </c>
      <c r="S69" s="363"/>
      <c r="T69" s="363"/>
      <c r="U69" s="363">
        <v>4124</v>
      </c>
      <c r="V69" s="363" t="s">
        <v>3585</v>
      </c>
      <c r="W69" s="363" t="s">
        <v>3302</v>
      </c>
      <c r="X69" s="363" t="s">
        <v>3290</v>
      </c>
      <c r="Y69" s="363">
        <v>9200</v>
      </c>
      <c r="Z69" s="363"/>
      <c r="AA69" s="363"/>
      <c r="AB69" s="363" t="s">
        <v>3586</v>
      </c>
      <c r="AC69" s="363">
        <v>1198</v>
      </c>
      <c r="AD69" s="363"/>
      <c r="AE69" s="364" t="s">
        <v>115</v>
      </c>
    </row>
    <row r="70" spans="1:31" ht="13.65" customHeight="1">
      <c r="A70" s="362">
        <v>4135</v>
      </c>
      <c r="B70" s="363">
        <v>4135</v>
      </c>
      <c r="C70" s="363" t="s">
        <v>1641</v>
      </c>
      <c r="D70" s="363">
        <v>4135</v>
      </c>
      <c r="E70" s="362" t="s">
        <v>3341</v>
      </c>
      <c r="F70" s="362" t="s">
        <v>116</v>
      </c>
      <c r="G70" s="364" t="s">
        <v>116</v>
      </c>
      <c r="H70" s="362" t="s">
        <v>115</v>
      </c>
      <c r="I70" s="362" t="s">
        <v>115</v>
      </c>
      <c r="J70" s="362" t="s">
        <v>3259</v>
      </c>
      <c r="K70" s="363" t="s">
        <v>3260</v>
      </c>
      <c r="L70" s="363"/>
      <c r="M70" s="363" t="s">
        <v>3274</v>
      </c>
      <c r="N70" s="363" t="s">
        <v>651</v>
      </c>
      <c r="O70" s="363" t="s">
        <v>3587</v>
      </c>
      <c r="P70" s="363" t="s">
        <v>3588</v>
      </c>
      <c r="Q70" s="363" t="s">
        <v>3589</v>
      </c>
      <c r="R70" s="363"/>
      <c r="S70" s="363"/>
      <c r="T70" s="363"/>
      <c r="U70" s="363">
        <v>4135</v>
      </c>
      <c r="V70" s="363" t="s">
        <v>3313</v>
      </c>
      <c r="W70" s="363"/>
      <c r="X70" s="363" t="s">
        <v>3314</v>
      </c>
      <c r="Y70" s="363"/>
      <c r="Z70" s="363"/>
      <c r="AA70" s="363"/>
      <c r="AB70" s="363" t="s">
        <v>3590</v>
      </c>
      <c r="AC70" s="363">
        <v>7000</v>
      </c>
      <c r="AD70" s="363"/>
      <c r="AE70" s="364" t="s">
        <v>115</v>
      </c>
    </row>
    <row r="71" spans="1:31" ht="13.65" customHeight="1">
      <c r="A71" s="362">
        <v>4144</v>
      </c>
      <c r="B71" s="363">
        <v>4144</v>
      </c>
      <c r="C71" s="363" t="s">
        <v>2533</v>
      </c>
      <c r="D71" s="363"/>
      <c r="E71" s="362">
        <v>11724</v>
      </c>
      <c r="F71" s="362" t="s">
        <v>116</v>
      </c>
      <c r="G71" s="364" t="s">
        <v>116</v>
      </c>
      <c r="H71" s="362" t="s">
        <v>115</v>
      </c>
      <c r="I71" s="362" t="s">
        <v>115</v>
      </c>
      <c r="J71" s="362" t="s">
        <v>3259</v>
      </c>
      <c r="K71" s="363" t="s">
        <v>3260</v>
      </c>
      <c r="L71" s="363"/>
      <c r="M71" s="363" t="s">
        <v>3261</v>
      </c>
      <c r="N71" s="363" t="s">
        <v>3261</v>
      </c>
      <c r="O71" s="363"/>
      <c r="P71" s="363" t="s">
        <v>3591</v>
      </c>
      <c r="Q71" s="363" t="s">
        <v>3592</v>
      </c>
      <c r="R71" s="363"/>
      <c r="S71" s="363"/>
      <c r="T71" s="363"/>
      <c r="U71" s="363">
        <v>4144</v>
      </c>
      <c r="V71" s="363" t="s">
        <v>3593</v>
      </c>
      <c r="W71" s="363"/>
      <c r="X71" s="363" t="s">
        <v>3328</v>
      </c>
      <c r="Y71" s="363">
        <v>9200</v>
      </c>
      <c r="Z71" s="363"/>
      <c r="AA71" s="363"/>
      <c r="AB71" s="363">
        <v>0</v>
      </c>
      <c r="AC71" s="363" t="s">
        <v>3594</v>
      </c>
      <c r="AD71" s="363"/>
      <c r="AE71" s="364" t="s">
        <v>115</v>
      </c>
    </row>
    <row r="72" spans="1:31" ht="13.65" customHeight="1">
      <c r="A72" s="362">
        <v>4156</v>
      </c>
      <c r="B72" s="363">
        <v>4156</v>
      </c>
      <c r="C72" s="363" t="s">
        <v>957</v>
      </c>
      <c r="D72" s="363">
        <v>4156</v>
      </c>
      <c r="E72" s="362">
        <v>21</v>
      </c>
      <c r="F72" s="362" t="s">
        <v>115</v>
      </c>
      <c r="G72" s="364" t="s">
        <v>116</v>
      </c>
      <c r="H72" s="362" t="s">
        <v>115</v>
      </c>
      <c r="I72" s="362" t="s">
        <v>115</v>
      </c>
      <c r="J72" s="362" t="s">
        <v>3259</v>
      </c>
      <c r="K72" s="363" t="s">
        <v>3260</v>
      </c>
      <c r="L72" s="363"/>
      <c r="M72" s="363" t="s">
        <v>3274</v>
      </c>
      <c r="N72" s="363" t="s">
        <v>3283</v>
      </c>
      <c r="O72" s="363"/>
      <c r="P72" s="363" t="s">
        <v>3595</v>
      </c>
      <c r="Q72" s="363" t="s">
        <v>3596</v>
      </c>
      <c r="R72" s="363" t="s">
        <v>3597</v>
      </c>
      <c r="S72" s="363"/>
      <c r="T72" s="363"/>
      <c r="U72" s="363">
        <v>4156</v>
      </c>
      <c r="V72" s="363" t="s">
        <v>3355</v>
      </c>
      <c r="W72" s="363" t="s">
        <v>3302</v>
      </c>
      <c r="X72" s="363" t="s">
        <v>3290</v>
      </c>
      <c r="Y72" s="363">
        <v>9200</v>
      </c>
      <c r="Z72" s="363"/>
      <c r="AA72" s="363"/>
      <c r="AB72" s="363" t="s">
        <v>3598</v>
      </c>
      <c r="AC72" s="363">
        <v>1221</v>
      </c>
      <c r="AD72" s="363"/>
      <c r="AE72" s="364" t="s">
        <v>115</v>
      </c>
    </row>
    <row r="73" spans="1:31" ht="13.65" customHeight="1">
      <c r="A73" s="362">
        <v>4169</v>
      </c>
      <c r="B73" s="363">
        <v>4169</v>
      </c>
      <c r="C73" s="363" t="s">
        <v>1680</v>
      </c>
      <c r="D73" s="363">
        <v>4169</v>
      </c>
      <c r="E73" s="362">
        <v>103</v>
      </c>
      <c r="F73" s="362" t="s">
        <v>115</v>
      </c>
      <c r="G73" s="364" t="s">
        <v>116</v>
      </c>
      <c r="H73" s="362" t="s">
        <v>115</v>
      </c>
      <c r="I73" s="362" t="s">
        <v>115</v>
      </c>
      <c r="J73" s="362" t="s">
        <v>3259</v>
      </c>
      <c r="K73" s="363" t="s">
        <v>3260</v>
      </c>
      <c r="L73" s="363"/>
      <c r="M73" s="363" t="s">
        <v>3274</v>
      </c>
      <c r="N73" s="363" t="s">
        <v>3283</v>
      </c>
      <c r="O73" s="363"/>
      <c r="P73" s="363" t="s">
        <v>3599</v>
      </c>
      <c r="Q73" s="363" t="s">
        <v>3600</v>
      </c>
      <c r="R73" s="363"/>
      <c r="S73" s="363"/>
      <c r="T73" s="363"/>
      <c r="U73" s="363">
        <v>4169</v>
      </c>
      <c r="V73" s="363" t="s">
        <v>3601</v>
      </c>
      <c r="W73" s="363" t="s">
        <v>3602</v>
      </c>
      <c r="X73" s="363" t="s">
        <v>3290</v>
      </c>
      <c r="Y73" s="363"/>
      <c r="Z73" s="363" t="s">
        <v>3603</v>
      </c>
      <c r="AA73" s="363"/>
      <c r="AB73" s="363" t="s">
        <v>3604</v>
      </c>
      <c r="AC73" s="363">
        <v>1251</v>
      </c>
      <c r="AD73" s="363"/>
      <c r="AE73" s="364" t="s">
        <v>115</v>
      </c>
    </row>
    <row r="74" spans="1:31" ht="13.65" customHeight="1">
      <c r="A74" s="362">
        <v>4173</v>
      </c>
      <c r="B74" s="363">
        <v>4173</v>
      </c>
      <c r="C74" s="363" t="s">
        <v>1065</v>
      </c>
      <c r="D74" s="363">
        <v>4173</v>
      </c>
      <c r="E74" s="362">
        <v>136</v>
      </c>
      <c r="F74" s="362" t="s">
        <v>116</v>
      </c>
      <c r="G74" s="364" t="s">
        <v>116</v>
      </c>
      <c r="H74" s="362" t="s">
        <v>115</v>
      </c>
      <c r="I74" s="362" t="s">
        <v>115</v>
      </c>
      <c r="J74" s="362" t="s">
        <v>3259</v>
      </c>
      <c r="K74" s="363" t="s">
        <v>3260</v>
      </c>
      <c r="L74" s="363"/>
      <c r="M74" s="363" t="s">
        <v>3274</v>
      </c>
      <c r="N74" s="363" t="s">
        <v>1378</v>
      </c>
      <c r="O74" s="363"/>
      <c r="P74" s="363" t="s">
        <v>3605</v>
      </c>
      <c r="Q74" s="363"/>
      <c r="R74" s="363"/>
      <c r="S74" s="363"/>
      <c r="T74" s="363"/>
      <c r="U74" s="363">
        <v>4173</v>
      </c>
      <c r="V74" s="363" t="s">
        <v>3606</v>
      </c>
      <c r="W74" s="363" t="s">
        <v>3607</v>
      </c>
      <c r="X74" s="363"/>
      <c r="Y74" s="363"/>
      <c r="Z74" s="363" t="s">
        <v>3608</v>
      </c>
      <c r="AA74" s="363"/>
      <c r="AB74" s="363" t="s">
        <v>3609</v>
      </c>
      <c r="AC74" s="363"/>
      <c r="AD74" s="363"/>
      <c r="AE74" s="364" t="s">
        <v>115</v>
      </c>
    </row>
    <row r="75" spans="1:31" ht="13.65" customHeight="1">
      <c r="A75" s="362">
        <v>4174</v>
      </c>
      <c r="B75" s="363">
        <v>4174</v>
      </c>
      <c r="C75" s="363" t="s">
        <v>1294</v>
      </c>
      <c r="D75" s="363">
        <v>4174</v>
      </c>
      <c r="E75" s="362">
        <v>9</v>
      </c>
      <c r="F75" s="362" t="s">
        <v>116</v>
      </c>
      <c r="G75" s="364" t="s">
        <v>116</v>
      </c>
      <c r="H75" s="362" t="s">
        <v>115</v>
      </c>
      <c r="I75" s="362" t="s">
        <v>115</v>
      </c>
      <c r="J75" s="362" t="s">
        <v>3259</v>
      </c>
      <c r="K75" s="363" t="s">
        <v>3260</v>
      </c>
      <c r="L75" s="363"/>
      <c r="M75" s="363" t="s">
        <v>3274</v>
      </c>
      <c r="N75" s="363" t="s">
        <v>1378</v>
      </c>
      <c r="O75" s="363"/>
      <c r="P75" s="363" t="s">
        <v>3605</v>
      </c>
      <c r="Q75" s="363" t="s">
        <v>3610</v>
      </c>
      <c r="R75" s="363" t="s">
        <v>3611</v>
      </c>
      <c r="S75" s="363"/>
      <c r="T75" s="363"/>
      <c r="U75" s="363">
        <v>4174</v>
      </c>
      <c r="V75" s="363" t="s">
        <v>3612</v>
      </c>
      <c r="W75" s="363"/>
      <c r="X75" s="363"/>
      <c r="Y75" s="363"/>
      <c r="Z75" s="363" t="s">
        <v>3608</v>
      </c>
      <c r="AA75" s="363"/>
      <c r="AB75" s="363" t="s">
        <v>3613</v>
      </c>
      <c r="AC75" s="363">
        <v>1163</v>
      </c>
      <c r="AD75" s="363"/>
      <c r="AE75" s="364" t="s">
        <v>115</v>
      </c>
    </row>
    <row r="76" spans="1:31" ht="13.65" customHeight="1">
      <c r="A76" s="362">
        <v>4180</v>
      </c>
      <c r="B76" s="363">
        <v>4180</v>
      </c>
      <c r="C76" s="363" t="s">
        <v>2552</v>
      </c>
      <c r="D76" s="363">
        <v>4180</v>
      </c>
      <c r="E76" s="362">
        <v>35</v>
      </c>
      <c r="F76" s="362" t="s">
        <v>116</v>
      </c>
      <c r="G76" s="364" t="s">
        <v>116</v>
      </c>
      <c r="H76" s="362" t="s">
        <v>115</v>
      </c>
      <c r="I76" s="362" t="s">
        <v>115</v>
      </c>
      <c r="J76" s="362" t="s">
        <v>3259</v>
      </c>
      <c r="K76" s="363" t="s">
        <v>3260</v>
      </c>
      <c r="L76" s="363"/>
      <c r="M76" s="363" t="s">
        <v>3274</v>
      </c>
      <c r="N76" s="363" t="s">
        <v>3299</v>
      </c>
      <c r="O76" s="363" t="s">
        <v>3614</v>
      </c>
      <c r="P76" s="363" t="s">
        <v>3615</v>
      </c>
      <c r="Q76" s="363" t="s">
        <v>3616</v>
      </c>
      <c r="R76" s="363" t="s">
        <v>3617</v>
      </c>
      <c r="S76" s="363"/>
      <c r="T76" s="363"/>
      <c r="U76" s="363">
        <v>4180</v>
      </c>
      <c r="V76" s="363" t="s">
        <v>3618</v>
      </c>
      <c r="W76" s="363" t="s">
        <v>3619</v>
      </c>
      <c r="X76" s="363" t="s">
        <v>3620</v>
      </c>
      <c r="Y76" s="363" t="s">
        <v>3621</v>
      </c>
      <c r="Z76" s="363" t="s">
        <v>3622</v>
      </c>
      <c r="AA76" s="363"/>
      <c r="AB76" s="363" t="s">
        <v>3623</v>
      </c>
      <c r="AC76" s="363">
        <v>1134</v>
      </c>
      <c r="AD76" s="363"/>
      <c r="AE76" s="364" t="s">
        <v>115</v>
      </c>
    </row>
    <row r="77" spans="1:31" ht="13.65" customHeight="1">
      <c r="A77" s="362">
        <v>4262</v>
      </c>
      <c r="B77" s="363"/>
      <c r="C77" s="363"/>
      <c r="D77" s="363"/>
      <c r="E77" s="362">
        <v>54</v>
      </c>
      <c r="F77" s="362" t="s">
        <v>115</v>
      </c>
      <c r="G77" s="364"/>
      <c r="H77" s="362" t="s">
        <v>115</v>
      </c>
      <c r="I77" s="362" t="s">
        <v>115</v>
      </c>
      <c r="J77" s="362" t="s">
        <v>3259</v>
      </c>
      <c r="K77" s="363"/>
      <c r="L77" s="363"/>
      <c r="M77" s="363"/>
      <c r="N77" s="363"/>
      <c r="O77" s="363"/>
      <c r="P77" s="363"/>
      <c r="Q77" s="363"/>
      <c r="R77" s="363"/>
      <c r="S77" s="363"/>
      <c r="T77" s="363"/>
      <c r="U77" s="363"/>
      <c r="V77" s="363"/>
      <c r="W77" s="363"/>
      <c r="X77" s="363"/>
      <c r="Y77" s="363"/>
      <c r="Z77" s="363"/>
      <c r="AA77" s="363"/>
      <c r="AB77" s="363"/>
      <c r="AC77" s="363"/>
      <c r="AD77" s="363"/>
      <c r="AE77" s="364"/>
    </row>
    <row r="78" spans="1:31" ht="13.65" customHeight="1">
      <c r="A78" s="362">
        <v>4266</v>
      </c>
      <c r="B78" s="363">
        <v>4266</v>
      </c>
      <c r="C78" s="363" t="s">
        <v>2584</v>
      </c>
      <c r="D78" s="363">
        <v>4266</v>
      </c>
      <c r="E78" s="362">
        <v>46</v>
      </c>
      <c r="F78" s="362" t="s">
        <v>115</v>
      </c>
      <c r="G78" s="364" t="s">
        <v>116</v>
      </c>
      <c r="H78" s="362" t="s">
        <v>115</v>
      </c>
      <c r="I78" s="362" t="s">
        <v>115</v>
      </c>
      <c r="J78" s="362" t="s">
        <v>3259</v>
      </c>
      <c r="K78" s="363" t="s">
        <v>3260</v>
      </c>
      <c r="L78" s="363"/>
      <c r="M78" s="363" t="s">
        <v>3274</v>
      </c>
      <c r="N78" s="363" t="s">
        <v>3283</v>
      </c>
      <c r="O78" s="363"/>
      <c r="P78" s="363" t="s">
        <v>219</v>
      </c>
      <c r="Q78" s="363"/>
      <c r="R78" s="363"/>
      <c r="S78" s="363"/>
      <c r="T78" s="363"/>
      <c r="U78" s="363">
        <v>4266</v>
      </c>
      <c r="V78" s="363" t="s">
        <v>3440</v>
      </c>
      <c r="W78" s="363"/>
      <c r="X78" s="363" t="s">
        <v>3441</v>
      </c>
      <c r="Y78" s="363"/>
      <c r="Z78" s="363"/>
      <c r="AA78" s="363"/>
      <c r="AB78" s="363">
        <v>0</v>
      </c>
      <c r="AC78" s="363" t="s">
        <v>3437</v>
      </c>
      <c r="AD78" s="363"/>
      <c r="AE78" s="364" t="s">
        <v>115</v>
      </c>
    </row>
    <row r="79" spans="1:31" ht="13.65" customHeight="1">
      <c r="A79" s="362">
        <v>4268</v>
      </c>
      <c r="B79" s="363"/>
      <c r="C79" s="363"/>
      <c r="D79" s="363"/>
      <c r="E79" s="362" t="s">
        <v>3341</v>
      </c>
      <c r="F79" s="362" t="s">
        <v>116</v>
      </c>
      <c r="G79" s="364"/>
      <c r="H79" s="362" t="s">
        <v>115</v>
      </c>
      <c r="I79" s="362" t="s">
        <v>115</v>
      </c>
      <c r="J79" s="362" t="s">
        <v>3259</v>
      </c>
      <c r="K79" s="363"/>
      <c r="L79" s="363"/>
      <c r="M79" s="363"/>
      <c r="N79" s="363"/>
      <c r="O79" s="363"/>
      <c r="P79" s="363"/>
      <c r="Q79" s="363"/>
      <c r="R79" s="363"/>
      <c r="S79" s="363"/>
      <c r="T79" s="363"/>
      <c r="U79" s="363"/>
      <c r="V79" s="363"/>
      <c r="W79" s="363"/>
      <c r="X79" s="363"/>
      <c r="Y79" s="363"/>
      <c r="Z79" s="363"/>
      <c r="AA79" s="363"/>
      <c r="AB79" s="363"/>
      <c r="AC79" s="363"/>
      <c r="AD79" s="363"/>
      <c r="AE79" s="364"/>
    </row>
    <row r="80" spans="1:31" ht="13.65" customHeight="1">
      <c r="A80" s="362">
        <v>4269</v>
      </c>
      <c r="B80" s="363"/>
      <c r="C80" s="363"/>
      <c r="D80" s="363"/>
      <c r="E80" s="362" t="s">
        <v>3341</v>
      </c>
      <c r="F80" s="362" t="s">
        <v>116</v>
      </c>
      <c r="G80" s="364"/>
      <c r="H80" s="362" t="s">
        <v>115</v>
      </c>
      <c r="I80" s="362" t="s">
        <v>115</v>
      </c>
      <c r="J80" s="362" t="s">
        <v>3259</v>
      </c>
      <c r="K80" s="363"/>
      <c r="L80" s="363"/>
      <c r="M80" s="363"/>
      <c r="N80" s="363"/>
      <c r="O80" s="363"/>
      <c r="P80" s="363"/>
      <c r="Q80" s="363"/>
      <c r="R80" s="363"/>
      <c r="S80" s="363"/>
      <c r="T80" s="363"/>
      <c r="U80" s="363"/>
      <c r="V80" s="363"/>
      <c r="W80" s="363"/>
      <c r="X80" s="363"/>
      <c r="Y80" s="363"/>
      <c r="Z80" s="363"/>
      <c r="AA80" s="363"/>
      <c r="AB80" s="363"/>
      <c r="AC80" s="363"/>
      <c r="AD80" s="363"/>
      <c r="AE80" s="364"/>
    </row>
    <row r="81" spans="1:31" ht="13.65" customHeight="1">
      <c r="A81" s="362">
        <v>4270</v>
      </c>
      <c r="B81" s="363">
        <v>4270</v>
      </c>
      <c r="C81" s="363" t="s">
        <v>1483</v>
      </c>
      <c r="D81" s="363">
        <v>4270</v>
      </c>
      <c r="E81" s="362">
        <v>117</v>
      </c>
      <c r="F81" s="362" t="s">
        <v>115</v>
      </c>
      <c r="G81" s="364" t="s">
        <v>116</v>
      </c>
      <c r="H81" s="362" t="s">
        <v>115</v>
      </c>
      <c r="I81" s="362" t="s">
        <v>115</v>
      </c>
      <c r="J81" s="362" t="s">
        <v>3259</v>
      </c>
      <c r="K81" s="363" t="s">
        <v>3260</v>
      </c>
      <c r="L81" s="363"/>
      <c r="M81" s="363" t="s">
        <v>3274</v>
      </c>
      <c r="N81" s="363" t="s">
        <v>651</v>
      </c>
      <c r="O81" s="363" t="s">
        <v>3624</v>
      </c>
      <c r="P81" s="363" t="s">
        <v>3625</v>
      </c>
      <c r="Q81" s="363" t="s">
        <v>3626</v>
      </c>
      <c r="R81" s="363" t="s">
        <v>3627</v>
      </c>
      <c r="S81" s="363" t="s">
        <v>3628</v>
      </c>
      <c r="T81" s="363"/>
      <c r="U81" s="363">
        <v>4270</v>
      </c>
      <c r="V81" s="363" t="s">
        <v>3629</v>
      </c>
      <c r="W81" s="363"/>
      <c r="X81" s="363" t="s">
        <v>3314</v>
      </c>
      <c r="Y81" s="363"/>
      <c r="Z81" s="363"/>
      <c r="AA81" s="363"/>
      <c r="AB81" s="363"/>
      <c r="AC81" s="363">
        <v>1549</v>
      </c>
      <c r="AD81" s="363"/>
      <c r="AE81" s="364" t="s">
        <v>115</v>
      </c>
    </row>
    <row r="82" spans="1:31" ht="13.65" customHeight="1">
      <c r="A82" s="362">
        <v>4319</v>
      </c>
      <c r="B82" s="363">
        <v>4319</v>
      </c>
      <c r="C82" s="363" t="s">
        <v>970</v>
      </c>
      <c r="D82" s="363">
        <v>4319</v>
      </c>
      <c r="E82" s="362">
        <v>2</v>
      </c>
      <c r="F82" s="362" t="s">
        <v>115</v>
      </c>
      <c r="G82" s="364" t="s">
        <v>116</v>
      </c>
      <c r="H82" s="362" t="s">
        <v>115</v>
      </c>
      <c r="I82" s="362" t="s">
        <v>115</v>
      </c>
      <c r="J82" s="362" t="s">
        <v>3259</v>
      </c>
      <c r="K82" s="363" t="s">
        <v>3260</v>
      </c>
      <c r="L82" s="363"/>
      <c r="M82" s="363" t="s">
        <v>3274</v>
      </c>
      <c r="N82" s="363" t="s">
        <v>3299</v>
      </c>
      <c r="O82" s="363" t="s">
        <v>1381</v>
      </c>
      <c r="P82" s="363" t="s">
        <v>3630</v>
      </c>
      <c r="Q82" s="363" t="s">
        <v>3631</v>
      </c>
      <c r="R82" s="363" t="s">
        <v>3632</v>
      </c>
      <c r="S82" s="363"/>
      <c r="T82" s="363"/>
      <c r="U82" s="363">
        <v>4319</v>
      </c>
      <c r="V82" s="363" t="s">
        <v>3633</v>
      </c>
      <c r="W82" s="363"/>
      <c r="X82" s="363" t="s">
        <v>3634</v>
      </c>
      <c r="Y82" s="363"/>
      <c r="Z82" s="363"/>
      <c r="AA82" s="363"/>
      <c r="AB82" s="363" t="s">
        <v>3632</v>
      </c>
      <c r="AC82" s="363">
        <v>4064</v>
      </c>
      <c r="AD82" s="363"/>
      <c r="AE82" s="364" t="s">
        <v>115</v>
      </c>
    </row>
    <row r="83" spans="1:31" ht="13.65" customHeight="1">
      <c r="A83" s="362">
        <v>4366</v>
      </c>
      <c r="B83" s="363">
        <v>4366</v>
      </c>
      <c r="C83" s="363" t="s">
        <v>2599</v>
      </c>
      <c r="D83" s="363"/>
      <c r="E83" s="362">
        <v>903</v>
      </c>
      <c r="F83" s="362" t="s">
        <v>116</v>
      </c>
      <c r="G83" s="364" t="s">
        <v>116</v>
      </c>
      <c r="H83" s="362" t="s">
        <v>115</v>
      </c>
      <c r="I83" s="362" t="s">
        <v>115</v>
      </c>
      <c r="J83" s="362" t="s">
        <v>3259</v>
      </c>
      <c r="K83" s="363" t="s">
        <v>3260</v>
      </c>
      <c r="L83" s="363"/>
      <c r="M83" s="363" t="s">
        <v>3261</v>
      </c>
      <c r="N83" s="363" t="s">
        <v>3261</v>
      </c>
      <c r="O83" s="363"/>
      <c r="P83" s="363" t="s">
        <v>3635</v>
      </c>
      <c r="Q83" s="363" t="s">
        <v>3636</v>
      </c>
      <c r="R83" s="363" t="s">
        <v>3637</v>
      </c>
      <c r="S83" s="363"/>
      <c r="T83" s="363"/>
      <c r="U83" s="363">
        <v>4366</v>
      </c>
      <c r="V83" s="363" t="s">
        <v>3638</v>
      </c>
      <c r="W83" s="363"/>
      <c r="X83" s="363" t="s">
        <v>3639</v>
      </c>
      <c r="Y83" s="363"/>
      <c r="Z83" s="363" t="s">
        <v>3640</v>
      </c>
      <c r="AA83" s="363"/>
      <c r="AB83" s="363" t="s">
        <v>3641</v>
      </c>
      <c r="AC83" s="363">
        <v>5020</v>
      </c>
      <c r="AD83" s="363"/>
      <c r="AE83" s="364" t="s">
        <v>115</v>
      </c>
    </row>
    <row r="84" spans="1:31" ht="13.65" customHeight="1">
      <c r="A84" s="362">
        <v>4422</v>
      </c>
      <c r="B84" s="363">
        <v>4422</v>
      </c>
      <c r="C84" s="363" t="s">
        <v>2618</v>
      </c>
      <c r="D84" s="363"/>
      <c r="E84" s="362">
        <v>6271</v>
      </c>
      <c r="F84" s="362" t="s">
        <v>115</v>
      </c>
      <c r="G84" s="364" t="s">
        <v>116</v>
      </c>
      <c r="H84" s="362" t="s">
        <v>115</v>
      </c>
      <c r="I84" s="362" t="s">
        <v>115</v>
      </c>
      <c r="J84" s="362" t="s">
        <v>3259</v>
      </c>
      <c r="K84" s="363" t="s">
        <v>3260</v>
      </c>
      <c r="L84" s="363"/>
      <c r="M84" s="363" t="s">
        <v>3261</v>
      </c>
      <c r="N84" s="363" t="s">
        <v>3261</v>
      </c>
      <c r="O84" s="363" t="s">
        <v>3642</v>
      </c>
      <c r="P84" s="363" t="s">
        <v>3643</v>
      </c>
      <c r="Q84" s="363" t="s">
        <v>3644</v>
      </c>
      <c r="R84" s="363"/>
      <c r="S84" s="363"/>
      <c r="T84" s="363"/>
      <c r="U84" s="363">
        <v>4422</v>
      </c>
      <c r="V84" s="363" t="s">
        <v>3645</v>
      </c>
      <c r="W84" s="363"/>
      <c r="X84" s="363"/>
      <c r="Y84" s="363"/>
      <c r="Z84" s="363"/>
      <c r="AA84" s="363"/>
      <c r="AB84" s="363" t="s">
        <v>3646</v>
      </c>
      <c r="AC84" s="363">
        <v>4002</v>
      </c>
      <c r="AD84" s="363"/>
      <c r="AE84" s="364" t="s">
        <v>115</v>
      </c>
    </row>
    <row r="85" spans="1:31" ht="13.65" customHeight="1">
      <c r="A85" s="362">
        <v>4427</v>
      </c>
      <c r="B85" s="363">
        <v>4427</v>
      </c>
      <c r="C85" s="363" t="s">
        <v>2623</v>
      </c>
      <c r="D85" s="363">
        <v>4427</v>
      </c>
      <c r="E85" s="362">
        <v>2</v>
      </c>
      <c r="F85" s="362" t="s">
        <v>115</v>
      </c>
      <c r="G85" s="364" t="s">
        <v>116</v>
      </c>
      <c r="H85" s="362" t="s">
        <v>115</v>
      </c>
      <c r="I85" s="362" t="s">
        <v>115</v>
      </c>
      <c r="J85" s="362" t="s">
        <v>3259</v>
      </c>
      <c r="K85" s="363" t="s">
        <v>3260</v>
      </c>
      <c r="L85" s="363"/>
      <c r="M85" s="363" t="s">
        <v>3274</v>
      </c>
      <c r="N85" s="363" t="s">
        <v>3299</v>
      </c>
      <c r="O85" s="363" t="s">
        <v>1381</v>
      </c>
      <c r="P85" s="363" t="s">
        <v>3647</v>
      </c>
      <c r="Q85" s="363" t="s">
        <v>3648</v>
      </c>
      <c r="R85" s="363"/>
      <c r="S85" s="363"/>
      <c r="T85" s="363"/>
      <c r="U85" s="363">
        <v>4427</v>
      </c>
      <c r="V85" s="363" t="s">
        <v>3649</v>
      </c>
      <c r="W85" s="363"/>
      <c r="X85" s="363" t="s">
        <v>3634</v>
      </c>
      <c r="Y85" s="363"/>
      <c r="Z85" s="363"/>
      <c r="AA85" s="363"/>
      <c r="AB85" s="363"/>
      <c r="AC85" s="363">
        <v>4067</v>
      </c>
      <c r="AD85" s="363"/>
      <c r="AE85" s="364" t="s">
        <v>115</v>
      </c>
    </row>
    <row r="86" spans="1:31" ht="13.65" customHeight="1">
      <c r="A86" s="362">
        <v>4428</v>
      </c>
      <c r="B86" s="363">
        <v>4428</v>
      </c>
      <c r="C86" s="363" t="s">
        <v>2625</v>
      </c>
      <c r="D86" s="363">
        <v>4428</v>
      </c>
      <c r="E86" s="362">
        <v>2</v>
      </c>
      <c r="F86" s="362" t="s">
        <v>115</v>
      </c>
      <c r="G86" s="364" t="s">
        <v>116</v>
      </c>
      <c r="H86" s="362" t="s">
        <v>115</v>
      </c>
      <c r="I86" s="362" t="s">
        <v>115</v>
      </c>
      <c r="J86" s="362" t="s">
        <v>3259</v>
      </c>
      <c r="K86" s="363" t="s">
        <v>3260</v>
      </c>
      <c r="L86" s="363"/>
      <c r="M86" s="363" t="s">
        <v>3274</v>
      </c>
      <c r="N86" s="363" t="s">
        <v>3283</v>
      </c>
      <c r="O86" s="363"/>
      <c r="P86" s="363" t="s">
        <v>3650</v>
      </c>
      <c r="Q86" s="363" t="s">
        <v>3651</v>
      </c>
      <c r="R86" s="363" t="s">
        <v>3652</v>
      </c>
      <c r="S86" s="363"/>
      <c r="T86" s="363"/>
      <c r="U86" s="363">
        <v>4428</v>
      </c>
      <c r="V86" s="363" t="s">
        <v>3653</v>
      </c>
      <c r="W86" s="363" t="s">
        <v>3654</v>
      </c>
      <c r="X86" s="363" t="s">
        <v>3655</v>
      </c>
      <c r="Y86" s="363" t="s">
        <v>3654</v>
      </c>
      <c r="Z86" s="363"/>
      <c r="AA86" s="363"/>
      <c r="AB86" s="363" t="s">
        <v>3656</v>
      </c>
      <c r="AC86" s="363">
        <v>4068</v>
      </c>
      <c r="AD86" s="363"/>
      <c r="AE86" s="364" t="s">
        <v>115</v>
      </c>
    </row>
    <row r="87" spans="1:31" ht="13.65" customHeight="1">
      <c r="A87" s="362">
        <v>4428</v>
      </c>
      <c r="B87" s="363">
        <v>4428</v>
      </c>
      <c r="C87" s="363" t="s">
        <v>2625</v>
      </c>
      <c r="D87" s="363">
        <v>4428</v>
      </c>
      <c r="E87" s="362">
        <v>2</v>
      </c>
      <c r="F87" s="362" t="s">
        <v>116</v>
      </c>
      <c r="G87" s="364" t="s">
        <v>116</v>
      </c>
      <c r="H87" s="362" t="s">
        <v>115</v>
      </c>
      <c r="I87" s="362" t="s">
        <v>115</v>
      </c>
      <c r="J87" s="362" t="s">
        <v>3259</v>
      </c>
      <c r="K87" s="363" t="s">
        <v>3260</v>
      </c>
      <c r="L87" s="363"/>
      <c r="M87" s="363" t="s">
        <v>3274</v>
      </c>
      <c r="N87" s="363" t="s">
        <v>3283</v>
      </c>
      <c r="O87" s="363"/>
      <c r="P87" s="363" t="s">
        <v>3650</v>
      </c>
      <c r="Q87" s="363" t="s">
        <v>3651</v>
      </c>
      <c r="R87" s="363" t="s">
        <v>3652</v>
      </c>
      <c r="S87" s="363"/>
      <c r="T87" s="363"/>
      <c r="U87" s="363">
        <v>4428</v>
      </c>
      <c r="V87" s="363" t="s">
        <v>3653</v>
      </c>
      <c r="W87" s="363" t="s">
        <v>3654</v>
      </c>
      <c r="X87" s="363" t="s">
        <v>3655</v>
      </c>
      <c r="Y87" s="363" t="s">
        <v>3654</v>
      </c>
      <c r="Z87" s="363"/>
      <c r="AA87" s="363"/>
      <c r="AB87" s="363" t="s">
        <v>3656</v>
      </c>
      <c r="AC87" s="363">
        <v>4068</v>
      </c>
      <c r="AD87" s="363"/>
      <c r="AE87" s="364" t="s">
        <v>115</v>
      </c>
    </row>
    <row r="88" spans="1:31" ht="13.65" customHeight="1">
      <c r="A88" s="362">
        <v>4437</v>
      </c>
      <c r="B88" s="363">
        <v>4437</v>
      </c>
      <c r="C88" s="363" t="s">
        <v>2631</v>
      </c>
      <c r="D88" s="363">
        <v>4437</v>
      </c>
      <c r="E88" s="362" t="s">
        <v>3341</v>
      </c>
      <c r="F88" s="362" t="s">
        <v>116</v>
      </c>
      <c r="G88" s="364" t="s">
        <v>116</v>
      </c>
      <c r="H88" s="362" t="s">
        <v>115</v>
      </c>
      <c r="I88" s="362" t="s">
        <v>115</v>
      </c>
      <c r="J88" s="362" t="s">
        <v>3259</v>
      </c>
      <c r="K88" s="363" t="s">
        <v>3260</v>
      </c>
      <c r="L88" s="363"/>
      <c r="M88" s="363" t="s">
        <v>3274</v>
      </c>
      <c r="N88" s="363" t="s">
        <v>3299</v>
      </c>
      <c r="O88" s="363"/>
      <c r="P88" s="363" t="s">
        <v>3657</v>
      </c>
      <c r="Q88" s="363" t="s">
        <v>3658</v>
      </c>
      <c r="R88" s="363" t="s">
        <v>3659</v>
      </c>
      <c r="S88" s="363"/>
      <c r="T88" s="363"/>
      <c r="U88" s="363">
        <v>4437</v>
      </c>
      <c r="V88" s="363" t="s">
        <v>3660</v>
      </c>
      <c r="W88" s="363"/>
      <c r="X88" s="363"/>
      <c r="Y88" s="363"/>
      <c r="Z88" s="363" t="s">
        <v>3661</v>
      </c>
      <c r="AA88" s="363"/>
      <c r="AB88" s="363" t="s">
        <v>3662</v>
      </c>
      <c r="AC88" s="363">
        <v>1594</v>
      </c>
      <c r="AD88" s="363"/>
      <c r="AE88" s="364" t="s">
        <v>115</v>
      </c>
    </row>
    <row r="89" spans="1:31" ht="13.65" customHeight="1">
      <c r="A89" s="362">
        <v>4453</v>
      </c>
      <c r="B89" s="363">
        <v>4453</v>
      </c>
      <c r="C89" s="363" t="s">
        <v>2634</v>
      </c>
      <c r="D89" s="363">
        <v>4453</v>
      </c>
      <c r="E89" s="362">
        <v>177</v>
      </c>
      <c r="F89" s="362" t="s">
        <v>115</v>
      </c>
      <c r="G89" s="364" t="s">
        <v>116</v>
      </c>
      <c r="H89" s="362" t="s">
        <v>115</v>
      </c>
      <c r="I89" s="362" t="s">
        <v>115</v>
      </c>
      <c r="J89" s="362" t="s">
        <v>3259</v>
      </c>
      <c r="K89" s="363" t="s">
        <v>3260</v>
      </c>
      <c r="L89" s="363"/>
      <c r="M89" s="363" t="s">
        <v>3274</v>
      </c>
      <c r="N89" s="363" t="s">
        <v>3283</v>
      </c>
      <c r="O89" s="363"/>
      <c r="P89" s="363" t="s">
        <v>3663</v>
      </c>
      <c r="Q89" s="363" t="s">
        <v>3664</v>
      </c>
      <c r="R89" s="363" t="s">
        <v>3665</v>
      </c>
      <c r="S89" s="363"/>
      <c r="T89" s="363"/>
      <c r="U89" s="363">
        <v>4453</v>
      </c>
      <c r="V89" s="363" t="s">
        <v>3666</v>
      </c>
      <c r="W89" s="363"/>
      <c r="X89" s="363" t="s">
        <v>3290</v>
      </c>
      <c r="Y89" s="363"/>
      <c r="Z89" s="363"/>
      <c r="AA89" s="363"/>
      <c r="AB89" s="363" t="s">
        <v>3667</v>
      </c>
      <c r="AC89" s="363">
        <v>1017</v>
      </c>
      <c r="AD89" s="363"/>
      <c r="AE89" s="364" t="s">
        <v>115</v>
      </c>
    </row>
    <row r="90" spans="1:31" ht="13.65" customHeight="1">
      <c r="A90" s="362">
        <v>4457</v>
      </c>
      <c r="B90" s="363">
        <v>4457</v>
      </c>
      <c r="C90" s="363" t="s">
        <v>2636</v>
      </c>
      <c r="D90" s="363">
        <v>4457</v>
      </c>
      <c r="E90" s="362">
        <v>5</v>
      </c>
      <c r="F90" s="362" t="s">
        <v>116</v>
      </c>
      <c r="G90" s="364" t="s">
        <v>116</v>
      </c>
      <c r="H90" s="362" t="s">
        <v>115</v>
      </c>
      <c r="I90" s="362" t="s">
        <v>115</v>
      </c>
      <c r="J90" s="362" t="s">
        <v>3259</v>
      </c>
      <c r="K90" s="363" t="s">
        <v>3260</v>
      </c>
      <c r="L90" s="363"/>
      <c r="M90" s="363" t="s">
        <v>3274</v>
      </c>
      <c r="N90" s="363" t="s">
        <v>1378</v>
      </c>
      <c r="O90" s="363"/>
      <c r="P90" s="363" t="s">
        <v>3668</v>
      </c>
      <c r="Q90" s="363" t="s">
        <v>3669</v>
      </c>
      <c r="R90" s="363"/>
      <c r="S90" s="363"/>
      <c r="T90" s="363"/>
      <c r="U90" s="363">
        <v>4457</v>
      </c>
      <c r="V90" s="363" t="s">
        <v>3670</v>
      </c>
      <c r="W90" s="363"/>
      <c r="X90" s="363"/>
      <c r="Y90" s="363"/>
      <c r="Z90" s="363" t="s">
        <v>3671</v>
      </c>
      <c r="AA90" s="363"/>
      <c r="AB90" s="363" t="s">
        <v>3672</v>
      </c>
      <c r="AC90" s="363">
        <v>5030</v>
      </c>
      <c r="AD90" s="363"/>
      <c r="AE90" s="364" t="s">
        <v>115</v>
      </c>
    </row>
    <row r="91" spans="1:31" ht="13.65" customHeight="1">
      <c r="A91" s="362">
        <v>4544</v>
      </c>
      <c r="B91" s="363">
        <v>4544</v>
      </c>
      <c r="C91" s="363" t="s">
        <v>2674</v>
      </c>
      <c r="D91" s="363"/>
      <c r="E91" s="362">
        <v>65165</v>
      </c>
      <c r="F91" s="362" t="s">
        <v>115</v>
      </c>
      <c r="G91" s="364" t="s">
        <v>115</v>
      </c>
      <c r="H91" s="362" t="s">
        <v>115</v>
      </c>
      <c r="I91" s="362" t="s">
        <v>115</v>
      </c>
      <c r="J91" s="362" t="s">
        <v>3259</v>
      </c>
      <c r="K91" s="363" t="s">
        <v>3260</v>
      </c>
      <c r="L91" s="363"/>
      <c r="M91" s="363" t="s">
        <v>3261</v>
      </c>
      <c r="N91" s="363" t="s">
        <v>3261</v>
      </c>
      <c r="O91" s="363"/>
      <c r="P91" s="363" t="s">
        <v>3673</v>
      </c>
      <c r="Q91" s="363" t="s">
        <v>3674</v>
      </c>
      <c r="R91" s="363" t="s">
        <v>3675</v>
      </c>
      <c r="S91" s="363"/>
      <c r="T91" s="363"/>
      <c r="U91" s="363">
        <v>4544</v>
      </c>
      <c r="V91" s="363" t="s">
        <v>3676</v>
      </c>
      <c r="W91" s="363" t="s">
        <v>3677</v>
      </c>
      <c r="X91" s="363" t="s">
        <v>3678</v>
      </c>
      <c r="Y91" s="363" t="s">
        <v>3679</v>
      </c>
      <c r="Z91" s="363" t="s">
        <v>3680</v>
      </c>
      <c r="AA91" s="363"/>
      <c r="AB91" s="363" t="s">
        <v>3681</v>
      </c>
      <c r="AC91" s="363">
        <v>1007</v>
      </c>
      <c r="AD91" s="363"/>
      <c r="AE91" s="364" t="s">
        <v>115</v>
      </c>
    </row>
    <row r="92" spans="1:31" ht="13.65" customHeight="1">
      <c r="A92" s="362">
        <v>4544</v>
      </c>
      <c r="B92" s="363">
        <v>4548</v>
      </c>
      <c r="C92" s="363" t="s">
        <v>2679</v>
      </c>
      <c r="D92" s="363"/>
      <c r="E92" s="362">
        <v>65165</v>
      </c>
      <c r="F92" s="362" t="s">
        <v>115</v>
      </c>
      <c r="G92" s="364" t="s">
        <v>116</v>
      </c>
      <c r="H92" s="362" t="s">
        <v>115</v>
      </c>
      <c r="I92" s="362" t="s">
        <v>115</v>
      </c>
      <c r="J92" s="362" t="s">
        <v>3259</v>
      </c>
      <c r="K92" s="363" t="s">
        <v>3260</v>
      </c>
      <c r="L92" s="363"/>
      <c r="M92" s="363" t="s">
        <v>3261</v>
      </c>
      <c r="N92" s="363" t="s">
        <v>3261</v>
      </c>
      <c r="O92" s="363"/>
      <c r="P92" s="363" t="s">
        <v>3673</v>
      </c>
      <c r="Q92" s="363" t="s">
        <v>3674</v>
      </c>
      <c r="R92" s="363" t="s">
        <v>3682</v>
      </c>
      <c r="S92" s="363"/>
      <c r="T92" s="363"/>
      <c r="U92" s="363">
        <v>4548</v>
      </c>
      <c r="V92" s="363" t="s">
        <v>3676</v>
      </c>
      <c r="W92" s="363" t="s">
        <v>3677</v>
      </c>
      <c r="X92" s="363" t="s">
        <v>3678</v>
      </c>
      <c r="Y92" s="363" t="s">
        <v>3679</v>
      </c>
      <c r="Z92" s="363" t="s">
        <v>3680</v>
      </c>
      <c r="AA92" s="363"/>
      <c r="AB92" s="363" t="s">
        <v>3681</v>
      </c>
      <c r="AC92" s="363">
        <v>1007</v>
      </c>
      <c r="AD92" s="363"/>
      <c r="AE92" s="364" t="s">
        <v>115</v>
      </c>
    </row>
    <row r="93" spans="1:31" ht="13.65" customHeight="1">
      <c r="A93" s="362">
        <v>4544</v>
      </c>
      <c r="B93" s="363">
        <v>254</v>
      </c>
      <c r="C93" s="363" t="s">
        <v>1370</v>
      </c>
      <c r="D93" s="363"/>
      <c r="E93" s="362">
        <v>65165</v>
      </c>
      <c r="F93" s="362" t="s">
        <v>115</v>
      </c>
      <c r="G93" s="364" t="s">
        <v>116</v>
      </c>
      <c r="H93" s="362" t="s">
        <v>115</v>
      </c>
      <c r="I93" s="362" t="s">
        <v>115</v>
      </c>
      <c r="J93" s="362" t="s">
        <v>3259</v>
      </c>
      <c r="K93" s="363" t="s">
        <v>3260</v>
      </c>
      <c r="L93" s="363"/>
      <c r="M93" s="363" t="s">
        <v>3261</v>
      </c>
      <c r="N93" s="363" t="s">
        <v>3261</v>
      </c>
      <c r="O93" s="363"/>
      <c r="P93" s="363" t="s">
        <v>3673</v>
      </c>
      <c r="Q93" s="363" t="s">
        <v>3674</v>
      </c>
      <c r="R93" s="363" t="s">
        <v>3682</v>
      </c>
      <c r="S93" s="363"/>
      <c r="T93" s="363"/>
      <c r="U93" s="363">
        <v>254</v>
      </c>
      <c r="V93" s="363" t="s">
        <v>3683</v>
      </c>
      <c r="W93" s="363"/>
      <c r="X93" s="363" t="s">
        <v>3684</v>
      </c>
      <c r="Y93" s="363"/>
      <c r="Z93" s="363"/>
      <c r="AA93" s="363"/>
      <c r="AB93" s="363" t="s">
        <v>3681</v>
      </c>
      <c r="AC93" s="363">
        <v>1007</v>
      </c>
      <c r="AD93" s="363"/>
      <c r="AE93" s="364" t="s">
        <v>115</v>
      </c>
    </row>
    <row r="94" spans="1:31" ht="13.65" customHeight="1">
      <c r="A94" s="362">
        <v>4544</v>
      </c>
      <c r="B94" s="363">
        <v>4136</v>
      </c>
      <c r="C94" s="363" t="s">
        <v>2527</v>
      </c>
      <c r="D94" s="363"/>
      <c r="E94" s="362">
        <v>65165</v>
      </c>
      <c r="F94" s="362" t="s">
        <v>115</v>
      </c>
      <c r="G94" s="364" t="s">
        <v>116</v>
      </c>
      <c r="H94" s="362" t="s">
        <v>115</v>
      </c>
      <c r="I94" s="362" t="s">
        <v>115</v>
      </c>
      <c r="J94" s="362" t="s">
        <v>3259</v>
      </c>
      <c r="K94" s="363" t="s">
        <v>3685</v>
      </c>
      <c r="L94" s="363"/>
      <c r="M94" s="363" t="s">
        <v>3400</v>
      </c>
      <c r="N94" s="363" t="s">
        <v>3400</v>
      </c>
      <c r="O94" s="363" t="s">
        <v>3299</v>
      </c>
      <c r="P94" s="363" t="s">
        <v>3686</v>
      </c>
      <c r="Q94" s="363" t="s">
        <v>3687</v>
      </c>
      <c r="R94" s="363" t="s">
        <v>3688</v>
      </c>
      <c r="S94" s="363"/>
      <c r="T94" s="363"/>
      <c r="U94" s="363">
        <v>4136</v>
      </c>
      <c r="V94" s="363" t="s">
        <v>3689</v>
      </c>
      <c r="W94" s="363"/>
      <c r="X94" s="363"/>
      <c r="Y94" s="363"/>
      <c r="Z94" s="363"/>
      <c r="AA94" s="363"/>
      <c r="AB94" s="363" t="s">
        <v>3690</v>
      </c>
      <c r="AC94" s="363">
        <v>1132</v>
      </c>
      <c r="AD94" s="363"/>
      <c r="AE94" s="364" t="s">
        <v>116</v>
      </c>
    </row>
    <row r="95" spans="1:31" ht="13.65" customHeight="1">
      <c r="A95" s="362">
        <v>4544</v>
      </c>
      <c r="B95" s="363">
        <v>4398</v>
      </c>
      <c r="C95" s="363" t="s">
        <v>2607</v>
      </c>
      <c r="D95" s="363"/>
      <c r="E95" s="362">
        <v>65165</v>
      </c>
      <c r="F95" s="362" t="s">
        <v>115</v>
      </c>
      <c r="G95" s="364" t="s">
        <v>116</v>
      </c>
      <c r="H95" s="362" t="s">
        <v>115</v>
      </c>
      <c r="I95" s="362" t="s">
        <v>115</v>
      </c>
      <c r="J95" s="362" t="s">
        <v>3259</v>
      </c>
      <c r="K95" s="363" t="s">
        <v>3260</v>
      </c>
      <c r="L95" s="363"/>
      <c r="M95" s="363" t="s">
        <v>3261</v>
      </c>
      <c r="N95" s="363" t="s">
        <v>3261</v>
      </c>
      <c r="O95" s="363" t="s">
        <v>3299</v>
      </c>
      <c r="P95" s="363" t="s">
        <v>3691</v>
      </c>
      <c r="Q95" s="363" t="s">
        <v>3692</v>
      </c>
      <c r="R95" s="363" t="s">
        <v>3693</v>
      </c>
      <c r="S95" s="363"/>
      <c r="T95" s="363"/>
      <c r="U95" s="363">
        <v>4398</v>
      </c>
      <c r="V95" s="363" t="s">
        <v>3412</v>
      </c>
      <c r="W95" s="363"/>
      <c r="X95" s="363" t="s">
        <v>3694</v>
      </c>
      <c r="Y95" s="363"/>
      <c r="Z95" s="363"/>
      <c r="AA95" s="363"/>
      <c r="AB95" s="363" t="s">
        <v>3695</v>
      </c>
      <c r="AC95" s="363">
        <v>1066</v>
      </c>
      <c r="AD95" s="363"/>
      <c r="AE95" s="364" t="s">
        <v>116</v>
      </c>
    </row>
    <row r="96" spans="1:31" ht="13.65" customHeight="1">
      <c r="A96" s="362">
        <v>4549</v>
      </c>
      <c r="B96" s="363">
        <v>4549</v>
      </c>
      <c r="C96" s="363" t="s">
        <v>789</v>
      </c>
      <c r="D96" s="363">
        <v>4549</v>
      </c>
      <c r="E96" s="362">
        <v>4</v>
      </c>
      <c r="F96" s="362" t="s">
        <v>115</v>
      </c>
      <c r="G96" s="364" t="s">
        <v>116</v>
      </c>
      <c r="H96" s="362" t="s">
        <v>115</v>
      </c>
      <c r="I96" s="362" t="s">
        <v>115</v>
      </c>
      <c r="J96" s="362" t="s">
        <v>3259</v>
      </c>
      <c r="K96" s="363" t="s">
        <v>3260</v>
      </c>
      <c r="L96" s="363"/>
      <c r="M96" s="363" t="s">
        <v>3274</v>
      </c>
      <c r="N96" s="363" t="s">
        <v>3283</v>
      </c>
      <c r="O96" s="363"/>
      <c r="P96" s="363" t="s">
        <v>3284</v>
      </c>
      <c r="Q96" s="363" t="s">
        <v>3285</v>
      </c>
      <c r="R96" s="363"/>
      <c r="S96" s="363"/>
      <c r="T96" s="363"/>
      <c r="U96" s="363">
        <v>4549</v>
      </c>
      <c r="V96" s="363" t="s">
        <v>3289</v>
      </c>
      <c r="W96" s="363"/>
      <c r="X96" s="363" t="s">
        <v>3290</v>
      </c>
      <c r="Y96" s="363"/>
      <c r="Z96" s="363"/>
      <c r="AA96" s="363"/>
      <c r="AB96" s="363" t="s">
        <v>3288</v>
      </c>
      <c r="AC96" s="363">
        <v>4016</v>
      </c>
      <c r="AD96" s="363"/>
      <c r="AE96" s="364" t="s">
        <v>115</v>
      </c>
    </row>
    <row r="97" spans="1:31" ht="13.65" customHeight="1">
      <c r="A97" s="362">
        <v>4550</v>
      </c>
      <c r="B97" s="363">
        <v>4550</v>
      </c>
      <c r="C97" s="363" t="s">
        <v>998</v>
      </c>
      <c r="D97" s="363"/>
      <c r="E97" s="362">
        <v>10822</v>
      </c>
      <c r="F97" s="362" t="s">
        <v>115</v>
      </c>
      <c r="G97" s="364" t="s">
        <v>116</v>
      </c>
      <c r="H97" s="362" t="s">
        <v>115</v>
      </c>
      <c r="I97" s="362" t="s">
        <v>115</v>
      </c>
      <c r="J97" s="362" t="s">
        <v>3259</v>
      </c>
      <c r="K97" s="363" t="s">
        <v>3260</v>
      </c>
      <c r="L97" s="363"/>
      <c r="M97" s="363" t="s">
        <v>3261</v>
      </c>
      <c r="N97" s="363" t="s">
        <v>3261</v>
      </c>
      <c r="O97" s="363"/>
      <c r="P97" s="363" t="s">
        <v>3696</v>
      </c>
      <c r="Q97" s="363" t="s">
        <v>3697</v>
      </c>
      <c r="R97" s="363"/>
      <c r="S97" s="363"/>
      <c r="T97" s="363"/>
      <c r="U97" s="363">
        <v>4550</v>
      </c>
      <c r="V97" s="363" t="s">
        <v>3698</v>
      </c>
      <c r="W97" s="363"/>
      <c r="X97" s="363" t="s">
        <v>3678</v>
      </c>
      <c r="Y97" s="363"/>
      <c r="Z97" s="363" t="s">
        <v>3699</v>
      </c>
      <c r="AA97" s="363"/>
      <c r="AB97" s="363">
        <v>0</v>
      </c>
      <c r="AC97" s="363">
        <v>1034</v>
      </c>
      <c r="AD97" s="363"/>
      <c r="AE97" s="364" t="s">
        <v>115</v>
      </c>
    </row>
    <row r="98" spans="1:31" ht="13.65" customHeight="1">
      <c r="A98" s="362">
        <v>4624</v>
      </c>
      <c r="B98" s="363">
        <v>4624</v>
      </c>
      <c r="C98" s="363" t="s">
        <v>1690</v>
      </c>
      <c r="D98" s="363"/>
      <c r="E98" s="362">
        <v>18609</v>
      </c>
      <c r="F98" s="362" t="s">
        <v>116</v>
      </c>
      <c r="G98" s="364" t="s">
        <v>116</v>
      </c>
      <c r="H98" s="362" t="s">
        <v>115</v>
      </c>
      <c r="I98" s="362" t="s">
        <v>115</v>
      </c>
      <c r="J98" s="362" t="s">
        <v>3259</v>
      </c>
      <c r="K98" s="363" t="s">
        <v>3260</v>
      </c>
      <c r="L98" s="363"/>
      <c r="M98" s="363" t="s">
        <v>3261</v>
      </c>
      <c r="N98" s="363" t="s">
        <v>3261</v>
      </c>
      <c r="O98" s="363"/>
      <c r="P98" s="363" t="s">
        <v>3700</v>
      </c>
      <c r="Q98" s="363" t="s">
        <v>3701</v>
      </c>
      <c r="R98" s="363"/>
      <c r="S98" s="363"/>
      <c r="T98" s="363"/>
      <c r="U98" s="363">
        <v>4624</v>
      </c>
      <c r="V98" s="363" t="s">
        <v>3335</v>
      </c>
      <c r="W98" s="363" t="s">
        <v>3302</v>
      </c>
      <c r="X98" s="363" t="s">
        <v>3290</v>
      </c>
      <c r="Y98" s="363">
        <v>9200</v>
      </c>
      <c r="Z98" s="363"/>
      <c r="AA98" s="363"/>
      <c r="AB98" s="363" t="s">
        <v>3702</v>
      </c>
      <c r="AC98" s="363">
        <v>1004</v>
      </c>
      <c r="AD98" s="363"/>
      <c r="AE98" s="364" t="s">
        <v>115</v>
      </c>
    </row>
    <row r="99" spans="1:31" ht="13.65" customHeight="1">
      <c r="A99" s="362">
        <v>4643</v>
      </c>
      <c r="B99" s="363">
        <v>4643</v>
      </c>
      <c r="C99" s="363" t="s">
        <v>1016</v>
      </c>
      <c r="D99" s="363"/>
      <c r="E99" s="362">
        <v>8672</v>
      </c>
      <c r="F99" s="362" t="s">
        <v>116</v>
      </c>
      <c r="G99" s="364" t="s">
        <v>116</v>
      </c>
      <c r="H99" s="362" t="s">
        <v>115</v>
      </c>
      <c r="I99" s="362" t="s">
        <v>115</v>
      </c>
      <c r="J99" s="362" t="s">
        <v>3399</v>
      </c>
      <c r="K99" s="363" t="s">
        <v>3260</v>
      </c>
      <c r="L99" s="363"/>
      <c r="M99" s="363" t="s">
        <v>3261</v>
      </c>
      <c r="N99" s="363" t="s">
        <v>3261</v>
      </c>
      <c r="O99" s="363"/>
      <c r="P99" s="363" t="s">
        <v>3703</v>
      </c>
      <c r="Q99" s="363" t="s">
        <v>3704</v>
      </c>
      <c r="R99" s="363" t="s">
        <v>3705</v>
      </c>
      <c r="S99" s="363"/>
      <c r="T99" s="363"/>
      <c r="U99" s="363">
        <v>4643</v>
      </c>
      <c r="V99" s="363" t="s">
        <v>3706</v>
      </c>
      <c r="W99" s="363"/>
      <c r="X99" s="363"/>
      <c r="Y99" s="363"/>
      <c r="Z99" s="363" t="s">
        <v>3707</v>
      </c>
      <c r="AA99" s="363"/>
      <c r="AB99" s="363" t="s">
        <v>3708</v>
      </c>
      <c r="AC99" s="363">
        <v>1236</v>
      </c>
      <c r="AD99" s="363"/>
      <c r="AE99" s="364" t="s">
        <v>115</v>
      </c>
    </row>
    <row r="100" spans="1:31" ht="13.65" customHeight="1">
      <c r="A100" s="362">
        <v>4651</v>
      </c>
      <c r="B100" s="363">
        <v>4651</v>
      </c>
      <c r="C100" s="363" t="s">
        <v>2708</v>
      </c>
      <c r="D100" s="363"/>
      <c r="E100" s="362">
        <v>0</v>
      </c>
      <c r="F100" s="362" t="s">
        <v>115</v>
      </c>
      <c r="G100" s="364" t="s">
        <v>116</v>
      </c>
      <c r="H100" s="362" t="s">
        <v>115</v>
      </c>
      <c r="I100" s="362" t="s">
        <v>115</v>
      </c>
      <c r="J100" s="362" t="s">
        <v>3259</v>
      </c>
      <c r="K100" s="363" t="s">
        <v>3260</v>
      </c>
      <c r="L100" s="363"/>
      <c r="M100" s="363" t="s">
        <v>3261</v>
      </c>
      <c r="N100" s="363" t="s">
        <v>3261</v>
      </c>
      <c r="O100" s="363"/>
      <c r="P100" s="363" t="s">
        <v>3709</v>
      </c>
      <c r="Q100" s="363" t="s">
        <v>3710</v>
      </c>
      <c r="R100" s="363"/>
      <c r="S100" s="363"/>
      <c r="T100" s="363"/>
      <c r="U100" s="363">
        <v>4651</v>
      </c>
      <c r="V100" s="363" t="s">
        <v>3711</v>
      </c>
      <c r="W100" s="363" t="s">
        <v>3712</v>
      </c>
      <c r="X100" s="363" t="s">
        <v>3713</v>
      </c>
      <c r="Y100" s="363" t="s">
        <v>3714</v>
      </c>
      <c r="Z100" s="363" t="s">
        <v>3712</v>
      </c>
      <c r="AA100" s="363"/>
      <c r="AB100" s="363" t="s">
        <v>3715</v>
      </c>
      <c r="AC100" s="363">
        <v>1364</v>
      </c>
      <c r="AD100" s="363"/>
      <c r="AE100" s="364" t="s">
        <v>115</v>
      </c>
    </row>
    <row r="101" spans="1:31" ht="13.65" customHeight="1">
      <c r="A101" s="362">
        <v>4683</v>
      </c>
      <c r="B101" s="363">
        <v>4683</v>
      </c>
      <c r="C101" s="363" t="s">
        <v>2713</v>
      </c>
      <c r="D101" s="363">
        <v>4683</v>
      </c>
      <c r="E101" s="362" t="s">
        <v>3341</v>
      </c>
      <c r="F101" s="362" t="s">
        <v>116</v>
      </c>
      <c r="G101" s="364" t="s">
        <v>116</v>
      </c>
      <c r="H101" s="362" t="s">
        <v>115</v>
      </c>
      <c r="I101" s="362" t="s">
        <v>115</v>
      </c>
      <c r="J101" s="362" t="s">
        <v>3259</v>
      </c>
      <c r="K101" s="363" t="s">
        <v>3260</v>
      </c>
      <c r="L101" s="363"/>
      <c r="M101" s="363" t="s">
        <v>3274</v>
      </c>
      <c r="N101" s="363" t="s">
        <v>3283</v>
      </c>
      <c r="O101" s="363"/>
      <c r="P101" s="363" t="s">
        <v>3716</v>
      </c>
      <c r="Q101" s="363" t="s">
        <v>3717</v>
      </c>
      <c r="R101" s="363"/>
      <c r="S101" s="363"/>
      <c r="T101" s="363"/>
      <c r="U101" s="363">
        <v>4683</v>
      </c>
      <c r="V101" s="363" t="s">
        <v>3286</v>
      </c>
      <c r="W101" s="363"/>
      <c r="X101" s="363" t="s">
        <v>3323</v>
      </c>
      <c r="Y101" s="363"/>
      <c r="Z101" s="363"/>
      <c r="AA101" s="363"/>
      <c r="AB101" s="363" t="s">
        <v>3718</v>
      </c>
      <c r="AC101" s="363">
        <v>8041</v>
      </c>
      <c r="AD101" s="363"/>
      <c r="AE101" s="364" t="s">
        <v>115</v>
      </c>
    </row>
    <row r="102" spans="1:31" ht="13.65" customHeight="1">
      <c r="A102" s="362">
        <v>4687</v>
      </c>
      <c r="B102" s="363">
        <v>4687</v>
      </c>
      <c r="C102" s="363" t="s">
        <v>954</v>
      </c>
      <c r="D102" s="363">
        <v>4687</v>
      </c>
      <c r="E102" s="362">
        <v>65</v>
      </c>
      <c r="F102" s="362" t="s">
        <v>115</v>
      </c>
      <c r="G102" s="364" t="s">
        <v>116</v>
      </c>
      <c r="H102" s="362" t="s">
        <v>115</v>
      </c>
      <c r="I102" s="362" t="s">
        <v>115</v>
      </c>
      <c r="J102" s="362" t="s">
        <v>3259</v>
      </c>
      <c r="K102" s="363" t="s">
        <v>3260</v>
      </c>
      <c r="L102" s="363"/>
      <c r="M102" s="363" t="s">
        <v>3274</v>
      </c>
      <c r="N102" s="363" t="s">
        <v>3283</v>
      </c>
      <c r="O102" s="363"/>
      <c r="P102" s="363" t="s">
        <v>3719</v>
      </c>
      <c r="Q102" s="363" t="s">
        <v>3720</v>
      </c>
      <c r="R102" s="363"/>
      <c r="S102" s="363"/>
      <c r="T102" s="363"/>
      <c r="U102" s="363">
        <v>4687</v>
      </c>
      <c r="V102" s="363" t="s">
        <v>3721</v>
      </c>
      <c r="W102" s="363"/>
      <c r="X102" s="363" t="s">
        <v>3722</v>
      </c>
      <c r="Y102" s="363">
        <v>9200</v>
      </c>
      <c r="Z102" s="363"/>
      <c r="AA102" s="363"/>
      <c r="AB102" s="363" t="s">
        <v>3723</v>
      </c>
      <c r="AC102" s="363">
        <v>1158</v>
      </c>
      <c r="AD102" s="363"/>
      <c r="AE102" s="364" t="s">
        <v>115</v>
      </c>
    </row>
    <row r="103" spans="1:31" ht="13.65" customHeight="1">
      <c r="A103" s="362">
        <v>4932</v>
      </c>
      <c r="B103" s="363">
        <v>4932</v>
      </c>
      <c r="C103" s="363" t="s">
        <v>1026</v>
      </c>
      <c r="D103" s="363">
        <v>4932</v>
      </c>
      <c r="E103" s="362">
        <v>27</v>
      </c>
      <c r="F103" s="362" t="s">
        <v>115</v>
      </c>
      <c r="G103" s="364" t="s">
        <v>116</v>
      </c>
      <c r="H103" s="362" t="s">
        <v>115</v>
      </c>
      <c r="I103" s="362" t="s">
        <v>115</v>
      </c>
      <c r="J103" s="362" t="s">
        <v>3259</v>
      </c>
      <c r="K103" s="363" t="s">
        <v>3260</v>
      </c>
      <c r="L103" s="363"/>
      <c r="M103" s="363" t="s">
        <v>3274</v>
      </c>
      <c r="N103" s="363" t="s">
        <v>3283</v>
      </c>
      <c r="O103" s="363"/>
      <c r="P103" s="363" t="s">
        <v>3724</v>
      </c>
      <c r="Q103" s="363" t="s">
        <v>3725</v>
      </c>
      <c r="R103" s="363" t="s">
        <v>3726</v>
      </c>
      <c r="S103" s="363"/>
      <c r="T103" s="363"/>
      <c r="U103" s="363">
        <v>4932</v>
      </c>
      <c r="V103" s="363" t="s">
        <v>3335</v>
      </c>
      <c r="W103" s="363" t="s">
        <v>3302</v>
      </c>
      <c r="X103" s="363" t="s">
        <v>3350</v>
      </c>
      <c r="Y103" s="363">
        <v>9200</v>
      </c>
      <c r="Z103" s="363"/>
      <c r="AA103" s="363"/>
      <c r="AB103" s="363" t="s">
        <v>3727</v>
      </c>
      <c r="AC103" s="363">
        <v>1018</v>
      </c>
      <c r="AD103" s="363"/>
      <c r="AE103" s="364" t="s">
        <v>115</v>
      </c>
    </row>
    <row r="104" spans="1:31" ht="13.65" customHeight="1">
      <c r="A104" s="362">
        <v>4934</v>
      </c>
      <c r="B104" s="363">
        <v>4934</v>
      </c>
      <c r="C104" s="363" t="s">
        <v>1028</v>
      </c>
      <c r="D104" s="363"/>
      <c r="E104" s="362">
        <v>63091</v>
      </c>
      <c r="F104" s="362" t="s">
        <v>116</v>
      </c>
      <c r="G104" s="364" t="s">
        <v>116</v>
      </c>
      <c r="H104" s="362" t="s">
        <v>115</v>
      </c>
      <c r="I104" s="362" t="s">
        <v>115</v>
      </c>
      <c r="J104" s="362" t="s">
        <v>3259</v>
      </c>
      <c r="K104" s="363" t="s">
        <v>3260</v>
      </c>
      <c r="L104" s="363"/>
      <c r="M104" s="363" t="s">
        <v>3261</v>
      </c>
      <c r="N104" s="363" t="s">
        <v>3261</v>
      </c>
      <c r="O104" s="363"/>
      <c r="P104" s="363" t="s">
        <v>3728</v>
      </c>
      <c r="Q104" s="363" t="s">
        <v>3729</v>
      </c>
      <c r="R104" s="363" t="s">
        <v>3730</v>
      </c>
      <c r="S104" s="363" t="s">
        <v>3731</v>
      </c>
      <c r="T104" s="363"/>
      <c r="U104" s="363">
        <v>4934</v>
      </c>
      <c r="V104" s="363" t="s">
        <v>3335</v>
      </c>
      <c r="W104" s="363" t="s">
        <v>3732</v>
      </c>
      <c r="X104" s="363" t="s">
        <v>3290</v>
      </c>
      <c r="Y104" s="363">
        <v>9034</v>
      </c>
      <c r="Z104" s="363"/>
      <c r="AA104" s="363"/>
      <c r="AB104" s="363" t="s">
        <v>3733</v>
      </c>
      <c r="AC104" s="363">
        <v>1008</v>
      </c>
      <c r="AD104" s="363"/>
      <c r="AE104" s="364" t="s">
        <v>115</v>
      </c>
    </row>
    <row r="105" spans="1:31" ht="13.65" customHeight="1">
      <c r="A105" s="362">
        <v>4936</v>
      </c>
      <c r="B105" s="363">
        <v>4936</v>
      </c>
      <c r="C105" s="363" t="s">
        <v>2759</v>
      </c>
      <c r="D105" s="363"/>
      <c r="E105" s="362" t="s">
        <v>3341</v>
      </c>
      <c r="F105" s="362" t="s">
        <v>116</v>
      </c>
      <c r="G105" s="364" t="s">
        <v>116</v>
      </c>
      <c r="H105" s="362" t="s">
        <v>115</v>
      </c>
      <c r="I105" s="362" t="s">
        <v>115</v>
      </c>
      <c r="J105" s="362" t="s">
        <v>3259</v>
      </c>
      <c r="K105" s="363" t="s">
        <v>3260</v>
      </c>
      <c r="L105" s="363"/>
      <c r="M105" s="363" t="s">
        <v>3261</v>
      </c>
      <c r="N105" s="363" t="s">
        <v>3261</v>
      </c>
      <c r="O105" s="363"/>
      <c r="P105" s="363" t="s">
        <v>3734</v>
      </c>
      <c r="Q105" s="363" t="s">
        <v>3735</v>
      </c>
      <c r="R105" s="363"/>
      <c r="S105" s="363"/>
      <c r="T105" s="363"/>
      <c r="U105" s="363">
        <v>4936</v>
      </c>
      <c r="V105" s="363" t="s">
        <v>3365</v>
      </c>
      <c r="W105" s="363"/>
      <c r="X105" s="363" t="s">
        <v>3328</v>
      </c>
      <c r="Y105" s="363"/>
      <c r="Z105" s="363"/>
      <c r="AA105" s="363"/>
      <c r="AB105" s="363" t="s">
        <v>3736</v>
      </c>
      <c r="AC105" s="363">
        <v>1371</v>
      </c>
      <c r="AD105" s="363"/>
      <c r="AE105" s="364" t="s">
        <v>115</v>
      </c>
    </row>
    <row r="106" spans="1:31" ht="13.65" customHeight="1">
      <c r="A106" s="362">
        <v>4950</v>
      </c>
      <c r="B106" s="363">
        <v>4950</v>
      </c>
      <c r="C106" s="363" t="s">
        <v>2769</v>
      </c>
      <c r="D106" s="363"/>
      <c r="E106" s="362">
        <v>11724</v>
      </c>
      <c r="F106" s="362" t="s">
        <v>115</v>
      </c>
      <c r="G106" s="364" t="s">
        <v>116</v>
      </c>
      <c r="H106" s="362" t="s">
        <v>115</v>
      </c>
      <c r="I106" s="362" t="s">
        <v>115</v>
      </c>
      <c r="J106" s="362" t="s">
        <v>3259</v>
      </c>
      <c r="K106" s="363" t="s">
        <v>3260</v>
      </c>
      <c r="L106" s="363"/>
      <c r="M106" s="363" t="s">
        <v>3261</v>
      </c>
      <c r="N106" s="363" t="s">
        <v>3261</v>
      </c>
      <c r="O106" s="363"/>
      <c r="P106" s="363">
        <v>0</v>
      </c>
      <c r="Q106" s="363"/>
      <c r="R106" s="363"/>
      <c r="S106" s="363"/>
      <c r="T106" s="363"/>
      <c r="U106" s="363">
        <v>4950</v>
      </c>
      <c r="V106" s="363" t="s">
        <v>3737</v>
      </c>
      <c r="W106" s="363"/>
      <c r="X106" s="363" t="s">
        <v>3738</v>
      </c>
      <c r="Y106" s="363"/>
      <c r="Z106" s="363" t="s">
        <v>3739</v>
      </c>
      <c r="AA106" s="363"/>
      <c r="AB106" s="363">
        <v>0</v>
      </c>
      <c r="AC106" s="363" t="s">
        <v>3740</v>
      </c>
      <c r="AD106" s="363"/>
      <c r="AE106" s="364" t="s">
        <v>115</v>
      </c>
    </row>
    <row r="107" spans="1:31" ht="13.65" customHeight="1">
      <c r="A107" s="362">
        <v>4983</v>
      </c>
      <c r="B107" s="363">
        <v>4983</v>
      </c>
      <c r="C107" s="363" t="s">
        <v>41</v>
      </c>
      <c r="D107" s="363">
        <v>4983</v>
      </c>
      <c r="E107" s="362">
        <v>7370</v>
      </c>
      <c r="F107" s="362" t="s">
        <v>115</v>
      </c>
      <c r="G107" s="364" t="s">
        <v>116</v>
      </c>
      <c r="H107" s="362" t="s">
        <v>115</v>
      </c>
      <c r="I107" s="362" t="s">
        <v>115</v>
      </c>
      <c r="J107" s="362" t="s">
        <v>3259</v>
      </c>
      <c r="K107" s="363" t="s">
        <v>3260</v>
      </c>
      <c r="L107" s="363"/>
      <c r="M107" s="363" t="s">
        <v>3274</v>
      </c>
      <c r="N107" s="363" t="s">
        <v>651</v>
      </c>
      <c r="O107" s="363" t="s">
        <v>3741</v>
      </c>
      <c r="P107" s="363" t="s">
        <v>3742</v>
      </c>
      <c r="Q107" s="363" t="s">
        <v>3743</v>
      </c>
      <c r="R107" s="363" t="s">
        <v>3744</v>
      </c>
      <c r="S107" s="363"/>
      <c r="T107" s="363"/>
      <c r="U107" s="363">
        <v>4983</v>
      </c>
      <c r="V107" s="363" t="s">
        <v>3745</v>
      </c>
      <c r="W107" s="363"/>
      <c r="X107" s="363" t="s">
        <v>3746</v>
      </c>
      <c r="Y107" s="363"/>
      <c r="Z107" s="363"/>
      <c r="AA107" s="363"/>
      <c r="AB107" s="363" t="s">
        <v>3747</v>
      </c>
      <c r="AC107" s="363">
        <v>1005</v>
      </c>
      <c r="AD107" s="363"/>
      <c r="AE107" s="364" t="s">
        <v>115</v>
      </c>
    </row>
    <row r="108" spans="1:31" ht="13.65" customHeight="1">
      <c r="A108" s="362">
        <v>4994</v>
      </c>
      <c r="B108" s="363">
        <v>4994</v>
      </c>
      <c r="C108" s="363" t="s">
        <v>1037</v>
      </c>
      <c r="D108" s="363"/>
      <c r="E108" s="362">
        <v>76768</v>
      </c>
      <c r="F108" s="362" t="s">
        <v>116</v>
      </c>
      <c r="G108" s="364" t="s">
        <v>116</v>
      </c>
      <c r="H108" s="362" t="s">
        <v>115</v>
      </c>
      <c r="I108" s="362" t="s">
        <v>115</v>
      </c>
      <c r="J108" s="362" t="s">
        <v>3259</v>
      </c>
      <c r="K108" s="363" t="s">
        <v>3260</v>
      </c>
      <c r="L108" s="363"/>
      <c r="M108" s="363" t="s">
        <v>3261</v>
      </c>
      <c r="N108" s="363" t="s">
        <v>3261</v>
      </c>
      <c r="O108" s="363" t="s">
        <v>3748</v>
      </c>
      <c r="P108" s="363" t="s">
        <v>3749</v>
      </c>
      <c r="Q108" s="363" t="s">
        <v>3750</v>
      </c>
      <c r="R108" s="363" t="s">
        <v>3751</v>
      </c>
      <c r="S108" s="363"/>
      <c r="T108" s="363"/>
      <c r="U108" s="363">
        <v>4994</v>
      </c>
      <c r="V108" s="363" t="s">
        <v>3335</v>
      </c>
      <c r="W108" s="363" t="s">
        <v>3752</v>
      </c>
      <c r="X108" s="363" t="s">
        <v>3290</v>
      </c>
      <c r="Y108" s="363">
        <v>9094</v>
      </c>
      <c r="Z108" s="363" t="s">
        <v>3753</v>
      </c>
      <c r="AA108" s="363"/>
      <c r="AB108" s="363" t="s">
        <v>3754</v>
      </c>
      <c r="AC108" s="363">
        <v>1009</v>
      </c>
      <c r="AD108" s="363"/>
      <c r="AE108" s="364" t="s">
        <v>115</v>
      </c>
    </row>
    <row r="109" spans="1:31" ht="13.65" customHeight="1">
      <c r="A109" s="362">
        <v>4994</v>
      </c>
      <c r="B109" s="363">
        <v>294</v>
      </c>
      <c r="C109" s="363" t="s">
        <v>1037</v>
      </c>
      <c r="D109" s="363"/>
      <c r="E109" s="362">
        <v>76768</v>
      </c>
      <c r="F109" s="362" t="s">
        <v>116</v>
      </c>
      <c r="G109" s="364" t="s">
        <v>116</v>
      </c>
      <c r="H109" s="362" t="s">
        <v>115</v>
      </c>
      <c r="I109" s="362" t="s">
        <v>115</v>
      </c>
      <c r="J109" s="362" t="s">
        <v>3259</v>
      </c>
      <c r="K109" s="363" t="s">
        <v>3260</v>
      </c>
      <c r="L109" s="363"/>
      <c r="M109" s="363" t="s">
        <v>3261</v>
      </c>
      <c r="N109" s="363" t="s">
        <v>3261</v>
      </c>
      <c r="O109" s="363"/>
      <c r="P109" s="363" t="s">
        <v>3749</v>
      </c>
      <c r="Q109" s="363" t="s">
        <v>3750</v>
      </c>
      <c r="R109" s="363" t="s">
        <v>3755</v>
      </c>
      <c r="S109" s="363"/>
      <c r="T109" s="363"/>
      <c r="U109" s="363">
        <v>294</v>
      </c>
      <c r="V109" s="363" t="s">
        <v>3683</v>
      </c>
      <c r="W109" s="363"/>
      <c r="X109" s="363"/>
      <c r="Y109" s="363"/>
      <c r="Z109" s="363"/>
      <c r="AA109" s="363"/>
      <c r="AB109" s="363" t="s">
        <v>3754</v>
      </c>
      <c r="AC109" s="363">
        <v>1009</v>
      </c>
      <c r="AD109" s="363"/>
      <c r="AE109" s="364" t="s">
        <v>115</v>
      </c>
    </row>
    <row r="110" spans="1:31" ht="13.65" customHeight="1">
      <c r="A110" s="362">
        <v>4994</v>
      </c>
      <c r="B110" s="363">
        <v>1032</v>
      </c>
      <c r="C110" s="363" t="s">
        <v>2060</v>
      </c>
      <c r="D110" s="363"/>
      <c r="E110" s="362">
        <v>76768</v>
      </c>
      <c r="F110" s="362" t="s">
        <v>116</v>
      </c>
      <c r="G110" s="364" t="s">
        <v>116</v>
      </c>
      <c r="H110" s="362" t="s">
        <v>115</v>
      </c>
      <c r="I110" s="362" t="s">
        <v>115</v>
      </c>
      <c r="J110" s="362" t="s">
        <v>3259</v>
      </c>
      <c r="K110" s="363" t="s">
        <v>3260</v>
      </c>
      <c r="L110" s="363"/>
      <c r="M110" s="363" t="s">
        <v>3400</v>
      </c>
      <c r="N110" s="363" t="s">
        <v>3400</v>
      </c>
      <c r="O110" s="363" t="s">
        <v>3299</v>
      </c>
      <c r="P110" s="363" t="s">
        <v>3756</v>
      </c>
      <c r="Q110" s="363" t="s">
        <v>3757</v>
      </c>
      <c r="R110" s="363" t="s">
        <v>3758</v>
      </c>
      <c r="S110" s="363"/>
      <c r="T110" s="363"/>
      <c r="U110" s="363">
        <v>1032</v>
      </c>
      <c r="V110" s="363" t="s">
        <v>3412</v>
      </c>
      <c r="W110" s="363"/>
      <c r="X110" s="363" t="s">
        <v>3694</v>
      </c>
      <c r="Y110" s="363"/>
      <c r="Z110" s="363"/>
      <c r="AA110" s="363"/>
      <c r="AB110" s="363" t="s">
        <v>3759</v>
      </c>
      <c r="AC110" s="363">
        <v>1079</v>
      </c>
      <c r="AD110" s="363"/>
      <c r="AE110" s="364" t="s">
        <v>116</v>
      </c>
    </row>
    <row r="111" spans="1:31" ht="13.65" customHeight="1">
      <c r="A111" s="362">
        <v>4997</v>
      </c>
      <c r="B111" s="363">
        <v>4997</v>
      </c>
      <c r="C111" s="363" t="s">
        <v>2792</v>
      </c>
      <c r="D111" s="363"/>
      <c r="E111" s="362">
        <v>1250</v>
      </c>
      <c r="F111" s="362" t="s">
        <v>115</v>
      </c>
      <c r="G111" s="364" t="s">
        <v>116</v>
      </c>
      <c r="H111" s="362" t="s">
        <v>115</v>
      </c>
      <c r="I111" s="362" t="s">
        <v>115</v>
      </c>
      <c r="J111" s="362" t="s">
        <v>3259</v>
      </c>
      <c r="K111" s="363" t="s">
        <v>3260</v>
      </c>
      <c r="L111" s="363"/>
      <c r="M111" s="363" t="s">
        <v>3261</v>
      </c>
      <c r="N111" s="363" t="s">
        <v>3261</v>
      </c>
      <c r="O111" s="363"/>
      <c r="P111" s="363" t="s">
        <v>3760</v>
      </c>
      <c r="Q111" s="363" t="s">
        <v>3761</v>
      </c>
      <c r="R111" s="363"/>
      <c r="S111" s="363"/>
      <c r="T111" s="363"/>
      <c r="U111" s="363">
        <v>4997</v>
      </c>
      <c r="V111" s="363" t="s">
        <v>3335</v>
      </c>
      <c r="W111" s="363" t="s">
        <v>3762</v>
      </c>
      <c r="X111" s="363" t="s">
        <v>3290</v>
      </c>
      <c r="Y111" s="363">
        <v>9094</v>
      </c>
      <c r="Z111" s="363"/>
      <c r="AA111" s="363"/>
      <c r="AB111" s="363" t="s">
        <v>3763</v>
      </c>
      <c r="AC111" s="363">
        <v>5027</v>
      </c>
      <c r="AD111" s="363"/>
      <c r="AE111" s="364" t="s">
        <v>115</v>
      </c>
    </row>
    <row r="112" spans="1:31" ht="13.65" customHeight="1">
      <c r="A112" s="362">
        <v>5224</v>
      </c>
      <c r="B112" s="363">
        <v>5224</v>
      </c>
      <c r="C112" s="363" t="s">
        <v>985</v>
      </c>
      <c r="D112" s="363"/>
      <c r="E112" s="362">
        <v>0</v>
      </c>
      <c r="F112" s="362" t="s">
        <v>116</v>
      </c>
      <c r="G112" s="364" t="s">
        <v>116</v>
      </c>
      <c r="H112" s="362" t="s">
        <v>115</v>
      </c>
      <c r="I112" s="362" t="s">
        <v>115</v>
      </c>
      <c r="J112" s="362" t="s">
        <v>3259</v>
      </c>
      <c r="K112" s="363" t="s">
        <v>3260</v>
      </c>
      <c r="L112" s="363"/>
      <c r="M112" s="363" t="s">
        <v>3261</v>
      </c>
      <c r="N112" s="363" t="s">
        <v>3261</v>
      </c>
      <c r="O112" s="363"/>
      <c r="P112" s="363" t="s">
        <v>3764</v>
      </c>
      <c r="Q112" s="363" t="s">
        <v>3765</v>
      </c>
      <c r="R112" s="363"/>
      <c r="S112" s="363"/>
      <c r="T112" s="363"/>
      <c r="U112" s="363">
        <v>5224</v>
      </c>
      <c r="V112" s="363" t="s">
        <v>3289</v>
      </c>
      <c r="W112" s="363"/>
      <c r="X112" s="363" t="s">
        <v>3290</v>
      </c>
      <c r="Y112" s="363"/>
      <c r="Z112" s="363"/>
      <c r="AA112" s="363"/>
      <c r="AB112" s="363" t="s">
        <v>3766</v>
      </c>
      <c r="AC112" s="363">
        <v>1246</v>
      </c>
      <c r="AD112" s="363"/>
      <c r="AE112" s="364" t="s">
        <v>115</v>
      </c>
    </row>
    <row r="113" spans="1:31" ht="13.65" customHeight="1">
      <c r="A113" s="362">
        <v>5240</v>
      </c>
      <c r="B113" s="363">
        <v>5240</v>
      </c>
      <c r="C113" s="363" t="s">
        <v>881</v>
      </c>
      <c r="D113" s="363"/>
      <c r="E113" s="362">
        <v>221</v>
      </c>
      <c r="F113" s="362" t="s">
        <v>116</v>
      </c>
      <c r="G113" s="364" t="s">
        <v>116</v>
      </c>
      <c r="H113" s="362" t="s">
        <v>115</v>
      </c>
      <c r="I113" s="362" t="s">
        <v>115</v>
      </c>
      <c r="J113" s="362" t="s">
        <v>3259</v>
      </c>
      <c r="K113" s="363" t="s">
        <v>3260</v>
      </c>
      <c r="L113" s="363"/>
      <c r="M113" s="363" t="s">
        <v>3261</v>
      </c>
      <c r="N113" s="363" t="s">
        <v>3261</v>
      </c>
      <c r="O113" s="363"/>
      <c r="P113" s="363" t="s">
        <v>3767</v>
      </c>
      <c r="Q113" s="363" t="s">
        <v>3768</v>
      </c>
      <c r="R113" s="363"/>
      <c r="S113" s="363"/>
      <c r="T113" s="363"/>
      <c r="U113" s="363">
        <v>5240</v>
      </c>
      <c r="V113" s="363" t="s">
        <v>3335</v>
      </c>
      <c r="W113" s="363" t="s">
        <v>3769</v>
      </c>
      <c r="X113" s="363" t="s">
        <v>3350</v>
      </c>
      <c r="Y113" s="363">
        <v>9043</v>
      </c>
      <c r="Z113" s="363" t="s">
        <v>3770</v>
      </c>
      <c r="AA113" s="363"/>
      <c r="AB113" s="363" t="s">
        <v>3771</v>
      </c>
      <c r="AC113" s="363">
        <v>1055</v>
      </c>
      <c r="AD113" s="363"/>
      <c r="AE113" s="364" t="s">
        <v>115</v>
      </c>
    </row>
    <row r="114" spans="1:31" ht="13.65" customHeight="1">
      <c r="A114" s="362">
        <v>5272</v>
      </c>
      <c r="B114" s="363">
        <v>5272</v>
      </c>
      <c r="C114" s="363" t="s">
        <v>2831</v>
      </c>
      <c r="D114" s="363"/>
      <c r="E114" s="362">
        <v>102</v>
      </c>
      <c r="F114" s="362" t="s">
        <v>116</v>
      </c>
      <c r="G114" s="364" t="s">
        <v>116</v>
      </c>
      <c r="H114" s="362" t="s">
        <v>115</v>
      </c>
      <c r="I114" s="362" t="s">
        <v>115</v>
      </c>
      <c r="J114" s="362" t="s">
        <v>3259</v>
      </c>
      <c r="K114" s="363" t="s">
        <v>3260</v>
      </c>
      <c r="L114" s="363"/>
      <c r="M114" s="363" t="s">
        <v>3400</v>
      </c>
      <c r="N114" s="363" t="s">
        <v>3400</v>
      </c>
      <c r="O114" s="363"/>
      <c r="P114" s="363" t="s">
        <v>3772</v>
      </c>
      <c r="Q114" s="363" t="s">
        <v>3773</v>
      </c>
      <c r="R114" s="363"/>
      <c r="S114" s="363"/>
      <c r="T114" s="363"/>
      <c r="U114" s="363">
        <v>5272</v>
      </c>
      <c r="V114" s="363" t="s">
        <v>3774</v>
      </c>
      <c r="W114" s="363"/>
      <c r="X114" s="363"/>
      <c r="Y114" s="363"/>
      <c r="Z114" s="363" t="s">
        <v>3775</v>
      </c>
      <c r="AA114" s="363"/>
      <c r="AB114" s="363" t="s">
        <v>3776</v>
      </c>
      <c r="AC114" s="363">
        <v>1207</v>
      </c>
      <c r="AD114" s="363"/>
      <c r="AE114" s="364" t="s">
        <v>115</v>
      </c>
    </row>
    <row r="115" spans="1:31" ht="13.65" customHeight="1">
      <c r="A115" s="362">
        <v>5321</v>
      </c>
      <c r="B115" s="363">
        <v>5321</v>
      </c>
      <c r="C115" s="363" t="s">
        <v>2859</v>
      </c>
      <c r="D115" s="363">
        <v>321</v>
      </c>
      <c r="E115" s="362">
        <v>60</v>
      </c>
      <c r="F115" s="362" t="s">
        <v>116</v>
      </c>
      <c r="G115" s="364" t="s">
        <v>116</v>
      </c>
      <c r="H115" s="362" t="s">
        <v>115</v>
      </c>
      <c r="I115" s="362" t="s">
        <v>115</v>
      </c>
      <c r="J115" s="362" t="s">
        <v>3259</v>
      </c>
      <c r="K115" s="363" t="s">
        <v>3260</v>
      </c>
      <c r="L115" s="363"/>
      <c r="M115" s="363" t="s">
        <v>3386</v>
      </c>
      <c r="N115" s="363" t="s">
        <v>3450</v>
      </c>
      <c r="O115" s="363" t="s">
        <v>3777</v>
      </c>
      <c r="P115" s="363" t="s">
        <v>3778</v>
      </c>
      <c r="Q115" s="363" t="s">
        <v>3779</v>
      </c>
      <c r="R115" s="363" t="s">
        <v>3780</v>
      </c>
      <c r="S115" s="363"/>
      <c r="T115" s="363"/>
      <c r="U115" s="363">
        <v>5321</v>
      </c>
      <c r="V115" s="363" t="s">
        <v>3781</v>
      </c>
      <c r="W115" s="363"/>
      <c r="X115" s="363" t="s">
        <v>3782</v>
      </c>
      <c r="Y115" s="363"/>
      <c r="Z115" s="363" t="s">
        <v>3783</v>
      </c>
      <c r="AA115" s="363"/>
      <c r="AB115" s="363"/>
      <c r="AC115" s="363">
        <v>1328</v>
      </c>
      <c r="AD115" s="363"/>
      <c r="AE115" s="364" t="s">
        <v>115</v>
      </c>
    </row>
    <row r="116" spans="1:31" ht="13.65" customHeight="1">
      <c r="A116" s="362">
        <v>5321</v>
      </c>
      <c r="B116" s="363">
        <v>5321</v>
      </c>
      <c r="C116" s="363" t="s">
        <v>2859</v>
      </c>
      <c r="D116" s="363">
        <v>321</v>
      </c>
      <c r="E116" s="362">
        <v>60</v>
      </c>
      <c r="F116" s="362" t="s">
        <v>116</v>
      </c>
      <c r="G116" s="364"/>
      <c r="H116" s="362" t="s">
        <v>115</v>
      </c>
      <c r="I116" s="362" t="s">
        <v>115</v>
      </c>
      <c r="J116" s="362" t="s">
        <v>3259</v>
      </c>
      <c r="K116" s="363" t="s">
        <v>3260</v>
      </c>
      <c r="L116" s="363"/>
      <c r="M116" s="363" t="s">
        <v>3386</v>
      </c>
      <c r="N116" s="363" t="s">
        <v>3450</v>
      </c>
      <c r="O116" s="363" t="s">
        <v>3777</v>
      </c>
      <c r="P116" s="363" t="s">
        <v>3778</v>
      </c>
      <c r="Q116" s="363" t="s">
        <v>3779</v>
      </c>
      <c r="R116" s="363" t="s">
        <v>3780</v>
      </c>
      <c r="S116" s="363"/>
      <c r="T116" s="363"/>
      <c r="U116" s="363">
        <v>5321</v>
      </c>
      <c r="V116" s="363" t="s">
        <v>3781</v>
      </c>
      <c r="W116" s="363"/>
      <c r="X116" s="363" t="s">
        <v>3782</v>
      </c>
      <c r="Y116" s="363"/>
      <c r="Z116" s="363" t="s">
        <v>3783</v>
      </c>
      <c r="AA116" s="363"/>
      <c r="AB116" s="363"/>
      <c r="AC116" s="363">
        <v>1328</v>
      </c>
      <c r="AD116" s="363"/>
      <c r="AE116" s="364"/>
    </row>
    <row r="117" spans="1:31" ht="13.65" customHeight="1">
      <c r="A117" s="362">
        <v>5322</v>
      </c>
      <c r="B117" s="363">
        <v>5322</v>
      </c>
      <c r="C117" s="363" t="s">
        <v>1065</v>
      </c>
      <c r="D117" s="363">
        <v>5322</v>
      </c>
      <c r="E117" s="362">
        <v>475</v>
      </c>
      <c r="F117" s="362" t="s">
        <v>116</v>
      </c>
      <c r="G117" s="364" t="s">
        <v>116</v>
      </c>
      <c r="H117" s="362" t="s">
        <v>115</v>
      </c>
      <c r="I117" s="362" t="s">
        <v>115</v>
      </c>
      <c r="J117" s="362" t="s">
        <v>3259</v>
      </c>
      <c r="K117" s="363" t="s">
        <v>3260</v>
      </c>
      <c r="L117" s="363"/>
      <c r="M117" s="363" t="s">
        <v>3274</v>
      </c>
      <c r="N117" s="363" t="s">
        <v>1378</v>
      </c>
      <c r="O117" s="363"/>
      <c r="P117" s="363" t="s">
        <v>3605</v>
      </c>
      <c r="Q117" s="363" t="s">
        <v>3784</v>
      </c>
      <c r="R117" s="363" t="s">
        <v>3609</v>
      </c>
      <c r="S117" s="363"/>
      <c r="T117" s="363"/>
      <c r="U117" s="363">
        <v>5322</v>
      </c>
      <c r="V117" s="363" t="s">
        <v>3785</v>
      </c>
      <c r="W117" s="363"/>
      <c r="X117" s="363"/>
      <c r="Y117" s="363"/>
      <c r="Z117" s="363" t="s">
        <v>3608</v>
      </c>
      <c r="AA117" s="363"/>
      <c r="AB117" s="363" t="s">
        <v>3613</v>
      </c>
      <c r="AC117" s="363">
        <v>1163</v>
      </c>
      <c r="AD117" s="363"/>
      <c r="AE117" s="364" t="s">
        <v>115</v>
      </c>
    </row>
    <row r="118" spans="1:31" ht="13.65" customHeight="1">
      <c r="A118" s="362">
        <v>5365</v>
      </c>
      <c r="B118" s="363">
        <v>5365</v>
      </c>
      <c r="C118" s="363" t="s">
        <v>2876</v>
      </c>
      <c r="D118" s="363">
        <v>5365</v>
      </c>
      <c r="E118" s="362">
        <v>744</v>
      </c>
      <c r="F118" s="362" t="s">
        <v>115</v>
      </c>
      <c r="G118" s="364" t="s">
        <v>116</v>
      </c>
      <c r="H118" s="362" t="s">
        <v>115</v>
      </c>
      <c r="I118" s="362" t="s">
        <v>115</v>
      </c>
      <c r="J118" s="362" t="s">
        <v>3259</v>
      </c>
      <c r="K118" s="363" t="s">
        <v>3260</v>
      </c>
      <c r="L118" s="363"/>
      <c r="M118" s="363" t="s">
        <v>3274</v>
      </c>
      <c r="N118" s="363" t="s">
        <v>1378</v>
      </c>
      <c r="O118" s="363"/>
      <c r="P118" s="363">
        <v>0</v>
      </c>
      <c r="Q118" s="363"/>
      <c r="R118" s="363"/>
      <c r="S118" s="363"/>
      <c r="T118" s="363"/>
      <c r="U118" s="363">
        <v>5365</v>
      </c>
      <c r="V118" s="363" t="s">
        <v>3786</v>
      </c>
      <c r="W118" s="363"/>
      <c r="X118" s="363"/>
      <c r="Y118" s="363"/>
      <c r="Z118" s="363"/>
      <c r="AA118" s="363"/>
      <c r="AB118" s="363">
        <v>0</v>
      </c>
      <c r="AC118" s="363">
        <v>0</v>
      </c>
      <c r="AD118" s="363"/>
      <c r="AE118" s="364" t="s">
        <v>115</v>
      </c>
    </row>
    <row r="119" spans="1:31" ht="13.65" customHeight="1">
      <c r="A119" s="362">
        <v>5365</v>
      </c>
      <c r="B119" s="363">
        <v>5364</v>
      </c>
      <c r="C119" s="363" t="s">
        <v>3787</v>
      </c>
      <c r="D119" s="363">
        <v>5364</v>
      </c>
      <c r="E119" s="362">
        <v>744</v>
      </c>
      <c r="F119" s="362" t="s">
        <v>115</v>
      </c>
      <c r="G119" s="364" t="s">
        <v>116</v>
      </c>
      <c r="H119" s="362" t="s">
        <v>115</v>
      </c>
      <c r="I119" s="362" t="s">
        <v>115</v>
      </c>
      <c r="J119" s="362" t="s">
        <v>3259</v>
      </c>
      <c r="K119" s="363" t="s">
        <v>3260</v>
      </c>
      <c r="L119" s="363"/>
      <c r="M119" s="363" t="s">
        <v>3274</v>
      </c>
      <c r="N119" s="363" t="s">
        <v>3788</v>
      </c>
      <c r="O119" s="363" t="s">
        <v>3789</v>
      </c>
      <c r="P119" s="363" t="s">
        <v>3790</v>
      </c>
      <c r="Q119" s="363" t="s">
        <v>3791</v>
      </c>
      <c r="R119" s="363" t="s">
        <v>3792</v>
      </c>
      <c r="S119" s="363" t="s">
        <v>3793</v>
      </c>
      <c r="T119" s="363"/>
      <c r="U119" s="363">
        <v>5364</v>
      </c>
      <c r="V119" s="363"/>
      <c r="W119" s="363"/>
      <c r="X119" s="363" t="s">
        <v>3794</v>
      </c>
      <c r="Y119" s="363"/>
      <c r="Z119" s="363" t="s">
        <v>3795</v>
      </c>
      <c r="AA119" s="363"/>
      <c r="AB119" s="363"/>
      <c r="AC119" s="363"/>
      <c r="AD119" s="363"/>
      <c r="AE119" s="364" t="s">
        <v>115</v>
      </c>
    </row>
    <row r="120" spans="1:31" ht="13.65" customHeight="1">
      <c r="A120" s="362">
        <v>5374</v>
      </c>
      <c r="B120" s="363">
        <v>5374</v>
      </c>
      <c r="C120" s="363" t="s">
        <v>2884</v>
      </c>
      <c r="D120" s="363">
        <v>5374</v>
      </c>
      <c r="E120" s="362">
        <v>16</v>
      </c>
      <c r="F120" s="362" t="s">
        <v>115</v>
      </c>
      <c r="G120" s="364" t="s">
        <v>116</v>
      </c>
      <c r="H120" s="362" t="s">
        <v>115</v>
      </c>
      <c r="I120" s="362" t="s">
        <v>115</v>
      </c>
      <c r="J120" s="362" t="s">
        <v>3259</v>
      </c>
      <c r="K120" s="363" t="s">
        <v>3260</v>
      </c>
      <c r="L120" s="363"/>
      <c r="M120" s="363" t="s">
        <v>3274</v>
      </c>
      <c r="N120" s="363" t="s">
        <v>3283</v>
      </c>
      <c r="O120" s="363"/>
      <c r="P120" s="363" t="s">
        <v>3796</v>
      </c>
      <c r="Q120" s="363" t="s">
        <v>3797</v>
      </c>
      <c r="R120" s="363" t="s">
        <v>3798</v>
      </c>
      <c r="S120" s="363"/>
      <c r="T120" s="363"/>
      <c r="U120" s="363">
        <v>5374</v>
      </c>
      <c r="V120" s="363" t="s">
        <v>3799</v>
      </c>
      <c r="W120" s="363"/>
      <c r="X120" s="363"/>
      <c r="Y120" s="363">
        <v>9092</v>
      </c>
      <c r="Z120" s="363"/>
      <c r="AA120" s="363"/>
      <c r="AB120" s="363" t="s">
        <v>3800</v>
      </c>
      <c r="AC120" s="363">
        <v>5037</v>
      </c>
      <c r="AD120" s="363"/>
      <c r="AE120" s="364" t="s">
        <v>115</v>
      </c>
    </row>
    <row r="121" spans="1:31" ht="13.65" customHeight="1">
      <c r="A121" s="362">
        <v>5401</v>
      </c>
      <c r="B121" s="363">
        <v>5401</v>
      </c>
      <c r="C121" s="363" t="s">
        <v>2889</v>
      </c>
      <c r="D121" s="363">
        <v>564</v>
      </c>
      <c r="E121" s="362">
        <v>45634</v>
      </c>
      <c r="F121" s="362" t="s">
        <v>116</v>
      </c>
      <c r="G121" s="364" t="s">
        <v>116</v>
      </c>
      <c r="H121" s="362" t="s">
        <v>115</v>
      </c>
      <c r="I121" s="362" t="s">
        <v>115</v>
      </c>
      <c r="J121" s="362" t="s">
        <v>3259</v>
      </c>
      <c r="K121" s="363" t="s">
        <v>3260</v>
      </c>
      <c r="L121" s="363"/>
      <c r="M121" s="363" t="s">
        <v>3386</v>
      </c>
      <c r="N121" s="363" t="s">
        <v>3801</v>
      </c>
      <c r="O121" s="363" t="s">
        <v>3802</v>
      </c>
      <c r="P121" s="363" t="s">
        <v>3803</v>
      </c>
      <c r="Q121" s="363" t="s">
        <v>3804</v>
      </c>
      <c r="R121" s="363" t="s">
        <v>3805</v>
      </c>
      <c r="S121" s="363"/>
      <c r="T121" s="363"/>
      <c r="U121" s="363">
        <v>5401</v>
      </c>
      <c r="V121" s="363" t="s">
        <v>3806</v>
      </c>
      <c r="W121" s="363" t="s">
        <v>3807</v>
      </c>
      <c r="X121" s="363" t="s">
        <v>3678</v>
      </c>
      <c r="Y121" s="363" t="s">
        <v>3808</v>
      </c>
      <c r="Z121" s="363" t="s">
        <v>3809</v>
      </c>
      <c r="AA121" s="363"/>
      <c r="AB121" s="363" t="s">
        <v>3810</v>
      </c>
      <c r="AC121" s="363">
        <v>1011</v>
      </c>
      <c r="AD121" s="363"/>
      <c r="AE121" s="364" t="s">
        <v>115</v>
      </c>
    </row>
    <row r="122" spans="1:31" ht="13.65" customHeight="1">
      <c r="A122" s="362">
        <v>5402</v>
      </c>
      <c r="B122" s="363">
        <v>5402</v>
      </c>
      <c r="C122" s="363" t="s">
        <v>2891</v>
      </c>
      <c r="D122" s="363">
        <v>564</v>
      </c>
      <c r="E122" s="362">
        <v>75388</v>
      </c>
      <c r="F122" s="362" t="s">
        <v>116</v>
      </c>
      <c r="G122" s="364" t="s">
        <v>116</v>
      </c>
      <c r="H122" s="362" t="s">
        <v>115</v>
      </c>
      <c r="I122" s="362" t="s">
        <v>115</v>
      </c>
      <c r="J122" s="362" t="s">
        <v>3259</v>
      </c>
      <c r="K122" s="363" t="s">
        <v>3260</v>
      </c>
      <c r="L122" s="363"/>
      <c r="M122" s="363" t="s">
        <v>3386</v>
      </c>
      <c r="N122" s="363" t="s">
        <v>3801</v>
      </c>
      <c r="O122" s="363" t="s">
        <v>3802</v>
      </c>
      <c r="P122" s="363" t="s">
        <v>3811</v>
      </c>
      <c r="Q122" s="363" t="s">
        <v>3812</v>
      </c>
      <c r="R122" s="363" t="s">
        <v>3813</v>
      </c>
      <c r="S122" s="363"/>
      <c r="T122" s="363"/>
      <c r="U122" s="363">
        <v>5402</v>
      </c>
      <c r="V122" s="363" t="s">
        <v>3814</v>
      </c>
      <c r="W122" s="363"/>
      <c r="X122" s="363" t="s">
        <v>3290</v>
      </c>
      <c r="Y122" s="363"/>
      <c r="Z122" s="363"/>
      <c r="AA122" s="363"/>
      <c r="AB122" s="363" t="s">
        <v>3815</v>
      </c>
      <c r="AC122" s="363">
        <v>1010</v>
      </c>
      <c r="AD122" s="363"/>
      <c r="AE122" s="364" t="s">
        <v>115</v>
      </c>
    </row>
    <row r="123" spans="1:31" ht="13.65" customHeight="1">
      <c r="A123" s="362">
        <v>5422</v>
      </c>
      <c r="B123" s="363">
        <v>5422</v>
      </c>
      <c r="C123" s="363" t="s">
        <v>2896</v>
      </c>
      <c r="D123" s="363"/>
      <c r="E123" s="362">
        <v>5103</v>
      </c>
      <c r="F123" s="362" t="s">
        <v>116</v>
      </c>
      <c r="G123" s="364" t="s">
        <v>116</v>
      </c>
      <c r="H123" s="362" t="s">
        <v>115</v>
      </c>
      <c r="I123" s="362" t="s">
        <v>115</v>
      </c>
      <c r="J123" s="362" t="s">
        <v>3259</v>
      </c>
      <c r="K123" s="363" t="s">
        <v>3260</v>
      </c>
      <c r="L123" s="363"/>
      <c r="M123" s="363" t="s">
        <v>3261</v>
      </c>
      <c r="N123" s="363" t="s">
        <v>3261</v>
      </c>
      <c r="O123" s="363"/>
      <c r="P123" s="363" t="s">
        <v>3816</v>
      </c>
      <c r="Q123" s="363" t="s">
        <v>3817</v>
      </c>
      <c r="R123" s="363"/>
      <c r="S123" s="363"/>
      <c r="T123" s="363"/>
      <c r="U123" s="363">
        <v>5422</v>
      </c>
      <c r="V123" s="363" t="s">
        <v>3818</v>
      </c>
      <c r="W123" s="363"/>
      <c r="X123" s="363" t="s">
        <v>3290</v>
      </c>
      <c r="Y123" s="363"/>
      <c r="Z123" s="363"/>
      <c r="AA123" s="363"/>
      <c r="AB123" s="363" t="s">
        <v>3819</v>
      </c>
      <c r="AC123" s="363">
        <v>4001</v>
      </c>
      <c r="AD123" s="363"/>
      <c r="AE123" s="364" t="s">
        <v>115</v>
      </c>
    </row>
    <row r="124" spans="1:31" ht="13.65" customHeight="1">
      <c r="A124" s="362">
        <v>5439</v>
      </c>
      <c r="B124" s="363">
        <v>5439</v>
      </c>
      <c r="C124" s="363" t="s">
        <v>2907</v>
      </c>
      <c r="D124" s="363"/>
      <c r="E124" s="362">
        <v>102</v>
      </c>
      <c r="F124" s="362" t="s">
        <v>116</v>
      </c>
      <c r="G124" s="364" t="s">
        <v>116</v>
      </c>
      <c r="H124" s="362" t="s">
        <v>115</v>
      </c>
      <c r="I124" s="362" t="s">
        <v>115</v>
      </c>
      <c r="J124" s="362" t="s">
        <v>3259</v>
      </c>
      <c r="K124" s="363" t="s">
        <v>3260</v>
      </c>
      <c r="L124" s="363"/>
      <c r="M124" s="363" t="s">
        <v>3261</v>
      </c>
      <c r="N124" s="363" t="s">
        <v>3261</v>
      </c>
      <c r="O124" s="363"/>
      <c r="P124" s="363" t="s">
        <v>3820</v>
      </c>
      <c r="Q124" s="363" t="s">
        <v>3821</v>
      </c>
      <c r="R124" s="363"/>
      <c r="S124" s="363"/>
      <c r="T124" s="363"/>
      <c r="U124" s="363">
        <v>5439</v>
      </c>
      <c r="V124" s="363" t="s">
        <v>3822</v>
      </c>
      <c r="W124" s="363"/>
      <c r="X124" s="363" t="s">
        <v>3290</v>
      </c>
      <c r="Y124" s="363"/>
      <c r="Z124" s="363"/>
      <c r="AA124" s="363"/>
      <c r="AB124" s="363" t="s">
        <v>3823</v>
      </c>
      <c r="AC124" s="363">
        <v>1242</v>
      </c>
      <c r="AD124" s="363"/>
      <c r="AE124" s="364" t="s">
        <v>115</v>
      </c>
    </row>
    <row r="125" spans="1:31" ht="13.65" customHeight="1">
      <c r="A125" s="362">
        <v>5524</v>
      </c>
      <c r="B125" s="363">
        <v>5524</v>
      </c>
      <c r="C125" s="363" t="s">
        <v>2922</v>
      </c>
      <c r="D125" s="363">
        <v>564</v>
      </c>
      <c r="E125" s="362">
        <v>56763</v>
      </c>
      <c r="F125" s="362" t="s">
        <v>116</v>
      </c>
      <c r="G125" s="364" t="s">
        <v>116</v>
      </c>
      <c r="H125" s="362" t="s">
        <v>115</v>
      </c>
      <c r="I125" s="362" t="s">
        <v>115</v>
      </c>
      <c r="J125" s="362" t="s">
        <v>3259</v>
      </c>
      <c r="K125" s="363" t="s">
        <v>3260</v>
      </c>
      <c r="L125" s="363"/>
      <c r="M125" s="363" t="s">
        <v>3386</v>
      </c>
      <c r="N125" s="363" t="s">
        <v>3801</v>
      </c>
      <c r="O125" s="363" t="s">
        <v>3802</v>
      </c>
      <c r="P125" s="363" t="s">
        <v>3824</v>
      </c>
      <c r="Q125" s="363" t="s">
        <v>3825</v>
      </c>
      <c r="R125" s="363"/>
      <c r="S125" s="363"/>
      <c r="T125" s="363"/>
      <c r="U125" s="363">
        <v>5524</v>
      </c>
      <c r="V125" s="363" t="s">
        <v>3826</v>
      </c>
      <c r="W125" s="363"/>
      <c r="X125" s="363" t="s">
        <v>3827</v>
      </c>
      <c r="Y125" s="363"/>
      <c r="Z125" s="363"/>
      <c r="AA125" s="363"/>
      <c r="AB125" s="363" t="s">
        <v>3815</v>
      </c>
      <c r="AC125" s="363">
        <v>0</v>
      </c>
      <c r="AD125" s="363"/>
      <c r="AE125" s="364" t="s">
        <v>115</v>
      </c>
    </row>
    <row r="126" spans="1:31" ht="13.65" customHeight="1">
      <c r="A126" s="362">
        <v>5527</v>
      </c>
      <c r="B126" s="363">
        <v>5527</v>
      </c>
      <c r="C126" s="363" t="s">
        <v>2924</v>
      </c>
      <c r="D126" s="363"/>
      <c r="E126" s="362">
        <v>765</v>
      </c>
      <c r="F126" s="362" t="s">
        <v>116</v>
      </c>
      <c r="G126" s="364" t="s">
        <v>116</v>
      </c>
      <c r="H126" s="362" t="s">
        <v>115</v>
      </c>
      <c r="I126" s="362" t="s">
        <v>115</v>
      </c>
      <c r="J126" s="362" t="s">
        <v>3259</v>
      </c>
      <c r="K126" s="363" t="s">
        <v>3260</v>
      </c>
      <c r="L126" s="363"/>
      <c r="M126" s="363" t="s">
        <v>3261</v>
      </c>
      <c r="N126" s="363" t="s">
        <v>3261</v>
      </c>
      <c r="O126" s="363"/>
      <c r="P126" s="363">
        <v>0</v>
      </c>
      <c r="Q126" s="363"/>
      <c r="R126" s="363"/>
      <c r="S126" s="363"/>
      <c r="T126" s="363"/>
      <c r="U126" s="363">
        <v>5527</v>
      </c>
      <c r="V126" s="363" t="s">
        <v>3828</v>
      </c>
      <c r="W126" s="363"/>
      <c r="X126" s="363"/>
      <c r="Y126" s="363"/>
      <c r="Z126" s="363" t="s">
        <v>3829</v>
      </c>
      <c r="AA126" s="363"/>
      <c r="AB126" s="363">
        <v>0</v>
      </c>
      <c r="AC126" s="363">
        <v>0</v>
      </c>
      <c r="AD126" s="363"/>
      <c r="AE126" s="364" t="s">
        <v>115</v>
      </c>
    </row>
    <row r="127" spans="1:31" ht="13.65" customHeight="1">
      <c r="A127" s="362">
        <v>5527</v>
      </c>
      <c r="B127" s="363">
        <v>5527</v>
      </c>
      <c r="C127" s="363" t="s">
        <v>2924</v>
      </c>
      <c r="D127" s="363"/>
      <c r="E127" s="362">
        <v>765</v>
      </c>
      <c r="F127" s="362" t="s">
        <v>116</v>
      </c>
      <c r="G127" s="364" t="s">
        <v>116</v>
      </c>
      <c r="H127" s="362" t="s">
        <v>115</v>
      </c>
      <c r="I127" s="362" t="s">
        <v>115</v>
      </c>
      <c r="J127" s="362" t="s">
        <v>3259</v>
      </c>
      <c r="K127" s="363" t="s">
        <v>3260</v>
      </c>
      <c r="L127" s="363"/>
      <c r="M127" s="363" t="s">
        <v>3261</v>
      </c>
      <c r="N127" s="363" t="s">
        <v>3261</v>
      </c>
      <c r="O127" s="363"/>
      <c r="P127" s="363">
        <v>0</v>
      </c>
      <c r="Q127" s="363"/>
      <c r="R127" s="363"/>
      <c r="S127" s="363"/>
      <c r="T127" s="363"/>
      <c r="U127" s="363">
        <v>5527</v>
      </c>
      <c r="V127" s="363" t="s">
        <v>3828</v>
      </c>
      <c r="W127" s="363"/>
      <c r="X127" s="363"/>
      <c r="Y127" s="363"/>
      <c r="Z127" s="363" t="s">
        <v>3829</v>
      </c>
      <c r="AA127" s="363"/>
      <c r="AB127" s="363">
        <v>0</v>
      </c>
      <c r="AC127" s="363">
        <v>0</v>
      </c>
      <c r="AD127" s="363"/>
      <c r="AE127" s="364" t="s">
        <v>115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E5928-9B3E-483C-AF97-5D91945E8B0C}">
  <sheetPr codeName="גיליון12"/>
  <dimension ref="A1:G871"/>
  <sheetViews>
    <sheetView rightToLeft="1" topLeftCell="A2" workbookViewId="0">
      <pane ySplit="864" topLeftCell="A257" activePane="bottomLeft"/>
      <selection activeCell="A2" sqref="A2"/>
      <selection pane="bottomLeft" activeCell="B265" sqref="B265"/>
    </sheetView>
  </sheetViews>
  <sheetFormatPr defaultRowHeight="14.4"/>
  <cols>
    <col min="1" max="1" width="17.44140625" style="1" customWidth="1"/>
    <col min="2" max="2" width="43.21875" style="4" customWidth="1"/>
    <col min="3" max="7" width="17.44140625" customWidth="1"/>
  </cols>
  <sheetData>
    <row r="1" spans="1:7">
      <c r="A1" s="353" t="s">
        <v>1762</v>
      </c>
    </row>
    <row r="2" spans="1:7">
      <c r="A2" s="354" t="s">
        <v>1763</v>
      </c>
      <c r="B2" s="353" t="s">
        <v>1764</v>
      </c>
      <c r="C2" s="355" t="s">
        <v>1765</v>
      </c>
      <c r="D2" s="355" t="s">
        <v>1766</v>
      </c>
      <c r="E2" s="355" t="s">
        <v>33</v>
      </c>
      <c r="F2" s="355" t="s">
        <v>1767</v>
      </c>
      <c r="G2" s="355" t="s">
        <v>1768</v>
      </c>
    </row>
    <row r="3" spans="1:7">
      <c r="A3" s="356" t="s">
        <v>1769</v>
      </c>
      <c r="B3" s="357" t="s">
        <v>67</v>
      </c>
      <c r="C3" s="358" t="s">
        <v>115</v>
      </c>
      <c r="D3" s="358" t="s">
        <v>115</v>
      </c>
      <c r="E3" s="358" t="s">
        <v>115</v>
      </c>
      <c r="F3" s="358" t="s">
        <v>115</v>
      </c>
      <c r="G3" s="358" t="s">
        <v>115</v>
      </c>
    </row>
    <row r="4" spans="1:7">
      <c r="A4" s="356" t="s">
        <v>1770</v>
      </c>
      <c r="B4" s="357" t="s">
        <v>1771</v>
      </c>
      <c r="C4" s="358" t="s">
        <v>116</v>
      </c>
      <c r="D4" s="358" t="s">
        <v>115</v>
      </c>
      <c r="E4" s="358" t="s">
        <v>115</v>
      </c>
      <c r="F4" s="358" t="s">
        <v>115</v>
      </c>
      <c r="G4" s="358" t="s">
        <v>115</v>
      </c>
    </row>
    <row r="5" spans="1:7">
      <c r="A5" s="356" t="s">
        <v>1772</v>
      </c>
      <c r="B5" s="357" t="s">
        <v>1447</v>
      </c>
      <c r="C5" s="358" t="s">
        <v>115</v>
      </c>
      <c r="D5" s="358" t="s">
        <v>115</v>
      </c>
      <c r="E5" s="358" t="s">
        <v>115</v>
      </c>
      <c r="F5" s="358" t="s">
        <v>115</v>
      </c>
      <c r="G5" s="358" t="s">
        <v>115</v>
      </c>
    </row>
    <row r="6" spans="1:7">
      <c r="A6" s="356" t="s">
        <v>1773</v>
      </c>
      <c r="B6" s="357" t="s">
        <v>855</v>
      </c>
      <c r="C6" s="358" t="s">
        <v>115</v>
      </c>
      <c r="D6" s="358" t="s">
        <v>116</v>
      </c>
      <c r="E6" s="358" t="s">
        <v>115</v>
      </c>
      <c r="F6" s="358" t="s">
        <v>115</v>
      </c>
      <c r="G6" s="358" t="s">
        <v>115</v>
      </c>
    </row>
    <row r="7" spans="1:7">
      <c r="A7" s="356" t="s">
        <v>1774</v>
      </c>
      <c r="B7" s="357" t="s">
        <v>1775</v>
      </c>
      <c r="C7" s="358" t="s">
        <v>116</v>
      </c>
      <c r="D7" s="358" t="s">
        <v>116</v>
      </c>
      <c r="E7" s="358" t="s">
        <v>116</v>
      </c>
      <c r="F7" s="358" t="s">
        <v>116</v>
      </c>
      <c r="G7" s="358" t="s">
        <v>116</v>
      </c>
    </row>
    <row r="8" spans="1:7">
      <c r="A8" s="356" t="s">
        <v>1776</v>
      </c>
      <c r="B8" s="357" t="s">
        <v>1777</v>
      </c>
      <c r="C8" s="358" t="s">
        <v>116</v>
      </c>
      <c r="D8" s="358" t="s">
        <v>116</v>
      </c>
      <c r="E8" s="358" t="s">
        <v>116</v>
      </c>
      <c r="F8" s="358" t="s">
        <v>116</v>
      </c>
      <c r="G8" s="358" t="s">
        <v>116</v>
      </c>
    </row>
    <row r="9" spans="1:7">
      <c r="A9" s="356" t="s">
        <v>1778</v>
      </c>
      <c r="B9" s="357" t="s">
        <v>1779</v>
      </c>
      <c r="C9" s="358" t="s">
        <v>116</v>
      </c>
      <c r="D9" s="358" t="s">
        <v>116</v>
      </c>
      <c r="E9" s="358" t="s">
        <v>115</v>
      </c>
      <c r="F9" s="358" t="s">
        <v>115</v>
      </c>
      <c r="G9" s="358" t="s">
        <v>115</v>
      </c>
    </row>
    <row r="10" spans="1:7">
      <c r="A10" s="356" t="s">
        <v>1780</v>
      </c>
      <c r="B10" s="357" t="s">
        <v>1781</v>
      </c>
      <c r="C10" s="358" t="s">
        <v>116</v>
      </c>
      <c r="D10" s="358" t="s">
        <v>116</v>
      </c>
      <c r="E10" s="358" t="s">
        <v>115</v>
      </c>
      <c r="F10" s="358" t="s">
        <v>116</v>
      </c>
      <c r="G10" s="358" t="s">
        <v>116</v>
      </c>
    </row>
    <row r="11" spans="1:7">
      <c r="A11" s="356" t="s">
        <v>1782</v>
      </c>
      <c r="B11" s="357" t="s">
        <v>1783</v>
      </c>
      <c r="C11" s="358" t="s">
        <v>116</v>
      </c>
      <c r="D11" s="358" t="s">
        <v>116</v>
      </c>
      <c r="E11" s="358" t="s">
        <v>116</v>
      </c>
      <c r="F11" s="358" t="s">
        <v>116</v>
      </c>
      <c r="G11" s="358" t="s">
        <v>116</v>
      </c>
    </row>
    <row r="12" spans="1:7">
      <c r="A12" s="356" t="s">
        <v>1784</v>
      </c>
      <c r="B12" s="357" t="s">
        <v>1785</v>
      </c>
      <c r="C12" s="358" t="s">
        <v>115</v>
      </c>
      <c r="D12" s="358" t="s">
        <v>116</v>
      </c>
      <c r="E12" s="358" t="s">
        <v>115</v>
      </c>
      <c r="F12" s="358" t="s">
        <v>115</v>
      </c>
      <c r="G12" s="358" t="s">
        <v>115</v>
      </c>
    </row>
    <row r="13" spans="1:7">
      <c r="A13" s="356" t="s">
        <v>1786</v>
      </c>
      <c r="B13" s="357" t="s">
        <v>1787</v>
      </c>
      <c r="C13" s="358" t="s">
        <v>116</v>
      </c>
      <c r="D13" s="358" t="s">
        <v>116</v>
      </c>
      <c r="E13" s="358" t="s">
        <v>116</v>
      </c>
      <c r="F13" s="358" t="s">
        <v>116</v>
      </c>
      <c r="G13" s="358" t="s">
        <v>116</v>
      </c>
    </row>
    <row r="14" spans="1:7">
      <c r="A14" s="356" t="s">
        <v>1788</v>
      </c>
      <c r="B14" s="357" t="s">
        <v>1789</v>
      </c>
      <c r="C14" s="358" t="s">
        <v>116</v>
      </c>
      <c r="D14" s="358" t="s">
        <v>116</v>
      </c>
      <c r="E14" s="358" t="s">
        <v>116</v>
      </c>
      <c r="F14" s="358" t="s">
        <v>116</v>
      </c>
      <c r="G14" s="358" t="s">
        <v>116</v>
      </c>
    </row>
    <row r="15" spans="1:7">
      <c r="A15" s="356" t="s">
        <v>1790</v>
      </c>
      <c r="B15" s="357" t="s">
        <v>1791</v>
      </c>
      <c r="C15" s="358" t="s">
        <v>116</v>
      </c>
      <c r="D15" s="358" t="s">
        <v>116</v>
      </c>
      <c r="E15" s="358" t="s">
        <v>116</v>
      </c>
      <c r="F15" s="358" t="s">
        <v>116</v>
      </c>
      <c r="G15" s="358" t="s">
        <v>116</v>
      </c>
    </row>
    <row r="16" spans="1:7">
      <c r="A16" s="356" t="s">
        <v>1792</v>
      </c>
      <c r="B16" s="357" t="s">
        <v>1793</v>
      </c>
      <c r="C16" s="358" t="s">
        <v>116</v>
      </c>
      <c r="D16" s="358" t="s">
        <v>116</v>
      </c>
      <c r="E16" s="358" t="s">
        <v>116</v>
      </c>
      <c r="F16" s="358" t="s">
        <v>116</v>
      </c>
      <c r="G16" s="358" t="s">
        <v>116</v>
      </c>
    </row>
    <row r="17" spans="1:7">
      <c r="A17" s="356" t="s">
        <v>1794</v>
      </c>
      <c r="B17" s="357" t="s">
        <v>1795</v>
      </c>
      <c r="C17" s="358" t="s">
        <v>116</v>
      </c>
      <c r="D17" s="358" t="s">
        <v>116</v>
      </c>
      <c r="E17" s="358" t="s">
        <v>115</v>
      </c>
      <c r="F17" s="358" t="s">
        <v>115</v>
      </c>
      <c r="G17" s="358" t="s">
        <v>115</v>
      </c>
    </row>
    <row r="18" spans="1:7" ht="28.8">
      <c r="A18" s="356" t="s">
        <v>1796</v>
      </c>
      <c r="B18" s="357" t="s">
        <v>1797</v>
      </c>
      <c r="C18" s="358" t="s">
        <v>116</v>
      </c>
      <c r="D18" s="358" t="s">
        <v>116</v>
      </c>
      <c r="E18" s="358" t="s">
        <v>116</v>
      </c>
      <c r="F18" s="358" t="s">
        <v>116</v>
      </c>
      <c r="G18" s="358" t="s">
        <v>116</v>
      </c>
    </row>
    <row r="19" spans="1:7" ht="28.8">
      <c r="A19" s="356" t="s">
        <v>1798</v>
      </c>
      <c r="B19" s="357" t="s">
        <v>1799</v>
      </c>
      <c r="C19" s="358" t="s">
        <v>116</v>
      </c>
      <c r="D19" s="358" t="s">
        <v>116</v>
      </c>
      <c r="E19" s="358" t="s">
        <v>116</v>
      </c>
      <c r="F19" s="358" t="s">
        <v>116</v>
      </c>
      <c r="G19" s="358" t="s">
        <v>116</v>
      </c>
    </row>
    <row r="20" spans="1:7">
      <c r="A20" s="356" t="s">
        <v>1800</v>
      </c>
      <c r="B20" s="357" t="s">
        <v>1801</v>
      </c>
      <c r="C20" s="358" t="s">
        <v>116</v>
      </c>
      <c r="D20" s="358" t="s">
        <v>116</v>
      </c>
      <c r="E20" s="358" t="s">
        <v>116</v>
      </c>
      <c r="F20" s="358" t="s">
        <v>116</v>
      </c>
      <c r="G20" s="358" t="s">
        <v>116</v>
      </c>
    </row>
    <row r="21" spans="1:7">
      <c r="A21" s="356" t="s">
        <v>1802</v>
      </c>
      <c r="B21" s="357" t="s">
        <v>1803</v>
      </c>
      <c r="C21" s="358" t="s">
        <v>116</v>
      </c>
      <c r="D21" s="358" t="s">
        <v>116</v>
      </c>
      <c r="E21" s="358" t="s">
        <v>116</v>
      </c>
      <c r="F21" s="358" t="s">
        <v>116</v>
      </c>
      <c r="G21" s="358" t="s">
        <v>116</v>
      </c>
    </row>
    <row r="22" spans="1:7">
      <c r="A22" s="356" t="s">
        <v>1804</v>
      </c>
      <c r="B22" s="357" t="s">
        <v>1805</v>
      </c>
      <c r="C22" s="358" t="s">
        <v>116</v>
      </c>
      <c r="D22" s="358" t="s">
        <v>116</v>
      </c>
      <c r="E22" s="358" t="s">
        <v>116</v>
      </c>
      <c r="F22" s="358" t="s">
        <v>116</v>
      </c>
      <c r="G22" s="358" t="s">
        <v>116</v>
      </c>
    </row>
    <row r="23" spans="1:7">
      <c r="A23" s="356" t="s">
        <v>1806</v>
      </c>
      <c r="B23" s="357" t="s">
        <v>1807</v>
      </c>
      <c r="C23" s="358" t="s">
        <v>116</v>
      </c>
      <c r="D23" s="358" t="s">
        <v>116</v>
      </c>
      <c r="E23" s="358" t="s">
        <v>116</v>
      </c>
      <c r="F23" s="358" t="s">
        <v>116</v>
      </c>
      <c r="G23" s="358" t="s">
        <v>116</v>
      </c>
    </row>
    <row r="24" spans="1:7">
      <c r="A24" s="356" t="s">
        <v>1808</v>
      </c>
      <c r="B24" s="357" t="s">
        <v>1370</v>
      </c>
      <c r="C24" s="358" t="s">
        <v>116</v>
      </c>
      <c r="D24" s="358" t="s">
        <v>116</v>
      </c>
      <c r="E24" s="358" t="s">
        <v>115</v>
      </c>
      <c r="F24" s="358" t="s">
        <v>115</v>
      </c>
      <c r="G24" s="358" t="s">
        <v>115</v>
      </c>
    </row>
    <row r="25" spans="1:7">
      <c r="A25" s="356" t="s">
        <v>1809</v>
      </c>
      <c r="B25" s="357" t="s">
        <v>1810</v>
      </c>
      <c r="C25" s="358" t="s">
        <v>116</v>
      </c>
      <c r="D25" s="358" t="s">
        <v>116</v>
      </c>
      <c r="E25" s="358" t="s">
        <v>116</v>
      </c>
      <c r="F25" s="358" t="s">
        <v>116</v>
      </c>
      <c r="G25" s="358" t="s">
        <v>116</v>
      </c>
    </row>
    <row r="26" spans="1:7">
      <c r="A26" s="356" t="s">
        <v>1811</v>
      </c>
      <c r="B26" s="357" t="s">
        <v>1812</v>
      </c>
      <c r="C26" s="358" t="s">
        <v>116</v>
      </c>
      <c r="D26" s="358" t="s">
        <v>116</v>
      </c>
      <c r="E26" s="358" t="s">
        <v>116</v>
      </c>
      <c r="F26" s="358" t="s">
        <v>115</v>
      </c>
      <c r="G26" s="358" t="s">
        <v>115</v>
      </c>
    </row>
    <row r="27" spans="1:7">
      <c r="A27" s="356" t="s">
        <v>1813</v>
      </c>
      <c r="B27" s="357" t="s">
        <v>1814</v>
      </c>
      <c r="C27" s="358" t="s">
        <v>116</v>
      </c>
      <c r="D27" s="358" t="s">
        <v>116</v>
      </c>
      <c r="E27" s="358" t="s">
        <v>116</v>
      </c>
      <c r="F27" s="358" t="s">
        <v>116</v>
      </c>
      <c r="G27" s="358" t="s">
        <v>116</v>
      </c>
    </row>
    <row r="28" spans="1:7" ht="28.8">
      <c r="A28" s="356" t="s">
        <v>1815</v>
      </c>
      <c r="B28" s="357" t="s">
        <v>1816</v>
      </c>
      <c r="C28" s="358" t="s">
        <v>116</v>
      </c>
      <c r="D28" s="358" t="s">
        <v>116</v>
      </c>
      <c r="E28" s="358" t="s">
        <v>116</v>
      </c>
      <c r="F28" s="358" t="s">
        <v>116</v>
      </c>
      <c r="G28" s="358" t="s">
        <v>116</v>
      </c>
    </row>
    <row r="29" spans="1:7">
      <c r="A29" s="356" t="s">
        <v>1817</v>
      </c>
      <c r="B29" s="357" t="s">
        <v>1818</v>
      </c>
      <c r="C29" s="358" t="s">
        <v>116</v>
      </c>
      <c r="D29" s="358" t="s">
        <v>116</v>
      </c>
      <c r="E29" s="358" t="s">
        <v>116</v>
      </c>
      <c r="F29" s="358" t="s">
        <v>116</v>
      </c>
      <c r="G29" s="358" t="s">
        <v>116</v>
      </c>
    </row>
    <row r="30" spans="1:7">
      <c r="A30" s="356" t="s">
        <v>1819</v>
      </c>
      <c r="B30" s="357" t="s">
        <v>1820</v>
      </c>
      <c r="C30" s="358" t="s">
        <v>116</v>
      </c>
      <c r="D30" s="358" t="s">
        <v>116</v>
      </c>
      <c r="E30" s="358" t="s">
        <v>116</v>
      </c>
      <c r="F30" s="358" t="s">
        <v>116</v>
      </c>
      <c r="G30" s="358" t="s">
        <v>116</v>
      </c>
    </row>
    <row r="31" spans="1:7">
      <c r="A31" s="356" t="s">
        <v>1821</v>
      </c>
      <c r="B31" s="357" t="s">
        <v>1822</v>
      </c>
      <c r="C31" s="358" t="s">
        <v>116</v>
      </c>
      <c r="D31" s="358" t="s">
        <v>116</v>
      </c>
      <c r="E31" s="358" t="s">
        <v>116</v>
      </c>
      <c r="F31" s="358" t="s">
        <v>116</v>
      </c>
      <c r="G31" s="358" t="s">
        <v>116</v>
      </c>
    </row>
    <row r="32" spans="1:7" ht="28.8">
      <c r="A32" s="356" t="s">
        <v>1823</v>
      </c>
      <c r="B32" s="357" t="s">
        <v>1824</v>
      </c>
      <c r="C32" s="358" t="s">
        <v>116</v>
      </c>
      <c r="D32" s="358" t="s">
        <v>116</v>
      </c>
      <c r="E32" s="358" t="s">
        <v>116</v>
      </c>
      <c r="F32" s="358" t="s">
        <v>116</v>
      </c>
      <c r="G32" s="358" t="s">
        <v>116</v>
      </c>
    </row>
    <row r="33" spans="1:7">
      <c r="A33" s="356" t="s">
        <v>1825</v>
      </c>
      <c r="B33" s="357" t="s">
        <v>1826</v>
      </c>
      <c r="C33" s="358" t="s">
        <v>116</v>
      </c>
      <c r="D33" s="358" t="s">
        <v>116</v>
      </c>
      <c r="E33" s="358" t="s">
        <v>116</v>
      </c>
      <c r="F33" s="358" t="s">
        <v>116</v>
      </c>
      <c r="G33" s="358" t="s">
        <v>116</v>
      </c>
    </row>
    <row r="34" spans="1:7">
      <c r="A34" s="356" t="s">
        <v>1827</v>
      </c>
      <c r="B34" s="357" t="s">
        <v>1828</v>
      </c>
      <c r="C34" s="358" t="s">
        <v>116</v>
      </c>
      <c r="D34" s="358" t="s">
        <v>116</v>
      </c>
      <c r="E34" s="358" t="s">
        <v>116</v>
      </c>
      <c r="F34" s="358" t="s">
        <v>116</v>
      </c>
      <c r="G34" s="358" t="s">
        <v>116</v>
      </c>
    </row>
    <row r="35" spans="1:7">
      <c r="A35" s="356" t="s">
        <v>1829</v>
      </c>
      <c r="B35" s="357" t="s">
        <v>1830</v>
      </c>
      <c r="C35" s="358" t="s">
        <v>116</v>
      </c>
      <c r="D35" s="358" t="s">
        <v>116</v>
      </c>
      <c r="E35" s="358" t="s">
        <v>116</v>
      </c>
      <c r="F35" s="358" t="s">
        <v>116</v>
      </c>
      <c r="G35" s="358" t="s">
        <v>116</v>
      </c>
    </row>
    <row r="36" spans="1:7">
      <c r="A36" s="356" t="s">
        <v>1831</v>
      </c>
      <c r="B36" s="357" t="s">
        <v>1832</v>
      </c>
      <c r="C36" s="358" t="s">
        <v>116</v>
      </c>
      <c r="D36" s="358" t="s">
        <v>116</v>
      </c>
      <c r="E36" s="358" t="s">
        <v>115</v>
      </c>
      <c r="F36" s="358" t="s">
        <v>115</v>
      </c>
      <c r="G36" s="358" t="s">
        <v>115</v>
      </c>
    </row>
    <row r="37" spans="1:7">
      <c r="A37" s="356" t="s">
        <v>1833</v>
      </c>
      <c r="B37" s="357" t="s">
        <v>1834</v>
      </c>
      <c r="C37" s="358" t="s">
        <v>116</v>
      </c>
      <c r="D37" s="358" t="s">
        <v>116</v>
      </c>
      <c r="E37" s="358" t="s">
        <v>116</v>
      </c>
      <c r="F37" s="358" t="s">
        <v>116</v>
      </c>
      <c r="G37" s="358" t="s">
        <v>116</v>
      </c>
    </row>
    <row r="38" spans="1:7">
      <c r="A38" s="356" t="s">
        <v>1835</v>
      </c>
      <c r="B38" s="357" t="s">
        <v>1037</v>
      </c>
      <c r="C38" s="358" t="s">
        <v>116</v>
      </c>
      <c r="D38" s="358" t="s">
        <v>116</v>
      </c>
      <c r="E38" s="358" t="s">
        <v>115</v>
      </c>
      <c r="F38" s="358" t="s">
        <v>115</v>
      </c>
      <c r="G38" s="358" t="s">
        <v>115</v>
      </c>
    </row>
    <row r="39" spans="1:7">
      <c r="A39" s="356" t="s">
        <v>1836</v>
      </c>
      <c r="B39" s="357" t="s">
        <v>1837</v>
      </c>
      <c r="C39" s="358" t="s">
        <v>115</v>
      </c>
      <c r="D39" s="358" t="s">
        <v>116</v>
      </c>
      <c r="E39" s="358" t="s">
        <v>115</v>
      </c>
      <c r="F39" s="358" t="s">
        <v>115</v>
      </c>
      <c r="G39" s="358" t="s">
        <v>115</v>
      </c>
    </row>
    <row r="40" spans="1:7">
      <c r="A40" s="356" t="s">
        <v>1838</v>
      </c>
      <c r="B40" s="357" t="s">
        <v>1839</v>
      </c>
      <c r="C40" s="358" t="s">
        <v>115</v>
      </c>
      <c r="D40" s="358" t="s">
        <v>116</v>
      </c>
      <c r="E40" s="358" t="s">
        <v>115</v>
      </c>
      <c r="F40" s="358" t="s">
        <v>115</v>
      </c>
      <c r="G40" s="358" t="s">
        <v>115</v>
      </c>
    </row>
    <row r="41" spans="1:7">
      <c r="A41" s="356" t="s">
        <v>1840</v>
      </c>
      <c r="B41" s="357" t="s">
        <v>1841</v>
      </c>
      <c r="C41" s="358" t="s">
        <v>115</v>
      </c>
      <c r="D41" s="358" t="s">
        <v>116</v>
      </c>
      <c r="E41" s="358" t="s">
        <v>115</v>
      </c>
      <c r="F41" s="358" t="s">
        <v>115</v>
      </c>
      <c r="G41" s="358" t="s">
        <v>115</v>
      </c>
    </row>
    <row r="42" spans="1:7">
      <c r="A42" s="356" t="s">
        <v>1842</v>
      </c>
      <c r="B42" s="357" t="s">
        <v>1843</v>
      </c>
      <c r="C42" s="358" t="s">
        <v>116</v>
      </c>
      <c r="D42" s="358" t="s">
        <v>116</v>
      </c>
      <c r="E42" s="358" t="s">
        <v>115</v>
      </c>
      <c r="F42" s="358" t="s">
        <v>115</v>
      </c>
      <c r="G42" s="358" t="s">
        <v>115</v>
      </c>
    </row>
    <row r="43" spans="1:7">
      <c r="A43" s="356" t="s">
        <v>1844</v>
      </c>
      <c r="B43" s="357" t="s">
        <v>1277</v>
      </c>
      <c r="C43" s="358" t="s">
        <v>115</v>
      </c>
      <c r="D43" s="358" t="s">
        <v>116</v>
      </c>
      <c r="E43" s="358" t="s">
        <v>115</v>
      </c>
      <c r="F43" s="358" t="s">
        <v>115</v>
      </c>
      <c r="G43" s="358" t="s">
        <v>115</v>
      </c>
    </row>
    <row r="44" spans="1:7">
      <c r="A44" s="356" t="s">
        <v>1845</v>
      </c>
      <c r="B44" s="357" t="s">
        <v>1846</v>
      </c>
      <c r="C44" s="358" t="s">
        <v>116</v>
      </c>
      <c r="D44" s="358" t="s">
        <v>116</v>
      </c>
      <c r="E44" s="358" t="s">
        <v>115</v>
      </c>
      <c r="F44" s="358" t="s">
        <v>115</v>
      </c>
      <c r="G44" s="358" t="s">
        <v>115</v>
      </c>
    </row>
    <row r="45" spans="1:7">
      <c r="A45" s="356" t="s">
        <v>1845</v>
      </c>
      <c r="B45" s="357" t="s">
        <v>1455</v>
      </c>
      <c r="C45" s="358" t="s">
        <v>116</v>
      </c>
      <c r="D45" s="358" t="s">
        <v>116</v>
      </c>
      <c r="E45" s="358" t="s">
        <v>115</v>
      </c>
      <c r="F45" s="358" t="s">
        <v>115</v>
      </c>
      <c r="G45" s="358" t="s">
        <v>115</v>
      </c>
    </row>
    <row r="46" spans="1:7">
      <c r="A46" s="356" t="s">
        <v>1847</v>
      </c>
      <c r="B46" s="357" t="s">
        <v>1456</v>
      </c>
      <c r="C46" s="358" t="s">
        <v>115</v>
      </c>
      <c r="D46" s="358" t="s">
        <v>116</v>
      </c>
      <c r="E46" s="358" t="s">
        <v>115</v>
      </c>
      <c r="F46" s="358" t="s">
        <v>115</v>
      </c>
      <c r="G46" s="358" t="s">
        <v>115</v>
      </c>
    </row>
    <row r="47" spans="1:7">
      <c r="A47" s="356" t="s">
        <v>1848</v>
      </c>
      <c r="B47" s="357" t="s">
        <v>1849</v>
      </c>
      <c r="C47" s="358" t="s">
        <v>116</v>
      </c>
      <c r="D47" s="358" t="s">
        <v>116</v>
      </c>
      <c r="E47" s="358" t="s">
        <v>115</v>
      </c>
      <c r="F47" s="358" t="s">
        <v>116</v>
      </c>
      <c r="G47" s="358" t="s">
        <v>115</v>
      </c>
    </row>
    <row r="48" spans="1:7">
      <c r="A48" s="356" t="s">
        <v>1850</v>
      </c>
      <c r="B48" s="357" t="s">
        <v>1851</v>
      </c>
      <c r="C48" s="358" t="s">
        <v>115</v>
      </c>
      <c r="D48" s="358" t="s">
        <v>116</v>
      </c>
      <c r="E48" s="358" t="s">
        <v>115</v>
      </c>
      <c r="F48" s="358" t="s">
        <v>115</v>
      </c>
      <c r="G48" s="358" t="s">
        <v>115</v>
      </c>
    </row>
    <row r="49" spans="1:7">
      <c r="A49" s="356" t="s">
        <v>1852</v>
      </c>
      <c r="B49" s="357" t="s">
        <v>1853</v>
      </c>
      <c r="C49" s="358" t="s">
        <v>116</v>
      </c>
      <c r="D49" s="358" t="s">
        <v>116</v>
      </c>
      <c r="E49" s="358" t="s">
        <v>116</v>
      </c>
      <c r="F49" s="358" t="s">
        <v>116</v>
      </c>
      <c r="G49" s="358" t="s">
        <v>116</v>
      </c>
    </row>
    <row r="50" spans="1:7">
      <c r="A50" s="356" t="s">
        <v>1854</v>
      </c>
      <c r="B50" s="357" t="s">
        <v>1855</v>
      </c>
      <c r="C50" s="358" t="s">
        <v>116</v>
      </c>
      <c r="D50" s="358" t="s">
        <v>116</v>
      </c>
      <c r="E50" s="358" t="s">
        <v>116</v>
      </c>
      <c r="F50" s="358" t="s">
        <v>116</v>
      </c>
      <c r="G50" s="358" t="s">
        <v>116</v>
      </c>
    </row>
    <row r="51" spans="1:7">
      <c r="A51" s="356" t="s">
        <v>1856</v>
      </c>
      <c r="B51" s="357" t="s">
        <v>1857</v>
      </c>
      <c r="C51" s="358" t="s">
        <v>116</v>
      </c>
      <c r="D51" s="358" t="s">
        <v>116</v>
      </c>
      <c r="E51" s="358" t="s">
        <v>116</v>
      </c>
      <c r="F51" s="358" t="s">
        <v>116</v>
      </c>
      <c r="G51" s="358" t="s">
        <v>116</v>
      </c>
    </row>
    <row r="52" spans="1:7">
      <c r="A52" s="356" t="s">
        <v>1858</v>
      </c>
      <c r="B52" s="357" t="s">
        <v>1859</v>
      </c>
      <c r="C52" s="358" t="s">
        <v>115</v>
      </c>
      <c r="D52" s="358" t="s">
        <v>116</v>
      </c>
      <c r="E52" s="358" t="s">
        <v>115</v>
      </c>
      <c r="F52" s="358" t="s">
        <v>115</v>
      </c>
      <c r="G52" s="358" t="s">
        <v>115</v>
      </c>
    </row>
    <row r="53" spans="1:7">
      <c r="A53" s="356" t="s">
        <v>1860</v>
      </c>
      <c r="B53" s="357" t="s">
        <v>1861</v>
      </c>
      <c r="C53" s="358" t="s">
        <v>116</v>
      </c>
      <c r="D53" s="358" t="s">
        <v>116</v>
      </c>
      <c r="E53" s="358" t="s">
        <v>116</v>
      </c>
      <c r="F53" s="358" t="s">
        <v>116</v>
      </c>
      <c r="G53" s="358" t="s">
        <v>116</v>
      </c>
    </row>
    <row r="54" spans="1:7">
      <c r="A54" s="356" t="s">
        <v>1862</v>
      </c>
      <c r="B54" s="357" t="s">
        <v>797</v>
      </c>
      <c r="C54" s="358" t="s">
        <v>116</v>
      </c>
      <c r="D54" s="358" t="s">
        <v>116</v>
      </c>
      <c r="E54" s="358" t="s">
        <v>115</v>
      </c>
      <c r="F54" s="358" t="s">
        <v>115</v>
      </c>
      <c r="G54" s="358" t="s">
        <v>115</v>
      </c>
    </row>
    <row r="55" spans="1:7">
      <c r="A55" s="356" t="s">
        <v>1863</v>
      </c>
      <c r="B55" s="357" t="s">
        <v>1864</v>
      </c>
      <c r="C55" s="358" t="s">
        <v>116</v>
      </c>
      <c r="D55" s="358" t="s">
        <v>116</v>
      </c>
      <c r="E55" s="358" t="s">
        <v>116</v>
      </c>
      <c r="F55" s="358" t="s">
        <v>116</v>
      </c>
      <c r="G55" s="358" t="s">
        <v>115</v>
      </c>
    </row>
    <row r="56" spans="1:7">
      <c r="A56" s="356" t="s">
        <v>1865</v>
      </c>
      <c r="B56" s="357" t="s">
        <v>1866</v>
      </c>
      <c r="C56" s="358" t="s">
        <v>116</v>
      </c>
      <c r="D56" s="358" t="s">
        <v>116</v>
      </c>
      <c r="E56" s="358" t="s">
        <v>115</v>
      </c>
      <c r="F56" s="358" t="s">
        <v>115</v>
      </c>
      <c r="G56" s="358" t="s">
        <v>115</v>
      </c>
    </row>
    <row r="57" spans="1:7">
      <c r="A57" s="356" t="s">
        <v>1867</v>
      </c>
      <c r="B57" s="357" t="s">
        <v>1868</v>
      </c>
      <c r="C57" s="358" t="s">
        <v>116</v>
      </c>
      <c r="D57" s="358" t="s">
        <v>116</v>
      </c>
      <c r="E57" s="358" t="s">
        <v>116</v>
      </c>
      <c r="F57" s="358" t="s">
        <v>116</v>
      </c>
      <c r="G57" s="358" t="s">
        <v>116</v>
      </c>
    </row>
    <row r="58" spans="1:7">
      <c r="A58" s="356" t="s">
        <v>1867</v>
      </c>
      <c r="B58" s="357" t="s">
        <v>1869</v>
      </c>
      <c r="C58" s="358" t="s">
        <v>116</v>
      </c>
      <c r="D58" s="358" t="s">
        <v>116</v>
      </c>
      <c r="E58" s="358" t="s">
        <v>116</v>
      </c>
      <c r="F58" s="358" t="s">
        <v>116</v>
      </c>
      <c r="G58" s="358" t="s">
        <v>116</v>
      </c>
    </row>
    <row r="59" spans="1:7">
      <c r="A59" s="356" t="s">
        <v>1870</v>
      </c>
      <c r="B59" s="357" t="s">
        <v>1871</v>
      </c>
      <c r="C59" s="358" t="s">
        <v>116</v>
      </c>
      <c r="D59" s="358" t="s">
        <v>116</v>
      </c>
      <c r="E59" s="358" t="s">
        <v>116</v>
      </c>
      <c r="F59" s="358" t="s">
        <v>116</v>
      </c>
      <c r="G59" s="358" t="s">
        <v>116</v>
      </c>
    </row>
    <row r="60" spans="1:7">
      <c r="A60" s="356" t="s">
        <v>1872</v>
      </c>
      <c r="B60" s="357" t="s">
        <v>1851</v>
      </c>
      <c r="C60" s="358" t="s">
        <v>116</v>
      </c>
      <c r="D60" s="358" t="s">
        <v>116</v>
      </c>
      <c r="E60" s="358" t="s">
        <v>116</v>
      </c>
      <c r="F60" s="358" t="s">
        <v>116</v>
      </c>
      <c r="G60" s="358" t="s">
        <v>116</v>
      </c>
    </row>
    <row r="61" spans="1:7">
      <c r="A61" s="356" t="s">
        <v>1873</v>
      </c>
      <c r="B61" s="357" t="s">
        <v>807</v>
      </c>
      <c r="C61" s="358" t="s">
        <v>115</v>
      </c>
      <c r="D61" s="358" t="s">
        <v>115</v>
      </c>
      <c r="E61" s="358" t="s">
        <v>115</v>
      </c>
      <c r="F61" s="358" t="s">
        <v>115</v>
      </c>
      <c r="G61" s="358" t="s">
        <v>115</v>
      </c>
    </row>
    <row r="62" spans="1:7">
      <c r="A62" s="356" t="s">
        <v>1874</v>
      </c>
      <c r="B62" s="357" t="s">
        <v>809</v>
      </c>
      <c r="C62" s="358" t="s">
        <v>115</v>
      </c>
      <c r="D62" s="358" t="s">
        <v>116</v>
      </c>
      <c r="E62" s="358" t="s">
        <v>115</v>
      </c>
      <c r="F62" s="358" t="s">
        <v>115</v>
      </c>
      <c r="G62" s="358" t="s">
        <v>115</v>
      </c>
    </row>
    <row r="63" spans="1:7">
      <c r="A63" s="356" t="s">
        <v>1875</v>
      </c>
      <c r="B63" s="357" t="s">
        <v>1876</v>
      </c>
      <c r="C63" s="358" t="s">
        <v>116</v>
      </c>
      <c r="D63" s="358" t="s">
        <v>116</v>
      </c>
      <c r="E63" s="358" t="s">
        <v>116</v>
      </c>
      <c r="F63" s="358" t="s">
        <v>116</v>
      </c>
      <c r="G63" s="358" t="s">
        <v>116</v>
      </c>
    </row>
    <row r="64" spans="1:7">
      <c r="A64" s="356" t="s">
        <v>1875</v>
      </c>
      <c r="B64" s="357" t="s">
        <v>1877</v>
      </c>
      <c r="C64" s="358" t="s">
        <v>116</v>
      </c>
      <c r="D64" s="358" t="s">
        <v>116</v>
      </c>
      <c r="E64" s="358" t="s">
        <v>116</v>
      </c>
      <c r="F64" s="358" t="s">
        <v>116</v>
      </c>
      <c r="G64" s="358" t="s">
        <v>116</v>
      </c>
    </row>
    <row r="65" spans="1:7">
      <c r="A65" s="356" t="s">
        <v>1878</v>
      </c>
      <c r="B65" s="357" t="s">
        <v>1476</v>
      </c>
      <c r="C65" s="358" t="s">
        <v>115</v>
      </c>
      <c r="D65" s="358" t="s">
        <v>115</v>
      </c>
      <c r="E65" s="358" t="s">
        <v>115</v>
      </c>
      <c r="F65" s="358" t="s">
        <v>115</v>
      </c>
      <c r="G65" s="358" t="s">
        <v>115</v>
      </c>
    </row>
    <row r="66" spans="1:7">
      <c r="A66" s="356" t="s">
        <v>1879</v>
      </c>
      <c r="B66" s="357" t="s">
        <v>1880</v>
      </c>
      <c r="C66" s="358" t="s">
        <v>116</v>
      </c>
      <c r="D66" s="358" t="s">
        <v>116</v>
      </c>
      <c r="E66" s="358" t="s">
        <v>116</v>
      </c>
      <c r="F66" s="358" t="s">
        <v>116</v>
      </c>
      <c r="G66" s="358" t="s">
        <v>116</v>
      </c>
    </row>
    <row r="67" spans="1:7">
      <c r="A67" s="356" t="s">
        <v>1881</v>
      </c>
      <c r="B67" s="357" t="s">
        <v>1818</v>
      </c>
      <c r="C67" s="358" t="s">
        <v>115</v>
      </c>
      <c r="D67" s="358" t="s">
        <v>116</v>
      </c>
      <c r="E67" s="358" t="s">
        <v>115</v>
      </c>
      <c r="F67" s="358" t="s">
        <v>115</v>
      </c>
      <c r="G67" s="358" t="s">
        <v>115</v>
      </c>
    </row>
    <row r="68" spans="1:7">
      <c r="A68" s="356" t="s">
        <v>1882</v>
      </c>
      <c r="B68" s="357" t="s">
        <v>1883</v>
      </c>
      <c r="C68" s="358" t="s">
        <v>116</v>
      </c>
      <c r="D68" s="358" t="s">
        <v>116</v>
      </c>
      <c r="E68" s="358" t="s">
        <v>115</v>
      </c>
      <c r="F68" s="358" t="s">
        <v>115</v>
      </c>
      <c r="G68" s="358" t="s">
        <v>115</v>
      </c>
    </row>
    <row r="69" spans="1:7">
      <c r="A69" s="356" t="s">
        <v>1884</v>
      </c>
      <c r="B69" s="357" t="s">
        <v>123</v>
      </c>
      <c r="C69" s="358" t="s">
        <v>115</v>
      </c>
      <c r="D69" s="358" t="s">
        <v>116</v>
      </c>
      <c r="E69" s="358" t="s">
        <v>115</v>
      </c>
      <c r="F69" s="358" t="s">
        <v>115</v>
      </c>
      <c r="G69" s="358" t="s">
        <v>115</v>
      </c>
    </row>
    <row r="70" spans="1:7">
      <c r="A70" s="356" t="s">
        <v>1885</v>
      </c>
      <c r="B70" s="357" t="s">
        <v>1886</v>
      </c>
      <c r="C70" s="358" t="s">
        <v>116</v>
      </c>
      <c r="D70" s="358" t="s">
        <v>116</v>
      </c>
      <c r="E70" s="358" t="s">
        <v>115</v>
      </c>
      <c r="F70" s="358" t="s">
        <v>116</v>
      </c>
      <c r="G70" s="358" t="s">
        <v>116</v>
      </c>
    </row>
    <row r="71" spans="1:7">
      <c r="A71" s="356" t="s">
        <v>1887</v>
      </c>
      <c r="B71" s="357" t="s">
        <v>1888</v>
      </c>
      <c r="C71" s="358" t="s">
        <v>116</v>
      </c>
      <c r="D71" s="358" t="s">
        <v>116</v>
      </c>
      <c r="E71" s="358" t="s">
        <v>115</v>
      </c>
      <c r="F71" s="358" t="s">
        <v>115</v>
      </c>
      <c r="G71" s="358" t="s">
        <v>115</v>
      </c>
    </row>
    <row r="72" spans="1:7">
      <c r="A72" s="356" t="s">
        <v>1889</v>
      </c>
      <c r="B72" s="357" t="s">
        <v>1890</v>
      </c>
      <c r="C72" s="358" t="s">
        <v>115</v>
      </c>
      <c r="D72" s="358" t="s">
        <v>116</v>
      </c>
      <c r="E72" s="358" t="s">
        <v>115</v>
      </c>
      <c r="F72" s="358" t="s">
        <v>115</v>
      </c>
      <c r="G72" s="358" t="s">
        <v>115</v>
      </c>
    </row>
    <row r="73" spans="1:7">
      <c r="A73" s="356" t="s">
        <v>1891</v>
      </c>
      <c r="B73" s="357" t="s">
        <v>1892</v>
      </c>
      <c r="C73" s="358" t="s">
        <v>116</v>
      </c>
      <c r="D73" s="358" t="s">
        <v>116</v>
      </c>
      <c r="E73" s="358" t="s">
        <v>115</v>
      </c>
      <c r="F73" s="358" t="s">
        <v>115</v>
      </c>
      <c r="G73" s="358" t="s">
        <v>115</v>
      </c>
    </row>
    <row r="74" spans="1:7">
      <c r="A74" s="356" t="s">
        <v>1893</v>
      </c>
      <c r="B74" s="357" t="s">
        <v>1894</v>
      </c>
      <c r="C74" s="358" t="s">
        <v>116</v>
      </c>
      <c r="D74" s="358" t="s">
        <v>116</v>
      </c>
      <c r="E74" s="358" t="s">
        <v>116</v>
      </c>
      <c r="F74" s="358" t="s">
        <v>116</v>
      </c>
      <c r="G74" s="358" t="s">
        <v>116</v>
      </c>
    </row>
    <row r="75" spans="1:7" ht="28.8">
      <c r="A75" s="356" t="s">
        <v>1895</v>
      </c>
      <c r="B75" s="357" t="s">
        <v>1896</v>
      </c>
      <c r="C75" s="358" t="s">
        <v>116</v>
      </c>
      <c r="D75" s="358" t="s">
        <v>116</v>
      </c>
      <c r="E75" s="358" t="s">
        <v>116</v>
      </c>
      <c r="F75" s="358" t="s">
        <v>116</v>
      </c>
      <c r="G75" s="358" t="s">
        <v>116</v>
      </c>
    </row>
    <row r="76" spans="1:7">
      <c r="A76" s="356" t="s">
        <v>1897</v>
      </c>
      <c r="B76" s="357" t="s">
        <v>1898</v>
      </c>
      <c r="C76" s="358" t="s">
        <v>116</v>
      </c>
      <c r="D76" s="358" t="s">
        <v>116</v>
      </c>
      <c r="E76" s="358" t="s">
        <v>115</v>
      </c>
      <c r="F76" s="358" t="s">
        <v>115</v>
      </c>
      <c r="G76" s="358" t="s">
        <v>115</v>
      </c>
    </row>
    <row r="77" spans="1:7">
      <c r="A77" s="356" t="s">
        <v>1899</v>
      </c>
      <c r="B77" s="357" t="s">
        <v>1900</v>
      </c>
      <c r="C77" s="358" t="s">
        <v>116</v>
      </c>
      <c r="D77" s="358" t="s">
        <v>116</v>
      </c>
      <c r="E77" s="358" t="s">
        <v>116</v>
      </c>
      <c r="F77" s="358" t="s">
        <v>116</v>
      </c>
      <c r="G77" s="358" t="s">
        <v>116</v>
      </c>
    </row>
    <row r="78" spans="1:7">
      <c r="A78" s="356" t="s">
        <v>1901</v>
      </c>
      <c r="B78" s="357" t="s">
        <v>1422</v>
      </c>
      <c r="C78" s="358" t="s">
        <v>115</v>
      </c>
      <c r="D78" s="358" t="s">
        <v>116</v>
      </c>
      <c r="E78" s="358" t="s">
        <v>115</v>
      </c>
      <c r="F78" s="358" t="s">
        <v>115</v>
      </c>
      <c r="G78" s="358" t="s">
        <v>115</v>
      </c>
    </row>
    <row r="79" spans="1:7">
      <c r="A79" s="356" t="s">
        <v>1902</v>
      </c>
      <c r="B79" s="357" t="s">
        <v>1903</v>
      </c>
      <c r="C79" s="358" t="s">
        <v>116</v>
      </c>
      <c r="D79" s="358" t="s">
        <v>116</v>
      </c>
      <c r="E79" s="358" t="s">
        <v>116</v>
      </c>
      <c r="F79" s="358" t="s">
        <v>116</v>
      </c>
      <c r="G79" s="358" t="s">
        <v>116</v>
      </c>
    </row>
    <row r="80" spans="1:7">
      <c r="A80" s="356" t="s">
        <v>1904</v>
      </c>
      <c r="B80" s="357" t="s">
        <v>1905</v>
      </c>
      <c r="C80" s="358" t="s">
        <v>115</v>
      </c>
      <c r="D80" s="358" t="s">
        <v>116</v>
      </c>
      <c r="E80" s="358" t="s">
        <v>115</v>
      </c>
      <c r="F80" s="358" t="s">
        <v>115</v>
      </c>
      <c r="G80" s="358" t="s">
        <v>115</v>
      </c>
    </row>
    <row r="81" spans="1:7">
      <c r="A81" s="356" t="s">
        <v>1906</v>
      </c>
      <c r="B81" s="357" t="s">
        <v>1907</v>
      </c>
      <c r="C81" s="358" t="s">
        <v>116</v>
      </c>
      <c r="D81" s="358" t="s">
        <v>116</v>
      </c>
      <c r="E81" s="358" t="s">
        <v>116</v>
      </c>
      <c r="F81" s="358" t="s">
        <v>116</v>
      </c>
      <c r="G81" s="358" t="s">
        <v>116</v>
      </c>
    </row>
    <row r="82" spans="1:7">
      <c r="A82" s="356" t="s">
        <v>1908</v>
      </c>
      <c r="B82" s="357" t="s">
        <v>25</v>
      </c>
      <c r="C82" s="358" t="s">
        <v>115</v>
      </c>
      <c r="D82" s="358" t="s">
        <v>116</v>
      </c>
      <c r="E82" s="358" t="s">
        <v>115</v>
      </c>
      <c r="F82" s="358" t="s">
        <v>115</v>
      </c>
      <c r="G82" s="358" t="s">
        <v>115</v>
      </c>
    </row>
    <row r="83" spans="1:7">
      <c r="A83" s="356" t="s">
        <v>1909</v>
      </c>
      <c r="B83" s="357" t="s">
        <v>1910</v>
      </c>
      <c r="C83" s="358" t="s">
        <v>116</v>
      </c>
      <c r="D83" s="358" t="s">
        <v>116</v>
      </c>
      <c r="E83" s="358" t="s">
        <v>116</v>
      </c>
      <c r="F83" s="358" t="s">
        <v>116</v>
      </c>
      <c r="G83" s="358" t="s">
        <v>116</v>
      </c>
    </row>
    <row r="84" spans="1:7">
      <c r="A84" s="356" t="s">
        <v>1911</v>
      </c>
      <c r="B84" s="357" t="s">
        <v>1912</v>
      </c>
      <c r="C84" s="358" t="s">
        <v>116</v>
      </c>
      <c r="D84" s="358" t="s">
        <v>116</v>
      </c>
      <c r="E84" s="358" t="s">
        <v>116</v>
      </c>
      <c r="F84" s="358" t="s">
        <v>116</v>
      </c>
      <c r="G84" s="358" t="s">
        <v>116</v>
      </c>
    </row>
    <row r="85" spans="1:7">
      <c r="A85" s="356" t="s">
        <v>1913</v>
      </c>
      <c r="B85" s="357" t="s">
        <v>1846</v>
      </c>
      <c r="C85" s="358" t="s">
        <v>116</v>
      </c>
      <c r="D85" s="358" t="s">
        <v>116</v>
      </c>
      <c r="E85" s="358" t="s">
        <v>115</v>
      </c>
      <c r="F85" s="358" t="s">
        <v>115</v>
      </c>
      <c r="G85" s="358" t="s">
        <v>115</v>
      </c>
    </row>
    <row r="86" spans="1:7">
      <c r="A86" s="356" t="s">
        <v>1914</v>
      </c>
      <c r="B86" s="357" t="s">
        <v>844</v>
      </c>
      <c r="C86" s="358" t="s">
        <v>116</v>
      </c>
      <c r="D86" s="358" t="s">
        <v>116</v>
      </c>
      <c r="E86" s="358" t="s">
        <v>115</v>
      </c>
      <c r="F86" s="358" t="s">
        <v>115</v>
      </c>
      <c r="G86" s="358" t="s">
        <v>115</v>
      </c>
    </row>
    <row r="87" spans="1:7">
      <c r="A87" s="356" t="s">
        <v>1915</v>
      </c>
      <c r="B87" s="357" t="s">
        <v>1916</v>
      </c>
      <c r="C87" s="358" t="s">
        <v>116</v>
      </c>
      <c r="D87" s="358" t="s">
        <v>116</v>
      </c>
      <c r="E87" s="358" t="s">
        <v>115</v>
      </c>
      <c r="F87" s="358" t="s">
        <v>115</v>
      </c>
      <c r="G87" s="358" t="s">
        <v>115</v>
      </c>
    </row>
    <row r="88" spans="1:7">
      <c r="A88" s="356" t="s">
        <v>1917</v>
      </c>
      <c r="B88" s="357" t="s">
        <v>1918</v>
      </c>
      <c r="C88" s="358" t="s">
        <v>115</v>
      </c>
      <c r="D88" s="358" t="s">
        <v>116</v>
      </c>
      <c r="E88" s="358" t="s">
        <v>115</v>
      </c>
      <c r="F88" s="358" t="s">
        <v>115</v>
      </c>
      <c r="G88" s="358" t="s">
        <v>115</v>
      </c>
    </row>
    <row r="89" spans="1:7">
      <c r="A89" s="356" t="s">
        <v>1919</v>
      </c>
      <c r="B89" s="357" t="s">
        <v>1305</v>
      </c>
      <c r="C89" s="358" t="s">
        <v>116</v>
      </c>
      <c r="D89" s="358" t="s">
        <v>116</v>
      </c>
      <c r="E89" s="358" t="s">
        <v>115</v>
      </c>
      <c r="F89" s="358" t="s">
        <v>115</v>
      </c>
      <c r="G89" s="358" t="s">
        <v>115</v>
      </c>
    </row>
    <row r="90" spans="1:7">
      <c r="A90" s="356" t="s">
        <v>1920</v>
      </c>
      <c r="B90" s="357" t="s">
        <v>1921</v>
      </c>
      <c r="C90" s="358" t="s">
        <v>116</v>
      </c>
      <c r="D90" s="358" t="s">
        <v>116</v>
      </c>
      <c r="E90" s="358" t="s">
        <v>115</v>
      </c>
      <c r="F90" s="358" t="s">
        <v>115</v>
      </c>
      <c r="G90" s="358" t="s">
        <v>115</v>
      </c>
    </row>
    <row r="91" spans="1:7">
      <c r="A91" s="356" t="s">
        <v>1922</v>
      </c>
      <c r="B91" s="357" t="s">
        <v>1923</v>
      </c>
      <c r="C91" s="358" t="s">
        <v>116</v>
      </c>
      <c r="D91" s="358" t="s">
        <v>116</v>
      </c>
      <c r="E91" s="358" t="s">
        <v>115</v>
      </c>
      <c r="F91" s="358" t="s">
        <v>115</v>
      </c>
      <c r="G91" s="358" t="s">
        <v>115</v>
      </c>
    </row>
    <row r="92" spans="1:7">
      <c r="A92" s="356" t="s">
        <v>1924</v>
      </c>
      <c r="B92" s="357" t="s">
        <v>1332</v>
      </c>
      <c r="C92" s="358" t="s">
        <v>115</v>
      </c>
      <c r="D92" s="358" t="s">
        <v>116</v>
      </c>
      <c r="E92" s="358" t="s">
        <v>116</v>
      </c>
      <c r="F92" s="358" t="s">
        <v>115</v>
      </c>
      <c r="G92" s="358" t="s">
        <v>115</v>
      </c>
    </row>
    <row r="93" spans="1:7">
      <c r="A93" s="356" t="s">
        <v>1925</v>
      </c>
      <c r="B93" s="357" t="s">
        <v>1371</v>
      </c>
      <c r="C93" s="358" t="s">
        <v>115</v>
      </c>
      <c r="D93" s="358" t="s">
        <v>116</v>
      </c>
      <c r="E93" s="358" t="s">
        <v>115</v>
      </c>
      <c r="F93" s="358" t="s">
        <v>115</v>
      </c>
      <c r="G93" s="358" t="s">
        <v>115</v>
      </c>
    </row>
    <row r="94" spans="1:7">
      <c r="A94" s="356" t="s">
        <v>1926</v>
      </c>
      <c r="B94" s="357" t="s">
        <v>849</v>
      </c>
      <c r="C94" s="358" t="s">
        <v>116</v>
      </c>
      <c r="D94" s="358" t="s">
        <v>116</v>
      </c>
      <c r="E94" s="358" t="s">
        <v>115</v>
      </c>
      <c r="F94" s="358" t="s">
        <v>115</v>
      </c>
      <c r="G94" s="358" t="s">
        <v>115</v>
      </c>
    </row>
    <row r="95" spans="1:7">
      <c r="A95" s="356" t="s">
        <v>1926</v>
      </c>
      <c r="B95" s="357" t="s">
        <v>849</v>
      </c>
      <c r="C95" s="358" t="s">
        <v>1927</v>
      </c>
      <c r="D95" s="358" t="s">
        <v>1927</v>
      </c>
      <c r="E95" s="358" t="s">
        <v>115</v>
      </c>
      <c r="F95" s="358" t="s">
        <v>115</v>
      </c>
      <c r="G95" s="358" t="s">
        <v>115</v>
      </c>
    </row>
    <row r="96" spans="1:7">
      <c r="A96" s="356" t="s">
        <v>1928</v>
      </c>
      <c r="B96" s="357" t="s">
        <v>1929</v>
      </c>
      <c r="C96" s="358" t="s">
        <v>116</v>
      </c>
      <c r="D96" s="358" t="s">
        <v>116</v>
      </c>
      <c r="E96" s="358" t="s">
        <v>116</v>
      </c>
      <c r="F96" s="358" t="s">
        <v>116</v>
      </c>
      <c r="G96" s="358" t="s">
        <v>116</v>
      </c>
    </row>
    <row r="97" spans="1:7">
      <c r="A97" s="356" t="s">
        <v>1930</v>
      </c>
      <c r="B97" s="357" t="s">
        <v>851</v>
      </c>
      <c r="C97" s="358" t="s">
        <v>116</v>
      </c>
      <c r="D97" s="358" t="s">
        <v>116</v>
      </c>
      <c r="E97" s="358" t="s">
        <v>115</v>
      </c>
      <c r="F97" s="358" t="s">
        <v>115</v>
      </c>
      <c r="G97" s="358" t="s">
        <v>115</v>
      </c>
    </row>
    <row r="98" spans="1:7">
      <c r="A98" s="356" t="s">
        <v>1931</v>
      </c>
      <c r="B98" s="357" t="s">
        <v>1932</v>
      </c>
      <c r="C98" s="358" t="s">
        <v>116</v>
      </c>
      <c r="D98" s="358" t="s">
        <v>116</v>
      </c>
      <c r="E98" s="358" t="s">
        <v>115</v>
      </c>
      <c r="F98" s="358" t="s">
        <v>115</v>
      </c>
      <c r="G98" s="358" t="s">
        <v>115</v>
      </c>
    </row>
    <row r="99" spans="1:7">
      <c r="A99" s="356" t="s">
        <v>1933</v>
      </c>
      <c r="B99" s="357" t="s">
        <v>1934</v>
      </c>
      <c r="C99" s="358" t="s">
        <v>115</v>
      </c>
      <c r="D99" s="358" t="s">
        <v>116</v>
      </c>
      <c r="E99" s="358" t="s">
        <v>115</v>
      </c>
      <c r="F99" s="358" t="s">
        <v>115</v>
      </c>
      <c r="G99" s="358" t="s">
        <v>115</v>
      </c>
    </row>
    <row r="100" spans="1:7">
      <c r="A100" s="356" t="s">
        <v>1935</v>
      </c>
      <c r="B100" s="357" t="s">
        <v>943</v>
      </c>
      <c r="C100" s="358" t="s">
        <v>116</v>
      </c>
      <c r="D100" s="358" t="s">
        <v>116</v>
      </c>
      <c r="E100" s="358" t="s">
        <v>116</v>
      </c>
      <c r="F100" s="358" t="s">
        <v>115</v>
      </c>
      <c r="G100" s="358" t="s">
        <v>116</v>
      </c>
    </row>
    <row r="101" spans="1:7">
      <c r="A101" s="356" t="s">
        <v>1936</v>
      </c>
      <c r="B101" s="357" t="s">
        <v>1937</v>
      </c>
      <c r="C101" s="358" t="s">
        <v>116</v>
      </c>
      <c r="D101" s="358" t="s">
        <v>116</v>
      </c>
      <c r="E101" s="358" t="s">
        <v>116</v>
      </c>
      <c r="F101" s="358" t="s">
        <v>116</v>
      </c>
      <c r="G101" s="358" t="s">
        <v>116</v>
      </c>
    </row>
    <row r="102" spans="1:7">
      <c r="A102" s="356" t="s">
        <v>1938</v>
      </c>
      <c r="B102" s="357" t="s">
        <v>855</v>
      </c>
      <c r="C102" s="358" t="s">
        <v>115</v>
      </c>
      <c r="D102" s="358" t="s">
        <v>116</v>
      </c>
      <c r="E102" s="358" t="s">
        <v>115</v>
      </c>
      <c r="F102" s="358" t="s">
        <v>115</v>
      </c>
      <c r="G102" s="358" t="s">
        <v>115</v>
      </c>
    </row>
    <row r="103" spans="1:7">
      <c r="A103" s="356" t="s">
        <v>1938</v>
      </c>
      <c r="B103" s="357" t="s">
        <v>855</v>
      </c>
      <c r="C103" s="358" t="s">
        <v>115</v>
      </c>
      <c r="D103" s="358" t="s">
        <v>116</v>
      </c>
      <c r="E103" s="358" t="s">
        <v>115</v>
      </c>
      <c r="F103" s="358" t="s">
        <v>115</v>
      </c>
      <c r="G103" s="358" t="s">
        <v>115</v>
      </c>
    </row>
    <row r="104" spans="1:7">
      <c r="A104" s="356" t="s">
        <v>1939</v>
      </c>
      <c r="B104" s="357" t="s">
        <v>1940</v>
      </c>
      <c r="C104" s="358" t="s">
        <v>116</v>
      </c>
      <c r="D104" s="358" t="s">
        <v>116</v>
      </c>
      <c r="E104" s="358" t="s">
        <v>116</v>
      </c>
      <c r="F104" s="358" t="s">
        <v>116</v>
      </c>
      <c r="G104" s="358" t="s">
        <v>116</v>
      </c>
    </row>
    <row r="105" spans="1:7">
      <c r="A105" s="356" t="s">
        <v>1941</v>
      </c>
      <c r="B105" s="357" t="s">
        <v>1942</v>
      </c>
      <c r="C105" s="358" t="s">
        <v>116</v>
      </c>
      <c r="D105" s="358" t="s">
        <v>116</v>
      </c>
      <c r="E105" s="358" t="s">
        <v>116</v>
      </c>
      <c r="F105" s="358" t="s">
        <v>116</v>
      </c>
      <c r="G105" s="358" t="s">
        <v>116</v>
      </c>
    </row>
    <row r="106" spans="1:7">
      <c r="A106" s="356" t="s">
        <v>1943</v>
      </c>
      <c r="B106" s="357" t="s">
        <v>1944</v>
      </c>
      <c r="C106" s="358" t="s">
        <v>116</v>
      </c>
      <c r="D106" s="358" t="s">
        <v>116</v>
      </c>
      <c r="E106" s="358" t="s">
        <v>115</v>
      </c>
      <c r="F106" s="358" t="s">
        <v>115</v>
      </c>
      <c r="G106" s="358" t="s">
        <v>115</v>
      </c>
    </row>
    <row r="107" spans="1:7">
      <c r="A107" s="356" t="s">
        <v>1945</v>
      </c>
      <c r="B107" s="357" t="s">
        <v>1946</v>
      </c>
      <c r="C107" s="358" t="s">
        <v>116</v>
      </c>
      <c r="D107" s="358" t="s">
        <v>116</v>
      </c>
      <c r="E107" s="358" t="s">
        <v>116</v>
      </c>
      <c r="F107" s="358" t="s">
        <v>116</v>
      </c>
      <c r="G107" s="358" t="s">
        <v>116</v>
      </c>
    </row>
    <row r="108" spans="1:7">
      <c r="A108" s="356" t="s">
        <v>1945</v>
      </c>
      <c r="B108" s="357" t="s">
        <v>1946</v>
      </c>
      <c r="C108" s="358" t="s">
        <v>1947</v>
      </c>
      <c r="D108" s="358" t="s">
        <v>1947</v>
      </c>
      <c r="E108" s="358" t="s">
        <v>1947</v>
      </c>
      <c r="F108" s="358" t="s">
        <v>1947</v>
      </c>
      <c r="G108" s="358" t="s">
        <v>1947</v>
      </c>
    </row>
    <row r="109" spans="1:7">
      <c r="A109" s="356" t="s">
        <v>1948</v>
      </c>
      <c r="B109" s="357" t="s">
        <v>1949</v>
      </c>
      <c r="C109" s="358" t="s">
        <v>116</v>
      </c>
      <c r="D109" s="358" t="s">
        <v>116</v>
      </c>
      <c r="E109" s="358" t="s">
        <v>116</v>
      </c>
      <c r="F109" s="358" t="s">
        <v>116</v>
      </c>
      <c r="G109" s="358" t="s">
        <v>116</v>
      </c>
    </row>
    <row r="110" spans="1:7">
      <c r="A110" s="356" t="s">
        <v>1950</v>
      </c>
      <c r="B110" s="357" t="s">
        <v>868</v>
      </c>
      <c r="C110" s="358" t="s">
        <v>115</v>
      </c>
      <c r="D110" s="358" t="s">
        <v>116</v>
      </c>
      <c r="E110" s="358" t="s">
        <v>115</v>
      </c>
      <c r="F110" s="358" t="s">
        <v>115</v>
      </c>
      <c r="G110" s="358" t="s">
        <v>115</v>
      </c>
    </row>
    <row r="111" spans="1:7">
      <c r="A111" s="356" t="s">
        <v>1951</v>
      </c>
      <c r="B111" s="357" t="s">
        <v>870</v>
      </c>
      <c r="C111" s="358" t="s">
        <v>115</v>
      </c>
      <c r="D111" s="358" t="s">
        <v>116</v>
      </c>
      <c r="E111" s="358" t="s">
        <v>115</v>
      </c>
      <c r="F111" s="358" t="s">
        <v>115</v>
      </c>
      <c r="G111" s="358" t="s">
        <v>115</v>
      </c>
    </row>
    <row r="112" spans="1:7">
      <c r="A112" s="356" t="s">
        <v>1952</v>
      </c>
      <c r="B112" s="357" t="s">
        <v>1953</v>
      </c>
      <c r="C112" s="358" t="s">
        <v>115</v>
      </c>
      <c r="D112" s="358" t="s">
        <v>116</v>
      </c>
      <c r="E112" s="358" t="s">
        <v>115</v>
      </c>
      <c r="F112" s="358" t="s">
        <v>115</v>
      </c>
      <c r="G112" s="358" t="s">
        <v>115</v>
      </c>
    </row>
    <row r="113" spans="1:7">
      <c r="A113" s="356" t="s">
        <v>1954</v>
      </c>
      <c r="B113" s="357" t="s">
        <v>1955</v>
      </c>
      <c r="C113" s="358" t="s">
        <v>116</v>
      </c>
      <c r="D113" s="358" t="s">
        <v>116</v>
      </c>
      <c r="E113" s="358" t="s">
        <v>116</v>
      </c>
      <c r="F113" s="358" t="s">
        <v>116</v>
      </c>
      <c r="G113" s="358" t="s">
        <v>116</v>
      </c>
    </row>
    <row r="114" spans="1:7">
      <c r="A114" s="356" t="s">
        <v>1956</v>
      </c>
      <c r="B114" s="357" t="s">
        <v>872</v>
      </c>
      <c r="C114" s="358" t="s">
        <v>115</v>
      </c>
      <c r="D114" s="358" t="s">
        <v>116</v>
      </c>
      <c r="E114" s="358" t="s">
        <v>115</v>
      </c>
      <c r="F114" s="358" t="s">
        <v>115</v>
      </c>
      <c r="G114" s="358" t="s">
        <v>115</v>
      </c>
    </row>
    <row r="115" spans="1:7">
      <c r="A115" s="356" t="s">
        <v>1957</v>
      </c>
      <c r="B115" s="357" t="s">
        <v>1958</v>
      </c>
      <c r="C115" s="358" t="s">
        <v>116</v>
      </c>
      <c r="D115" s="358" t="s">
        <v>116</v>
      </c>
      <c r="E115" s="358" t="s">
        <v>115</v>
      </c>
      <c r="F115" s="358" t="s">
        <v>115</v>
      </c>
      <c r="G115" s="358" t="s">
        <v>116</v>
      </c>
    </row>
    <row r="116" spans="1:7">
      <c r="A116" s="356" t="s">
        <v>1959</v>
      </c>
      <c r="B116" s="357" t="s">
        <v>1960</v>
      </c>
      <c r="C116" s="358" t="s">
        <v>116</v>
      </c>
      <c r="D116" s="358" t="s">
        <v>116</v>
      </c>
      <c r="E116" s="358" t="s">
        <v>116</v>
      </c>
      <c r="F116" s="358" t="s">
        <v>116</v>
      </c>
      <c r="G116" s="358" t="s">
        <v>116</v>
      </c>
    </row>
    <row r="117" spans="1:7">
      <c r="A117" s="356" t="s">
        <v>1961</v>
      </c>
      <c r="B117" s="357" t="s">
        <v>1962</v>
      </c>
      <c r="C117" s="358" t="s">
        <v>116</v>
      </c>
      <c r="D117" s="358" t="s">
        <v>116</v>
      </c>
      <c r="E117" s="358" t="s">
        <v>116</v>
      </c>
      <c r="F117" s="358" t="s">
        <v>116</v>
      </c>
      <c r="G117" s="358" t="s">
        <v>116</v>
      </c>
    </row>
    <row r="118" spans="1:7">
      <c r="A118" s="356" t="s">
        <v>1963</v>
      </c>
      <c r="B118" s="357" t="s">
        <v>1496</v>
      </c>
      <c r="C118" s="358" t="s">
        <v>116</v>
      </c>
      <c r="D118" s="358" t="s">
        <v>116</v>
      </c>
      <c r="E118" s="358" t="s">
        <v>116</v>
      </c>
      <c r="F118" s="358" t="s">
        <v>116</v>
      </c>
      <c r="G118" s="358" t="s">
        <v>116</v>
      </c>
    </row>
    <row r="119" spans="1:7">
      <c r="A119" s="356" t="s">
        <v>1964</v>
      </c>
      <c r="B119" s="357" t="s">
        <v>1965</v>
      </c>
      <c r="C119" s="358" t="s">
        <v>115</v>
      </c>
      <c r="D119" s="358" t="s">
        <v>116</v>
      </c>
      <c r="E119" s="358" t="s">
        <v>115</v>
      </c>
      <c r="F119" s="358" t="s">
        <v>115</v>
      </c>
      <c r="G119" s="358" t="s">
        <v>115</v>
      </c>
    </row>
    <row r="120" spans="1:7">
      <c r="A120" s="356" t="s">
        <v>1966</v>
      </c>
      <c r="B120" s="357" t="s">
        <v>1967</v>
      </c>
      <c r="C120" s="358" t="s">
        <v>115</v>
      </c>
      <c r="D120" s="358" t="s">
        <v>116</v>
      </c>
      <c r="E120" s="358" t="s">
        <v>115</v>
      </c>
      <c r="F120" s="358" t="s">
        <v>115</v>
      </c>
      <c r="G120" s="358" t="s">
        <v>115</v>
      </c>
    </row>
    <row r="121" spans="1:7">
      <c r="A121" s="356" t="s">
        <v>1968</v>
      </c>
      <c r="B121" s="357" t="s">
        <v>1969</v>
      </c>
      <c r="C121" s="358" t="s">
        <v>115</v>
      </c>
      <c r="D121" s="358" t="s">
        <v>116</v>
      </c>
      <c r="E121" s="358" t="s">
        <v>115</v>
      </c>
      <c r="F121" s="358" t="s">
        <v>115</v>
      </c>
      <c r="G121" s="358" t="s">
        <v>115</v>
      </c>
    </row>
    <row r="122" spans="1:7">
      <c r="A122" s="356" t="s">
        <v>1970</v>
      </c>
      <c r="B122" s="357" t="s">
        <v>876</v>
      </c>
      <c r="C122" s="358" t="s">
        <v>115</v>
      </c>
      <c r="D122" s="358" t="s">
        <v>116</v>
      </c>
      <c r="E122" s="358" t="s">
        <v>115</v>
      </c>
      <c r="F122" s="358" t="s">
        <v>115</v>
      </c>
      <c r="G122" s="358" t="s">
        <v>115</v>
      </c>
    </row>
    <row r="123" spans="1:7">
      <c r="A123" s="356" t="s">
        <v>1971</v>
      </c>
      <c r="B123" s="357" t="s">
        <v>855</v>
      </c>
      <c r="C123" s="358" t="s">
        <v>115</v>
      </c>
      <c r="D123" s="358" t="s">
        <v>115</v>
      </c>
      <c r="E123" s="358" t="s">
        <v>115</v>
      </c>
      <c r="F123" s="358" t="s">
        <v>115</v>
      </c>
      <c r="G123" s="358" t="s">
        <v>115</v>
      </c>
    </row>
    <row r="124" spans="1:7">
      <c r="A124" s="356" t="s">
        <v>1972</v>
      </c>
      <c r="B124" s="357" t="s">
        <v>1973</v>
      </c>
      <c r="C124" s="358" t="s">
        <v>116</v>
      </c>
      <c r="D124" s="358" t="s">
        <v>116</v>
      </c>
      <c r="E124" s="358" t="s">
        <v>116</v>
      </c>
      <c r="F124" s="358" t="s">
        <v>116</v>
      </c>
      <c r="G124" s="358" t="s">
        <v>116</v>
      </c>
    </row>
    <row r="125" spans="1:7">
      <c r="A125" s="356" t="s">
        <v>1974</v>
      </c>
      <c r="B125" s="357" t="s">
        <v>1975</v>
      </c>
      <c r="C125" s="358" t="s">
        <v>116</v>
      </c>
      <c r="D125" s="358" t="s">
        <v>116</v>
      </c>
      <c r="E125" s="358" t="s">
        <v>116</v>
      </c>
      <c r="F125" s="358" t="s">
        <v>116</v>
      </c>
      <c r="G125" s="358" t="s">
        <v>116</v>
      </c>
    </row>
    <row r="126" spans="1:7">
      <c r="A126" s="356" t="s">
        <v>1976</v>
      </c>
      <c r="B126" s="357" t="s">
        <v>1344</v>
      </c>
      <c r="C126" s="358" t="s">
        <v>115</v>
      </c>
      <c r="D126" s="358" t="s">
        <v>116</v>
      </c>
      <c r="E126" s="358" t="s">
        <v>115</v>
      </c>
      <c r="F126" s="358" t="s">
        <v>115</v>
      </c>
      <c r="G126" s="358" t="s">
        <v>115</v>
      </c>
    </row>
    <row r="127" spans="1:7">
      <c r="A127" s="356" t="s">
        <v>1977</v>
      </c>
      <c r="B127" s="357" t="s">
        <v>1978</v>
      </c>
      <c r="C127" s="358" t="s">
        <v>116</v>
      </c>
      <c r="D127" s="358" t="s">
        <v>116</v>
      </c>
      <c r="E127" s="358" t="s">
        <v>116</v>
      </c>
      <c r="F127" s="358" t="s">
        <v>116</v>
      </c>
      <c r="G127" s="358" t="s">
        <v>116</v>
      </c>
    </row>
    <row r="128" spans="1:7">
      <c r="A128" s="356" t="s">
        <v>1979</v>
      </c>
      <c r="B128" s="357" t="s">
        <v>1531</v>
      </c>
      <c r="C128" s="358" t="s">
        <v>115</v>
      </c>
      <c r="D128" s="358" t="s">
        <v>116</v>
      </c>
      <c r="E128" s="358" t="s">
        <v>115</v>
      </c>
      <c r="F128" s="358" t="s">
        <v>115</v>
      </c>
      <c r="G128" s="358" t="s">
        <v>115</v>
      </c>
    </row>
    <row r="129" spans="1:7" ht="28.8">
      <c r="A129" s="356" t="s">
        <v>1980</v>
      </c>
      <c r="B129" s="357" t="s">
        <v>1981</v>
      </c>
      <c r="C129" s="358" t="s">
        <v>116</v>
      </c>
      <c r="D129" s="358" t="s">
        <v>116</v>
      </c>
      <c r="E129" s="358" t="s">
        <v>115</v>
      </c>
      <c r="F129" s="358" t="s">
        <v>115</v>
      </c>
      <c r="G129" s="358" t="s">
        <v>115</v>
      </c>
    </row>
    <row r="130" spans="1:7">
      <c r="A130" s="356" t="s">
        <v>1982</v>
      </c>
      <c r="B130" s="357" t="s">
        <v>1536</v>
      </c>
      <c r="C130" s="358" t="s">
        <v>116</v>
      </c>
      <c r="D130" s="358" t="s">
        <v>116</v>
      </c>
      <c r="E130" s="358" t="s">
        <v>116</v>
      </c>
      <c r="F130" s="358" t="s">
        <v>115</v>
      </c>
      <c r="G130" s="358" t="s">
        <v>115</v>
      </c>
    </row>
    <row r="131" spans="1:7">
      <c r="A131" s="356" t="s">
        <v>1983</v>
      </c>
      <c r="B131" s="357" t="s">
        <v>1984</v>
      </c>
      <c r="C131" s="358" t="s">
        <v>116</v>
      </c>
      <c r="D131" s="358" t="s">
        <v>116</v>
      </c>
      <c r="E131" s="358" t="s">
        <v>116</v>
      </c>
      <c r="F131" s="358" t="s">
        <v>116</v>
      </c>
      <c r="G131" s="358" t="s">
        <v>116</v>
      </c>
    </row>
    <row r="132" spans="1:7">
      <c r="A132" s="356" t="s">
        <v>1985</v>
      </c>
      <c r="B132" s="357" t="s">
        <v>1540</v>
      </c>
      <c r="C132" s="358" t="s">
        <v>115</v>
      </c>
      <c r="D132" s="358" t="s">
        <v>116</v>
      </c>
      <c r="E132" s="358" t="s">
        <v>115</v>
      </c>
      <c r="F132" s="358" t="s">
        <v>115</v>
      </c>
      <c r="G132" s="358" t="s">
        <v>115</v>
      </c>
    </row>
    <row r="133" spans="1:7">
      <c r="A133" s="356" t="s">
        <v>1986</v>
      </c>
      <c r="B133" s="357" t="s">
        <v>943</v>
      </c>
      <c r="C133" s="358" t="s">
        <v>116</v>
      </c>
      <c r="D133" s="358" t="s">
        <v>116</v>
      </c>
      <c r="E133" s="358" t="s">
        <v>116</v>
      </c>
      <c r="F133" s="358" t="s">
        <v>115</v>
      </c>
      <c r="G133" s="358" t="s">
        <v>115</v>
      </c>
    </row>
    <row r="134" spans="1:7">
      <c r="A134" s="356" t="s">
        <v>1986</v>
      </c>
      <c r="B134" s="357" t="s">
        <v>943</v>
      </c>
      <c r="C134" s="358" t="s">
        <v>116</v>
      </c>
      <c r="D134" s="358" t="s">
        <v>116</v>
      </c>
      <c r="E134" s="358" t="s">
        <v>116</v>
      </c>
      <c r="F134" s="358" t="s">
        <v>115</v>
      </c>
      <c r="G134" s="358" t="s">
        <v>115</v>
      </c>
    </row>
    <row r="135" spans="1:7" ht="28.8">
      <c r="A135" s="356" t="s">
        <v>1987</v>
      </c>
      <c r="B135" s="357" t="s">
        <v>1988</v>
      </c>
      <c r="C135" s="358" t="s">
        <v>115</v>
      </c>
      <c r="D135" s="358" t="s">
        <v>116</v>
      </c>
      <c r="E135" s="358" t="s">
        <v>115</v>
      </c>
      <c r="F135" s="358" t="s">
        <v>115</v>
      </c>
      <c r="G135" s="358" t="s">
        <v>115</v>
      </c>
    </row>
    <row r="136" spans="1:7">
      <c r="A136" s="356" t="s">
        <v>1989</v>
      </c>
      <c r="B136" s="357" t="s">
        <v>1538</v>
      </c>
      <c r="C136" s="358" t="s">
        <v>116</v>
      </c>
      <c r="D136" s="358" t="s">
        <v>116</v>
      </c>
      <c r="E136" s="358" t="s">
        <v>116</v>
      </c>
      <c r="F136" s="358" t="s">
        <v>116</v>
      </c>
      <c r="G136" s="358" t="s">
        <v>116</v>
      </c>
    </row>
    <row r="137" spans="1:7">
      <c r="A137" s="356" t="s">
        <v>1989</v>
      </c>
      <c r="B137" s="357" t="s">
        <v>1538</v>
      </c>
      <c r="C137" s="358" t="s">
        <v>116</v>
      </c>
      <c r="D137" s="358" t="s">
        <v>116</v>
      </c>
      <c r="E137" s="358" t="s">
        <v>116</v>
      </c>
      <c r="F137" s="358" t="s">
        <v>116</v>
      </c>
      <c r="G137" s="358" t="s">
        <v>116</v>
      </c>
    </row>
    <row r="138" spans="1:7">
      <c r="A138" s="356" t="s">
        <v>1990</v>
      </c>
      <c r="B138" s="357" t="s">
        <v>1991</v>
      </c>
      <c r="C138" s="358" t="s">
        <v>115</v>
      </c>
      <c r="D138" s="358" t="s">
        <v>116</v>
      </c>
      <c r="E138" s="358" t="s">
        <v>115</v>
      </c>
      <c r="F138" s="358" t="s">
        <v>115</v>
      </c>
      <c r="G138" s="358" t="s">
        <v>115</v>
      </c>
    </row>
    <row r="139" spans="1:7">
      <c r="A139" s="356" t="s">
        <v>1992</v>
      </c>
      <c r="B139" s="357" t="s">
        <v>1993</v>
      </c>
      <c r="C139" s="358" t="s">
        <v>116</v>
      </c>
      <c r="D139" s="358" t="s">
        <v>116</v>
      </c>
      <c r="E139" s="358" t="s">
        <v>116</v>
      </c>
      <c r="F139" s="358" t="s">
        <v>115</v>
      </c>
      <c r="G139" s="358" t="s">
        <v>115</v>
      </c>
    </row>
    <row r="140" spans="1:7">
      <c r="A140" s="356" t="s">
        <v>1994</v>
      </c>
      <c r="B140" s="357" t="s">
        <v>1995</v>
      </c>
      <c r="C140" s="358" t="s">
        <v>116</v>
      </c>
      <c r="D140" s="358" t="s">
        <v>116</v>
      </c>
      <c r="E140" s="358" t="s">
        <v>116</v>
      </c>
      <c r="F140" s="358" t="s">
        <v>115</v>
      </c>
      <c r="G140" s="358" t="s">
        <v>116</v>
      </c>
    </row>
    <row r="141" spans="1:7">
      <c r="A141" s="356" t="s">
        <v>1996</v>
      </c>
      <c r="B141" s="357" t="s">
        <v>1997</v>
      </c>
      <c r="C141" s="358" t="s">
        <v>116</v>
      </c>
      <c r="D141" s="358" t="s">
        <v>116</v>
      </c>
      <c r="E141" s="358" t="s">
        <v>116</v>
      </c>
      <c r="F141" s="358" t="s">
        <v>115</v>
      </c>
      <c r="G141" s="358" t="s">
        <v>116</v>
      </c>
    </row>
    <row r="142" spans="1:7">
      <c r="A142" s="356" t="s">
        <v>1998</v>
      </c>
      <c r="B142" s="357" t="s">
        <v>1332</v>
      </c>
      <c r="C142" s="358" t="s">
        <v>115</v>
      </c>
      <c r="D142" s="358" t="s">
        <v>116</v>
      </c>
      <c r="E142" s="358" t="s">
        <v>115</v>
      </c>
      <c r="F142" s="358" t="s">
        <v>115</v>
      </c>
      <c r="G142" s="358" t="s">
        <v>115</v>
      </c>
    </row>
    <row r="143" spans="1:7">
      <c r="A143" s="356" t="s">
        <v>1999</v>
      </c>
      <c r="B143" s="357" t="s">
        <v>896</v>
      </c>
      <c r="C143" s="358" t="s">
        <v>115</v>
      </c>
      <c r="D143" s="358" t="s">
        <v>116</v>
      </c>
      <c r="E143" s="358" t="s">
        <v>115</v>
      </c>
      <c r="F143" s="358" t="s">
        <v>115</v>
      </c>
      <c r="G143" s="358" t="s">
        <v>115</v>
      </c>
    </row>
    <row r="144" spans="1:7">
      <c r="A144" s="356" t="s">
        <v>2000</v>
      </c>
      <c r="B144" s="357" t="s">
        <v>1888</v>
      </c>
      <c r="C144" s="358" t="s">
        <v>116</v>
      </c>
      <c r="D144" s="358" t="s">
        <v>116</v>
      </c>
      <c r="E144" s="358" t="s">
        <v>115</v>
      </c>
      <c r="F144" s="358" t="s">
        <v>115</v>
      </c>
      <c r="G144" s="358" t="s">
        <v>115</v>
      </c>
    </row>
    <row r="145" spans="1:7">
      <c r="A145" s="356" t="s">
        <v>2001</v>
      </c>
      <c r="B145" s="357" t="s">
        <v>2002</v>
      </c>
      <c r="C145" s="358" t="s">
        <v>1947</v>
      </c>
      <c r="D145" s="358" t="s">
        <v>1947</v>
      </c>
      <c r="E145" s="358" t="s">
        <v>1947</v>
      </c>
      <c r="F145" s="358" t="s">
        <v>1947</v>
      </c>
      <c r="G145" s="358" t="s">
        <v>1947</v>
      </c>
    </row>
    <row r="146" spans="1:7">
      <c r="A146" s="356" t="s">
        <v>2001</v>
      </c>
      <c r="B146" s="357" t="s">
        <v>2002</v>
      </c>
      <c r="C146" s="358" t="s">
        <v>116</v>
      </c>
      <c r="D146" s="358" t="s">
        <v>116</v>
      </c>
      <c r="E146" s="358" t="s">
        <v>116</v>
      </c>
      <c r="F146" s="358" t="s">
        <v>116</v>
      </c>
      <c r="G146" s="358" t="s">
        <v>116</v>
      </c>
    </row>
    <row r="147" spans="1:7">
      <c r="A147" s="356" t="s">
        <v>2003</v>
      </c>
      <c r="B147" s="357" t="s">
        <v>1551</v>
      </c>
      <c r="C147" s="358" t="s">
        <v>115</v>
      </c>
      <c r="D147" s="358" t="s">
        <v>116</v>
      </c>
      <c r="E147" s="358" t="s">
        <v>115</v>
      </c>
      <c r="F147" s="358" t="s">
        <v>115</v>
      </c>
      <c r="G147" s="358" t="s">
        <v>115</v>
      </c>
    </row>
    <row r="148" spans="1:7">
      <c r="A148" s="356" t="s">
        <v>2004</v>
      </c>
      <c r="B148" s="357" t="s">
        <v>2005</v>
      </c>
      <c r="C148" s="358" t="s">
        <v>116</v>
      </c>
      <c r="D148" s="358" t="s">
        <v>116</v>
      </c>
      <c r="E148" s="358" t="s">
        <v>116</v>
      </c>
      <c r="F148" s="358" t="s">
        <v>115</v>
      </c>
      <c r="G148" s="358" t="s">
        <v>115</v>
      </c>
    </row>
    <row r="149" spans="1:7">
      <c r="A149" s="356" t="s">
        <v>2006</v>
      </c>
      <c r="B149" s="357" t="s">
        <v>2007</v>
      </c>
      <c r="C149" s="358" t="s">
        <v>116</v>
      </c>
      <c r="D149" s="358" t="s">
        <v>116</v>
      </c>
      <c r="E149" s="358" t="s">
        <v>116</v>
      </c>
      <c r="F149" s="358" t="s">
        <v>116</v>
      </c>
      <c r="G149" s="358" t="s">
        <v>116</v>
      </c>
    </row>
    <row r="150" spans="1:7">
      <c r="A150" s="356" t="s">
        <v>2008</v>
      </c>
      <c r="B150" s="357" t="s">
        <v>2009</v>
      </c>
      <c r="C150" s="358" t="s">
        <v>116</v>
      </c>
      <c r="D150" s="358" t="s">
        <v>116</v>
      </c>
      <c r="E150" s="358" t="s">
        <v>116</v>
      </c>
      <c r="F150" s="358" t="s">
        <v>115</v>
      </c>
      <c r="G150" s="358" t="s">
        <v>115</v>
      </c>
    </row>
    <row r="151" spans="1:7">
      <c r="A151" s="356" t="s">
        <v>2010</v>
      </c>
      <c r="B151" s="357" t="s">
        <v>2011</v>
      </c>
      <c r="C151" s="358" t="s">
        <v>116</v>
      </c>
      <c r="D151" s="358" t="s">
        <v>115</v>
      </c>
      <c r="E151" s="358" t="s">
        <v>115</v>
      </c>
      <c r="F151" s="358" t="s">
        <v>115</v>
      </c>
      <c r="G151" s="358" t="s">
        <v>115</v>
      </c>
    </row>
    <row r="152" spans="1:7">
      <c r="A152" s="356" t="s">
        <v>2012</v>
      </c>
      <c r="B152" s="357" t="s">
        <v>2013</v>
      </c>
      <c r="C152" s="358" t="s">
        <v>1927</v>
      </c>
      <c r="D152" s="358" t="s">
        <v>1927</v>
      </c>
      <c r="E152" s="358" t="s">
        <v>1927</v>
      </c>
      <c r="F152" s="358" t="s">
        <v>1927</v>
      </c>
      <c r="G152" s="358" t="s">
        <v>115</v>
      </c>
    </row>
    <row r="153" spans="1:7">
      <c r="A153" s="356" t="s">
        <v>2014</v>
      </c>
      <c r="B153" s="357" t="s">
        <v>2015</v>
      </c>
      <c r="C153" s="358" t="s">
        <v>116</v>
      </c>
      <c r="D153" s="358" t="s">
        <v>116</v>
      </c>
      <c r="E153" s="358" t="s">
        <v>115</v>
      </c>
      <c r="F153" s="358" t="s">
        <v>115</v>
      </c>
      <c r="G153" s="358" t="s">
        <v>115</v>
      </c>
    </row>
    <row r="154" spans="1:7">
      <c r="A154" s="356" t="s">
        <v>2016</v>
      </c>
      <c r="B154" s="357" t="s">
        <v>2017</v>
      </c>
      <c r="C154" s="358" t="s">
        <v>116</v>
      </c>
      <c r="D154" s="358" t="s">
        <v>116</v>
      </c>
      <c r="E154" s="358" t="s">
        <v>116</v>
      </c>
      <c r="F154" s="358" t="s">
        <v>116</v>
      </c>
      <c r="G154" s="358" t="s">
        <v>116</v>
      </c>
    </row>
    <row r="155" spans="1:7" ht="43.2">
      <c r="A155" s="356" t="s">
        <v>2018</v>
      </c>
      <c r="B155" s="357" t="s">
        <v>2019</v>
      </c>
      <c r="C155" s="358" t="s">
        <v>116</v>
      </c>
      <c r="D155" s="358" t="s">
        <v>116</v>
      </c>
      <c r="E155" s="358" t="s">
        <v>116</v>
      </c>
      <c r="F155" s="358" t="s">
        <v>116</v>
      </c>
      <c r="G155" s="358" t="s">
        <v>116</v>
      </c>
    </row>
    <row r="156" spans="1:7">
      <c r="A156" s="356" t="s">
        <v>2020</v>
      </c>
      <c r="B156" s="357" t="s">
        <v>2021</v>
      </c>
      <c r="C156" s="358" t="s">
        <v>116</v>
      </c>
      <c r="D156" s="358" t="s">
        <v>116</v>
      </c>
      <c r="E156" s="358" t="s">
        <v>115</v>
      </c>
      <c r="F156" s="358" t="s">
        <v>115</v>
      </c>
      <c r="G156" s="358" t="s">
        <v>115</v>
      </c>
    </row>
    <row r="157" spans="1:7">
      <c r="A157" s="356" t="s">
        <v>2022</v>
      </c>
      <c r="B157" s="357" t="s">
        <v>2023</v>
      </c>
      <c r="C157" s="358" t="s">
        <v>115</v>
      </c>
      <c r="D157" s="358" t="s">
        <v>116</v>
      </c>
      <c r="E157" s="358" t="s">
        <v>115</v>
      </c>
      <c r="F157" s="358" t="s">
        <v>116</v>
      </c>
      <c r="G157" s="358" t="s">
        <v>116</v>
      </c>
    </row>
    <row r="158" spans="1:7">
      <c r="A158" s="356" t="s">
        <v>2024</v>
      </c>
      <c r="B158" s="357" t="s">
        <v>2025</v>
      </c>
      <c r="C158" s="358" t="s">
        <v>116</v>
      </c>
      <c r="D158" s="358" t="s">
        <v>116</v>
      </c>
      <c r="E158" s="358" t="s">
        <v>116</v>
      </c>
      <c r="F158" s="358" t="s">
        <v>116</v>
      </c>
      <c r="G158" s="358" t="s">
        <v>116</v>
      </c>
    </row>
    <row r="159" spans="1:7">
      <c r="A159" s="356" t="s">
        <v>2026</v>
      </c>
      <c r="B159" s="357" t="s">
        <v>2027</v>
      </c>
      <c r="C159" s="358" t="s">
        <v>116</v>
      </c>
      <c r="D159" s="358" t="s">
        <v>116</v>
      </c>
      <c r="E159" s="358" t="s">
        <v>116</v>
      </c>
      <c r="F159" s="358" t="s">
        <v>116</v>
      </c>
      <c r="G159" s="358" t="s">
        <v>116</v>
      </c>
    </row>
    <row r="160" spans="1:7">
      <c r="A160" s="356" t="s">
        <v>2028</v>
      </c>
      <c r="B160" s="357" t="s">
        <v>2029</v>
      </c>
      <c r="C160" s="358" t="s">
        <v>116</v>
      </c>
      <c r="D160" s="358" t="s">
        <v>116</v>
      </c>
      <c r="E160" s="358" t="s">
        <v>116</v>
      </c>
      <c r="F160" s="358" t="s">
        <v>115</v>
      </c>
      <c r="G160" s="358" t="s">
        <v>115</v>
      </c>
    </row>
    <row r="161" spans="1:7">
      <c r="A161" s="356" t="s">
        <v>2030</v>
      </c>
      <c r="B161" s="357" t="s">
        <v>1565</v>
      </c>
      <c r="C161" s="358" t="s">
        <v>1947</v>
      </c>
      <c r="D161" s="358" t="s">
        <v>1947</v>
      </c>
      <c r="E161" s="358" t="s">
        <v>1947</v>
      </c>
      <c r="F161" s="358" t="s">
        <v>1947</v>
      </c>
      <c r="G161" s="358" t="s">
        <v>1947</v>
      </c>
    </row>
    <row r="162" spans="1:7">
      <c r="A162" s="356" t="s">
        <v>2030</v>
      </c>
      <c r="B162" s="357" t="s">
        <v>1565</v>
      </c>
      <c r="C162" s="358" t="s">
        <v>116</v>
      </c>
      <c r="D162" s="358" t="s">
        <v>116</v>
      </c>
      <c r="E162" s="358" t="s">
        <v>116</v>
      </c>
      <c r="F162" s="358" t="s">
        <v>116</v>
      </c>
      <c r="G162" s="358" t="s">
        <v>116</v>
      </c>
    </row>
    <row r="163" spans="1:7">
      <c r="A163" s="356" t="s">
        <v>2031</v>
      </c>
      <c r="B163" s="357" t="s">
        <v>2032</v>
      </c>
      <c r="C163" s="358" t="s">
        <v>116</v>
      </c>
      <c r="D163" s="358" t="s">
        <v>116</v>
      </c>
      <c r="E163" s="358" t="s">
        <v>116</v>
      </c>
      <c r="F163" s="358" t="s">
        <v>116</v>
      </c>
      <c r="G163" s="358" t="s">
        <v>116</v>
      </c>
    </row>
    <row r="164" spans="1:7">
      <c r="A164" s="356" t="s">
        <v>2033</v>
      </c>
      <c r="B164" s="357" t="s">
        <v>2034</v>
      </c>
      <c r="C164" s="358" t="s">
        <v>116</v>
      </c>
      <c r="D164" s="358" t="s">
        <v>116</v>
      </c>
      <c r="E164" s="358" t="s">
        <v>116</v>
      </c>
      <c r="F164" s="358" t="s">
        <v>116</v>
      </c>
      <c r="G164" s="358" t="s">
        <v>116</v>
      </c>
    </row>
    <row r="165" spans="1:7">
      <c r="A165" s="356" t="s">
        <v>2033</v>
      </c>
      <c r="B165" s="357" t="s">
        <v>2034</v>
      </c>
      <c r="C165" s="358" t="s">
        <v>116</v>
      </c>
      <c r="D165" s="358" t="s">
        <v>116</v>
      </c>
      <c r="E165" s="358" t="s">
        <v>116</v>
      </c>
      <c r="F165" s="358" t="s">
        <v>116</v>
      </c>
      <c r="G165" s="358" t="s">
        <v>116</v>
      </c>
    </row>
    <row r="166" spans="1:7">
      <c r="A166" s="356" t="s">
        <v>2035</v>
      </c>
      <c r="B166" s="357" t="s">
        <v>2036</v>
      </c>
      <c r="C166" s="358" t="s">
        <v>116</v>
      </c>
      <c r="D166" s="358" t="s">
        <v>116</v>
      </c>
      <c r="E166" s="358" t="s">
        <v>116</v>
      </c>
      <c r="F166" s="358" t="s">
        <v>116</v>
      </c>
      <c r="G166" s="358" t="s">
        <v>116</v>
      </c>
    </row>
    <row r="167" spans="1:7">
      <c r="A167" s="356" t="s">
        <v>2037</v>
      </c>
      <c r="B167" s="357" t="s">
        <v>2038</v>
      </c>
      <c r="C167" s="358" t="s">
        <v>116</v>
      </c>
      <c r="D167" s="358" t="s">
        <v>116</v>
      </c>
      <c r="E167" s="358" t="s">
        <v>116</v>
      </c>
      <c r="F167" s="358" t="s">
        <v>116</v>
      </c>
      <c r="G167" s="358" t="s">
        <v>116</v>
      </c>
    </row>
    <row r="168" spans="1:7">
      <c r="A168" s="356" t="s">
        <v>2039</v>
      </c>
      <c r="B168" s="357" t="s">
        <v>2034</v>
      </c>
      <c r="C168" s="358" t="s">
        <v>116</v>
      </c>
      <c r="D168" s="358" t="s">
        <v>116</v>
      </c>
      <c r="E168" s="358" t="s">
        <v>116</v>
      </c>
      <c r="F168" s="358" t="s">
        <v>116</v>
      </c>
      <c r="G168" s="358" t="s">
        <v>116</v>
      </c>
    </row>
    <row r="169" spans="1:7">
      <c r="A169" s="356" t="s">
        <v>2040</v>
      </c>
      <c r="B169" s="357" t="s">
        <v>2041</v>
      </c>
      <c r="C169" s="358" t="s">
        <v>116</v>
      </c>
      <c r="D169" s="358" t="s">
        <v>116</v>
      </c>
      <c r="E169" s="358" t="s">
        <v>116</v>
      </c>
      <c r="F169" s="358" t="s">
        <v>116</v>
      </c>
      <c r="G169" s="358" t="s">
        <v>116</v>
      </c>
    </row>
    <row r="170" spans="1:7">
      <c r="A170" s="356" t="s">
        <v>2042</v>
      </c>
      <c r="B170" s="357" t="s">
        <v>2043</v>
      </c>
      <c r="C170" s="358" t="s">
        <v>116</v>
      </c>
      <c r="D170" s="358" t="s">
        <v>116</v>
      </c>
      <c r="E170" s="358" t="s">
        <v>116</v>
      </c>
      <c r="F170" s="358" t="s">
        <v>116</v>
      </c>
      <c r="G170" s="358" t="s">
        <v>116</v>
      </c>
    </row>
    <row r="171" spans="1:7">
      <c r="A171" s="356" t="s">
        <v>2044</v>
      </c>
      <c r="B171" s="357" t="s">
        <v>2045</v>
      </c>
      <c r="C171" s="358" t="s">
        <v>116</v>
      </c>
      <c r="D171" s="358" t="s">
        <v>116</v>
      </c>
      <c r="E171" s="358" t="s">
        <v>116</v>
      </c>
      <c r="F171" s="358" t="s">
        <v>116</v>
      </c>
      <c r="G171" s="358" t="s">
        <v>116</v>
      </c>
    </row>
    <row r="172" spans="1:7">
      <c r="A172" s="356" t="s">
        <v>2046</v>
      </c>
      <c r="B172" s="357" t="s">
        <v>2047</v>
      </c>
      <c r="C172" s="358" t="s">
        <v>116</v>
      </c>
      <c r="D172" s="358" t="s">
        <v>116</v>
      </c>
      <c r="E172" s="358" t="s">
        <v>115</v>
      </c>
      <c r="F172" s="358" t="s">
        <v>115</v>
      </c>
      <c r="G172" s="358" t="s">
        <v>115</v>
      </c>
    </row>
    <row r="173" spans="1:7">
      <c r="A173" s="356" t="s">
        <v>2048</v>
      </c>
      <c r="B173" s="357" t="s">
        <v>1568</v>
      </c>
      <c r="C173" s="358" t="s">
        <v>116</v>
      </c>
      <c r="D173" s="358" t="s">
        <v>116</v>
      </c>
      <c r="E173" s="358" t="s">
        <v>116</v>
      </c>
      <c r="F173" s="358" t="s">
        <v>116</v>
      </c>
      <c r="G173" s="358" t="s">
        <v>116</v>
      </c>
    </row>
    <row r="174" spans="1:7">
      <c r="A174" s="356" t="s">
        <v>2048</v>
      </c>
      <c r="B174" s="357" t="s">
        <v>1568</v>
      </c>
      <c r="C174" s="358" t="s">
        <v>116</v>
      </c>
      <c r="D174" s="358" t="s">
        <v>116</v>
      </c>
      <c r="E174" s="358" t="s">
        <v>116</v>
      </c>
      <c r="F174" s="358" t="s">
        <v>116</v>
      </c>
      <c r="G174" s="358" t="s">
        <v>116</v>
      </c>
    </row>
    <row r="175" spans="1:7">
      <c r="A175" s="356" t="s">
        <v>2049</v>
      </c>
      <c r="B175" s="357" t="s">
        <v>2050</v>
      </c>
      <c r="C175" s="358" t="s">
        <v>116</v>
      </c>
      <c r="D175" s="358" t="s">
        <v>116</v>
      </c>
      <c r="E175" s="358" t="s">
        <v>116</v>
      </c>
      <c r="F175" s="358" t="s">
        <v>116</v>
      </c>
      <c r="G175" s="358" t="s">
        <v>116</v>
      </c>
    </row>
    <row r="176" spans="1:7">
      <c r="A176" s="356" t="s">
        <v>2051</v>
      </c>
      <c r="B176" s="357" t="s">
        <v>2052</v>
      </c>
      <c r="C176" s="358" t="s">
        <v>116</v>
      </c>
      <c r="D176" s="358" t="s">
        <v>116</v>
      </c>
      <c r="E176" s="358" t="s">
        <v>116</v>
      </c>
      <c r="F176" s="358" t="s">
        <v>116</v>
      </c>
      <c r="G176" s="358" t="s">
        <v>116</v>
      </c>
    </row>
    <row r="177" spans="1:7">
      <c r="A177" s="356" t="s">
        <v>2053</v>
      </c>
      <c r="B177" s="357" t="s">
        <v>2054</v>
      </c>
      <c r="C177" s="358" t="s">
        <v>1927</v>
      </c>
      <c r="D177" s="358" t="s">
        <v>1927</v>
      </c>
      <c r="E177" s="358" t="s">
        <v>115</v>
      </c>
      <c r="F177" s="358" t="s">
        <v>115</v>
      </c>
      <c r="G177" s="358" t="s">
        <v>115</v>
      </c>
    </row>
    <row r="178" spans="1:7">
      <c r="A178" s="356" t="s">
        <v>2055</v>
      </c>
      <c r="B178" s="357" t="s">
        <v>2056</v>
      </c>
      <c r="C178" s="358" t="s">
        <v>116</v>
      </c>
      <c r="D178" s="358" t="s">
        <v>116</v>
      </c>
      <c r="E178" s="358" t="s">
        <v>116</v>
      </c>
      <c r="F178" s="358" t="s">
        <v>116</v>
      </c>
      <c r="G178" s="358" t="s">
        <v>116</v>
      </c>
    </row>
    <row r="179" spans="1:7">
      <c r="A179" s="356" t="s">
        <v>2057</v>
      </c>
      <c r="B179" s="357" t="s">
        <v>2058</v>
      </c>
      <c r="C179" s="358" t="s">
        <v>116</v>
      </c>
      <c r="D179" s="358" t="s">
        <v>116</v>
      </c>
      <c r="E179" s="358" t="s">
        <v>116</v>
      </c>
      <c r="F179" s="358" t="s">
        <v>115</v>
      </c>
      <c r="G179" s="358" t="s">
        <v>115</v>
      </c>
    </row>
    <row r="180" spans="1:7">
      <c r="A180" s="356" t="s">
        <v>2059</v>
      </c>
      <c r="B180" s="357" t="s">
        <v>2060</v>
      </c>
      <c r="C180" s="358" t="s">
        <v>116</v>
      </c>
      <c r="D180" s="358" t="s">
        <v>116</v>
      </c>
      <c r="E180" s="358" t="s">
        <v>116</v>
      </c>
      <c r="F180" s="358" t="s">
        <v>116</v>
      </c>
      <c r="G180" s="358" t="s">
        <v>116</v>
      </c>
    </row>
    <row r="181" spans="1:7">
      <c r="A181" s="356" t="s">
        <v>2061</v>
      </c>
      <c r="B181" s="357" t="s">
        <v>2062</v>
      </c>
      <c r="C181" s="358" t="s">
        <v>116</v>
      </c>
      <c r="D181" s="358" t="s">
        <v>116</v>
      </c>
      <c r="E181" s="358" t="s">
        <v>116</v>
      </c>
      <c r="F181" s="358" t="s">
        <v>116</v>
      </c>
      <c r="G181" s="358" t="s">
        <v>116</v>
      </c>
    </row>
    <row r="182" spans="1:7">
      <c r="A182" s="356" t="s">
        <v>2063</v>
      </c>
      <c r="B182" s="357" t="s">
        <v>2064</v>
      </c>
      <c r="C182" s="358" t="s">
        <v>116</v>
      </c>
      <c r="D182" s="358" t="s">
        <v>116</v>
      </c>
      <c r="E182" s="358" t="s">
        <v>116</v>
      </c>
      <c r="F182" s="358" t="s">
        <v>116</v>
      </c>
      <c r="G182" s="358" t="s">
        <v>116</v>
      </c>
    </row>
    <row r="183" spans="1:7">
      <c r="A183" s="356" t="s">
        <v>2065</v>
      </c>
      <c r="B183" s="357" t="s">
        <v>2066</v>
      </c>
      <c r="C183" s="358" t="s">
        <v>116</v>
      </c>
      <c r="D183" s="358" t="s">
        <v>116</v>
      </c>
      <c r="E183" s="358" t="s">
        <v>116</v>
      </c>
      <c r="F183" s="358" t="s">
        <v>116</v>
      </c>
      <c r="G183" s="358" t="s">
        <v>116</v>
      </c>
    </row>
    <row r="184" spans="1:7">
      <c r="A184" s="356" t="s">
        <v>2067</v>
      </c>
      <c r="B184" s="357" t="s">
        <v>2058</v>
      </c>
      <c r="C184" s="358" t="s">
        <v>116</v>
      </c>
      <c r="D184" s="358" t="s">
        <v>116</v>
      </c>
      <c r="E184" s="358" t="s">
        <v>116</v>
      </c>
      <c r="F184" s="358" t="s">
        <v>116</v>
      </c>
      <c r="G184" s="358" t="s">
        <v>116</v>
      </c>
    </row>
    <row r="185" spans="1:7">
      <c r="A185" s="356" t="s">
        <v>2068</v>
      </c>
      <c r="B185" s="357" t="s">
        <v>2069</v>
      </c>
      <c r="C185" s="358" t="s">
        <v>116</v>
      </c>
      <c r="D185" s="358" t="s">
        <v>116</v>
      </c>
      <c r="E185" s="358" t="s">
        <v>116</v>
      </c>
      <c r="F185" s="358" t="s">
        <v>115</v>
      </c>
      <c r="G185" s="358" t="s">
        <v>115</v>
      </c>
    </row>
    <row r="186" spans="1:7">
      <c r="A186" s="356" t="s">
        <v>2068</v>
      </c>
      <c r="B186" s="357" t="s">
        <v>2069</v>
      </c>
      <c r="C186" s="358" t="s">
        <v>1947</v>
      </c>
      <c r="D186" s="358" t="s">
        <v>1947</v>
      </c>
      <c r="E186" s="358" t="s">
        <v>1947</v>
      </c>
      <c r="F186" s="358" t="s">
        <v>1947</v>
      </c>
      <c r="G186" s="358" t="s">
        <v>1947</v>
      </c>
    </row>
    <row r="187" spans="1:7">
      <c r="A187" s="356" t="s">
        <v>2070</v>
      </c>
      <c r="B187" s="357" t="s">
        <v>2052</v>
      </c>
      <c r="C187" s="358" t="s">
        <v>116</v>
      </c>
      <c r="D187" s="358" t="s">
        <v>116</v>
      </c>
      <c r="E187" s="358" t="s">
        <v>116</v>
      </c>
      <c r="F187" s="358" t="s">
        <v>116</v>
      </c>
      <c r="G187" s="358" t="s">
        <v>116</v>
      </c>
    </row>
    <row r="188" spans="1:7">
      <c r="A188" s="356" t="s">
        <v>2071</v>
      </c>
      <c r="B188" s="357" t="s">
        <v>2052</v>
      </c>
      <c r="C188" s="358" t="s">
        <v>116</v>
      </c>
      <c r="D188" s="358" t="s">
        <v>116</v>
      </c>
      <c r="E188" s="358" t="s">
        <v>116</v>
      </c>
      <c r="F188" s="358" t="s">
        <v>116</v>
      </c>
      <c r="G188" s="358" t="s">
        <v>116</v>
      </c>
    </row>
    <row r="189" spans="1:7">
      <c r="A189" s="356" t="s">
        <v>2072</v>
      </c>
      <c r="B189" s="357" t="s">
        <v>2073</v>
      </c>
      <c r="C189" s="358" t="s">
        <v>116</v>
      </c>
      <c r="D189" s="358" t="s">
        <v>116</v>
      </c>
      <c r="E189" s="358" t="s">
        <v>116</v>
      </c>
      <c r="F189" s="358" t="s">
        <v>116</v>
      </c>
      <c r="G189" s="358" t="s">
        <v>116</v>
      </c>
    </row>
    <row r="190" spans="1:7">
      <c r="A190" s="356" t="s">
        <v>2074</v>
      </c>
      <c r="B190" s="357" t="s">
        <v>2075</v>
      </c>
      <c r="C190" s="358" t="s">
        <v>116</v>
      </c>
      <c r="D190" s="358" t="s">
        <v>116</v>
      </c>
      <c r="E190" s="358" t="s">
        <v>116</v>
      </c>
      <c r="F190" s="358" t="s">
        <v>116</v>
      </c>
      <c r="G190" s="358" t="s">
        <v>116</v>
      </c>
    </row>
    <row r="191" spans="1:7">
      <c r="A191" s="356" t="s">
        <v>2076</v>
      </c>
      <c r="B191" s="357" t="s">
        <v>2077</v>
      </c>
      <c r="C191" s="358" t="s">
        <v>116</v>
      </c>
      <c r="D191" s="358" t="s">
        <v>116</v>
      </c>
      <c r="E191" s="358" t="s">
        <v>116</v>
      </c>
      <c r="F191" s="358" t="s">
        <v>116</v>
      </c>
      <c r="G191" s="358" t="s">
        <v>116</v>
      </c>
    </row>
    <row r="192" spans="1:7">
      <c r="A192" s="356" t="s">
        <v>2078</v>
      </c>
      <c r="B192" s="357" t="s">
        <v>2079</v>
      </c>
      <c r="C192" s="358" t="s">
        <v>116</v>
      </c>
      <c r="D192" s="358" t="s">
        <v>116</v>
      </c>
      <c r="E192" s="358" t="s">
        <v>116</v>
      </c>
      <c r="F192" s="358" t="s">
        <v>116</v>
      </c>
      <c r="G192" s="358" t="s">
        <v>116</v>
      </c>
    </row>
    <row r="193" spans="1:7">
      <c r="A193" s="356" t="s">
        <v>2078</v>
      </c>
      <c r="B193" s="357" t="s">
        <v>2079</v>
      </c>
      <c r="C193" s="358" t="s">
        <v>1947</v>
      </c>
      <c r="D193" s="358" t="s">
        <v>1947</v>
      </c>
      <c r="E193" s="358" t="s">
        <v>1947</v>
      </c>
      <c r="F193" s="358" t="s">
        <v>1947</v>
      </c>
      <c r="G193" s="358" t="s">
        <v>1947</v>
      </c>
    </row>
    <row r="194" spans="1:7">
      <c r="A194" s="356" t="s">
        <v>2080</v>
      </c>
      <c r="B194" s="357" t="s">
        <v>2081</v>
      </c>
      <c r="C194" s="358" t="s">
        <v>116</v>
      </c>
      <c r="D194" s="358" t="s">
        <v>116</v>
      </c>
      <c r="E194" s="358" t="s">
        <v>116</v>
      </c>
      <c r="F194" s="358" t="s">
        <v>116</v>
      </c>
      <c r="G194" s="358" t="s">
        <v>116</v>
      </c>
    </row>
    <row r="195" spans="1:7">
      <c r="A195" s="356" t="s">
        <v>2082</v>
      </c>
      <c r="B195" s="357" t="s">
        <v>2083</v>
      </c>
      <c r="C195" s="358" t="s">
        <v>116</v>
      </c>
      <c r="D195" s="358" t="s">
        <v>116</v>
      </c>
      <c r="E195" s="358" t="s">
        <v>116</v>
      </c>
      <c r="F195" s="358" t="s">
        <v>116</v>
      </c>
      <c r="G195" s="358" t="s">
        <v>116</v>
      </c>
    </row>
    <row r="196" spans="1:7">
      <c r="A196" s="356" t="s">
        <v>2084</v>
      </c>
      <c r="B196" s="357" t="s">
        <v>2085</v>
      </c>
      <c r="C196" s="358" t="s">
        <v>116</v>
      </c>
      <c r="D196" s="358" t="s">
        <v>116</v>
      </c>
      <c r="E196" s="358" t="s">
        <v>116</v>
      </c>
      <c r="F196" s="358" t="s">
        <v>115</v>
      </c>
      <c r="G196" s="358" t="s">
        <v>115</v>
      </c>
    </row>
    <row r="197" spans="1:7">
      <c r="A197" s="356" t="s">
        <v>2086</v>
      </c>
      <c r="B197" s="357" t="s">
        <v>2087</v>
      </c>
      <c r="C197" s="358" t="s">
        <v>116</v>
      </c>
      <c r="D197" s="358" t="s">
        <v>116</v>
      </c>
      <c r="E197" s="358" t="s">
        <v>116</v>
      </c>
      <c r="F197" s="358" t="s">
        <v>115</v>
      </c>
      <c r="G197" s="358" t="s">
        <v>115</v>
      </c>
    </row>
    <row r="198" spans="1:7">
      <c r="A198" s="356" t="s">
        <v>2088</v>
      </c>
      <c r="B198" s="357" t="s">
        <v>2089</v>
      </c>
      <c r="C198" s="358" t="s">
        <v>116</v>
      </c>
      <c r="D198" s="358" t="s">
        <v>116</v>
      </c>
      <c r="E198" s="358" t="s">
        <v>116</v>
      </c>
      <c r="F198" s="358" t="s">
        <v>116</v>
      </c>
      <c r="G198" s="358" t="s">
        <v>116</v>
      </c>
    </row>
    <row r="199" spans="1:7">
      <c r="A199" s="356" t="s">
        <v>2090</v>
      </c>
      <c r="B199" s="357" t="s">
        <v>2091</v>
      </c>
      <c r="C199" s="358" t="s">
        <v>116</v>
      </c>
      <c r="D199" s="358" t="s">
        <v>116</v>
      </c>
      <c r="E199" s="358" t="s">
        <v>116</v>
      </c>
      <c r="F199" s="358" t="s">
        <v>116</v>
      </c>
      <c r="G199" s="358" t="s">
        <v>116</v>
      </c>
    </row>
    <row r="200" spans="1:7">
      <c r="A200" s="356" t="s">
        <v>2092</v>
      </c>
      <c r="B200" s="357" t="s">
        <v>2060</v>
      </c>
      <c r="C200" s="358" t="s">
        <v>116</v>
      </c>
      <c r="D200" s="358" t="s">
        <v>116</v>
      </c>
      <c r="E200" s="358" t="s">
        <v>116</v>
      </c>
      <c r="F200" s="358" t="s">
        <v>116</v>
      </c>
      <c r="G200" s="358" t="s">
        <v>116</v>
      </c>
    </row>
    <row r="201" spans="1:7">
      <c r="A201" s="356" t="s">
        <v>2093</v>
      </c>
      <c r="B201" s="357" t="s">
        <v>2094</v>
      </c>
      <c r="C201" s="358" t="s">
        <v>1947</v>
      </c>
      <c r="D201" s="358" t="s">
        <v>1947</v>
      </c>
      <c r="E201" s="358" t="s">
        <v>1947</v>
      </c>
      <c r="F201" s="358" t="s">
        <v>1947</v>
      </c>
      <c r="G201" s="358" t="s">
        <v>1947</v>
      </c>
    </row>
    <row r="202" spans="1:7">
      <c r="A202" s="356" t="s">
        <v>2093</v>
      </c>
      <c r="B202" s="357" t="s">
        <v>2095</v>
      </c>
      <c r="C202" s="358" t="s">
        <v>116</v>
      </c>
      <c r="D202" s="358" t="s">
        <v>116</v>
      </c>
      <c r="E202" s="358" t="s">
        <v>116</v>
      </c>
      <c r="F202" s="358" t="s">
        <v>116</v>
      </c>
      <c r="G202" s="358" t="s">
        <v>116</v>
      </c>
    </row>
    <row r="203" spans="1:7">
      <c r="A203" s="356" t="s">
        <v>2096</v>
      </c>
      <c r="B203" s="357" t="s">
        <v>2097</v>
      </c>
      <c r="C203" s="358" t="s">
        <v>116</v>
      </c>
      <c r="D203" s="358" t="s">
        <v>116</v>
      </c>
      <c r="E203" s="358" t="s">
        <v>116</v>
      </c>
      <c r="F203" s="358" t="s">
        <v>116</v>
      </c>
      <c r="G203" s="358" t="s">
        <v>116</v>
      </c>
    </row>
    <row r="204" spans="1:7">
      <c r="A204" s="356" t="s">
        <v>2098</v>
      </c>
      <c r="B204" s="357" t="s">
        <v>2060</v>
      </c>
      <c r="C204" s="358" t="s">
        <v>116</v>
      </c>
      <c r="D204" s="358" t="s">
        <v>116</v>
      </c>
      <c r="E204" s="358" t="s">
        <v>116</v>
      </c>
      <c r="F204" s="358" t="s">
        <v>116</v>
      </c>
      <c r="G204" s="358" t="s">
        <v>116</v>
      </c>
    </row>
    <row r="205" spans="1:7">
      <c r="A205" s="356" t="s">
        <v>2099</v>
      </c>
      <c r="B205" s="357" t="s">
        <v>2100</v>
      </c>
      <c r="C205" s="358" t="s">
        <v>116</v>
      </c>
      <c r="D205" s="358" t="s">
        <v>116</v>
      </c>
      <c r="E205" s="358" t="s">
        <v>116</v>
      </c>
      <c r="F205" s="358" t="s">
        <v>116</v>
      </c>
      <c r="G205" s="358" t="s">
        <v>116</v>
      </c>
    </row>
    <row r="206" spans="1:7">
      <c r="A206" s="356" t="s">
        <v>2101</v>
      </c>
      <c r="B206" s="357" t="s">
        <v>2085</v>
      </c>
      <c r="C206" s="358" t="s">
        <v>116</v>
      </c>
      <c r="D206" s="358" t="s">
        <v>116</v>
      </c>
      <c r="E206" s="358" t="s">
        <v>116</v>
      </c>
      <c r="F206" s="358" t="s">
        <v>115</v>
      </c>
      <c r="G206" s="358" t="s">
        <v>115</v>
      </c>
    </row>
    <row r="207" spans="1:7">
      <c r="A207" s="356" t="s">
        <v>2102</v>
      </c>
      <c r="B207" s="357" t="s">
        <v>2103</v>
      </c>
      <c r="C207" s="358" t="s">
        <v>116</v>
      </c>
      <c r="D207" s="358" t="s">
        <v>116</v>
      </c>
      <c r="E207" s="358" t="s">
        <v>116</v>
      </c>
      <c r="F207" s="358" t="s">
        <v>116</v>
      </c>
      <c r="G207" s="358" t="s">
        <v>116</v>
      </c>
    </row>
    <row r="208" spans="1:7">
      <c r="A208" s="356" t="s">
        <v>2104</v>
      </c>
      <c r="B208" s="357" t="s">
        <v>2105</v>
      </c>
      <c r="C208" s="358" t="s">
        <v>116</v>
      </c>
      <c r="D208" s="358" t="s">
        <v>116</v>
      </c>
      <c r="E208" s="358" t="s">
        <v>116</v>
      </c>
      <c r="F208" s="358" t="s">
        <v>116</v>
      </c>
      <c r="G208" s="358" t="s">
        <v>116</v>
      </c>
    </row>
    <row r="209" spans="1:7">
      <c r="A209" s="356" t="s">
        <v>2106</v>
      </c>
      <c r="B209" s="357" t="s">
        <v>2107</v>
      </c>
      <c r="C209" s="358" t="s">
        <v>116</v>
      </c>
      <c r="D209" s="358" t="s">
        <v>116</v>
      </c>
      <c r="E209" s="358" t="s">
        <v>116</v>
      </c>
      <c r="F209" s="358" t="s">
        <v>116</v>
      </c>
      <c r="G209" s="358" t="s">
        <v>116</v>
      </c>
    </row>
    <row r="210" spans="1:7">
      <c r="A210" s="356" t="s">
        <v>2108</v>
      </c>
      <c r="B210" s="357" t="s">
        <v>2109</v>
      </c>
      <c r="C210" s="358" t="s">
        <v>116</v>
      </c>
      <c r="D210" s="358" t="s">
        <v>116</v>
      </c>
      <c r="E210" s="358" t="s">
        <v>116</v>
      </c>
      <c r="F210" s="358" t="s">
        <v>116</v>
      </c>
      <c r="G210" s="358" t="s">
        <v>116</v>
      </c>
    </row>
    <row r="211" spans="1:7">
      <c r="A211" s="356" t="s">
        <v>2108</v>
      </c>
      <c r="B211" s="357" t="s">
        <v>2109</v>
      </c>
      <c r="C211" s="358" t="s">
        <v>116</v>
      </c>
      <c r="D211" s="358" t="s">
        <v>116</v>
      </c>
      <c r="E211" s="358" t="s">
        <v>116</v>
      </c>
      <c r="F211" s="358" t="s">
        <v>116</v>
      </c>
      <c r="G211" s="358" t="s">
        <v>116</v>
      </c>
    </row>
    <row r="212" spans="1:7">
      <c r="A212" s="356" t="s">
        <v>2110</v>
      </c>
      <c r="B212" s="357" t="s">
        <v>2111</v>
      </c>
      <c r="C212" s="358" t="s">
        <v>116</v>
      </c>
      <c r="D212" s="358" t="s">
        <v>116</v>
      </c>
      <c r="E212" s="358" t="s">
        <v>116</v>
      </c>
      <c r="F212" s="358" t="s">
        <v>116</v>
      </c>
      <c r="G212" s="358" t="s">
        <v>116</v>
      </c>
    </row>
    <row r="213" spans="1:7">
      <c r="A213" s="356" t="s">
        <v>2112</v>
      </c>
      <c r="B213" s="357" t="s">
        <v>2113</v>
      </c>
      <c r="C213" s="358" t="s">
        <v>115</v>
      </c>
      <c r="D213" s="358" t="s">
        <v>116</v>
      </c>
      <c r="E213" s="358" t="s">
        <v>115</v>
      </c>
      <c r="F213" s="358" t="s">
        <v>115</v>
      </c>
      <c r="G213" s="358" t="s">
        <v>115</v>
      </c>
    </row>
    <row r="214" spans="1:7">
      <c r="A214" s="356" t="s">
        <v>2114</v>
      </c>
      <c r="B214" s="357" t="s">
        <v>2115</v>
      </c>
      <c r="C214" s="358" t="s">
        <v>116</v>
      </c>
      <c r="D214" s="358" t="s">
        <v>116</v>
      </c>
      <c r="E214" s="358" t="s">
        <v>116</v>
      </c>
      <c r="F214" s="358" t="s">
        <v>116</v>
      </c>
      <c r="G214" s="358" t="s">
        <v>116</v>
      </c>
    </row>
    <row r="215" spans="1:7">
      <c r="A215" s="356" t="s">
        <v>2116</v>
      </c>
      <c r="B215" s="357" t="s">
        <v>2117</v>
      </c>
      <c r="C215" s="358" t="s">
        <v>116</v>
      </c>
      <c r="D215" s="358" t="s">
        <v>116</v>
      </c>
      <c r="E215" s="358" t="s">
        <v>116</v>
      </c>
      <c r="F215" s="358" t="s">
        <v>116</v>
      </c>
      <c r="G215" s="358" t="s">
        <v>116</v>
      </c>
    </row>
    <row r="216" spans="1:7">
      <c r="A216" s="356" t="s">
        <v>2118</v>
      </c>
      <c r="B216" s="357" t="s">
        <v>2119</v>
      </c>
      <c r="C216" s="358" t="s">
        <v>115</v>
      </c>
      <c r="D216" s="358" t="s">
        <v>116</v>
      </c>
      <c r="E216" s="358" t="s">
        <v>115</v>
      </c>
      <c r="F216" s="358" t="s">
        <v>115</v>
      </c>
      <c r="G216" s="358" t="s">
        <v>115</v>
      </c>
    </row>
    <row r="217" spans="1:7">
      <c r="A217" s="356" t="s">
        <v>2120</v>
      </c>
      <c r="B217" s="357" t="s">
        <v>2121</v>
      </c>
      <c r="C217" s="358" t="s">
        <v>116</v>
      </c>
      <c r="D217" s="358" t="s">
        <v>116</v>
      </c>
      <c r="E217" s="358" t="s">
        <v>116</v>
      </c>
      <c r="F217" s="358" t="s">
        <v>116</v>
      </c>
      <c r="G217" s="358" t="s">
        <v>116</v>
      </c>
    </row>
    <row r="218" spans="1:7">
      <c r="A218" s="356" t="s">
        <v>2122</v>
      </c>
      <c r="B218" s="357" t="s">
        <v>2109</v>
      </c>
      <c r="C218" s="358" t="s">
        <v>116</v>
      </c>
      <c r="D218" s="358" t="s">
        <v>116</v>
      </c>
      <c r="E218" s="358" t="s">
        <v>116</v>
      </c>
      <c r="F218" s="358" t="s">
        <v>116</v>
      </c>
      <c r="G218" s="358" t="s">
        <v>116</v>
      </c>
    </row>
    <row r="219" spans="1:7">
      <c r="A219" s="356" t="s">
        <v>2123</v>
      </c>
      <c r="B219" s="357" t="s">
        <v>2109</v>
      </c>
      <c r="C219" s="358" t="s">
        <v>116</v>
      </c>
      <c r="D219" s="358" t="s">
        <v>116</v>
      </c>
      <c r="E219" s="358" t="s">
        <v>116</v>
      </c>
      <c r="F219" s="358" t="s">
        <v>116</v>
      </c>
      <c r="G219" s="358" t="s">
        <v>116</v>
      </c>
    </row>
    <row r="220" spans="1:7">
      <c r="A220" s="356" t="s">
        <v>2124</v>
      </c>
      <c r="B220" s="357" t="s">
        <v>2125</v>
      </c>
      <c r="C220" s="358" t="s">
        <v>116</v>
      </c>
      <c r="D220" s="358" t="s">
        <v>116</v>
      </c>
      <c r="E220" s="358" t="s">
        <v>116</v>
      </c>
      <c r="F220" s="358" t="s">
        <v>116</v>
      </c>
      <c r="G220" s="358" t="s">
        <v>116</v>
      </c>
    </row>
    <row r="221" spans="1:7">
      <c r="A221" s="356" t="s">
        <v>2126</v>
      </c>
      <c r="B221" s="357" t="s">
        <v>2125</v>
      </c>
      <c r="C221" s="358" t="s">
        <v>116</v>
      </c>
      <c r="D221" s="358" t="s">
        <v>116</v>
      </c>
      <c r="E221" s="358" t="s">
        <v>116</v>
      </c>
      <c r="F221" s="358" t="s">
        <v>116</v>
      </c>
      <c r="G221" s="358" t="s">
        <v>116</v>
      </c>
    </row>
    <row r="222" spans="1:7">
      <c r="A222" s="356" t="s">
        <v>2127</v>
      </c>
      <c r="B222" s="357" t="s">
        <v>2128</v>
      </c>
      <c r="C222" s="358" t="s">
        <v>116</v>
      </c>
      <c r="D222" s="358" t="s">
        <v>116</v>
      </c>
      <c r="E222" s="358" t="s">
        <v>116</v>
      </c>
      <c r="F222" s="358" t="s">
        <v>116</v>
      </c>
      <c r="G222" s="358" t="s">
        <v>116</v>
      </c>
    </row>
    <row r="223" spans="1:7">
      <c r="A223" s="356" t="s">
        <v>2129</v>
      </c>
      <c r="B223" s="357" t="s">
        <v>2130</v>
      </c>
      <c r="C223" s="358" t="s">
        <v>116</v>
      </c>
      <c r="D223" s="358" t="s">
        <v>116</v>
      </c>
      <c r="E223" s="358" t="s">
        <v>116</v>
      </c>
      <c r="F223" s="358" t="s">
        <v>116</v>
      </c>
      <c r="G223" s="358" t="s">
        <v>116</v>
      </c>
    </row>
    <row r="224" spans="1:7">
      <c r="A224" s="356" t="s">
        <v>2131</v>
      </c>
      <c r="B224" s="357" t="s">
        <v>2132</v>
      </c>
      <c r="C224" s="358" t="s">
        <v>115</v>
      </c>
      <c r="D224" s="358" t="s">
        <v>116</v>
      </c>
      <c r="E224" s="358" t="s">
        <v>115</v>
      </c>
      <c r="F224" s="358" t="s">
        <v>115</v>
      </c>
      <c r="G224" s="358" t="s">
        <v>115</v>
      </c>
    </row>
    <row r="225" spans="1:7">
      <c r="A225" s="356" t="s">
        <v>2133</v>
      </c>
      <c r="B225" s="357" t="s">
        <v>2134</v>
      </c>
      <c r="C225" s="358" t="s">
        <v>116</v>
      </c>
      <c r="D225" s="358" t="s">
        <v>116</v>
      </c>
      <c r="E225" s="358" t="s">
        <v>116</v>
      </c>
      <c r="F225" s="358" t="s">
        <v>116</v>
      </c>
      <c r="G225" s="358" t="s">
        <v>116</v>
      </c>
    </row>
    <row r="226" spans="1:7">
      <c r="A226" s="356" t="s">
        <v>2133</v>
      </c>
      <c r="B226" s="357" t="s">
        <v>2134</v>
      </c>
      <c r="C226" s="358" t="s">
        <v>116</v>
      </c>
      <c r="D226" s="358" t="s">
        <v>116</v>
      </c>
      <c r="E226" s="358" t="s">
        <v>116</v>
      </c>
      <c r="F226" s="358" t="s">
        <v>116</v>
      </c>
      <c r="G226" s="358" t="s">
        <v>116</v>
      </c>
    </row>
    <row r="227" spans="1:7">
      <c r="A227" s="356" t="s">
        <v>2135</v>
      </c>
      <c r="B227" s="357" t="s">
        <v>2136</v>
      </c>
      <c r="C227" s="358" t="s">
        <v>116</v>
      </c>
      <c r="D227" s="358" t="s">
        <v>116</v>
      </c>
      <c r="E227" s="358" t="s">
        <v>116</v>
      </c>
      <c r="F227" s="358" t="s">
        <v>116</v>
      </c>
      <c r="G227" s="358" t="s">
        <v>116</v>
      </c>
    </row>
    <row r="228" spans="1:7">
      <c r="A228" s="356" t="s">
        <v>2137</v>
      </c>
      <c r="B228" s="357" t="s">
        <v>2138</v>
      </c>
      <c r="C228" s="358" t="s">
        <v>116</v>
      </c>
      <c r="D228" s="358" t="s">
        <v>116</v>
      </c>
      <c r="E228" s="358" t="s">
        <v>116</v>
      </c>
      <c r="F228" s="358" t="s">
        <v>116</v>
      </c>
      <c r="G228" s="358" t="s">
        <v>116</v>
      </c>
    </row>
    <row r="229" spans="1:7">
      <c r="A229" s="356" t="s">
        <v>2139</v>
      </c>
      <c r="B229" s="357" t="s">
        <v>2140</v>
      </c>
      <c r="C229" s="358" t="s">
        <v>116</v>
      </c>
      <c r="D229" s="358" t="s">
        <v>116</v>
      </c>
      <c r="E229" s="358" t="s">
        <v>116</v>
      </c>
      <c r="F229" s="358" t="s">
        <v>116</v>
      </c>
      <c r="G229" s="358" t="s">
        <v>116</v>
      </c>
    </row>
    <row r="230" spans="1:7">
      <c r="A230" s="356" t="s">
        <v>2141</v>
      </c>
      <c r="B230" s="357" t="s">
        <v>2142</v>
      </c>
      <c r="C230" s="358" t="s">
        <v>116</v>
      </c>
      <c r="D230" s="358" t="s">
        <v>116</v>
      </c>
      <c r="E230" s="358" t="s">
        <v>116</v>
      </c>
      <c r="F230" s="358" t="s">
        <v>116</v>
      </c>
      <c r="G230" s="358" t="s">
        <v>116</v>
      </c>
    </row>
    <row r="231" spans="1:7">
      <c r="A231" s="356" t="s">
        <v>2143</v>
      </c>
      <c r="B231" s="357" t="s">
        <v>2144</v>
      </c>
      <c r="C231" s="358" t="s">
        <v>116</v>
      </c>
      <c r="D231" s="358" t="s">
        <v>116</v>
      </c>
      <c r="E231" s="358" t="s">
        <v>116</v>
      </c>
      <c r="F231" s="358" t="s">
        <v>115</v>
      </c>
      <c r="G231" s="358" t="s">
        <v>115</v>
      </c>
    </row>
    <row r="232" spans="1:7">
      <c r="A232" s="356" t="s">
        <v>2145</v>
      </c>
      <c r="B232" s="357" t="s">
        <v>2146</v>
      </c>
      <c r="C232" s="358" t="s">
        <v>116</v>
      </c>
      <c r="D232" s="358" t="s">
        <v>116</v>
      </c>
      <c r="E232" s="358" t="s">
        <v>116</v>
      </c>
      <c r="F232" s="358" t="s">
        <v>116</v>
      </c>
      <c r="G232" s="358" t="s">
        <v>116</v>
      </c>
    </row>
    <row r="233" spans="1:7">
      <c r="A233" s="356" t="s">
        <v>2147</v>
      </c>
      <c r="B233" s="357" t="s">
        <v>2148</v>
      </c>
      <c r="C233" s="358" t="s">
        <v>116</v>
      </c>
      <c r="D233" s="358" t="s">
        <v>116</v>
      </c>
      <c r="E233" s="358" t="s">
        <v>116</v>
      </c>
      <c r="F233" s="358" t="s">
        <v>116</v>
      </c>
      <c r="G233" s="358" t="s">
        <v>116</v>
      </c>
    </row>
    <row r="234" spans="1:7">
      <c r="A234" s="356" t="s">
        <v>2149</v>
      </c>
      <c r="B234" s="357" t="s">
        <v>2150</v>
      </c>
      <c r="C234" s="358" t="s">
        <v>116</v>
      </c>
      <c r="D234" s="358" t="s">
        <v>116</v>
      </c>
      <c r="E234" s="358" t="s">
        <v>116</v>
      </c>
      <c r="F234" s="358" t="s">
        <v>116</v>
      </c>
      <c r="G234" s="358" t="s">
        <v>116</v>
      </c>
    </row>
    <row r="235" spans="1:7">
      <c r="A235" s="356" t="s">
        <v>2151</v>
      </c>
      <c r="B235" s="357" t="s">
        <v>2109</v>
      </c>
      <c r="C235" s="358" t="s">
        <v>116</v>
      </c>
      <c r="D235" s="358" t="s">
        <v>116</v>
      </c>
      <c r="E235" s="358" t="s">
        <v>116</v>
      </c>
      <c r="F235" s="358" t="s">
        <v>116</v>
      </c>
      <c r="G235" s="358" t="s">
        <v>116</v>
      </c>
    </row>
    <row r="236" spans="1:7">
      <c r="A236" s="356" t="s">
        <v>2152</v>
      </c>
      <c r="B236" s="357" t="s">
        <v>2153</v>
      </c>
      <c r="C236" s="358" t="s">
        <v>116</v>
      </c>
      <c r="D236" s="358" t="s">
        <v>116</v>
      </c>
      <c r="E236" s="358" t="s">
        <v>116</v>
      </c>
      <c r="F236" s="358" t="s">
        <v>116</v>
      </c>
      <c r="G236" s="358" t="s">
        <v>116</v>
      </c>
    </row>
    <row r="237" spans="1:7">
      <c r="A237" s="356" t="s">
        <v>2154</v>
      </c>
      <c r="B237" s="357" t="s">
        <v>1574</v>
      </c>
      <c r="C237" s="358" t="s">
        <v>115</v>
      </c>
      <c r="D237" s="358" t="s">
        <v>116</v>
      </c>
      <c r="E237" s="358" t="s">
        <v>115</v>
      </c>
      <c r="F237" s="358" t="s">
        <v>115</v>
      </c>
      <c r="G237" s="358" t="s">
        <v>115</v>
      </c>
    </row>
    <row r="238" spans="1:7">
      <c r="A238" s="356" t="s">
        <v>2155</v>
      </c>
      <c r="B238" s="357" t="s">
        <v>2156</v>
      </c>
      <c r="C238" s="358" t="s">
        <v>116</v>
      </c>
      <c r="D238" s="358" t="s">
        <v>116</v>
      </c>
      <c r="E238" s="358" t="s">
        <v>116</v>
      </c>
      <c r="F238" s="358" t="s">
        <v>116</v>
      </c>
      <c r="G238" s="358" t="s">
        <v>116</v>
      </c>
    </row>
    <row r="239" spans="1:7">
      <c r="A239" s="356" t="s">
        <v>2157</v>
      </c>
      <c r="B239" s="357" t="s">
        <v>2158</v>
      </c>
      <c r="C239" s="358" t="s">
        <v>1947</v>
      </c>
      <c r="D239" s="358" t="s">
        <v>1947</v>
      </c>
      <c r="E239" s="358" t="s">
        <v>1947</v>
      </c>
      <c r="F239" s="358" t="s">
        <v>1947</v>
      </c>
      <c r="G239" s="358" t="s">
        <v>1947</v>
      </c>
    </row>
    <row r="240" spans="1:7">
      <c r="A240" s="356" t="s">
        <v>2159</v>
      </c>
      <c r="B240" s="357" t="s">
        <v>2160</v>
      </c>
      <c r="C240" s="358" t="s">
        <v>116</v>
      </c>
      <c r="D240" s="358" t="s">
        <v>116</v>
      </c>
      <c r="E240" s="358" t="s">
        <v>116</v>
      </c>
      <c r="F240" s="358" t="s">
        <v>116</v>
      </c>
      <c r="G240" s="358" t="s">
        <v>116</v>
      </c>
    </row>
    <row r="241" spans="1:7">
      <c r="A241" s="356" t="s">
        <v>2161</v>
      </c>
      <c r="B241" s="357" t="s">
        <v>2162</v>
      </c>
      <c r="C241" s="358" t="s">
        <v>116</v>
      </c>
      <c r="D241" s="358" t="s">
        <v>116</v>
      </c>
      <c r="E241" s="358" t="s">
        <v>116</v>
      </c>
      <c r="F241" s="358" t="s">
        <v>116</v>
      </c>
      <c r="G241" s="358" t="s">
        <v>116</v>
      </c>
    </row>
    <row r="242" spans="1:7">
      <c r="A242" s="356" t="s">
        <v>2163</v>
      </c>
      <c r="B242" s="357" t="s">
        <v>2164</v>
      </c>
      <c r="C242" s="358" t="s">
        <v>116</v>
      </c>
      <c r="D242" s="358" t="s">
        <v>116</v>
      </c>
      <c r="E242" s="358" t="s">
        <v>116</v>
      </c>
      <c r="F242" s="358" t="s">
        <v>116</v>
      </c>
      <c r="G242" s="358" t="s">
        <v>116</v>
      </c>
    </row>
    <row r="243" spans="1:7">
      <c r="A243" s="356" t="s">
        <v>2165</v>
      </c>
      <c r="B243" s="357" t="s">
        <v>2166</v>
      </c>
      <c r="C243" s="358" t="s">
        <v>116</v>
      </c>
      <c r="D243" s="358" t="s">
        <v>116</v>
      </c>
      <c r="E243" s="358" t="s">
        <v>116</v>
      </c>
      <c r="F243" s="358" t="s">
        <v>116</v>
      </c>
      <c r="G243" s="358" t="s">
        <v>116</v>
      </c>
    </row>
    <row r="244" spans="1:7">
      <c r="A244" s="356" t="s">
        <v>2167</v>
      </c>
      <c r="B244" s="357" t="s">
        <v>2168</v>
      </c>
      <c r="C244" s="358" t="s">
        <v>116</v>
      </c>
      <c r="D244" s="358" t="s">
        <v>116</v>
      </c>
      <c r="E244" s="358" t="s">
        <v>116</v>
      </c>
      <c r="F244" s="358" t="s">
        <v>116</v>
      </c>
      <c r="G244" s="358" t="s">
        <v>116</v>
      </c>
    </row>
    <row r="245" spans="1:7">
      <c r="A245" s="356" t="s">
        <v>2169</v>
      </c>
      <c r="B245" s="357" t="s">
        <v>2170</v>
      </c>
      <c r="C245" s="358" t="s">
        <v>116</v>
      </c>
      <c r="D245" s="358" t="s">
        <v>116</v>
      </c>
      <c r="E245" s="358" t="s">
        <v>116</v>
      </c>
      <c r="F245" s="358" t="s">
        <v>116</v>
      </c>
      <c r="G245" s="358" t="s">
        <v>116</v>
      </c>
    </row>
    <row r="246" spans="1:7">
      <c r="A246" s="356" t="s">
        <v>2171</v>
      </c>
      <c r="B246" s="357" t="s">
        <v>2172</v>
      </c>
      <c r="C246" s="358" t="s">
        <v>116</v>
      </c>
      <c r="D246" s="358" t="s">
        <v>116</v>
      </c>
      <c r="E246" s="358" t="s">
        <v>116</v>
      </c>
      <c r="F246" s="358" t="s">
        <v>116</v>
      </c>
      <c r="G246" s="358" t="s">
        <v>116</v>
      </c>
    </row>
    <row r="247" spans="1:7">
      <c r="A247" s="356" t="s">
        <v>2173</v>
      </c>
      <c r="B247" s="357" t="s">
        <v>2174</v>
      </c>
      <c r="C247" s="358" t="s">
        <v>116</v>
      </c>
      <c r="D247" s="358" t="s">
        <v>116</v>
      </c>
      <c r="E247" s="358" t="s">
        <v>116</v>
      </c>
      <c r="F247" s="358" t="s">
        <v>116</v>
      </c>
      <c r="G247" s="358" t="s">
        <v>116</v>
      </c>
    </row>
    <row r="248" spans="1:7">
      <c r="A248" s="356" t="s">
        <v>2175</v>
      </c>
      <c r="B248" s="357" t="s">
        <v>2107</v>
      </c>
      <c r="C248" s="358" t="s">
        <v>116</v>
      </c>
      <c r="D248" s="358" t="s">
        <v>116</v>
      </c>
      <c r="E248" s="358" t="s">
        <v>116</v>
      </c>
      <c r="F248" s="358" t="s">
        <v>116</v>
      </c>
      <c r="G248" s="358" t="s">
        <v>116</v>
      </c>
    </row>
    <row r="249" spans="1:7">
      <c r="A249" s="356" t="s">
        <v>2176</v>
      </c>
      <c r="B249" s="357" t="s">
        <v>2177</v>
      </c>
      <c r="C249" s="358" t="s">
        <v>116</v>
      </c>
      <c r="D249" s="358" t="s">
        <v>116</v>
      </c>
      <c r="E249" s="358" t="s">
        <v>116</v>
      </c>
      <c r="F249" s="358" t="s">
        <v>116</v>
      </c>
      <c r="G249" s="358" t="s">
        <v>116</v>
      </c>
    </row>
    <row r="250" spans="1:7">
      <c r="A250" s="356" t="s">
        <v>2178</v>
      </c>
      <c r="B250" s="357" t="s">
        <v>2179</v>
      </c>
      <c r="C250" s="358" t="s">
        <v>116</v>
      </c>
      <c r="D250" s="358" t="s">
        <v>116</v>
      </c>
      <c r="E250" s="358" t="s">
        <v>116</v>
      </c>
      <c r="F250" s="358" t="s">
        <v>116</v>
      </c>
      <c r="G250" s="358" t="s">
        <v>116</v>
      </c>
    </row>
    <row r="251" spans="1:7">
      <c r="A251" s="356" t="s">
        <v>2180</v>
      </c>
      <c r="B251" s="357" t="s">
        <v>1577</v>
      </c>
      <c r="C251" s="358" t="s">
        <v>116</v>
      </c>
      <c r="D251" s="358" t="s">
        <v>116</v>
      </c>
      <c r="E251" s="358" t="s">
        <v>116</v>
      </c>
      <c r="F251" s="358" t="s">
        <v>116</v>
      </c>
      <c r="G251" s="358" t="s">
        <v>116</v>
      </c>
    </row>
    <row r="252" spans="1:7">
      <c r="A252" s="356" t="s">
        <v>2180</v>
      </c>
      <c r="B252" s="357" t="s">
        <v>1577</v>
      </c>
      <c r="C252" s="358" t="s">
        <v>116</v>
      </c>
      <c r="D252" s="358" t="s">
        <v>116</v>
      </c>
      <c r="E252" s="358" t="s">
        <v>116</v>
      </c>
      <c r="F252" s="358" t="s">
        <v>116</v>
      </c>
      <c r="G252" s="358" t="s">
        <v>116</v>
      </c>
    </row>
    <row r="253" spans="1:7">
      <c r="A253" s="356" t="s">
        <v>2181</v>
      </c>
      <c r="B253" s="357" t="s">
        <v>2182</v>
      </c>
      <c r="C253" s="358" t="s">
        <v>116</v>
      </c>
      <c r="D253" s="358" t="s">
        <v>116</v>
      </c>
      <c r="E253" s="358" t="s">
        <v>116</v>
      </c>
      <c r="F253" s="358" t="s">
        <v>116</v>
      </c>
      <c r="G253" s="358" t="s">
        <v>116</v>
      </c>
    </row>
    <row r="254" spans="1:7">
      <c r="A254" s="356" t="s">
        <v>2183</v>
      </c>
      <c r="B254" s="357" t="s">
        <v>2184</v>
      </c>
      <c r="C254" s="358" t="s">
        <v>116</v>
      </c>
      <c r="D254" s="358" t="s">
        <v>116</v>
      </c>
      <c r="E254" s="358" t="s">
        <v>116</v>
      </c>
      <c r="F254" s="358" t="s">
        <v>116</v>
      </c>
      <c r="G254" s="358" t="s">
        <v>116</v>
      </c>
    </row>
    <row r="255" spans="1:7">
      <c r="A255" s="356" t="s">
        <v>2185</v>
      </c>
      <c r="B255" s="357" t="s">
        <v>2186</v>
      </c>
      <c r="C255" s="358" t="s">
        <v>116</v>
      </c>
      <c r="D255" s="358" t="s">
        <v>116</v>
      </c>
      <c r="E255" s="358" t="s">
        <v>116</v>
      </c>
      <c r="F255" s="358" t="s">
        <v>116</v>
      </c>
      <c r="G255" s="358" t="s">
        <v>116</v>
      </c>
    </row>
    <row r="256" spans="1:7">
      <c r="A256" s="356" t="s">
        <v>2183</v>
      </c>
      <c r="B256" s="357" t="s">
        <v>2187</v>
      </c>
      <c r="C256" s="358" t="s">
        <v>116</v>
      </c>
      <c r="D256" s="358" t="s">
        <v>116</v>
      </c>
      <c r="E256" s="358" t="s">
        <v>116</v>
      </c>
      <c r="F256" s="358" t="s">
        <v>116</v>
      </c>
      <c r="G256" s="358" t="s">
        <v>116</v>
      </c>
    </row>
    <row r="257" spans="1:7">
      <c r="A257" s="356" t="s">
        <v>2188</v>
      </c>
      <c r="B257" s="357" t="s">
        <v>2189</v>
      </c>
      <c r="C257" s="358" t="s">
        <v>116</v>
      </c>
      <c r="D257" s="358" t="s">
        <v>116</v>
      </c>
      <c r="E257" s="358" t="s">
        <v>116</v>
      </c>
      <c r="F257" s="358" t="s">
        <v>116</v>
      </c>
      <c r="G257" s="358" t="s">
        <v>116</v>
      </c>
    </row>
    <row r="258" spans="1:7">
      <c r="A258" s="356" t="s">
        <v>2190</v>
      </c>
      <c r="B258" s="357" t="s">
        <v>2191</v>
      </c>
      <c r="C258" s="358" t="s">
        <v>116</v>
      </c>
      <c r="D258" s="358" t="s">
        <v>116</v>
      </c>
      <c r="E258" s="358" t="s">
        <v>116</v>
      </c>
      <c r="F258" s="358" t="s">
        <v>116</v>
      </c>
      <c r="G258" s="358" t="s">
        <v>116</v>
      </c>
    </row>
    <row r="259" spans="1:7">
      <c r="A259" s="356" t="s">
        <v>2192</v>
      </c>
      <c r="B259" s="357" t="s">
        <v>2193</v>
      </c>
      <c r="C259" s="358" t="s">
        <v>116</v>
      </c>
      <c r="D259" s="358" t="s">
        <v>116</v>
      </c>
      <c r="E259" s="358" t="s">
        <v>116</v>
      </c>
      <c r="F259" s="358" t="s">
        <v>116</v>
      </c>
      <c r="G259" s="358" t="s">
        <v>116</v>
      </c>
    </row>
    <row r="260" spans="1:7">
      <c r="A260" s="356" t="s">
        <v>2194</v>
      </c>
      <c r="B260" s="357" t="s">
        <v>2195</v>
      </c>
      <c r="C260" s="358" t="s">
        <v>116</v>
      </c>
      <c r="D260" s="358" t="s">
        <v>116</v>
      </c>
      <c r="E260" s="358" t="s">
        <v>116</v>
      </c>
      <c r="F260" s="358" t="s">
        <v>116</v>
      </c>
      <c r="G260" s="358" t="s">
        <v>116</v>
      </c>
    </row>
    <row r="261" spans="1:7">
      <c r="A261" s="356" t="s">
        <v>2196</v>
      </c>
      <c r="B261" s="357" t="s">
        <v>2197</v>
      </c>
      <c r="C261" s="358" t="s">
        <v>116</v>
      </c>
      <c r="D261" s="358" t="s">
        <v>116</v>
      </c>
      <c r="E261" s="358" t="s">
        <v>116</v>
      </c>
      <c r="F261" s="358" t="s">
        <v>116</v>
      </c>
      <c r="G261" s="358" t="s">
        <v>116</v>
      </c>
    </row>
    <row r="262" spans="1:7">
      <c r="A262" s="356" t="s">
        <v>2198</v>
      </c>
      <c r="B262" s="357" t="s">
        <v>2199</v>
      </c>
      <c r="C262" s="358" t="s">
        <v>116</v>
      </c>
      <c r="D262" s="358" t="s">
        <v>116</v>
      </c>
      <c r="E262" s="358" t="s">
        <v>116</v>
      </c>
      <c r="F262" s="358" t="s">
        <v>116</v>
      </c>
      <c r="G262" s="358" t="s">
        <v>116</v>
      </c>
    </row>
    <row r="263" spans="1:7">
      <c r="A263" s="356" t="s">
        <v>2200</v>
      </c>
      <c r="B263" s="357" t="s">
        <v>2201</v>
      </c>
      <c r="C263" s="358" t="s">
        <v>116</v>
      </c>
      <c r="D263" s="358" t="s">
        <v>116</v>
      </c>
      <c r="E263" s="358" t="s">
        <v>116</v>
      </c>
      <c r="F263" s="358" t="s">
        <v>116</v>
      </c>
      <c r="G263" s="358" t="s">
        <v>116</v>
      </c>
    </row>
    <row r="264" spans="1:7">
      <c r="A264" s="356" t="s">
        <v>2202</v>
      </c>
      <c r="B264" s="357" t="s">
        <v>2203</v>
      </c>
      <c r="C264" s="358" t="s">
        <v>116</v>
      </c>
      <c r="D264" s="358" t="s">
        <v>116</v>
      </c>
      <c r="E264" s="358" t="s">
        <v>116</v>
      </c>
      <c r="F264" s="358" t="s">
        <v>116</v>
      </c>
      <c r="G264" s="358" t="s">
        <v>116</v>
      </c>
    </row>
    <row r="265" spans="1:7">
      <c r="A265" s="356" t="s">
        <v>2204</v>
      </c>
      <c r="B265" s="357" t="s">
        <v>2205</v>
      </c>
      <c r="C265" s="358" t="s">
        <v>116</v>
      </c>
      <c r="D265" s="358" t="s">
        <v>116</v>
      </c>
      <c r="E265" s="358" t="s">
        <v>116</v>
      </c>
      <c r="F265" s="358" t="s">
        <v>116</v>
      </c>
      <c r="G265" s="358" t="s">
        <v>116</v>
      </c>
    </row>
    <row r="266" spans="1:7">
      <c r="A266" s="356" t="s">
        <v>2206</v>
      </c>
      <c r="B266" s="357" t="s">
        <v>2207</v>
      </c>
      <c r="C266" s="358" t="s">
        <v>116</v>
      </c>
      <c r="D266" s="358" t="s">
        <v>116</v>
      </c>
      <c r="E266" s="358" t="s">
        <v>116</v>
      </c>
      <c r="F266" s="358" t="s">
        <v>116</v>
      </c>
      <c r="G266" s="358" t="s">
        <v>116</v>
      </c>
    </row>
    <row r="267" spans="1:7">
      <c r="A267" s="356" t="s">
        <v>2208</v>
      </c>
      <c r="B267" s="357" t="s">
        <v>2209</v>
      </c>
      <c r="C267" s="358" t="s">
        <v>116</v>
      </c>
      <c r="D267" s="358" t="s">
        <v>116</v>
      </c>
      <c r="E267" s="358" t="s">
        <v>116</v>
      </c>
      <c r="F267" s="358" t="s">
        <v>116</v>
      </c>
      <c r="G267" s="358" t="s">
        <v>116</v>
      </c>
    </row>
    <row r="268" spans="1:7">
      <c r="A268" s="356" t="s">
        <v>2208</v>
      </c>
      <c r="B268" s="357" t="s">
        <v>2209</v>
      </c>
      <c r="C268" s="358" t="s">
        <v>1947</v>
      </c>
      <c r="D268" s="358" t="s">
        <v>1947</v>
      </c>
      <c r="E268" s="358" t="s">
        <v>1947</v>
      </c>
      <c r="F268" s="358" t="s">
        <v>1947</v>
      </c>
      <c r="G268" s="358" t="s">
        <v>1947</v>
      </c>
    </row>
    <row r="269" spans="1:7">
      <c r="A269" s="356" t="s">
        <v>2210</v>
      </c>
      <c r="B269" s="357" t="s">
        <v>2211</v>
      </c>
      <c r="C269" s="358" t="s">
        <v>116</v>
      </c>
      <c r="D269" s="358" t="s">
        <v>116</v>
      </c>
      <c r="E269" s="358" t="s">
        <v>116</v>
      </c>
      <c r="F269" s="358" t="s">
        <v>116</v>
      </c>
      <c r="G269" s="358" t="s">
        <v>116</v>
      </c>
    </row>
    <row r="270" spans="1:7">
      <c r="A270" s="356" t="s">
        <v>2212</v>
      </c>
      <c r="B270" s="357" t="s">
        <v>2213</v>
      </c>
      <c r="C270" s="358" t="s">
        <v>116</v>
      </c>
      <c r="D270" s="358" t="s">
        <v>116</v>
      </c>
      <c r="E270" s="358" t="s">
        <v>116</v>
      </c>
      <c r="F270" s="358" t="s">
        <v>116</v>
      </c>
      <c r="G270" s="358" t="s">
        <v>116</v>
      </c>
    </row>
    <row r="271" spans="1:7">
      <c r="A271" s="356" t="s">
        <v>2214</v>
      </c>
      <c r="B271" s="357" t="s">
        <v>2215</v>
      </c>
      <c r="C271" s="358" t="s">
        <v>116</v>
      </c>
      <c r="D271" s="358" t="s">
        <v>116</v>
      </c>
      <c r="E271" s="358" t="s">
        <v>116</v>
      </c>
      <c r="F271" s="358" t="s">
        <v>116</v>
      </c>
      <c r="G271" s="358" t="s">
        <v>116</v>
      </c>
    </row>
    <row r="272" spans="1:7">
      <c r="A272" s="356" t="s">
        <v>2216</v>
      </c>
      <c r="B272" s="357" t="s">
        <v>2217</v>
      </c>
      <c r="C272" s="358" t="s">
        <v>116</v>
      </c>
      <c r="D272" s="358" t="s">
        <v>116</v>
      </c>
      <c r="E272" s="358" t="s">
        <v>115</v>
      </c>
      <c r="F272" s="358" t="s">
        <v>115</v>
      </c>
      <c r="G272" s="358" t="s">
        <v>115</v>
      </c>
    </row>
    <row r="273" spans="1:7">
      <c r="A273" s="356" t="s">
        <v>2218</v>
      </c>
      <c r="B273" s="357" t="s">
        <v>2217</v>
      </c>
      <c r="C273" s="358" t="s">
        <v>116</v>
      </c>
      <c r="D273" s="358" t="s">
        <v>116</v>
      </c>
      <c r="E273" s="358" t="s">
        <v>116</v>
      </c>
      <c r="F273" s="358" t="s">
        <v>115</v>
      </c>
      <c r="G273" s="358" t="s">
        <v>115</v>
      </c>
    </row>
    <row r="274" spans="1:7">
      <c r="A274" s="356" t="s">
        <v>2219</v>
      </c>
      <c r="B274" s="357" t="s">
        <v>2220</v>
      </c>
      <c r="C274" s="358" t="s">
        <v>1947</v>
      </c>
      <c r="D274" s="358" t="s">
        <v>1947</v>
      </c>
      <c r="E274" s="358" t="s">
        <v>1947</v>
      </c>
      <c r="F274" s="358" t="s">
        <v>1947</v>
      </c>
      <c r="G274" s="358" t="s">
        <v>1947</v>
      </c>
    </row>
    <row r="275" spans="1:7">
      <c r="A275" s="356" t="s">
        <v>2219</v>
      </c>
      <c r="B275" s="357" t="s">
        <v>2220</v>
      </c>
      <c r="C275" s="358" t="s">
        <v>115</v>
      </c>
      <c r="D275" s="358" t="s">
        <v>116</v>
      </c>
      <c r="E275" s="358" t="s">
        <v>115</v>
      </c>
      <c r="F275" s="358" t="s">
        <v>115</v>
      </c>
      <c r="G275" s="358" t="s">
        <v>115</v>
      </c>
    </row>
    <row r="276" spans="1:7">
      <c r="A276" s="356" t="s">
        <v>2221</v>
      </c>
      <c r="B276" s="357" t="s">
        <v>2222</v>
      </c>
      <c r="C276" s="358" t="s">
        <v>116</v>
      </c>
      <c r="D276" s="358" t="s">
        <v>116</v>
      </c>
      <c r="E276" s="358" t="s">
        <v>116</v>
      </c>
      <c r="F276" s="358" t="s">
        <v>116</v>
      </c>
      <c r="G276" s="358" t="s">
        <v>116</v>
      </c>
    </row>
    <row r="277" spans="1:7">
      <c r="A277" s="356" t="s">
        <v>2223</v>
      </c>
      <c r="B277" s="357" t="s">
        <v>2224</v>
      </c>
      <c r="C277" s="358" t="s">
        <v>116</v>
      </c>
      <c r="D277" s="358" t="s">
        <v>116</v>
      </c>
      <c r="E277" s="358" t="s">
        <v>116</v>
      </c>
      <c r="F277" s="358" t="s">
        <v>116</v>
      </c>
      <c r="G277" s="358" t="s">
        <v>116</v>
      </c>
    </row>
    <row r="278" spans="1:7">
      <c r="A278" s="356" t="s">
        <v>2225</v>
      </c>
      <c r="B278" s="357" t="s">
        <v>2226</v>
      </c>
      <c r="C278" s="358" t="s">
        <v>116</v>
      </c>
      <c r="D278" s="358" t="s">
        <v>116</v>
      </c>
      <c r="E278" s="358" t="s">
        <v>116</v>
      </c>
      <c r="F278" s="358" t="s">
        <v>116</v>
      </c>
      <c r="G278" s="358" t="s">
        <v>116</v>
      </c>
    </row>
    <row r="279" spans="1:7">
      <c r="A279" s="356" t="s">
        <v>2227</v>
      </c>
      <c r="B279" s="357" t="s">
        <v>2228</v>
      </c>
      <c r="C279" s="358" t="s">
        <v>116</v>
      </c>
      <c r="D279" s="358" t="s">
        <v>116</v>
      </c>
      <c r="E279" s="358" t="s">
        <v>116</v>
      </c>
      <c r="F279" s="358" t="s">
        <v>116</v>
      </c>
      <c r="G279" s="358" t="s">
        <v>116</v>
      </c>
    </row>
    <row r="280" spans="1:7">
      <c r="A280" s="356" t="s">
        <v>2229</v>
      </c>
      <c r="B280" s="357" t="s">
        <v>2230</v>
      </c>
      <c r="C280" s="358" t="s">
        <v>116</v>
      </c>
      <c r="D280" s="358" t="s">
        <v>116</v>
      </c>
      <c r="E280" s="358" t="s">
        <v>116</v>
      </c>
      <c r="F280" s="358" t="s">
        <v>116</v>
      </c>
      <c r="G280" s="358" t="s">
        <v>116</v>
      </c>
    </row>
    <row r="281" spans="1:7">
      <c r="A281" s="356" t="s">
        <v>2231</v>
      </c>
      <c r="B281" s="357" t="s">
        <v>2232</v>
      </c>
      <c r="C281" s="358" t="s">
        <v>116</v>
      </c>
      <c r="D281" s="358" t="s">
        <v>116</v>
      </c>
      <c r="E281" s="358" t="s">
        <v>116</v>
      </c>
      <c r="F281" s="358" t="s">
        <v>116</v>
      </c>
      <c r="G281" s="358" t="s">
        <v>116</v>
      </c>
    </row>
    <row r="282" spans="1:7">
      <c r="A282" s="356" t="s">
        <v>2233</v>
      </c>
      <c r="B282" s="357" t="s">
        <v>2234</v>
      </c>
      <c r="C282" s="358" t="s">
        <v>116</v>
      </c>
      <c r="D282" s="358" t="s">
        <v>116</v>
      </c>
      <c r="E282" s="358" t="s">
        <v>116</v>
      </c>
      <c r="F282" s="358" t="s">
        <v>116</v>
      </c>
      <c r="G282" s="358" t="s">
        <v>116</v>
      </c>
    </row>
    <row r="283" spans="1:7">
      <c r="A283" s="356" t="s">
        <v>2235</v>
      </c>
      <c r="B283" s="357" t="s">
        <v>2236</v>
      </c>
      <c r="C283" s="358" t="s">
        <v>116</v>
      </c>
      <c r="D283" s="358" t="s">
        <v>116</v>
      </c>
      <c r="E283" s="358" t="s">
        <v>116</v>
      </c>
      <c r="F283" s="358" t="s">
        <v>116</v>
      </c>
      <c r="G283" s="358" t="s">
        <v>116</v>
      </c>
    </row>
    <row r="284" spans="1:7">
      <c r="A284" s="356" t="s">
        <v>2235</v>
      </c>
      <c r="B284" s="357" t="s">
        <v>933</v>
      </c>
      <c r="C284" s="358" t="s">
        <v>116</v>
      </c>
      <c r="D284" s="358" t="s">
        <v>116</v>
      </c>
      <c r="E284" s="358" t="s">
        <v>116</v>
      </c>
      <c r="F284" s="358" t="s">
        <v>116</v>
      </c>
      <c r="G284" s="358" t="s">
        <v>116</v>
      </c>
    </row>
    <row r="285" spans="1:7">
      <c r="A285" s="356" t="s">
        <v>2237</v>
      </c>
      <c r="B285" s="357" t="s">
        <v>2238</v>
      </c>
      <c r="C285" s="358" t="s">
        <v>116</v>
      </c>
      <c r="D285" s="358" t="s">
        <v>116</v>
      </c>
      <c r="E285" s="358" t="s">
        <v>116</v>
      </c>
      <c r="F285" s="358" t="s">
        <v>116</v>
      </c>
      <c r="G285" s="358" t="s">
        <v>116</v>
      </c>
    </row>
    <row r="286" spans="1:7">
      <c r="A286" s="356" t="s">
        <v>2239</v>
      </c>
      <c r="B286" s="357" t="s">
        <v>2240</v>
      </c>
      <c r="C286" s="358" t="s">
        <v>116</v>
      </c>
      <c r="D286" s="358" t="s">
        <v>116</v>
      </c>
      <c r="E286" s="358" t="s">
        <v>116</v>
      </c>
      <c r="F286" s="358" t="s">
        <v>116</v>
      </c>
      <c r="G286" s="358" t="s">
        <v>116</v>
      </c>
    </row>
    <row r="287" spans="1:7">
      <c r="A287" s="356" t="s">
        <v>2241</v>
      </c>
      <c r="B287" s="357" t="s">
        <v>2242</v>
      </c>
      <c r="C287" s="358" t="s">
        <v>116</v>
      </c>
      <c r="D287" s="358" t="s">
        <v>116</v>
      </c>
      <c r="E287" s="358" t="s">
        <v>116</v>
      </c>
      <c r="F287" s="358" t="s">
        <v>116</v>
      </c>
      <c r="G287" s="358" t="s">
        <v>116</v>
      </c>
    </row>
    <row r="288" spans="1:7">
      <c r="A288" s="356" t="s">
        <v>2243</v>
      </c>
      <c r="B288" s="357" t="s">
        <v>2244</v>
      </c>
      <c r="C288" s="358" t="s">
        <v>116</v>
      </c>
      <c r="D288" s="358" t="s">
        <v>116</v>
      </c>
      <c r="E288" s="358" t="s">
        <v>116</v>
      </c>
      <c r="F288" s="358" t="s">
        <v>116</v>
      </c>
      <c r="G288" s="358" t="s">
        <v>116</v>
      </c>
    </row>
    <row r="289" spans="1:7">
      <c r="A289" s="356" t="s">
        <v>2245</v>
      </c>
      <c r="B289" s="357" t="s">
        <v>2156</v>
      </c>
      <c r="C289" s="358" t="s">
        <v>116</v>
      </c>
      <c r="D289" s="358" t="s">
        <v>116</v>
      </c>
      <c r="E289" s="358" t="s">
        <v>115</v>
      </c>
      <c r="F289" s="358" t="s">
        <v>116</v>
      </c>
      <c r="G289" s="358" t="s">
        <v>116</v>
      </c>
    </row>
    <row r="290" spans="1:7">
      <c r="A290" s="356" t="s">
        <v>2245</v>
      </c>
      <c r="B290" s="357" t="s">
        <v>2156</v>
      </c>
      <c r="C290" s="358" t="s">
        <v>1947</v>
      </c>
      <c r="D290" s="358" t="s">
        <v>1947</v>
      </c>
      <c r="E290" s="358" t="s">
        <v>1947</v>
      </c>
      <c r="F290" s="358" t="s">
        <v>1947</v>
      </c>
      <c r="G290" s="358" t="s">
        <v>1947</v>
      </c>
    </row>
    <row r="291" spans="1:7">
      <c r="A291" s="356" t="s">
        <v>2246</v>
      </c>
      <c r="B291" s="357" t="s">
        <v>2184</v>
      </c>
      <c r="C291" s="358" t="s">
        <v>116</v>
      </c>
      <c r="D291" s="358" t="s">
        <v>116</v>
      </c>
      <c r="E291" s="358" t="s">
        <v>116</v>
      </c>
      <c r="F291" s="358" t="s">
        <v>116</v>
      </c>
      <c r="G291" s="358" t="s">
        <v>116</v>
      </c>
    </row>
    <row r="292" spans="1:7">
      <c r="A292" s="356" t="s">
        <v>2247</v>
      </c>
      <c r="B292" s="357" t="s">
        <v>2156</v>
      </c>
      <c r="C292" s="358" t="s">
        <v>116</v>
      </c>
      <c r="D292" s="358" t="s">
        <v>116</v>
      </c>
      <c r="E292" s="358" t="s">
        <v>116</v>
      </c>
      <c r="F292" s="358" t="s">
        <v>116</v>
      </c>
      <c r="G292" s="358" t="s">
        <v>116</v>
      </c>
    </row>
    <row r="293" spans="1:7">
      <c r="A293" s="356" t="s">
        <v>2248</v>
      </c>
      <c r="B293" s="357" t="s">
        <v>2249</v>
      </c>
      <c r="C293" s="358" t="s">
        <v>116</v>
      </c>
      <c r="D293" s="358" t="s">
        <v>116</v>
      </c>
      <c r="E293" s="358" t="s">
        <v>116</v>
      </c>
      <c r="F293" s="358" t="s">
        <v>116</v>
      </c>
      <c r="G293" s="358" t="s">
        <v>116</v>
      </c>
    </row>
    <row r="294" spans="1:7">
      <c r="A294" s="356" t="s">
        <v>2250</v>
      </c>
      <c r="B294" s="357" t="s">
        <v>2251</v>
      </c>
      <c r="C294" s="358" t="s">
        <v>116</v>
      </c>
      <c r="D294" s="358" t="s">
        <v>116</v>
      </c>
      <c r="E294" s="358" t="s">
        <v>116</v>
      </c>
      <c r="F294" s="358" t="s">
        <v>116</v>
      </c>
      <c r="G294" s="358" t="s">
        <v>116</v>
      </c>
    </row>
    <row r="295" spans="1:7">
      <c r="A295" s="356" t="s">
        <v>2250</v>
      </c>
      <c r="B295" s="357" t="s">
        <v>2251</v>
      </c>
      <c r="C295" s="358" t="s">
        <v>1947</v>
      </c>
      <c r="D295" s="358" t="s">
        <v>1947</v>
      </c>
      <c r="E295" s="358" t="s">
        <v>1947</v>
      </c>
      <c r="F295" s="358" t="s">
        <v>1947</v>
      </c>
      <c r="G295" s="358" t="s">
        <v>1947</v>
      </c>
    </row>
    <row r="296" spans="1:7">
      <c r="A296" s="356" t="s">
        <v>2252</v>
      </c>
      <c r="B296" s="357" t="s">
        <v>2253</v>
      </c>
      <c r="C296" s="358" t="s">
        <v>116</v>
      </c>
      <c r="D296" s="358" t="s">
        <v>116</v>
      </c>
      <c r="E296" s="358" t="s">
        <v>116</v>
      </c>
      <c r="F296" s="358" t="s">
        <v>116</v>
      </c>
      <c r="G296" s="358" t="s">
        <v>116</v>
      </c>
    </row>
    <row r="297" spans="1:7">
      <c r="A297" s="356" t="s">
        <v>2254</v>
      </c>
      <c r="B297" s="357" t="s">
        <v>2255</v>
      </c>
      <c r="C297" s="358" t="s">
        <v>116</v>
      </c>
      <c r="D297" s="358" t="s">
        <v>116</v>
      </c>
      <c r="E297" s="358" t="s">
        <v>116</v>
      </c>
      <c r="F297" s="358" t="s">
        <v>116</v>
      </c>
      <c r="G297" s="358" t="s">
        <v>116</v>
      </c>
    </row>
    <row r="298" spans="1:7">
      <c r="A298" s="356" t="s">
        <v>2256</v>
      </c>
      <c r="B298" s="357" t="s">
        <v>2257</v>
      </c>
      <c r="C298" s="358" t="s">
        <v>116</v>
      </c>
      <c r="D298" s="358" t="s">
        <v>116</v>
      </c>
      <c r="E298" s="358" t="s">
        <v>116</v>
      </c>
      <c r="F298" s="358" t="s">
        <v>116</v>
      </c>
      <c r="G298" s="358" t="s">
        <v>116</v>
      </c>
    </row>
    <row r="299" spans="1:7">
      <c r="A299" s="356" t="s">
        <v>2258</v>
      </c>
      <c r="B299" s="357" t="s">
        <v>2259</v>
      </c>
      <c r="C299" s="358" t="s">
        <v>116</v>
      </c>
      <c r="D299" s="358" t="s">
        <v>116</v>
      </c>
      <c r="E299" s="358" t="s">
        <v>116</v>
      </c>
      <c r="F299" s="358" t="s">
        <v>116</v>
      </c>
      <c r="G299" s="358" t="s">
        <v>116</v>
      </c>
    </row>
    <row r="300" spans="1:7">
      <c r="A300" s="356" t="s">
        <v>2260</v>
      </c>
      <c r="B300" s="357" t="s">
        <v>2261</v>
      </c>
      <c r="C300" s="358" t="s">
        <v>116</v>
      </c>
      <c r="D300" s="358" t="s">
        <v>116</v>
      </c>
      <c r="E300" s="358" t="s">
        <v>116</v>
      </c>
      <c r="F300" s="358" t="s">
        <v>116</v>
      </c>
      <c r="G300" s="358" t="s">
        <v>116</v>
      </c>
    </row>
    <row r="301" spans="1:7">
      <c r="A301" s="356" t="s">
        <v>2262</v>
      </c>
      <c r="B301" s="357" t="s">
        <v>2263</v>
      </c>
      <c r="C301" s="358" t="s">
        <v>116</v>
      </c>
      <c r="D301" s="358" t="s">
        <v>116</v>
      </c>
      <c r="E301" s="358" t="s">
        <v>116</v>
      </c>
      <c r="F301" s="358" t="s">
        <v>116</v>
      </c>
      <c r="G301" s="358" t="s">
        <v>116</v>
      </c>
    </row>
    <row r="302" spans="1:7">
      <c r="A302" s="356" t="s">
        <v>2264</v>
      </c>
      <c r="B302" s="357" t="s">
        <v>2265</v>
      </c>
      <c r="C302" s="358" t="s">
        <v>1947</v>
      </c>
      <c r="D302" s="358" t="s">
        <v>1947</v>
      </c>
      <c r="E302" s="358" t="s">
        <v>1947</v>
      </c>
      <c r="F302" s="358" t="s">
        <v>1947</v>
      </c>
      <c r="G302" s="358" t="s">
        <v>1947</v>
      </c>
    </row>
    <row r="303" spans="1:7">
      <c r="A303" s="356" t="s">
        <v>2264</v>
      </c>
      <c r="B303" s="357" t="s">
        <v>2265</v>
      </c>
      <c r="C303" s="358" t="s">
        <v>116</v>
      </c>
      <c r="D303" s="358" t="s">
        <v>116</v>
      </c>
      <c r="E303" s="358" t="s">
        <v>116</v>
      </c>
      <c r="F303" s="358" t="s">
        <v>116</v>
      </c>
      <c r="G303" s="358" t="s">
        <v>116</v>
      </c>
    </row>
    <row r="304" spans="1:7">
      <c r="A304" s="356" t="s">
        <v>2266</v>
      </c>
      <c r="B304" s="357" t="s">
        <v>2267</v>
      </c>
      <c r="C304" s="358" t="s">
        <v>116</v>
      </c>
      <c r="D304" s="358" t="s">
        <v>116</v>
      </c>
      <c r="E304" s="358" t="s">
        <v>116</v>
      </c>
      <c r="F304" s="358" t="s">
        <v>116</v>
      </c>
      <c r="G304" s="358" t="s">
        <v>116</v>
      </c>
    </row>
    <row r="305" spans="1:7">
      <c r="A305" s="356" t="s">
        <v>2268</v>
      </c>
      <c r="B305" s="357" t="s">
        <v>2269</v>
      </c>
      <c r="C305" s="358" t="s">
        <v>116</v>
      </c>
      <c r="D305" s="358" t="s">
        <v>116</v>
      </c>
      <c r="E305" s="358" t="s">
        <v>116</v>
      </c>
      <c r="F305" s="358" t="s">
        <v>116</v>
      </c>
      <c r="G305" s="358" t="s">
        <v>116</v>
      </c>
    </row>
    <row r="306" spans="1:7">
      <c r="A306" s="356" t="s">
        <v>2270</v>
      </c>
      <c r="B306" s="357" t="s">
        <v>2271</v>
      </c>
      <c r="C306" s="358" t="s">
        <v>116</v>
      </c>
      <c r="D306" s="358" t="s">
        <v>116</v>
      </c>
      <c r="E306" s="358" t="s">
        <v>116</v>
      </c>
      <c r="F306" s="358" t="s">
        <v>116</v>
      </c>
      <c r="G306" s="358" t="s">
        <v>116</v>
      </c>
    </row>
    <row r="307" spans="1:7">
      <c r="A307" s="356" t="s">
        <v>2272</v>
      </c>
      <c r="B307" s="357" t="s">
        <v>1947</v>
      </c>
      <c r="C307" s="358" t="s">
        <v>116</v>
      </c>
      <c r="D307" s="358" t="s">
        <v>116</v>
      </c>
      <c r="E307" s="358" t="s">
        <v>116</v>
      </c>
      <c r="F307" s="358" t="s">
        <v>116</v>
      </c>
      <c r="G307" s="358" t="s">
        <v>116</v>
      </c>
    </row>
    <row r="308" spans="1:7">
      <c r="A308" s="356" t="s">
        <v>2273</v>
      </c>
      <c r="B308" s="357" t="s">
        <v>2274</v>
      </c>
      <c r="C308" s="358" t="s">
        <v>116</v>
      </c>
      <c r="D308" s="358" t="s">
        <v>116</v>
      </c>
      <c r="E308" s="358" t="s">
        <v>116</v>
      </c>
      <c r="F308" s="358" t="s">
        <v>116</v>
      </c>
      <c r="G308" s="358" t="s">
        <v>116</v>
      </c>
    </row>
    <row r="309" spans="1:7">
      <c r="A309" s="356" t="s">
        <v>2275</v>
      </c>
      <c r="B309" s="357" t="s">
        <v>1585</v>
      </c>
      <c r="C309" s="358" t="s">
        <v>116</v>
      </c>
      <c r="D309" s="358" t="s">
        <v>116</v>
      </c>
      <c r="E309" s="358" t="s">
        <v>115</v>
      </c>
      <c r="F309" s="358" t="s">
        <v>115</v>
      </c>
      <c r="G309" s="358" t="s">
        <v>115</v>
      </c>
    </row>
    <row r="310" spans="1:7">
      <c r="A310" s="356" t="s">
        <v>2275</v>
      </c>
      <c r="B310" s="357" t="s">
        <v>1585</v>
      </c>
      <c r="C310" s="358" t="s">
        <v>1947</v>
      </c>
      <c r="D310" s="358" t="s">
        <v>1947</v>
      </c>
      <c r="E310" s="358" t="s">
        <v>1947</v>
      </c>
      <c r="F310" s="358" t="s">
        <v>1947</v>
      </c>
      <c r="G310" s="358" t="s">
        <v>1947</v>
      </c>
    </row>
    <row r="311" spans="1:7">
      <c r="A311" s="356" t="s">
        <v>2276</v>
      </c>
      <c r="B311" s="357" t="s">
        <v>2277</v>
      </c>
      <c r="C311" s="358" t="s">
        <v>116</v>
      </c>
      <c r="D311" s="358" t="s">
        <v>116</v>
      </c>
      <c r="E311" s="358" t="s">
        <v>116</v>
      </c>
      <c r="F311" s="358" t="s">
        <v>116</v>
      </c>
      <c r="G311" s="358" t="s">
        <v>116</v>
      </c>
    </row>
    <row r="312" spans="1:7">
      <c r="A312" s="356" t="s">
        <v>2278</v>
      </c>
      <c r="B312" s="357" t="s">
        <v>1340</v>
      </c>
      <c r="C312" s="358" t="s">
        <v>115</v>
      </c>
      <c r="D312" s="358" t="s">
        <v>116</v>
      </c>
      <c r="E312" s="358" t="s">
        <v>115</v>
      </c>
      <c r="F312" s="358" t="s">
        <v>115</v>
      </c>
      <c r="G312" s="358" t="s">
        <v>115</v>
      </c>
    </row>
    <row r="313" spans="1:7">
      <c r="A313" s="356" t="s">
        <v>2279</v>
      </c>
      <c r="B313" s="357" t="s">
        <v>2280</v>
      </c>
      <c r="C313" s="358" t="s">
        <v>116</v>
      </c>
      <c r="D313" s="358" t="s">
        <v>116</v>
      </c>
      <c r="E313" s="358" t="s">
        <v>116</v>
      </c>
      <c r="F313" s="358" t="s">
        <v>116</v>
      </c>
      <c r="G313" s="358" t="s">
        <v>116</v>
      </c>
    </row>
    <row r="314" spans="1:7">
      <c r="A314" s="356" t="s">
        <v>2281</v>
      </c>
      <c r="B314" s="357" t="s">
        <v>1587</v>
      </c>
      <c r="C314" s="358" t="s">
        <v>116</v>
      </c>
      <c r="D314" s="358" t="s">
        <v>116</v>
      </c>
      <c r="E314" s="358" t="s">
        <v>116</v>
      </c>
      <c r="F314" s="358" t="s">
        <v>115</v>
      </c>
      <c r="G314" s="358" t="s">
        <v>115</v>
      </c>
    </row>
    <row r="315" spans="1:7">
      <c r="A315" s="356" t="s">
        <v>2282</v>
      </c>
      <c r="B315" s="357" t="s">
        <v>2283</v>
      </c>
      <c r="C315" s="358" t="s">
        <v>116</v>
      </c>
      <c r="D315" s="358" t="s">
        <v>116</v>
      </c>
      <c r="E315" s="358" t="s">
        <v>116</v>
      </c>
      <c r="F315" s="358" t="s">
        <v>115</v>
      </c>
      <c r="G315" s="358" t="s">
        <v>115</v>
      </c>
    </row>
    <row r="316" spans="1:7">
      <c r="A316" s="356" t="s">
        <v>2284</v>
      </c>
      <c r="B316" s="357" t="s">
        <v>2285</v>
      </c>
      <c r="C316" s="358" t="s">
        <v>116</v>
      </c>
      <c r="D316" s="358" t="s">
        <v>116</v>
      </c>
      <c r="E316" s="358" t="s">
        <v>116</v>
      </c>
      <c r="F316" s="358" t="s">
        <v>116</v>
      </c>
      <c r="G316" s="358" t="s">
        <v>116</v>
      </c>
    </row>
    <row r="317" spans="1:7">
      <c r="A317" s="356" t="s">
        <v>2286</v>
      </c>
      <c r="B317" s="357" t="s">
        <v>2238</v>
      </c>
      <c r="C317" s="358" t="s">
        <v>116</v>
      </c>
      <c r="D317" s="358" t="s">
        <v>116</v>
      </c>
      <c r="E317" s="358" t="s">
        <v>116</v>
      </c>
      <c r="F317" s="358" t="s">
        <v>116</v>
      </c>
      <c r="G317" s="358" t="s">
        <v>116</v>
      </c>
    </row>
    <row r="318" spans="1:7">
      <c r="A318" s="356" t="s">
        <v>2287</v>
      </c>
      <c r="B318" s="357" t="s">
        <v>1588</v>
      </c>
      <c r="C318" s="358" t="s">
        <v>116</v>
      </c>
      <c r="D318" s="358" t="s">
        <v>116</v>
      </c>
      <c r="E318" s="358" t="s">
        <v>115</v>
      </c>
      <c r="F318" s="358" t="s">
        <v>115</v>
      </c>
      <c r="G318" s="358" t="s">
        <v>115</v>
      </c>
    </row>
    <row r="319" spans="1:7">
      <c r="A319" s="356" t="s">
        <v>2288</v>
      </c>
      <c r="B319" s="357" t="s">
        <v>2289</v>
      </c>
      <c r="C319" s="358" t="s">
        <v>1947</v>
      </c>
      <c r="D319" s="358" t="s">
        <v>1947</v>
      </c>
      <c r="E319" s="358" t="s">
        <v>1947</v>
      </c>
      <c r="F319" s="358" t="s">
        <v>1947</v>
      </c>
      <c r="G319" s="358" t="s">
        <v>1947</v>
      </c>
    </row>
    <row r="320" spans="1:7">
      <c r="A320" s="356" t="s">
        <v>2288</v>
      </c>
      <c r="B320" s="357" t="s">
        <v>2289</v>
      </c>
      <c r="C320" s="358" t="s">
        <v>116</v>
      </c>
      <c r="D320" s="358" t="s">
        <v>116</v>
      </c>
      <c r="E320" s="358" t="s">
        <v>116</v>
      </c>
      <c r="F320" s="358" t="s">
        <v>116</v>
      </c>
      <c r="G320" s="358" t="s">
        <v>116</v>
      </c>
    </row>
    <row r="321" spans="1:7">
      <c r="A321" s="356" t="s">
        <v>2290</v>
      </c>
      <c r="B321" s="357" t="s">
        <v>2291</v>
      </c>
      <c r="C321" s="358" t="s">
        <v>116</v>
      </c>
      <c r="D321" s="358" t="s">
        <v>116</v>
      </c>
      <c r="E321" s="358" t="s">
        <v>116</v>
      </c>
      <c r="F321" s="358" t="s">
        <v>116</v>
      </c>
      <c r="G321" s="358" t="s">
        <v>116</v>
      </c>
    </row>
    <row r="322" spans="1:7">
      <c r="A322" s="356" t="s">
        <v>2292</v>
      </c>
      <c r="B322" s="357" t="s">
        <v>2293</v>
      </c>
      <c r="C322" s="358" t="s">
        <v>116</v>
      </c>
      <c r="D322" s="358" t="s">
        <v>116</v>
      </c>
      <c r="E322" s="358" t="s">
        <v>116</v>
      </c>
      <c r="F322" s="358" t="s">
        <v>116</v>
      </c>
      <c r="G322" s="358" t="s">
        <v>116</v>
      </c>
    </row>
    <row r="323" spans="1:7">
      <c r="A323" s="356" t="s">
        <v>2294</v>
      </c>
      <c r="B323" s="357" t="s">
        <v>2295</v>
      </c>
      <c r="C323" s="358" t="s">
        <v>116</v>
      </c>
      <c r="D323" s="358" t="s">
        <v>116</v>
      </c>
      <c r="E323" s="358" t="s">
        <v>116</v>
      </c>
      <c r="F323" s="358" t="s">
        <v>116</v>
      </c>
      <c r="G323" s="358" t="s">
        <v>116</v>
      </c>
    </row>
    <row r="324" spans="1:7">
      <c r="A324" s="356" t="s">
        <v>2296</v>
      </c>
      <c r="B324" s="357" t="s">
        <v>2297</v>
      </c>
      <c r="C324" s="358" t="s">
        <v>116</v>
      </c>
      <c r="D324" s="358" t="s">
        <v>116</v>
      </c>
      <c r="E324" s="358" t="s">
        <v>116</v>
      </c>
      <c r="F324" s="358" t="s">
        <v>116</v>
      </c>
      <c r="G324" s="358" t="s">
        <v>116</v>
      </c>
    </row>
    <row r="325" spans="1:7">
      <c r="A325" s="356" t="s">
        <v>2298</v>
      </c>
      <c r="B325" s="357" t="s">
        <v>2299</v>
      </c>
      <c r="C325" s="358" t="s">
        <v>116</v>
      </c>
      <c r="D325" s="358" t="s">
        <v>116</v>
      </c>
      <c r="E325" s="358" t="s">
        <v>116</v>
      </c>
      <c r="F325" s="358" t="s">
        <v>116</v>
      </c>
      <c r="G325" s="358" t="s">
        <v>116</v>
      </c>
    </row>
    <row r="326" spans="1:7">
      <c r="A326" s="356" t="s">
        <v>2298</v>
      </c>
      <c r="B326" s="357" t="s">
        <v>2297</v>
      </c>
      <c r="C326" s="358" t="s">
        <v>116</v>
      </c>
      <c r="D326" s="358" t="s">
        <v>116</v>
      </c>
      <c r="E326" s="358" t="s">
        <v>116</v>
      </c>
      <c r="F326" s="358" t="s">
        <v>116</v>
      </c>
      <c r="G326" s="358" t="s">
        <v>116</v>
      </c>
    </row>
    <row r="327" spans="1:7">
      <c r="A327" s="356" t="s">
        <v>2300</v>
      </c>
      <c r="B327" s="357" t="s">
        <v>2301</v>
      </c>
      <c r="C327" s="358" t="s">
        <v>116</v>
      </c>
      <c r="D327" s="358" t="s">
        <v>116</v>
      </c>
      <c r="E327" s="358" t="s">
        <v>116</v>
      </c>
      <c r="F327" s="358" t="s">
        <v>116</v>
      </c>
      <c r="G327" s="358" t="s">
        <v>116</v>
      </c>
    </row>
    <row r="328" spans="1:7">
      <c r="A328" s="356" t="s">
        <v>2302</v>
      </c>
      <c r="B328" s="357" t="s">
        <v>2303</v>
      </c>
      <c r="C328" s="358" t="s">
        <v>116</v>
      </c>
      <c r="D328" s="358" t="s">
        <v>116</v>
      </c>
      <c r="E328" s="358" t="s">
        <v>115</v>
      </c>
      <c r="F328" s="358" t="s">
        <v>115</v>
      </c>
      <c r="G328" s="358" t="s">
        <v>115</v>
      </c>
    </row>
    <row r="329" spans="1:7">
      <c r="A329" s="356" t="s">
        <v>2304</v>
      </c>
      <c r="B329" s="357" t="s">
        <v>1595</v>
      </c>
      <c r="C329" s="358" t="s">
        <v>116</v>
      </c>
      <c r="D329" s="358" t="s">
        <v>116</v>
      </c>
      <c r="E329" s="358" t="s">
        <v>116</v>
      </c>
      <c r="F329" s="358" t="s">
        <v>116</v>
      </c>
      <c r="G329" s="358" t="s">
        <v>116</v>
      </c>
    </row>
    <row r="330" spans="1:7">
      <c r="A330" s="356" t="s">
        <v>2305</v>
      </c>
      <c r="B330" s="357" t="s">
        <v>2306</v>
      </c>
      <c r="C330" s="358" t="s">
        <v>116</v>
      </c>
      <c r="D330" s="358" t="s">
        <v>116</v>
      </c>
      <c r="E330" s="358" t="s">
        <v>116</v>
      </c>
      <c r="F330" s="358" t="s">
        <v>116</v>
      </c>
      <c r="G330" s="358" t="s">
        <v>116</v>
      </c>
    </row>
    <row r="331" spans="1:7">
      <c r="A331" s="356" t="s">
        <v>2307</v>
      </c>
      <c r="B331" s="357" t="s">
        <v>2308</v>
      </c>
      <c r="C331" s="358" t="s">
        <v>116</v>
      </c>
      <c r="D331" s="358" t="s">
        <v>116</v>
      </c>
      <c r="E331" s="358" t="s">
        <v>116</v>
      </c>
      <c r="F331" s="358" t="s">
        <v>116</v>
      </c>
      <c r="G331" s="358" t="s">
        <v>116</v>
      </c>
    </row>
    <row r="332" spans="1:7">
      <c r="A332" s="356" t="s">
        <v>2309</v>
      </c>
      <c r="B332" s="357" t="s">
        <v>2310</v>
      </c>
      <c r="C332" s="358" t="s">
        <v>116</v>
      </c>
      <c r="D332" s="358" t="s">
        <v>116</v>
      </c>
      <c r="E332" s="358" t="s">
        <v>116</v>
      </c>
      <c r="F332" s="358" t="s">
        <v>116</v>
      </c>
      <c r="G332" s="358" t="s">
        <v>116</v>
      </c>
    </row>
    <row r="333" spans="1:7">
      <c r="A333" s="356" t="s">
        <v>2311</v>
      </c>
      <c r="B333" s="357" t="s">
        <v>2312</v>
      </c>
      <c r="C333" s="358" t="s">
        <v>116</v>
      </c>
      <c r="D333" s="358" t="s">
        <v>116</v>
      </c>
      <c r="E333" s="358" t="s">
        <v>116</v>
      </c>
      <c r="F333" s="358" t="s">
        <v>116</v>
      </c>
      <c r="G333" s="358" t="s">
        <v>116</v>
      </c>
    </row>
    <row r="334" spans="1:7">
      <c r="A334" s="356" t="s">
        <v>2313</v>
      </c>
      <c r="B334" s="357" t="s">
        <v>2314</v>
      </c>
      <c r="C334" s="358" t="s">
        <v>116</v>
      </c>
      <c r="D334" s="358" t="s">
        <v>116</v>
      </c>
      <c r="E334" s="358" t="s">
        <v>116</v>
      </c>
      <c r="F334" s="358" t="s">
        <v>116</v>
      </c>
      <c r="G334" s="358" t="s">
        <v>116</v>
      </c>
    </row>
    <row r="335" spans="1:7">
      <c r="A335" s="356" t="s">
        <v>2315</v>
      </c>
      <c r="B335" s="357" t="s">
        <v>2316</v>
      </c>
      <c r="C335" s="358" t="s">
        <v>116</v>
      </c>
      <c r="D335" s="358" t="s">
        <v>116</v>
      </c>
      <c r="E335" s="358" t="s">
        <v>116</v>
      </c>
      <c r="F335" s="358" t="s">
        <v>116</v>
      </c>
      <c r="G335" s="358" t="s">
        <v>116</v>
      </c>
    </row>
    <row r="336" spans="1:7">
      <c r="A336" s="356" t="s">
        <v>2317</v>
      </c>
      <c r="B336" s="357" t="s">
        <v>2318</v>
      </c>
      <c r="C336" s="358" t="s">
        <v>116</v>
      </c>
      <c r="D336" s="358" t="s">
        <v>116</v>
      </c>
      <c r="E336" s="358" t="s">
        <v>115</v>
      </c>
      <c r="F336" s="358" t="s">
        <v>115</v>
      </c>
      <c r="G336" s="358" t="s">
        <v>115</v>
      </c>
    </row>
    <row r="337" spans="1:7">
      <c r="A337" s="356" t="s">
        <v>2319</v>
      </c>
      <c r="B337" s="357" t="s">
        <v>2320</v>
      </c>
      <c r="C337" s="358" t="s">
        <v>116</v>
      </c>
      <c r="D337" s="358" t="s">
        <v>116</v>
      </c>
      <c r="E337" s="358" t="s">
        <v>116</v>
      </c>
      <c r="F337" s="358" t="s">
        <v>116</v>
      </c>
      <c r="G337" s="358" t="s">
        <v>116</v>
      </c>
    </row>
    <row r="338" spans="1:7">
      <c r="A338" s="356" t="s">
        <v>2321</v>
      </c>
      <c r="B338" s="357" t="s">
        <v>2322</v>
      </c>
      <c r="C338" s="358" t="s">
        <v>116</v>
      </c>
      <c r="D338" s="358" t="s">
        <v>116</v>
      </c>
      <c r="E338" s="358" t="s">
        <v>116</v>
      </c>
      <c r="F338" s="358" t="s">
        <v>116</v>
      </c>
      <c r="G338" s="358" t="s">
        <v>116</v>
      </c>
    </row>
    <row r="339" spans="1:7">
      <c r="A339" s="356" t="s">
        <v>2323</v>
      </c>
      <c r="B339" s="357" t="s">
        <v>2324</v>
      </c>
      <c r="C339" s="358" t="s">
        <v>116</v>
      </c>
      <c r="D339" s="358" t="s">
        <v>116</v>
      </c>
      <c r="E339" s="358" t="s">
        <v>116</v>
      </c>
      <c r="F339" s="358" t="s">
        <v>116</v>
      </c>
      <c r="G339" s="358" t="s">
        <v>116</v>
      </c>
    </row>
    <row r="340" spans="1:7">
      <c r="A340" s="356" t="s">
        <v>2325</v>
      </c>
      <c r="B340" s="357" t="s">
        <v>2326</v>
      </c>
      <c r="C340" s="358" t="s">
        <v>115</v>
      </c>
      <c r="D340" s="358" t="s">
        <v>116</v>
      </c>
      <c r="E340" s="358" t="s">
        <v>115</v>
      </c>
      <c r="F340" s="358" t="s">
        <v>115</v>
      </c>
      <c r="G340" s="358" t="s">
        <v>115</v>
      </c>
    </row>
    <row r="341" spans="1:7">
      <c r="A341" s="356" t="s">
        <v>2327</v>
      </c>
      <c r="B341" s="357" t="s">
        <v>2328</v>
      </c>
      <c r="C341" s="358" t="s">
        <v>116</v>
      </c>
      <c r="D341" s="358" t="s">
        <v>116</v>
      </c>
      <c r="E341" s="358" t="s">
        <v>116</v>
      </c>
      <c r="F341" s="358" t="s">
        <v>116</v>
      </c>
      <c r="G341" s="358" t="s">
        <v>116</v>
      </c>
    </row>
    <row r="342" spans="1:7">
      <c r="A342" s="356" t="s">
        <v>2329</v>
      </c>
      <c r="B342" s="357" t="s">
        <v>2330</v>
      </c>
      <c r="C342" s="358" t="s">
        <v>116</v>
      </c>
      <c r="D342" s="358" t="s">
        <v>116</v>
      </c>
      <c r="E342" s="358" t="s">
        <v>116</v>
      </c>
      <c r="F342" s="358" t="s">
        <v>116</v>
      </c>
      <c r="G342" s="358" t="s">
        <v>116</v>
      </c>
    </row>
    <row r="343" spans="1:7">
      <c r="A343" s="356" t="s">
        <v>2331</v>
      </c>
      <c r="B343" s="357" t="s">
        <v>2332</v>
      </c>
      <c r="C343" s="358" t="s">
        <v>116</v>
      </c>
      <c r="D343" s="358" t="s">
        <v>116</v>
      </c>
      <c r="E343" s="358" t="s">
        <v>116</v>
      </c>
      <c r="F343" s="358" t="s">
        <v>116</v>
      </c>
      <c r="G343" s="358" t="s">
        <v>116</v>
      </c>
    </row>
    <row r="344" spans="1:7">
      <c r="A344" s="356" t="s">
        <v>2333</v>
      </c>
      <c r="B344" s="357" t="s">
        <v>2334</v>
      </c>
      <c r="C344" s="358" t="s">
        <v>116</v>
      </c>
      <c r="D344" s="358" t="s">
        <v>116</v>
      </c>
      <c r="E344" s="358" t="s">
        <v>116</v>
      </c>
      <c r="F344" s="358" t="s">
        <v>116</v>
      </c>
      <c r="G344" s="358" t="s">
        <v>116</v>
      </c>
    </row>
    <row r="345" spans="1:7">
      <c r="A345" s="356" t="s">
        <v>2335</v>
      </c>
      <c r="B345" s="357" t="s">
        <v>2336</v>
      </c>
      <c r="C345" s="358" t="s">
        <v>116</v>
      </c>
      <c r="D345" s="358" t="s">
        <v>116</v>
      </c>
      <c r="E345" s="358" t="s">
        <v>116</v>
      </c>
      <c r="F345" s="358" t="s">
        <v>116</v>
      </c>
      <c r="G345" s="358" t="s">
        <v>116</v>
      </c>
    </row>
    <row r="346" spans="1:7">
      <c r="A346" s="356" t="s">
        <v>2337</v>
      </c>
      <c r="B346" s="357" t="s">
        <v>2338</v>
      </c>
      <c r="C346" s="358" t="s">
        <v>116</v>
      </c>
      <c r="D346" s="358" t="s">
        <v>116</v>
      </c>
      <c r="E346" s="358" t="s">
        <v>116</v>
      </c>
      <c r="F346" s="358" t="s">
        <v>116</v>
      </c>
      <c r="G346" s="358" t="s">
        <v>116</v>
      </c>
    </row>
    <row r="347" spans="1:7">
      <c r="A347" s="356" t="s">
        <v>2339</v>
      </c>
      <c r="B347" s="357" t="s">
        <v>2340</v>
      </c>
      <c r="C347" s="358" t="s">
        <v>116</v>
      </c>
      <c r="D347" s="358" t="s">
        <v>116</v>
      </c>
      <c r="E347" s="358" t="s">
        <v>116</v>
      </c>
      <c r="F347" s="358" t="s">
        <v>116</v>
      </c>
      <c r="G347" s="358" t="s">
        <v>116</v>
      </c>
    </row>
    <row r="348" spans="1:7">
      <c r="A348" s="356" t="s">
        <v>2341</v>
      </c>
      <c r="B348" s="357" t="s">
        <v>2342</v>
      </c>
      <c r="C348" s="358" t="s">
        <v>116</v>
      </c>
      <c r="D348" s="358" t="s">
        <v>116</v>
      </c>
      <c r="E348" s="358" t="s">
        <v>116</v>
      </c>
      <c r="F348" s="358" t="s">
        <v>116</v>
      </c>
      <c r="G348" s="358" t="s">
        <v>116</v>
      </c>
    </row>
    <row r="349" spans="1:7">
      <c r="A349" s="356" t="s">
        <v>2343</v>
      </c>
      <c r="B349" s="357" t="s">
        <v>2344</v>
      </c>
      <c r="C349" s="358" t="s">
        <v>116</v>
      </c>
      <c r="D349" s="358" t="s">
        <v>116</v>
      </c>
      <c r="E349" s="358" t="s">
        <v>116</v>
      </c>
      <c r="F349" s="358" t="s">
        <v>116</v>
      </c>
      <c r="G349" s="358" t="s">
        <v>116</v>
      </c>
    </row>
    <row r="350" spans="1:7">
      <c r="A350" s="356" t="s">
        <v>2345</v>
      </c>
      <c r="B350" s="357" t="s">
        <v>2346</v>
      </c>
      <c r="C350" s="358" t="s">
        <v>115</v>
      </c>
      <c r="D350" s="358" t="s">
        <v>115</v>
      </c>
      <c r="E350" s="358" t="s">
        <v>115</v>
      </c>
      <c r="F350" s="358" t="s">
        <v>115</v>
      </c>
      <c r="G350" s="358" t="s">
        <v>115</v>
      </c>
    </row>
    <row r="351" spans="1:7">
      <c r="A351" s="356" t="s">
        <v>2347</v>
      </c>
      <c r="B351" s="357" t="s">
        <v>2348</v>
      </c>
      <c r="C351" s="358" t="s">
        <v>116</v>
      </c>
      <c r="D351" s="358" t="s">
        <v>116</v>
      </c>
      <c r="E351" s="358" t="s">
        <v>116</v>
      </c>
      <c r="F351" s="358" t="s">
        <v>116</v>
      </c>
      <c r="G351" s="358" t="s">
        <v>116</v>
      </c>
    </row>
    <row r="352" spans="1:7">
      <c r="A352" s="356" t="s">
        <v>2349</v>
      </c>
      <c r="B352" s="357" t="s">
        <v>2350</v>
      </c>
      <c r="C352" s="358" t="s">
        <v>116</v>
      </c>
      <c r="D352" s="358" t="s">
        <v>116</v>
      </c>
      <c r="E352" s="358" t="s">
        <v>116</v>
      </c>
      <c r="F352" s="358" t="s">
        <v>116</v>
      </c>
      <c r="G352" s="358" t="s">
        <v>116</v>
      </c>
    </row>
    <row r="353" spans="1:7">
      <c r="A353" s="356" t="s">
        <v>2351</v>
      </c>
      <c r="B353" s="357" t="s">
        <v>2352</v>
      </c>
      <c r="C353" s="358" t="s">
        <v>1927</v>
      </c>
      <c r="D353" s="358" t="s">
        <v>1927</v>
      </c>
      <c r="E353" s="358" t="s">
        <v>1927</v>
      </c>
      <c r="F353" s="358" t="s">
        <v>1927</v>
      </c>
      <c r="G353" s="358" t="s">
        <v>1927</v>
      </c>
    </row>
    <row r="354" spans="1:7">
      <c r="A354" s="356" t="s">
        <v>2353</v>
      </c>
      <c r="B354" s="357" t="s">
        <v>2354</v>
      </c>
      <c r="C354" s="358" t="s">
        <v>116</v>
      </c>
      <c r="D354" s="358" t="s">
        <v>116</v>
      </c>
      <c r="E354" s="358" t="s">
        <v>116</v>
      </c>
      <c r="F354" s="358" t="s">
        <v>116</v>
      </c>
      <c r="G354" s="358" t="s">
        <v>116</v>
      </c>
    </row>
    <row r="355" spans="1:7">
      <c r="A355" s="356" t="s">
        <v>2355</v>
      </c>
      <c r="B355" s="357" t="s">
        <v>2356</v>
      </c>
      <c r="C355" s="358" t="s">
        <v>116</v>
      </c>
      <c r="D355" s="358" t="s">
        <v>116</v>
      </c>
      <c r="E355" s="358" t="s">
        <v>116</v>
      </c>
      <c r="F355" s="358" t="s">
        <v>116</v>
      </c>
      <c r="G355" s="358" t="s">
        <v>116</v>
      </c>
    </row>
    <row r="356" spans="1:7">
      <c r="A356" s="356" t="s">
        <v>2357</v>
      </c>
      <c r="B356" s="357" t="s">
        <v>2358</v>
      </c>
      <c r="C356" s="358" t="s">
        <v>116</v>
      </c>
      <c r="D356" s="358" t="s">
        <v>116</v>
      </c>
      <c r="E356" s="358" t="s">
        <v>116</v>
      </c>
      <c r="F356" s="358" t="s">
        <v>116</v>
      </c>
      <c r="G356" s="358" t="s">
        <v>116</v>
      </c>
    </row>
    <row r="357" spans="1:7">
      <c r="A357" s="356" t="s">
        <v>2359</v>
      </c>
      <c r="B357" s="357" t="s">
        <v>2360</v>
      </c>
      <c r="C357" s="358" t="s">
        <v>116</v>
      </c>
      <c r="D357" s="358" t="s">
        <v>116</v>
      </c>
      <c r="E357" s="358" t="s">
        <v>116</v>
      </c>
      <c r="F357" s="358" t="s">
        <v>116</v>
      </c>
      <c r="G357" s="358" t="s">
        <v>116</v>
      </c>
    </row>
    <row r="358" spans="1:7">
      <c r="A358" s="356" t="s">
        <v>2361</v>
      </c>
      <c r="B358" s="357" t="s">
        <v>2362</v>
      </c>
      <c r="C358" s="358" t="s">
        <v>116</v>
      </c>
      <c r="D358" s="358" t="s">
        <v>116</v>
      </c>
      <c r="E358" s="358" t="s">
        <v>116</v>
      </c>
      <c r="F358" s="358" t="s">
        <v>116</v>
      </c>
      <c r="G358" s="358" t="s">
        <v>116</v>
      </c>
    </row>
    <row r="359" spans="1:7">
      <c r="A359" s="356" t="s">
        <v>2363</v>
      </c>
      <c r="B359" s="357" t="s">
        <v>1602</v>
      </c>
      <c r="C359" s="358" t="s">
        <v>115</v>
      </c>
      <c r="D359" s="358" t="s">
        <v>116</v>
      </c>
      <c r="E359" s="358" t="s">
        <v>115</v>
      </c>
      <c r="F359" s="358" t="s">
        <v>115</v>
      </c>
      <c r="G359" s="358" t="s">
        <v>115</v>
      </c>
    </row>
    <row r="360" spans="1:7">
      <c r="A360" s="356" t="s">
        <v>2364</v>
      </c>
      <c r="B360" s="357" t="s">
        <v>2365</v>
      </c>
      <c r="C360" s="358" t="s">
        <v>116</v>
      </c>
      <c r="D360" s="358" t="s">
        <v>116</v>
      </c>
      <c r="E360" s="358" t="s">
        <v>116</v>
      </c>
      <c r="F360" s="358" t="s">
        <v>116</v>
      </c>
      <c r="G360" s="358" t="s">
        <v>116</v>
      </c>
    </row>
    <row r="361" spans="1:7">
      <c r="A361" s="356" t="s">
        <v>2366</v>
      </c>
      <c r="B361" s="357" t="s">
        <v>2367</v>
      </c>
      <c r="C361" s="358" t="s">
        <v>116</v>
      </c>
      <c r="D361" s="358" t="s">
        <v>116</v>
      </c>
      <c r="E361" s="358" t="s">
        <v>116</v>
      </c>
      <c r="F361" s="358" t="s">
        <v>116</v>
      </c>
      <c r="G361" s="358" t="s">
        <v>116</v>
      </c>
    </row>
    <row r="362" spans="1:7">
      <c r="A362" s="356" t="s">
        <v>2368</v>
      </c>
      <c r="B362" s="357" t="s">
        <v>2369</v>
      </c>
      <c r="C362" s="358" t="s">
        <v>116</v>
      </c>
      <c r="D362" s="358" t="s">
        <v>116</v>
      </c>
      <c r="E362" s="358" t="s">
        <v>116</v>
      </c>
      <c r="F362" s="358" t="s">
        <v>116</v>
      </c>
      <c r="G362" s="358" t="s">
        <v>116</v>
      </c>
    </row>
    <row r="363" spans="1:7">
      <c r="A363" s="356" t="s">
        <v>2370</v>
      </c>
      <c r="B363" s="357" t="s">
        <v>2052</v>
      </c>
      <c r="C363" s="358" t="s">
        <v>116</v>
      </c>
      <c r="D363" s="358" t="s">
        <v>116</v>
      </c>
      <c r="E363" s="358" t="s">
        <v>116</v>
      </c>
      <c r="F363" s="358" t="s">
        <v>116</v>
      </c>
      <c r="G363" s="358" t="s">
        <v>116</v>
      </c>
    </row>
    <row r="364" spans="1:7">
      <c r="A364" s="356" t="s">
        <v>2371</v>
      </c>
      <c r="B364" s="357" t="s">
        <v>2372</v>
      </c>
      <c r="C364" s="358" t="s">
        <v>116</v>
      </c>
      <c r="D364" s="358" t="s">
        <v>116</v>
      </c>
      <c r="E364" s="358" t="s">
        <v>116</v>
      </c>
      <c r="F364" s="358" t="s">
        <v>116</v>
      </c>
      <c r="G364" s="358" t="s">
        <v>116</v>
      </c>
    </row>
    <row r="365" spans="1:7">
      <c r="A365" s="356" t="s">
        <v>2373</v>
      </c>
      <c r="B365" s="357" t="s">
        <v>2374</v>
      </c>
      <c r="C365" s="358" t="s">
        <v>116</v>
      </c>
      <c r="D365" s="358" t="s">
        <v>116</v>
      </c>
      <c r="E365" s="358" t="s">
        <v>116</v>
      </c>
      <c r="F365" s="358" t="s">
        <v>116</v>
      </c>
      <c r="G365" s="358" t="s">
        <v>116</v>
      </c>
    </row>
    <row r="366" spans="1:7">
      <c r="A366" s="356" t="s">
        <v>2375</v>
      </c>
      <c r="B366" s="357" t="s">
        <v>1604</v>
      </c>
      <c r="C366" s="358" t="s">
        <v>115</v>
      </c>
      <c r="D366" s="358" t="s">
        <v>115</v>
      </c>
      <c r="E366" s="358" t="s">
        <v>115</v>
      </c>
      <c r="F366" s="358" t="s">
        <v>115</v>
      </c>
      <c r="G366" s="358" t="s">
        <v>115</v>
      </c>
    </row>
    <row r="367" spans="1:7">
      <c r="A367" s="356" t="s">
        <v>2376</v>
      </c>
      <c r="B367" s="357" t="s">
        <v>2025</v>
      </c>
      <c r="C367" s="358" t="s">
        <v>116</v>
      </c>
      <c r="D367" s="358" t="s">
        <v>116</v>
      </c>
      <c r="E367" s="358" t="s">
        <v>116</v>
      </c>
      <c r="F367" s="358" t="s">
        <v>116</v>
      </c>
      <c r="G367" s="358" t="s">
        <v>116</v>
      </c>
    </row>
    <row r="368" spans="1:7">
      <c r="A368" s="356" t="s">
        <v>2377</v>
      </c>
      <c r="B368" s="357" t="s">
        <v>2378</v>
      </c>
      <c r="C368" s="358" t="s">
        <v>116</v>
      </c>
      <c r="D368" s="358" t="s">
        <v>116</v>
      </c>
      <c r="E368" s="358" t="s">
        <v>115</v>
      </c>
      <c r="F368" s="358" t="s">
        <v>115</v>
      </c>
      <c r="G368" s="358" t="s">
        <v>115</v>
      </c>
    </row>
    <row r="369" spans="1:7">
      <c r="A369" s="356" t="s">
        <v>2379</v>
      </c>
      <c r="B369" s="357" t="s">
        <v>2380</v>
      </c>
      <c r="C369" s="358" t="s">
        <v>116</v>
      </c>
      <c r="D369" s="358" t="s">
        <v>116</v>
      </c>
      <c r="E369" s="358" t="s">
        <v>115</v>
      </c>
      <c r="F369" s="358" t="s">
        <v>115</v>
      </c>
      <c r="G369" s="358" t="s">
        <v>115</v>
      </c>
    </row>
    <row r="370" spans="1:7">
      <c r="A370" s="356" t="s">
        <v>2381</v>
      </c>
      <c r="B370" s="357" t="s">
        <v>1608</v>
      </c>
      <c r="C370" s="358" t="s">
        <v>116</v>
      </c>
      <c r="D370" s="358" t="s">
        <v>116</v>
      </c>
      <c r="E370" s="358" t="s">
        <v>115</v>
      </c>
      <c r="F370" s="358" t="s">
        <v>115</v>
      </c>
      <c r="G370" s="358" t="s">
        <v>115</v>
      </c>
    </row>
    <row r="371" spans="1:7">
      <c r="A371" s="356" t="s">
        <v>2382</v>
      </c>
      <c r="B371" s="357" t="s">
        <v>2383</v>
      </c>
      <c r="C371" s="358" t="s">
        <v>116</v>
      </c>
      <c r="D371" s="358" t="s">
        <v>116</v>
      </c>
      <c r="E371" s="358" t="s">
        <v>115</v>
      </c>
      <c r="F371" s="358" t="s">
        <v>115</v>
      </c>
      <c r="G371" s="358" t="s">
        <v>115</v>
      </c>
    </row>
    <row r="372" spans="1:7">
      <c r="A372" s="356" t="s">
        <v>2384</v>
      </c>
      <c r="B372" s="357" t="s">
        <v>1611</v>
      </c>
      <c r="C372" s="358" t="s">
        <v>115</v>
      </c>
      <c r="D372" s="358" t="s">
        <v>115</v>
      </c>
      <c r="E372" s="358" t="s">
        <v>115</v>
      </c>
      <c r="F372" s="358" t="s">
        <v>115</v>
      </c>
      <c r="G372" s="358" t="s">
        <v>115</v>
      </c>
    </row>
    <row r="373" spans="1:7">
      <c r="A373" s="356" t="s">
        <v>2385</v>
      </c>
      <c r="B373" s="357" t="s">
        <v>2386</v>
      </c>
      <c r="C373" s="358" t="s">
        <v>116</v>
      </c>
      <c r="D373" s="358" t="s">
        <v>116</v>
      </c>
      <c r="E373" s="358" t="s">
        <v>116</v>
      </c>
      <c r="F373" s="358" t="s">
        <v>116</v>
      </c>
      <c r="G373" s="358" t="s">
        <v>116</v>
      </c>
    </row>
    <row r="374" spans="1:7" ht="28.8">
      <c r="A374" s="356" t="s">
        <v>2387</v>
      </c>
      <c r="B374" s="357" t="s">
        <v>2388</v>
      </c>
      <c r="C374" s="358" t="s">
        <v>116</v>
      </c>
      <c r="D374" s="358" t="s">
        <v>116</v>
      </c>
      <c r="E374" s="358" t="s">
        <v>116</v>
      </c>
      <c r="F374" s="358" t="s">
        <v>116</v>
      </c>
      <c r="G374" s="358" t="s">
        <v>116</v>
      </c>
    </row>
    <row r="375" spans="1:7">
      <c r="A375" s="356" t="s">
        <v>2389</v>
      </c>
      <c r="B375" s="357" t="s">
        <v>2390</v>
      </c>
      <c r="C375" s="358" t="s">
        <v>116</v>
      </c>
      <c r="D375" s="358" t="s">
        <v>116</v>
      </c>
      <c r="E375" s="358" t="s">
        <v>116</v>
      </c>
      <c r="F375" s="358" t="s">
        <v>116</v>
      </c>
      <c r="G375" s="358" t="s">
        <v>116</v>
      </c>
    </row>
    <row r="376" spans="1:7">
      <c r="A376" s="356" t="s">
        <v>2391</v>
      </c>
      <c r="B376" s="357" t="s">
        <v>2392</v>
      </c>
      <c r="C376" s="358" t="s">
        <v>116</v>
      </c>
      <c r="D376" s="358" t="s">
        <v>116</v>
      </c>
      <c r="E376" s="358" t="s">
        <v>116</v>
      </c>
      <c r="F376" s="358" t="s">
        <v>116</v>
      </c>
      <c r="G376" s="358" t="s">
        <v>116</v>
      </c>
    </row>
    <row r="377" spans="1:7">
      <c r="A377" s="356" t="s">
        <v>2393</v>
      </c>
      <c r="B377" s="357" t="s">
        <v>2394</v>
      </c>
      <c r="C377" s="358" t="s">
        <v>116</v>
      </c>
      <c r="D377" s="358" t="s">
        <v>116</v>
      </c>
      <c r="E377" s="358" t="s">
        <v>116</v>
      </c>
      <c r="F377" s="358" t="s">
        <v>116</v>
      </c>
      <c r="G377" s="358" t="s">
        <v>116</v>
      </c>
    </row>
    <row r="378" spans="1:7">
      <c r="A378" s="356" t="s">
        <v>2395</v>
      </c>
      <c r="B378" s="357" t="s">
        <v>2095</v>
      </c>
      <c r="C378" s="358" t="s">
        <v>1947</v>
      </c>
      <c r="D378" s="358" t="s">
        <v>1947</v>
      </c>
      <c r="E378" s="358" t="s">
        <v>1947</v>
      </c>
      <c r="F378" s="358" t="s">
        <v>1947</v>
      </c>
      <c r="G378" s="358" t="s">
        <v>1947</v>
      </c>
    </row>
    <row r="379" spans="1:7">
      <c r="A379" s="356" t="s">
        <v>2395</v>
      </c>
      <c r="B379" s="357" t="s">
        <v>2095</v>
      </c>
      <c r="C379" s="358" t="s">
        <v>116</v>
      </c>
      <c r="D379" s="358" t="s">
        <v>116</v>
      </c>
      <c r="E379" s="358" t="s">
        <v>116</v>
      </c>
      <c r="F379" s="358" t="s">
        <v>116</v>
      </c>
      <c r="G379" s="358" t="s">
        <v>116</v>
      </c>
    </row>
    <row r="380" spans="1:7">
      <c r="A380" s="356" t="s">
        <v>2396</v>
      </c>
      <c r="B380" s="357" t="s">
        <v>2397</v>
      </c>
      <c r="C380" s="358" t="s">
        <v>116</v>
      </c>
      <c r="D380" s="358" t="s">
        <v>116</v>
      </c>
      <c r="E380" s="358" t="s">
        <v>116</v>
      </c>
      <c r="F380" s="358" t="s">
        <v>116</v>
      </c>
      <c r="G380" s="358" t="s">
        <v>116</v>
      </c>
    </row>
    <row r="381" spans="1:7">
      <c r="A381" s="356" t="s">
        <v>2398</v>
      </c>
      <c r="B381" s="357" t="s">
        <v>1615</v>
      </c>
      <c r="C381" s="358" t="s">
        <v>116</v>
      </c>
      <c r="D381" s="358" t="s">
        <v>115</v>
      </c>
      <c r="E381" s="358" t="s">
        <v>115</v>
      </c>
      <c r="F381" s="358" t="s">
        <v>115</v>
      </c>
      <c r="G381" s="358" t="s">
        <v>115</v>
      </c>
    </row>
    <row r="382" spans="1:7">
      <c r="A382" s="356" t="s">
        <v>2399</v>
      </c>
      <c r="B382" s="357" t="s">
        <v>1616</v>
      </c>
      <c r="C382" s="358" t="s">
        <v>116</v>
      </c>
      <c r="D382" s="358" t="s">
        <v>116</v>
      </c>
      <c r="E382" s="358" t="s">
        <v>116</v>
      </c>
      <c r="F382" s="358" t="s">
        <v>115</v>
      </c>
      <c r="G382" s="358" t="s">
        <v>116</v>
      </c>
    </row>
    <row r="383" spans="1:7">
      <c r="A383" s="356" t="s">
        <v>2400</v>
      </c>
      <c r="B383" s="357" t="s">
        <v>985</v>
      </c>
      <c r="C383" s="358" t="s">
        <v>116</v>
      </c>
      <c r="D383" s="358" t="s">
        <v>116</v>
      </c>
      <c r="E383" s="358" t="s">
        <v>115</v>
      </c>
      <c r="F383" s="358" t="s">
        <v>115</v>
      </c>
      <c r="G383" s="358" t="s">
        <v>115</v>
      </c>
    </row>
    <row r="384" spans="1:7">
      <c r="A384" s="356" t="s">
        <v>2401</v>
      </c>
      <c r="B384" s="357" t="s">
        <v>2402</v>
      </c>
      <c r="C384" s="358" t="s">
        <v>115</v>
      </c>
      <c r="D384" s="358" t="s">
        <v>116</v>
      </c>
      <c r="E384" s="358" t="s">
        <v>115</v>
      </c>
      <c r="F384" s="358" t="s">
        <v>115</v>
      </c>
      <c r="G384" s="358" t="s">
        <v>115</v>
      </c>
    </row>
    <row r="385" spans="1:7">
      <c r="A385" s="356" t="s">
        <v>2403</v>
      </c>
      <c r="B385" s="357" t="s">
        <v>2404</v>
      </c>
      <c r="C385" s="358" t="s">
        <v>116</v>
      </c>
      <c r="D385" s="358" t="s">
        <v>116</v>
      </c>
      <c r="E385" s="358" t="s">
        <v>115</v>
      </c>
      <c r="F385" s="358" t="s">
        <v>115</v>
      </c>
      <c r="G385" s="358" t="s">
        <v>115</v>
      </c>
    </row>
    <row r="386" spans="1:7">
      <c r="A386" s="356" t="s">
        <v>2405</v>
      </c>
      <c r="B386" s="357" t="s">
        <v>2406</v>
      </c>
      <c r="C386" s="358" t="s">
        <v>116</v>
      </c>
      <c r="D386" s="358" t="s">
        <v>116</v>
      </c>
      <c r="E386" s="358" t="s">
        <v>116</v>
      </c>
      <c r="F386" s="358" t="s">
        <v>116</v>
      </c>
      <c r="G386" s="358" t="s">
        <v>116</v>
      </c>
    </row>
    <row r="387" spans="1:7">
      <c r="A387" s="356" t="s">
        <v>2407</v>
      </c>
      <c r="B387" s="357" t="s">
        <v>1679</v>
      </c>
      <c r="C387" s="358" t="s">
        <v>116</v>
      </c>
      <c r="D387" s="358" t="s">
        <v>116</v>
      </c>
      <c r="E387" s="358" t="s">
        <v>116</v>
      </c>
      <c r="F387" s="358" t="s">
        <v>116</v>
      </c>
      <c r="G387" s="358" t="s">
        <v>116</v>
      </c>
    </row>
    <row r="388" spans="1:7">
      <c r="A388" s="356" t="s">
        <v>2408</v>
      </c>
      <c r="B388" s="357" t="s">
        <v>1679</v>
      </c>
      <c r="C388" s="358" t="s">
        <v>116</v>
      </c>
      <c r="D388" s="358" t="s">
        <v>116</v>
      </c>
      <c r="E388" s="358" t="s">
        <v>116</v>
      </c>
      <c r="F388" s="358" t="s">
        <v>116</v>
      </c>
      <c r="G388" s="358" t="s">
        <v>116</v>
      </c>
    </row>
    <row r="389" spans="1:7">
      <c r="A389" s="356" t="s">
        <v>2409</v>
      </c>
      <c r="B389" s="357" t="s">
        <v>2410</v>
      </c>
      <c r="C389" s="358" t="s">
        <v>116</v>
      </c>
      <c r="D389" s="358" t="s">
        <v>116</v>
      </c>
      <c r="E389" s="358" t="s">
        <v>116</v>
      </c>
      <c r="F389" s="358" t="s">
        <v>116</v>
      </c>
      <c r="G389" s="358" t="s">
        <v>116</v>
      </c>
    </row>
    <row r="390" spans="1:7">
      <c r="A390" s="356" t="s">
        <v>2411</v>
      </c>
      <c r="B390" s="357" t="s">
        <v>2069</v>
      </c>
      <c r="C390" s="358" t="s">
        <v>116</v>
      </c>
      <c r="D390" s="358" t="s">
        <v>116</v>
      </c>
      <c r="E390" s="358" t="s">
        <v>116</v>
      </c>
      <c r="F390" s="358" t="s">
        <v>116</v>
      </c>
      <c r="G390" s="358" t="s">
        <v>116</v>
      </c>
    </row>
    <row r="391" spans="1:7">
      <c r="A391" s="356" t="s">
        <v>2412</v>
      </c>
      <c r="B391" s="357" t="s">
        <v>1375</v>
      </c>
      <c r="C391" s="358" t="s">
        <v>116</v>
      </c>
      <c r="D391" s="358" t="s">
        <v>116</v>
      </c>
      <c r="E391" s="358" t="s">
        <v>115</v>
      </c>
      <c r="F391" s="358" t="s">
        <v>115</v>
      </c>
      <c r="G391" s="358" t="s">
        <v>115</v>
      </c>
    </row>
    <row r="392" spans="1:7">
      <c r="A392" s="356" t="s">
        <v>2413</v>
      </c>
      <c r="B392" s="357" t="s">
        <v>2414</v>
      </c>
      <c r="C392" s="358" t="s">
        <v>116</v>
      </c>
      <c r="D392" s="358" t="s">
        <v>116</v>
      </c>
      <c r="E392" s="358" t="s">
        <v>116</v>
      </c>
      <c r="F392" s="358" t="s">
        <v>116</v>
      </c>
      <c r="G392" s="358" t="s">
        <v>116</v>
      </c>
    </row>
    <row r="393" spans="1:7">
      <c r="A393" s="356" t="s">
        <v>2415</v>
      </c>
      <c r="B393" s="357" t="s">
        <v>2416</v>
      </c>
      <c r="C393" s="358" t="s">
        <v>116</v>
      </c>
      <c r="D393" s="358" t="s">
        <v>116</v>
      </c>
      <c r="E393" s="358" t="s">
        <v>116</v>
      </c>
      <c r="F393" s="358" t="s">
        <v>116</v>
      </c>
      <c r="G393" s="358" t="s">
        <v>116</v>
      </c>
    </row>
    <row r="394" spans="1:7">
      <c r="A394" s="356" t="s">
        <v>2417</v>
      </c>
      <c r="B394" s="357" t="s">
        <v>2418</v>
      </c>
      <c r="C394" s="358" t="s">
        <v>116</v>
      </c>
      <c r="D394" s="358" t="s">
        <v>116</v>
      </c>
      <c r="E394" s="358" t="s">
        <v>116</v>
      </c>
      <c r="F394" s="358" t="s">
        <v>115</v>
      </c>
      <c r="G394" s="358" t="s">
        <v>115</v>
      </c>
    </row>
    <row r="395" spans="1:7">
      <c r="A395" s="356" t="s">
        <v>2419</v>
      </c>
      <c r="B395" s="357" t="s">
        <v>2420</v>
      </c>
      <c r="C395" s="358" t="s">
        <v>116</v>
      </c>
      <c r="D395" s="358" t="s">
        <v>116</v>
      </c>
      <c r="E395" s="358" t="s">
        <v>116</v>
      </c>
      <c r="F395" s="358" t="s">
        <v>116</v>
      </c>
      <c r="G395" s="358" t="s">
        <v>116</v>
      </c>
    </row>
    <row r="396" spans="1:7">
      <c r="A396" s="356" t="s">
        <v>2421</v>
      </c>
      <c r="B396" s="357" t="s">
        <v>2422</v>
      </c>
      <c r="C396" s="358" t="s">
        <v>115</v>
      </c>
      <c r="D396" s="358" t="s">
        <v>116</v>
      </c>
      <c r="E396" s="358" t="s">
        <v>116</v>
      </c>
      <c r="F396" s="358" t="s">
        <v>115</v>
      </c>
      <c r="G396" s="358" t="s">
        <v>115</v>
      </c>
    </row>
    <row r="397" spans="1:7">
      <c r="A397" s="356" t="s">
        <v>2423</v>
      </c>
      <c r="B397" s="357" t="s">
        <v>2424</v>
      </c>
      <c r="C397" s="358" t="s">
        <v>116</v>
      </c>
      <c r="D397" s="358" t="s">
        <v>116</v>
      </c>
      <c r="E397" s="358" t="s">
        <v>116</v>
      </c>
      <c r="F397" s="358" t="s">
        <v>116</v>
      </c>
      <c r="G397" s="358" t="s">
        <v>116</v>
      </c>
    </row>
    <row r="398" spans="1:7">
      <c r="A398" s="356" t="s">
        <v>2425</v>
      </c>
      <c r="B398" s="357" t="s">
        <v>939</v>
      </c>
      <c r="C398" s="358" t="s">
        <v>115</v>
      </c>
      <c r="D398" s="358" t="s">
        <v>115</v>
      </c>
      <c r="E398" s="358" t="s">
        <v>115</v>
      </c>
      <c r="F398" s="358" t="s">
        <v>115</v>
      </c>
      <c r="G398" s="358" t="s">
        <v>115</v>
      </c>
    </row>
    <row r="399" spans="1:7">
      <c r="A399" s="356" t="s">
        <v>2426</v>
      </c>
      <c r="B399" s="357" t="s">
        <v>2427</v>
      </c>
      <c r="C399" s="358" t="s">
        <v>115</v>
      </c>
      <c r="D399" s="358" t="s">
        <v>115</v>
      </c>
      <c r="E399" s="358" t="s">
        <v>115</v>
      </c>
      <c r="F399" s="358" t="s">
        <v>116</v>
      </c>
      <c r="G399" s="358" t="s">
        <v>115</v>
      </c>
    </row>
    <row r="400" spans="1:7">
      <c r="A400" s="356" t="s">
        <v>2428</v>
      </c>
      <c r="B400" s="357" t="s">
        <v>2429</v>
      </c>
      <c r="C400" s="358" t="s">
        <v>115</v>
      </c>
      <c r="D400" s="358" t="s">
        <v>115</v>
      </c>
      <c r="E400" s="358" t="s">
        <v>115</v>
      </c>
      <c r="F400" s="358" t="s">
        <v>115</v>
      </c>
      <c r="G400" s="358" t="s">
        <v>115</v>
      </c>
    </row>
    <row r="401" spans="1:7">
      <c r="A401" s="356" t="s">
        <v>2430</v>
      </c>
      <c r="B401" s="357" t="s">
        <v>2429</v>
      </c>
      <c r="C401" s="358" t="s">
        <v>115</v>
      </c>
      <c r="D401" s="358" t="s">
        <v>115</v>
      </c>
      <c r="E401" s="358" t="s">
        <v>115</v>
      </c>
      <c r="F401" s="358" t="s">
        <v>116</v>
      </c>
      <c r="G401" s="358" t="s">
        <v>115</v>
      </c>
    </row>
    <row r="402" spans="1:7">
      <c r="A402" s="356" t="s">
        <v>2431</v>
      </c>
      <c r="B402" s="357" t="s">
        <v>2432</v>
      </c>
      <c r="C402" s="358" t="s">
        <v>116</v>
      </c>
      <c r="D402" s="358" t="s">
        <v>116</v>
      </c>
      <c r="E402" s="358" t="s">
        <v>116</v>
      </c>
      <c r="F402" s="358" t="s">
        <v>116</v>
      </c>
      <c r="G402" s="358" t="s">
        <v>116</v>
      </c>
    </row>
    <row r="403" spans="1:7">
      <c r="A403" s="356" t="s">
        <v>2433</v>
      </c>
      <c r="B403" s="357" t="s">
        <v>2434</v>
      </c>
      <c r="C403" s="358" t="s">
        <v>116</v>
      </c>
      <c r="D403" s="358" t="s">
        <v>116</v>
      </c>
      <c r="E403" s="358" t="s">
        <v>116</v>
      </c>
      <c r="F403" s="358" t="s">
        <v>115</v>
      </c>
      <c r="G403" s="358" t="s">
        <v>115</v>
      </c>
    </row>
    <row r="404" spans="1:7">
      <c r="A404" s="356" t="s">
        <v>2435</v>
      </c>
      <c r="B404" s="357" t="s">
        <v>2436</v>
      </c>
      <c r="C404" s="358" t="s">
        <v>116</v>
      </c>
      <c r="D404" s="358" t="s">
        <v>116</v>
      </c>
      <c r="E404" s="358" t="s">
        <v>116</v>
      </c>
      <c r="F404" s="358" t="s">
        <v>115</v>
      </c>
      <c r="G404" s="358" t="s">
        <v>115</v>
      </c>
    </row>
    <row r="405" spans="1:7">
      <c r="A405" s="356" t="s">
        <v>2437</v>
      </c>
      <c r="B405" s="357" t="s">
        <v>943</v>
      </c>
      <c r="C405" s="358" t="s">
        <v>115</v>
      </c>
      <c r="D405" s="358" t="s">
        <v>115</v>
      </c>
      <c r="E405" s="358" t="s">
        <v>115</v>
      </c>
      <c r="F405" s="358" t="s">
        <v>115</v>
      </c>
      <c r="G405" s="358" t="s">
        <v>115</v>
      </c>
    </row>
    <row r="406" spans="1:7">
      <c r="A406" s="356" t="s">
        <v>2438</v>
      </c>
      <c r="B406" s="357" t="s">
        <v>2439</v>
      </c>
      <c r="C406" s="358" t="s">
        <v>116</v>
      </c>
      <c r="D406" s="358" t="s">
        <v>116</v>
      </c>
      <c r="E406" s="358" t="s">
        <v>116</v>
      </c>
      <c r="F406" s="358" t="s">
        <v>116</v>
      </c>
      <c r="G406" s="358" t="s">
        <v>116</v>
      </c>
    </row>
    <row r="407" spans="1:7">
      <c r="A407" s="356" t="s">
        <v>2440</v>
      </c>
      <c r="B407" s="357" t="s">
        <v>945</v>
      </c>
      <c r="C407" s="358" t="s">
        <v>115</v>
      </c>
      <c r="D407" s="358" t="s">
        <v>116</v>
      </c>
      <c r="E407" s="358" t="s">
        <v>115</v>
      </c>
      <c r="F407" s="358" t="s">
        <v>115</v>
      </c>
      <c r="G407" s="358" t="s">
        <v>115</v>
      </c>
    </row>
    <row r="408" spans="1:7">
      <c r="A408" s="356" t="s">
        <v>2441</v>
      </c>
      <c r="B408" s="357" t="s">
        <v>2442</v>
      </c>
      <c r="C408" s="358" t="s">
        <v>116</v>
      </c>
      <c r="D408" s="358" t="s">
        <v>116</v>
      </c>
      <c r="E408" s="358" t="s">
        <v>116</v>
      </c>
      <c r="F408" s="358" t="s">
        <v>116</v>
      </c>
      <c r="G408" s="358" t="s">
        <v>116</v>
      </c>
    </row>
    <row r="409" spans="1:7">
      <c r="A409" s="356" t="s">
        <v>2443</v>
      </c>
      <c r="B409" s="357" t="s">
        <v>2444</v>
      </c>
      <c r="C409" s="358" t="s">
        <v>116</v>
      </c>
      <c r="D409" s="358" t="s">
        <v>116</v>
      </c>
      <c r="E409" s="358" t="s">
        <v>116</v>
      </c>
      <c r="F409" s="358" t="s">
        <v>116</v>
      </c>
      <c r="G409" s="358" t="s">
        <v>116</v>
      </c>
    </row>
    <row r="410" spans="1:7">
      <c r="A410" s="356" t="s">
        <v>2445</v>
      </c>
      <c r="B410" s="357" t="s">
        <v>2446</v>
      </c>
      <c r="C410" s="358" t="s">
        <v>116</v>
      </c>
      <c r="D410" s="358" t="s">
        <v>116</v>
      </c>
      <c r="E410" s="358" t="s">
        <v>116</v>
      </c>
      <c r="F410" s="358" t="s">
        <v>116</v>
      </c>
      <c r="G410" s="358" t="s">
        <v>116</v>
      </c>
    </row>
    <row r="411" spans="1:7">
      <c r="A411" s="356" t="s">
        <v>2447</v>
      </c>
      <c r="B411" s="357" t="s">
        <v>2448</v>
      </c>
      <c r="C411" s="358" t="s">
        <v>116</v>
      </c>
      <c r="D411" s="358" t="s">
        <v>116</v>
      </c>
      <c r="E411" s="358" t="s">
        <v>116</v>
      </c>
      <c r="F411" s="358" t="s">
        <v>116</v>
      </c>
      <c r="G411" s="358" t="s">
        <v>116</v>
      </c>
    </row>
    <row r="412" spans="1:7">
      <c r="A412" s="356" t="s">
        <v>2449</v>
      </c>
      <c r="B412" s="357" t="s">
        <v>2450</v>
      </c>
      <c r="C412" s="358" t="s">
        <v>116</v>
      </c>
      <c r="D412" s="358" t="s">
        <v>116</v>
      </c>
      <c r="E412" s="358" t="s">
        <v>115</v>
      </c>
      <c r="F412" s="358" t="s">
        <v>115</v>
      </c>
      <c r="G412" s="358" t="s">
        <v>115</v>
      </c>
    </row>
    <row r="413" spans="1:7">
      <c r="A413" s="356" t="s">
        <v>2451</v>
      </c>
      <c r="B413" s="357" t="s">
        <v>2452</v>
      </c>
      <c r="C413" s="358" t="s">
        <v>116</v>
      </c>
      <c r="D413" s="358" t="s">
        <v>116</v>
      </c>
      <c r="E413" s="358" t="s">
        <v>116</v>
      </c>
      <c r="F413" s="358" t="s">
        <v>116</v>
      </c>
      <c r="G413" s="358" t="s">
        <v>116</v>
      </c>
    </row>
    <row r="414" spans="1:7">
      <c r="A414" s="356" t="s">
        <v>2453</v>
      </c>
      <c r="B414" s="357" t="s">
        <v>2454</v>
      </c>
      <c r="C414" s="358" t="s">
        <v>116</v>
      </c>
      <c r="D414" s="358" t="s">
        <v>116</v>
      </c>
      <c r="E414" s="358" t="s">
        <v>116</v>
      </c>
      <c r="F414" s="358" t="s">
        <v>116</v>
      </c>
      <c r="G414" s="358" t="s">
        <v>116</v>
      </c>
    </row>
    <row r="415" spans="1:7">
      <c r="A415" s="356" t="s">
        <v>2455</v>
      </c>
      <c r="B415" s="357" t="s">
        <v>2456</v>
      </c>
      <c r="C415" s="358" t="s">
        <v>116</v>
      </c>
      <c r="D415" s="358" t="s">
        <v>116</v>
      </c>
      <c r="E415" s="358" t="s">
        <v>116</v>
      </c>
      <c r="F415" s="358" t="s">
        <v>116</v>
      </c>
      <c r="G415" s="358" t="s">
        <v>116</v>
      </c>
    </row>
    <row r="416" spans="1:7">
      <c r="A416" s="356" t="s">
        <v>2457</v>
      </c>
      <c r="B416" s="357" t="s">
        <v>2458</v>
      </c>
      <c r="C416" s="358" t="s">
        <v>116</v>
      </c>
      <c r="D416" s="358" t="s">
        <v>116</v>
      </c>
      <c r="E416" s="358" t="s">
        <v>116</v>
      </c>
      <c r="F416" s="358" t="s">
        <v>115</v>
      </c>
      <c r="G416" s="358" t="s">
        <v>115</v>
      </c>
    </row>
    <row r="417" spans="1:7">
      <c r="A417" s="356" t="s">
        <v>2459</v>
      </c>
      <c r="B417" s="357" t="s">
        <v>2460</v>
      </c>
      <c r="C417" s="358" t="s">
        <v>116</v>
      </c>
      <c r="D417" s="358" t="s">
        <v>116</v>
      </c>
      <c r="E417" s="358" t="s">
        <v>116</v>
      </c>
      <c r="F417" s="358" t="s">
        <v>116</v>
      </c>
      <c r="G417" s="358" t="s">
        <v>116</v>
      </c>
    </row>
    <row r="418" spans="1:7">
      <c r="A418" s="356" t="s">
        <v>2461</v>
      </c>
      <c r="B418" s="357" t="s">
        <v>2462</v>
      </c>
      <c r="C418" s="358" t="s">
        <v>116</v>
      </c>
      <c r="D418" s="358" t="s">
        <v>116</v>
      </c>
      <c r="E418" s="358" t="s">
        <v>115</v>
      </c>
      <c r="F418" s="358" t="s">
        <v>115</v>
      </c>
      <c r="G418" s="358" t="s">
        <v>115</v>
      </c>
    </row>
    <row r="419" spans="1:7">
      <c r="A419" s="356" t="s">
        <v>2463</v>
      </c>
      <c r="B419" s="357" t="s">
        <v>2464</v>
      </c>
      <c r="C419" s="358" t="s">
        <v>116</v>
      </c>
      <c r="D419" s="358" t="s">
        <v>116</v>
      </c>
      <c r="E419" s="358" t="s">
        <v>116</v>
      </c>
      <c r="F419" s="358" t="s">
        <v>115</v>
      </c>
      <c r="G419" s="358" t="s">
        <v>115</v>
      </c>
    </row>
    <row r="420" spans="1:7">
      <c r="A420" s="356" t="s">
        <v>2465</v>
      </c>
      <c r="B420" s="357" t="s">
        <v>2466</v>
      </c>
      <c r="C420" s="358" t="s">
        <v>116</v>
      </c>
      <c r="D420" s="358" t="s">
        <v>116</v>
      </c>
      <c r="E420" s="358" t="s">
        <v>116</v>
      </c>
      <c r="F420" s="358" t="s">
        <v>116</v>
      </c>
      <c r="G420" s="358" t="s">
        <v>116</v>
      </c>
    </row>
    <row r="421" spans="1:7">
      <c r="A421" s="356" t="s">
        <v>2467</v>
      </c>
      <c r="B421" s="357" t="s">
        <v>2468</v>
      </c>
      <c r="C421" s="358" t="s">
        <v>116</v>
      </c>
      <c r="D421" s="358" t="s">
        <v>116</v>
      </c>
      <c r="E421" s="358" t="s">
        <v>116</v>
      </c>
      <c r="F421" s="358" t="s">
        <v>115</v>
      </c>
      <c r="G421" s="358" t="s">
        <v>115</v>
      </c>
    </row>
    <row r="422" spans="1:7">
      <c r="A422" s="356" t="s">
        <v>2469</v>
      </c>
      <c r="B422" s="357" t="s">
        <v>2470</v>
      </c>
      <c r="C422" s="358" t="s">
        <v>116</v>
      </c>
      <c r="D422" s="358" t="s">
        <v>116</v>
      </c>
      <c r="E422" s="358" t="s">
        <v>116</v>
      </c>
      <c r="F422" s="358" t="s">
        <v>116</v>
      </c>
      <c r="G422" s="358" t="s">
        <v>116</v>
      </c>
    </row>
    <row r="423" spans="1:7">
      <c r="A423" s="356" t="s">
        <v>2471</v>
      </c>
      <c r="B423" s="357" t="s">
        <v>2472</v>
      </c>
      <c r="C423" s="358" t="s">
        <v>116</v>
      </c>
      <c r="D423" s="358" t="s">
        <v>116</v>
      </c>
      <c r="E423" s="358" t="s">
        <v>116</v>
      </c>
      <c r="F423" s="358" t="s">
        <v>116</v>
      </c>
      <c r="G423" s="358" t="s">
        <v>116</v>
      </c>
    </row>
    <row r="424" spans="1:7">
      <c r="A424" s="356" t="s">
        <v>2473</v>
      </c>
      <c r="B424" s="357" t="s">
        <v>1275</v>
      </c>
      <c r="C424" s="358" t="s">
        <v>115</v>
      </c>
      <c r="D424" s="358" t="s">
        <v>116</v>
      </c>
      <c r="E424" s="358" t="s">
        <v>116</v>
      </c>
      <c r="F424" s="358" t="s">
        <v>115</v>
      </c>
      <c r="G424" s="358" t="s">
        <v>115</v>
      </c>
    </row>
    <row r="425" spans="1:7" ht="28.8">
      <c r="A425" s="356" t="s">
        <v>2474</v>
      </c>
      <c r="B425" s="357" t="s">
        <v>2475</v>
      </c>
      <c r="C425" s="358" t="s">
        <v>115</v>
      </c>
      <c r="D425" s="358" t="s">
        <v>116</v>
      </c>
      <c r="E425" s="358" t="s">
        <v>115</v>
      </c>
      <c r="F425" s="358" t="s">
        <v>115</v>
      </c>
      <c r="G425" s="358" t="s">
        <v>115</v>
      </c>
    </row>
    <row r="426" spans="1:7">
      <c r="A426" s="356" t="s">
        <v>2476</v>
      </c>
      <c r="B426" s="357" t="s">
        <v>1629</v>
      </c>
      <c r="C426" s="358" t="s">
        <v>115</v>
      </c>
      <c r="D426" s="358" t="s">
        <v>115</v>
      </c>
      <c r="E426" s="358" t="s">
        <v>115</v>
      </c>
      <c r="F426" s="358" t="s">
        <v>115</v>
      </c>
      <c r="G426" s="358" t="s">
        <v>115</v>
      </c>
    </row>
    <row r="427" spans="1:7">
      <c r="A427" s="356" t="s">
        <v>2477</v>
      </c>
      <c r="B427" s="357" t="s">
        <v>1321</v>
      </c>
      <c r="C427" s="358" t="s">
        <v>115</v>
      </c>
      <c r="D427" s="358" t="s">
        <v>116</v>
      </c>
      <c r="E427" s="358" t="s">
        <v>115</v>
      </c>
      <c r="F427" s="358" t="s">
        <v>115</v>
      </c>
      <c r="G427" s="358" t="s">
        <v>115</v>
      </c>
    </row>
    <row r="428" spans="1:7">
      <c r="A428" s="356" t="s">
        <v>2478</v>
      </c>
      <c r="B428" s="357" t="s">
        <v>950</v>
      </c>
      <c r="C428" s="358" t="s">
        <v>115</v>
      </c>
      <c r="D428" s="358" t="s">
        <v>116</v>
      </c>
      <c r="E428" s="358" t="s">
        <v>115</v>
      </c>
      <c r="F428" s="358" t="s">
        <v>115</v>
      </c>
      <c r="G428" s="358" t="s">
        <v>115</v>
      </c>
    </row>
    <row r="429" spans="1:7">
      <c r="A429" s="356" t="s">
        <v>2479</v>
      </c>
      <c r="B429" s="357" t="s">
        <v>2480</v>
      </c>
      <c r="C429" s="358" t="s">
        <v>116</v>
      </c>
      <c r="D429" s="358" t="s">
        <v>116</v>
      </c>
      <c r="E429" s="358" t="s">
        <v>115</v>
      </c>
      <c r="F429" s="358" t="s">
        <v>115</v>
      </c>
      <c r="G429" s="358" t="s">
        <v>115</v>
      </c>
    </row>
    <row r="430" spans="1:7">
      <c r="A430" s="356" t="s">
        <v>2481</v>
      </c>
      <c r="B430" s="357" t="s">
        <v>1322</v>
      </c>
      <c r="C430" s="358" t="s">
        <v>1947</v>
      </c>
      <c r="D430" s="358" t="s">
        <v>1947</v>
      </c>
      <c r="E430" s="358" t="s">
        <v>1947</v>
      </c>
      <c r="F430" s="358" t="s">
        <v>1947</v>
      </c>
      <c r="G430" s="358" t="s">
        <v>1947</v>
      </c>
    </row>
    <row r="431" spans="1:7">
      <c r="A431" s="356" t="s">
        <v>2482</v>
      </c>
      <c r="B431" s="357" t="s">
        <v>2483</v>
      </c>
      <c r="C431" s="358" t="s">
        <v>116</v>
      </c>
      <c r="D431" s="358" t="s">
        <v>116</v>
      </c>
      <c r="E431" s="358" t="s">
        <v>116</v>
      </c>
      <c r="F431" s="358" t="s">
        <v>116</v>
      </c>
      <c r="G431" s="358" t="s">
        <v>116</v>
      </c>
    </row>
    <row r="432" spans="1:7">
      <c r="A432" s="356" t="s">
        <v>2484</v>
      </c>
      <c r="B432" s="357" t="s">
        <v>1324</v>
      </c>
      <c r="C432" s="358" t="s">
        <v>115</v>
      </c>
      <c r="D432" s="358" t="s">
        <v>116</v>
      </c>
      <c r="E432" s="358" t="s">
        <v>115</v>
      </c>
      <c r="F432" s="358" t="s">
        <v>115</v>
      </c>
      <c r="G432" s="358" t="s">
        <v>115</v>
      </c>
    </row>
    <row r="433" spans="1:7">
      <c r="A433" s="356" t="s">
        <v>2485</v>
      </c>
      <c r="B433" s="357" t="s">
        <v>2486</v>
      </c>
      <c r="C433" s="358" t="s">
        <v>116</v>
      </c>
      <c r="D433" s="358" t="s">
        <v>116</v>
      </c>
      <c r="E433" s="358" t="s">
        <v>115</v>
      </c>
      <c r="F433" s="358" t="s">
        <v>115</v>
      </c>
      <c r="G433" s="358" t="s">
        <v>115</v>
      </c>
    </row>
    <row r="434" spans="1:7">
      <c r="A434" s="356" t="s">
        <v>2487</v>
      </c>
      <c r="B434" s="357" t="s">
        <v>1636</v>
      </c>
      <c r="C434" s="358" t="s">
        <v>116</v>
      </c>
      <c r="D434" s="358" t="s">
        <v>116</v>
      </c>
      <c r="E434" s="358" t="s">
        <v>115</v>
      </c>
      <c r="F434" s="358" t="s">
        <v>115</v>
      </c>
      <c r="G434" s="358" t="s">
        <v>115</v>
      </c>
    </row>
    <row r="435" spans="1:7">
      <c r="A435" s="356" t="s">
        <v>2488</v>
      </c>
      <c r="B435" s="357" t="s">
        <v>2489</v>
      </c>
      <c r="C435" s="358" t="s">
        <v>116</v>
      </c>
      <c r="D435" s="358" t="s">
        <v>116</v>
      </c>
      <c r="E435" s="358" t="s">
        <v>116</v>
      </c>
      <c r="F435" s="358" t="s">
        <v>116</v>
      </c>
      <c r="G435" s="358" t="s">
        <v>116</v>
      </c>
    </row>
    <row r="436" spans="1:7">
      <c r="A436" s="356" t="s">
        <v>2490</v>
      </c>
      <c r="B436" s="357" t="s">
        <v>2491</v>
      </c>
      <c r="C436" s="358" t="s">
        <v>116</v>
      </c>
      <c r="D436" s="358" t="s">
        <v>116</v>
      </c>
      <c r="E436" s="358" t="s">
        <v>116</v>
      </c>
      <c r="F436" s="358" t="s">
        <v>116</v>
      </c>
      <c r="G436" s="358" t="s">
        <v>116</v>
      </c>
    </row>
    <row r="437" spans="1:7">
      <c r="A437" s="356" t="s">
        <v>2492</v>
      </c>
      <c r="B437" s="357" t="s">
        <v>2493</v>
      </c>
      <c r="C437" s="358" t="s">
        <v>116</v>
      </c>
      <c r="D437" s="358" t="s">
        <v>116</v>
      </c>
      <c r="E437" s="358" t="s">
        <v>116</v>
      </c>
      <c r="F437" s="358" t="s">
        <v>116</v>
      </c>
      <c r="G437" s="358" t="s">
        <v>116</v>
      </c>
    </row>
    <row r="438" spans="1:7">
      <c r="A438" s="356" t="s">
        <v>2494</v>
      </c>
      <c r="B438" s="357" t="s">
        <v>2495</v>
      </c>
      <c r="C438" s="358" t="s">
        <v>116</v>
      </c>
      <c r="D438" s="358" t="s">
        <v>116</v>
      </c>
      <c r="E438" s="358" t="s">
        <v>116</v>
      </c>
      <c r="F438" s="358" t="s">
        <v>116</v>
      </c>
      <c r="G438" s="358" t="s">
        <v>116</v>
      </c>
    </row>
    <row r="439" spans="1:7">
      <c r="A439" s="356" t="s">
        <v>2494</v>
      </c>
      <c r="B439" s="357" t="s">
        <v>2495</v>
      </c>
      <c r="C439" s="358" t="s">
        <v>116</v>
      </c>
      <c r="D439" s="358" t="s">
        <v>116</v>
      </c>
      <c r="E439" s="358" t="s">
        <v>116</v>
      </c>
      <c r="F439" s="358" t="s">
        <v>116</v>
      </c>
      <c r="G439" s="358" t="s">
        <v>116</v>
      </c>
    </row>
    <row r="440" spans="1:7">
      <c r="A440" s="356" t="s">
        <v>2496</v>
      </c>
      <c r="B440" s="357" t="s">
        <v>2497</v>
      </c>
      <c r="C440" s="358" t="s">
        <v>116</v>
      </c>
      <c r="D440" s="358" t="s">
        <v>116</v>
      </c>
      <c r="E440" s="358" t="s">
        <v>116</v>
      </c>
      <c r="F440" s="358" t="s">
        <v>116</v>
      </c>
      <c r="G440" s="358" t="s">
        <v>116</v>
      </c>
    </row>
    <row r="441" spans="1:7">
      <c r="A441" s="356" t="s">
        <v>2496</v>
      </c>
      <c r="B441" s="357" t="s">
        <v>2497</v>
      </c>
      <c r="C441" s="358" t="s">
        <v>116</v>
      </c>
      <c r="D441" s="358" t="s">
        <v>116</v>
      </c>
      <c r="E441" s="358" t="s">
        <v>116</v>
      </c>
      <c r="F441" s="358" t="s">
        <v>116</v>
      </c>
      <c r="G441" s="358" t="s">
        <v>116</v>
      </c>
    </row>
    <row r="442" spans="1:7">
      <c r="A442" s="356" t="s">
        <v>2498</v>
      </c>
      <c r="B442" s="357" t="s">
        <v>2499</v>
      </c>
      <c r="C442" s="358" t="s">
        <v>116</v>
      </c>
      <c r="D442" s="358" t="s">
        <v>116</v>
      </c>
      <c r="E442" s="358" t="s">
        <v>116</v>
      </c>
      <c r="F442" s="358" t="s">
        <v>116</v>
      </c>
      <c r="G442" s="358" t="s">
        <v>116</v>
      </c>
    </row>
    <row r="443" spans="1:7">
      <c r="A443" s="356" t="s">
        <v>2500</v>
      </c>
      <c r="B443" s="357" t="s">
        <v>2501</v>
      </c>
      <c r="C443" s="358" t="s">
        <v>116</v>
      </c>
      <c r="D443" s="358" t="s">
        <v>116</v>
      </c>
      <c r="E443" s="358" t="s">
        <v>116</v>
      </c>
      <c r="F443" s="358" t="s">
        <v>116</v>
      </c>
      <c r="G443" s="358" t="s">
        <v>116</v>
      </c>
    </row>
    <row r="444" spans="1:7">
      <c r="A444" s="356" t="s">
        <v>2502</v>
      </c>
      <c r="B444" s="357" t="s">
        <v>2503</v>
      </c>
      <c r="C444" s="358" t="s">
        <v>116</v>
      </c>
      <c r="D444" s="358" t="s">
        <v>116</v>
      </c>
      <c r="E444" s="358" t="s">
        <v>116</v>
      </c>
      <c r="F444" s="358" t="s">
        <v>116</v>
      </c>
      <c r="G444" s="358" t="s">
        <v>116</v>
      </c>
    </row>
    <row r="445" spans="1:7">
      <c r="A445" s="356" t="s">
        <v>2504</v>
      </c>
      <c r="B445" s="357" t="s">
        <v>2505</v>
      </c>
      <c r="C445" s="358" t="s">
        <v>116</v>
      </c>
      <c r="D445" s="358" t="s">
        <v>116</v>
      </c>
      <c r="E445" s="358" t="s">
        <v>116</v>
      </c>
      <c r="F445" s="358" t="s">
        <v>116</v>
      </c>
      <c r="G445" s="358" t="s">
        <v>116</v>
      </c>
    </row>
    <row r="446" spans="1:7">
      <c r="A446" s="356" t="s">
        <v>2506</v>
      </c>
      <c r="B446" s="357" t="s">
        <v>2507</v>
      </c>
      <c r="C446" s="358" t="s">
        <v>116</v>
      </c>
      <c r="D446" s="358" t="s">
        <v>116</v>
      </c>
      <c r="E446" s="358" t="s">
        <v>116</v>
      </c>
      <c r="F446" s="358" t="s">
        <v>116</v>
      </c>
      <c r="G446" s="358" t="s">
        <v>116</v>
      </c>
    </row>
    <row r="447" spans="1:7">
      <c r="A447" s="356" t="s">
        <v>2508</v>
      </c>
      <c r="B447" s="357" t="s">
        <v>2509</v>
      </c>
      <c r="C447" s="358" t="s">
        <v>1947</v>
      </c>
      <c r="D447" s="358" t="s">
        <v>1947</v>
      </c>
      <c r="E447" s="358" t="s">
        <v>1947</v>
      </c>
      <c r="F447" s="358" t="s">
        <v>1947</v>
      </c>
      <c r="G447" s="358" t="s">
        <v>1947</v>
      </c>
    </row>
    <row r="448" spans="1:7">
      <c r="A448" s="356" t="s">
        <v>2510</v>
      </c>
      <c r="B448" s="357" t="s">
        <v>2511</v>
      </c>
      <c r="C448" s="358" t="s">
        <v>116</v>
      </c>
      <c r="D448" s="358" t="s">
        <v>116</v>
      </c>
      <c r="E448" s="358" t="s">
        <v>116</v>
      </c>
      <c r="F448" s="358" t="s">
        <v>116</v>
      </c>
      <c r="G448" s="358" t="s">
        <v>116</v>
      </c>
    </row>
    <row r="449" spans="1:7">
      <c r="A449" s="356" t="s">
        <v>2510</v>
      </c>
      <c r="B449" s="357" t="s">
        <v>2512</v>
      </c>
      <c r="C449" s="358" t="s">
        <v>116</v>
      </c>
      <c r="D449" s="358" t="s">
        <v>116</v>
      </c>
      <c r="E449" s="358" t="s">
        <v>116</v>
      </c>
      <c r="F449" s="358" t="s">
        <v>116</v>
      </c>
      <c r="G449" s="358" t="s">
        <v>116</v>
      </c>
    </row>
    <row r="450" spans="1:7">
      <c r="A450" s="356" t="s">
        <v>2510</v>
      </c>
      <c r="B450" s="357" t="s">
        <v>2511</v>
      </c>
      <c r="C450" s="358" t="s">
        <v>115</v>
      </c>
      <c r="D450" s="358" t="s">
        <v>115</v>
      </c>
      <c r="E450" s="358" t="s">
        <v>116</v>
      </c>
      <c r="F450" s="358" t="s">
        <v>115</v>
      </c>
      <c r="G450" s="358" t="s">
        <v>115</v>
      </c>
    </row>
    <row r="451" spans="1:7">
      <c r="A451" s="356" t="s">
        <v>2513</v>
      </c>
      <c r="B451" s="357" t="s">
        <v>2514</v>
      </c>
      <c r="C451" s="358" t="s">
        <v>116</v>
      </c>
      <c r="D451" s="358" t="s">
        <v>116</v>
      </c>
      <c r="E451" s="358" t="s">
        <v>116</v>
      </c>
      <c r="F451" s="358" t="s">
        <v>116</v>
      </c>
      <c r="G451" s="358" t="s">
        <v>115</v>
      </c>
    </row>
    <row r="452" spans="1:7">
      <c r="A452" s="356" t="s">
        <v>2515</v>
      </c>
      <c r="B452" s="357" t="s">
        <v>2516</v>
      </c>
      <c r="C452" s="358" t="s">
        <v>116</v>
      </c>
      <c r="D452" s="358" t="s">
        <v>116</v>
      </c>
      <c r="E452" s="358" t="s">
        <v>116</v>
      </c>
      <c r="F452" s="358" t="s">
        <v>116</v>
      </c>
      <c r="G452" s="358" t="s">
        <v>115</v>
      </c>
    </row>
    <row r="453" spans="1:7">
      <c r="A453" s="356" t="s">
        <v>2517</v>
      </c>
      <c r="B453" s="357" t="s">
        <v>2518</v>
      </c>
      <c r="C453" s="358" t="s">
        <v>116</v>
      </c>
      <c r="D453" s="358" t="s">
        <v>116</v>
      </c>
      <c r="E453" s="358" t="s">
        <v>115</v>
      </c>
      <c r="F453" s="358" t="s">
        <v>115</v>
      </c>
      <c r="G453" s="358" t="s">
        <v>115</v>
      </c>
    </row>
    <row r="454" spans="1:7">
      <c r="A454" s="356" t="s">
        <v>2519</v>
      </c>
      <c r="B454" s="357" t="s">
        <v>2518</v>
      </c>
      <c r="C454" s="358" t="s">
        <v>116</v>
      </c>
      <c r="D454" s="358" t="s">
        <v>116</v>
      </c>
      <c r="E454" s="358" t="s">
        <v>115</v>
      </c>
      <c r="F454" s="358" t="s">
        <v>115</v>
      </c>
      <c r="G454" s="358" t="s">
        <v>115</v>
      </c>
    </row>
    <row r="455" spans="1:7">
      <c r="A455" s="356" t="s">
        <v>2520</v>
      </c>
      <c r="B455" s="357" t="s">
        <v>954</v>
      </c>
      <c r="C455" s="358" t="s">
        <v>116</v>
      </c>
      <c r="D455" s="358" t="s">
        <v>116</v>
      </c>
      <c r="E455" s="358" t="s">
        <v>115</v>
      </c>
      <c r="F455" s="358" t="s">
        <v>115</v>
      </c>
      <c r="G455" s="358" t="s">
        <v>115</v>
      </c>
    </row>
    <row r="456" spans="1:7">
      <c r="A456" s="356" t="s">
        <v>2521</v>
      </c>
      <c r="B456" s="357" t="s">
        <v>2522</v>
      </c>
      <c r="C456" s="358" t="s">
        <v>116</v>
      </c>
      <c r="D456" s="358" t="s">
        <v>116</v>
      </c>
      <c r="E456" s="358" t="s">
        <v>116</v>
      </c>
      <c r="F456" s="358" t="s">
        <v>116</v>
      </c>
      <c r="G456" s="358" t="s">
        <v>116</v>
      </c>
    </row>
    <row r="457" spans="1:7">
      <c r="A457" s="356" t="s">
        <v>2523</v>
      </c>
      <c r="B457" s="357" t="s">
        <v>2524</v>
      </c>
      <c r="C457" s="358" t="s">
        <v>116</v>
      </c>
      <c r="D457" s="358" t="s">
        <v>116</v>
      </c>
      <c r="E457" s="358" t="s">
        <v>116</v>
      </c>
      <c r="F457" s="358" t="s">
        <v>116</v>
      </c>
      <c r="G457" s="358" t="s">
        <v>116</v>
      </c>
    </row>
    <row r="458" spans="1:7">
      <c r="A458" s="356" t="s">
        <v>2525</v>
      </c>
      <c r="B458" s="357" t="s">
        <v>1641</v>
      </c>
      <c r="C458" s="358" t="s">
        <v>116</v>
      </c>
      <c r="D458" s="358" t="s">
        <v>116</v>
      </c>
      <c r="E458" s="358" t="s">
        <v>115</v>
      </c>
      <c r="F458" s="358" t="s">
        <v>115</v>
      </c>
      <c r="G458" s="358" t="s">
        <v>115</v>
      </c>
    </row>
    <row r="459" spans="1:7">
      <c r="A459" s="356" t="s">
        <v>2526</v>
      </c>
      <c r="B459" s="357" t="s">
        <v>2527</v>
      </c>
      <c r="C459" s="358" t="s">
        <v>116</v>
      </c>
      <c r="D459" s="358" t="s">
        <v>116</v>
      </c>
      <c r="E459" s="358" t="s">
        <v>116</v>
      </c>
      <c r="F459" s="358" t="s">
        <v>116</v>
      </c>
      <c r="G459" s="358" t="s">
        <v>116</v>
      </c>
    </row>
    <row r="460" spans="1:7">
      <c r="A460" s="356" t="s">
        <v>2526</v>
      </c>
      <c r="B460" s="357" t="s">
        <v>2527</v>
      </c>
      <c r="C460" s="358" t="s">
        <v>116</v>
      </c>
      <c r="D460" s="358" t="s">
        <v>116</v>
      </c>
      <c r="E460" s="358" t="s">
        <v>116</v>
      </c>
      <c r="F460" s="358" t="s">
        <v>116</v>
      </c>
      <c r="G460" s="358" t="s">
        <v>116</v>
      </c>
    </row>
    <row r="461" spans="1:7">
      <c r="A461" s="356" t="s">
        <v>2528</v>
      </c>
      <c r="B461" s="357" t="s">
        <v>2529</v>
      </c>
      <c r="C461" s="358" t="s">
        <v>116</v>
      </c>
      <c r="D461" s="358" t="s">
        <v>116</v>
      </c>
      <c r="E461" s="358" t="s">
        <v>116</v>
      </c>
      <c r="F461" s="358" t="s">
        <v>116</v>
      </c>
      <c r="G461" s="358" t="s">
        <v>116</v>
      </c>
    </row>
    <row r="462" spans="1:7">
      <c r="A462" s="356" t="s">
        <v>2530</v>
      </c>
      <c r="B462" s="357" t="s">
        <v>2531</v>
      </c>
      <c r="C462" s="358" t="s">
        <v>116</v>
      </c>
      <c r="D462" s="358" t="s">
        <v>116</v>
      </c>
      <c r="E462" s="358" t="s">
        <v>115</v>
      </c>
      <c r="F462" s="358" t="s">
        <v>116</v>
      </c>
      <c r="G462" s="358" t="s">
        <v>115</v>
      </c>
    </row>
    <row r="463" spans="1:7">
      <c r="A463" s="356" t="s">
        <v>2532</v>
      </c>
      <c r="B463" s="357" t="s">
        <v>2533</v>
      </c>
      <c r="C463" s="358" t="s">
        <v>115</v>
      </c>
      <c r="D463" s="358" t="s">
        <v>116</v>
      </c>
      <c r="E463" s="358" t="s">
        <v>115</v>
      </c>
      <c r="F463" s="358" t="s">
        <v>115</v>
      </c>
      <c r="G463" s="358" t="s">
        <v>115</v>
      </c>
    </row>
    <row r="464" spans="1:7">
      <c r="A464" s="356" t="s">
        <v>2534</v>
      </c>
      <c r="B464" s="357" t="s">
        <v>2535</v>
      </c>
      <c r="C464" s="358" t="s">
        <v>116</v>
      </c>
      <c r="D464" s="358" t="s">
        <v>116</v>
      </c>
      <c r="E464" s="358" t="s">
        <v>116</v>
      </c>
      <c r="F464" s="358" t="s">
        <v>115</v>
      </c>
      <c r="G464" s="358" t="s">
        <v>115</v>
      </c>
    </row>
    <row r="465" spans="1:7">
      <c r="A465" s="356" t="s">
        <v>2536</v>
      </c>
      <c r="B465" s="357" t="s">
        <v>35</v>
      </c>
      <c r="C465" s="358" t="s">
        <v>116</v>
      </c>
      <c r="D465" s="358" t="s">
        <v>116</v>
      </c>
      <c r="E465" s="358" t="s">
        <v>115</v>
      </c>
      <c r="F465" s="358" t="s">
        <v>115</v>
      </c>
      <c r="G465" s="358" t="s">
        <v>115</v>
      </c>
    </row>
    <row r="466" spans="1:7">
      <c r="A466" s="356" t="s">
        <v>2537</v>
      </c>
      <c r="B466" s="357" t="s">
        <v>2507</v>
      </c>
      <c r="C466" s="358" t="s">
        <v>116</v>
      </c>
      <c r="D466" s="358" t="s">
        <v>116</v>
      </c>
      <c r="E466" s="358" t="s">
        <v>116</v>
      </c>
      <c r="F466" s="358" t="s">
        <v>116</v>
      </c>
      <c r="G466" s="358" t="s">
        <v>116</v>
      </c>
    </row>
    <row r="467" spans="1:7">
      <c r="A467" s="356" t="s">
        <v>2538</v>
      </c>
      <c r="B467" s="357" t="s">
        <v>1587</v>
      </c>
      <c r="C467" s="358" t="s">
        <v>116</v>
      </c>
      <c r="D467" s="358" t="s">
        <v>116</v>
      </c>
      <c r="E467" s="358" t="s">
        <v>116</v>
      </c>
      <c r="F467" s="358" t="s">
        <v>115</v>
      </c>
      <c r="G467" s="358" t="s">
        <v>115</v>
      </c>
    </row>
    <row r="468" spans="1:7">
      <c r="A468" s="356" t="s">
        <v>2539</v>
      </c>
      <c r="B468" s="357" t="s">
        <v>1587</v>
      </c>
      <c r="C468" s="358" t="s">
        <v>116</v>
      </c>
      <c r="D468" s="358" t="s">
        <v>116</v>
      </c>
      <c r="E468" s="358" t="s">
        <v>116</v>
      </c>
      <c r="F468" s="358" t="s">
        <v>116</v>
      </c>
      <c r="G468" s="358" t="s">
        <v>116</v>
      </c>
    </row>
    <row r="469" spans="1:7">
      <c r="A469" s="356" t="s">
        <v>2540</v>
      </c>
      <c r="B469" s="357" t="s">
        <v>957</v>
      </c>
      <c r="C469" s="358" t="s">
        <v>116</v>
      </c>
      <c r="D469" s="358" t="s">
        <v>116</v>
      </c>
      <c r="E469" s="358" t="s">
        <v>115</v>
      </c>
      <c r="F469" s="358" t="s">
        <v>115</v>
      </c>
      <c r="G469" s="358" t="s">
        <v>115</v>
      </c>
    </row>
    <row r="470" spans="1:7">
      <c r="A470" s="356" t="s">
        <v>2541</v>
      </c>
      <c r="B470" s="357" t="s">
        <v>2542</v>
      </c>
      <c r="C470" s="358" t="s">
        <v>116</v>
      </c>
      <c r="D470" s="358" t="s">
        <v>116</v>
      </c>
      <c r="E470" s="358" t="s">
        <v>116</v>
      </c>
      <c r="F470" s="358" t="s">
        <v>116</v>
      </c>
      <c r="G470" s="358" t="s">
        <v>116</v>
      </c>
    </row>
    <row r="471" spans="1:7">
      <c r="A471" s="356" t="s">
        <v>2543</v>
      </c>
      <c r="B471" s="357" t="s">
        <v>2544</v>
      </c>
      <c r="C471" s="358" t="s">
        <v>116</v>
      </c>
      <c r="D471" s="358" t="s">
        <v>116</v>
      </c>
      <c r="E471" s="358" t="s">
        <v>116</v>
      </c>
      <c r="F471" s="358" t="s">
        <v>116</v>
      </c>
      <c r="G471" s="358" t="s">
        <v>116</v>
      </c>
    </row>
    <row r="472" spans="1:7">
      <c r="A472" s="356" t="s">
        <v>2545</v>
      </c>
      <c r="B472" s="357" t="s">
        <v>1680</v>
      </c>
      <c r="C472" s="358" t="s">
        <v>115</v>
      </c>
      <c r="D472" s="358" t="s">
        <v>116</v>
      </c>
      <c r="E472" s="358" t="s">
        <v>115</v>
      </c>
      <c r="F472" s="358" t="s">
        <v>115</v>
      </c>
      <c r="G472" s="358" t="s">
        <v>115</v>
      </c>
    </row>
    <row r="473" spans="1:7">
      <c r="A473" s="356" t="s">
        <v>2546</v>
      </c>
      <c r="B473" s="357" t="s">
        <v>2547</v>
      </c>
      <c r="C473" s="358" t="s">
        <v>116</v>
      </c>
      <c r="D473" s="358" t="s">
        <v>116</v>
      </c>
      <c r="E473" s="358" t="s">
        <v>116</v>
      </c>
      <c r="F473" s="358" t="s">
        <v>116</v>
      </c>
      <c r="G473" s="358" t="s">
        <v>116</v>
      </c>
    </row>
    <row r="474" spans="1:7">
      <c r="A474" s="356" t="s">
        <v>2546</v>
      </c>
      <c r="B474" s="357" t="s">
        <v>2547</v>
      </c>
      <c r="C474" s="358" t="s">
        <v>116</v>
      </c>
      <c r="D474" s="358" t="s">
        <v>116</v>
      </c>
      <c r="E474" s="358" t="s">
        <v>116</v>
      </c>
      <c r="F474" s="358" t="s">
        <v>116</v>
      </c>
      <c r="G474" s="358" t="s">
        <v>115</v>
      </c>
    </row>
    <row r="475" spans="1:7">
      <c r="A475" s="356" t="s">
        <v>2548</v>
      </c>
      <c r="B475" s="357" t="s">
        <v>1065</v>
      </c>
      <c r="C475" s="358" t="s">
        <v>116</v>
      </c>
      <c r="D475" s="358" t="s">
        <v>116</v>
      </c>
      <c r="E475" s="358" t="s">
        <v>115</v>
      </c>
      <c r="F475" s="358" t="s">
        <v>115</v>
      </c>
      <c r="G475" s="358" t="s">
        <v>115</v>
      </c>
    </row>
    <row r="476" spans="1:7">
      <c r="A476" s="356" t="s">
        <v>2549</v>
      </c>
      <c r="B476" s="357" t="s">
        <v>1294</v>
      </c>
      <c r="C476" s="358" t="s">
        <v>116</v>
      </c>
      <c r="D476" s="358" t="s">
        <v>116</v>
      </c>
      <c r="E476" s="358" t="s">
        <v>115</v>
      </c>
      <c r="F476" s="358" t="s">
        <v>115</v>
      </c>
      <c r="G476" s="358" t="s">
        <v>115</v>
      </c>
    </row>
    <row r="477" spans="1:7">
      <c r="A477" s="356" t="s">
        <v>2550</v>
      </c>
      <c r="B477" s="357" t="s">
        <v>1065</v>
      </c>
      <c r="C477" s="358" t="s">
        <v>116</v>
      </c>
      <c r="D477" s="358" t="s">
        <v>116</v>
      </c>
      <c r="E477" s="358" t="s">
        <v>116</v>
      </c>
      <c r="F477" s="358" t="s">
        <v>116</v>
      </c>
      <c r="G477" s="358" t="s">
        <v>116</v>
      </c>
    </row>
    <row r="478" spans="1:7">
      <c r="A478" s="356" t="s">
        <v>2551</v>
      </c>
      <c r="B478" s="357" t="s">
        <v>2552</v>
      </c>
      <c r="C478" s="358" t="s">
        <v>116</v>
      </c>
      <c r="D478" s="358" t="s">
        <v>116</v>
      </c>
      <c r="E478" s="358" t="s">
        <v>115</v>
      </c>
      <c r="F478" s="358" t="s">
        <v>115</v>
      </c>
      <c r="G478" s="358" t="s">
        <v>115</v>
      </c>
    </row>
    <row r="479" spans="1:7">
      <c r="A479" s="356" t="s">
        <v>2553</v>
      </c>
      <c r="B479" s="357" t="s">
        <v>2554</v>
      </c>
      <c r="C479" s="358" t="s">
        <v>116</v>
      </c>
      <c r="D479" s="358" t="s">
        <v>116</v>
      </c>
      <c r="E479" s="358" t="s">
        <v>116</v>
      </c>
      <c r="F479" s="358" t="s">
        <v>116</v>
      </c>
      <c r="G479" s="358" t="s">
        <v>116</v>
      </c>
    </row>
    <row r="480" spans="1:7">
      <c r="A480" s="356" t="s">
        <v>2555</v>
      </c>
      <c r="B480" s="357" t="s">
        <v>2556</v>
      </c>
      <c r="C480" s="358" t="s">
        <v>116</v>
      </c>
      <c r="D480" s="358" t="s">
        <v>116</v>
      </c>
      <c r="E480" s="358" t="s">
        <v>116</v>
      </c>
      <c r="F480" s="358" t="s">
        <v>116</v>
      </c>
      <c r="G480" s="358" t="s">
        <v>116</v>
      </c>
    </row>
    <row r="481" spans="1:7">
      <c r="A481" s="356" t="s">
        <v>2557</v>
      </c>
      <c r="B481" s="357" t="s">
        <v>2558</v>
      </c>
      <c r="C481" s="358" t="s">
        <v>116</v>
      </c>
      <c r="D481" s="358" t="s">
        <v>116</v>
      </c>
      <c r="E481" s="358" t="s">
        <v>116</v>
      </c>
      <c r="F481" s="358" t="s">
        <v>116</v>
      </c>
      <c r="G481" s="358" t="s">
        <v>116</v>
      </c>
    </row>
    <row r="482" spans="1:7">
      <c r="A482" s="356" t="s">
        <v>2559</v>
      </c>
      <c r="B482" s="357" t="s">
        <v>2560</v>
      </c>
      <c r="C482" s="358" t="s">
        <v>116</v>
      </c>
      <c r="D482" s="358" t="s">
        <v>116</v>
      </c>
      <c r="E482" s="358" t="s">
        <v>116</v>
      </c>
      <c r="F482" s="358" t="s">
        <v>116</v>
      </c>
      <c r="G482" s="358" t="s">
        <v>116</v>
      </c>
    </row>
    <row r="483" spans="1:7">
      <c r="A483" s="356" t="s">
        <v>2561</v>
      </c>
      <c r="B483" s="357" t="s">
        <v>2562</v>
      </c>
      <c r="C483" s="358" t="s">
        <v>116</v>
      </c>
      <c r="D483" s="358" t="s">
        <v>116</v>
      </c>
      <c r="E483" s="358" t="s">
        <v>116</v>
      </c>
      <c r="F483" s="358" t="s">
        <v>116</v>
      </c>
      <c r="G483" s="358" t="s">
        <v>116</v>
      </c>
    </row>
    <row r="484" spans="1:7">
      <c r="A484" s="356" t="s">
        <v>2563</v>
      </c>
      <c r="B484" s="357" t="s">
        <v>2564</v>
      </c>
      <c r="C484" s="358" t="s">
        <v>116</v>
      </c>
      <c r="D484" s="358" t="s">
        <v>116</v>
      </c>
      <c r="E484" s="358" t="s">
        <v>116</v>
      </c>
      <c r="F484" s="358" t="s">
        <v>116</v>
      </c>
      <c r="G484" s="358" t="s">
        <v>116</v>
      </c>
    </row>
    <row r="485" spans="1:7">
      <c r="A485" s="356" t="s">
        <v>2565</v>
      </c>
      <c r="B485" s="357" t="s">
        <v>2566</v>
      </c>
      <c r="C485" s="358" t="s">
        <v>116</v>
      </c>
      <c r="D485" s="358" t="s">
        <v>116</v>
      </c>
      <c r="E485" s="358" t="s">
        <v>116</v>
      </c>
      <c r="F485" s="358" t="s">
        <v>116</v>
      </c>
      <c r="G485" s="358" t="s">
        <v>116</v>
      </c>
    </row>
    <row r="486" spans="1:7">
      <c r="A486" s="356" t="s">
        <v>2567</v>
      </c>
      <c r="B486" s="357" t="s">
        <v>2568</v>
      </c>
      <c r="C486" s="358" t="s">
        <v>116</v>
      </c>
      <c r="D486" s="358" t="s">
        <v>116</v>
      </c>
      <c r="E486" s="358" t="s">
        <v>115</v>
      </c>
      <c r="F486" s="358" t="s">
        <v>115</v>
      </c>
      <c r="G486" s="358" t="s">
        <v>115</v>
      </c>
    </row>
    <row r="487" spans="1:7">
      <c r="A487" s="356" t="s">
        <v>2569</v>
      </c>
      <c r="B487" s="357" t="s">
        <v>2570</v>
      </c>
      <c r="C487" s="358" t="s">
        <v>116</v>
      </c>
      <c r="D487" s="358" t="s">
        <v>116</v>
      </c>
      <c r="E487" s="358" t="s">
        <v>115</v>
      </c>
      <c r="F487" s="358" t="s">
        <v>115</v>
      </c>
      <c r="G487" s="358" t="s">
        <v>115</v>
      </c>
    </row>
    <row r="488" spans="1:7">
      <c r="A488" s="356" t="s">
        <v>2571</v>
      </c>
      <c r="B488" s="357" t="s">
        <v>2572</v>
      </c>
      <c r="C488" s="358" t="s">
        <v>116</v>
      </c>
      <c r="D488" s="358" t="s">
        <v>116</v>
      </c>
      <c r="E488" s="358" t="s">
        <v>116</v>
      </c>
      <c r="F488" s="358" t="s">
        <v>115</v>
      </c>
      <c r="G488" s="358" t="s">
        <v>115</v>
      </c>
    </row>
    <row r="489" spans="1:7">
      <c r="A489" s="356" t="s">
        <v>2573</v>
      </c>
      <c r="B489" s="357" t="s">
        <v>2574</v>
      </c>
      <c r="C489" s="358" t="s">
        <v>115</v>
      </c>
      <c r="D489" s="358" t="s">
        <v>115</v>
      </c>
      <c r="E489" s="358" t="s">
        <v>115</v>
      </c>
      <c r="F489" s="358" t="s">
        <v>115</v>
      </c>
      <c r="G489" s="358" t="s">
        <v>115</v>
      </c>
    </row>
    <row r="490" spans="1:7">
      <c r="A490" s="356" t="s">
        <v>2575</v>
      </c>
      <c r="B490" s="357" t="s">
        <v>1574</v>
      </c>
      <c r="C490" s="358" t="s">
        <v>116</v>
      </c>
      <c r="D490" s="358" t="s">
        <v>116</v>
      </c>
      <c r="E490" s="358" t="s">
        <v>116</v>
      </c>
      <c r="F490" s="358" t="s">
        <v>116</v>
      </c>
      <c r="G490" s="358" t="s">
        <v>116</v>
      </c>
    </row>
    <row r="491" spans="1:7">
      <c r="A491" s="356" t="s">
        <v>2576</v>
      </c>
      <c r="B491" s="357" t="s">
        <v>2577</v>
      </c>
      <c r="C491" s="358" t="s">
        <v>116</v>
      </c>
      <c r="D491" s="358" t="s">
        <v>116</v>
      </c>
      <c r="E491" s="358" t="s">
        <v>116</v>
      </c>
      <c r="F491" s="358" t="s">
        <v>116</v>
      </c>
      <c r="G491" s="358" t="s">
        <v>116</v>
      </c>
    </row>
    <row r="492" spans="1:7">
      <c r="A492" s="356" t="s">
        <v>2578</v>
      </c>
      <c r="B492" s="357" t="s">
        <v>2579</v>
      </c>
      <c r="C492" s="358" t="s">
        <v>116</v>
      </c>
      <c r="D492" s="358" t="s">
        <v>116</v>
      </c>
      <c r="E492" s="358" t="s">
        <v>116</v>
      </c>
      <c r="F492" s="358" t="s">
        <v>116</v>
      </c>
      <c r="G492" s="358" t="s">
        <v>116</v>
      </c>
    </row>
    <row r="493" spans="1:7">
      <c r="A493" s="356" t="s">
        <v>2580</v>
      </c>
      <c r="B493" s="357" t="s">
        <v>2581</v>
      </c>
      <c r="C493" s="358" t="s">
        <v>116</v>
      </c>
      <c r="D493" s="358" t="s">
        <v>116</v>
      </c>
      <c r="E493" s="358" t="s">
        <v>115</v>
      </c>
      <c r="F493" s="358" t="s">
        <v>115</v>
      </c>
      <c r="G493" s="358" t="s">
        <v>115</v>
      </c>
    </row>
    <row r="494" spans="1:7">
      <c r="A494" s="356" t="s">
        <v>2582</v>
      </c>
      <c r="B494" s="357" t="s">
        <v>2085</v>
      </c>
      <c r="C494" s="358" t="s">
        <v>116</v>
      </c>
      <c r="D494" s="358" t="s">
        <v>116</v>
      </c>
      <c r="E494" s="358" t="s">
        <v>116</v>
      </c>
      <c r="F494" s="358" t="s">
        <v>115</v>
      </c>
      <c r="G494" s="358" t="s">
        <v>115</v>
      </c>
    </row>
    <row r="495" spans="1:7">
      <c r="A495" s="356" t="s">
        <v>2583</v>
      </c>
      <c r="B495" s="357" t="s">
        <v>2584</v>
      </c>
      <c r="C495" s="358" t="s">
        <v>115</v>
      </c>
      <c r="D495" s="358" t="s">
        <v>116</v>
      </c>
      <c r="E495" s="358" t="s">
        <v>115</v>
      </c>
      <c r="F495" s="358" t="s">
        <v>115</v>
      </c>
      <c r="G495" s="358" t="s">
        <v>115</v>
      </c>
    </row>
    <row r="496" spans="1:7">
      <c r="A496" s="356" t="s">
        <v>2585</v>
      </c>
      <c r="B496" s="357" t="s">
        <v>2586</v>
      </c>
      <c r="C496" s="358" t="s">
        <v>116</v>
      </c>
      <c r="D496" s="358" t="s">
        <v>116</v>
      </c>
      <c r="E496" s="358" t="s">
        <v>115</v>
      </c>
      <c r="F496" s="358" t="s">
        <v>115</v>
      </c>
      <c r="G496" s="358" t="s">
        <v>115</v>
      </c>
    </row>
    <row r="497" spans="1:7">
      <c r="A497" s="356" t="s">
        <v>2587</v>
      </c>
      <c r="B497" s="357" t="s">
        <v>22</v>
      </c>
      <c r="C497" s="358" t="s">
        <v>116</v>
      </c>
      <c r="D497" s="358" t="s">
        <v>116</v>
      </c>
      <c r="E497" s="358" t="s">
        <v>115</v>
      </c>
      <c r="F497" s="358" t="s">
        <v>115</v>
      </c>
      <c r="G497" s="358" t="s">
        <v>115</v>
      </c>
    </row>
    <row r="498" spans="1:7">
      <c r="A498" s="356" t="s">
        <v>2588</v>
      </c>
      <c r="B498" s="357" t="s">
        <v>1483</v>
      </c>
      <c r="C498" s="358" t="s">
        <v>115</v>
      </c>
      <c r="D498" s="358" t="s">
        <v>116</v>
      </c>
      <c r="E498" s="358" t="s">
        <v>115</v>
      </c>
      <c r="F498" s="358" t="s">
        <v>115</v>
      </c>
      <c r="G498" s="358" t="s">
        <v>115</v>
      </c>
    </row>
    <row r="499" spans="1:7">
      <c r="A499" s="356" t="s">
        <v>2589</v>
      </c>
      <c r="B499" s="357" t="s">
        <v>2590</v>
      </c>
      <c r="C499" s="358" t="s">
        <v>116</v>
      </c>
      <c r="D499" s="358" t="s">
        <v>116</v>
      </c>
      <c r="E499" s="358" t="s">
        <v>116</v>
      </c>
      <c r="F499" s="358" t="s">
        <v>116</v>
      </c>
      <c r="G499" s="358" t="s">
        <v>116</v>
      </c>
    </row>
    <row r="500" spans="1:7">
      <c r="A500" s="356" t="s">
        <v>2591</v>
      </c>
      <c r="B500" s="357" t="s">
        <v>1660</v>
      </c>
      <c r="C500" s="358" t="s">
        <v>115</v>
      </c>
      <c r="D500" s="358" t="s">
        <v>116</v>
      </c>
      <c r="E500" s="358" t="s">
        <v>115</v>
      </c>
      <c r="F500" s="358" t="s">
        <v>115</v>
      </c>
      <c r="G500" s="358" t="s">
        <v>115</v>
      </c>
    </row>
    <row r="501" spans="1:7">
      <c r="A501" s="356" t="s">
        <v>2592</v>
      </c>
      <c r="B501" s="357" t="s">
        <v>970</v>
      </c>
      <c r="C501" s="358" t="s">
        <v>115</v>
      </c>
      <c r="D501" s="358" t="s">
        <v>116</v>
      </c>
      <c r="E501" s="358" t="s">
        <v>115</v>
      </c>
      <c r="F501" s="358" t="s">
        <v>115</v>
      </c>
      <c r="G501" s="358" t="s">
        <v>115</v>
      </c>
    </row>
    <row r="502" spans="1:7">
      <c r="A502" s="356" t="s">
        <v>2593</v>
      </c>
      <c r="B502" s="357" t="s">
        <v>2594</v>
      </c>
      <c r="C502" s="358" t="s">
        <v>116</v>
      </c>
      <c r="D502" s="358" t="s">
        <v>116</v>
      </c>
      <c r="E502" s="358" t="s">
        <v>116</v>
      </c>
      <c r="F502" s="358" t="s">
        <v>116</v>
      </c>
      <c r="G502" s="358" t="s">
        <v>116</v>
      </c>
    </row>
    <row r="503" spans="1:7">
      <c r="A503" s="356" t="s">
        <v>2593</v>
      </c>
      <c r="B503" s="357" t="s">
        <v>1577</v>
      </c>
      <c r="C503" s="358" t="s">
        <v>116</v>
      </c>
      <c r="D503" s="358" t="s">
        <v>116</v>
      </c>
      <c r="E503" s="358" t="s">
        <v>116</v>
      </c>
      <c r="F503" s="358" t="s">
        <v>115</v>
      </c>
      <c r="G503" s="358" t="s">
        <v>115</v>
      </c>
    </row>
    <row r="504" spans="1:7">
      <c r="A504" s="356" t="s">
        <v>2595</v>
      </c>
      <c r="B504" s="357" t="s">
        <v>2109</v>
      </c>
      <c r="C504" s="358" t="s">
        <v>116</v>
      </c>
      <c r="D504" s="358" t="s">
        <v>116</v>
      </c>
      <c r="E504" s="358" t="s">
        <v>116</v>
      </c>
      <c r="F504" s="358" t="s">
        <v>116</v>
      </c>
      <c r="G504" s="358" t="s">
        <v>116</v>
      </c>
    </row>
    <row r="505" spans="1:7">
      <c r="A505" s="356" t="s">
        <v>2596</v>
      </c>
      <c r="B505" s="357" t="s">
        <v>2597</v>
      </c>
      <c r="C505" s="358" t="s">
        <v>116</v>
      </c>
      <c r="D505" s="358" t="s">
        <v>116</v>
      </c>
      <c r="E505" s="358" t="s">
        <v>116</v>
      </c>
      <c r="F505" s="358" t="s">
        <v>116</v>
      </c>
      <c r="G505" s="358" t="s">
        <v>116</v>
      </c>
    </row>
    <row r="506" spans="1:7">
      <c r="A506" s="356" t="s">
        <v>2598</v>
      </c>
      <c r="B506" s="357" t="s">
        <v>2599</v>
      </c>
      <c r="C506" s="358" t="s">
        <v>115</v>
      </c>
      <c r="D506" s="358" t="s">
        <v>116</v>
      </c>
      <c r="E506" s="358" t="s">
        <v>115</v>
      </c>
      <c r="F506" s="358" t="s">
        <v>115</v>
      </c>
      <c r="G506" s="358" t="s">
        <v>115</v>
      </c>
    </row>
    <row r="507" spans="1:7">
      <c r="A507" s="356" t="s">
        <v>2600</v>
      </c>
      <c r="B507" s="357" t="s">
        <v>2601</v>
      </c>
      <c r="C507" s="358" t="s">
        <v>116</v>
      </c>
      <c r="D507" s="358" t="s">
        <v>116</v>
      </c>
      <c r="E507" s="358" t="s">
        <v>116</v>
      </c>
      <c r="F507" s="358" t="s">
        <v>115</v>
      </c>
      <c r="G507" s="358" t="s">
        <v>115</v>
      </c>
    </row>
    <row r="508" spans="1:7">
      <c r="A508" s="356" t="s">
        <v>2602</v>
      </c>
      <c r="B508" s="357" t="s">
        <v>2603</v>
      </c>
      <c r="C508" s="358" t="s">
        <v>116</v>
      </c>
      <c r="D508" s="358" t="s">
        <v>116</v>
      </c>
      <c r="E508" s="358" t="s">
        <v>116</v>
      </c>
      <c r="F508" s="358" t="s">
        <v>116</v>
      </c>
      <c r="G508" s="358" t="s">
        <v>116</v>
      </c>
    </row>
    <row r="509" spans="1:7">
      <c r="A509" s="356" t="s">
        <v>2604</v>
      </c>
      <c r="B509" s="357" t="s">
        <v>2605</v>
      </c>
      <c r="C509" s="358" t="s">
        <v>116</v>
      </c>
      <c r="D509" s="358" t="s">
        <v>116</v>
      </c>
      <c r="E509" s="358" t="s">
        <v>116</v>
      </c>
      <c r="F509" s="358" t="s">
        <v>116</v>
      </c>
      <c r="G509" s="358" t="s">
        <v>116</v>
      </c>
    </row>
    <row r="510" spans="1:7">
      <c r="A510" s="356" t="s">
        <v>2606</v>
      </c>
      <c r="B510" s="357" t="s">
        <v>2607</v>
      </c>
      <c r="C510" s="358" t="s">
        <v>116</v>
      </c>
      <c r="D510" s="358" t="s">
        <v>116</v>
      </c>
      <c r="E510" s="358" t="s">
        <v>116</v>
      </c>
      <c r="F510" s="358" t="s">
        <v>116</v>
      </c>
      <c r="G510" s="358" t="s">
        <v>116</v>
      </c>
    </row>
    <row r="511" spans="1:7">
      <c r="A511" s="356" t="s">
        <v>2608</v>
      </c>
      <c r="B511" s="357" t="s">
        <v>2609</v>
      </c>
      <c r="C511" s="358" t="s">
        <v>116</v>
      </c>
      <c r="D511" s="358" t="s">
        <v>116</v>
      </c>
      <c r="E511" s="358" t="s">
        <v>116</v>
      </c>
      <c r="F511" s="358" t="s">
        <v>116</v>
      </c>
      <c r="G511" s="358" t="s">
        <v>116</v>
      </c>
    </row>
    <row r="512" spans="1:7">
      <c r="A512" s="356" t="s">
        <v>2610</v>
      </c>
      <c r="B512" s="357" t="s">
        <v>2611</v>
      </c>
      <c r="C512" s="358" t="s">
        <v>116</v>
      </c>
      <c r="D512" s="358" t="s">
        <v>116</v>
      </c>
      <c r="E512" s="358" t="s">
        <v>116</v>
      </c>
      <c r="F512" s="358" t="s">
        <v>116</v>
      </c>
      <c r="G512" s="358" t="s">
        <v>116</v>
      </c>
    </row>
    <row r="513" spans="1:7">
      <c r="A513" s="356" t="s">
        <v>2612</v>
      </c>
      <c r="B513" s="357" t="s">
        <v>1669</v>
      </c>
      <c r="C513" s="358" t="s">
        <v>115</v>
      </c>
      <c r="D513" s="358" t="s">
        <v>115</v>
      </c>
      <c r="E513" s="358" t="s">
        <v>115</v>
      </c>
      <c r="F513" s="358" t="s">
        <v>115</v>
      </c>
      <c r="G513" s="358" t="s">
        <v>115</v>
      </c>
    </row>
    <row r="514" spans="1:7">
      <c r="A514" s="356" t="s">
        <v>2613</v>
      </c>
      <c r="B514" s="357" t="s">
        <v>2614</v>
      </c>
      <c r="C514" s="358" t="s">
        <v>116</v>
      </c>
      <c r="D514" s="358" t="s">
        <v>116</v>
      </c>
      <c r="E514" s="358" t="s">
        <v>116</v>
      </c>
      <c r="F514" s="358" t="s">
        <v>116</v>
      </c>
      <c r="G514" s="358" t="s">
        <v>116</v>
      </c>
    </row>
    <row r="515" spans="1:7">
      <c r="A515" s="356" t="s">
        <v>2615</v>
      </c>
      <c r="B515" s="357" t="s">
        <v>2616</v>
      </c>
      <c r="C515" s="358" t="s">
        <v>116</v>
      </c>
      <c r="D515" s="358" t="s">
        <v>116</v>
      </c>
      <c r="E515" s="358" t="s">
        <v>116</v>
      </c>
      <c r="F515" s="358" t="s">
        <v>116</v>
      </c>
      <c r="G515" s="358" t="s">
        <v>116</v>
      </c>
    </row>
    <row r="516" spans="1:7">
      <c r="A516" s="356" t="s">
        <v>2617</v>
      </c>
      <c r="B516" s="357" t="s">
        <v>2618</v>
      </c>
      <c r="C516" s="358" t="s">
        <v>115</v>
      </c>
      <c r="D516" s="358" t="s">
        <v>116</v>
      </c>
      <c r="E516" s="358" t="s">
        <v>115</v>
      </c>
      <c r="F516" s="358" t="s">
        <v>115</v>
      </c>
      <c r="G516" s="358" t="s">
        <v>115</v>
      </c>
    </row>
    <row r="517" spans="1:7">
      <c r="A517" s="356" t="s">
        <v>2619</v>
      </c>
      <c r="B517" s="357" t="s">
        <v>2620</v>
      </c>
      <c r="C517" s="358" t="s">
        <v>116</v>
      </c>
      <c r="D517" s="358" t="s">
        <v>116</v>
      </c>
      <c r="E517" s="358" t="s">
        <v>116</v>
      </c>
      <c r="F517" s="358" t="s">
        <v>116</v>
      </c>
      <c r="G517" s="358" t="s">
        <v>116</v>
      </c>
    </row>
    <row r="518" spans="1:7">
      <c r="A518" s="356" t="s">
        <v>2621</v>
      </c>
      <c r="B518" s="357" t="s">
        <v>2620</v>
      </c>
      <c r="C518" s="358" t="s">
        <v>116</v>
      </c>
      <c r="D518" s="358" t="s">
        <v>116</v>
      </c>
      <c r="E518" s="358" t="s">
        <v>116</v>
      </c>
      <c r="F518" s="358" t="s">
        <v>116</v>
      </c>
      <c r="G518" s="358" t="s">
        <v>116</v>
      </c>
    </row>
    <row r="519" spans="1:7">
      <c r="A519" s="356" t="s">
        <v>2622</v>
      </c>
      <c r="B519" s="357" t="s">
        <v>2623</v>
      </c>
      <c r="C519" s="358" t="s">
        <v>115</v>
      </c>
      <c r="D519" s="358" t="s">
        <v>116</v>
      </c>
      <c r="E519" s="358" t="s">
        <v>115</v>
      </c>
      <c r="F519" s="358" t="s">
        <v>115</v>
      </c>
      <c r="G519" s="358" t="s">
        <v>115</v>
      </c>
    </row>
    <row r="520" spans="1:7">
      <c r="A520" s="356" t="s">
        <v>2624</v>
      </c>
      <c r="B520" s="357" t="s">
        <v>2625</v>
      </c>
      <c r="C520" s="358" t="s">
        <v>116</v>
      </c>
      <c r="D520" s="358" t="s">
        <v>116</v>
      </c>
      <c r="E520" s="358" t="s">
        <v>115</v>
      </c>
      <c r="F520" s="358" t="s">
        <v>115</v>
      </c>
      <c r="G520" s="358" t="s">
        <v>115</v>
      </c>
    </row>
    <row r="521" spans="1:7">
      <c r="A521" s="356" t="s">
        <v>2626</v>
      </c>
      <c r="B521" s="357" t="s">
        <v>2627</v>
      </c>
      <c r="C521" s="358" t="s">
        <v>116</v>
      </c>
      <c r="D521" s="358" t="s">
        <v>116</v>
      </c>
      <c r="E521" s="358" t="s">
        <v>116</v>
      </c>
      <c r="F521" s="358" t="s">
        <v>116</v>
      </c>
      <c r="G521" s="358" t="s">
        <v>116</v>
      </c>
    </row>
    <row r="522" spans="1:7">
      <c r="A522" s="356" t="s">
        <v>2628</v>
      </c>
      <c r="B522" s="357" t="s">
        <v>2629</v>
      </c>
      <c r="C522" s="358" t="s">
        <v>116</v>
      </c>
      <c r="D522" s="358" t="s">
        <v>116</v>
      </c>
      <c r="E522" s="358" t="s">
        <v>116</v>
      </c>
      <c r="F522" s="358" t="s">
        <v>115</v>
      </c>
      <c r="G522" s="358" t="s">
        <v>115</v>
      </c>
    </row>
    <row r="523" spans="1:7">
      <c r="A523" s="356" t="s">
        <v>2630</v>
      </c>
      <c r="B523" s="357" t="s">
        <v>2631</v>
      </c>
      <c r="C523" s="358" t="s">
        <v>116</v>
      </c>
      <c r="D523" s="358" t="s">
        <v>116</v>
      </c>
      <c r="E523" s="358" t="s">
        <v>115</v>
      </c>
      <c r="F523" s="358" t="s">
        <v>115</v>
      </c>
      <c r="G523" s="358" t="s">
        <v>115</v>
      </c>
    </row>
    <row r="524" spans="1:7">
      <c r="A524" s="356" t="s">
        <v>2632</v>
      </c>
      <c r="B524" s="357" t="s">
        <v>1641</v>
      </c>
      <c r="C524" s="358" t="s">
        <v>116</v>
      </c>
      <c r="D524" s="358" t="s">
        <v>116</v>
      </c>
      <c r="E524" s="358" t="s">
        <v>115</v>
      </c>
      <c r="F524" s="358" t="s">
        <v>115</v>
      </c>
      <c r="G524" s="358" t="s">
        <v>115</v>
      </c>
    </row>
    <row r="525" spans="1:7">
      <c r="A525" s="356" t="s">
        <v>2633</v>
      </c>
      <c r="B525" s="357" t="s">
        <v>2634</v>
      </c>
      <c r="C525" s="358" t="s">
        <v>115</v>
      </c>
      <c r="D525" s="358" t="s">
        <v>116</v>
      </c>
      <c r="E525" s="358" t="s">
        <v>115</v>
      </c>
      <c r="F525" s="358" t="s">
        <v>115</v>
      </c>
      <c r="G525" s="358" t="s">
        <v>115</v>
      </c>
    </row>
    <row r="526" spans="1:7">
      <c r="A526" s="356" t="s">
        <v>2635</v>
      </c>
      <c r="B526" s="357" t="s">
        <v>2636</v>
      </c>
      <c r="C526" s="358" t="s">
        <v>116</v>
      </c>
      <c r="D526" s="358" t="s">
        <v>116</v>
      </c>
      <c r="E526" s="358" t="s">
        <v>115</v>
      </c>
      <c r="F526" s="358" t="s">
        <v>115</v>
      </c>
      <c r="G526" s="358" t="s">
        <v>115</v>
      </c>
    </row>
    <row r="527" spans="1:7">
      <c r="A527" s="356" t="s">
        <v>2637</v>
      </c>
      <c r="B527" s="357" t="s">
        <v>2638</v>
      </c>
      <c r="C527" s="358" t="s">
        <v>116</v>
      </c>
      <c r="D527" s="358" t="s">
        <v>116</v>
      </c>
      <c r="E527" s="358" t="s">
        <v>116</v>
      </c>
      <c r="F527" s="358" t="s">
        <v>116</v>
      </c>
      <c r="G527" s="358" t="s">
        <v>116</v>
      </c>
    </row>
    <row r="528" spans="1:7">
      <c r="A528" s="356" t="s">
        <v>2639</v>
      </c>
      <c r="B528" s="357" t="s">
        <v>2640</v>
      </c>
      <c r="C528" s="358" t="s">
        <v>116</v>
      </c>
      <c r="D528" s="358" t="s">
        <v>116</v>
      </c>
      <c r="E528" s="358" t="s">
        <v>116</v>
      </c>
      <c r="F528" s="358" t="s">
        <v>116</v>
      </c>
      <c r="G528" s="358" t="s">
        <v>116</v>
      </c>
    </row>
    <row r="529" spans="1:7">
      <c r="A529" s="356" t="s">
        <v>2641</v>
      </c>
      <c r="B529" s="357" t="s">
        <v>2642</v>
      </c>
      <c r="C529" s="358" t="s">
        <v>116</v>
      </c>
      <c r="D529" s="358" t="s">
        <v>116</v>
      </c>
      <c r="E529" s="358" t="s">
        <v>116</v>
      </c>
      <c r="F529" s="358" t="s">
        <v>116</v>
      </c>
      <c r="G529" s="358" t="s">
        <v>116</v>
      </c>
    </row>
    <row r="530" spans="1:7">
      <c r="A530" s="356" t="s">
        <v>2643</v>
      </c>
      <c r="B530" s="357" t="s">
        <v>2470</v>
      </c>
      <c r="C530" s="358" t="s">
        <v>116</v>
      </c>
      <c r="D530" s="358" t="s">
        <v>116</v>
      </c>
      <c r="E530" s="358" t="s">
        <v>116</v>
      </c>
      <c r="F530" s="358" t="s">
        <v>116</v>
      </c>
      <c r="G530" s="358" t="s">
        <v>116</v>
      </c>
    </row>
    <row r="531" spans="1:7">
      <c r="A531" s="356" t="s">
        <v>2644</v>
      </c>
      <c r="B531" s="357" t="s">
        <v>2645</v>
      </c>
      <c r="C531" s="358" t="s">
        <v>116</v>
      </c>
      <c r="D531" s="358" t="s">
        <v>116</v>
      </c>
      <c r="E531" s="358" t="s">
        <v>116</v>
      </c>
      <c r="F531" s="358" t="s">
        <v>116</v>
      </c>
      <c r="G531" s="358" t="s">
        <v>116</v>
      </c>
    </row>
    <row r="532" spans="1:7">
      <c r="A532" s="356" t="s">
        <v>2646</v>
      </c>
      <c r="B532" s="357" t="s">
        <v>2647</v>
      </c>
      <c r="C532" s="358" t="s">
        <v>116</v>
      </c>
      <c r="D532" s="358" t="s">
        <v>116</v>
      </c>
      <c r="E532" s="358" t="s">
        <v>116</v>
      </c>
      <c r="F532" s="358" t="s">
        <v>116</v>
      </c>
      <c r="G532" s="358" t="s">
        <v>116</v>
      </c>
    </row>
    <row r="533" spans="1:7">
      <c r="A533" s="356" t="s">
        <v>2648</v>
      </c>
      <c r="B533" s="357" t="s">
        <v>2647</v>
      </c>
      <c r="C533" s="358" t="s">
        <v>116</v>
      </c>
      <c r="D533" s="358" t="s">
        <v>116</v>
      </c>
      <c r="E533" s="358" t="s">
        <v>116</v>
      </c>
      <c r="F533" s="358" t="s">
        <v>116</v>
      </c>
      <c r="G533" s="358" t="s">
        <v>116</v>
      </c>
    </row>
    <row r="534" spans="1:7">
      <c r="A534" s="356" t="s">
        <v>2649</v>
      </c>
      <c r="B534" s="357" t="s">
        <v>2650</v>
      </c>
      <c r="C534" s="358" t="s">
        <v>116</v>
      </c>
      <c r="D534" s="358" t="s">
        <v>116</v>
      </c>
      <c r="E534" s="358" t="s">
        <v>116</v>
      </c>
      <c r="F534" s="358" t="s">
        <v>116</v>
      </c>
      <c r="G534" s="358" t="s">
        <v>116</v>
      </c>
    </row>
    <row r="535" spans="1:7">
      <c r="A535" s="356" t="s">
        <v>2651</v>
      </c>
      <c r="B535" s="357" t="s">
        <v>2652</v>
      </c>
      <c r="C535" s="358" t="s">
        <v>116</v>
      </c>
      <c r="D535" s="358" t="s">
        <v>116</v>
      </c>
      <c r="E535" s="358" t="s">
        <v>116</v>
      </c>
      <c r="F535" s="358" t="s">
        <v>116</v>
      </c>
      <c r="G535" s="358" t="s">
        <v>116</v>
      </c>
    </row>
    <row r="536" spans="1:7">
      <c r="A536" s="356" t="s">
        <v>2653</v>
      </c>
      <c r="B536" s="357" t="s">
        <v>2654</v>
      </c>
      <c r="C536" s="358" t="s">
        <v>116</v>
      </c>
      <c r="D536" s="358" t="s">
        <v>116</v>
      </c>
      <c r="E536" s="358" t="s">
        <v>116</v>
      </c>
      <c r="F536" s="358" t="s">
        <v>116</v>
      </c>
      <c r="G536" s="358" t="s">
        <v>116</v>
      </c>
    </row>
    <row r="537" spans="1:7">
      <c r="A537" s="356" t="s">
        <v>2655</v>
      </c>
      <c r="B537" s="357" t="s">
        <v>2656</v>
      </c>
      <c r="C537" s="358" t="s">
        <v>1947</v>
      </c>
      <c r="D537" s="358" t="s">
        <v>1947</v>
      </c>
      <c r="E537" s="358" t="s">
        <v>1947</v>
      </c>
      <c r="F537" s="358" t="s">
        <v>1947</v>
      </c>
      <c r="G537" s="358" t="s">
        <v>1947</v>
      </c>
    </row>
    <row r="538" spans="1:7">
      <c r="A538" s="356" t="s">
        <v>2655</v>
      </c>
      <c r="B538" s="357" t="s">
        <v>2656</v>
      </c>
      <c r="C538" s="358" t="s">
        <v>116</v>
      </c>
      <c r="D538" s="358" t="s">
        <v>116</v>
      </c>
      <c r="E538" s="358" t="s">
        <v>116</v>
      </c>
      <c r="F538" s="358" t="s">
        <v>116</v>
      </c>
      <c r="G538" s="358" t="s">
        <v>116</v>
      </c>
    </row>
    <row r="539" spans="1:7">
      <c r="A539" s="356" t="s">
        <v>2657</v>
      </c>
      <c r="B539" s="357" t="s">
        <v>2658</v>
      </c>
      <c r="C539" s="358" t="s">
        <v>1947</v>
      </c>
      <c r="D539" s="358" t="s">
        <v>1947</v>
      </c>
      <c r="E539" s="358" t="s">
        <v>1947</v>
      </c>
      <c r="F539" s="358" t="s">
        <v>1947</v>
      </c>
      <c r="G539" s="358" t="s">
        <v>1947</v>
      </c>
    </row>
    <row r="540" spans="1:7">
      <c r="A540" s="356" t="s">
        <v>2657</v>
      </c>
      <c r="B540" s="357" t="s">
        <v>2659</v>
      </c>
      <c r="C540" s="358" t="s">
        <v>116</v>
      </c>
      <c r="D540" s="358" t="s">
        <v>116</v>
      </c>
      <c r="E540" s="358" t="s">
        <v>116</v>
      </c>
      <c r="F540" s="358" t="s">
        <v>116</v>
      </c>
      <c r="G540" s="358" t="s">
        <v>116</v>
      </c>
    </row>
    <row r="541" spans="1:7">
      <c r="A541" s="356" t="s">
        <v>2660</v>
      </c>
      <c r="B541" s="357" t="s">
        <v>2661</v>
      </c>
      <c r="C541" s="358" t="s">
        <v>116</v>
      </c>
      <c r="D541" s="358" t="s">
        <v>116</v>
      </c>
      <c r="E541" s="358" t="s">
        <v>116</v>
      </c>
      <c r="F541" s="358" t="s">
        <v>116</v>
      </c>
      <c r="G541" s="358" t="s">
        <v>116</v>
      </c>
    </row>
    <row r="542" spans="1:7">
      <c r="A542" s="356" t="s">
        <v>2660</v>
      </c>
      <c r="B542" s="357" t="s">
        <v>2661</v>
      </c>
      <c r="C542" s="358" t="s">
        <v>1947</v>
      </c>
      <c r="D542" s="358" t="s">
        <v>1947</v>
      </c>
      <c r="E542" s="358" t="s">
        <v>1947</v>
      </c>
      <c r="F542" s="358" t="s">
        <v>1947</v>
      </c>
      <c r="G542" s="358" t="s">
        <v>1947</v>
      </c>
    </row>
    <row r="543" spans="1:7">
      <c r="A543" s="356" t="s">
        <v>2662</v>
      </c>
      <c r="B543" s="357" t="s">
        <v>2663</v>
      </c>
      <c r="C543" s="358" t="s">
        <v>116</v>
      </c>
      <c r="D543" s="358" t="s">
        <v>116</v>
      </c>
      <c r="E543" s="358" t="s">
        <v>116</v>
      </c>
      <c r="F543" s="358" t="s">
        <v>116</v>
      </c>
      <c r="G543" s="358" t="s">
        <v>116</v>
      </c>
    </row>
    <row r="544" spans="1:7">
      <c r="A544" s="356" t="s">
        <v>2664</v>
      </c>
      <c r="B544" s="357" t="s">
        <v>2665</v>
      </c>
      <c r="C544" s="358" t="s">
        <v>116</v>
      </c>
      <c r="D544" s="358" t="s">
        <v>116</v>
      </c>
      <c r="E544" s="358" t="s">
        <v>116</v>
      </c>
      <c r="F544" s="358" t="s">
        <v>115</v>
      </c>
      <c r="G544" s="358" t="s">
        <v>115</v>
      </c>
    </row>
    <row r="545" spans="1:7">
      <c r="A545" s="356" t="s">
        <v>2666</v>
      </c>
      <c r="B545" s="357" t="s">
        <v>1016</v>
      </c>
      <c r="C545" s="358" t="s">
        <v>116</v>
      </c>
      <c r="D545" s="358" t="s">
        <v>116</v>
      </c>
      <c r="E545" s="358" t="s">
        <v>115</v>
      </c>
      <c r="F545" s="358" t="s">
        <v>116</v>
      </c>
      <c r="G545" s="358" t="s">
        <v>115</v>
      </c>
    </row>
    <row r="546" spans="1:7">
      <c r="A546" s="356" t="s">
        <v>2667</v>
      </c>
      <c r="B546" s="357" t="s">
        <v>2668</v>
      </c>
      <c r="C546" s="358" t="s">
        <v>116</v>
      </c>
      <c r="D546" s="358" t="s">
        <v>116</v>
      </c>
      <c r="E546" s="358" t="s">
        <v>116</v>
      </c>
      <c r="F546" s="358" t="s">
        <v>116</v>
      </c>
      <c r="G546" s="358" t="s">
        <v>116</v>
      </c>
    </row>
    <row r="547" spans="1:7">
      <c r="A547" s="356" t="s">
        <v>2669</v>
      </c>
      <c r="B547" s="357" t="s">
        <v>2670</v>
      </c>
      <c r="C547" s="358" t="s">
        <v>116</v>
      </c>
      <c r="D547" s="358" t="s">
        <v>116</v>
      </c>
      <c r="E547" s="358" t="s">
        <v>116</v>
      </c>
      <c r="F547" s="358" t="s">
        <v>116</v>
      </c>
      <c r="G547" s="358" t="s">
        <v>116</v>
      </c>
    </row>
    <row r="548" spans="1:7">
      <c r="A548" s="356" t="s">
        <v>2671</v>
      </c>
      <c r="B548" s="357" t="s">
        <v>2672</v>
      </c>
      <c r="C548" s="358" t="s">
        <v>116</v>
      </c>
      <c r="D548" s="358" t="s">
        <v>116</v>
      </c>
      <c r="E548" s="358" t="s">
        <v>116</v>
      </c>
      <c r="F548" s="358" t="s">
        <v>116</v>
      </c>
      <c r="G548" s="358" t="s">
        <v>116</v>
      </c>
    </row>
    <row r="549" spans="1:7" ht="28.8">
      <c r="A549" s="356" t="s">
        <v>2673</v>
      </c>
      <c r="B549" s="357" t="s">
        <v>2674</v>
      </c>
      <c r="C549" s="358" t="s">
        <v>115</v>
      </c>
      <c r="D549" s="358" t="s">
        <v>115</v>
      </c>
      <c r="E549" s="358" t="s">
        <v>115</v>
      </c>
      <c r="F549" s="358" t="s">
        <v>115</v>
      </c>
      <c r="G549" s="358" t="s">
        <v>115</v>
      </c>
    </row>
    <row r="550" spans="1:7">
      <c r="A550" s="356" t="s">
        <v>2675</v>
      </c>
      <c r="B550" s="357" t="s">
        <v>2676</v>
      </c>
      <c r="C550" s="358" t="s">
        <v>116</v>
      </c>
      <c r="D550" s="358" t="s">
        <v>116</v>
      </c>
      <c r="E550" s="358" t="s">
        <v>116</v>
      </c>
      <c r="F550" s="358" t="s">
        <v>116</v>
      </c>
      <c r="G550" s="358" t="s">
        <v>116</v>
      </c>
    </row>
    <row r="551" spans="1:7">
      <c r="A551" s="356" t="s">
        <v>2677</v>
      </c>
      <c r="B551" s="357" t="s">
        <v>996</v>
      </c>
      <c r="C551" s="358" t="s">
        <v>115</v>
      </c>
      <c r="D551" s="358" t="s">
        <v>116</v>
      </c>
      <c r="E551" s="358" t="s">
        <v>115</v>
      </c>
      <c r="F551" s="358" t="s">
        <v>115</v>
      </c>
      <c r="G551" s="358" t="s">
        <v>115</v>
      </c>
    </row>
    <row r="552" spans="1:7" ht="28.8">
      <c r="A552" s="356" t="s">
        <v>2678</v>
      </c>
      <c r="B552" s="357" t="s">
        <v>2679</v>
      </c>
      <c r="C552" s="358" t="s">
        <v>116</v>
      </c>
      <c r="D552" s="358" t="s">
        <v>116</v>
      </c>
      <c r="E552" s="358" t="s">
        <v>115</v>
      </c>
      <c r="F552" s="358" t="s">
        <v>115</v>
      </c>
      <c r="G552" s="358" t="s">
        <v>115</v>
      </c>
    </row>
    <row r="553" spans="1:7">
      <c r="A553" s="356" t="s">
        <v>2680</v>
      </c>
      <c r="B553" s="357" t="s">
        <v>789</v>
      </c>
      <c r="C553" s="358" t="s">
        <v>115</v>
      </c>
      <c r="D553" s="358" t="s">
        <v>116</v>
      </c>
      <c r="E553" s="358" t="s">
        <v>115</v>
      </c>
      <c r="F553" s="358" t="s">
        <v>115</v>
      </c>
      <c r="G553" s="358" t="s">
        <v>115</v>
      </c>
    </row>
    <row r="554" spans="1:7">
      <c r="A554" s="356" t="s">
        <v>2681</v>
      </c>
      <c r="B554" s="357" t="s">
        <v>998</v>
      </c>
      <c r="C554" s="358" t="s">
        <v>115</v>
      </c>
      <c r="D554" s="358" t="s">
        <v>116</v>
      </c>
      <c r="E554" s="358" t="s">
        <v>115</v>
      </c>
      <c r="F554" s="358" t="s">
        <v>115</v>
      </c>
      <c r="G554" s="358" t="s">
        <v>115</v>
      </c>
    </row>
    <row r="555" spans="1:7">
      <c r="A555" s="356" t="s">
        <v>2682</v>
      </c>
      <c r="B555" s="357" t="s">
        <v>2683</v>
      </c>
      <c r="C555" s="358" t="s">
        <v>115</v>
      </c>
      <c r="D555" s="358" t="s">
        <v>116</v>
      </c>
      <c r="E555" s="358" t="s">
        <v>115</v>
      </c>
      <c r="F555" s="358" t="s">
        <v>115</v>
      </c>
      <c r="G555" s="358" t="s">
        <v>115</v>
      </c>
    </row>
    <row r="556" spans="1:7">
      <c r="A556" s="356" t="s">
        <v>2684</v>
      </c>
      <c r="B556" s="357" t="s">
        <v>2685</v>
      </c>
      <c r="C556" s="358" t="s">
        <v>116</v>
      </c>
      <c r="D556" s="358" t="s">
        <v>116</v>
      </c>
      <c r="E556" s="358" t="s">
        <v>116</v>
      </c>
      <c r="F556" s="358" t="s">
        <v>116</v>
      </c>
      <c r="G556" s="358" t="s">
        <v>116</v>
      </c>
    </row>
    <row r="557" spans="1:7">
      <c r="A557" s="356" t="s">
        <v>2684</v>
      </c>
      <c r="B557" s="357" t="s">
        <v>2685</v>
      </c>
      <c r="C557" s="358" t="s">
        <v>1947</v>
      </c>
      <c r="D557" s="358" t="s">
        <v>1947</v>
      </c>
      <c r="E557" s="358" t="s">
        <v>1947</v>
      </c>
      <c r="F557" s="358" t="s">
        <v>1947</v>
      </c>
      <c r="G557" s="358" t="s">
        <v>1947</v>
      </c>
    </row>
    <row r="558" spans="1:7">
      <c r="A558" s="356" t="s">
        <v>2686</v>
      </c>
      <c r="B558" s="357" t="s">
        <v>2687</v>
      </c>
      <c r="C558" s="358" t="s">
        <v>116</v>
      </c>
      <c r="D558" s="358" t="s">
        <v>116</v>
      </c>
      <c r="E558" s="358" t="s">
        <v>116</v>
      </c>
      <c r="F558" s="358" t="s">
        <v>116</v>
      </c>
      <c r="G558" s="358" t="s">
        <v>116</v>
      </c>
    </row>
    <row r="559" spans="1:7">
      <c r="A559" s="356" t="s">
        <v>2688</v>
      </c>
      <c r="B559" s="357" t="s">
        <v>2125</v>
      </c>
      <c r="C559" s="358" t="s">
        <v>116</v>
      </c>
      <c r="D559" s="358" t="s">
        <v>116</v>
      </c>
      <c r="E559" s="358" t="s">
        <v>116</v>
      </c>
      <c r="F559" s="358" t="s">
        <v>116</v>
      </c>
      <c r="G559" s="358" t="s">
        <v>116</v>
      </c>
    </row>
    <row r="560" spans="1:7">
      <c r="A560" s="356" t="s">
        <v>2689</v>
      </c>
      <c r="B560" s="357" t="s">
        <v>2690</v>
      </c>
      <c r="C560" s="358" t="s">
        <v>116</v>
      </c>
      <c r="D560" s="358" t="s">
        <v>116</v>
      </c>
      <c r="E560" s="358" t="s">
        <v>116</v>
      </c>
      <c r="F560" s="358" t="s">
        <v>116</v>
      </c>
      <c r="G560" s="358" t="s">
        <v>116</v>
      </c>
    </row>
    <row r="561" spans="1:7">
      <c r="A561" s="356" t="s">
        <v>2691</v>
      </c>
      <c r="B561" s="357" t="s">
        <v>2153</v>
      </c>
      <c r="C561" s="358" t="s">
        <v>116</v>
      </c>
      <c r="D561" s="358" t="s">
        <v>116</v>
      </c>
      <c r="E561" s="358" t="s">
        <v>116</v>
      </c>
      <c r="F561" s="358" t="s">
        <v>116</v>
      </c>
      <c r="G561" s="358" t="s">
        <v>116</v>
      </c>
    </row>
    <row r="562" spans="1:7">
      <c r="A562" s="356" t="s">
        <v>2692</v>
      </c>
      <c r="B562" s="357" t="s">
        <v>2529</v>
      </c>
      <c r="C562" s="358" t="s">
        <v>116</v>
      </c>
      <c r="D562" s="358" t="s">
        <v>116</v>
      </c>
      <c r="E562" s="358" t="s">
        <v>116</v>
      </c>
      <c r="F562" s="358" t="s">
        <v>116</v>
      </c>
      <c r="G562" s="358" t="s">
        <v>116</v>
      </c>
    </row>
    <row r="563" spans="1:7">
      <c r="A563" s="356" t="s">
        <v>2693</v>
      </c>
      <c r="B563" s="357" t="s">
        <v>2694</v>
      </c>
      <c r="C563" s="358" t="s">
        <v>116</v>
      </c>
      <c r="D563" s="358" t="s">
        <v>116</v>
      </c>
      <c r="E563" s="358" t="s">
        <v>116</v>
      </c>
      <c r="F563" s="358" t="s">
        <v>116</v>
      </c>
      <c r="G563" s="358" t="s">
        <v>116</v>
      </c>
    </row>
    <row r="564" spans="1:7">
      <c r="A564" s="356" t="s">
        <v>2695</v>
      </c>
      <c r="B564" s="357" t="s">
        <v>2696</v>
      </c>
      <c r="C564" s="358" t="s">
        <v>116</v>
      </c>
      <c r="D564" s="358" t="s">
        <v>116</v>
      </c>
      <c r="E564" s="358" t="s">
        <v>116</v>
      </c>
      <c r="F564" s="358" t="s">
        <v>116</v>
      </c>
      <c r="G564" s="358" t="s">
        <v>116</v>
      </c>
    </row>
    <row r="565" spans="1:7">
      <c r="A565" s="356" t="s">
        <v>2695</v>
      </c>
      <c r="B565" s="357" t="s">
        <v>2697</v>
      </c>
      <c r="C565" s="358" t="s">
        <v>116</v>
      </c>
      <c r="D565" s="358" t="s">
        <v>116</v>
      </c>
      <c r="E565" s="358" t="s">
        <v>116</v>
      </c>
      <c r="F565" s="358" t="s">
        <v>116</v>
      </c>
      <c r="G565" s="358" t="s">
        <v>116</v>
      </c>
    </row>
    <row r="566" spans="1:7">
      <c r="A566" s="356" t="s">
        <v>2698</v>
      </c>
      <c r="B566" s="357" t="s">
        <v>1690</v>
      </c>
      <c r="C566" s="358" t="s">
        <v>116</v>
      </c>
      <c r="D566" s="358" t="s">
        <v>116</v>
      </c>
      <c r="E566" s="358" t="s">
        <v>115</v>
      </c>
      <c r="F566" s="358" t="s">
        <v>115</v>
      </c>
      <c r="G566" s="358" t="s">
        <v>115</v>
      </c>
    </row>
    <row r="567" spans="1:7">
      <c r="A567" s="356" t="s">
        <v>2699</v>
      </c>
      <c r="B567" s="357" t="s">
        <v>2125</v>
      </c>
      <c r="C567" s="358" t="s">
        <v>116</v>
      </c>
      <c r="D567" s="358" t="s">
        <v>116</v>
      </c>
      <c r="E567" s="358" t="s">
        <v>116</v>
      </c>
      <c r="F567" s="358" t="s">
        <v>116</v>
      </c>
      <c r="G567" s="358" t="s">
        <v>116</v>
      </c>
    </row>
    <row r="568" spans="1:7">
      <c r="A568" s="356" t="s">
        <v>2700</v>
      </c>
      <c r="B568" s="357" t="s">
        <v>2153</v>
      </c>
      <c r="C568" s="358" t="s">
        <v>116</v>
      </c>
      <c r="D568" s="358" t="s">
        <v>116</v>
      </c>
      <c r="E568" s="358" t="s">
        <v>116</v>
      </c>
      <c r="F568" s="358" t="s">
        <v>116</v>
      </c>
      <c r="G568" s="358" t="s">
        <v>116</v>
      </c>
    </row>
    <row r="569" spans="1:7">
      <c r="A569" s="356" t="s">
        <v>2701</v>
      </c>
      <c r="B569" s="357" t="s">
        <v>2702</v>
      </c>
      <c r="C569" s="358" t="s">
        <v>116</v>
      </c>
      <c r="D569" s="358" t="s">
        <v>116</v>
      </c>
      <c r="E569" s="358" t="s">
        <v>116</v>
      </c>
      <c r="F569" s="358" t="s">
        <v>116</v>
      </c>
      <c r="G569" s="358" t="s">
        <v>116</v>
      </c>
    </row>
    <row r="570" spans="1:7">
      <c r="A570" s="356" t="s">
        <v>2703</v>
      </c>
      <c r="B570" s="357" t="s">
        <v>1693</v>
      </c>
      <c r="C570" s="358" t="s">
        <v>115</v>
      </c>
      <c r="D570" s="358" t="s">
        <v>115</v>
      </c>
      <c r="E570" s="358" t="s">
        <v>115</v>
      </c>
      <c r="F570" s="358" t="s">
        <v>116</v>
      </c>
      <c r="G570" s="358" t="s">
        <v>115</v>
      </c>
    </row>
    <row r="571" spans="1:7">
      <c r="A571" s="356" t="s">
        <v>2704</v>
      </c>
      <c r="B571" s="357" t="s">
        <v>2704</v>
      </c>
      <c r="C571" s="358" t="s">
        <v>2705</v>
      </c>
      <c r="D571" s="358" t="s">
        <v>116</v>
      </c>
      <c r="E571" s="358" t="s">
        <v>115</v>
      </c>
      <c r="F571" s="358" t="s">
        <v>116</v>
      </c>
      <c r="G571" s="358" t="s">
        <v>115</v>
      </c>
    </row>
    <row r="572" spans="1:7">
      <c r="A572" s="356" t="s">
        <v>2706</v>
      </c>
      <c r="B572" s="357" t="s">
        <v>1016</v>
      </c>
      <c r="C572" s="358" t="s">
        <v>116</v>
      </c>
      <c r="D572" s="358" t="s">
        <v>116</v>
      </c>
      <c r="E572" s="358" t="s">
        <v>115</v>
      </c>
      <c r="F572" s="358" t="s">
        <v>115</v>
      </c>
      <c r="G572" s="358" t="s">
        <v>115</v>
      </c>
    </row>
    <row r="573" spans="1:7">
      <c r="A573" s="356" t="s">
        <v>2707</v>
      </c>
      <c r="B573" s="357" t="s">
        <v>2708</v>
      </c>
      <c r="C573" s="358" t="s">
        <v>115</v>
      </c>
      <c r="D573" s="358" t="s">
        <v>116</v>
      </c>
      <c r="E573" s="358" t="s">
        <v>115</v>
      </c>
      <c r="F573" s="358" t="s">
        <v>115</v>
      </c>
      <c r="G573" s="358" t="s">
        <v>115</v>
      </c>
    </row>
    <row r="574" spans="1:7">
      <c r="A574" s="356" t="s">
        <v>2709</v>
      </c>
      <c r="B574" s="357" t="s">
        <v>2710</v>
      </c>
      <c r="C574" s="358" t="s">
        <v>115</v>
      </c>
      <c r="D574" s="358" t="s">
        <v>116</v>
      </c>
      <c r="E574" s="358" t="s">
        <v>115</v>
      </c>
      <c r="F574" s="358" t="s">
        <v>115</v>
      </c>
      <c r="G574" s="358" t="s">
        <v>115</v>
      </c>
    </row>
    <row r="575" spans="1:7">
      <c r="A575" s="356" t="s">
        <v>2711</v>
      </c>
      <c r="B575" s="357" t="s">
        <v>1661</v>
      </c>
      <c r="C575" s="358" t="s">
        <v>115</v>
      </c>
      <c r="D575" s="358" t="s">
        <v>116</v>
      </c>
      <c r="E575" s="358" t="s">
        <v>115</v>
      </c>
      <c r="F575" s="358" t="s">
        <v>115</v>
      </c>
      <c r="G575" s="358" t="s">
        <v>115</v>
      </c>
    </row>
    <row r="576" spans="1:7">
      <c r="A576" s="356" t="s">
        <v>2712</v>
      </c>
      <c r="B576" s="357" t="s">
        <v>2713</v>
      </c>
      <c r="C576" s="358" t="s">
        <v>116</v>
      </c>
      <c r="D576" s="358" t="s">
        <v>116</v>
      </c>
      <c r="E576" s="358" t="s">
        <v>115</v>
      </c>
      <c r="F576" s="358" t="s">
        <v>115</v>
      </c>
      <c r="G576" s="358" t="s">
        <v>115</v>
      </c>
    </row>
    <row r="577" spans="1:7">
      <c r="A577" s="356" t="s">
        <v>2714</v>
      </c>
      <c r="B577" s="357" t="s">
        <v>954</v>
      </c>
      <c r="C577" s="358" t="s">
        <v>115</v>
      </c>
      <c r="D577" s="358" t="s">
        <v>116</v>
      </c>
      <c r="E577" s="358" t="s">
        <v>115</v>
      </c>
      <c r="F577" s="358" t="s">
        <v>115</v>
      </c>
      <c r="G577" s="358" t="s">
        <v>115</v>
      </c>
    </row>
    <row r="578" spans="1:7">
      <c r="A578" s="356" t="s">
        <v>2715</v>
      </c>
      <c r="B578" s="357" t="s">
        <v>2716</v>
      </c>
      <c r="C578" s="358" t="s">
        <v>116</v>
      </c>
      <c r="D578" s="358" t="s">
        <v>116</v>
      </c>
      <c r="E578" s="358" t="s">
        <v>116</v>
      </c>
      <c r="F578" s="358" t="s">
        <v>116</v>
      </c>
      <c r="G578" s="358" t="s">
        <v>116</v>
      </c>
    </row>
    <row r="579" spans="1:7">
      <c r="A579" s="356" t="s">
        <v>2717</v>
      </c>
      <c r="B579" s="357" t="s">
        <v>2718</v>
      </c>
      <c r="C579" s="358" t="s">
        <v>116</v>
      </c>
      <c r="D579" s="358" t="s">
        <v>116</v>
      </c>
      <c r="E579" s="358" t="s">
        <v>116</v>
      </c>
      <c r="F579" s="358" t="s">
        <v>116</v>
      </c>
      <c r="G579" s="358" t="s">
        <v>116</v>
      </c>
    </row>
    <row r="580" spans="1:7">
      <c r="A580" s="356" t="s">
        <v>2719</v>
      </c>
      <c r="B580" s="357" t="s">
        <v>2113</v>
      </c>
      <c r="C580" s="358" t="s">
        <v>116</v>
      </c>
      <c r="D580" s="358" t="s">
        <v>116</v>
      </c>
      <c r="E580" s="358" t="s">
        <v>116</v>
      </c>
      <c r="F580" s="358" t="s">
        <v>116</v>
      </c>
      <c r="G580" s="358" t="s">
        <v>116</v>
      </c>
    </row>
    <row r="581" spans="1:7">
      <c r="A581" s="356" t="s">
        <v>2720</v>
      </c>
      <c r="B581" s="357" t="s">
        <v>2721</v>
      </c>
      <c r="C581" s="358" t="s">
        <v>116</v>
      </c>
      <c r="D581" s="358" t="s">
        <v>116</v>
      </c>
      <c r="E581" s="358" t="s">
        <v>116</v>
      </c>
      <c r="F581" s="358" t="s">
        <v>116</v>
      </c>
      <c r="G581" s="358" t="s">
        <v>116</v>
      </c>
    </row>
    <row r="582" spans="1:7">
      <c r="A582" s="356" t="s">
        <v>2722</v>
      </c>
      <c r="B582" s="357" t="s">
        <v>1767</v>
      </c>
      <c r="C582" s="358" t="s">
        <v>116</v>
      </c>
      <c r="D582" s="358" t="s">
        <v>116</v>
      </c>
      <c r="E582" s="358" t="s">
        <v>116</v>
      </c>
      <c r="F582" s="358" t="s">
        <v>115</v>
      </c>
      <c r="G582" s="358" t="s">
        <v>116</v>
      </c>
    </row>
    <row r="583" spans="1:7">
      <c r="A583" s="356" t="s">
        <v>2723</v>
      </c>
      <c r="B583" s="357" t="s">
        <v>2724</v>
      </c>
      <c r="C583" s="358" t="s">
        <v>116</v>
      </c>
      <c r="D583" s="358" t="s">
        <v>116</v>
      </c>
      <c r="E583" s="358" t="s">
        <v>116</v>
      </c>
      <c r="F583" s="358" t="s">
        <v>116</v>
      </c>
      <c r="G583" s="358" t="s">
        <v>116</v>
      </c>
    </row>
    <row r="584" spans="1:7">
      <c r="A584" s="356" t="s">
        <v>2725</v>
      </c>
      <c r="B584" s="357" t="s">
        <v>2726</v>
      </c>
      <c r="C584" s="358" t="s">
        <v>116</v>
      </c>
      <c r="D584" s="358" t="s">
        <v>116</v>
      </c>
      <c r="E584" s="358" t="s">
        <v>116</v>
      </c>
      <c r="F584" s="358" t="s">
        <v>116</v>
      </c>
      <c r="G584" s="358" t="s">
        <v>116</v>
      </c>
    </row>
    <row r="585" spans="1:7">
      <c r="A585" s="356" t="s">
        <v>2727</v>
      </c>
      <c r="B585" s="357" t="s">
        <v>2728</v>
      </c>
      <c r="C585" s="358" t="s">
        <v>1947</v>
      </c>
      <c r="D585" s="358" t="s">
        <v>1947</v>
      </c>
      <c r="E585" s="358" t="s">
        <v>1947</v>
      </c>
      <c r="F585" s="358" t="s">
        <v>1947</v>
      </c>
      <c r="G585" s="358" t="s">
        <v>1947</v>
      </c>
    </row>
    <row r="586" spans="1:7">
      <c r="A586" s="356" t="s">
        <v>2729</v>
      </c>
      <c r="B586" s="357" t="s">
        <v>2730</v>
      </c>
      <c r="C586" s="358" t="s">
        <v>116</v>
      </c>
      <c r="D586" s="358" t="s">
        <v>116</v>
      </c>
      <c r="E586" s="358" t="s">
        <v>116</v>
      </c>
      <c r="F586" s="358" t="s">
        <v>116</v>
      </c>
      <c r="G586" s="358" t="s">
        <v>116</v>
      </c>
    </row>
    <row r="587" spans="1:7">
      <c r="A587" s="356" t="s">
        <v>2731</v>
      </c>
      <c r="B587" s="357" t="s">
        <v>2640</v>
      </c>
      <c r="C587" s="358" t="s">
        <v>116</v>
      </c>
      <c r="D587" s="358" t="s">
        <v>116</v>
      </c>
      <c r="E587" s="358" t="s">
        <v>116</v>
      </c>
      <c r="F587" s="358" t="s">
        <v>116</v>
      </c>
      <c r="G587" s="358" t="s">
        <v>116</v>
      </c>
    </row>
    <row r="588" spans="1:7">
      <c r="A588" s="356" t="s">
        <v>2732</v>
      </c>
      <c r="B588" s="357" t="s">
        <v>2733</v>
      </c>
      <c r="C588" s="358" t="s">
        <v>1947</v>
      </c>
      <c r="D588" s="358" t="s">
        <v>1947</v>
      </c>
      <c r="E588" s="358" t="s">
        <v>1947</v>
      </c>
      <c r="F588" s="358" t="s">
        <v>1947</v>
      </c>
      <c r="G588" s="358" t="s">
        <v>1947</v>
      </c>
    </row>
    <row r="589" spans="1:7">
      <c r="A589" s="356" t="s">
        <v>2734</v>
      </c>
      <c r="B589" s="357" t="s">
        <v>2735</v>
      </c>
      <c r="C589" s="358" t="s">
        <v>116</v>
      </c>
      <c r="D589" s="358" t="s">
        <v>116</v>
      </c>
      <c r="E589" s="358" t="s">
        <v>116</v>
      </c>
      <c r="F589" s="358" t="s">
        <v>116</v>
      </c>
      <c r="G589" s="358" t="s">
        <v>116</v>
      </c>
    </row>
    <row r="590" spans="1:7">
      <c r="A590" s="356" t="s">
        <v>2736</v>
      </c>
      <c r="B590" s="357" t="s">
        <v>2737</v>
      </c>
      <c r="C590" s="358" t="s">
        <v>116</v>
      </c>
      <c r="D590" s="358" t="s">
        <v>116</v>
      </c>
      <c r="E590" s="358" t="s">
        <v>116</v>
      </c>
      <c r="F590" s="358" t="s">
        <v>116</v>
      </c>
      <c r="G590" s="358" t="s">
        <v>116</v>
      </c>
    </row>
    <row r="591" spans="1:7">
      <c r="A591" s="356" t="s">
        <v>2738</v>
      </c>
      <c r="B591" s="357" t="s">
        <v>2739</v>
      </c>
      <c r="C591" s="358" t="s">
        <v>116</v>
      </c>
      <c r="D591" s="358" t="s">
        <v>116</v>
      </c>
      <c r="E591" s="358" t="s">
        <v>116</v>
      </c>
      <c r="F591" s="358" t="s">
        <v>116</v>
      </c>
      <c r="G591" s="358" t="s">
        <v>116</v>
      </c>
    </row>
    <row r="592" spans="1:7">
      <c r="A592" s="356" t="s">
        <v>2740</v>
      </c>
      <c r="B592" s="357" t="s">
        <v>2741</v>
      </c>
      <c r="C592" s="358" t="s">
        <v>116</v>
      </c>
      <c r="D592" s="358" t="s">
        <v>116</v>
      </c>
      <c r="E592" s="358" t="s">
        <v>116</v>
      </c>
      <c r="F592" s="358" t="s">
        <v>116</v>
      </c>
      <c r="G592" s="358" t="s">
        <v>116</v>
      </c>
    </row>
    <row r="593" spans="1:7">
      <c r="A593" s="356" t="s">
        <v>2742</v>
      </c>
      <c r="B593" s="357" t="s">
        <v>2743</v>
      </c>
      <c r="C593" s="358" t="s">
        <v>116</v>
      </c>
      <c r="D593" s="358" t="s">
        <v>116</v>
      </c>
      <c r="E593" s="358" t="s">
        <v>116</v>
      </c>
      <c r="F593" s="358" t="s">
        <v>116</v>
      </c>
      <c r="G593" s="358" t="s">
        <v>116</v>
      </c>
    </row>
    <row r="594" spans="1:7">
      <c r="A594" s="356" t="s">
        <v>2744</v>
      </c>
      <c r="B594" s="357" t="s">
        <v>2745</v>
      </c>
      <c r="C594" s="358" t="s">
        <v>116</v>
      </c>
      <c r="D594" s="358" t="s">
        <v>116</v>
      </c>
      <c r="E594" s="358" t="s">
        <v>116</v>
      </c>
      <c r="F594" s="358" t="s">
        <v>116</v>
      </c>
      <c r="G594" s="358" t="s">
        <v>116</v>
      </c>
    </row>
    <row r="595" spans="1:7">
      <c r="A595" s="356" t="s">
        <v>2746</v>
      </c>
      <c r="B595" s="357" t="s">
        <v>2747</v>
      </c>
      <c r="C595" s="358" t="s">
        <v>115</v>
      </c>
      <c r="D595" s="358" t="s">
        <v>115</v>
      </c>
      <c r="E595" s="358" t="s">
        <v>115</v>
      </c>
      <c r="F595" s="358" t="s">
        <v>115</v>
      </c>
      <c r="G595" s="358" t="s">
        <v>115</v>
      </c>
    </row>
    <row r="596" spans="1:7">
      <c r="A596" s="356" t="s">
        <v>2748</v>
      </c>
      <c r="B596" s="357" t="s">
        <v>2749</v>
      </c>
      <c r="C596" s="358" t="s">
        <v>116</v>
      </c>
      <c r="D596" s="358" t="s">
        <v>116</v>
      </c>
      <c r="E596" s="358" t="s">
        <v>116</v>
      </c>
      <c r="F596" s="358" t="s">
        <v>116</v>
      </c>
      <c r="G596" s="358" t="s">
        <v>116</v>
      </c>
    </row>
    <row r="597" spans="1:7">
      <c r="A597" s="356" t="s">
        <v>2750</v>
      </c>
      <c r="B597" s="357" t="s">
        <v>2751</v>
      </c>
      <c r="C597" s="358" t="s">
        <v>116</v>
      </c>
      <c r="D597" s="358" t="s">
        <v>116</v>
      </c>
      <c r="E597" s="358" t="s">
        <v>116</v>
      </c>
      <c r="F597" s="358" t="s">
        <v>115</v>
      </c>
      <c r="G597" s="358" t="s">
        <v>115</v>
      </c>
    </row>
    <row r="598" spans="1:7">
      <c r="A598" s="356" t="s">
        <v>2752</v>
      </c>
      <c r="B598" s="357" t="s">
        <v>2753</v>
      </c>
      <c r="C598" s="358" t="s">
        <v>116</v>
      </c>
      <c r="D598" s="358" t="s">
        <v>116</v>
      </c>
      <c r="E598" s="358" t="s">
        <v>116</v>
      </c>
      <c r="F598" s="358" t="s">
        <v>116</v>
      </c>
      <c r="G598" s="358" t="s">
        <v>116</v>
      </c>
    </row>
    <row r="599" spans="1:7">
      <c r="A599" s="356" t="s">
        <v>2754</v>
      </c>
      <c r="B599" s="357" t="s">
        <v>2751</v>
      </c>
      <c r="C599" s="358" t="s">
        <v>116</v>
      </c>
      <c r="D599" s="358" t="s">
        <v>116</v>
      </c>
      <c r="E599" s="358" t="s">
        <v>116</v>
      </c>
      <c r="F599" s="358" t="s">
        <v>115</v>
      </c>
      <c r="G599" s="358" t="s">
        <v>115</v>
      </c>
    </row>
    <row r="600" spans="1:7">
      <c r="A600" s="356" t="s">
        <v>2755</v>
      </c>
      <c r="B600" s="357" t="s">
        <v>1026</v>
      </c>
      <c r="C600" s="358" t="s">
        <v>115</v>
      </c>
      <c r="D600" s="358" t="s">
        <v>116</v>
      </c>
      <c r="E600" s="358" t="s">
        <v>115</v>
      </c>
      <c r="F600" s="358" t="s">
        <v>115</v>
      </c>
      <c r="G600" s="358" t="s">
        <v>115</v>
      </c>
    </row>
    <row r="601" spans="1:7">
      <c r="A601" s="356" t="s">
        <v>2756</v>
      </c>
      <c r="B601" s="357" t="s">
        <v>1028</v>
      </c>
      <c r="C601" s="358" t="s">
        <v>116</v>
      </c>
      <c r="D601" s="358" t="s">
        <v>116</v>
      </c>
      <c r="E601" s="358" t="s">
        <v>115</v>
      </c>
      <c r="F601" s="358" t="s">
        <v>115</v>
      </c>
      <c r="G601" s="358" t="s">
        <v>115</v>
      </c>
    </row>
    <row r="602" spans="1:7">
      <c r="A602" s="356" t="s">
        <v>2757</v>
      </c>
      <c r="B602" s="357" t="s">
        <v>1030</v>
      </c>
      <c r="C602" s="358" t="s">
        <v>116</v>
      </c>
      <c r="D602" s="358" t="s">
        <v>116</v>
      </c>
      <c r="E602" s="358" t="s">
        <v>115</v>
      </c>
      <c r="F602" s="358" t="s">
        <v>115</v>
      </c>
      <c r="G602" s="358" t="s">
        <v>115</v>
      </c>
    </row>
    <row r="603" spans="1:7">
      <c r="A603" s="356" t="s">
        <v>2757</v>
      </c>
      <c r="B603" s="357" t="s">
        <v>1030</v>
      </c>
      <c r="C603" s="358" t="s">
        <v>116</v>
      </c>
      <c r="D603" s="358" t="s">
        <v>116</v>
      </c>
      <c r="E603" s="358" t="s">
        <v>115</v>
      </c>
      <c r="F603" s="358" t="s">
        <v>115</v>
      </c>
      <c r="G603" s="358" t="s">
        <v>115</v>
      </c>
    </row>
    <row r="604" spans="1:7">
      <c r="A604" s="356" t="s">
        <v>2758</v>
      </c>
      <c r="B604" s="357" t="s">
        <v>2759</v>
      </c>
      <c r="C604" s="358" t="s">
        <v>116</v>
      </c>
      <c r="D604" s="358" t="s">
        <v>116</v>
      </c>
      <c r="E604" s="358" t="s">
        <v>115</v>
      </c>
      <c r="F604" s="358" t="s">
        <v>115</v>
      </c>
      <c r="G604" s="358" t="s">
        <v>115</v>
      </c>
    </row>
    <row r="605" spans="1:7">
      <c r="A605" s="356" t="s">
        <v>2760</v>
      </c>
      <c r="B605" s="357" t="s">
        <v>2761</v>
      </c>
      <c r="C605" s="358" t="s">
        <v>116</v>
      </c>
      <c r="D605" s="358" t="s">
        <v>116</v>
      </c>
      <c r="E605" s="358" t="s">
        <v>116</v>
      </c>
      <c r="F605" s="358" t="s">
        <v>116</v>
      </c>
      <c r="G605" s="358" t="s">
        <v>116</v>
      </c>
    </row>
    <row r="606" spans="1:7">
      <c r="A606" s="356" t="s">
        <v>2762</v>
      </c>
      <c r="B606" s="357" t="s">
        <v>2763</v>
      </c>
      <c r="C606" s="358" t="s">
        <v>116</v>
      </c>
      <c r="D606" s="358" t="s">
        <v>116</v>
      </c>
      <c r="E606" s="358" t="s">
        <v>116</v>
      </c>
      <c r="F606" s="358" t="s">
        <v>116</v>
      </c>
      <c r="G606" s="358" t="s">
        <v>116</v>
      </c>
    </row>
    <row r="607" spans="1:7">
      <c r="A607" s="356" t="s">
        <v>2764</v>
      </c>
      <c r="B607" s="357" t="s">
        <v>2765</v>
      </c>
      <c r="C607" s="358" t="s">
        <v>116</v>
      </c>
      <c r="D607" s="358" t="s">
        <v>116</v>
      </c>
      <c r="E607" s="358" t="s">
        <v>116</v>
      </c>
      <c r="F607" s="358" t="s">
        <v>116</v>
      </c>
      <c r="G607" s="358" t="s">
        <v>116</v>
      </c>
    </row>
    <row r="608" spans="1:7">
      <c r="A608" s="356" t="s">
        <v>2766</v>
      </c>
      <c r="B608" s="357" t="s">
        <v>2767</v>
      </c>
      <c r="C608" s="358" t="s">
        <v>116</v>
      </c>
      <c r="D608" s="358" t="s">
        <v>116</v>
      </c>
      <c r="E608" s="358" t="s">
        <v>116</v>
      </c>
      <c r="F608" s="358" t="s">
        <v>116</v>
      </c>
      <c r="G608" s="358" t="s">
        <v>116</v>
      </c>
    </row>
    <row r="609" spans="1:7">
      <c r="A609" s="356" t="s">
        <v>2768</v>
      </c>
      <c r="B609" s="357" t="s">
        <v>2769</v>
      </c>
      <c r="C609" s="358" t="s">
        <v>115</v>
      </c>
      <c r="D609" s="358" t="s">
        <v>116</v>
      </c>
      <c r="E609" s="358" t="s">
        <v>115</v>
      </c>
      <c r="F609" s="358" t="s">
        <v>115</v>
      </c>
      <c r="G609" s="358" t="s">
        <v>115</v>
      </c>
    </row>
    <row r="610" spans="1:7">
      <c r="A610" s="356" t="s">
        <v>2770</v>
      </c>
      <c r="B610" s="357" t="s">
        <v>2771</v>
      </c>
      <c r="C610" s="358" t="s">
        <v>116</v>
      </c>
      <c r="D610" s="358" t="s">
        <v>116</v>
      </c>
      <c r="E610" s="358" t="s">
        <v>116</v>
      </c>
      <c r="F610" s="358" t="s">
        <v>115</v>
      </c>
      <c r="G610" s="358" t="s">
        <v>115</v>
      </c>
    </row>
    <row r="611" spans="1:7">
      <c r="A611" s="356" t="s">
        <v>2772</v>
      </c>
      <c r="B611" s="357" t="s">
        <v>2773</v>
      </c>
      <c r="C611" s="358" t="s">
        <v>116</v>
      </c>
      <c r="D611" s="358" t="s">
        <v>116</v>
      </c>
      <c r="E611" s="358" t="s">
        <v>116</v>
      </c>
      <c r="F611" s="358" t="s">
        <v>116</v>
      </c>
      <c r="G611" s="358" t="s">
        <v>116</v>
      </c>
    </row>
    <row r="612" spans="1:7">
      <c r="A612" s="356" t="s">
        <v>2774</v>
      </c>
      <c r="B612" s="357" t="s">
        <v>2775</v>
      </c>
      <c r="C612" s="358" t="s">
        <v>116</v>
      </c>
      <c r="D612" s="358" t="s">
        <v>116</v>
      </c>
      <c r="E612" s="358" t="s">
        <v>116</v>
      </c>
      <c r="F612" s="358" t="s">
        <v>116</v>
      </c>
      <c r="G612" s="358" t="s">
        <v>116</v>
      </c>
    </row>
    <row r="613" spans="1:7">
      <c r="A613" s="356" t="s">
        <v>2776</v>
      </c>
      <c r="B613" s="357" t="s">
        <v>2777</v>
      </c>
      <c r="C613" s="358" t="s">
        <v>116</v>
      </c>
      <c r="D613" s="358" t="s">
        <v>116</v>
      </c>
      <c r="E613" s="358" t="s">
        <v>116</v>
      </c>
      <c r="F613" s="358" t="s">
        <v>116</v>
      </c>
      <c r="G613" s="358" t="s">
        <v>116</v>
      </c>
    </row>
    <row r="614" spans="1:7">
      <c r="A614" s="356" t="s">
        <v>2778</v>
      </c>
      <c r="B614" s="357" t="s">
        <v>2779</v>
      </c>
      <c r="C614" s="358" t="s">
        <v>116</v>
      </c>
      <c r="D614" s="358" t="s">
        <v>116</v>
      </c>
      <c r="E614" s="358" t="s">
        <v>116</v>
      </c>
      <c r="F614" s="358" t="s">
        <v>116</v>
      </c>
      <c r="G614" s="358" t="s">
        <v>116</v>
      </c>
    </row>
    <row r="615" spans="1:7">
      <c r="A615" s="356" t="s">
        <v>2780</v>
      </c>
      <c r="B615" s="357" t="s">
        <v>2470</v>
      </c>
      <c r="C615" s="358" t="s">
        <v>116</v>
      </c>
      <c r="D615" s="358" t="s">
        <v>116</v>
      </c>
      <c r="E615" s="358" t="s">
        <v>116</v>
      </c>
      <c r="F615" s="358" t="s">
        <v>116</v>
      </c>
      <c r="G615" s="358" t="s">
        <v>116</v>
      </c>
    </row>
    <row r="616" spans="1:7">
      <c r="A616" s="356" t="s">
        <v>2781</v>
      </c>
      <c r="B616" s="357" t="s">
        <v>2782</v>
      </c>
      <c r="C616" s="358" t="s">
        <v>116</v>
      </c>
      <c r="D616" s="358" t="s">
        <v>116</v>
      </c>
      <c r="E616" s="358" t="s">
        <v>116</v>
      </c>
      <c r="F616" s="358" t="s">
        <v>116</v>
      </c>
      <c r="G616" s="358" t="s">
        <v>116</v>
      </c>
    </row>
    <row r="617" spans="1:7">
      <c r="A617" s="356" t="s">
        <v>2783</v>
      </c>
      <c r="B617" s="357" t="s">
        <v>2784</v>
      </c>
      <c r="C617" s="358" t="s">
        <v>116</v>
      </c>
      <c r="D617" s="358" t="s">
        <v>116</v>
      </c>
      <c r="E617" s="358" t="s">
        <v>116</v>
      </c>
      <c r="F617" s="358" t="s">
        <v>116</v>
      </c>
      <c r="G617" s="358" t="s">
        <v>116</v>
      </c>
    </row>
    <row r="618" spans="1:7">
      <c r="A618" s="356" t="s">
        <v>2785</v>
      </c>
      <c r="B618" s="357" t="s">
        <v>2786</v>
      </c>
      <c r="C618" s="358" t="s">
        <v>116</v>
      </c>
      <c r="D618" s="358" t="s">
        <v>116</v>
      </c>
      <c r="E618" s="358" t="s">
        <v>116</v>
      </c>
      <c r="F618" s="358" t="s">
        <v>116</v>
      </c>
      <c r="G618" s="358" t="s">
        <v>116</v>
      </c>
    </row>
    <row r="619" spans="1:7">
      <c r="A619" s="356" t="s">
        <v>2787</v>
      </c>
      <c r="B619" s="357" t="s">
        <v>41</v>
      </c>
      <c r="C619" s="358" t="s">
        <v>115</v>
      </c>
      <c r="D619" s="358" t="s">
        <v>116</v>
      </c>
      <c r="E619" s="358" t="s">
        <v>115</v>
      </c>
      <c r="F619" s="358" t="s">
        <v>115</v>
      </c>
      <c r="G619" s="358" t="s">
        <v>115</v>
      </c>
    </row>
    <row r="620" spans="1:7">
      <c r="A620" s="356" t="s">
        <v>2788</v>
      </c>
      <c r="B620" s="357" t="s">
        <v>2789</v>
      </c>
      <c r="C620" s="358" t="s">
        <v>116</v>
      </c>
      <c r="D620" s="358" t="s">
        <v>116</v>
      </c>
      <c r="E620" s="358" t="s">
        <v>116</v>
      </c>
      <c r="F620" s="358" t="s">
        <v>116</v>
      </c>
      <c r="G620" s="358" t="s">
        <v>116</v>
      </c>
    </row>
    <row r="621" spans="1:7">
      <c r="A621" s="356" t="s">
        <v>2790</v>
      </c>
      <c r="B621" s="357" t="s">
        <v>1037</v>
      </c>
      <c r="C621" s="358" t="s">
        <v>116</v>
      </c>
      <c r="D621" s="358" t="s">
        <v>116</v>
      </c>
      <c r="E621" s="358" t="s">
        <v>115</v>
      </c>
      <c r="F621" s="358" t="s">
        <v>115</v>
      </c>
      <c r="G621" s="358" t="s">
        <v>115</v>
      </c>
    </row>
    <row r="622" spans="1:7">
      <c r="A622" s="356" t="s">
        <v>2791</v>
      </c>
      <c r="B622" s="357" t="s">
        <v>2792</v>
      </c>
      <c r="C622" s="358" t="s">
        <v>116</v>
      </c>
      <c r="D622" s="358" t="s">
        <v>116</v>
      </c>
      <c r="E622" s="358" t="s">
        <v>115</v>
      </c>
      <c r="F622" s="358" t="s">
        <v>115</v>
      </c>
      <c r="G622" s="358" t="s">
        <v>115</v>
      </c>
    </row>
    <row r="623" spans="1:7">
      <c r="A623" s="356" t="s">
        <v>2793</v>
      </c>
      <c r="B623" s="357" t="s">
        <v>2794</v>
      </c>
      <c r="C623" s="358" t="s">
        <v>115</v>
      </c>
      <c r="D623" s="358" t="s">
        <v>115</v>
      </c>
      <c r="E623" s="358" t="s">
        <v>115</v>
      </c>
      <c r="F623" s="358" t="s">
        <v>115</v>
      </c>
      <c r="G623" s="358" t="s">
        <v>115</v>
      </c>
    </row>
    <row r="624" spans="1:7">
      <c r="A624" s="356" t="s">
        <v>2795</v>
      </c>
      <c r="B624" s="357" t="s">
        <v>2796</v>
      </c>
      <c r="C624" s="358" t="s">
        <v>116</v>
      </c>
      <c r="D624" s="358" t="s">
        <v>116</v>
      </c>
      <c r="E624" s="358" t="s">
        <v>115</v>
      </c>
      <c r="F624" s="358" t="s">
        <v>116</v>
      </c>
      <c r="G624" s="358" t="s">
        <v>116</v>
      </c>
    </row>
    <row r="625" spans="1:7">
      <c r="A625" s="356" t="s">
        <v>2797</v>
      </c>
      <c r="B625" s="357" t="s">
        <v>2798</v>
      </c>
      <c r="C625" s="358" t="s">
        <v>116</v>
      </c>
      <c r="D625" s="358" t="s">
        <v>116</v>
      </c>
      <c r="E625" s="358" t="s">
        <v>116</v>
      </c>
      <c r="F625" s="358" t="s">
        <v>115</v>
      </c>
      <c r="G625" s="358" t="s">
        <v>115</v>
      </c>
    </row>
    <row r="626" spans="1:7">
      <c r="A626" s="356" t="s">
        <v>2799</v>
      </c>
      <c r="B626" s="357" t="s">
        <v>2798</v>
      </c>
      <c r="C626" s="358" t="s">
        <v>116</v>
      </c>
      <c r="D626" s="358" t="s">
        <v>116</v>
      </c>
      <c r="E626" s="358" t="s">
        <v>116</v>
      </c>
      <c r="F626" s="358" t="s">
        <v>115</v>
      </c>
      <c r="G626" s="358" t="s">
        <v>115</v>
      </c>
    </row>
    <row r="627" spans="1:7">
      <c r="A627" s="356" t="s">
        <v>2800</v>
      </c>
      <c r="B627" s="357" t="s">
        <v>985</v>
      </c>
      <c r="C627" s="358" t="s">
        <v>116</v>
      </c>
      <c r="D627" s="358" t="s">
        <v>116</v>
      </c>
      <c r="E627" s="358" t="s">
        <v>115</v>
      </c>
      <c r="F627" s="358" t="s">
        <v>115</v>
      </c>
      <c r="G627" s="358" t="s">
        <v>115</v>
      </c>
    </row>
    <row r="628" spans="1:7">
      <c r="A628" s="356" t="s">
        <v>2801</v>
      </c>
      <c r="B628" s="357" t="s">
        <v>2802</v>
      </c>
      <c r="C628" s="358" t="s">
        <v>116</v>
      </c>
      <c r="D628" s="358" t="s">
        <v>116</v>
      </c>
      <c r="E628" s="358" t="s">
        <v>116</v>
      </c>
      <c r="F628" s="358" t="s">
        <v>116</v>
      </c>
      <c r="G628" s="358" t="s">
        <v>116</v>
      </c>
    </row>
    <row r="629" spans="1:7">
      <c r="A629" s="356" t="s">
        <v>2803</v>
      </c>
      <c r="B629" s="357" t="s">
        <v>2804</v>
      </c>
      <c r="C629" s="358" t="s">
        <v>116</v>
      </c>
      <c r="D629" s="358" t="s">
        <v>116</v>
      </c>
      <c r="E629" s="358" t="s">
        <v>116</v>
      </c>
      <c r="F629" s="358" t="s">
        <v>116</v>
      </c>
      <c r="G629" s="358" t="s">
        <v>116</v>
      </c>
    </row>
    <row r="630" spans="1:7">
      <c r="A630" s="356" t="s">
        <v>2805</v>
      </c>
      <c r="B630" s="357" t="s">
        <v>881</v>
      </c>
      <c r="C630" s="358" t="s">
        <v>116</v>
      </c>
      <c r="D630" s="358" t="s">
        <v>116</v>
      </c>
      <c r="E630" s="358" t="s">
        <v>115</v>
      </c>
      <c r="F630" s="358" t="s">
        <v>115</v>
      </c>
      <c r="G630" s="358" t="s">
        <v>115</v>
      </c>
    </row>
    <row r="631" spans="1:7">
      <c r="A631" s="356" t="s">
        <v>2806</v>
      </c>
      <c r="B631" s="357" t="s">
        <v>1717</v>
      </c>
      <c r="C631" s="358" t="s">
        <v>115</v>
      </c>
      <c r="D631" s="358" t="s">
        <v>115</v>
      </c>
      <c r="E631" s="358" t="s">
        <v>115</v>
      </c>
      <c r="F631" s="358" t="s">
        <v>115</v>
      </c>
      <c r="G631" s="358" t="s">
        <v>115</v>
      </c>
    </row>
    <row r="632" spans="1:7">
      <c r="A632" s="356" t="s">
        <v>2807</v>
      </c>
      <c r="B632" s="357" t="s">
        <v>2808</v>
      </c>
      <c r="C632" s="358" t="s">
        <v>116</v>
      </c>
      <c r="D632" s="358" t="s">
        <v>116</v>
      </c>
      <c r="E632" s="358" t="s">
        <v>116</v>
      </c>
      <c r="F632" s="358" t="s">
        <v>115</v>
      </c>
      <c r="G632" s="358" t="s">
        <v>115</v>
      </c>
    </row>
    <row r="633" spans="1:7">
      <c r="A633" s="356" t="s">
        <v>2809</v>
      </c>
      <c r="B633" s="357" t="s">
        <v>1718</v>
      </c>
      <c r="C633" s="358" t="s">
        <v>116</v>
      </c>
      <c r="D633" s="358" t="s">
        <v>116</v>
      </c>
      <c r="E633" s="358" t="s">
        <v>115</v>
      </c>
      <c r="F633" s="358" t="s">
        <v>115</v>
      </c>
      <c r="G633" s="358" t="s">
        <v>115</v>
      </c>
    </row>
    <row r="634" spans="1:7">
      <c r="A634" s="356" t="s">
        <v>2810</v>
      </c>
      <c r="B634" s="357" t="s">
        <v>1374</v>
      </c>
      <c r="C634" s="358" t="s">
        <v>115</v>
      </c>
      <c r="D634" s="358" t="s">
        <v>116</v>
      </c>
      <c r="E634" s="358" t="s">
        <v>115</v>
      </c>
      <c r="F634" s="358" t="s">
        <v>115</v>
      </c>
      <c r="G634" s="358" t="s">
        <v>115</v>
      </c>
    </row>
    <row r="635" spans="1:7">
      <c r="A635" s="356" t="s">
        <v>2811</v>
      </c>
      <c r="B635" s="357" t="s">
        <v>1374</v>
      </c>
      <c r="C635" s="358" t="s">
        <v>115</v>
      </c>
      <c r="D635" s="358" t="s">
        <v>116</v>
      </c>
      <c r="E635" s="358" t="s">
        <v>115</v>
      </c>
      <c r="F635" s="358" t="s">
        <v>115</v>
      </c>
      <c r="G635" s="358" t="s">
        <v>115</v>
      </c>
    </row>
    <row r="636" spans="1:7">
      <c r="A636" s="356" t="s">
        <v>2812</v>
      </c>
      <c r="B636" s="357" t="s">
        <v>2813</v>
      </c>
      <c r="C636" s="358" t="s">
        <v>116</v>
      </c>
      <c r="D636" s="358" t="s">
        <v>116</v>
      </c>
      <c r="E636" s="358" t="s">
        <v>116</v>
      </c>
      <c r="F636" s="358" t="s">
        <v>116</v>
      </c>
      <c r="G636" s="358" t="s">
        <v>116</v>
      </c>
    </row>
    <row r="637" spans="1:7">
      <c r="A637" s="356" t="s">
        <v>2814</v>
      </c>
      <c r="B637" s="357" t="s">
        <v>2815</v>
      </c>
      <c r="C637" s="358" t="s">
        <v>116</v>
      </c>
      <c r="D637" s="358" t="s">
        <v>116</v>
      </c>
      <c r="E637" s="358" t="s">
        <v>116</v>
      </c>
      <c r="F637" s="358" t="s">
        <v>116</v>
      </c>
      <c r="G637" s="358" t="s">
        <v>116</v>
      </c>
    </row>
    <row r="638" spans="1:7">
      <c r="A638" s="356" t="s">
        <v>2816</v>
      </c>
      <c r="B638" s="357" t="s">
        <v>2817</v>
      </c>
      <c r="C638" s="358" t="s">
        <v>116</v>
      </c>
      <c r="D638" s="358" t="s">
        <v>116</v>
      </c>
      <c r="E638" s="358" t="s">
        <v>116</v>
      </c>
      <c r="F638" s="358" t="s">
        <v>115</v>
      </c>
      <c r="G638" s="358" t="s">
        <v>115</v>
      </c>
    </row>
    <row r="639" spans="1:7">
      <c r="A639" s="356" t="s">
        <v>2818</v>
      </c>
      <c r="B639" s="357" t="s">
        <v>2819</v>
      </c>
      <c r="C639" s="358" t="s">
        <v>116</v>
      </c>
      <c r="D639" s="358" t="s">
        <v>116</v>
      </c>
      <c r="E639" s="358" t="s">
        <v>116</v>
      </c>
      <c r="F639" s="358" t="s">
        <v>116</v>
      </c>
      <c r="G639" s="358" t="s">
        <v>116</v>
      </c>
    </row>
    <row r="640" spans="1:7">
      <c r="A640" s="356" t="s">
        <v>2818</v>
      </c>
      <c r="B640" s="357" t="s">
        <v>2819</v>
      </c>
      <c r="C640" s="358" t="s">
        <v>116</v>
      </c>
      <c r="D640" s="358" t="s">
        <v>116</v>
      </c>
      <c r="E640" s="358" t="s">
        <v>116</v>
      </c>
      <c r="F640" s="358" t="s">
        <v>116</v>
      </c>
      <c r="G640" s="358" t="s">
        <v>116</v>
      </c>
    </row>
    <row r="641" spans="1:7">
      <c r="A641" s="356" t="s">
        <v>2820</v>
      </c>
      <c r="B641" s="357" t="s">
        <v>2821</v>
      </c>
      <c r="C641" s="358" t="s">
        <v>116</v>
      </c>
      <c r="D641" s="358" t="s">
        <v>116</v>
      </c>
      <c r="E641" s="358" t="s">
        <v>116</v>
      </c>
      <c r="F641" s="358" t="s">
        <v>116</v>
      </c>
      <c r="G641" s="358" t="s">
        <v>116</v>
      </c>
    </row>
    <row r="642" spans="1:7">
      <c r="A642" s="356" t="s">
        <v>2822</v>
      </c>
      <c r="B642" s="357" t="s">
        <v>2823</v>
      </c>
      <c r="C642" s="358" t="s">
        <v>116</v>
      </c>
      <c r="D642" s="358" t="s">
        <v>116</v>
      </c>
      <c r="E642" s="358" t="s">
        <v>116</v>
      </c>
      <c r="F642" s="358" t="s">
        <v>116</v>
      </c>
      <c r="G642" s="358" t="s">
        <v>116</v>
      </c>
    </row>
    <row r="643" spans="1:7">
      <c r="A643" s="356" t="s">
        <v>2824</v>
      </c>
      <c r="B643" s="357" t="s">
        <v>2825</v>
      </c>
      <c r="C643" s="358" t="s">
        <v>116</v>
      </c>
      <c r="D643" s="358" t="s">
        <v>116</v>
      </c>
      <c r="E643" s="358" t="s">
        <v>116</v>
      </c>
      <c r="F643" s="358" t="s">
        <v>116</v>
      </c>
      <c r="G643" s="358" t="s">
        <v>116</v>
      </c>
    </row>
    <row r="644" spans="1:7">
      <c r="A644" s="356" t="s">
        <v>2826</v>
      </c>
      <c r="B644" s="357" t="s">
        <v>2827</v>
      </c>
      <c r="C644" s="358" t="s">
        <v>116</v>
      </c>
      <c r="D644" s="358" t="s">
        <v>116</v>
      </c>
      <c r="E644" s="358" t="s">
        <v>116</v>
      </c>
      <c r="F644" s="358" t="s">
        <v>116</v>
      </c>
      <c r="G644" s="358" t="s">
        <v>116</v>
      </c>
    </row>
    <row r="645" spans="1:7">
      <c r="A645" s="356" t="s">
        <v>2828</v>
      </c>
      <c r="B645" s="357" t="s">
        <v>2829</v>
      </c>
      <c r="C645" s="358" t="s">
        <v>116</v>
      </c>
      <c r="D645" s="358" t="s">
        <v>116</v>
      </c>
      <c r="E645" s="358" t="s">
        <v>115</v>
      </c>
      <c r="F645" s="358" t="s">
        <v>115</v>
      </c>
      <c r="G645" s="358" t="s">
        <v>115</v>
      </c>
    </row>
    <row r="646" spans="1:7">
      <c r="A646" s="356" t="s">
        <v>2830</v>
      </c>
      <c r="B646" s="357" t="s">
        <v>2831</v>
      </c>
      <c r="C646" s="358" t="s">
        <v>116</v>
      </c>
      <c r="D646" s="358" t="s">
        <v>116</v>
      </c>
      <c r="E646" s="358" t="s">
        <v>115</v>
      </c>
      <c r="F646" s="358" t="s">
        <v>115</v>
      </c>
      <c r="G646" s="358" t="s">
        <v>115</v>
      </c>
    </row>
    <row r="647" spans="1:7">
      <c r="A647" s="356" t="s">
        <v>2832</v>
      </c>
      <c r="B647" s="357" t="s">
        <v>2833</v>
      </c>
      <c r="C647" s="358" t="s">
        <v>116</v>
      </c>
      <c r="D647" s="358" t="s">
        <v>116</v>
      </c>
      <c r="E647" s="358" t="s">
        <v>116</v>
      </c>
      <c r="F647" s="358" t="s">
        <v>115</v>
      </c>
      <c r="G647" s="358" t="s">
        <v>115</v>
      </c>
    </row>
    <row r="648" spans="1:7">
      <c r="A648" s="356" t="s">
        <v>2834</v>
      </c>
      <c r="B648" s="357" t="s">
        <v>2456</v>
      </c>
      <c r="C648" s="358" t="s">
        <v>116</v>
      </c>
      <c r="D648" s="358" t="s">
        <v>116</v>
      </c>
      <c r="E648" s="358" t="s">
        <v>116</v>
      </c>
      <c r="F648" s="358" t="s">
        <v>115</v>
      </c>
      <c r="G648" s="358" t="s">
        <v>115</v>
      </c>
    </row>
    <row r="649" spans="1:7">
      <c r="A649" s="356" t="s">
        <v>2835</v>
      </c>
      <c r="B649" s="357" t="s">
        <v>2836</v>
      </c>
      <c r="C649" s="358" t="s">
        <v>115</v>
      </c>
      <c r="D649" s="358" t="s">
        <v>115</v>
      </c>
      <c r="E649" s="358" t="s">
        <v>115</v>
      </c>
      <c r="F649" s="358" t="s">
        <v>115</v>
      </c>
      <c r="G649" s="358" t="s">
        <v>115</v>
      </c>
    </row>
    <row r="650" spans="1:7">
      <c r="A650" s="356" t="s">
        <v>2837</v>
      </c>
      <c r="B650" s="357" t="s">
        <v>2838</v>
      </c>
      <c r="C650" s="358" t="s">
        <v>116</v>
      </c>
      <c r="D650" s="358" t="s">
        <v>1947</v>
      </c>
      <c r="E650" s="358" t="s">
        <v>115</v>
      </c>
      <c r="F650" s="358" t="s">
        <v>116</v>
      </c>
      <c r="G650" s="358" t="s">
        <v>115</v>
      </c>
    </row>
    <row r="651" spans="1:7">
      <c r="A651" s="356" t="s">
        <v>2839</v>
      </c>
      <c r="B651" s="357" t="s">
        <v>2840</v>
      </c>
      <c r="C651" s="358" t="s">
        <v>116</v>
      </c>
      <c r="D651" s="358" t="s">
        <v>116</v>
      </c>
      <c r="E651" s="358" t="s">
        <v>116</v>
      </c>
      <c r="F651" s="358" t="s">
        <v>115</v>
      </c>
      <c r="G651" s="358" t="s">
        <v>115</v>
      </c>
    </row>
    <row r="652" spans="1:7">
      <c r="A652" s="356" t="s">
        <v>2841</v>
      </c>
      <c r="B652" s="357" t="s">
        <v>985</v>
      </c>
      <c r="C652" s="358" t="s">
        <v>116</v>
      </c>
      <c r="D652" s="358" t="s">
        <v>116</v>
      </c>
      <c r="E652" s="358" t="s">
        <v>115</v>
      </c>
      <c r="F652" s="358" t="s">
        <v>115</v>
      </c>
      <c r="G652" s="358" t="s">
        <v>115</v>
      </c>
    </row>
    <row r="653" spans="1:7">
      <c r="A653" s="356" t="s">
        <v>2842</v>
      </c>
      <c r="B653" s="357" t="s">
        <v>1679</v>
      </c>
      <c r="C653" s="358" t="s">
        <v>116</v>
      </c>
      <c r="D653" s="358" t="s">
        <v>116</v>
      </c>
      <c r="E653" s="358" t="s">
        <v>116</v>
      </c>
      <c r="F653" s="358" t="s">
        <v>116</v>
      </c>
      <c r="G653" s="358" t="s">
        <v>116</v>
      </c>
    </row>
    <row r="654" spans="1:7">
      <c r="A654" s="356" t="s">
        <v>2843</v>
      </c>
      <c r="B654" s="357" t="s">
        <v>1679</v>
      </c>
      <c r="C654" s="358" t="s">
        <v>116</v>
      </c>
      <c r="D654" s="358" t="s">
        <v>116</v>
      </c>
      <c r="E654" s="358" t="s">
        <v>116</v>
      </c>
      <c r="F654" s="358" t="s">
        <v>116</v>
      </c>
      <c r="G654" s="358" t="s">
        <v>116</v>
      </c>
    </row>
    <row r="655" spans="1:7">
      <c r="A655" s="356" t="s">
        <v>2844</v>
      </c>
      <c r="B655" s="357" t="s">
        <v>1724</v>
      </c>
      <c r="C655" s="358" t="s">
        <v>116</v>
      </c>
      <c r="D655" s="358" t="s">
        <v>116</v>
      </c>
      <c r="E655" s="358" t="s">
        <v>115</v>
      </c>
      <c r="F655" s="358" t="s">
        <v>115</v>
      </c>
      <c r="G655" s="358" t="s">
        <v>115</v>
      </c>
    </row>
    <row r="656" spans="1:7">
      <c r="A656" s="356" t="s">
        <v>2845</v>
      </c>
      <c r="B656" s="357" t="s">
        <v>2846</v>
      </c>
      <c r="C656" s="358" t="s">
        <v>116</v>
      </c>
      <c r="D656" s="358" t="s">
        <v>116</v>
      </c>
      <c r="E656" s="358" t="s">
        <v>116</v>
      </c>
      <c r="F656" s="358" t="s">
        <v>116</v>
      </c>
      <c r="G656" s="358" t="s">
        <v>116</v>
      </c>
    </row>
    <row r="657" spans="1:7">
      <c r="A657" s="356" t="s">
        <v>2847</v>
      </c>
      <c r="B657" s="357" t="s">
        <v>2848</v>
      </c>
      <c r="C657" s="358" t="s">
        <v>116</v>
      </c>
      <c r="D657" s="358" t="s">
        <v>116</v>
      </c>
      <c r="E657" s="358" t="s">
        <v>116</v>
      </c>
      <c r="F657" s="358" t="s">
        <v>116</v>
      </c>
      <c r="G657" s="358" t="s">
        <v>116</v>
      </c>
    </row>
    <row r="658" spans="1:7">
      <c r="A658" s="356" t="s">
        <v>2849</v>
      </c>
      <c r="B658" s="357" t="s">
        <v>2850</v>
      </c>
      <c r="C658" s="358" t="s">
        <v>1947</v>
      </c>
      <c r="D658" s="358" t="s">
        <v>1947</v>
      </c>
      <c r="E658" s="358" t="s">
        <v>1947</v>
      </c>
      <c r="F658" s="358" t="s">
        <v>1947</v>
      </c>
      <c r="G658" s="358" t="s">
        <v>1947</v>
      </c>
    </row>
    <row r="659" spans="1:7">
      <c r="A659" s="356" t="s">
        <v>2849</v>
      </c>
      <c r="B659" s="357" t="s">
        <v>2850</v>
      </c>
      <c r="C659" s="358" t="s">
        <v>116</v>
      </c>
      <c r="D659" s="358" t="s">
        <v>116</v>
      </c>
      <c r="E659" s="358" t="s">
        <v>116</v>
      </c>
      <c r="F659" s="358" t="s">
        <v>116</v>
      </c>
      <c r="G659" s="358" t="s">
        <v>116</v>
      </c>
    </row>
    <row r="660" spans="1:7">
      <c r="A660" s="356" t="s">
        <v>2851</v>
      </c>
      <c r="B660" s="357" t="s">
        <v>2852</v>
      </c>
      <c r="C660" s="358" t="s">
        <v>116</v>
      </c>
      <c r="D660" s="358" t="s">
        <v>116</v>
      </c>
      <c r="E660" s="358" t="s">
        <v>116</v>
      </c>
      <c r="F660" s="358" t="s">
        <v>116</v>
      </c>
      <c r="G660" s="358" t="s">
        <v>116</v>
      </c>
    </row>
    <row r="661" spans="1:7">
      <c r="A661" s="356" t="s">
        <v>2853</v>
      </c>
      <c r="B661" s="357" t="s">
        <v>1360</v>
      </c>
      <c r="C661" s="358" t="s">
        <v>115</v>
      </c>
      <c r="D661" s="358" t="s">
        <v>115</v>
      </c>
      <c r="E661" s="358" t="s">
        <v>115</v>
      </c>
      <c r="F661" s="358" t="s">
        <v>115</v>
      </c>
      <c r="G661" s="358" t="s">
        <v>115</v>
      </c>
    </row>
    <row r="662" spans="1:7">
      <c r="A662" s="356" t="s">
        <v>2854</v>
      </c>
      <c r="B662" s="357" t="s">
        <v>2855</v>
      </c>
      <c r="C662" s="358" t="s">
        <v>116</v>
      </c>
      <c r="D662" s="358" t="s">
        <v>116</v>
      </c>
      <c r="E662" s="358" t="s">
        <v>115</v>
      </c>
      <c r="F662" s="358" t="s">
        <v>116</v>
      </c>
      <c r="G662" s="358" t="s">
        <v>115</v>
      </c>
    </row>
    <row r="663" spans="1:7">
      <c r="A663" s="356" t="s">
        <v>2856</v>
      </c>
      <c r="B663" s="357" t="s">
        <v>2857</v>
      </c>
      <c r="C663" s="358" t="s">
        <v>115</v>
      </c>
      <c r="D663" s="358" t="s">
        <v>115</v>
      </c>
      <c r="E663" s="358" t="s">
        <v>115</v>
      </c>
      <c r="F663" s="358" t="s">
        <v>115</v>
      </c>
      <c r="G663" s="358" t="s">
        <v>115</v>
      </c>
    </row>
    <row r="664" spans="1:7">
      <c r="A664" s="356" t="s">
        <v>2858</v>
      </c>
      <c r="B664" s="357" t="s">
        <v>2859</v>
      </c>
      <c r="C664" s="358" t="s">
        <v>116</v>
      </c>
      <c r="D664" s="358" t="s">
        <v>116</v>
      </c>
      <c r="E664" s="358" t="s">
        <v>115</v>
      </c>
      <c r="F664" s="358" t="s">
        <v>115</v>
      </c>
      <c r="G664" s="358" t="s">
        <v>115</v>
      </c>
    </row>
    <row r="665" spans="1:7">
      <c r="A665" s="356" t="s">
        <v>2858</v>
      </c>
      <c r="B665" s="357" t="s">
        <v>2859</v>
      </c>
      <c r="C665" s="358" t="s">
        <v>1947</v>
      </c>
      <c r="D665" s="358" t="s">
        <v>1947</v>
      </c>
      <c r="E665" s="358" t="s">
        <v>1947</v>
      </c>
      <c r="F665" s="358" t="s">
        <v>1947</v>
      </c>
      <c r="G665" s="358" t="s">
        <v>1947</v>
      </c>
    </row>
    <row r="666" spans="1:7">
      <c r="A666" s="356" t="s">
        <v>2858</v>
      </c>
      <c r="B666" s="357" t="s">
        <v>2859</v>
      </c>
      <c r="C666" s="358" t="s">
        <v>116</v>
      </c>
      <c r="D666" s="358" t="s">
        <v>116</v>
      </c>
      <c r="E666" s="358" t="s">
        <v>115</v>
      </c>
      <c r="F666" s="358" t="s">
        <v>115</v>
      </c>
      <c r="G666" s="358" t="s">
        <v>115</v>
      </c>
    </row>
    <row r="667" spans="1:7">
      <c r="A667" s="356" t="s">
        <v>2860</v>
      </c>
      <c r="B667" s="357" t="s">
        <v>1065</v>
      </c>
      <c r="C667" s="358" t="s">
        <v>116</v>
      </c>
      <c r="D667" s="358" t="s">
        <v>116</v>
      </c>
      <c r="E667" s="358" t="s">
        <v>115</v>
      </c>
      <c r="F667" s="358" t="s">
        <v>115</v>
      </c>
      <c r="G667" s="358" t="s">
        <v>115</v>
      </c>
    </row>
    <row r="668" spans="1:7">
      <c r="A668" s="356" t="s">
        <v>2861</v>
      </c>
      <c r="B668" s="357" t="s">
        <v>2862</v>
      </c>
      <c r="C668" s="358" t="s">
        <v>115</v>
      </c>
      <c r="D668" s="358" t="s">
        <v>116</v>
      </c>
      <c r="E668" s="358" t="s">
        <v>115</v>
      </c>
      <c r="F668" s="358" t="s">
        <v>115</v>
      </c>
      <c r="G668" s="358" t="s">
        <v>115</v>
      </c>
    </row>
    <row r="669" spans="1:7">
      <c r="A669" s="356" t="s">
        <v>2863</v>
      </c>
      <c r="B669" s="357" t="s">
        <v>2864</v>
      </c>
      <c r="C669" s="358" t="s">
        <v>116</v>
      </c>
      <c r="D669" s="358" t="s">
        <v>116</v>
      </c>
      <c r="E669" s="358" t="s">
        <v>116</v>
      </c>
      <c r="F669" s="358" t="s">
        <v>116</v>
      </c>
      <c r="G669" s="358" t="s">
        <v>116</v>
      </c>
    </row>
    <row r="670" spans="1:7">
      <c r="A670" s="356" t="s">
        <v>2865</v>
      </c>
      <c r="B670" s="357" t="s">
        <v>2866</v>
      </c>
      <c r="C670" s="358" t="s">
        <v>116</v>
      </c>
      <c r="D670" s="358" t="s">
        <v>116</v>
      </c>
      <c r="E670" s="358" t="s">
        <v>116</v>
      </c>
      <c r="F670" s="358" t="s">
        <v>116</v>
      </c>
      <c r="G670" s="358" t="s">
        <v>116</v>
      </c>
    </row>
    <row r="671" spans="1:7">
      <c r="A671" s="356" t="s">
        <v>2867</v>
      </c>
      <c r="B671" s="357" t="s">
        <v>2868</v>
      </c>
      <c r="C671" s="358" t="s">
        <v>116</v>
      </c>
      <c r="D671" s="358" t="s">
        <v>116</v>
      </c>
      <c r="E671" s="358" t="s">
        <v>116</v>
      </c>
      <c r="F671" s="358" t="s">
        <v>116</v>
      </c>
      <c r="G671" s="358" t="s">
        <v>116</v>
      </c>
    </row>
    <row r="672" spans="1:7">
      <c r="A672" s="356" t="s">
        <v>2869</v>
      </c>
      <c r="B672" s="357" t="s">
        <v>2870</v>
      </c>
      <c r="C672" s="358" t="s">
        <v>116</v>
      </c>
      <c r="D672" s="358" t="s">
        <v>116</v>
      </c>
      <c r="E672" s="358" t="s">
        <v>116</v>
      </c>
      <c r="F672" s="358" t="s">
        <v>116</v>
      </c>
      <c r="G672" s="358" t="s">
        <v>116</v>
      </c>
    </row>
    <row r="673" spans="1:7">
      <c r="A673" s="356" t="s">
        <v>2871</v>
      </c>
      <c r="B673" s="357" t="s">
        <v>2872</v>
      </c>
      <c r="C673" s="358" t="s">
        <v>116</v>
      </c>
      <c r="D673" s="358" t="s">
        <v>116</v>
      </c>
      <c r="E673" s="358" t="s">
        <v>116</v>
      </c>
      <c r="F673" s="358" t="s">
        <v>116</v>
      </c>
      <c r="G673" s="358" t="s">
        <v>116</v>
      </c>
    </row>
    <row r="674" spans="1:7">
      <c r="A674" s="356" t="s">
        <v>2873</v>
      </c>
      <c r="B674" s="357" t="s">
        <v>2874</v>
      </c>
      <c r="C674" s="358" t="s">
        <v>115</v>
      </c>
      <c r="D674" s="358" t="s">
        <v>116</v>
      </c>
      <c r="E674" s="358" t="s">
        <v>115</v>
      </c>
      <c r="F674" s="358" t="s">
        <v>115</v>
      </c>
      <c r="G674" s="358" t="s">
        <v>115</v>
      </c>
    </row>
    <row r="675" spans="1:7">
      <c r="A675" s="356" t="s">
        <v>2875</v>
      </c>
      <c r="B675" s="357" t="s">
        <v>2876</v>
      </c>
      <c r="C675" s="358" t="s">
        <v>116</v>
      </c>
      <c r="D675" s="358" t="s">
        <v>116</v>
      </c>
      <c r="E675" s="358" t="s">
        <v>115</v>
      </c>
      <c r="F675" s="358" t="s">
        <v>115</v>
      </c>
      <c r="G675" s="358" t="s">
        <v>115</v>
      </c>
    </row>
    <row r="676" spans="1:7">
      <c r="A676" s="356" t="s">
        <v>2877</v>
      </c>
      <c r="B676" s="357" t="s">
        <v>1602</v>
      </c>
      <c r="C676" s="358" t="s">
        <v>115</v>
      </c>
      <c r="D676" s="358" t="s">
        <v>116</v>
      </c>
      <c r="E676" s="358" t="s">
        <v>115</v>
      </c>
      <c r="F676" s="358" t="s">
        <v>115</v>
      </c>
      <c r="G676" s="358" t="s">
        <v>115</v>
      </c>
    </row>
    <row r="677" spans="1:7">
      <c r="A677" s="356" t="s">
        <v>2878</v>
      </c>
      <c r="B677" s="357" t="s">
        <v>2879</v>
      </c>
      <c r="C677" s="358" t="s">
        <v>115</v>
      </c>
      <c r="D677" s="358" t="s">
        <v>116</v>
      </c>
      <c r="E677" s="358" t="s">
        <v>115</v>
      </c>
      <c r="F677" s="358" t="s">
        <v>116</v>
      </c>
      <c r="G677" s="358" t="s">
        <v>115</v>
      </c>
    </row>
    <row r="678" spans="1:7">
      <c r="A678" s="356" t="s">
        <v>2880</v>
      </c>
      <c r="B678" s="357" t="s">
        <v>2881</v>
      </c>
      <c r="C678" s="358" t="s">
        <v>115</v>
      </c>
      <c r="D678" s="358" t="s">
        <v>116</v>
      </c>
      <c r="E678" s="358" t="s">
        <v>115</v>
      </c>
      <c r="F678" s="358" t="s">
        <v>116</v>
      </c>
      <c r="G678" s="358" t="s">
        <v>115</v>
      </c>
    </row>
    <row r="679" spans="1:7">
      <c r="A679" s="356" t="s">
        <v>2882</v>
      </c>
      <c r="B679" s="357" t="s">
        <v>1643</v>
      </c>
      <c r="C679" s="358" t="s">
        <v>115</v>
      </c>
      <c r="D679" s="358" t="s">
        <v>116</v>
      </c>
      <c r="E679" s="358" t="s">
        <v>115</v>
      </c>
      <c r="F679" s="358" t="s">
        <v>116</v>
      </c>
      <c r="G679" s="358" t="s">
        <v>115</v>
      </c>
    </row>
    <row r="680" spans="1:7">
      <c r="A680" s="356" t="s">
        <v>2883</v>
      </c>
      <c r="B680" s="357" t="s">
        <v>2884</v>
      </c>
      <c r="C680" s="358" t="s">
        <v>116</v>
      </c>
      <c r="D680" s="358" t="s">
        <v>116</v>
      </c>
      <c r="E680" s="358" t="s">
        <v>115</v>
      </c>
      <c r="F680" s="358" t="s">
        <v>115</v>
      </c>
      <c r="G680" s="358" t="s">
        <v>115</v>
      </c>
    </row>
    <row r="681" spans="1:7">
      <c r="A681" s="356" t="s">
        <v>2885</v>
      </c>
      <c r="B681" s="357" t="s">
        <v>2886</v>
      </c>
      <c r="C681" s="358" t="s">
        <v>116</v>
      </c>
      <c r="D681" s="358" t="s">
        <v>116</v>
      </c>
      <c r="E681" s="358" t="s">
        <v>116</v>
      </c>
      <c r="F681" s="358" t="s">
        <v>116</v>
      </c>
      <c r="G681" s="358" t="s">
        <v>116</v>
      </c>
    </row>
    <row r="682" spans="1:7">
      <c r="A682" s="356" t="s">
        <v>2887</v>
      </c>
      <c r="B682" s="357" t="s">
        <v>67</v>
      </c>
      <c r="C682" s="358" t="s">
        <v>1947</v>
      </c>
      <c r="D682" s="358" t="s">
        <v>1947</v>
      </c>
      <c r="E682" s="358" t="s">
        <v>1947</v>
      </c>
      <c r="F682" s="358" t="s">
        <v>1947</v>
      </c>
      <c r="G682" s="358" t="s">
        <v>1947</v>
      </c>
    </row>
    <row r="683" spans="1:7">
      <c r="A683" s="356" t="s">
        <v>2888</v>
      </c>
      <c r="B683" s="357" t="s">
        <v>2889</v>
      </c>
      <c r="C683" s="358" t="s">
        <v>116</v>
      </c>
      <c r="D683" s="358" t="s">
        <v>116</v>
      </c>
      <c r="E683" s="358" t="s">
        <v>115</v>
      </c>
      <c r="F683" s="358" t="s">
        <v>115</v>
      </c>
      <c r="G683" s="358" t="s">
        <v>115</v>
      </c>
    </row>
    <row r="684" spans="1:7">
      <c r="A684" s="356" t="s">
        <v>2890</v>
      </c>
      <c r="B684" s="357" t="s">
        <v>2891</v>
      </c>
      <c r="C684" s="358" t="s">
        <v>116</v>
      </c>
      <c r="D684" s="358" t="s">
        <v>116</v>
      </c>
      <c r="E684" s="358" t="s">
        <v>115</v>
      </c>
      <c r="F684" s="358" t="s">
        <v>115</v>
      </c>
      <c r="G684" s="358" t="s">
        <v>115</v>
      </c>
    </row>
    <row r="685" spans="1:7">
      <c r="A685" s="356" t="s">
        <v>2892</v>
      </c>
      <c r="B685" s="357" t="s">
        <v>1065</v>
      </c>
      <c r="C685" s="358" t="s">
        <v>116</v>
      </c>
      <c r="D685" s="358" t="s">
        <v>116</v>
      </c>
      <c r="E685" s="358" t="s">
        <v>116</v>
      </c>
      <c r="F685" s="358" t="s">
        <v>116</v>
      </c>
      <c r="G685" s="358" t="s">
        <v>116</v>
      </c>
    </row>
    <row r="686" spans="1:7">
      <c r="A686" s="356" t="s">
        <v>2893</v>
      </c>
      <c r="B686" s="357" t="s">
        <v>2894</v>
      </c>
      <c r="C686" s="358" t="s">
        <v>116</v>
      </c>
      <c r="D686" s="358" t="s">
        <v>116</v>
      </c>
      <c r="E686" s="358" t="s">
        <v>116</v>
      </c>
      <c r="F686" s="358" t="s">
        <v>116</v>
      </c>
      <c r="G686" s="358" t="s">
        <v>116</v>
      </c>
    </row>
    <row r="687" spans="1:7">
      <c r="A687" s="356" t="s">
        <v>2895</v>
      </c>
      <c r="B687" s="357" t="s">
        <v>2896</v>
      </c>
      <c r="C687" s="358" t="s">
        <v>116</v>
      </c>
      <c r="D687" s="358" t="s">
        <v>116</v>
      </c>
      <c r="E687" s="358" t="s">
        <v>115</v>
      </c>
      <c r="F687" s="358" t="s">
        <v>115</v>
      </c>
      <c r="G687" s="358" t="s">
        <v>115</v>
      </c>
    </row>
    <row r="688" spans="1:7">
      <c r="A688" s="356" t="s">
        <v>2897</v>
      </c>
      <c r="B688" s="357" t="s">
        <v>2898</v>
      </c>
      <c r="C688" s="358" t="s">
        <v>116</v>
      </c>
      <c r="D688" s="358" t="s">
        <v>116</v>
      </c>
      <c r="E688" s="358" t="s">
        <v>116</v>
      </c>
      <c r="F688" s="358" t="s">
        <v>116</v>
      </c>
      <c r="G688" s="358" t="s">
        <v>116</v>
      </c>
    </row>
    <row r="689" spans="1:7">
      <c r="A689" s="356" t="s">
        <v>2897</v>
      </c>
      <c r="B689" s="357" t="s">
        <v>2899</v>
      </c>
      <c r="C689" s="358" t="s">
        <v>116</v>
      </c>
      <c r="D689" s="358" t="s">
        <v>116</v>
      </c>
      <c r="E689" s="358" t="s">
        <v>116</v>
      </c>
      <c r="F689" s="358" t="s">
        <v>116</v>
      </c>
      <c r="G689" s="358" t="s">
        <v>116</v>
      </c>
    </row>
    <row r="690" spans="1:7">
      <c r="A690" s="356" t="s">
        <v>2900</v>
      </c>
      <c r="B690" s="357" t="s">
        <v>2901</v>
      </c>
      <c r="C690" s="358" t="s">
        <v>116</v>
      </c>
      <c r="D690" s="358" t="s">
        <v>116</v>
      </c>
      <c r="E690" s="358" t="s">
        <v>116</v>
      </c>
      <c r="F690" s="358" t="s">
        <v>116</v>
      </c>
      <c r="G690" s="358" t="s">
        <v>116</v>
      </c>
    </row>
    <row r="691" spans="1:7">
      <c r="A691" s="356" t="s">
        <v>2900</v>
      </c>
      <c r="B691" s="357" t="s">
        <v>2902</v>
      </c>
      <c r="C691" s="358" t="s">
        <v>116</v>
      </c>
      <c r="D691" s="358" t="s">
        <v>116</v>
      </c>
      <c r="E691" s="358" t="s">
        <v>116</v>
      </c>
      <c r="F691" s="358" t="s">
        <v>116</v>
      </c>
      <c r="G691" s="358" t="s">
        <v>116</v>
      </c>
    </row>
    <row r="692" spans="1:7">
      <c r="A692" s="356" t="s">
        <v>2900</v>
      </c>
      <c r="B692" s="357" t="s">
        <v>2903</v>
      </c>
      <c r="C692" s="358" t="s">
        <v>116</v>
      </c>
      <c r="D692" s="358" t="s">
        <v>116</v>
      </c>
      <c r="E692" s="358" t="s">
        <v>116</v>
      </c>
      <c r="F692" s="358" t="s">
        <v>116</v>
      </c>
      <c r="G692" s="358" t="s">
        <v>116</v>
      </c>
    </row>
    <row r="693" spans="1:7">
      <c r="A693" s="356" t="s">
        <v>2904</v>
      </c>
      <c r="B693" s="357" t="s">
        <v>2905</v>
      </c>
      <c r="C693" s="358" t="s">
        <v>116</v>
      </c>
      <c r="D693" s="358" t="s">
        <v>116</v>
      </c>
      <c r="E693" s="358" t="s">
        <v>115</v>
      </c>
      <c r="F693" s="358" t="s">
        <v>115</v>
      </c>
      <c r="G693" s="358" t="s">
        <v>115</v>
      </c>
    </row>
    <row r="694" spans="1:7">
      <c r="A694" s="356" t="s">
        <v>2906</v>
      </c>
      <c r="B694" s="357" t="s">
        <v>2907</v>
      </c>
      <c r="C694" s="358" t="s">
        <v>116</v>
      </c>
      <c r="D694" s="358" t="s">
        <v>116</v>
      </c>
      <c r="E694" s="358" t="s">
        <v>115</v>
      </c>
      <c r="F694" s="358" t="s">
        <v>115</v>
      </c>
      <c r="G694" s="358" t="s">
        <v>115</v>
      </c>
    </row>
    <row r="695" spans="1:7">
      <c r="A695" s="356" t="s">
        <v>2908</v>
      </c>
      <c r="B695" s="357" t="s">
        <v>2909</v>
      </c>
      <c r="C695" s="358" t="s">
        <v>116</v>
      </c>
      <c r="D695" s="358" t="s">
        <v>116</v>
      </c>
      <c r="E695" s="358" t="s">
        <v>115</v>
      </c>
      <c r="F695" s="358" t="s">
        <v>116</v>
      </c>
      <c r="G695" s="358" t="s">
        <v>116</v>
      </c>
    </row>
    <row r="696" spans="1:7">
      <c r="A696" s="356" t="s">
        <v>2910</v>
      </c>
      <c r="B696" s="357" t="s">
        <v>2911</v>
      </c>
      <c r="C696" s="358" t="s">
        <v>116</v>
      </c>
      <c r="D696" s="358" t="s">
        <v>116</v>
      </c>
      <c r="E696" s="358" t="s">
        <v>116</v>
      </c>
      <c r="F696" s="358" t="s">
        <v>116</v>
      </c>
      <c r="G696" s="358" t="s">
        <v>116</v>
      </c>
    </row>
    <row r="697" spans="1:7">
      <c r="A697" s="356" t="s">
        <v>2912</v>
      </c>
      <c r="B697" s="357" t="s">
        <v>2739</v>
      </c>
      <c r="C697" s="358" t="s">
        <v>116</v>
      </c>
      <c r="D697" s="358" t="s">
        <v>116</v>
      </c>
      <c r="E697" s="358" t="s">
        <v>116</v>
      </c>
      <c r="F697" s="358" t="s">
        <v>116</v>
      </c>
      <c r="G697" s="358" t="s">
        <v>116</v>
      </c>
    </row>
    <row r="698" spans="1:7">
      <c r="A698" s="356" t="s">
        <v>2913</v>
      </c>
      <c r="B698" s="357" t="s">
        <v>2914</v>
      </c>
      <c r="C698" s="358" t="s">
        <v>116</v>
      </c>
      <c r="D698" s="358" t="s">
        <v>116</v>
      </c>
      <c r="E698" s="358" t="s">
        <v>116</v>
      </c>
      <c r="F698" s="358" t="s">
        <v>116</v>
      </c>
      <c r="G698" s="358" t="s">
        <v>116</v>
      </c>
    </row>
    <row r="699" spans="1:7">
      <c r="A699" s="356" t="s">
        <v>2915</v>
      </c>
      <c r="B699" s="357" t="s">
        <v>2916</v>
      </c>
      <c r="C699" s="358" t="s">
        <v>116</v>
      </c>
      <c r="D699" s="358" t="s">
        <v>116</v>
      </c>
      <c r="E699" s="358" t="s">
        <v>116</v>
      </c>
      <c r="F699" s="358" t="s">
        <v>116</v>
      </c>
      <c r="G699" s="358" t="s">
        <v>116</v>
      </c>
    </row>
    <row r="700" spans="1:7">
      <c r="A700" s="356" t="s">
        <v>2917</v>
      </c>
      <c r="B700" s="357" t="s">
        <v>2918</v>
      </c>
      <c r="C700" s="358" t="s">
        <v>116</v>
      </c>
      <c r="D700" s="358" t="s">
        <v>116</v>
      </c>
      <c r="E700" s="358" t="s">
        <v>116</v>
      </c>
      <c r="F700" s="358" t="s">
        <v>115</v>
      </c>
      <c r="G700" s="358" t="s">
        <v>115</v>
      </c>
    </row>
    <row r="701" spans="1:7">
      <c r="A701" s="356" t="s">
        <v>2919</v>
      </c>
      <c r="B701" s="357" t="s">
        <v>2920</v>
      </c>
      <c r="C701" s="358" t="s">
        <v>116</v>
      </c>
      <c r="D701" s="358" t="s">
        <v>116</v>
      </c>
      <c r="E701" s="358" t="s">
        <v>116</v>
      </c>
      <c r="F701" s="358" t="s">
        <v>116</v>
      </c>
      <c r="G701" s="358" t="s">
        <v>116</v>
      </c>
    </row>
    <row r="702" spans="1:7">
      <c r="A702" s="356" t="s">
        <v>2921</v>
      </c>
      <c r="B702" s="357" t="s">
        <v>2922</v>
      </c>
      <c r="C702" s="358" t="s">
        <v>116</v>
      </c>
      <c r="D702" s="358" t="s">
        <v>116</v>
      </c>
      <c r="E702" s="358" t="s">
        <v>115</v>
      </c>
      <c r="F702" s="358" t="s">
        <v>115</v>
      </c>
      <c r="G702" s="358" t="s">
        <v>115</v>
      </c>
    </row>
    <row r="703" spans="1:7">
      <c r="A703" s="356" t="s">
        <v>2923</v>
      </c>
      <c r="B703" s="357" t="s">
        <v>2924</v>
      </c>
      <c r="C703" s="358" t="s">
        <v>116</v>
      </c>
      <c r="D703" s="358" t="s">
        <v>116</v>
      </c>
      <c r="E703" s="358" t="s">
        <v>116</v>
      </c>
      <c r="F703" s="358" t="s">
        <v>115</v>
      </c>
      <c r="G703" s="358" t="s">
        <v>115</v>
      </c>
    </row>
    <row r="704" spans="1:7">
      <c r="A704" s="356" t="s">
        <v>2925</v>
      </c>
      <c r="B704" s="357" t="s">
        <v>2926</v>
      </c>
      <c r="C704" s="358" t="s">
        <v>116</v>
      </c>
      <c r="D704" s="358" t="s">
        <v>116</v>
      </c>
      <c r="E704" s="358" t="s">
        <v>115</v>
      </c>
      <c r="F704" s="358" t="s">
        <v>115</v>
      </c>
      <c r="G704" s="358" t="s">
        <v>115</v>
      </c>
    </row>
    <row r="705" spans="1:7">
      <c r="A705" s="356" t="s">
        <v>2927</v>
      </c>
      <c r="B705" s="357" t="s">
        <v>2928</v>
      </c>
      <c r="C705" s="358" t="s">
        <v>1947</v>
      </c>
      <c r="D705" s="358" t="s">
        <v>1947</v>
      </c>
      <c r="E705" s="358" t="s">
        <v>1947</v>
      </c>
      <c r="F705" s="358" t="s">
        <v>1947</v>
      </c>
      <c r="G705" s="358" t="s">
        <v>1947</v>
      </c>
    </row>
    <row r="706" spans="1:7">
      <c r="A706" s="356" t="s">
        <v>2929</v>
      </c>
      <c r="B706" s="357" t="s">
        <v>1369</v>
      </c>
      <c r="C706" s="358" t="s">
        <v>115</v>
      </c>
      <c r="D706" s="358" t="s">
        <v>116</v>
      </c>
      <c r="E706" s="358" t="s">
        <v>115</v>
      </c>
      <c r="F706" s="358" t="s">
        <v>115</v>
      </c>
      <c r="G706" s="358" t="s">
        <v>116</v>
      </c>
    </row>
    <row r="707" spans="1:7">
      <c r="A707" s="356" t="s">
        <v>2930</v>
      </c>
      <c r="B707" s="357" t="s">
        <v>2931</v>
      </c>
      <c r="C707" s="358" t="s">
        <v>116</v>
      </c>
      <c r="D707" s="358" t="s">
        <v>116</v>
      </c>
      <c r="E707" s="358" t="s">
        <v>115</v>
      </c>
      <c r="F707" s="358" t="s">
        <v>115</v>
      </c>
      <c r="G707" s="358" t="s">
        <v>115</v>
      </c>
    </row>
    <row r="708" spans="1:7">
      <c r="A708" s="356" t="s">
        <v>2932</v>
      </c>
      <c r="B708" s="357" t="s">
        <v>2933</v>
      </c>
      <c r="C708" s="358" t="s">
        <v>1947</v>
      </c>
      <c r="D708" s="358" t="s">
        <v>1947</v>
      </c>
      <c r="E708" s="358" t="s">
        <v>1947</v>
      </c>
      <c r="F708" s="358" t="s">
        <v>1947</v>
      </c>
      <c r="G708" s="358" t="s">
        <v>1947</v>
      </c>
    </row>
    <row r="709" spans="1:7">
      <c r="A709" s="356" t="s">
        <v>2934</v>
      </c>
      <c r="B709" s="357" t="s">
        <v>2935</v>
      </c>
      <c r="C709" s="358" t="s">
        <v>116</v>
      </c>
      <c r="D709" s="358" t="s">
        <v>116</v>
      </c>
      <c r="E709" s="358" t="s">
        <v>115</v>
      </c>
      <c r="F709" s="358" t="s">
        <v>115</v>
      </c>
      <c r="G709" s="358" t="s">
        <v>115</v>
      </c>
    </row>
    <row r="710" spans="1:7">
      <c r="A710" s="356" t="s">
        <v>2936</v>
      </c>
      <c r="B710" s="357" t="s">
        <v>2937</v>
      </c>
      <c r="C710" s="358" t="s">
        <v>116</v>
      </c>
      <c r="D710" s="358" t="s">
        <v>116</v>
      </c>
      <c r="E710" s="358" t="s">
        <v>116</v>
      </c>
      <c r="F710" s="358" t="s">
        <v>116</v>
      </c>
      <c r="G710" s="358" t="s">
        <v>116</v>
      </c>
    </row>
    <row r="711" spans="1:7">
      <c r="A711" s="356" t="s">
        <v>2938</v>
      </c>
      <c r="B711" s="357" t="s">
        <v>2939</v>
      </c>
      <c r="C711" s="358" t="s">
        <v>116</v>
      </c>
      <c r="D711" s="358" t="s">
        <v>116</v>
      </c>
      <c r="E711" s="358" t="s">
        <v>116</v>
      </c>
      <c r="F711" s="358" t="s">
        <v>116</v>
      </c>
      <c r="G711" s="358" t="s">
        <v>116</v>
      </c>
    </row>
    <row r="712" spans="1:7">
      <c r="A712" s="356" t="s">
        <v>2940</v>
      </c>
      <c r="B712" s="357" t="s">
        <v>2941</v>
      </c>
      <c r="C712" s="358" t="s">
        <v>116</v>
      </c>
      <c r="D712" s="358" t="s">
        <v>116</v>
      </c>
      <c r="E712" s="358" t="s">
        <v>116</v>
      </c>
      <c r="F712" s="358" t="s">
        <v>116</v>
      </c>
      <c r="G712" s="358" t="s">
        <v>116</v>
      </c>
    </row>
    <row r="713" spans="1:7">
      <c r="A713" s="356" t="s">
        <v>2942</v>
      </c>
      <c r="B713" s="357" t="s">
        <v>2943</v>
      </c>
      <c r="C713" s="358" t="s">
        <v>116</v>
      </c>
      <c r="D713" s="358" t="s">
        <v>116</v>
      </c>
      <c r="E713" s="358" t="s">
        <v>116</v>
      </c>
      <c r="F713" s="358" t="s">
        <v>116</v>
      </c>
      <c r="G713" s="358" t="s">
        <v>116</v>
      </c>
    </row>
    <row r="714" spans="1:7">
      <c r="A714" s="356" t="s">
        <v>2944</v>
      </c>
      <c r="B714" s="357" t="s">
        <v>2945</v>
      </c>
      <c r="C714" s="358" t="s">
        <v>116</v>
      </c>
      <c r="D714" s="358" t="s">
        <v>116</v>
      </c>
      <c r="E714" s="358" t="s">
        <v>116</v>
      </c>
      <c r="F714" s="358" t="s">
        <v>116</v>
      </c>
      <c r="G714" s="358" t="s">
        <v>116</v>
      </c>
    </row>
    <row r="715" spans="1:7">
      <c r="A715" s="356" t="s">
        <v>2946</v>
      </c>
      <c r="B715" s="357" t="s">
        <v>2947</v>
      </c>
      <c r="C715" s="358" t="s">
        <v>116</v>
      </c>
      <c r="D715" s="358" t="s">
        <v>116</v>
      </c>
      <c r="E715" s="358" t="s">
        <v>116</v>
      </c>
      <c r="F715" s="358" t="s">
        <v>116</v>
      </c>
      <c r="G715" s="358" t="s">
        <v>116</v>
      </c>
    </row>
    <row r="716" spans="1:7">
      <c r="A716" s="356" t="s">
        <v>2948</v>
      </c>
      <c r="B716" s="357" t="s">
        <v>2949</v>
      </c>
      <c r="C716" s="358" t="s">
        <v>116</v>
      </c>
      <c r="D716" s="358" t="s">
        <v>116</v>
      </c>
      <c r="E716" s="358" t="s">
        <v>116</v>
      </c>
      <c r="F716" s="358" t="s">
        <v>116</v>
      </c>
      <c r="G716" s="358" t="s">
        <v>116</v>
      </c>
    </row>
    <row r="717" spans="1:7">
      <c r="A717" s="356" t="s">
        <v>2950</v>
      </c>
      <c r="B717" s="357" t="s">
        <v>2951</v>
      </c>
      <c r="C717" s="358" t="s">
        <v>116</v>
      </c>
      <c r="D717" s="358" t="s">
        <v>116</v>
      </c>
      <c r="E717" s="358" t="s">
        <v>116</v>
      </c>
      <c r="F717" s="358" t="s">
        <v>116</v>
      </c>
      <c r="G717" s="358" t="s">
        <v>116</v>
      </c>
    </row>
    <row r="718" spans="1:7">
      <c r="A718" s="356" t="s">
        <v>2952</v>
      </c>
      <c r="B718" s="357" t="s">
        <v>2953</v>
      </c>
      <c r="C718" s="358" t="s">
        <v>116</v>
      </c>
      <c r="D718" s="358" t="s">
        <v>116</v>
      </c>
      <c r="E718" s="358" t="s">
        <v>116</v>
      </c>
      <c r="F718" s="358" t="s">
        <v>116</v>
      </c>
      <c r="G718" s="358" t="s">
        <v>116</v>
      </c>
    </row>
    <row r="719" spans="1:7">
      <c r="A719" s="356" t="s">
        <v>2954</v>
      </c>
      <c r="B719" s="357" t="s">
        <v>2955</v>
      </c>
      <c r="C719" s="358" t="s">
        <v>116</v>
      </c>
      <c r="D719" s="358" t="s">
        <v>116</v>
      </c>
      <c r="E719" s="358" t="s">
        <v>116</v>
      </c>
      <c r="F719" s="358" t="s">
        <v>116</v>
      </c>
      <c r="G719" s="358" t="s">
        <v>116</v>
      </c>
    </row>
    <row r="720" spans="1:7">
      <c r="A720" s="356" t="s">
        <v>2956</v>
      </c>
      <c r="B720" s="357" t="s">
        <v>2957</v>
      </c>
      <c r="C720" s="358" t="s">
        <v>116</v>
      </c>
      <c r="D720" s="358" t="s">
        <v>116</v>
      </c>
      <c r="E720" s="358" t="s">
        <v>116</v>
      </c>
      <c r="F720" s="358" t="s">
        <v>116</v>
      </c>
      <c r="G720" s="358" t="s">
        <v>116</v>
      </c>
    </row>
    <row r="721" spans="1:7">
      <c r="A721" s="356" t="s">
        <v>2958</v>
      </c>
      <c r="B721" s="357" t="s">
        <v>2959</v>
      </c>
      <c r="C721" s="358" t="s">
        <v>116</v>
      </c>
      <c r="D721" s="358" t="s">
        <v>116</v>
      </c>
      <c r="E721" s="358" t="s">
        <v>116</v>
      </c>
      <c r="F721" s="358" t="s">
        <v>116</v>
      </c>
      <c r="G721" s="358" t="s">
        <v>116</v>
      </c>
    </row>
    <row r="722" spans="1:7">
      <c r="A722" s="356" t="s">
        <v>2960</v>
      </c>
      <c r="B722" s="357" t="s">
        <v>2961</v>
      </c>
      <c r="C722" s="358" t="s">
        <v>116</v>
      </c>
      <c r="D722" s="358" t="s">
        <v>116</v>
      </c>
      <c r="E722" s="358" t="s">
        <v>116</v>
      </c>
      <c r="F722" s="358" t="s">
        <v>116</v>
      </c>
      <c r="G722" s="358" t="s">
        <v>116</v>
      </c>
    </row>
    <row r="723" spans="1:7">
      <c r="A723" s="356" t="s">
        <v>2962</v>
      </c>
      <c r="B723" s="357" t="s">
        <v>2963</v>
      </c>
      <c r="C723" s="358" t="s">
        <v>116</v>
      </c>
      <c r="D723" s="358" t="s">
        <v>116</v>
      </c>
      <c r="E723" s="358" t="s">
        <v>116</v>
      </c>
      <c r="F723" s="358" t="s">
        <v>116</v>
      </c>
      <c r="G723" s="358" t="s">
        <v>116</v>
      </c>
    </row>
    <row r="724" spans="1:7">
      <c r="A724" s="356" t="s">
        <v>2964</v>
      </c>
      <c r="B724" s="357" t="s">
        <v>2965</v>
      </c>
      <c r="C724" s="358" t="s">
        <v>116</v>
      </c>
      <c r="D724" s="358" t="s">
        <v>116</v>
      </c>
      <c r="E724" s="358" t="s">
        <v>116</v>
      </c>
      <c r="F724" s="358" t="s">
        <v>116</v>
      </c>
      <c r="G724" s="358" t="s">
        <v>116</v>
      </c>
    </row>
    <row r="725" spans="1:7">
      <c r="A725" s="356" t="s">
        <v>2966</v>
      </c>
      <c r="B725" s="357" t="s">
        <v>2967</v>
      </c>
      <c r="C725" s="358" t="s">
        <v>116</v>
      </c>
      <c r="D725" s="358" t="s">
        <v>116</v>
      </c>
      <c r="E725" s="358" t="s">
        <v>116</v>
      </c>
      <c r="F725" s="358" t="s">
        <v>116</v>
      </c>
      <c r="G725" s="358" t="s">
        <v>116</v>
      </c>
    </row>
    <row r="726" spans="1:7">
      <c r="A726" s="356" t="s">
        <v>2968</v>
      </c>
      <c r="B726" s="357" t="s">
        <v>2969</v>
      </c>
      <c r="C726" s="358" t="s">
        <v>116</v>
      </c>
      <c r="D726" s="358" t="s">
        <v>116</v>
      </c>
      <c r="E726" s="358" t="s">
        <v>116</v>
      </c>
      <c r="F726" s="358" t="s">
        <v>116</v>
      </c>
      <c r="G726" s="358" t="s">
        <v>116</v>
      </c>
    </row>
    <row r="727" spans="1:7">
      <c r="A727" s="356" t="s">
        <v>2970</v>
      </c>
      <c r="B727" s="357" t="s">
        <v>2971</v>
      </c>
      <c r="C727" s="358" t="s">
        <v>116</v>
      </c>
      <c r="D727" s="358" t="s">
        <v>116</v>
      </c>
      <c r="E727" s="358" t="s">
        <v>116</v>
      </c>
      <c r="F727" s="358" t="s">
        <v>116</v>
      </c>
      <c r="G727" s="358" t="s">
        <v>116</v>
      </c>
    </row>
    <row r="728" spans="1:7">
      <c r="A728" s="356" t="s">
        <v>2972</v>
      </c>
      <c r="B728" s="357" t="s">
        <v>2973</v>
      </c>
      <c r="C728" s="358" t="s">
        <v>116</v>
      </c>
      <c r="D728" s="358" t="s">
        <v>116</v>
      </c>
      <c r="E728" s="358" t="s">
        <v>116</v>
      </c>
      <c r="F728" s="358" t="s">
        <v>116</v>
      </c>
      <c r="G728" s="358" t="s">
        <v>116</v>
      </c>
    </row>
    <row r="729" spans="1:7">
      <c r="A729" s="356" t="s">
        <v>2974</v>
      </c>
      <c r="B729" s="357" t="s">
        <v>2975</v>
      </c>
      <c r="C729" s="358" t="s">
        <v>116</v>
      </c>
      <c r="D729" s="358" t="s">
        <v>116</v>
      </c>
      <c r="E729" s="358" t="s">
        <v>116</v>
      </c>
      <c r="F729" s="358" t="s">
        <v>116</v>
      </c>
      <c r="G729" s="358" t="s">
        <v>116</v>
      </c>
    </row>
    <row r="730" spans="1:7">
      <c r="A730" s="356" t="s">
        <v>2976</v>
      </c>
      <c r="B730" s="357" t="s">
        <v>2977</v>
      </c>
      <c r="C730" s="358" t="s">
        <v>116</v>
      </c>
      <c r="D730" s="358" t="s">
        <v>116</v>
      </c>
      <c r="E730" s="358" t="s">
        <v>116</v>
      </c>
      <c r="F730" s="358" t="s">
        <v>115</v>
      </c>
      <c r="G730" s="358" t="s">
        <v>115</v>
      </c>
    </row>
    <row r="731" spans="1:7">
      <c r="A731" s="356" t="s">
        <v>2978</v>
      </c>
      <c r="B731" s="357" t="s">
        <v>2979</v>
      </c>
      <c r="C731" s="358" t="s">
        <v>116</v>
      </c>
      <c r="D731" s="358" t="s">
        <v>116</v>
      </c>
      <c r="E731" s="358" t="s">
        <v>116</v>
      </c>
      <c r="F731" s="358" t="s">
        <v>115</v>
      </c>
      <c r="G731" s="358" t="s">
        <v>115</v>
      </c>
    </row>
    <row r="732" spans="1:7">
      <c r="A732" s="356" t="s">
        <v>2980</v>
      </c>
      <c r="B732" s="357" t="s">
        <v>2981</v>
      </c>
      <c r="C732" s="358" t="s">
        <v>116</v>
      </c>
      <c r="D732" s="358" t="s">
        <v>116</v>
      </c>
      <c r="E732" s="358" t="s">
        <v>116</v>
      </c>
      <c r="F732" s="358" t="s">
        <v>116</v>
      </c>
      <c r="G732" s="358" t="s">
        <v>116</v>
      </c>
    </row>
    <row r="733" spans="1:7">
      <c r="A733" s="356" t="s">
        <v>2982</v>
      </c>
      <c r="B733" s="357" t="s">
        <v>2983</v>
      </c>
      <c r="C733" s="358" t="s">
        <v>116</v>
      </c>
      <c r="D733" s="358" t="s">
        <v>116</v>
      </c>
      <c r="E733" s="358" t="s">
        <v>116</v>
      </c>
      <c r="F733" s="358" t="s">
        <v>115</v>
      </c>
      <c r="G733" s="358" t="s">
        <v>115</v>
      </c>
    </row>
    <row r="734" spans="1:7">
      <c r="A734" s="356" t="s">
        <v>2984</v>
      </c>
      <c r="B734" s="357" t="s">
        <v>2985</v>
      </c>
      <c r="C734" s="358" t="s">
        <v>116</v>
      </c>
      <c r="D734" s="358" t="s">
        <v>116</v>
      </c>
      <c r="E734" s="358" t="s">
        <v>116</v>
      </c>
      <c r="F734" s="358" t="s">
        <v>115</v>
      </c>
      <c r="G734" s="358" t="s">
        <v>115</v>
      </c>
    </row>
    <row r="735" spans="1:7">
      <c r="A735" s="356" t="s">
        <v>2986</v>
      </c>
      <c r="B735" s="357" t="s">
        <v>2987</v>
      </c>
      <c r="C735" s="358" t="s">
        <v>116</v>
      </c>
      <c r="D735" s="358" t="s">
        <v>116</v>
      </c>
      <c r="E735" s="358" t="s">
        <v>116</v>
      </c>
      <c r="F735" s="358" t="s">
        <v>115</v>
      </c>
      <c r="G735" s="358" t="s">
        <v>115</v>
      </c>
    </row>
    <row r="736" spans="1:7">
      <c r="A736" s="356" t="s">
        <v>2988</v>
      </c>
      <c r="B736" s="357" t="s">
        <v>2989</v>
      </c>
      <c r="C736" s="358" t="s">
        <v>116</v>
      </c>
      <c r="D736" s="358" t="s">
        <v>116</v>
      </c>
      <c r="E736" s="358" t="s">
        <v>116</v>
      </c>
      <c r="F736" s="358" t="s">
        <v>116</v>
      </c>
      <c r="G736" s="358" t="s">
        <v>116</v>
      </c>
    </row>
    <row r="737" spans="1:7">
      <c r="A737" s="356" t="s">
        <v>2990</v>
      </c>
      <c r="B737" s="357" t="s">
        <v>2991</v>
      </c>
      <c r="C737" s="358" t="s">
        <v>116</v>
      </c>
      <c r="D737" s="358" t="s">
        <v>116</v>
      </c>
      <c r="E737" s="358" t="s">
        <v>116</v>
      </c>
      <c r="F737" s="358" t="s">
        <v>116</v>
      </c>
      <c r="G737" s="358" t="s">
        <v>116</v>
      </c>
    </row>
    <row r="738" spans="1:7">
      <c r="A738" s="356" t="s">
        <v>2992</v>
      </c>
      <c r="B738" s="357" t="s">
        <v>2993</v>
      </c>
      <c r="C738" s="358" t="s">
        <v>116</v>
      </c>
      <c r="D738" s="358" t="s">
        <v>116</v>
      </c>
      <c r="E738" s="358" t="s">
        <v>116</v>
      </c>
      <c r="F738" s="358" t="s">
        <v>116</v>
      </c>
      <c r="G738" s="358" t="s">
        <v>116</v>
      </c>
    </row>
    <row r="739" spans="1:7">
      <c r="A739" s="356" t="s">
        <v>2994</v>
      </c>
      <c r="B739" s="357" t="s">
        <v>2995</v>
      </c>
      <c r="C739" s="358" t="s">
        <v>116</v>
      </c>
      <c r="D739" s="358" t="s">
        <v>116</v>
      </c>
      <c r="E739" s="358" t="s">
        <v>116</v>
      </c>
      <c r="F739" s="358" t="s">
        <v>115</v>
      </c>
      <c r="G739" s="358" t="s">
        <v>115</v>
      </c>
    </row>
    <row r="740" spans="1:7">
      <c r="A740" s="356" t="s">
        <v>2996</v>
      </c>
      <c r="B740" s="357" t="s">
        <v>2997</v>
      </c>
      <c r="C740" s="358" t="s">
        <v>116</v>
      </c>
      <c r="D740" s="358" t="s">
        <v>116</v>
      </c>
      <c r="E740" s="358" t="s">
        <v>116</v>
      </c>
      <c r="F740" s="358" t="s">
        <v>116</v>
      </c>
      <c r="G740" s="358" t="s">
        <v>116</v>
      </c>
    </row>
    <row r="741" spans="1:7">
      <c r="A741" s="356" t="s">
        <v>2998</v>
      </c>
      <c r="B741" s="357" t="s">
        <v>2999</v>
      </c>
      <c r="C741" s="358" t="s">
        <v>116</v>
      </c>
      <c r="D741" s="358" t="s">
        <v>116</v>
      </c>
      <c r="E741" s="358" t="s">
        <v>116</v>
      </c>
      <c r="F741" s="358" t="s">
        <v>116</v>
      </c>
      <c r="G741" s="358" t="s">
        <v>116</v>
      </c>
    </row>
    <row r="742" spans="1:7">
      <c r="A742" s="356" t="s">
        <v>3000</v>
      </c>
      <c r="B742" s="357" t="s">
        <v>3001</v>
      </c>
      <c r="C742" s="358" t="s">
        <v>116</v>
      </c>
      <c r="D742" s="358" t="s">
        <v>116</v>
      </c>
      <c r="E742" s="358" t="s">
        <v>116</v>
      </c>
      <c r="F742" s="358" t="s">
        <v>116</v>
      </c>
      <c r="G742" s="358" t="s">
        <v>116</v>
      </c>
    </row>
    <row r="743" spans="1:7">
      <c r="A743" s="356" t="s">
        <v>3002</v>
      </c>
      <c r="B743" s="357" t="s">
        <v>3003</v>
      </c>
      <c r="C743" s="358" t="s">
        <v>116</v>
      </c>
      <c r="D743" s="358" t="s">
        <v>116</v>
      </c>
      <c r="E743" s="358" t="s">
        <v>116</v>
      </c>
      <c r="F743" s="358" t="s">
        <v>116</v>
      </c>
      <c r="G743" s="358" t="s">
        <v>116</v>
      </c>
    </row>
    <row r="744" spans="1:7">
      <c r="A744" s="356" t="s">
        <v>3004</v>
      </c>
      <c r="B744" s="357" t="s">
        <v>3005</v>
      </c>
      <c r="C744" s="358" t="s">
        <v>115</v>
      </c>
      <c r="D744" s="358" t="s">
        <v>116</v>
      </c>
      <c r="E744" s="358" t="s">
        <v>115</v>
      </c>
      <c r="F744" s="358" t="s">
        <v>115</v>
      </c>
      <c r="G744" s="358" t="s">
        <v>115</v>
      </c>
    </row>
    <row r="745" spans="1:7">
      <c r="A745" s="356" t="s">
        <v>3006</v>
      </c>
      <c r="B745" s="357" t="s">
        <v>3007</v>
      </c>
      <c r="C745" s="358" t="s">
        <v>116</v>
      </c>
      <c r="D745" s="358" t="s">
        <v>116</v>
      </c>
      <c r="E745" s="358" t="s">
        <v>116</v>
      </c>
      <c r="F745" s="358" t="s">
        <v>116</v>
      </c>
      <c r="G745" s="358" t="s">
        <v>116</v>
      </c>
    </row>
    <row r="746" spans="1:7">
      <c r="A746" s="356" t="s">
        <v>3008</v>
      </c>
      <c r="B746" s="357" t="s">
        <v>3009</v>
      </c>
      <c r="C746" s="358" t="s">
        <v>116</v>
      </c>
      <c r="D746" s="358" t="s">
        <v>116</v>
      </c>
      <c r="E746" s="358" t="s">
        <v>116</v>
      </c>
      <c r="F746" s="358" t="s">
        <v>116</v>
      </c>
      <c r="G746" s="358" t="s">
        <v>116</v>
      </c>
    </row>
    <row r="747" spans="1:7">
      <c r="A747" s="356" t="s">
        <v>3010</v>
      </c>
      <c r="B747" s="357" t="s">
        <v>3011</v>
      </c>
      <c r="C747" s="358" t="s">
        <v>116</v>
      </c>
      <c r="D747" s="358" t="s">
        <v>116</v>
      </c>
      <c r="E747" s="358" t="s">
        <v>116</v>
      </c>
      <c r="F747" s="358" t="s">
        <v>116</v>
      </c>
      <c r="G747" s="358" t="s">
        <v>116</v>
      </c>
    </row>
    <row r="748" spans="1:7">
      <c r="A748" s="356" t="s">
        <v>3012</v>
      </c>
      <c r="B748" s="357" t="s">
        <v>3013</v>
      </c>
      <c r="C748" s="358" t="s">
        <v>116</v>
      </c>
      <c r="D748" s="358" t="s">
        <v>116</v>
      </c>
      <c r="E748" s="358" t="s">
        <v>116</v>
      </c>
      <c r="F748" s="358" t="s">
        <v>116</v>
      </c>
      <c r="G748" s="358" t="s">
        <v>116</v>
      </c>
    </row>
    <row r="749" spans="1:7">
      <c r="A749" s="356" t="s">
        <v>3014</v>
      </c>
      <c r="B749" s="357" t="s">
        <v>18</v>
      </c>
      <c r="C749" s="358" t="s">
        <v>116</v>
      </c>
      <c r="D749" s="358" t="s">
        <v>116</v>
      </c>
      <c r="E749" s="358" t="s">
        <v>116</v>
      </c>
      <c r="F749" s="358" t="s">
        <v>116</v>
      </c>
      <c r="G749" s="358" t="s">
        <v>116</v>
      </c>
    </row>
    <row r="750" spans="1:7">
      <c r="A750" s="356" t="s">
        <v>3015</v>
      </c>
      <c r="B750" s="357" t="s">
        <v>1212</v>
      </c>
      <c r="C750" s="358" t="s">
        <v>116</v>
      </c>
      <c r="D750" s="358" t="s">
        <v>116</v>
      </c>
      <c r="E750" s="358" t="s">
        <v>116</v>
      </c>
      <c r="F750" s="358" t="s">
        <v>116</v>
      </c>
      <c r="G750" s="358" t="s">
        <v>116</v>
      </c>
    </row>
    <row r="751" spans="1:7">
      <c r="A751" s="356" t="s">
        <v>3016</v>
      </c>
      <c r="B751" s="357" t="s">
        <v>3017</v>
      </c>
      <c r="C751" s="358" t="s">
        <v>116</v>
      </c>
      <c r="D751" s="358" t="s">
        <v>116</v>
      </c>
      <c r="E751" s="358" t="s">
        <v>116</v>
      </c>
      <c r="F751" s="358" t="s">
        <v>116</v>
      </c>
      <c r="G751" s="358" t="s">
        <v>116</v>
      </c>
    </row>
    <row r="752" spans="1:7">
      <c r="A752" s="356" t="s">
        <v>3018</v>
      </c>
      <c r="B752" s="357" t="s">
        <v>3019</v>
      </c>
      <c r="C752" s="358" t="s">
        <v>116</v>
      </c>
      <c r="D752" s="358" t="s">
        <v>116</v>
      </c>
      <c r="E752" s="358" t="s">
        <v>115</v>
      </c>
      <c r="F752" s="358" t="s">
        <v>115</v>
      </c>
      <c r="G752" s="358" t="s">
        <v>115</v>
      </c>
    </row>
    <row r="753" spans="1:7">
      <c r="A753" s="356" t="s">
        <v>3020</v>
      </c>
      <c r="B753" s="357" t="s">
        <v>3021</v>
      </c>
      <c r="C753" s="358" t="s">
        <v>116</v>
      </c>
      <c r="D753" s="358" t="s">
        <v>116</v>
      </c>
      <c r="E753" s="358" t="s">
        <v>116</v>
      </c>
      <c r="F753" s="358" t="s">
        <v>116</v>
      </c>
      <c r="G753" s="358" t="s">
        <v>116</v>
      </c>
    </row>
    <row r="754" spans="1:7">
      <c r="A754" s="356" t="s">
        <v>3022</v>
      </c>
      <c r="B754" s="357" t="s">
        <v>3023</v>
      </c>
      <c r="C754" s="358" t="s">
        <v>116</v>
      </c>
      <c r="D754" s="358" t="s">
        <v>116</v>
      </c>
      <c r="E754" s="358" t="s">
        <v>116</v>
      </c>
      <c r="F754" s="358" t="s">
        <v>116</v>
      </c>
      <c r="G754" s="358" t="s">
        <v>116</v>
      </c>
    </row>
    <row r="755" spans="1:7">
      <c r="A755" s="356" t="s">
        <v>3024</v>
      </c>
      <c r="B755" s="357" t="s">
        <v>3025</v>
      </c>
      <c r="C755" s="358" t="s">
        <v>116</v>
      </c>
      <c r="D755" s="358" t="s">
        <v>116</v>
      </c>
      <c r="E755" s="358" t="s">
        <v>116</v>
      </c>
      <c r="F755" s="358" t="s">
        <v>116</v>
      </c>
      <c r="G755" s="358" t="s">
        <v>116</v>
      </c>
    </row>
    <row r="756" spans="1:7">
      <c r="A756" s="356" t="s">
        <v>3026</v>
      </c>
      <c r="B756" s="357" t="s">
        <v>3027</v>
      </c>
      <c r="C756" s="358" t="s">
        <v>116</v>
      </c>
      <c r="D756" s="358" t="s">
        <v>116</v>
      </c>
      <c r="E756" s="358" t="s">
        <v>116</v>
      </c>
      <c r="F756" s="358" t="s">
        <v>116</v>
      </c>
      <c r="G756" s="358" t="s">
        <v>116</v>
      </c>
    </row>
    <row r="757" spans="1:7">
      <c r="A757" s="356" t="s">
        <v>3028</v>
      </c>
      <c r="B757" s="357" t="s">
        <v>1947</v>
      </c>
      <c r="C757" s="358" t="s">
        <v>1947</v>
      </c>
      <c r="D757" s="358" t="s">
        <v>1947</v>
      </c>
      <c r="E757" s="358" t="s">
        <v>1947</v>
      </c>
      <c r="F757" s="358" t="s">
        <v>1947</v>
      </c>
      <c r="G757" s="358" t="s">
        <v>1947</v>
      </c>
    </row>
    <row r="758" spans="1:7">
      <c r="A758" s="356" t="s">
        <v>3029</v>
      </c>
      <c r="B758" s="357" t="s">
        <v>3030</v>
      </c>
      <c r="C758" s="358" t="s">
        <v>116</v>
      </c>
      <c r="D758" s="358" t="s">
        <v>116</v>
      </c>
      <c r="E758" s="358" t="s">
        <v>116</v>
      </c>
      <c r="F758" s="358" t="s">
        <v>116</v>
      </c>
      <c r="G758" s="358" t="s">
        <v>116</v>
      </c>
    </row>
    <row r="759" spans="1:7">
      <c r="A759" s="356" t="s">
        <v>3031</v>
      </c>
      <c r="B759" s="357" t="s">
        <v>1947</v>
      </c>
      <c r="C759" s="358" t="s">
        <v>1947</v>
      </c>
      <c r="D759" s="358" t="s">
        <v>1947</v>
      </c>
      <c r="E759" s="358" t="s">
        <v>1947</v>
      </c>
      <c r="F759" s="358" t="s">
        <v>1947</v>
      </c>
      <c r="G759" s="358" t="s">
        <v>1947</v>
      </c>
    </row>
    <row r="760" spans="1:7">
      <c r="A760" s="356" t="s">
        <v>2569</v>
      </c>
      <c r="B760" s="357" t="s">
        <v>1947</v>
      </c>
      <c r="C760" s="358" t="s">
        <v>1947</v>
      </c>
      <c r="D760" s="358" t="s">
        <v>1947</v>
      </c>
      <c r="E760" s="358" t="s">
        <v>1947</v>
      </c>
      <c r="F760" s="358" t="s">
        <v>1947</v>
      </c>
      <c r="G760" s="358" t="s">
        <v>1947</v>
      </c>
    </row>
    <row r="761" spans="1:7">
      <c r="A761" s="356" t="s">
        <v>3032</v>
      </c>
      <c r="B761" s="357" t="s">
        <v>3033</v>
      </c>
      <c r="C761" s="358" t="s">
        <v>116</v>
      </c>
      <c r="D761" s="358" t="s">
        <v>116</v>
      </c>
      <c r="E761" s="358" t="s">
        <v>116</v>
      </c>
      <c r="F761" s="358" t="s">
        <v>116</v>
      </c>
      <c r="G761" s="358" t="s">
        <v>116</v>
      </c>
    </row>
    <row r="762" spans="1:7">
      <c r="A762" s="356" t="s">
        <v>3034</v>
      </c>
      <c r="B762" s="357" t="s">
        <v>1947</v>
      </c>
      <c r="C762" s="358" t="s">
        <v>1947</v>
      </c>
      <c r="D762" s="358" t="s">
        <v>1947</v>
      </c>
      <c r="E762" s="358" t="s">
        <v>1947</v>
      </c>
      <c r="F762" s="358" t="s">
        <v>1947</v>
      </c>
      <c r="G762" s="358" t="s">
        <v>1947</v>
      </c>
    </row>
    <row r="763" spans="1:7">
      <c r="A763" s="356" t="s">
        <v>3035</v>
      </c>
      <c r="B763" s="357" t="s">
        <v>3036</v>
      </c>
      <c r="C763" s="358" t="s">
        <v>1947</v>
      </c>
      <c r="D763" s="358" t="s">
        <v>1947</v>
      </c>
      <c r="E763" s="358" t="s">
        <v>1947</v>
      </c>
      <c r="F763" s="358" t="s">
        <v>1947</v>
      </c>
      <c r="G763" s="358" t="s">
        <v>1947</v>
      </c>
    </row>
    <row r="764" spans="1:7">
      <c r="A764" s="356" t="s">
        <v>3037</v>
      </c>
      <c r="B764" s="357" t="s">
        <v>3038</v>
      </c>
      <c r="C764" s="358" t="s">
        <v>1947</v>
      </c>
      <c r="D764" s="358" t="s">
        <v>1947</v>
      </c>
      <c r="E764" s="358" t="s">
        <v>1947</v>
      </c>
      <c r="F764" s="358" t="s">
        <v>1947</v>
      </c>
      <c r="G764" s="358" t="s">
        <v>1947</v>
      </c>
    </row>
    <row r="765" spans="1:7">
      <c r="A765" s="356" t="s">
        <v>3039</v>
      </c>
      <c r="B765" s="357" t="s">
        <v>3040</v>
      </c>
      <c r="C765" s="358" t="s">
        <v>1947</v>
      </c>
      <c r="D765" s="358" t="s">
        <v>1947</v>
      </c>
      <c r="E765" s="358" t="s">
        <v>1947</v>
      </c>
      <c r="F765" s="358" t="s">
        <v>1947</v>
      </c>
      <c r="G765" s="358" t="s">
        <v>1947</v>
      </c>
    </row>
    <row r="766" spans="1:7">
      <c r="A766" s="356" t="s">
        <v>3041</v>
      </c>
      <c r="B766" s="357" t="s">
        <v>3042</v>
      </c>
      <c r="C766" s="358" t="s">
        <v>1947</v>
      </c>
      <c r="D766" s="358" t="s">
        <v>1947</v>
      </c>
      <c r="E766" s="358" t="s">
        <v>1947</v>
      </c>
      <c r="F766" s="358" t="s">
        <v>1947</v>
      </c>
      <c r="G766" s="358" t="s">
        <v>1947</v>
      </c>
    </row>
    <row r="767" spans="1:7">
      <c r="A767" s="356" t="s">
        <v>3043</v>
      </c>
      <c r="B767" s="357" t="s">
        <v>3044</v>
      </c>
      <c r="C767" s="358" t="s">
        <v>1947</v>
      </c>
      <c r="D767" s="358" t="s">
        <v>1947</v>
      </c>
      <c r="E767" s="358" t="s">
        <v>1947</v>
      </c>
      <c r="F767" s="358" t="s">
        <v>1947</v>
      </c>
      <c r="G767" s="358" t="s">
        <v>1947</v>
      </c>
    </row>
    <row r="768" spans="1:7">
      <c r="A768" s="356" t="s">
        <v>3045</v>
      </c>
      <c r="B768" s="357" t="s">
        <v>3046</v>
      </c>
      <c r="C768" s="358" t="s">
        <v>1947</v>
      </c>
      <c r="D768" s="358" t="s">
        <v>1947</v>
      </c>
      <c r="E768" s="358" t="s">
        <v>1947</v>
      </c>
      <c r="F768" s="358" t="s">
        <v>1947</v>
      </c>
      <c r="G768" s="358" t="s">
        <v>1947</v>
      </c>
    </row>
    <row r="769" spans="1:7">
      <c r="A769" s="356" t="s">
        <v>3047</v>
      </c>
      <c r="B769" s="357" t="s">
        <v>1583</v>
      </c>
      <c r="C769" s="358" t="s">
        <v>1947</v>
      </c>
      <c r="D769" s="358" t="s">
        <v>1947</v>
      </c>
      <c r="E769" s="358" t="s">
        <v>1947</v>
      </c>
      <c r="F769" s="358" t="s">
        <v>1947</v>
      </c>
      <c r="G769" s="358" t="s">
        <v>1947</v>
      </c>
    </row>
    <row r="770" spans="1:7">
      <c r="A770" s="356" t="s">
        <v>3048</v>
      </c>
      <c r="B770" s="357" t="s">
        <v>3049</v>
      </c>
      <c r="C770" s="358" t="s">
        <v>1947</v>
      </c>
      <c r="D770" s="358" t="s">
        <v>1947</v>
      </c>
      <c r="E770" s="358" t="s">
        <v>1947</v>
      </c>
      <c r="F770" s="358" t="s">
        <v>1947</v>
      </c>
      <c r="G770" s="358" t="s">
        <v>1947</v>
      </c>
    </row>
    <row r="771" spans="1:7">
      <c r="A771" s="356" t="s">
        <v>3050</v>
      </c>
      <c r="B771" s="357" t="s">
        <v>3051</v>
      </c>
      <c r="C771" s="358" t="s">
        <v>1947</v>
      </c>
      <c r="D771" s="358" t="s">
        <v>1947</v>
      </c>
      <c r="E771" s="358" t="s">
        <v>1947</v>
      </c>
      <c r="F771" s="358" t="s">
        <v>1947</v>
      </c>
      <c r="G771" s="358" t="s">
        <v>1947</v>
      </c>
    </row>
    <row r="772" spans="1:7">
      <c r="A772" s="356" t="s">
        <v>3052</v>
      </c>
      <c r="B772" s="357" t="s">
        <v>3040</v>
      </c>
      <c r="C772" s="358" t="s">
        <v>1947</v>
      </c>
      <c r="D772" s="358" t="s">
        <v>1947</v>
      </c>
      <c r="E772" s="358" t="s">
        <v>1947</v>
      </c>
      <c r="F772" s="358" t="s">
        <v>1947</v>
      </c>
      <c r="G772" s="358" t="s">
        <v>1947</v>
      </c>
    </row>
    <row r="773" spans="1:7">
      <c r="A773" s="356" t="s">
        <v>3053</v>
      </c>
      <c r="B773" s="357" t="s">
        <v>3054</v>
      </c>
      <c r="C773" s="358" t="s">
        <v>1947</v>
      </c>
      <c r="D773" s="358" t="s">
        <v>1947</v>
      </c>
      <c r="E773" s="358" t="s">
        <v>1947</v>
      </c>
      <c r="F773" s="358" t="s">
        <v>1947</v>
      </c>
      <c r="G773" s="358" t="s">
        <v>1947</v>
      </c>
    </row>
    <row r="774" spans="1:7">
      <c r="A774" s="356" t="s">
        <v>3055</v>
      </c>
      <c r="B774" s="357" t="s">
        <v>3056</v>
      </c>
      <c r="C774" s="358" t="s">
        <v>1947</v>
      </c>
      <c r="D774" s="358" t="s">
        <v>1947</v>
      </c>
      <c r="E774" s="358" t="s">
        <v>1947</v>
      </c>
      <c r="F774" s="358" t="s">
        <v>1947</v>
      </c>
      <c r="G774" s="358" t="s">
        <v>1947</v>
      </c>
    </row>
    <row r="775" spans="1:7">
      <c r="A775" s="356" t="s">
        <v>3057</v>
      </c>
      <c r="B775" s="357" t="s">
        <v>3058</v>
      </c>
      <c r="C775" s="358" t="s">
        <v>1947</v>
      </c>
      <c r="D775" s="358" t="s">
        <v>1947</v>
      </c>
      <c r="E775" s="358" t="s">
        <v>1947</v>
      </c>
      <c r="F775" s="358" t="s">
        <v>1947</v>
      </c>
      <c r="G775" s="358" t="s">
        <v>1947</v>
      </c>
    </row>
    <row r="776" spans="1:7">
      <c r="A776" s="356" t="s">
        <v>3059</v>
      </c>
      <c r="B776" s="357" t="s">
        <v>3060</v>
      </c>
      <c r="C776" s="358" t="s">
        <v>1947</v>
      </c>
      <c r="D776" s="358" t="s">
        <v>1947</v>
      </c>
      <c r="E776" s="358" t="s">
        <v>1947</v>
      </c>
      <c r="F776" s="358" t="s">
        <v>1947</v>
      </c>
      <c r="G776" s="358" t="s">
        <v>1947</v>
      </c>
    </row>
    <row r="777" spans="1:7">
      <c r="A777" s="356" t="s">
        <v>3061</v>
      </c>
      <c r="B777" s="357" t="s">
        <v>3062</v>
      </c>
      <c r="C777" s="358" t="s">
        <v>1947</v>
      </c>
      <c r="D777" s="358" t="s">
        <v>1947</v>
      </c>
      <c r="E777" s="358" t="s">
        <v>1947</v>
      </c>
      <c r="F777" s="358" t="s">
        <v>1947</v>
      </c>
      <c r="G777" s="358" t="s">
        <v>1947</v>
      </c>
    </row>
    <row r="778" spans="1:7">
      <c r="A778" s="356" t="s">
        <v>3063</v>
      </c>
      <c r="B778" s="357" t="s">
        <v>3064</v>
      </c>
      <c r="C778" s="358" t="s">
        <v>1947</v>
      </c>
      <c r="D778" s="358" t="s">
        <v>1947</v>
      </c>
      <c r="E778" s="358" t="s">
        <v>1947</v>
      </c>
      <c r="F778" s="358" t="s">
        <v>1947</v>
      </c>
      <c r="G778" s="358" t="s">
        <v>1947</v>
      </c>
    </row>
    <row r="779" spans="1:7">
      <c r="A779" s="356" t="s">
        <v>3065</v>
      </c>
      <c r="B779" s="357" t="s">
        <v>3066</v>
      </c>
      <c r="C779" s="358" t="s">
        <v>1947</v>
      </c>
      <c r="D779" s="358" t="s">
        <v>1947</v>
      </c>
      <c r="E779" s="358" t="s">
        <v>1947</v>
      </c>
      <c r="F779" s="358" t="s">
        <v>1947</v>
      </c>
      <c r="G779" s="358" t="s">
        <v>1947</v>
      </c>
    </row>
    <row r="780" spans="1:7">
      <c r="A780" s="356" t="s">
        <v>3067</v>
      </c>
      <c r="B780" s="357" t="s">
        <v>3068</v>
      </c>
      <c r="C780" s="358" t="s">
        <v>1947</v>
      </c>
      <c r="D780" s="358" t="s">
        <v>1947</v>
      </c>
      <c r="E780" s="358" t="s">
        <v>1947</v>
      </c>
      <c r="F780" s="358" t="s">
        <v>1947</v>
      </c>
      <c r="G780" s="358" t="s">
        <v>1947</v>
      </c>
    </row>
    <row r="781" spans="1:7">
      <c r="A781" s="356" t="s">
        <v>3069</v>
      </c>
      <c r="B781" s="357" t="s">
        <v>3070</v>
      </c>
      <c r="C781" s="358" t="s">
        <v>1947</v>
      </c>
      <c r="D781" s="358" t="s">
        <v>1947</v>
      </c>
      <c r="E781" s="358" t="s">
        <v>1947</v>
      </c>
      <c r="F781" s="358" t="s">
        <v>1947</v>
      </c>
      <c r="G781" s="358" t="s">
        <v>1947</v>
      </c>
    </row>
    <row r="782" spans="1:7">
      <c r="A782" s="356" t="s">
        <v>3071</v>
      </c>
      <c r="B782" s="357" t="s">
        <v>3072</v>
      </c>
      <c r="C782" s="358" t="s">
        <v>1947</v>
      </c>
      <c r="D782" s="358" t="s">
        <v>1947</v>
      </c>
      <c r="E782" s="358" t="s">
        <v>1947</v>
      </c>
      <c r="F782" s="358" t="s">
        <v>1947</v>
      </c>
      <c r="G782" s="358" t="s">
        <v>1947</v>
      </c>
    </row>
    <row r="783" spans="1:7">
      <c r="A783" s="356" t="s">
        <v>3073</v>
      </c>
      <c r="B783" s="357" t="s">
        <v>3074</v>
      </c>
      <c r="C783" s="358" t="s">
        <v>1947</v>
      </c>
      <c r="D783" s="358" t="s">
        <v>1947</v>
      </c>
      <c r="E783" s="358" t="s">
        <v>1947</v>
      </c>
      <c r="F783" s="358" t="s">
        <v>1947</v>
      </c>
      <c r="G783" s="358" t="s">
        <v>1947</v>
      </c>
    </row>
    <row r="784" spans="1:7">
      <c r="A784" s="356" t="s">
        <v>3075</v>
      </c>
      <c r="B784" s="357" t="s">
        <v>3040</v>
      </c>
      <c r="C784" s="358" t="s">
        <v>1947</v>
      </c>
      <c r="D784" s="358" t="s">
        <v>1947</v>
      </c>
      <c r="E784" s="358" t="s">
        <v>1947</v>
      </c>
      <c r="F784" s="358" t="s">
        <v>1947</v>
      </c>
      <c r="G784" s="358" t="s">
        <v>1947</v>
      </c>
    </row>
    <row r="785" spans="1:7">
      <c r="A785" s="356" t="s">
        <v>3076</v>
      </c>
      <c r="B785" s="357" t="s">
        <v>3077</v>
      </c>
      <c r="C785" s="358" t="s">
        <v>1947</v>
      </c>
      <c r="D785" s="358" t="s">
        <v>1947</v>
      </c>
      <c r="E785" s="358" t="s">
        <v>1947</v>
      </c>
      <c r="F785" s="358" t="s">
        <v>1947</v>
      </c>
      <c r="G785" s="358" t="s">
        <v>1947</v>
      </c>
    </row>
    <row r="786" spans="1:7">
      <c r="A786" s="356" t="s">
        <v>3078</v>
      </c>
      <c r="B786" s="357" t="s">
        <v>3079</v>
      </c>
      <c r="C786" s="358" t="s">
        <v>1947</v>
      </c>
      <c r="D786" s="358" t="s">
        <v>1947</v>
      </c>
      <c r="E786" s="358" t="s">
        <v>1947</v>
      </c>
      <c r="F786" s="358" t="s">
        <v>1947</v>
      </c>
      <c r="G786" s="358" t="s">
        <v>1947</v>
      </c>
    </row>
    <row r="787" spans="1:7">
      <c r="A787" s="356" t="s">
        <v>3080</v>
      </c>
      <c r="B787" s="357" t="s">
        <v>3081</v>
      </c>
      <c r="C787" s="358" t="s">
        <v>1947</v>
      </c>
      <c r="D787" s="358" t="s">
        <v>1947</v>
      </c>
      <c r="E787" s="358" t="s">
        <v>1947</v>
      </c>
      <c r="F787" s="358" t="s">
        <v>1947</v>
      </c>
      <c r="G787" s="358" t="s">
        <v>1947</v>
      </c>
    </row>
    <row r="788" spans="1:7">
      <c r="A788" s="356" t="s">
        <v>3082</v>
      </c>
      <c r="B788" s="357" t="s">
        <v>3040</v>
      </c>
      <c r="C788" s="358" t="s">
        <v>1947</v>
      </c>
      <c r="D788" s="358" t="s">
        <v>1947</v>
      </c>
      <c r="E788" s="358" t="s">
        <v>1947</v>
      </c>
      <c r="F788" s="358" t="s">
        <v>1947</v>
      </c>
      <c r="G788" s="358" t="s">
        <v>1947</v>
      </c>
    </row>
    <row r="789" spans="1:7">
      <c r="A789" s="356" t="s">
        <v>3083</v>
      </c>
      <c r="B789" s="357" t="s">
        <v>3084</v>
      </c>
      <c r="C789" s="358" t="s">
        <v>1947</v>
      </c>
      <c r="D789" s="358" t="s">
        <v>1947</v>
      </c>
      <c r="E789" s="358" t="s">
        <v>1947</v>
      </c>
      <c r="F789" s="358" t="s">
        <v>1947</v>
      </c>
      <c r="G789" s="358" t="s">
        <v>1947</v>
      </c>
    </row>
    <row r="790" spans="1:7">
      <c r="A790" s="356" t="s">
        <v>3085</v>
      </c>
      <c r="B790" s="357" t="s">
        <v>3086</v>
      </c>
      <c r="C790" s="358" t="s">
        <v>1947</v>
      </c>
      <c r="D790" s="358" t="s">
        <v>1947</v>
      </c>
      <c r="E790" s="358" t="s">
        <v>1947</v>
      </c>
      <c r="F790" s="358" t="s">
        <v>1947</v>
      </c>
      <c r="G790" s="358" t="s">
        <v>1947</v>
      </c>
    </row>
    <row r="791" spans="1:7">
      <c r="A791" s="356" t="s">
        <v>3087</v>
      </c>
      <c r="B791" s="357" t="s">
        <v>3088</v>
      </c>
      <c r="C791" s="358" t="s">
        <v>1947</v>
      </c>
      <c r="D791" s="358" t="s">
        <v>1947</v>
      </c>
      <c r="E791" s="358" t="s">
        <v>1947</v>
      </c>
      <c r="F791" s="358" t="s">
        <v>1947</v>
      </c>
      <c r="G791" s="358" t="s">
        <v>1947</v>
      </c>
    </row>
    <row r="792" spans="1:7">
      <c r="A792" s="356" t="s">
        <v>3089</v>
      </c>
      <c r="B792" s="357" t="s">
        <v>1947</v>
      </c>
      <c r="C792" s="358" t="s">
        <v>1947</v>
      </c>
      <c r="D792" s="358" t="s">
        <v>1947</v>
      </c>
      <c r="E792" s="358" t="s">
        <v>1947</v>
      </c>
      <c r="F792" s="358" t="s">
        <v>1947</v>
      </c>
      <c r="G792" s="358" t="s">
        <v>1947</v>
      </c>
    </row>
    <row r="793" spans="1:7">
      <c r="A793" s="356" t="s">
        <v>3090</v>
      </c>
      <c r="B793" s="357" t="s">
        <v>3091</v>
      </c>
      <c r="C793" s="358" t="s">
        <v>1947</v>
      </c>
      <c r="D793" s="358" t="s">
        <v>1947</v>
      </c>
      <c r="E793" s="358" t="s">
        <v>1947</v>
      </c>
      <c r="F793" s="358" t="s">
        <v>1947</v>
      </c>
      <c r="G793" s="358" t="s">
        <v>1947</v>
      </c>
    </row>
    <row r="794" spans="1:7">
      <c r="A794" s="356" t="s">
        <v>3092</v>
      </c>
      <c r="B794" s="357" t="s">
        <v>3093</v>
      </c>
      <c r="C794" s="358" t="s">
        <v>1947</v>
      </c>
      <c r="D794" s="358" t="s">
        <v>1947</v>
      </c>
      <c r="E794" s="358" t="s">
        <v>1947</v>
      </c>
      <c r="F794" s="358" t="s">
        <v>1947</v>
      </c>
      <c r="G794" s="358" t="s">
        <v>1947</v>
      </c>
    </row>
    <row r="795" spans="1:7">
      <c r="A795" s="356" t="s">
        <v>3094</v>
      </c>
      <c r="B795" s="357" t="s">
        <v>3095</v>
      </c>
      <c r="C795" s="358" t="s">
        <v>1947</v>
      </c>
      <c r="D795" s="358" t="s">
        <v>1947</v>
      </c>
      <c r="E795" s="358" t="s">
        <v>1947</v>
      </c>
      <c r="F795" s="358" t="s">
        <v>1947</v>
      </c>
      <c r="G795" s="358" t="s">
        <v>1947</v>
      </c>
    </row>
    <row r="796" spans="1:7">
      <c r="A796" s="356" t="s">
        <v>3096</v>
      </c>
      <c r="B796" s="357" t="s">
        <v>3097</v>
      </c>
      <c r="C796" s="358" t="s">
        <v>1947</v>
      </c>
      <c r="D796" s="358" t="s">
        <v>1947</v>
      </c>
      <c r="E796" s="358" t="s">
        <v>1947</v>
      </c>
      <c r="F796" s="358" t="s">
        <v>1947</v>
      </c>
      <c r="G796" s="358" t="s">
        <v>1947</v>
      </c>
    </row>
    <row r="797" spans="1:7">
      <c r="A797" s="356" t="s">
        <v>3098</v>
      </c>
      <c r="B797" s="357" t="s">
        <v>3099</v>
      </c>
      <c r="C797" s="358" t="s">
        <v>1947</v>
      </c>
      <c r="D797" s="358" t="s">
        <v>1947</v>
      </c>
      <c r="E797" s="358" t="s">
        <v>1947</v>
      </c>
      <c r="F797" s="358" t="s">
        <v>1947</v>
      </c>
      <c r="G797" s="358" t="s">
        <v>1947</v>
      </c>
    </row>
    <row r="798" spans="1:7">
      <c r="A798" s="356" t="s">
        <v>3100</v>
      </c>
      <c r="B798" s="357" t="s">
        <v>3101</v>
      </c>
      <c r="C798" s="358" t="s">
        <v>1947</v>
      </c>
      <c r="D798" s="358" t="s">
        <v>1947</v>
      </c>
      <c r="E798" s="358" t="s">
        <v>1947</v>
      </c>
      <c r="F798" s="358" t="s">
        <v>1947</v>
      </c>
      <c r="G798" s="358" t="s">
        <v>1947</v>
      </c>
    </row>
    <row r="799" spans="1:7">
      <c r="A799" s="356" t="s">
        <v>3102</v>
      </c>
      <c r="B799" s="357" t="s">
        <v>2775</v>
      </c>
      <c r="C799" s="358" t="s">
        <v>1947</v>
      </c>
      <c r="D799" s="358" t="s">
        <v>1947</v>
      </c>
      <c r="E799" s="358" t="s">
        <v>1947</v>
      </c>
      <c r="F799" s="358" t="s">
        <v>1947</v>
      </c>
      <c r="G799" s="358" t="s">
        <v>1947</v>
      </c>
    </row>
    <row r="800" spans="1:7">
      <c r="A800" s="356" t="s">
        <v>3103</v>
      </c>
      <c r="B800" s="357" t="s">
        <v>3084</v>
      </c>
      <c r="C800" s="358" t="s">
        <v>1947</v>
      </c>
      <c r="D800" s="358" t="s">
        <v>1947</v>
      </c>
      <c r="E800" s="358" t="s">
        <v>1947</v>
      </c>
      <c r="F800" s="358" t="s">
        <v>1947</v>
      </c>
      <c r="G800" s="358" t="s">
        <v>1947</v>
      </c>
    </row>
    <row r="801" spans="1:7">
      <c r="A801" s="356" t="s">
        <v>3104</v>
      </c>
      <c r="B801" s="357" t="s">
        <v>3105</v>
      </c>
      <c r="C801" s="358" t="s">
        <v>1947</v>
      </c>
      <c r="D801" s="358" t="s">
        <v>1947</v>
      </c>
      <c r="E801" s="358" t="s">
        <v>1947</v>
      </c>
      <c r="F801" s="358" t="s">
        <v>1947</v>
      </c>
      <c r="G801" s="358" t="s">
        <v>1947</v>
      </c>
    </row>
    <row r="802" spans="1:7">
      <c r="A802" s="356" t="s">
        <v>3106</v>
      </c>
      <c r="B802" s="357" t="s">
        <v>3107</v>
      </c>
      <c r="C802" s="358" t="s">
        <v>1947</v>
      </c>
      <c r="D802" s="358" t="s">
        <v>1947</v>
      </c>
      <c r="E802" s="358" t="s">
        <v>1947</v>
      </c>
      <c r="F802" s="358" t="s">
        <v>1947</v>
      </c>
      <c r="G802" s="358" t="s">
        <v>1947</v>
      </c>
    </row>
    <row r="803" spans="1:7">
      <c r="A803" s="356" t="s">
        <v>3108</v>
      </c>
      <c r="B803" s="357" t="s">
        <v>3109</v>
      </c>
      <c r="C803" s="358" t="s">
        <v>1947</v>
      </c>
      <c r="D803" s="358" t="s">
        <v>1947</v>
      </c>
      <c r="E803" s="358" t="s">
        <v>1947</v>
      </c>
      <c r="F803" s="358" t="s">
        <v>1947</v>
      </c>
      <c r="G803" s="358" t="s">
        <v>1947</v>
      </c>
    </row>
    <row r="804" spans="1:7">
      <c r="A804" s="356" t="s">
        <v>3110</v>
      </c>
      <c r="B804" s="357" t="s">
        <v>3111</v>
      </c>
      <c r="C804" s="358" t="s">
        <v>1947</v>
      </c>
      <c r="D804" s="358" t="s">
        <v>1947</v>
      </c>
      <c r="E804" s="358" t="s">
        <v>1947</v>
      </c>
      <c r="F804" s="358" t="s">
        <v>1947</v>
      </c>
      <c r="G804" s="358" t="s">
        <v>1947</v>
      </c>
    </row>
    <row r="805" spans="1:7">
      <c r="A805" s="356" t="s">
        <v>3112</v>
      </c>
      <c r="B805" s="357" t="s">
        <v>3113</v>
      </c>
      <c r="C805" s="358" t="s">
        <v>1947</v>
      </c>
      <c r="D805" s="358" t="s">
        <v>1947</v>
      </c>
      <c r="E805" s="358" t="s">
        <v>1947</v>
      </c>
      <c r="F805" s="358" t="s">
        <v>1947</v>
      </c>
      <c r="G805" s="358" t="s">
        <v>1947</v>
      </c>
    </row>
    <row r="806" spans="1:7">
      <c r="A806" s="356" t="s">
        <v>3114</v>
      </c>
      <c r="B806" s="357" t="s">
        <v>3040</v>
      </c>
      <c r="C806" s="358" t="s">
        <v>1947</v>
      </c>
      <c r="D806" s="358" t="s">
        <v>1947</v>
      </c>
      <c r="E806" s="358" t="s">
        <v>1947</v>
      </c>
      <c r="F806" s="358" t="s">
        <v>1947</v>
      </c>
      <c r="G806" s="358" t="s">
        <v>1947</v>
      </c>
    </row>
    <row r="807" spans="1:7">
      <c r="A807" s="356" t="s">
        <v>3115</v>
      </c>
      <c r="B807" s="357" t="s">
        <v>3116</v>
      </c>
      <c r="C807" s="358" t="s">
        <v>1947</v>
      </c>
      <c r="D807" s="358" t="s">
        <v>1947</v>
      </c>
      <c r="E807" s="358" t="s">
        <v>1947</v>
      </c>
      <c r="F807" s="358" t="s">
        <v>1947</v>
      </c>
      <c r="G807" s="358" t="s">
        <v>1947</v>
      </c>
    </row>
    <row r="808" spans="1:7">
      <c r="A808" s="356" t="s">
        <v>3117</v>
      </c>
      <c r="B808" s="357" t="s">
        <v>3118</v>
      </c>
      <c r="C808" s="358" t="s">
        <v>1947</v>
      </c>
      <c r="D808" s="358" t="s">
        <v>1947</v>
      </c>
      <c r="E808" s="358" t="s">
        <v>1947</v>
      </c>
      <c r="F808" s="358" t="s">
        <v>1947</v>
      </c>
      <c r="G808" s="358" t="s">
        <v>1947</v>
      </c>
    </row>
    <row r="809" spans="1:7">
      <c r="A809" s="356" t="s">
        <v>3119</v>
      </c>
      <c r="B809" s="357" t="s">
        <v>3120</v>
      </c>
      <c r="C809" s="358" t="s">
        <v>1947</v>
      </c>
      <c r="D809" s="358" t="s">
        <v>1947</v>
      </c>
      <c r="E809" s="358" t="s">
        <v>1947</v>
      </c>
      <c r="F809" s="358" t="s">
        <v>1947</v>
      </c>
      <c r="G809" s="358" t="s">
        <v>1947</v>
      </c>
    </row>
    <row r="810" spans="1:7">
      <c r="A810" s="356" t="s">
        <v>3121</v>
      </c>
      <c r="B810" s="357" t="s">
        <v>3122</v>
      </c>
      <c r="C810" s="358" t="s">
        <v>1947</v>
      </c>
      <c r="D810" s="358" t="s">
        <v>1947</v>
      </c>
      <c r="E810" s="358" t="s">
        <v>1947</v>
      </c>
      <c r="F810" s="358" t="s">
        <v>1947</v>
      </c>
      <c r="G810" s="358" t="s">
        <v>1947</v>
      </c>
    </row>
    <row r="811" spans="1:7">
      <c r="A811" s="356" t="s">
        <v>3123</v>
      </c>
      <c r="B811" s="357" t="s">
        <v>3124</v>
      </c>
      <c r="C811" s="358" t="s">
        <v>1947</v>
      </c>
      <c r="D811" s="358" t="s">
        <v>1947</v>
      </c>
      <c r="E811" s="358" t="s">
        <v>1947</v>
      </c>
      <c r="F811" s="358" t="s">
        <v>1947</v>
      </c>
      <c r="G811" s="358" t="s">
        <v>1947</v>
      </c>
    </row>
    <row r="812" spans="1:7">
      <c r="A812" s="356" t="s">
        <v>3125</v>
      </c>
      <c r="B812" s="357" t="s">
        <v>3126</v>
      </c>
      <c r="C812" s="358" t="s">
        <v>1947</v>
      </c>
      <c r="D812" s="358" t="s">
        <v>1947</v>
      </c>
      <c r="E812" s="358" t="s">
        <v>1947</v>
      </c>
      <c r="F812" s="358" t="s">
        <v>1947</v>
      </c>
      <c r="G812" s="358" t="s">
        <v>1947</v>
      </c>
    </row>
    <row r="813" spans="1:7">
      <c r="A813" s="356" t="s">
        <v>3127</v>
      </c>
      <c r="B813" s="357" t="s">
        <v>3128</v>
      </c>
      <c r="C813" s="358" t="s">
        <v>1947</v>
      </c>
      <c r="D813" s="358" t="s">
        <v>1947</v>
      </c>
      <c r="E813" s="358" t="s">
        <v>1947</v>
      </c>
      <c r="F813" s="358" t="s">
        <v>1947</v>
      </c>
      <c r="G813" s="358" t="s">
        <v>1947</v>
      </c>
    </row>
    <row r="814" spans="1:7">
      <c r="A814" s="356" t="s">
        <v>3129</v>
      </c>
      <c r="B814" s="357" t="s">
        <v>3130</v>
      </c>
      <c r="C814" s="358" t="s">
        <v>1947</v>
      </c>
      <c r="D814" s="358" t="s">
        <v>1947</v>
      </c>
      <c r="E814" s="358" t="s">
        <v>1947</v>
      </c>
      <c r="F814" s="358" t="s">
        <v>1947</v>
      </c>
      <c r="G814" s="358" t="s">
        <v>1947</v>
      </c>
    </row>
    <row r="815" spans="1:7">
      <c r="A815" s="356" t="s">
        <v>3131</v>
      </c>
      <c r="B815" s="357" t="s">
        <v>3132</v>
      </c>
      <c r="C815" s="358" t="s">
        <v>1947</v>
      </c>
      <c r="D815" s="358" t="s">
        <v>1947</v>
      </c>
      <c r="E815" s="358" t="s">
        <v>1947</v>
      </c>
      <c r="F815" s="358" t="s">
        <v>1947</v>
      </c>
      <c r="G815" s="358" t="s">
        <v>1947</v>
      </c>
    </row>
    <row r="816" spans="1:7">
      <c r="A816" s="356" t="s">
        <v>3133</v>
      </c>
      <c r="B816" s="357" t="s">
        <v>3134</v>
      </c>
      <c r="C816" s="358" t="s">
        <v>1947</v>
      </c>
      <c r="D816" s="358" t="s">
        <v>1947</v>
      </c>
      <c r="E816" s="358" t="s">
        <v>1947</v>
      </c>
      <c r="F816" s="358" t="s">
        <v>1947</v>
      </c>
      <c r="G816" s="358" t="s">
        <v>1947</v>
      </c>
    </row>
    <row r="817" spans="1:7">
      <c r="A817" s="356" t="s">
        <v>3135</v>
      </c>
      <c r="B817" s="357" t="s">
        <v>3136</v>
      </c>
      <c r="C817" s="358" t="s">
        <v>1947</v>
      </c>
      <c r="D817" s="358" t="s">
        <v>1947</v>
      </c>
      <c r="E817" s="358" t="s">
        <v>1947</v>
      </c>
      <c r="F817" s="358" t="s">
        <v>1947</v>
      </c>
      <c r="G817" s="358" t="s">
        <v>1947</v>
      </c>
    </row>
    <row r="818" spans="1:7">
      <c r="A818" s="356" t="s">
        <v>3137</v>
      </c>
      <c r="B818" s="357" t="s">
        <v>3138</v>
      </c>
      <c r="C818" s="358" t="s">
        <v>1947</v>
      </c>
      <c r="D818" s="358" t="s">
        <v>1947</v>
      </c>
      <c r="E818" s="358" t="s">
        <v>1947</v>
      </c>
      <c r="F818" s="358" t="s">
        <v>1947</v>
      </c>
      <c r="G818" s="358" t="s">
        <v>1947</v>
      </c>
    </row>
    <row r="819" spans="1:7">
      <c r="A819" s="356" t="s">
        <v>3139</v>
      </c>
      <c r="B819" s="357" t="s">
        <v>1595</v>
      </c>
      <c r="C819" s="358" t="s">
        <v>1947</v>
      </c>
      <c r="D819" s="358" t="s">
        <v>1947</v>
      </c>
      <c r="E819" s="358" t="s">
        <v>1947</v>
      </c>
      <c r="F819" s="358" t="s">
        <v>1947</v>
      </c>
      <c r="G819" s="358" t="s">
        <v>1947</v>
      </c>
    </row>
    <row r="820" spans="1:7">
      <c r="A820" s="356" t="s">
        <v>3140</v>
      </c>
      <c r="B820" s="357" t="s">
        <v>3141</v>
      </c>
      <c r="C820" s="358" t="s">
        <v>1947</v>
      </c>
      <c r="D820" s="358" t="s">
        <v>1947</v>
      </c>
      <c r="E820" s="358" t="s">
        <v>1947</v>
      </c>
      <c r="F820" s="358" t="s">
        <v>1947</v>
      </c>
      <c r="G820" s="358" t="s">
        <v>1947</v>
      </c>
    </row>
    <row r="821" spans="1:7">
      <c r="A821" s="356" t="s">
        <v>3133</v>
      </c>
      <c r="B821" s="357" t="s">
        <v>3134</v>
      </c>
      <c r="C821" s="358" t="s">
        <v>1947</v>
      </c>
      <c r="D821" s="358" t="s">
        <v>1947</v>
      </c>
      <c r="E821" s="358" t="s">
        <v>1947</v>
      </c>
      <c r="F821" s="358" t="s">
        <v>1947</v>
      </c>
      <c r="G821" s="358" t="s">
        <v>1947</v>
      </c>
    </row>
    <row r="822" spans="1:7">
      <c r="A822" s="356" t="s">
        <v>3142</v>
      </c>
      <c r="B822" s="357" t="s">
        <v>3143</v>
      </c>
      <c r="C822" s="358" t="s">
        <v>1947</v>
      </c>
      <c r="D822" s="358" t="s">
        <v>1947</v>
      </c>
      <c r="E822" s="358" t="s">
        <v>1947</v>
      </c>
      <c r="F822" s="358" t="s">
        <v>1947</v>
      </c>
      <c r="G822" s="358" t="s">
        <v>1947</v>
      </c>
    </row>
    <row r="823" spans="1:7">
      <c r="A823" s="356" t="s">
        <v>3144</v>
      </c>
      <c r="B823" s="357" t="s">
        <v>3145</v>
      </c>
      <c r="C823" s="358" t="s">
        <v>1947</v>
      </c>
      <c r="D823" s="358" t="s">
        <v>1947</v>
      </c>
      <c r="E823" s="358" t="s">
        <v>1947</v>
      </c>
      <c r="F823" s="358" t="s">
        <v>1947</v>
      </c>
      <c r="G823" s="358" t="s">
        <v>1947</v>
      </c>
    </row>
    <row r="824" spans="1:7">
      <c r="A824" s="356" t="s">
        <v>3133</v>
      </c>
      <c r="B824" s="357" t="s">
        <v>3146</v>
      </c>
      <c r="C824" s="358" t="s">
        <v>1947</v>
      </c>
      <c r="D824" s="358" t="s">
        <v>1947</v>
      </c>
      <c r="E824" s="358" t="s">
        <v>1947</v>
      </c>
      <c r="F824" s="358" t="s">
        <v>1947</v>
      </c>
      <c r="G824" s="358" t="s">
        <v>1947</v>
      </c>
    </row>
    <row r="825" spans="1:7">
      <c r="A825" s="356" t="s">
        <v>3147</v>
      </c>
      <c r="B825" s="357" t="s">
        <v>3148</v>
      </c>
      <c r="C825" s="358" t="s">
        <v>1947</v>
      </c>
      <c r="D825" s="358" t="s">
        <v>1947</v>
      </c>
      <c r="E825" s="358" t="s">
        <v>1947</v>
      </c>
      <c r="F825" s="358" t="s">
        <v>1947</v>
      </c>
      <c r="G825" s="358" t="s">
        <v>1947</v>
      </c>
    </row>
    <row r="826" spans="1:7">
      <c r="A826" s="356" t="s">
        <v>3149</v>
      </c>
      <c r="B826" s="357" t="s">
        <v>3150</v>
      </c>
      <c r="C826" s="358" t="s">
        <v>1947</v>
      </c>
      <c r="D826" s="358" t="s">
        <v>1947</v>
      </c>
      <c r="E826" s="358" t="s">
        <v>1947</v>
      </c>
      <c r="F826" s="358" t="s">
        <v>1947</v>
      </c>
      <c r="G826" s="358" t="s">
        <v>1947</v>
      </c>
    </row>
    <row r="827" spans="1:7">
      <c r="A827" s="356" t="s">
        <v>3151</v>
      </c>
      <c r="B827" s="357" t="s">
        <v>3152</v>
      </c>
      <c r="C827" s="358" t="s">
        <v>1947</v>
      </c>
      <c r="D827" s="358" t="s">
        <v>1947</v>
      </c>
      <c r="E827" s="358" t="s">
        <v>1947</v>
      </c>
      <c r="F827" s="358" t="s">
        <v>1947</v>
      </c>
      <c r="G827" s="358" t="s">
        <v>1947</v>
      </c>
    </row>
    <row r="828" spans="1:7">
      <c r="A828" s="356" t="s">
        <v>3153</v>
      </c>
      <c r="B828" s="357" t="s">
        <v>3154</v>
      </c>
      <c r="C828" s="358" t="s">
        <v>1947</v>
      </c>
      <c r="D828" s="358" t="s">
        <v>1947</v>
      </c>
      <c r="E828" s="358" t="s">
        <v>1947</v>
      </c>
      <c r="F828" s="358" t="s">
        <v>1947</v>
      </c>
      <c r="G828" s="358" t="s">
        <v>1947</v>
      </c>
    </row>
    <row r="829" spans="1:7">
      <c r="A829" s="356" t="s">
        <v>3155</v>
      </c>
      <c r="B829" s="357" t="s">
        <v>2005</v>
      </c>
      <c r="C829" s="358" t="s">
        <v>1947</v>
      </c>
      <c r="D829" s="358" t="s">
        <v>1947</v>
      </c>
      <c r="E829" s="358" t="s">
        <v>1947</v>
      </c>
      <c r="F829" s="358" t="s">
        <v>1947</v>
      </c>
      <c r="G829" s="358" t="s">
        <v>1947</v>
      </c>
    </row>
    <row r="830" spans="1:7">
      <c r="A830" s="356" t="s">
        <v>3156</v>
      </c>
      <c r="B830" s="357" t="s">
        <v>3157</v>
      </c>
      <c r="C830" s="358" t="s">
        <v>1947</v>
      </c>
      <c r="D830" s="358" t="s">
        <v>1947</v>
      </c>
      <c r="E830" s="358" t="s">
        <v>1947</v>
      </c>
      <c r="F830" s="358" t="s">
        <v>1947</v>
      </c>
      <c r="G830" s="358" t="s">
        <v>1947</v>
      </c>
    </row>
    <row r="831" spans="1:7">
      <c r="A831" s="356" t="s">
        <v>3158</v>
      </c>
      <c r="B831" s="357" t="s">
        <v>3159</v>
      </c>
      <c r="C831" s="358" t="s">
        <v>1947</v>
      </c>
      <c r="D831" s="358" t="s">
        <v>1947</v>
      </c>
      <c r="E831" s="358" t="s">
        <v>1947</v>
      </c>
      <c r="F831" s="358" t="s">
        <v>1947</v>
      </c>
      <c r="G831" s="358" t="s">
        <v>1947</v>
      </c>
    </row>
    <row r="832" spans="1:7">
      <c r="A832" s="356" t="s">
        <v>3160</v>
      </c>
      <c r="B832" s="357" t="s">
        <v>3161</v>
      </c>
      <c r="C832" s="358" t="s">
        <v>1947</v>
      </c>
      <c r="D832" s="358" t="s">
        <v>1947</v>
      </c>
      <c r="E832" s="358" t="s">
        <v>1947</v>
      </c>
      <c r="F832" s="358" t="s">
        <v>1947</v>
      </c>
      <c r="G832" s="358" t="s">
        <v>1947</v>
      </c>
    </row>
    <row r="833" spans="1:7">
      <c r="A833" s="356" t="s">
        <v>3162</v>
      </c>
      <c r="B833" s="357" t="s">
        <v>3163</v>
      </c>
      <c r="C833" s="358" t="s">
        <v>1947</v>
      </c>
      <c r="D833" s="358" t="s">
        <v>1947</v>
      </c>
      <c r="E833" s="358" t="s">
        <v>1947</v>
      </c>
      <c r="F833" s="358" t="s">
        <v>1947</v>
      </c>
      <c r="G833" s="358" t="s">
        <v>1947</v>
      </c>
    </row>
    <row r="834" spans="1:7">
      <c r="A834" s="356" t="s">
        <v>3164</v>
      </c>
      <c r="B834" s="357" t="s">
        <v>3165</v>
      </c>
      <c r="C834" s="358" t="s">
        <v>1947</v>
      </c>
      <c r="D834" s="358" t="s">
        <v>1947</v>
      </c>
      <c r="E834" s="358" t="s">
        <v>1947</v>
      </c>
      <c r="F834" s="358" t="s">
        <v>1947</v>
      </c>
      <c r="G834" s="358" t="s">
        <v>1947</v>
      </c>
    </row>
    <row r="835" spans="1:7">
      <c r="A835" s="356" t="s">
        <v>3166</v>
      </c>
      <c r="B835" s="357" t="s">
        <v>3167</v>
      </c>
      <c r="C835" s="358" t="s">
        <v>1947</v>
      </c>
      <c r="D835" s="358" t="s">
        <v>1947</v>
      </c>
      <c r="E835" s="358" t="s">
        <v>1947</v>
      </c>
      <c r="F835" s="358" t="s">
        <v>1947</v>
      </c>
      <c r="G835" s="358" t="s">
        <v>1947</v>
      </c>
    </row>
    <row r="836" spans="1:7">
      <c r="A836" s="356" t="s">
        <v>3168</v>
      </c>
      <c r="B836" s="357" t="s">
        <v>3169</v>
      </c>
      <c r="C836" s="358" t="s">
        <v>1947</v>
      </c>
      <c r="D836" s="358" t="s">
        <v>1947</v>
      </c>
      <c r="E836" s="358" t="s">
        <v>1947</v>
      </c>
      <c r="F836" s="358" t="s">
        <v>1947</v>
      </c>
      <c r="G836" s="358" t="s">
        <v>1947</v>
      </c>
    </row>
    <row r="837" spans="1:7">
      <c r="A837" s="356" t="s">
        <v>3170</v>
      </c>
      <c r="B837" s="357" t="s">
        <v>3171</v>
      </c>
      <c r="C837" s="358" t="s">
        <v>1947</v>
      </c>
      <c r="D837" s="358" t="s">
        <v>1947</v>
      </c>
      <c r="E837" s="358" t="s">
        <v>1947</v>
      </c>
      <c r="F837" s="358" t="s">
        <v>1947</v>
      </c>
      <c r="G837" s="358" t="s">
        <v>1947</v>
      </c>
    </row>
    <row r="838" spans="1:7">
      <c r="A838" s="356" t="s">
        <v>3172</v>
      </c>
      <c r="B838" s="357" t="s">
        <v>3173</v>
      </c>
      <c r="C838" s="358" t="s">
        <v>1947</v>
      </c>
      <c r="D838" s="358" t="s">
        <v>1947</v>
      </c>
      <c r="E838" s="358" t="s">
        <v>1947</v>
      </c>
      <c r="F838" s="358" t="s">
        <v>1947</v>
      </c>
      <c r="G838" s="358" t="s">
        <v>1947</v>
      </c>
    </row>
    <row r="839" spans="1:7">
      <c r="A839" s="356" t="s">
        <v>3174</v>
      </c>
      <c r="B839" s="357" t="s">
        <v>3128</v>
      </c>
      <c r="C839" s="358" t="s">
        <v>1947</v>
      </c>
      <c r="D839" s="358" t="s">
        <v>1947</v>
      </c>
      <c r="E839" s="358" t="s">
        <v>1947</v>
      </c>
      <c r="F839" s="358" t="s">
        <v>1947</v>
      </c>
      <c r="G839" s="358" t="s">
        <v>1947</v>
      </c>
    </row>
    <row r="840" spans="1:7">
      <c r="A840" s="356" t="s">
        <v>3175</v>
      </c>
      <c r="B840" s="357" t="s">
        <v>3176</v>
      </c>
      <c r="C840" s="358" t="s">
        <v>1947</v>
      </c>
      <c r="D840" s="358" t="s">
        <v>1947</v>
      </c>
      <c r="E840" s="358" t="s">
        <v>1947</v>
      </c>
      <c r="F840" s="358" t="s">
        <v>1947</v>
      </c>
      <c r="G840" s="358" t="s">
        <v>1947</v>
      </c>
    </row>
    <row r="841" spans="1:7">
      <c r="A841" s="356" t="s">
        <v>3177</v>
      </c>
      <c r="B841" s="357" t="s">
        <v>3178</v>
      </c>
      <c r="C841" s="358" t="s">
        <v>1947</v>
      </c>
      <c r="D841" s="358" t="s">
        <v>1947</v>
      </c>
      <c r="E841" s="358" t="s">
        <v>1947</v>
      </c>
      <c r="F841" s="358" t="s">
        <v>1947</v>
      </c>
      <c r="G841" s="358" t="s">
        <v>1947</v>
      </c>
    </row>
    <row r="842" spans="1:7">
      <c r="A842" s="356" t="s">
        <v>3179</v>
      </c>
      <c r="B842" s="357" t="s">
        <v>3180</v>
      </c>
      <c r="C842" s="358" t="s">
        <v>1947</v>
      </c>
      <c r="D842" s="358" t="s">
        <v>1947</v>
      </c>
      <c r="E842" s="358" t="s">
        <v>1947</v>
      </c>
      <c r="F842" s="358" t="s">
        <v>1947</v>
      </c>
      <c r="G842" s="358" t="s">
        <v>1947</v>
      </c>
    </row>
    <row r="843" spans="1:7">
      <c r="A843" s="356" t="s">
        <v>3181</v>
      </c>
      <c r="B843" s="357" t="s">
        <v>126</v>
      </c>
      <c r="C843" s="358" t="s">
        <v>1947</v>
      </c>
      <c r="D843" s="358" t="s">
        <v>1947</v>
      </c>
      <c r="E843" s="358" t="s">
        <v>1947</v>
      </c>
      <c r="F843" s="358" t="s">
        <v>1947</v>
      </c>
      <c r="G843" s="358" t="s">
        <v>1947</v>
      </c>
    </row>
    <row r="844" spans="1:7">
      <c r="A844" s="356" t="s">
        <v>3182</v>
      </c>
      <c r="B844" s="357" t="s">
        <v>3183</v>
      </c>
      <c r="C844" s="358" t="s">
        <v>1947</v>
      </c>
      <c r="D844" s="358" t="s">
        <v>1947</v>
      </c>
      <c r="E844" s="358" t="s">
        <v>1947</v>
      </c>
      <c r="F844" s="358" t="s">
        <v>1947</v>
      </c>
      <c r="G844" s="358" t="s">
        <v>1947</v>
      </c>
    </row>
    <row r="845" spans="1:7">
      <c r="A845" s="356" t="s">
        <v>3184</v>
      </c>
      <c r="B845" s="357" t="s">
        <v>3185</v>
      </c>
      <c r="C845" s="358" t="s">
        <v>1947</v>
      </c>
      <c r="D845" s="358" t="s">
        <v>1947</v>
      </c>
      <c r="E845" s="358" t="s">
        <v>1947</v>
      </c>
      <c r="F845" s="358" t="s">
        <v>1947</v>
      </c>
      <c r="G845" s="358" t="s">
        <v>1947</v>
      </c>
    </row>
    <row r="846" spans="1:7">
      <c r="A846" s="356" t="s">
        <v>3186</v>
      </c>
      <c r="B846" s="357" t="s">
        <v>3187</v>
      </c>
      <c r="C846" s="358" t="s">
        <v>1947</v>
      </c>
      <c r="D846" s="358" t="s">
        <v>1947</v>
      </c>
      <c r="E846" s="358" t="s">
        <v>1947</v>
      </c>
      <c r="F846" s="358" t="s">
        <v>1947</v>
      </c>
      <c r="G846" s="358" t="s">
        <v>1947</v>
      </c>
    </row>
    <row r="847" spans="1:7">
      <c r="A847" s="356" t="s">
        <v>3188</v>
      </c>
      <c r="B847" s="357" t="s">
        <v>3189</v>
      </c>
      <c r="C847" s="358" t="s">
        <v>1947</v>
      </c>
      <c r="D847" s="358" t="s">
        <v>1947</v>
      </c>
      <c r="E847" s="358" t="s">
        <v>1947</v>
      </c>
      <c r="F847" s="358" t="s">
        <v>1947</v>
      </c>
      <c r="G847" s="358" t="s">
        <v>1947</v>
      </c>
    </row>
    <row r="848" spans="1:7">
      <c r="A848" s="356" t="s">
        <v>3190</v>
      </c>
      <c r="B848" s="357" t="s">
        <v>3191</v>
      </c>
      <c r="C848" s="358" t="s">
        <v>1947</v>
      </c>
      <c r="D848" s="358" t="s">
        <v>1947</v>
      </c>
      <c r="E848" s="358" t="s">
        <v>1947</v>
      </c>
      <c r="F848" s="358" t="s">
        <v>1947</v>
      </c>
      <c r="G848" s="358" t="s">
        <v>1947</v>
      </c>
    </row>
    <row r="849" spans="1:7">
      <c r="A849" s="356" t="s">
        <v>3192</v>
      </c>
      <c r="B849" s="357" t="s">
        <v>3193</v>
      </c>
      <c r="C849" s="358" t="s">
        <v>1947</v>
      </c>
      <c r="D849" s="358" t="s">
        <v>1947</v>
      </c>
      <c r="E849" s="358" t="s">
        <v>1947</v>
      </c>
      <c r="F849" s="358" t="s">
        <v>1947</v>
      </c>
      <c r="G849" s="358" t="s">
        <v>1947</v>
      </c>
    </row>
    <row r="850" spans="1:7">
      <c r="A850" s="356" t="s">
        <v>3194</v>
      </c>
      <c r="B850" s="357" t="s">
        <v>3195</v>
      </c>
      <c r="C850" s="358" t="s">
        <v>1947</v>
      </c>
      <c r="D850" s="358" t="s">
        <v>1947</v>
      </c>
      <c r="E850" s="358" t="s">
        <v>1947</v>
      </c>
      <c r="F850" s="358" t="s">
        <v>1947</v>
      </c>
      <c r="G850" s="358" t="s">
        <v>1947</v>
      </c>
    </row>
    <row r="851" spans="1:7">
      <c r="A851" s="356" t="s">
        <v>3196</v>
      </c>
      <c r="B851" s="357" t="s">
        <v>3197</v>
      </c>
      <c r="C851" s="358" t="s">
        <v>1947</v>
      </c>
      <c r="D851" s="358" t="s">
        <v>1947</v>
      </c>
      <c r="E851" s="358" t="s">
        <v>1947</v>
      </c>
      <c r="F851" s="358" t="s">
        <v>1947</v>
      </c>
      <c r="G851" s="358" t="s">
        <v>1947</v>
      </c>
    </row>
    <row r="852" spans="1:7">
      <c r="A852" s="356" t="s">
        <v>3198</v>
      </c>
      <c r="B852" s="357" t="s">
        <v>3199</v>
      </c>
      <c r="C852" s="358" t="s">
        <v>1947</v>
      </c>
      <c r="D852" s="358" t="s">
        <v>1947</v>
      </c>
      <c r="E852" s="358" t="s">
        <v>1947</v>
      </c>
      <c r="F852" s="358" t="s">
        <v>1947</v>
      </c>
      <c r="G852" s="358" t="s">
        <v>1947</v>
      </c>
    </row>
    <row r="853" spans="1:7">
      <c r="A853" s="356" t="s">
        <v>3200</v>
      </c>
      <c r="B853" s="357" t="s">
        <v>3201</v>
      </c>
      <c r="C853" s="358" t="s">
        <v>1947</v>
      </c>
      <c r="D853" s="358" t="s">
        <v>1947</v>
      </c>
      <c r="E853" s="358" t="s">
        <v>1947</v>
      </c>
      <c r="F853" s="358" t="s">
        <v>1947</v>
      </c>
      <c r="G853" s="358" t="s">
        <v>1947</v>
      </c>
    </row>
    <row r="854" spans="1:7">
      <c r="A854" s="356" t="s">
        <v>3202</v>
      </c>
      <c r="B854" s="357" t="s">
        <v>3203</v>
      </c>
      <c r="C854" s="358" t="s">
        <v>1947</v>
      </c>
      <c r="D854" s="358" t="s">
        <v>1947</v>
      </c>
      <c r="E854" s="358" t="s">
        <v>1947</v>
      </c>
      <c r="F854" s="358" t="s">
        <v>1947</v>
      </c>
      <c r="G854" s="358" t="s">
        <v>1947</v>
      </c>
    </row>
    <row r="855" spans="1:7">
      <c r="A855" s="356" t="s">
        <v>3204</v>
      </c>
      <c r="B855" s="357" t="s">
        <v>3205</v>
      </c>
      <c r="C855" s="358" t="s">
        <v>1947</v>
      </c>
      <c r="D855" s="358" t="s">
        <v>1947</v>
      </c>
      <c r="E855" s="358" t="s">
        <v>1947</v>
      </c>
      <c r="F855" s="358" t="s">
        <v>1947</v>
      </c>
      <c r="G855" s="358" t="s">
        <v>1947</v>
      </c>
    </row>
    <row r="856" spans="1:7">
      <c r="A856" s="356" t="s">
        <v>3206</v>
      </c>
      <c r="B856" s="357" t="s">
        <v>3207</v>
      </c>
      <c r="C856" s="358" t="s">
        <v>1947</v>
      </c>
      <c r="D856" s="358" t="s">
        <v>1947</v>
      </c>
      <c r="E856" s="358" t="s">
        <v>1947</v>
      </c>
      <c r="F856" s="358" t="s">
        <v>1947</v>
      </c>
      <c r="G856" s="358" t="s">
        <v>1947</v>
      </c>
    </row>
    <row r="857" spans="1:7">
      <c r="A857" s="356" t="s">
        <v>3208</v>
      </c>
      <c r="B857" s="357" t="s">
        <v>3209</v>
      </c>
      <c r="C857" s="358" t="s">
        <v>116</v>
      </c>
      <c r="D857" s="358" t="s">
        <v>116</v>
      </c>
      <c r="E857" s="358" t="s">
        <v>116</v>
      </c>
      <c r="F857" s="358" t="s">
        <v>116</v>
      </c>
      <c r="G857" s="358" t="s">
        <v>116</v>
      </c>
    </row>
    <row r="858" spans="1:7">
      <c r="A858" s="356" t="s">
        <v>3210</v>
      </c>
      <c r="B858" s="357" t="s">
        <v>3211</v>
      </c>
      <c r="C858" s="358" t="s">
        <v>116</v>
      </c>
      <c r="D858" s="358" t="s">
        <v>116</v>
      </c>
      <c r="E858" s="358" t="s">
        <v>116</v>
      </c>
      <c r="F858" s="358" t="s">
        <v>116</v>
      </c>
      <c r="G858" s="358" t="s">
        <v>116</v>
      </c>
    </row>
    <row r="859" spans="1:7">
      <c r="A859" s="356" t="s">
        <v>3212</v>
      </c>
      <c r="B859" s="357" t="s">
        <v>3213</v>
      </c>
      <c r="C859" s="358" t="s">
        <v>116</v>
      </c>
      <c r="D859" s="358" t="s">
        <v>116</v>
      </c>
      <c r="E859" s="358" t="s">
        <v>116</v>
      </c>
      <c r="F859" s="358" t="s">
        <v>116</v>
      </c>
      <c r="G859" s="358" t="s">
        <v>116</v>
      </c>
    </row>
    <row r="860" spans="1:7">
      <c r="A860" s="356" t="s">
        <v>3214</v>
      </c>
      <c r="B860" s="357" t="s">
        <v>3215</v>
      </c>
      <c r="C860" s="358" t="s">
        <v>116</v>
      </c>
      <c r="D860" s="358" t="s">
        <v>116</v>
      </c>
      <c r="E860" s="358" t="s">
        <v>116</v>
      </c>
      <c r="F860" s="358" t="s">
        <v>116</v>
      </c>
      <c r="G860" s="358" t="s">
        <v>116</v>
      </c>
    </row>
    <row r="861" spans="1:7">
      <c r="A861" s="356" t="s">
        <v>3216</v>
      </c>
      <c r="B861" s="357" t="s">
        <v>1947</v>
      </c>
      <c r="C861" s="358" t="s">
        <v>1947</v>
      </c>
      <c r="D861" s="358" t="s">
        <v>1947</v>
      </c>
      <c r="E861" s="358" t="s">
        <v>1947</v>
      </c>
      <c r="F861" s="358" t="s">
        <v>1947</v>
      </c>
      <c r="G861" s="358" t="s">
        <v>1947</v>
      </c>
    </row>
    <row r="862" spans="1:7">
      <c r="A862" s="356" t="s">
        <v>3217</v>
      </c>
      <c r="B862" s="357" t="s">
        <v>3218</v>
      </c>
      <c r="C862" s="358" t="s">
        <v>116</v>
      </c>
      <c r="D862" s="358" t="s">
        <v>116</v>
      </c>
      <c r="E862" s="358" t="s">
        <v>116</v>
      </c>
      <c r="F862" s="358" t="s">
        <v>116</v>
      </c>
      <c r="G862" s="358" t="s">
        <v>116</v>
      </c>
    </row>
    <row r="863" spans="1:7">
      <c r="A863" s="356" t="s">
        <v>3219</v>
      </c>
      <c r="B863" s="357" t="s">
        <v>3220</v>
      </c>
      <c r="C863" s="358" t="s">
        <v>116</v>
      </c>
      <c r="D863" s="358" t="s">
        <v>116</v>
      </c>
      <c r="E863" s="358" t="s">
        <v>116</v>
      </c>
      <c r="F863" s="358" t="s">
        <v>116</v>
      </c>
      <c r="G863" s="358" t="s">
        <v>116</v>
      </c>
    </row>
    <row r="864" spans="1:7">
      <c r="A864" s="356" t="s">
        <v>3221</v>
      </c>
      <c r="B864" s="357" t="s">
        <v>3222</v>
      </c>
      <c r="C864" s="358" t="s">
        <v>115</v>
      </c>
      <c r="D864" s="358" t="s">
        <v>116</v>
      </c>
      <c r="E864" s="358" t="s">
        <v>115</v>
      </c>
      <c r="F864" s="358" t="s">
        <v>115</v>
      </c>
      <c r="G864" s="358" t="s">
        <v>115</v>
      </c>
    </row>
    <row r="865" spans="1:7">
      <c r="A865" s="356" t="s">
        <v>3223</v>
      </c>
      <c r="B865" s="357" t="s">
        <v>2177</v>
      </c>
      <c r="C865" s="358" t="s">
        <v>116</v>
      </c>
      <c r="D865" s="358" t="s">
        <v>116</v>
      </c>
      <c r="E865" s="358" t="s">
        <v>116</v>
      </c>
      <c r="F865" s="358" t="s">
        <v>116</v>
      </c>
      <c r="G865" s="358" t="s">
        <v>116</v>
      </c>
    </row>
    <row r="866" spans="1:7">
      <c r="A866" s="356" t="s">
        <v>3224</v>
      </c>
      <c r="B866" s="357" t="s">
        <v>838</v>
      </c>
      <c r="C866" s="358" t="s">
        <v>116</v>
      </c>
      <c r="D866" s="358" t="s">
        <v>116</v>
      </c>
      <c r="E866" s="358" t="s">
        <v>116</v>
      </c>
      <c r="F866" s="358" t="s">
        <v>116</v>
      </c>
      <c r="G866" s="358" t="s">
        <v>116</v>
      </c>
    </row>
    <row r="867" spans="1:7">
      <c r="A867" s="356" t="s">
        <v>3225</v>
      </c>
      <c r="B867" s="357" t="s">
        <v>3226</v>
      </c>
      <c r="C867" s="358" t="s">
        <v>116</v>
      </c>
      <c r="D867" s="358" t="s">
        <v>116</v>
      </c>
      <c r="E867" s="358" t="s">
        <v>116</v>
      </c>
      <c r="F867" s="358" t="s">
        <v>116</v>
      </c>
      <c r="G867" s="358" t="s">
        <v>116</v>
      </c>
    </row>
    <row r="868" spans="1:7">
      <c r="A868" s="356" t="s">
        <v>3227</v>
      </c>
      <c r="B868" s="357" t="s">
        <v>3228</v>
      </c>
      <c r="C868" s="358" t="s">
        <v>116</v>
      </c>
      <c r="D868" s="358" t="s">
        <v>116</v>
      </c>
      <c r="E868" s="358" t="s">
        <v>116</v>
      </c>
      <c r="F868" s="358" t="s">
        <v>116</v>
      </c>
      <c r="G868" s="358" t="s">
        <v>116</v>
      </c>
    </row>
    <row r="869" spans="1:7">
      <c r="A869" s="356" t="s">
        <v>3229</v>
      </c>
      <c r="B869" s="357" t="s">
        <v>3230</v>
      </c>
      <c r="C869" s="358" t="s">
        <v>115</v>
      </c>
      <c r="D869" s="358" t="s">
        <v>1947</v>
      </c>
      <c r="E869" s="358" t="s">
        <v>115</v>
      </c>
      <c r="F869" s="358" t="s">
        <v>115</v>
      </c>
      <c r="G869" s="358" t="s">
        <v>115</v>
      </c>
    </row>
    <row r="870" spans="1:7">
      <c r="A870" s="356" t="s">
        <v>3231</v>
      </c>
      <c r="B870" s="357" t="s">
        <v>3232</v>
      </c>
      <c r="C870" s="358" t="s">
        <v>115</v>
      </c>
      <c r="D870" s="358" t="s">
        <v>116</v>
      </c>
      <c r="E870" s="358" t="s">
        <v>115</v>
      </c>
      <c r="F870" s="358" t="s">
        <v>116</v>
      </c>
      <c r="G870" s="358" t="s">
        <v>115</v>
      </c>
    </row>
    <row r="871" spans="1:7">
      <c r="A871" s="356" t="s">
        <v>3233</v>
      </c>
      <c r="B871" s="357" t="s">
        <v>3234</v>
      </c>
      <c r="C871" s="358" t="s">
        <v>116</v>
      </c>
      <c r="D871" s="358" t="s">
        <v>116</v>
      </c>
      <c r="E871" s="358" t="s">
        <v>116</v>
      </c>
      <c r="F871" s="358" t="s">
        <v>116</v>
      </c>
      <c r="G871" s="358" t="s">
        <v>116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56BCA-E106-418F-A5FC-7A52863FC1FB}">
  <sheetPr codeName="גיליון13"/>
  <dimension ref="A1:H277"/>
  <sheetViews>
    <sheetView rightToLeft="1" topLeftCell="A150" workbookViewId="0">
      <selection activeCell="F76" sqref="F76"/>
    </sheetView>
  </sheetViews>
  <sheetFormatPr defaultRowHeight="14.4"/>
  <cols>
    <col min="1" max="1" width="9.6640625" bestFit="1" customWidth="1"/>
    <col min="2" max="2" width="27.5546875" customWidth="1"/>
    <col min="4" max="4" width="11.44140625" bestFit="1" customWidth="1"/>
    <col min="5" max="5" width="17.21875" bestFit="1" customWidth="1"/>
    <col min="6" max="6" width="88.88671875" style="316" customWidth="1"/>
    <col min="8" max="8" width="32.44140625" customWidth="1"/>
  </cols>
  <sheetData>
    <row r="1" spans="1:6" ht="15.6" thickTop="1" thickBot="1">
      <c r="A1" s="110" t="s">
        <v>783</v>
      </c>
      <c r="B1" s="110" t="s">
        <v>91</v>
      </c>
      <c r="C1" s="110" t="s">
        <v>1377</v>
      </c>
      <c r="D1" s="110" t="s">
        <v>8</v>
      </c>
      <c r="E1" s="110" t="s">
        <v>1269</v>
      </c>
      <c r="F1" s="315" t="s">
        <v>1384</v>
      </c>
    </row>
    <row r="2" spans="1:6" ht="15.6" thickTop="1" thickBot="1">
      <c r="A2" s="110">
        <v>4</v>
      </c>
      <c r="B2" s="110" t="s">
        <v>68</v>
      </c>
      <c r="C2" s="110" t="s">
        <v>1378</v>
      </c>
      <c r="D2" s="110" t="s">
        <v>1379</v>
      </c>
      <c r="E2" s="110" t="s">
        <v>1379</v>
      </c>
      <c r="F2" s="315"/>
    </row>
    <row r="3" spans="1:6" ht="15.6" thickTop="1" thickBot="1">
      <c r="A3" s="110">
        <v>31</v>
      </c>
      <c r="B3" s="110" t="s">
        <v>1380</v>
      </c>
      <c r="C3" s="110" t="s">
        <v>1378</v>
      </c>
      <c r="D3" s="110"/>
      <c r="E3" s="110"/>
      <c r="F3" s="315"/>
    </row>
    <row r="4" spans="1:6" ht="15.6" thickTop="1" thickBot="1">
      <c r="A4" s="110"/>
      <c r="B4" s="110"/>
      <c r="C4" s="110"/>
      <c r="D4" s="110"/>
      <c r="E4" s="110"/>
      <c r="F4" s="315"/>
    </row>
    <row r="5" spans="1:6" ht="15.6" thickTop="1" thickBot="1">
      <c r="A5" s="110"/>
      <c r="B5" s="110"/>
      <c r="C5" s="110"/>
      <c r="D5" s="110"/>
      <c r="E5" s="110"/>
      <c r="F5" s="315"/>
    </row>
    <row r="6" spans="1:6" ht="15.6" thickTop="1" thickBot="1">
      <c r="A6" s="306">
        <v>507</v>
      </c>
      <c r="B6" s="300" t="s">
        <v>1271</v>
      </c>
      <c r="C6" s="110"/>
      <c r="D6" s="299" t="s">
        <v>115</v>
      </c>
      <c r="E6" s="299" t="s">
        <v>115</v>
      </c>
      <c r="F6" s="315"/>
    </row>
    <row r="7" spans="1:6" ht="15.6" thickTop="1" thickBot="1">
      <c r="A7" s="305">
        <v>509</v>
      </c>
      <c r="B7" s="299" t="s">
        <v>785</v>
      </c>
      <c r="C7" s="110"/>
      <c r="D7" s="299" t="s">
        <v>115</v>
      </c>
      <c r="E7" s="299" t="s">
        <v>115</v>
      </c>
      <c r="F7" s="315"/>
    </row>
    <row r="8" spans="1:6" ht="15.6" thickTop="1" thickBot="1">
      <c r="A8" s="305">
        <v>512</v>
      </c>
      <c r="B8" s="299" t="s">
        <v>1272</v>
      </c>
      <c r="C8" s="110"/>
      <c r="D8" s="299" t="s">
        <v>115</v>
      </c>
      <c r="E8" s="299" t="s">
        <v>115</v>
      </c>
      <c r="F8" s="315"/>
    </row>
    <row r="9" spans="1:6" ht="15.6" thickTop="1" thickBot="1">
      <c r="A9" s="305">
        <v>516</v>
      </c>
      <c r="B9" s="299" t="s">
        <v>1273</v>
      </c>
      <c r="C9" s="110"/>
      <c r="D9" s="299" t="s">
        <v>115</v>
      </c>
      <c r="E9" s="299" t="s">
        <v>115</v>
      </c>
      <c r="F9" s="315"/>
    </row>
    <row r="10" spans="1:6" ht="15.6" thickTop="1" thickBot="1">
      <c r="A10" s="305">
        <v>520</v>
      </c>
      <c r="B10" s="299" t="s">
        <v>1274</v>
      </c>
      <c r="C10" s="110"/>
      <c r="D10" s="299" t="s">
        <v>115</v>
      </c>
      <c r="E10" s="299" t="s">
        <v>115</v>
      </c>
      <c r="F10" s="315"/>
    </row>
    <row r="11" spans="1:6" ht="15.6" thickTop="1" thickBot="1">
      <c r="A11" s="305">
        <v>522</v>
      </c>
      <c r="B11" s="299" t="s">
        <v>1275</v>
      </c>
      <c r="C11" s="110"/>
      <c r="D11" s="299" t="s">
        <v>115</v>
      </c>
      <c r="E11" s="299" t="s">
        <v>115</v>
      </c>
      <c r="F11" s="315"/>
    </row>
    <row r="12" spans="1:6" ht="15.6" thickTop="1" thickBot="1">
      <c r="A12" s="305">
        <v>524</v>
      </c>
      <c r="B12" s="299" t="s">
        <v>1276</v>
      </c>
      <c r="C12" s="110"/>
      <c r="D12" s="299" t="s">
        <v>115</v>
      </c>
      <c r="E12" s="299" t="s">
        <v>115</v>
      </c>
      <c r="F12" s="315"/>
    </row>
    <row r="13" spans="1:6" ht="15.6" thickTop="1" thickBot="1">
      <c r="A13" s="305">
        <v>528</v>
      </c>
      <c r="B13" s="299" t="s">
        <v>1277</v>
      </c>
      <c r="C13" s="110"/>
      <c r="D13" s="299" t="s">
        <v>115</v>
      </c>
      <c r="E13" s="299" t="s">
        <v>115</v>
      </c>
      <c r="F13" s="315"/>
    </row>
    <row r="14" spans="1:6" ht="15.6" thickTop="1" thickBot="1">
      <c r="A14" s="305">
        <v>529</v>
      </c>
      <c r="B14" s="299" t="s">
        <v>1278</v>
      </c>
      <c r="C14" s="110"/>
      <c r="D14" s="299" t="s">
        <v>115</v>
      </c>
      <c r="E14" s="299" t="s">
        <v>115</v>
      </c>
      <c r="F14" s="315"/>
    </row>
    <row r="15" spans="1:6" ht="15.6" thickTop="1" thickBot="1">
      <c r="A15" s="305">
        <v>534</v>
      </c>
      <c r="B15" s="299" t="s">
        <v>787</v>
      </c>
      <c r="C15" s="110"/>
      <c r="D15" s="299" t="s">
        <v>115</v>
      </c>
      <c r="E15" s="299" t="s">
        <v>115</v>
      </c>
      <c r="F15" s="315"/>
    </row>
    <row r="16" spans="1:6" ht="15.6" thickTop="1" thickBot="1">
      <c r="A16" s="305">
        <v>549</v>
      </c>
      <c r="B16" s="299" t="s">
        <v>789</v>
      </c>
      <c r="C16" s="110"/>
      <c r="D16" s="299" t="s">
        <v>115</v>
      </c>
      <c r="E16" s="299" t="s">
        <v>115</v>
      </c>
      <c r="F16" s="315"/>
    </row>
    <row r="17" spans="1:6" ht="15.6" thickTop="1" thickBot="1">
      <c r="A17" s="305">
        <v>559</v>
      </c>
      <c r="B17" s="299" t="s">
        <v>791</v>
      </c>
      <c r="C17" s="110"/>
      <c r="D17" s="299" t="s">
        <v>115</v>
      </c>
      <c r="E17" s="299" t="s">
        <v>115</v>
      </c>
      <c r="F17" s="315"/>
    </row>
    <row r="18" spans="1:6" ht="15.6" thickTop="1" thickBot="1">
      <c r="A18" s="305">
        <v>569</v>
      </c>
      <c r="B18" s="299" t="s">
        <v>793</v>
      </c>
      <c r="C18" s="110"/>
      <c r="D18" s="299" t="s">
        <v>115</v>
      </c>
      <c r="E18" s="299" t="s">
        <v>115</v>
      </c>
      <c r="F18" s="315"/>
    </row>
    <row r="19" spans="1:6" ht="15.6" thickTop="1" thickBot="1">
      <c r="A19" s="305">
        <v>570</v>
      </c>
      <c r="B19" s="299" t="s">
        <v>795</v>
      </c>
      <c r="C19" s="110"/>
      <c r="D19" s="299" t="s">
        <v>115</v>
      </c>
      <c r="E19" s="299" t="s">
        <v>115</v>
      </c>
      <c r="F19" s="315"/>
    </row>
    <row r="20" spans="1:6" ht="15.6" thickTop="1" thickBot="1">
      <c r="A20" s="305">
        <v>571</v>
      </c>
      <c r="B20" s="299" t="s">
        <v>1279</v>
      </c>
      <c r="C20" s="110"/>
      <c r="D20" s="299" t="s">
        <v>115</v>
      </c>
      <c r="E20" s="299" t="s">
        <v>115</v>
      </c>
      <c r="F20" s="315"/>
    </row>
    <row r="21" spans="1:6" ht="15.6" thickTop="1" thickBot="1">
      <c r="A21" s="305">
        <v>576</v>
      </c>
      <c r="B21" s="299" t="s">
        <v>1280</v>
      </c>
      <c r="C21" s="110"/>
      <c r="D21" s="299" t="s">
        <v>115</v>
      </c>
      <c r="E21" s="299" t="s">
        <v>115</v>
      </c>
      <c r="F21" s="315"/>
    </row>
    <row r="22" spans="1:6" ht="15.6" thickTop="1" thickBot="1">
      <c r="A22" s="305">
        <v>578</v>
      </c>
      <c r="B22" s="299" t="s">
        <v>797</v>
      </c>
      <c r="C22" s="110"/>
      <c r="D22" s="299" t="s">
        <v>115</v>
      </c>
      <c r="E22" s="299" t="s">
        <v>115</v>
      </c>
      <c r="F22" s="315"/>
    </row>
    <row r="23" spans="1:6" ht="15.6" thickTop="1" thickBot="1">
      <c r="A23" s="305">
        <v>585</v>
      </c>
      <c r="B23" s="299" t="s">
        <v>799</v>
      </c>
      <c r="C23" s="110"/>
      <c r="D23" s="299" t="s">
        <v>115</v>
      </c>
      <c r="E23" s="299" t="s">
        <v>115</v>
      </c>
      <c r="F23" s="315"/>
    </row>
    <row r="24" spans="1:6" ht="15.6" thickTop="1" thickBot="1">
      <c r="A24" s="305">
        <v>594</v>
      </c>
      <c r="B24" s="299" t="s">
        <v>801</v>
      </c>
      <c r="C24" s="110"/>
      <c r="D24" s="299" t="s">
        <v>115</v>
      </c>
      <c r="E24" s="299" t="s">
        <v>115</v>
      </c>
      <c r="F24" s="315"/>
    </row>
    <row r="25" spans="1:6" ht="15.6" thickTop="1" thickBot="1">
      <c r="A25" s="305">
        <v>597</v>
      </c>
      <c r="B25" s="299" t="s">
        <v>1281</v>
      </c>
      <c r="C25" s="110"/>
      <c r="D25" s="299" t="s">
        <v>116</v>
      </c>
      <c r="E25" s="299" t="s">
        <v>115</v>
      </c>
      <c r="F25" s="315"/>
    </row>
    <row r="26" spans="1:6" s="311" customFormat="1" ht="58.8" thickTop="1" thickBot="1">
      <c r="A26" s="308">
        <v>600</v>
      </c>
      <c r="B26" s="309" t="s">
        <v>803</v>
      </c>
      <c r="C26" s="310" t="s">
        <v>1378</v>
      </c>
      <c r="D26" s="309" t="s">
        <v>1282</v>
      </c>
      <c r="E26" s="309" t="s">
        <v>115</v>
      </c>
      <c r="F26" s="315" t="s">
        <v>1385</v>
      </c>
    </row>
    <row r="27" spans="1:6" ht="15.6" thickTop="1" thickBot="1">
      <c r="A27" s="305">
        <v>601</v>
      </c>
      <c r="B27" s="299" t="s">
        <v>1283</v>
      </c>
      <c r="C27" s="110"/>
      <c r="D27" s="299" t="s">
        <v>115</v>
      </c>
      <c r="E27" s="299" t="s">
        <v>115</v>
      </c>
      <c r="F27" s="315"/>
    </row>
    <row r="28" spans="1:6" ht="15.6" thickTop="1" thickBot="1">
      <c r="A28" s="305">
        <v>607</v>
      </c>
      <c r="B28" s="299" t="s">
        <v>1284</v>
      </c>
      <c r="C28" s="110"/>
      <c r="D28" s="299" t="s">
        <v>115</v>
      </c>
      <c r="E28" s="299" t="s">
        <v>115</v>
      </c>
      <c r="F28" s="315"/>
    </row>
    <row r="29" spans="1:6" ht="15.6" thickTop="1" thickBot="1">
      <c r="A29" s="305">
        <v>608</v>
      </c>
      <c r="B29" s="299" t="s">
        <v>1285</v>
      </c>
      <c r="C29" s="110"/>
      <c r="D29" s="299" t="s">
        <v>115</v>
      </c>
      <c r="E29" s="299" t="s">
        <v>115</v>
      </c>
      <c r="F29" s="315"/>
    </row>
    <row r="30" spans="1:6" ht="15.6" thickTop="1" thickBot="1">
      <c r="A30" s="305">
        <v>616</v>
      </c>
      <c r="B30" s="299" t="s">
        <v>805</v>
      </c>
      <c r="C30" s="110"/>
      <c r="D30" s="299" t="s">
        <v>115</v>
      </c>
      <c r="E30" s="299" t="s">
        <v>115</v>
      </c>
      <c r="F30" s="315"/>
    </row>
    <row r="31" spans="1:6" ht="15.6" thickTop="1" thickBot="1">
      <c r="A31" s="305">
        <v>623</v>
      </c>
      <c r="B31" s="299" t="s">
        <v>1286</v>
      </c>
      <c r="C31" s="110"/>
      <c r="D31" s="299" t="s">
        <v>115</v>
      </c>
      <c r="E31" s="299" t="s">
        <v>115</v>
      </c>
      <c r="F31" s="315"/>
    </row>
    <row r="32" spans="1:6" s="311" customFormat="1" ht="30" thickTop="1" thickBot="1">
      <c r="A32" s="308">
        <v>626</v>
      </c>
      <c r="B32" s="309" t="s">
        <v>1204</v>
      </c>
      <c r="C32" s="310" t="s">
        <v>1378</v>
      </c>
      <c r="D32" s="309" t="s">
        <v>115</v>
      </c>
      <c r="E32" s="309" t="s">
        <v>115</v>
      </c>
      <c r="F32" s="315" t="s">
        <v>1386</v>
      </c>
    </row>
    <row r="33" spans="1:6" ht="15.6" thickTop="1" thickBot="1">
      <c r="A33" s="305">
        <v>628</v>
      </c>
      <c r="B33" s="299" t="s">
        <v>807</v>
      </c>
      <c r="C33" s="110" t="s">
        <v>1378</v>
      </c>
      <c r="D33" s="299" t="s">
        <v>115</v>
      </c>
      <c r="E33" s="299" t="s">
        <v>115</v>
      </c>
      <c r="F33" s="329" t="s">
        <v>1406</v>
      </c>
    </row>
    <row r="34" spans="1:6" ht="15.6" thickTop="1" thickBot="1">
      <c r="A34" s="305">
        <v>630</v>
      </c>
      <c r="B34" s="299" t="s">
        <v>809</v>
      </c>
      <c r="C34" s="110"/>
      <c r="D34" s="299" t="s">
        <v>115</v>
      </c>
      <c r="E34" s="299" t="s">
        <v>115</v>
      </c>
      <c r="F34" s="315"/>
    </row>
    <row r="35" spans="1:6" ht="15.6" thickTop="1" thickBot="1">
      <c r="A35" s="305">
        <v>636</v>
      </c>
      <c r="B35" s="299" t="s">
        <v>94</v>
      </c>
      <c r="C35" s="110"/>
      <c r="D35" s="299" t="s">
        <v>115</v>
      </c>
      <c r="E35" s="299" t="s">
        <v>115</v>
      </c>
      <c r="F35" s="315"/>
    </row>
    <row r="36" spans="1:6" ht="15.6" thickTop="1" thickBot="1">
      <c r="A36" s="305">
        <v>639</v>
      </c>
      <c r="B36" s="299" t="s">
        <v>812</v>
      </c>
      <c r="C36" s="110"/>
      <c r="D36" s="299" t="s">
        <v>115</v>
      </c>
      <c r="E36" s="299" t="s">
        <v>115</v>
      </c>
      <c r="F36" s="315"/>
    </row>
    <row r="37" spans="1:6" ht="15.6" thickTop="1" thickBot="1">
      <c r="A37" s="305">
        <v>642</v>
      </c>
      <c r="B37" s="299" t="s">
        <v>1288</v>
      </c>
      <c r="C37" s="110"/>
      <c r="D37" s="299" t="s">
        <v>115</v>
      </c>
      <c r="E37" s="299" t="s">
        <v>115</v>
      </c>
      <c r="F37" s="315"/>
    </row>
    <row r="38" spans="1:6" ht="15.6" thickTop="1" thickBot="1">
      <c r="A38" s="305">
        <v>643</v>
      </c>
      <c r="B38" s="299" t="s">
        <v>814</v>
      </c>
      <c r="C38" s="110"/>
      <c r="D38" s="299" t="s">
        <v>115</v>
      </c>
      <c r="E38" s="299" t="s">
        <v>115</v>
      </c>
      <c r="F38" s="315"/>
    </row>
    <row r="39" spans="1:6" ht="15.6" thickTop="1" thickBot="1">
      <c r="A39" s="305">
        <v>647</v>
      </c>
      <c r="B39" s="299" t="s">
        <v>123</v>
      </c>
      <c r="C39" s="110"/>
      <c r="D39" s="299" t="s">
        <v>115</v>
      </c>
      <c r="E39" s="299" t="s">
        <v>115</v>
      </c>
      <c r="F39" s="315"/>
    </row>
    <row r="40" spans="1:6" ht="15.6" thickTop="1" thickBot="1">
      <c r="A40" s="305">
        <v>650</v>
      </c>
      <c r="B40" s="299" t="s">
        <v>1289</v>
      </c>
      <c r="C40" s="110"/>
      <c r="D40" s="299" t="s">
        <v>116</v>
      </c>
      <c r="E40" s="299" t="s">
        <v>116</v>
      </c>
      <c r="F40" s="315"/>
    </row>
    <row r="41" spans="1:6" ht="15.6" thickTop="1" thickBot="1">
      <c r="A41" s="305">
        <v>652</v>
      </c>
      <c r="B41" s="299" t="s">
        <v>817</v>
      </c>
      <c r="C41" s="110"/>
      <c r="D41" s="299" t="s">
        <v>115</v>
      </c>
      <c r="E41" s="299" t="s">
        <v>115</v>
      </c>
      <c r="F41" s="315"/>
    </row>
    <row r="42" spans="1:6" ht="15.6" thickTop="1" thickBot="1">
      <c r="A42" s="305">
        <v>654</v>
      </c>
      <c r="B42" s="299" t="s">
        <v>819</v>
      </c>
      <c r="C42" s="110"/>
      <c r="D42" s="299" t="s">
        <v>115</v>
      </c>
      <c r="E42" s="299" t="s">
        <v>115</v>
      </c>
      <c r="F42" s="315"/>
    </row>
    <row r="43" spans="1:6" ht="15.6" thickTop="1" thickBot="1">
      <c r="A43" s="305">
        <v>658</v>
      </c>
      <c r="B43" s="299" t="s">
        <v>68</v>
      </c>
      <c r="C43" s="110"/>
      <c r="D43" s="299" t="s">
        <v>115</v>
      </c>
      <c r="E43" s="299" t="s">
        <v>115</v>
      </c>
      <c r="F43" s="315"/>
    </row>
    <row r="44" spans="1:6" ht="15.6" thickTop="1" thickBot="1">
      <c r="A44" s="305">
        <v>659</v>
      </c>
      <c r="B44" s="299" t="s">
        <v>822</v>
      </c>
      <c r="C44" s="110"/>
      <c r="D44" s="299" t="s">
        <v>115</v>
      </c>
      <c r="E44" s="299" t="s">
        <v>115</v>
      </c>
      <c r="F44" s="315"/>
    </row>
    <row r="45" spans="1:6" ht="15.6" thickTop="1" thickBot="1">
      <c r="A45" s="305">
        <v>661</v>
      </c>
      <c r="B45" s="299" t="s">
        <v>1290</v>
      </c>
      <c r="C45" s="110"/>
      <c r="D45" s="299" t="s">
        <v>115</v>
      </c>
      <c r="E45" s="299" t="s">
        <v>115</v>
      </c>
      <c r="F45" s="315"/>
    </row>
    <row r="46" spans="1:6" ht="15.6" thickTop="1" thickBot="1">
      <c r="A46" s="305">
        <v>662</v>
      </c>
      <c r="B46" s="299" t="s">
        <v>1291</v>
      </c>
      <c r="C46" s="110"/>
      <c r="D46" s="299" t="s">
        <v>115</v>
      </c>
      <c r="E46" s="299" t="s">
        <v>115</v>
      </c>
      <c r="F46" s="315"/>
    </row>
    <row r="47" spans="1:6" ht="15.6" thickTop="1" thickBot="1">
      <c r="A47" s="305">
        <v>663</v>
      </c>
      <c r="B47" s="299" t="s">
        <v>1292</v>
      </c>
      <c r="C47" s="110"/>
      <c r="D47" s="299" t="s">
        <v>115</v>
      </c>
      <c r="E47" s="299" t="s">
        <v>115</v>
      </c>
      <c r="F47" s="315"/>
    </row>
    <row r="48" spans="1:6" ht="15.6" thickTop="1" thickBot="1">
      <c r="A48" s="305">
        <v>667</v>
      </c>
      <c r="B48" s="299" t="s">
        <v>123</v>
      </c>
      <c r="C48" s="110" t="s">
        <v>1378</v>
      </c>
      <c r="D48" s="299" t="s">
        <v>115</v>
      </c>
      <c r="E48" s="299" t="s">
        <v>115</v>
      </c>
      <c r="F48" s="315"/>
    </row>
    <row r="49" spans="1:7" ht="30" thickTop="1" thickBot="1">
      <c r="A49" s="305">
        <v>669</v>
      </c>
      <c r="B49" s="299" t="s">
        <v>825</v>
      </c>
      <c r="C49" s="110" t="s">
        <v>1381</v>
      </c>
      <c r="D49" s="299" t="s">
        <v>115</v>
      </c>
      <c r="E49" s="299" t="s">
        <v>115</v>
      </c>
      <c r="F49" s="314" t="s">
        <v>1387</v>
      </c>
      <c r="G49" s="307"/>
    </row>
    <row r="50" spans="1:7" ht="15.6" thickTop="1" thickBot="1">
      <c r="A50" s="305">
        <v>674</v>
      </c>
      <c r="B50" s="299" t="s">
        <v>827</v>
      </c>
      <c r="C50" s="110"/>
      <c r="D50" s="299" t="s">
        <v>115</v>
      </c>
      <c r="E50" s="299" t="s">
        <v>115</v>
      </c>
      <c r="F50" s="315"/>
    </row>
    <row r="51" spans="1:7" ht="15.6" thickTop="1" thickBot="1">
      <c r="A51" s="305">
        <v>675</v>
      </c>
      <c r="B51" s="299" t="s">
        <v>1293</v>
      </c>
      <c r="C51" s="110"/>
      <c r="D51" s="299" t="s">
        <v>115</v>
      </c>
      <c r="E51" s="299" t="s">
        <v>115</v>
      </c>
      <c r="F51" s="315"/>
    </row>
    <row r="52" spans="1:7" ht="15.6" thickTop="1" thickBot="1">
      <c r="A52" s="305">
        <v>678</v>
      </c>
      <c r="B52" s="299" t="s">
        <v>1294</v>
      </c>
      <c r="C52" s="110"/>
      <c r="D52" s="299" t="s">
        <v>115</v>
      </c>
      <c r="E52" s="299" t="s">
        <v>115</v>
      </c>
      <c r="F52" s="315"/>
    </row>
    <row r="53" spans="1:7" ht="15.6" thickTop="1" thickBot="1">
      <c r="A53" s="305">
        <v>681</v>
      </c>
      <c r="B53" s="299" t="s">
        <v>1295</v>
      </c>
      <c r="C53" s="110"/>
      <c r="D53" s="299" t="s">
        <v>115</v>
      </c>
      <c r="E53" s="299" t="s">
        <v>115</v>
      </c>
      <c r="F53" s="315"/>
    </row>
    <row r="54" spans="1:7" ht="15.6" thickTop="1" thickBot="1">
      <c r="A54" s="305">
        <v>682</v>
      </c>
      <c r="B54" s="299" t="s">
        <v>1296</v>
      </c>
      <c r="C54" s="110"/>
      <c r="D54" s="299" t="s">
        <v>116</v>
      </c>
      <c r="E54" s="299" t="s">
        <v>115</v>
      </c>
      <c r="F54" s="315"/>
    </row>
    <row r="55" spans="1:7" ht="15.6" thickTop="1" thickBot="1">
      <c r="A55" s="305">
        <v>684</v>
      </c>
      <c r="B55" s="299" t="s">
        <v>829</v>
      </c>
      <c r="C55" s="110"/>
      <c r="D55" s="299" t="s">
        <v>115</v>
      </c>
      <c r="E55" s="299" t="s">
        <v>115</v>
      </c>
      <c r="F55" s="315"/>
    </row>
    <row r="56" spans="1:7" ht="15.6" thickTop="1" thickBot="1">
      <c r="A56" s="305">
        <v>692</v>
      </c>
      <c r="B56" s="299" t="s">
        <v>829</v>
      </c>
      <c r="C56" s="110"/>
      <c r="D56" s="299" t="s">
        <v>115</v>
      </c>
      <c r="E56" s="299" t="s">
        <v>115</v>
      </c>
      <c r="F56" s="315"/>
    </row>
    <row r="57" spans="1:7" ht="15.6" thickTop="1" thickBot="1">
      <c r="A57" s="305">
        <v>694</v>
      </c>
      <c r="B57" s="299" t="s">
        <v>832</v>
      </c>
      <c r="C57" s="110"/>
      <c r="D57" s="299" t="s">
        <v>115</v>
      </c>
      <c r="E57" s="299" t="s">
        <v>115</v>
      </c>
      <c r="F57" s="315"/>
    </row>
    <row r="58" spans="1:7" ht="15.6" thickTop="1" thickBot="1">
      <c r="A58" s="305">
        <v>695</v>
      </c>
      <c r="B58" s="299" t="s">
        <v>834</v>
      </c>
      <c r="C58" s="110"/>
      <c r="D58" s="299" t="s">
        <v>116</v>
      </c>
      <c r="E58" s="299" t="s">
        <v>116</v>
      </c>
      <c r="F58" s="315"/>
    </row>
    <row r="59" spans="1:7" ht="15.6" thickTop="1" thickBot="1">
      <c r="A59" s="305">
        <v>697</v>
      </c>
      <c r="B59" s="299" t="s">
        <v>836</v>
      </c>
      <c r="C59" s="110"/>
      <c r="D59" s="299" t="s">
        <v>115</v>
      </c>
      <c r="E59" s="299" t="s">
        <v>115</v>
      </c>
      <c r="F59" s="315"/>
    </row>
    <row r="60" spans="1:7" ht="15.6" thickTop="1" thickBot="1">
      <c r="A60" s="305">
        <v>698</v>
      </c>
      <c r="B60" s="299" t="s">
        <v>1297</v>
      </c>
      <c r="C60" s="110"/>
      <c r="D60" s="299" t="s">
        <v>115</v>
      </c>
      <c r="E60" s="299" t="s">
        <v>115</v>
      </c>
      <c r="F60" s="315"/>
    </row>
    <row r="61" spans="1:7" ht="15.6" thickTop="1" thickBot="1">
      <c r="A61" s="305">
        <v>699</v>
      </c>
      <c r="B61" s="299" t="s">
        <v>838</v>
      </c>
      <c r="C61" s="110"/>
      <c r="D61" s="299" t="s">
        <v>116</v>
      </c>
      <c r="E61" s="299" t="s">
        <v>115</v>
      </c>
      <c r="F61" s="315"/>
    </row>
    <row r="62" spans="1:7" ht="15.6" thickTop="1" thickBot="1">
      <c r="A62" s="305">
        <v>702</v>
      </c>
      <c r="B62" s="299" t="s">
        <v>1298</v>
      </c>
      <c r="C62" s="110"/>
      <c r="D62" s="299" t="s">
        <v>115</v>
      </c>
      <c r="E62" s="299" t="s">
        <v>115</v>
      </c>
      <c r="F62" s="315"/>
    </row>
    <row r="63" spans="1:7" ht="15.6" thickTop="1" thickBot="1">
      <c r="A63" s="305">
        <v>705</v>
      </c>
      <c r="B63" s="299" t="s">
        <v>840</v>
      </c>
      <c r="C63" s="110" t="s">
        <v>1378</v>
      </c>
      <c r="D63" s="299" t="s">
        <v>115</v>
      </c>
      <c r="E63" s="299" t="s">
        <v>115</v>
      </c>
      <c r="F63" s="196" t="s">
        <v>841</v>
      </c>
    </row>
    <row r="64" spans="1:7" ht="15.6" thickTop="1" thickBot="1">
      <c r="A64" s="305">
        <v>707</v>
      </c>
      <c r="B64" s="299" t="s">
        <v>1299</v>
      </c>
      <c r="C64" s="110"/>
      <c r="D64" s="299" t="s">
        <v>115</v>
      </c>
      <c r="E64" s="299" t="s">
        <v>115</v>
      </c>
      <c r="F64" s="315"/>
    </row>
    <row r="65" spans="1:8" ht="15.6" thickTop="1" thickBot="1">
      <c r="A65" s="305">
        <v>707</v>
      </c>
      <c r="B65" s="299" t="s">
        <v>1299</v>
      </c>
      <c r="C65" s="110"/>
      <c r="D65" s="299" t="s">
        <v>115</v>
      </c>
      <c r="E65" s="299" t="s">
        <v>115</v>
      </c>
      <c r="F65" s="315"/>
    </row>
    <row r="66" spans="1:8" ht="15.6" thickTop="1" thickBot="1">
      <c r="A66" s="305">
        <v>717</v>
      </c>
      <c r="B66" s="299" t="s">
        <v>1300</v>
      </c>
      <c r="C66" s="110"/>
      <c r="D66" s="299" t="s">
        <v>115</v>
      </c>
      <c r="E66" s="299" t="s">
        <v>115</v>
      </c>
      <c r="F66" s="315"/>
    </row>
    <row r="67" spans="1:8" ht="15.6" thickTop="1" thickBot="1">
      <c r="A67" s="305">
        <v>724</v>
      </c>
      <c r="B67" s="299" t="s">
        <v>842</v>
      </c>
      <c r="C67" s="110"/>
      <c r="D67" s="299" t="s">
        <v>115</v>
      </c>
      <c r="E67" s="299" t="s">
        <v>115</v>
      </c>
      <c r="F67" s="315"/>
    </row>
    <row r="68" spans="1:8" ht="15.6" thickTop="1" thickBot="1">
      <c r="A68" s="305">
        <v>726</v>
      </c>
      <c r="B68" s="299" t="s">
        <v>1301</v>
      </c>
      <c r="C68" s="110"/>
      <c r="D68" s="299" t="s">
        <v>115</v>
      </c>
      <c r="E68" s="299" t="s">
        <v>115</v>
      </c>
      <c r="F68" s="315"/>
    </row>
    <row r="69" spans="1:8" ht="15.6" thickTop="1" thickBot="1">
      <c r="A69" s="305">
        <v>727</v>
      </c>
      <c r="B69" s="299" t="s">
        <v>844</v>
      </c>
      <c r="C69" s="110"/>
      <c r="D69" s="299" t="s">
        <v>115</v>
      </c>
      <c r="E69" s="299" t="s">
        <v>115</v>
      </c>
      <c r="F69" s="315"/>
    </row>
    <row r="70" spans="1:8" ht="30" thickTop="1" thickBot="1">
      <c r="A70" s="305">
        <v>728</v>
      </c>
      <c r="B70" s="299" t="s">
        <v>1302</v>
      </c>
      <c r="C70" s="310" t="s">
        <v>1378</v>
      </c>
      <c r="D70" s="299" t="s">
        <v>115</v>
      </c>
      <c r="E70" s="299" t="s">
        <v>115</v>
      </c>
      <c r="F70" s="315" t="s">
        <v>1390</v>
      </c>
    </row>
    <row r="71" spans="1:8" ht="15.6" thickTop="1" thickBot="1">
      <c r="A71" s="305">
        <v>729</v>
      </c>
      <c r="B71" s="299" t="s">
        <v>1303</v>
      </c>
      <c r="C71" s="110"/>
      <c r="D71" s="299" t="s">
        <v>115</v>
      </c>
      <c r="E71" s="299" t="s">
        <v>115</v>
      </c>
      <c r="F71" s="315"/>
    </row>
    <row r="72" spans="1:8" ht="15.6" thickTop="1" thickBot="1">
      <c r="A72" s="305">
        <v>730</v>
      </c>
      <c r="B72" s="299" t="s">
        <v>845</v>
      </c>
      <c r="C72" s="110"/>
      <c r="D72" s="299" t="s">
        <v>115</v>
      </c>
      <c r="E72" s="299" t="s">
        <v>115</v>
      </c>
      <c r="F72" s="315"/>
    </row>
    <row r="73" spans="1:8" ht="15.6" thickTop="1" thickBot="1">
      <c r="A73" s="305">
        <v>735</v>
      </c>
      <c r="B73" s="299" t="s">
        <v>1304</v>
      </c>
      <c r="C73" s="110"/>
      <c r="D73" s="299" t="s">
        <v>115</v>
      </c>
      <c r="E73" s="299" t="s">
        <v>115</v>
      </c>
      <c r="F73" s="315"/>
    </row>
    <row r="74" spans="1:8" ht="15.6" thickTop="1" thickBot="1">
      <c r="A74" s="305">
        <v>736</v>
      </c>
      <c r="B74" s="299" t="s">
        <v>1305</v>
      </c>
      <c r="C74" s="110"/>
      <c r="D74" s="299" t="s">
        <v>115</v>
      </c>
      <c r="E74" s="299" t="s">
        <v>115</v>
      </c>
      <c r="F74" s="315"/>
    </row>
    <row r="75" spans="1:8" ht="30" thickTop="1" thickBot="1">
      <c r="A75" s="305">
        <v>737</v>
      </c>
      <c r="B75" s="299" t="s">
        <v>1306</v>
      </c>
      <c r="C75" s="310" t="s">
        <v>1378</v>
      </c>
      <c r="D75" s="299" t="s">
        <v>115</v>
      </c>
      <c r="E75" s="299" t="s">
        <v>115</v>
      </c>
      <c r="F75" s="315" t="s">
        <v>1391</v>
      </c>
      <c r="H75" s="307"/>
    </row>
    <row r="76" spans="1:8" s="311" customFormat="1" ht="87.6" thickTop="1" thickBot="1">
      <c r="A76" s="308">
        <v>738</v>
      </c>
      <c r="B76" s="309" t="s">
        <v>1376</v>
      </c>
      <c r="C76" s="310" t="s">
        <v>1381</v>
      </c>
      <c r="D76" s="309" t="s">
        <v>115</v>
      </c>
      <c r="E76" s="309" t="s">
        <v>115</v>
      </c>
      <c r="F76" s="315" t="s">
        <v>1388</v>
      </c>
    </row>
    <row r="77" spans="1:8" ht="15.6" thickTop="1" thickBot="1">
      <c r="A77" s="305">
        <v>739</v>
      </c>
      <c r="B77" s="299" t="s">
        <v>1307</v>
      </c>
      <c r="C77" s="110"/>
      <c r="D77" s="299" t="s">
        <v>115</v>
      </c>
      <c r="E77" s="299" t="s">
        <v>115</v>
      </c>
      <c r="F77" s="315"/>
    </row>
    <row r="78" spans="1:8" ht="15.6" thickTop="1" thickBot="1">
      <c r="A78" s="305">
        <v>740</v>
      </c>
      <c r="B78" s="299" t="s">
        <v>1308</v>
      </c>
      <c r="C78" s="110"/>
      <c r="D78" s="299" t="s">
        <v>116</v>
      </c>
      <c r="E78" s="299" t="s">
        <v>115</v>
      </c>
      <c r="F78" s="315"/>
      <c r="H78" s="1"/>
    </row>
    <row r="79" spans="1:8" s="311" customFormat="1" ht="58.8" thickTop="1" thickBot="1">
      <c r="A79" s="308">
        <v>741</v>
      </c>
      <c r="B79" s="309" t="s">
        <v>847</v>
      </c>
      <c r="C79" s="310" t="s">
        <v>1381</v>
      </c>
      <c r="D79" s="309" t="s">
        <v>115</v>
      </c>
      <c r="E79" s="309" t="s">
        <v>115</v>
      </c>
      <c r="F79" s="315" t="s">
        <v>1392</v>
      </c>
      <c r="H79" s="318"/>
    </row>
    <row r="80" spans="1:8" ht="15.6" thickTop="1" thickBot="1">
      <c r="A80" s="305">
        <v>742</v>
      </c>
      <c r="B80" s="299" t="s">
        <v>1309</v>
      </c>
      <c r="C80" s="110"/>
      <c r="D80" s="299" t="s">
        <v>115</v>
      </c>
      <c r="E80" s="299" t="s">
        <v>115</v>
      </c>
      <c r="F80" s="315"/>
      <c r="H80" s="1"/>
    </row>
    <row r="81" spans="1:8" ht="15.6" thickTop="1" thickBot="1">
      <c r="A81" s="305">
        <v>743</v>
      </c>
      <c r="B81" s="299" t="s">
        <v>849</v>
      </c>
      <c r="C81" s="110"/>
      <c r="D81" s="299" t="s">
        <v>115</v>
      </c>
      <c r="E81" s="299" t="s">
        <v>115</v>
      </c>
      <c r="F81" s="315"/>
      <c r="H81" s="1"/>
    </row>
    <row r="82" spans="1:8" ht="15.6" thickTop="1" thickBot="1">
      <c r="A82" s="305">
        <v>746</v>
      </c>
      <c r="B82" s="299" t="s">
        <v>1310</v>
      </c>
      <c r="C82" s="110"/>
      <c r="D82" s="299" t="s">
        <v>116</v>
      </c>
      <c r="E82" s="299" t="s">
        <v>116</v>
      </c>
      <c r="F82" s="315"/>
      <c r="H82" s="1"/>
    </row>
    <row r="83" spans="1:8" ht="15.6" thickTop="1" thickBot="1">
      <c r="A83" s="305">
        <v>747</v>
      </c>
      <c r="B83" s="299" t="s">
        <v>1311</v>
      </c>
      <c r="C83" s="110"/>
      <c r="D83" s="299" t="s">
        <v>115</v>
      </c>
      <c r="E83" s="299" t="s">
        <v>115</v>
      </c>
      <c r="F83" s="315"/>
      <c r="H83" s="1"/>
    </row>
    <row r="84" spans="1:8" ht="15.6" thickTop="1" thickBot="1">
      <c r="A84" s="305">
        <v>748</v>
      </c>
      <c r="B84" s="299" t="s">
        <v>1312</v>
      </c>
      <c r="C84" s="110"/>
      <c r="D84" s="299" t="s">
        <v>115</v>
      </c>
      <c r="E84" s="299" t="s">
        <v>115</v>
      </c>
      <c r="F84" s="315"/>
    </row>
    <row r="85" spans="1:8" ht="15.6" thickTop="1" thickBot="1">
      <c r="A85" s="305">
        <v>751</v>
      </c>
      <c r="B85" s="299" t="s">
        <v>851</v>
      </c>
      <c r="C85" s="110"/>
      <c r="D85" s="299" t="s">
        <v>115</v>
      </c>
      <c r="E85" s="299" t="s">
        <v>115</v>
      </c>
      <c r="F85" s="315"/>
    </row>
    <row r="86" spans="1:8" ht="15.6" thickTop="1" thickBot="1">
      <c r="A86" s="305">
        <v>752</v>
      </c>
      <c r="B86" s="299" t="s">
        <v>853</v>
      </c>
      <c r="C86" s="110"/>
      <c r="D86" s="299" t="s">
        <v>115</v>
      </c>
      <c r="E86" s="299" t="s">
        <v>115</v>
      </c>
      <c r="F86" s="315"/>
    </row>
    <row r="87" spans="1:8" ht="15.6" thickTop="1" thickBot="1">
      <c r="A87" s="305">
        <v>753</v>
      </c>
      <c r="B87" s="299" t="s">
        <v>1313</v>
      </c>
      <c r="C87" s="110"/>
      <c r="D87" s="299" t="s">
        <v>115</v>
      </c>
      <c r="E87" s="299" t="s">
        <v>115</v>
      </c>
      <c r="F87" s="315"/>
    </row>
    <row r="88" spans="1:8" ht="15.6" thickTop="1" thickBot="1">
      <c r="A88" s="305">
        <v>756</v>
      </c>
      <c r="B88" s="299" t="s">
        <v>855</v>
      </c>
      <c r="C88" s="110"/>
      <c r="D88" s="299" t="s">
        <v>115</v>
      </c>
      <c r="E88" s="299" t="s">
        <v>115</v>
      </c>
      <c r="F88" s="315"/>
    </row>
    <row r="89" spans="1:8" ht="15.6" thickTop="1" thickBot="1">
      <c r="A89" s="305">
        <v>756</v>
      </c>
      <c r="B89" s="299" t="s">
        <v>1314</v>
      </c>
      <c r="C89" s="110"/>
      <c r="D89" s="299" t="s">
        <v>115</v>
      </c>
      <c r="E89" s="299" t="s">
        <v>115</v>
      </c>
      <c r="F89" s="315"/>
    </row>
    <row r="90" spans="1:8" ht="15.6" thickTop="1" thickBot="1">
      <c r="A90" s="305">
        <v>764</v>
      </c>
      <c r="B90" s="299" t="s">
        <v>94</v>
      </c>
      <c r="C90" s="110" t="s">
        <v>1378</v>
      </c>
      <c r="D90" s="299" t="s">
        <v>115</v>
      </c>
      <c r="E90" s="299" t="s">
        <v>115</v>
      </c>
      <c r="F90" s="315"/>
    </row>
    <row r="91" spans="1:8" ht="15.6" thickTop="1" thickBot="1">
      <c r="A91" s="305">
        <v>766</v>
      </c>
      <c r="B91" s="299" t="s">
        <v>858</v>
      </c>
      <c r="C91" s="110"/>
      <c r="D91" s="299" t="s">
        <v>115</v>
      </c>
      <c r="E91" s="299" t="s">
        <v>115</v>
      </c>
      <c r="F91" s="315"/>
    </row>
    <row r="92" spans="1:8" ht="15.6" thickTop="1" thickBot="1">
      <c r="A92" s="305">
        <v>768</v>
      </c>
      <c r="B92" s="299" t="s">
        <v>1315</v>
      </c>
      <c r="C92" s="110"/>
      <c r="D92" s="299" t="s">
        <v>115</v>
      </c>
      <c r="E92" s="299" t="s">
        <v>115</v>
      </c>
      <c r="F92" s="315"/>
    </row>
    <row r="93" spans="1:8" ht="15.6" thickTop="1" thickBot="1">
      <c r="A93" s="305">
        <v>776</v>
      </c>
      <c r="B93" s="299" t="s">
        <v>860</v>
      </c>
      <c r="C93" s="110"/>
      <c r="D93" s="299" t="s">
        <v>115</v>
      </c>
      <c r="E93" s="299" t="s">
        <v>115</v>
      </c>
      <c r="F93" s="315"/>
    </row>
    <row r="94" spans="1:8" ht="15.6" thickTop="1" thickBot="1">
      <c r="A94" s="305">
        <v>778</v>
      </c>
      <c r="B94" s="299" t="s">
        <v>1316</v>
      </c>
      <c r="C94" s="110"/>
      <c r="D94" s="299" t="s">
        <v>115</v>
      </c>
      <c r="E94" s="299" t="s">
        <v>115</v>
      </c>
      <c r="F94" s="315"/>
    </row>
    <row r="95" spans="1:8" ht="15.6" thickTop="1" thickBot="1">
      <c r="A95" s="305">
        <v>781</v>
      </c>
      <c r="B95" s="299" t="s">
        <v>1275</v>
      </c>
      <c r="C95" s="110"/>
      <c r="D95" s="299" t="s">
        <v>115</v>
      </c>
      <c r="E95" s="299" t="s">
        <v>115</v>
      </c>
      <c r="F95" s="315"/>
    </row>
    <row r="96" spans="1:8" ht="15.6" thickTop="1" thickBot="1">
      <c r="A96" s="305">
        <v>784</v>
      </c>
      <c r="B96" s="299" t="s">
        <v>1317</v>
      </c>
      <c r="C96" s="110"/>
      <c r="D96" s="299" t="s">
        <v>115</v>
      </c>
      <c r="E96" s="299" t="s">
        <v>115</v>
      </c>
      <c r="F96" s="315"/>
    </row>
    <row r="97" spans="1:6" ht="15.6" thickTop="1" thickBot="1">
      <c r="A97" s="305">
        <v>786</v>
      </c>
      <c r="B97" s="299" t="s">
        <v>862</v>
      </c>
      <c r="C97" s="110"/>
      <c r="D97" s="299" t="s">
        <v>115</v>
      </c>
      <c r="E97" s="299" t="s">
        <v>115</v>
      </c>
      <c r="F97" s="315"/>
    </row>
    <row r="98" spans="1:6" ht="15.6" thickTop="1" thickBot="1">
      <c r="A98" s="305">
        <v>794</v>
      </c>
      <c r="B98" s="299" t="s">
        <v>864</v>
      </c>
      <c r="C98" s="110"/>
      <c r="D98" s="299" t="s">
        <v>115</v>
      </c>
      <c r="E98" s="299" t="s">
        <v>115</v>
      </c>
      <c r="F98" s="315"/>
    </row>
    <row r="99" spans="1:6" ht="15.6" thickTop="1" thickBot="1">
      <c r="A99" s="305">
        <v>797</v>
      </c>
      <c r="B99" s="299" t="s">
        <v>1318</v>
      </c>
      <c r="C99" s="110"/>
      <c r="D99" s="299" t="s">
        <v>115</v>
      </c>
      <c r="E99" s="299" t="s">
        <v>115</v>
      </c>
      <c r="F99" s="315"/>
    </row>
    <row r="100" spans="1:6" ht="15.6" thickTop="1" thickBot="1">
      <c r="A100" s="305">
        <v>798</v>
      </c>
      <c r="B100" s="299" t="s">
        <v>866</v>
      </c>
      <c r="C100" s="110"/>
      <c r="D100" s="299" t="s">
        <v>115</v>
      </c>
      <c r="E100" s="299" t="s">
        <v>115</v>
      </c>
      <c r="F100" s="315"/>
    </row>
    <row r="101" spans="1:6" ht="15.6" thickTop="1" thickBot="1">
      <c r="A101" s="305">
        <v>805</v>
      </c>
      <c r="B101" s="299" t="s">
        <v>868</v>
      </c>
      <c r="C101" s="110"/>
      <c r="D101" s="299" t="s">
        <v>115</v>
      </c>
      <c r="E101" s="299" t="s">
        <v>115</v>
      </c>
      <c r="F101" s="315"/>
    </row>
    <row r="102" spans="1:6" ht="15.6" thickTop="1" thickBot="1">
      <c r="A102" s="305">
        <v>807</v>
      </c>
      <c r="B102" s="299" t="s">
        <v>870</v>
      </c>
      <c r="C102" s="110"/>
      <c r="D102" s="299" t="s">
        <v>115</v>
      </c>
      <c r="E102" s="299" t="s">
        <v>115</v>
      </c>
      <c r="F102" s="315"/>
    </row>
    <row r="103" spans="1:6" ht="15.6" thickTop="1" thickBot="1">
      <c r="A103" s="305">
        <v>808</v>
      </c>
      <c r="B103" s="299" t="s">
        <v>1319</v>
      </c>
      <c r="C103" s="110"/>
      <c r="D103" s="299" t="s">
        <v>115</v>
      </c>
      <c r="E103" s="299" t="s">
        <v>115</v>
      </c>
      <c r="F103" s="315"/>
    </row>
    <row r="104" spans="1:6" ht="15.6" thickTop="1" thickBot="1">
      <c r="A104" s="305">
        <v>809</v>
      </c>
      <c r="B104" s="299" t="s">
        <v>1320</v>
      </c>
      <c r="C104" s="110"/>
      <c r="D104" s="299" t="s">
        <v>115</v>
      </c>
      <c r="E104" s="299" t="s">
        <v>115</v>
      </c>
      <c r="F104" s="315"/>
    </row>
    <row r="105" spans="1:6" ht="15.6" thickTop="1" thickBot="1">
      <c r="A105" s="305">
        <v>839</v>
      </c>
      <c r="B105" s="299" t="s">
        <v>872</v>
      </c>
      <c r="C105" s="110"/>
      <c r="D105" s="299" t="s">
        <v>115</v>
      </c>
      <c r="E105" s="299" t="s">
        <v>115</v>
      </c>
      <c r="F105" s="315"/>
    </row>
    <row r="106" spans="1:6" ht="15.6" thickTop="1" thickBot="1">
      <c r="A106" s="305">
        <v>850</v>
      </c>
      <c r="B106" s="299" t="s">
        <v>1321</v>
      </c>
      <c r="C106" s="110"/>
      <c r="D106" s="299" t="s">
        <v>115</v>
      </c>
      <c r="E106" s="299" t="s">
        <v>115</v>
      </c>
      <c r="F106" s="315"/>
    </row>
    <row r="107" spans="1:6" ht="15.6" thickTop="1" thickBot="1">
      <c r="A107" s="305">
        <v>851</v>
      </c>
      <c r="B107" s="299" t="s">
        <v>1322</v>
      </c>
      <c r="C107" s="110"/>
      <c r="D107" s="299" t="s">
        <v>115</v>
      </c>
      <c r="E107" s="299" t="s">
        <v>115</v>
      </c>
      <c r="F107" s="315"/>
    </row>
    <row r="108" spans="1:6" ht="15.6" thickTop="1" thickBot="1">
      <c r="A108" s="305">
        <v>852</v>
      </c>
      <c r="B108" s="299" t="s">
        <v>874</v>
      </c>
      <c r="C108" s="110"/>
      <c r="D108" s="299" t="s">
        <v>116</v>
      </c>
      <c r="E108" s="299" t="s">
        <v>115</v>
      </c>
      <c r="F108" s="315"/>
    </row>
    <row r="109" spans="1:6" ht="15.6" thickTop="1" thickBot="1">
      <c r="A109" s="305">
        <v>853</v>
      </c>
      <c r="B109" s="299" t="s">
        <v>876</v>
      </c>
      <c r="C109" s="110"/>
      <c r="D109" s="299" t="s">
        <v>115</v>
      </c>
      <c r="E109" s="299" t="s">
        <v>115</v>
      </c>
      <c r="F109" s="315"/>
    </row>
    <row r="110" spans="1:6" ht="15.6" thickTop="1" thickBot="1">
      <c r="A110" s="305">
        <v>858</v>
      </c>
      <c r="B110" s="299" t="s">
        <v>855</v>
      </c>
      <c r="C110" s="110"/>
      <c r="D110" s="299" t="s">
        <v>115</v>
      </c>
      <c r="E110" s="299" t="s">
        <v>115</v>
      </c>
      <c r="F110" s="315"/>
    </row>
    <row r="111" spans="1:6" ht="15.6" thickTop="1" thickBot="1">
      <c r="A111" s="305">
        <v>859</v>
      </c>
      <c r="B111" s="299" t="s">
        <v>1323</v>
      </c>
      <c r="C111" s="110"/>
      <c r="D111" s="299" t="s">
        <v>115</v>
      </c>
      <c r="E111" s="299" t="s">
        <v>115</v>
      </c>
      <c r="F111" s="315"/>
    </row>
    <row r="112" spans="1:6" ht="15.6" thickTop="1" thickBot="1">
      <c r="A112" s="305">
        <v>865</v>
      </c>
      <c r="B112" s="299" t="s">
        <v>1324</v>
      </c>
      <c r="C112" s="110"/>
      <c r="D112" s="299" t="s">
        <v>115</v>
      </c>
      <c r="E112" s="299" t="s">
        <v>115</v>
      </c>
      <c r="F112" s="315"/>
    </row>
    <row r="113" spans="1:6" ht="15.6" thickTop="1" thickBot="1">
      <c r="A113" s="305">
        <v>866</v>
      </c>
      <c r="B113" s="299" t="s">
        <v>1325</v>
      </c>
      <c r="C113" s="110"/>
      <c r="D113" s="299" t="s">
        <v>115</v>
      </c>
      <c r="E113" s="299" t="s">
        <v>115</v>
      </c>
      <c r="F113" s="315"/>
    </row>
    <row r="114" spans="1:6" ht="15.6" thickTop="1" thickBot="1">
      <c r="A114" s="305">
        <v>875</v>
      </c>
      <c r="B114" s="299" t="s">
        <v>879</v>
      </c>
      <c r="C114" s="110"/>
      <c r="D114" s="299" t="s">
        <v>115</v>
      </c>
      <c r="E114" s="299" t="s">
        <v>115</v>
      </c>
      <c r="F114" s="315"/>
    </row>
    <row r="115" spans="1:6" ht="15.6" thickTop="1" thickBot="1">
      <c r="A115" s="305">
        <v>877</v>
      </c>
      <c r="B115" s="299" t="s">
        <v>881</v>
      </c>
      <c r="C115" s="110"/>
      <c r="D115" s="299" t="s">
        <v>115</v>
      </c>
      <c r="E115" s="299" t="s">
        <v>115</v>
      </c>
      <c r="F115" s="315"/>
    </row>
    <row r="116" spans="1:6" ht="15.6" thickTop="1" thickBot="1">
      <c r="A116" s="305">
        <v>879</v>
      </c>
      <c r="B116" s="299" t="s">
        <v>1326</v>
      </c>
      <c r="C116" s="110"/>
      <c r="D116" s="299" t="s">
        <v>116</v>
      </c>
      <c r="E116" s="299" t="s">
        <v>115</v>
      </c>
      <c r="F116" s="315"/>
    </row>
    <row r="117" spans="1:6" ht="15.6" thickTop="1" thickBot="1">
      <c r="A117" s="305">
        <v>883</v>
      </c>
      <c r="B117" s="299" t="s">
        <v>1327</v>
      </c>
      <c r="C117" s="110"/>
      <c r="D117" s="299" t="s">
        <v>116</v>
      </c>
      <c r="E117" s="299" t="s">
        <v>115</v>
      </c>
      <c r="F117" s="315"/>
    </row>
    <row r="118" spans="1:6" ht="15.6" thickTop="1" thickBot="1">
      <c r="A118" s="305">
        <v>884</v>
      </c>
      <c r="B118" s="299" t="s">
        <v>883</v>
      </c>
      <c r="C118" s="110"/>
      <c r="D118" s="299" t="s">
        <v>115</v>
      </c>
      <c r="E118" s="299" t="s">
        <v>115</v>
      </c>
      <c r="F118" s="315"/>
    </row>
    <row r="119" spans="1:6" ht="15.6" thickTop="1" thickBot="1">
      <c r="A119" s="305">
        <v>893</v>
      </c>
      <c r="B119" s="299" t="s">
        <v>1328</v>
      </c>
      <c r="C119" s="110"/>
      <c r="D119" s="299" t="s">
        <v>115</v>
      </c>
      <c r="E119" s="299" t="s">
        <v>115</v>
      </c>
      <c r="F119" s="315"/>
    </row>
    <row r="120" spans="1:6" ht="15.6" thickTop="1" thickBot="1">
      <c r="A120" s="305">
        <v>894</v>
      </c>
      <c r="B120" s="299" t="s">
        <v>885</v>
      </c>
      <c r="C120" s="110"/>
      <c r="D120" s="299" t="s">
        <v>115</v>
      </c>
      <c r="E120" s="299" t="s">
        <v>115</v>
      </c>
      <c r="F120" s="315"/>
    </row>
    <row r="121" spans="1:6" ht="15.6" thickTop="1" thickBot="1">
      <c r="A121" s="305">
        <v>895</v>
      </c>
      <c r="B121" s="299" t="s">
        <v>887</v>
      </c>
      <c r="C121" s="110"/>
      <c r="D121" s="299" t="s">
        <v>115</v>
      </c>
      <c r="E121" s="299" t="s">
        <v>115</v>
      </c>
      <c r="F121" s="315"/>
    </row>
    <row r="122" spans="1:6" ht="15.6" thickTop="1" thickBot="1">
      <c r="A122" s="305">
        <v>896</v>
      </c>
      <c r="B122" s="299" t="s">
        <v>1329</v>
      </c>
      <c r="C122" s="110"/>
      <c r="D122" s="299" t="s">
        <v>115</v>
      </c>
      <c r="E122" s="299" t="s">
        <v>115</v>
      </c>
      <c r="F122" s="315"/>
    </row>
    <row r="123" spans="1:6" s="311" customFormat="1" ht="30" thickTop="1" thickBot="1">
      <c r="A123" s="308">
        <v>897</v>
      </c>
      <c r="B123" s="309" t="s">
        <v>125</v>
      </c>
      <c r="C123" s="310" t="s">
        <v>1377</v>
      </c>
      <c r="D123" s="309" t="s">
        <v>115</v>
      </c>
      <c r="E123" s="309" t="s">
        <v>115</v>
      </c>
      <c r="F123" s="315" t="s">
        <v>1383</v>
      </c>
    </row>
    <row r="124" spans="1:6" ht="15.6" thickTop="1" thickBot="1">
      <c r="A124" s="305">
        <v>899</v>
      </c>
      <c r="B124" s="299" t="s">
        <v>890</v>
      </c>
      <c r="C124" s="110"/>
      <c r="D124" s="299" t="s">
        <v>115</v>
      </c>
      <c r="E124" s="299" t="s">
        <v>115</v>
      </c>
      <c r="F124" s="315"/>
    </row>
    <row r="125" spans="1:6" ht="15.6" thickTop="1" thickBot="1">
      <c r="A125" s="305">
        <v>907</v>
      </c>
      <c r="B125" s="299" t="s">
        <v>892</v>
      </c>
      <c r="C125" s="110"/>
      <c r="D125" s="299" t="s">
        <v>115</v>
      </c>
      <c r="E125" s="299" t="s">
        <v>115</v>
      </c>
      <c r="F125" s="315"/>
    </row>
    <row r="126" spans="1:6" ht="15.6" thickTop="1" thickBot="1">
      <c r="A126" s="305">
        <v>911</v>
      </c>
      <c r="B126" s="299" t="s">
        <v>1330</v>
      </c>
      <c r="C126" s="110"/>
      <c r="D126" s="299" t="s">
        <v>115</v>
      </c>
      <c r="E126" s="299" t="s">
        <v>115</v>
      </c>
      <c r="F126" s="315"/>
    </row>
    <row r="127" spans="1:6" ht="15.6" thickTop="1" thickBot="1">
      <c r="A127" s="305">
        <v>912</v>
      </c>
      <c r="B127" s="299" t="s">
        <v>1331</v>
      </c>
      <c r="C127" s="110"/>
      <c r="D127" s="299" t="s">
        <v>115</v>
      </c>
      <c r="E127" s="299" t="s">
        <v>115</v>
      </c>
      <c r="F127" s="315"/>
    </row>
    <row r="128" spans="1:6" ht="15.6" thickTop="1" thickBot="1">
      <c r="A128" s="305">
        <v>913</v>
      </c>
      <c r="B128" s="299" t="s">
        <v>894</v>
      </c>
      <c r="C128" s="110"/>
      <c r="D128" s="299" t="s">
        <v>115</v>
      </c>
      <c r="E128" s="299" t="s">
        <v>115</v>
      </c>
      <c r="F128" s="315"/>
    </row>
    <row r="129" spans="1:6" ht="15.6" thickTop="1" thickBot="1">
      <c r="A129" s="305">
        <v>918</v>
      </c>
      <c r="B129" s="299" t="s">
        <v>1332</v>
      </c>
      <c r="C129" s="110"/>
      <c r="D129" s="299" t="s">
        <v>115</v>
      </c>
      <c r="E129" s="299" t="s">
        <v>115</v>
      </c>
      <c r="F129" s="315"/>
    </row>
    <row r="130" spans="1:6" ht="15.6" thickTop="1" thickBot="1">
      <c r="A130" s="305">
        <v>920</v>
      </c>
      <c r="B130" s="299" t="s">
        <v>896</v>
      </c>
      <c r="C130" s="110"/>
      <c r="D130" s="299" t="s">
        <v>115</v>
      </c>
      <c r="E130" s="299" t="s">
        <v>115</v>
      </c>
      <c r="F130" s="315"/>
    </row>
    <row r="131" spans="1:6" ht="15.6" thickTop="1" thickBot="1">
      <c r="A131" s="305">
        <v>921</v>
      </c>
      <c r="B131" s="299" t="s">
        <v>1333</v>
      </c>
      <c r="C131" s="110"/>
      <c r="D131" s="299" t="s">
        <v>116</v>
      </c>
      <c r="E131" s="299" t="s">
        <v>115</v>
      </c>
      <c r="F131" s="315"/>
    </row>
    <row r="132" spans="1:6" ht="15.6" thickTop="1" thickBot="1">
      <c r="A132" s="305">
        <v>922</v>
      </c>
      <c r="B132" s="299" t="s">
        <v>817</v>
      </c>
      <c r="C132" s="110"/>
      <c r="D132" s="299" t="s">
        <v>115</v>
      </c>
      <c r="E132" s="299" t="s">
        <v>115</v>
      </c>
      <c r="F132" s="315"/>
    </row>
    <row r="133" spans="1:6" ht="15.6" thickTop="1" thickBot="1">
      <c r="A133" s="305">
        <v>924</v>
      </c>
      <c r="B133" s="299" t="s">
        <v>125</v>
      </c>
      <c r="C133" s="110"/>
      <c r="D133" s="299" t="s">
        <v>115</v>
      </c>
      <c r="E133" s="299" t="s">
        <v>115</v>
      </c>
      <c r="F133" s="315"/>
    </row>
    <row r="134" spans="1:6" ht="15.6" thickTop="1" thickBot="1">
      <c r="A134" s="305">
        <v>955</v>
      </c>
      <c r="B134" s="299" t="s">
        <v>900</v>
      </c>
      <c r="C134" s="110"/>
      <c r="D134" s="299" t="s">
        <v>115</v>
      </c>
      <c r="E134" s="299" t="s">
        <v>115</v>
      </c>
      <c r="F134" s="315"/>
    </row>
    <row r="135" spans="1:6" ht="15.6" thickTop="1" thickBot="1">
      <c r="A135" s="305">
        <v>956</v>
      </c>
      <c r="B135" s="299" t="s">
        <v>902</v>
      </c>
      <c r="C135" s="110"/>
      <c r="D135" s="299" t="s">
        <v>115</v>
      </c>
      <c r="E135" s="299" t="s">
        <v>115</v>
      </c>
      <c r="F135" s="315"/>
    </row>
    <row r="136" spans="1:6" ht="15.6" thickTop="1" thickBot="1">
      <c r="A136" s="305">
        <v>957</v>
      </c>
      <c r="B136" s="299" t="s">
        <v>904</v>
      </c>
      <c r="C136" s="110"/>
      <c r="D136" s="299" t="s">
        <v>115</v>
      </c>
      <c r="E136" s="299" t="s">
        <v>115</v>
      </c>
      <c r="F136" s="315"/>
    </row>
    <row r="137" spans="1:6" ht="15.6" thickTop="1" thickBot="1">
      <c r="A137" s="305">
        <v>959</v>
      </c>
      <c r="B137" s="299" t="s">
        <v>902</v>
      </c>
      <c r="C137" s="110"/>
      <c r="D137" s="299" t="s">
        <v>115</v>
      </c>
      <c r="E137" s="299" t="s">
        <v>115</v>
      </c>
      <c r="F137" s="315"/>
    </row>
    <row r="138" spans="1:6" ht="15.6" thickTop="1" thickBot="1">
      <c r="A138" s="305">
        <v>963</v>
      </c>
      <c r="B138" s="299" t="s">
        <v>1334</v>
      </c>
      <c r="C138" s="110"/>
      <c r="D138" s="299" t="s">
        <v>115</v>
      </c>
      <c r="E138" s="299" t="s">
        <v>115</v>
      </c>
      <c r="F138" s="315"/>
    </row>
    <row r="139" spans="1:6" ht="15.6" thickTop="1" thickBot="1">
      <c r="A139" s="305">
        <v>965</v>
      </c>
      <c r="B139" s="299" t="s">
        <v>907</v>
      </c>
      <c r="C139" s="110"/>
      <c r="D139" s="299" t="s">
        <v>115</v>
      </c>
      <c r="E139" s="299" t="s">
        <v>115</v>
      </c>
      <c r="F139" s="315"/>
    </row>
    <row r="140" spans="1:6" ht="15.6" thickTop="1" thickBot="1">
      <c r="A140" s="305">
        <v>966</v>
      </c>
      <c r="B140" s="299" t="s">
        <v>1335</v>
      </c>
      <c r="C140" s="110"/>
      <c r="D140" s="299" t="s">
        <v>115</v>
      </c>
      <c r="E140" s="299" t="s">
        <v>115</v>
      </c>
      <c r="F140" s="315"/>
    </row>
    <row r="141" spans="1:6" ht="15.6" thickTop="1" thickBot="1">
      <c r="A141" s="305">
        <v>976</v>
      </c>
      <c r="B141" s="299" t="s">
        <v>829</v>
      </c>
      <c r="C141" s="110"/>
      <c r="D141" s="299" t="s">
        <v>115</v>
      </c>
      <c r="E141" s="299" t="s">
        <v>115</v>
      </c>
      <c r="F141" s="315"/>
    </row>
    <row r="142" spans="1:6" ht="15.6" thickTop="1" thickBot="1">
      <c r="A142" s="305">
        <v>978</v>
      </c>
      <c r="B142" s="299" t="s">
        <v>910</v>
      </c>
      <c r="C142" s="110"/>
      <c r="D142" s="299" t="s">
        <v>115</v>
      </c>
      <c r="E142" s="299" t="s">
        <v>115</v>
      </c>
      <c r="F142" s="315"/>
    </row>
    <row r="143" spans="1:6" ht="15.6" thickTop="1" thickBot="1">
      <c r="A143" s="305">
        <v>981</v>
      </c>
      <c r="B143" s="299" t="s">
        <v>1336</v>
      </c>
      <c r="C143" s="110"/>
      <c r="D143" s="299" t="s">
        <v>115</v>
      </c>
      <c r="E143" s="299" t="s">
        <v>115</v>
      </c>
      <c r="F143" s="315"/>
    </row>
    <row r="144" spans="1:6" ht="15.6" thickTop="1" thickBot="1">
      <c r="A144" s="305">
        <v>983</v>
      </c>
      <c r="B144" s="299" t="s">
        <v>1337</v>
      </c>
      <c r="C144" s="110"/>
      <c r="D144" s="299" t="s">
        <v>115</v>
      </c>
      <c r="E144" s="299" t="s">
        <v>115</v>
      </c>
      <c r="F144" s="315"/>
    </row>
    <row r="145" spans="1:8" ht="15.6" thickTop="1" thickBot="1">
      <c r="A145" s="305">
        <v>992</v>
      </c>
      <c r="B145" s="299" t="s">
        <v>1338</v>
      </c>
      <c r="C145" s="110"/>
      <c r="D145" s="299" t="s">
        <v>116</v>
      </c>
      <c r="E145" s="299" t="s">
        <v>115</v>
      </c>
      <c r="F145" s="315"/>
    </row>
    <row r="146" spans="1:8" ht="15.6" thickTop="1" thickBot="1">
      <c r="A146" s="305">
        <v>1021</v>
      </c>
      <c r="B146" s="299" t="s">
        <v>912</v>
      </c>
      <c r="C146" s="110"/>
      <c r="D146" s="299" t="s">
        <v>116</v>
      </c>
      <c r="E146" s="299" t="s">
        <v>116</v>
      </c>
      <c r="F146" s="315"/>
    </row>
    <row r="147" spans="1:8" ht="15.6" thickTop="1" thickBot="1">
      <c r="A147" s="305">
        <v>1037</v>
      </c>
      <c r="B147" s="299" t="s">
        <v>75</v>
      </c>
      <c r="C147" s="110"/>
      <c r="D147" s="299" t="s">
        <v>116</v>
      </c>
      <c r="E147" s="299" t="s">
        <v>116</v>
      </c>
      <c r="F147" s="315"/>
    </row>
    <row r="148" spans="1:8" ht="15.6" thickTop="1" thickBot="1">
      <c r="A148" s="305">
        <v>1054</v>
      </c>
      <c r="B148" s="299" t="s">
        <v>76</v>
      </c>
      <c r="C148" s="110"/>
      <c r="D148" s="299" t="s">
        <v>116</v>
      </c>
      <c r="E148" s="299" t="s">
        <v>116</v>
      </c>
      <c r="F148" s="315"/>
    </row>
    <row r="149" spans="1:8" ht="15.6" thickTop="1" thickBot="1">
      <c r="A149" s="305">
        <v>1056</v>
      </c>
      <c r="B149" s="299" t="s">
        <v>74</v>
      </c>
      <c r="C149" s="110"/>
      <c r="D149" s="299" t="s">
        <v>115</v>
      </c>
      <c r="E149" s="299" t="s">
        <v>116</v>
      </c>
      <c r="F149" s="315"/>
    </row>
    <row r="150" spans="1:8" ht="15.6" thickTop="1" thickBot="1">
      <c r="A150" s="305">
        <v>1057</v>
      </c>
      <c r="B150" s="299" t="s">
        <v>77</v>
      </c>
      <c r="C150" s="110"/>
      <c r="D150" s="299" t="s">
        <v>116</v>
      </c>
      <c r="E150" s="299" t="s">
        <v>116</v>
      </c>
      <c r="F150" s="315"/>
    </row>
    <row r="151" spans="1:8" s="311" customFormat="1" ht="73.2" thickTop="1" thickBot="1">
      <c r="A151" s="308">
        <v>1059</v>
      </c>
      <c r="B151" s="309" t="s">
        <v>40</v>
      </c>
      <c r="C151" s="310"/>
      <c r="D151" s="309" t="s">
        <v>116</v>
      </c>
      <c r="E151" s="309" t="s">
        <v>116</v>
      </c>
      <c r="F151" s="315" t="s">
        <v>1389</v>
      </c>
      <c r="H151" s="307"/>
    </row>
    <row r="152" spans="1:8" ht="15.6" thickTop="1" thickBot="1">
      <c r="A152" s="305">
        <v>1060</v>
      </c>
      <c r="B152" s="299" t="s">
        <v>1365</v>
      </c>
      <c r="C152" s="110"/>
      <c r="D152" s="299" t="s">
        <v>116</v>
      </c>
      <c r="E152" s="299" t="s">
        <v>116</v>
      </c>
      <c r="F152" s="315"/>
    </row>
    <row r="153" spans="1:8" ht="15.6" thickTop="1" thickBot="1">
      <c r="A153" s="305">
        <v>1062</v>
      </c>
      <c r="B153" s="299" t="s">
        <v>78</v>
      </c>
      <c r="C153" s="110"/>
      <c r="D153" s="299" t="s">
        <v>116</v>
      </c>
      <c r="E153" s="299" t="s">
        <v>116</v>
      </c>
      <c r="F153" s="315"/>
    </row>
    <row r="154" spans="1:8" ht="15.6" thickTop="1" thickBot="1">
      <c r="A154" s="305">
        <v>1073</v>
      </c>
      <c r="B154" s="299" t="s">
        <v>80</v>
      </c>
      <c r="C154" s="110"/>
      <c r="D154" s="299" t="s">
        <v>116</v>
      </c>
      <c r="E154" s="299" t="s">
        <v>116</v>
      </c>
      <c r="F154" s="315"/>
    </row>
    <row r="155" spans="1:8" ht="15.6" thickTop="1" thickBot="1">
      <c r="A155" s="305">
        <v>1076</v>
      </c>
      <c r="B155" s="299" t="s">
        <v>883</v>
      </c>
      <c r="C155" s="110"/>
      <c r="D155" s="299" t="s">
        <v>115</v>
      </c>
      <c r="E155" s="299" t="s">
        <v>115</v>
      </c>
      <c r="F155" s="315"/>
    </row>
    <row r="156" spans="1:8" ht="15.6" thickTop="1" thickBot="1">
      <c r="A156" s="305">
        <v>1077</v>
      </c>
      <c r="B156" s="299" t="s">
        <v>79</v>
      </c>
      <c r="C156" s="110"/>
      <c r="D156" s="299" t="s">
        <v>116</v>
      </c>
      <c r="E156" s="299" t="s">
        <v>116</v>
      </c>
      <c r="F156" s="315"/>
    </row>
    <row r="157" spans="1:8" ht="15.6" thickTop="1" thickBot="1">
      <c r="A157" s="305">
        <v>1118</v>
      </c>
      <c r="B157" s="299" t="s">
        <v>915</v>
      </c>
      <c r="C157" s="110"/>
      <c r="D157" s="299" t="s">
        <v>115</v>
      </c>
      <c r="E157" s="299" t="s">
        <v>115</v>
      </c>
      <c r="F157" s="315"/>
    </row>
    <row r="158" spans="1:8" ht="15.6" thickTop="1" thickBot="1">
      <c r="A158" s="305">
        <v>1123</v>
      </c>
      <c r="B158" s="299" t="s">
        <v>1339</v>
      </c>
      <c r="C158" s="110"/>
      <c r="D158" s="299" t="s">
        <v>116</v>
      </c>
      <c r="E158" s="299" t="s">
        <v>115</v>
      </c>
      <c r="F158" s="315"/>
    </row>
    <row r="159" spans="1:8" ht="15.6" thickTop="1" thickBot="1">
      <c r="A159" s="305">
        <v>1132</v>
      </c>
      <c r="B159" s="299" t="s">
        <v>917</v>
      </c>
      <c r="C159" s="110"/>
      <c r="D159" s="299" t="s">
        <v>116</v>
      </c>
      <c r="E159" s="299" t="s">
        <v>115</v>
      </c>
      <c r="F159" s="315"/>
    </row>
    <row r="160" spans="1:8" ht="15.6" thickTop="1" thickBot="1">
      <c r="A160" s="305">
        <v>1358</v>
      </c>
      <c r="B160" s="299" t="s">
        <v>1340</v>
      </c>
      <c r="C160" s="110"/>
      <c r="D160" s="299" t="s">
        <v>115</v>
      </c>
      <c r="E160" s="299" t="s">
        <v>115</v>
      </c>
      <c r="F160" s="315"/>
    </row>
    <row r="161" spans="1:6" ht="15.6" thickTop="1" thickBot="1">
      <c r="A161" s="305">
        <v>1375</v>
      </c>
      <c r="B161" s="299" t="s">
        <v>919</v>
      </c>
      <c r="C161" s="110"/>
      <c r="D161" s="299" t="s">
        <v>116</v>
      </c>
      <c r="E161" s="299" t="s">
        <v>115</v>
      </c>
      <c r="F161" s="315"/>
    </row>
    <row r="162" spans="1:6" ht="15.6" thickTop="1" thickBot="1">
      <c r="A162" s="305">
        <v>1389</v>
      </c>
      <c r="B162" s="299" t="s">
        <v>921</v>
      </c>
      <c r="C162" s="110"/>
      <c r="D162" s="299" t="s">
        <v>115</v>
      </c>
      <c r="E162" s="299" t="s">
        <v>115</v>
      </c>
      <c r="F162" s="315"/>
    </row>
    <row r="163" spans="1:6" ht="15.6" thickTop="1" thickBot="1">
      <c r="A163" s="305">
        <v>1464</v>
      </c>
      <c r="B163" s="299" t="s">
        <v>923</v>
      </c>
      <c r="C163" s="110"/>
      <c r="D163" s="299" t="s">
        <v>116</v>
      </c>
      <c r="E163" s="299" t="s">
        <v>115</v>
      </c>
      <c r="F163" s="315"/>
    </row>
    <row r="164" spans="1:6" ht="15.6" thickTop="1" thickBot="1">
      <c r="A164" s="305">
        <v>1501</v>
      </c>
      <c r="B164" s="299" t="s">
        <v>925</v>
      </c>
      <c r="C164" s="110"/>
      <c r="D164" s="299" t="s">
        <v>115</v>
      </c>
      <c r="E164" s="299" t="s">
        <v>115</v>
      </c>
      <c r="F164" s="315"/>
    </row>
    <row r="165" spans="1:6" ht="15.6" thickTop="1" thickBot="1">
      <c r="A165" s="305">
        <v>1565</v>
      </c>
      <c r="B165" s="299" t="s">
        <v>927</v>
      </c>
      <c r="C165" s="110"/>
      <c r="D165" s="299" t="s">
        <v>115</v>
      </c>
      <c r="E165" s="299" t="s">
        <v>115</v>
      </c>
      <c r="F165" s="315"/>
    </row>
    <row r="166" spans="1:6" ht="15.6" thickTop="1" thickBot="1">
      <c r="A166" s="305">
        <v>1614</v>
      </c>
      <c r="B166" s="299" t="s">
        <v>929</v>
      </c>
      <c r="C166" s="110"/>
      <c r="D166" s="299" t="s">
        <v>115</v>
      </c>
      <c r="E166" s="299" t="s">
        <v>115</v>
      </c>
      <c r="F166" s="315"/>
    </row>
    <row r="167" spans="1:6" ht="15.6" thickTop="1" thickBot="1">
      <c r="A167" s="305">
        <v>1619</v>
      </c>
      <c r="B167" s="299" t="s">
        <v>931</v>
      </c>
      <c r="C167" s="110"/>
      <c r="D167" s="299" t="s">
        <v>115</v>
      </c>
      <c r="E167" s="299" t="s">
        <v>115</v>
      </c>
      <c r="F167" s="315"/>
    </row>
    <row r="168" spans="1:6" ht="15.6" thickTop="1" thickBot="1">
      <c r="A168" s="305">
        <v>1648</v>
      </c>
      <c r="B168" s="299" t="s">
        <v>933</v>
      </c>
      <c r="C168" s="110"/>
      <c r="D168" s="299" t="s">
        <v>115</v>
      </c>
      <c r="E168" s="299" t="s">
        <v>115</v>
      </c>
      <c r="F168" s="315"/>
    </row>
    <row r="169" spans="1:6" ht="15.6" thickTop="1" thickBot="1">
      <c r="A169" s="305">
        <v>1672</v>
      </c>
      <c r="B169" s="299" t="s">
        <v>935</v>
      </c>
      <c r="C169" s="110"/>
      <c r="D169" s="299" t="s">
        <v>115</v>
      </c>
      <c r="E169" s="299" t="s">
        <v>115</v>
      </c>
      <c r="F169" s="315"/>
    </row>
    <row r="170" spans="1:6" ht="15.6" thickTop="1" thickBot="1">
      <c r="A170" s="305">
        <v>1715</v>
      </c>
      <c r="B170" s="299" t="s">
        <v>937</v>
      </c>
      <c r="C170" s="110"/>
      <c r="D170" s="299" t="s">
        <v>115</v>
      </c>
      <c r="E170" s="299" t="s">
        <v>115</v>
      </c>
      <c r="F170" s="315"/>
    </row>
    <row r="171" spans="1:6" ht="15.6" thickTop="1" thickBot="1">
      <c r="A171" s="305">
        <v>1730</v>
      </c>
      <c r="B171" s="299" t="s">
        <v>939</v>
      </c>
      <c r="C171" s="110"/>
      <c r="D171" s="299" t="s">
        <v>116</v>
      </c>
      <c r="E171" s="299" t="s">
        <v>115</v>
      </c>
      <c r="F171" s="315"/>
    </row>
    <row r="172" spans="1:6" ht="15.6" thickTop="1" thickBot="1">
      <c r="A172" s="305">
        <v>1731</v>
      </c>
      <c r="B172" s="299" t="s">
        <v>941</v>
      </c>
      <c r="C172" s="110"/>
      <c r="D172" s="299" t="s">
        <v>116</v>
      </c>
      <c r="E172" s="299" t="s">
        <v>115</v>
      </c>
      <c r="F172" s="315"/>
    </row>
    <row r="173" spans="1:6" ht="15.6" thickTop="1" thickBot="1">
      <c r="A173" s="305">
        <v>1792</v>
      </c>
      <c r="B173" s="299" t="s">
        <v>943</v>
      </c>
      <c r="C173" s="110"/>
      <c r="D173" s="299" t="s">
        <v>115</v>
      </c>
      <c r="E173" s="299" t="s">
        <v>115</v>
      </c>
      <c r="F173" s="315"/>
    </row>
    <row r="174" spans="1:6" ht="15.6" thickTop="1" thickBot="1">
      <c r="A174" s="305">
        <v>1797</v>
      </c>
      <c r="B174" s="299" t="s">
        <v>945</v>
      </c>
      <c r="C174" s="110"/>
      <c r="D174" s="299" t="s">
        <v>116</v>
      </c>
      <c r="E174" s="299" t="s">
        <v>115</v>
      </c>
      <c r="F174" s="315"/>
    </row>
    <row r="175" spans="1:6" ht="15.6" thickTop="1" thickBot="1">
      <c r="A175" s="305">
        <v>1942</v>
      </c>
      <c r="B175" s="299" t="s">
        <v>947</v>
      </c>
      <c r="C175" s="110"/>
      <c r="D175" s="299" t="s">
        <v>116</v>
      </c>
      <c r="E175" s="299" t="s">
        <v>115</v>
      </c>
      <c r="F175" s="315"/>
    </row>
    <row r="176" spans="1:6" ht="15.6" thickTop="1" thickBot="1">
      <c r="A176" s="305">
        <v>1944</v>
      </c>
      <c r="B176" s="299" t="s">
        <v>22</v>
      </c>
      <c r="C176" s="110"/>
      <c r="D176" s="299" t="s">
        <v>115</v>
      </c>
      <c r="E176" s="299" t="s">
        <v>115</v>
      </c>
      <c r="F176" s="315"/>
    </row>
    <row r="177" spans="1:6" ht="15.6" thickTop="1" thickBot="1">
      <c r="A177" s="305">
        <v>1957</v>
      </c>
      <c r="B177" s="299" t="s">
        <v>1341</v>
      </c>
      <c r="C177" s="110"/>
      <c r="D177" s="299" t="s">
        <v>115</v>
      </c>
      <c r="E177" s="299" t="s">
        <v>115</v>
      </c>
      <c r="F177" s="315"/>
    </row>
    <row r="178" spans="1:6" ht="15.6" thickTop="1" thickBot="1">
      <c r="A178" s="305">
        <v>1961</v>
      </c>
      <c r="B178" s="299" t="s">
        <v>950</v>
      </c>
      <c r="C178" s="110"/>
      <c r="D178" s="299" t="s">
        <v>116</v>
      </c>
      <c r="E178" s="299" t="s">
        <v>115</v>
      </c>
      <c r="F178" s="315"/>
    </row>
    <row r="179" spans="1:6" ht="15.6" thickTop="1" thickBot="1">
      <c r="A179" s="305">
        <v>1965</v>
      </c>
      <c r="B179" s="299" t="s">
        <v>1342</v>
      </c>
      <c r="C179" s="110"/>
      <c r="D179" s="299" t="s">
        <v>116</v>
      </c>
      <c r="E179" s="299" t="s">
        <v>115</v>
      </c>
      <c r="F179" s="315"/>
    </row>
    <row r="180" spans="1:6" ht="15.6" thickTop="1" thickBot="1">
      <c r="A180" s="305">
        <v>1973</v>
      </c>
      <c r="B180" s="299" t="s">
        <v>1343</v>
      </c>
      <c r="C180" s="110"/>
      <c r="D180" s="299" t="s">
        <v>116</v>
      </c>
      <c r="E180" s="299" t="s">
        <v>115</v>
      </c>
      <c r="F180" s="315"/>
    </row>
    <row r="181" spans="1:6" ht="15.6" thickTop="1" thickBot="1">
      <c r="A181" s="305">
        <v>1978</v>
      </c>
      <c r="B181" s="299" t="s">
        <v>1344</v>
      </c>
      <c r="C181" s="110"/>
      <c r="D181" s="299" t="s">
        <v>116</v>
      </c>
      <c r="E181" s="299" t="s">
        <v>115</v>
      </c>
      <c r="F181" s="315"/>
    </row>
    <row r="182" spans="1:6" ht="15.6" thickTop="1" thickBot="1">
      <c r="A182" s="305">
        <v>1982</v>
      </c>
      <c r="B182" s="299" t="s">
        <v>1345</v>
      </c>
      <c r="C182" s="110"/>
      <c r="D182" s="299" t="s">
        <v>116</v>
      </c>
      <c r="E182" s="299" t="s">
        <v>115</v>
      </c>
      <c r="F182" s="315"/>
    </row>
    <row r="183" spans="1:6" ht="15.6" thickTop="1" thickBot="1">
      <c r="A183" s="305">
        <v>1987</v>
      </c>
      <c r="B183" s="299" t="s">
        <v>1346</v>
      </c>
      <c r="C183" s="110"/>
      <c r="D183" s="299" t="s">
        <v>115</v>
      </c>
      <c r="E183" s="299" t="s">
        <v>115</v>
      </c>
      <c r="F183" s="315"/>
    </row>
    <row r="184" spans="1:6" ht="15.6" thickTop="1" thickBot="1">
      <c r="A184" s="305">
        <v>1989</v>
      </c>
      <c r="B184" s="299" t="s">
        <v>952</v>
      </c>
      <c r="C184" s="110"/>
      <c r="D184" s="299" t="s">
        <v>115</v>
      </c>
      <c r="E184" s="299" t="s">
        <v>115</v>
      </c>
      <c r="F184" s="315"/>
    </row>
    <row r="185" spans="1:6" ht="15.6" thickTop="1" thickBot="1">
      <c r="A185" s="305">
        <v>4005</v>
      </c>
      <c r="B185" s="299" t="s">
        <v>82</v>
      </c>
      <c r="C185" s="110"/>
      <c r="D185" s="299" t="s">
        <v>116</v>
      </c>
      <c r="E185" s="299" t="s">
        <v>116</v>
      </c>
      <c r="F185" s="315"/>
    </row>
    <row r="186" spans="1:6" ht="15.6" thickTop="1" thickBot="1">
      <c r="A186" s="305">
        <v>4124</v>
      </c>
      <c r="B186" s="299" t="s">
        <v>954</v>
      </c>
      <c r="C186" s="110"/>
      <c r="D186" s="299" t="s">
        <v>116</v>
      </c>
      <c r="E186" s="299" t="s">
        <v>115</v>
      </c>
      <c r="F186" s="315"/>
    </row>
    <row r="187" spans="1:6" ht="15.6" thickTop="1" thickBot="1">
      <c r="A187" s="305">
        <v>4144</v>
      </c>
      <c r="B187" s="299" t="s">
        <v>1347</v>
      </c>
      <c r="C187" s="110"/>
      <c r="D187" s="299" t="s">
        <v>115</v>
      </c>
      <c r="E187" s="299" t="s">
        <v>115</v>
      </c>
      <c r="F187" s="315"/>
    </row>
    <row r="188" spans="1:6" ht="15.6" thickTop="1" thickBot="1">
      <c r="A188" s="305">
        <v>4147</v>
      </c>
      <c r="B188" s="299" t="s">
        <v>35</v>
      </c>
      <c r="C188" s="110"/>
      <c r="D188" s="299" t="s">
        <v>115</v>
      </c>
      <c r="E188" s="299" t="s">
        <v>115</v>
      </c>
      <c r="F188" s="315"/>
    </row>
    <row r="189" spans="1:6" ht="15.6" thickTop="1" thickBot="1">
      <c r="A189" s="305">
        <v>4156</v>
      </c>
      <c r="B189" s="299" t="s">
        <v>957</v>
      </c>
      <c r="C189" s="110"/>
      <c r="D189" s="299" t="s">
        <v>116</v>
      </c>
      <c r="E189" s="299" t="s">
        <v>115</v>
      </c>
      <c r="F189" s="315"/>
    </row>
    <row r="190" spans="1:6" ht="15.6" thickTop="1" thickBot="1">
      <c r="A190" s="305">
        <v>4169</v>
      </c>
      <c r="B190" s="299" t="s">
        <v>959</v>
      </c>
      <c r="C190" s="110"/>
      <c r="D190" s="299" t="s">
        <v>115</v>
      </c>
      <c r="E190" s="299" t="s">
        <v>115</v>
      </c>
      <c r="F190" s="315"/>
    </row>
    <row r="191" spans="1:6" ht="15.6" thickTop="1" thickBot="1">
      <c r="A191" s="305">
        <v>4180</v>
      </c>
      <c r="B191" s="299" t="s">
        <v>961</v>
      </c>
      <c r="C191" s="110"/>
      <c r="D191" s="299" t="s">
        <v>116</v>
      </c>
      <c r="E191" s="299" t="s">
        <v>115</v>
      </c>
      <c r="F191" s="315"/>
    </row>
    <row r="192" spans="1:6" ht="15.6" thickTop="1" thickBot="1">
      <c r="A192" s="305">
        <v>4233</v>
      </c>
      <c r="B192" s="299" t="s">
        <v>963</v>
      </c>
      <c r="C192" s="110"/>
      <c r="D192" s="299" t="s">
        <v>115</v>
      </c>
      <c r="E192" s="299" t="s">
        <v>115</v>
      </c>
      <c r="F192" s="315"/>
    </row>
    <row r="193" spans="1:6" ht="15.6" thickTop="1" thickBot="1">
      <c r="A193" s="305">
        <v>4244</v>
      </c>
      <c r="B193" s="299" t="s">
        <v>1348</v>
      </c>
      <c r="C193" s="110"/>
      <c r="D193" s="299" t="s">
        <v>115</v>
      </c>
      <c r="E193" s="299" t="s">
        <v>115</v>
      </c>
      <c r="F193" s="315"/>
    </row>
    <row r="194" spans="1:6" ht="15.6" thickTop="1" thickBot="1">
      <c r="A194" s="305">
        <v>4262</v>
      </c>
      <c r="B194" s="299" t="s">
        <v>965</v>
      </c>
      <c r="C194" s="110"/>
      <c r="D194" s="299" t="s">
        <v>115</v>
      </c>
      <c r="E194" s="299" t="s">
        <v>115</v>
      </c>
      <c r="F194" s="315"/>
    </row>
    <row r="195" spans="1:6" ht="15.6" thickTop="1" thickBot="1">
      <c r="A195" s="305">
        <v>4271</v>
      </c>
      <c r="B195" s="299" t="s">
        <v>966</v>
      </c>
      <c r="C195" s="110"/>
      <c r="D195" s="299" t="s">
        <v>116</v>
      </c>
      <c r="E195" s="299" t="s">
        <v>115</v>
      </c>
      <c r="F195" s="315"/>
    </row>
    <row r="196" spans="1:6" ht="15.6" thickTop="1" thickBot="1">
      <c r="A196" s="305">
        <v>4318</v>
      </c>
      <c r="B196" s="299" t="s">
        <v>968</v>
      </c>
      <c r="C196" s="110"/>
      <c r="D196" s="299" t="s">
        <v>115</v>
      </c>
      <c r="E196" s="299" t="s">
        <v>115</v>
      </c>
      <c r="F196" s="315"/>
    </row>
    <row r="197" spans="1:6" ht="15.6" thickTop="1" thickBot="1">
      <c r="A197" s="305">
        <v>4319</v>
      </c>
      <c r="B197" s="299" t="s">
        <v>970</v>
      </c>
      <c r="C197" s="110"/>
      <c r="D197" s="299" t="s">
        <v>115</v>
      </c>
      <c r="E197" s="299" t="s">
        <v>115</v>
      </c>
      <c r="F197" s="315"/>
    </row>
    <row r="198" spans="1:6" ht="15.6" thickTop="1" thickBot="1">
      <c r="A198" s="305">
        <v>4366</v>
      </c>
      <c r="B198" s="299" t="s">
        <v>954</v>
      </c>
      <c r="C198" s="110"/>
      <c r="D198" s="299" t="s">
        <v>116</v>
      </c>
      <c r="E198" s="299" t="s">
        <v>115</v>
      </c>
      <c r="F198" s="315"/>
    </row>
    <row r="199" spans="1:6" ht="15.6" thickTop="1" thickBot="1">
      <c r="A199" s="305">
        <v>4374</v>
      </c>
      <c r="B199" s="299" t="s">
        <v>973</v>
      </c>
      <c r="C199" s="110"/>
      <c r="D199" s="299" t="s">
        <v>115</v>
      </c>
      <c r="E199" s="299" t="s">
        <v>115</v>
      </c>
      <c r="F199" s="315"/>
    </row>
    <row r="200" spans="1:6" ht="15.6" thickTop="1" thickBot="1">
      <c r="A200" s="305">
        <v>4406</v>
      </c>
      <c r="B200" s="299" t="s">
        <v>975</v>
      </c>
      <c r="C200" s="110"/>
      <c r="D200" s="299" t="s">
        <v>115</v>
      </c>
      <c r="E200" s="299" t="s">
        <v>115</v>
      </c>
      <c r="F200" s="315"/>
    </row>
    <row r="201" spans="1:6" ht="15.6" thickTop="1" thickBot="1">
      <c r="A201" s="305">
        <v>4415</v>
      </c>
      <c r="B201" s="299" t="s">
        <v>977</v>
      </c>
      <c r="C201" s="110"/>
      <c r="D201" s="299" t="s">
        <v>115</v>
      </c>
      <c r="E201" s="299" t="s">
        <v>115</v>
      </c>
      <c r="F201" s="315"/>
    </row>
    <row r="202" spans="1:6" ht="15.6" thickTop="1" thickBot="1">
      <c r="A202" s="305">
        <v>4418</v>
      </c>
      <c r="B202" s="299" t="s">
        <v>979</v>
      </c>
      <c r="C202" s="110"/>
      <c r="D202" s="299" t="s">
        <v>115</v>
      </c>
      <c r="E202" s="299" t="s">
        <v>115</v>
      </c>
      <c r="F202" s="315"/>
    </row>
    <row r="203" spans="1:6" ht="15.6" thickTop="1" thickBot="1">
      <c r="A203" s="305">
        <v>4419</v>
      </c>
      <c r="B203" s="299" t="s">
        <v>981</v>
      </c>
      <c r="C203" s="110"/>
      <c r="D203" s="299" t="s">
        <v>115</v>
      </c>
      <c r="E203" s="299" t="s">
        <v>115</v>
      </c>
      <c r="F203" s="315"/>
    </row>
    <row r="204" spans="1:6" ht="15.6" thickTop="1" thickBot="1">
      <c r="A204" s="305">
        <v>4420</v>
      </c>
      <c r="B204" s="299" t="s">
        <v>983</v>
      </c>
      <c r="C204" s="110"/>
      <c r="D204" s="299" t="s">
        <v>115</v>
      </c>
      <c r="E204" s="299" t="s">
        <v>115</v>
      </c>
      <c r="F204" s="315"/>
    </row>
    <row r="205" spans="1:6" ht="15.6" thickTop="1" thickBot="1">
      <c r="A205" s="305">
        <v>4422</v>
      </c>
      <c r="B205" s="299" t="s">
        <v>985</v>
      </c>
      <c r="C205" s="110"/>
      <c r="D205" s="299" t="s">
        <v>115</v>
      </c>
      <c r="E205" s="299" t="s">
        <v>115</v>
      </c>
      <c r="F205" s="315"/>
    </row>
    <row r="206" spans="1:6" ht="15.6" thickTop="1" thickBot="1">
      <c r="A206" s="305">
        <v>4427</v>
      </c>
      <c r="B206" s="299" t="s">
        <v>987</v>
      </c>
      <c r="C206" s="110"/>
      <c r="D206" s="299" t="s">
        <v>115</v>
      </c>
      <c r="E206" s="299" t="s">
        <v>115</v>
      </c>
      <c r="F206" s="315"/>
    </row>
    <row r="207" spans="1:6" ht="15.6" thickTop="1" thickBot="1">
      <c r="A207" s="305">
        <v>4428</v>
      </c>
      <c r="B207" s="299" t="s">
        <v>988</v>
      </c>
      <c r="C207" s="110"/>
      <c r="D207" s="299" t="s">
        <v>115</v>
      </c>
      <c r="E207" s="299" t="s">
        <v>115</v>
      </c>
      <c r="F207" s="315"/>
    </row>
    <row r="208" spans="1:6" ht="15.6" thickTop="1" thickBot="1">
      <c r="A208" s="305">
        <v>4446</v>
      </c>
      <c r="B208" s="299" t="s">
        <v>1349</v>
      </c>
      <c r="C208" s="110"/>
      <c r="D208" s="299" t="s">
        <v>115</v>
      </c>
      <c r="E208" s="299" t="s">
        <v>115</v>
      </c>
      <c r="F208" s="315"/>
    </row>
    <row r="209" spans="1:6" ht="15.6" thickTop="1" thickBot="1">
      <c r="A209" s="305">
        <v>4447</v>
      </c>
      <c r="B209" s="299" t="s">
        <v>1350</v>
      </c>
      <c r="C209" s="110"/>
      <c r="D209" s="299" t="s">
        <v>115</v>
      </c>
      <c r="E209" s="299" t="s">
        <v>115</v>
      </c>
      <c r="F209" s="315"/>
    </row>
    <row r="210" spans="1:6" ht="15.6" thickTop="1" thickBot="1">
      <c r="A210" s="305">
        <v>4448</v>
      </c>
      <c r="B210" s="299" t="s">
        <v>1351</v>
      </c>
      <c r="C210" s="110"/>
      <c r="D210" s="299" t="s">
        <v>115</v>
      </c>
      <c r="E210" s="299" t="s">
        <v>115</v>
      </c>
      <c r="F210" s="315"/>
    </row>
    <row r="211" spans="1:6" ht="15.6" thickTop="1" thickBot="1">
      <c r="A211" s="305">
        <v>4449</v>
      </c>
      <c r="B211" s="299" t="s">
        <v>1352</v>
      </c>
      <c r="C211" s="110"/>
      <c r="D211" s="299" t="s">
        <v>115</v>
      </c>
      <c r="E211" s="299" t="s">
        <v>115</v>
      </c>
      <c r="F211" s="315"/>
    </row>
    <row r="212" spans="1:6" ht="15.6" thickTop="1" thickBot="1">
      <c r="A212" s="305">
        <v>4453</v>
      </c>
      <c r="B212" s="299" t="s">
        <v>989</v>
      </c>
      <c r="C212" s="110"/>
      <c r="D212" s="299" t="s">
        <v>116</v>
      </c>
      <c r="E212" s="299" t="s">
        <v>115</v>
      </c>
      <c r="F212" s="315"/>
    </row>
    <row r="213" spans="1:6" ht="15.6" thickTop="1" thickBot="1">
      <c r="A213" s="305">
        <v>4468</v>
      </c>
      <c r="B213" s="299" t="s">
        <v>1353</v>
      </c>
      <c r="C213" s="110"/>
      <c r="D213" s="299" t="s">
        <v>115</v>
      </c>
      <c r="E213" s="299" t="s">
        <v>115</v>
      </c>
      <c r="F213" s="315"/>
    </row>
    <row r="214" spans="1:6" ht="15.6" thickTop="1" thickBot="1">
      <c r="A214" s="305">
        <v>4469</v>
      </c>
      <c r="B214" s="299" t="s">
        <v>1354</v>
      </c>
      <c r="C214" s="110"/>
      <c r="D214" s="299" t="s">
        <v>116</v>
      </c>
      <c r="E214" s="299" t="s">
        <v>115</v>
      </c>
      <c r="F214" s="315"/>
    </row>
    <row r="215" spans="1:6" ht="15.6" thickTop="1" thickBot="1">
      <c r="A215" s="305">
        <v>4495</v>
      </c>
      <c r="B215" s="299" t="s">
        <v>1314</v>
      </c>
      <c r="C215" s="110"/>
      <c r="D215" s="299" t="s">
        <v>116</v>
      </c>
      <c r="E215" s="299" t="s">
        <v>115</v>
      </c>
      <c r="F215" s="315"/>
    </row>
    <row r="216" spans="1:6" ht="15.6" thickTop="1" thickBot="1">
      <c r="A216" s="305">
        <v>4500</v>
      </c>
      <c r="B216" s="299" t="s">
        <v>991</v>
      </c>
      <c r="C216" s="110"/>
      <c r="D216" s="299" t="s">
        <v>116</v>
      </c>
      <c r="E216" s="299" t="s">
        <v>115</v>
      </c>
      <c r="F216" s="315"/>
    </row>
    <row r="217" spans="1:6" ht="15.6" thickTop="1" thickBot="1">
      <c r="A217" s="305">
        <v>4534</v>
      </c>
      <c r="B217" s="299" t="s">
        <v>943</v>
      </c>
      <c r="C217" s="110"/>
      <c r="D217" s="299" t="s">
        <v>115</v>
      </c>
      <c r="E217" s="299" t="s">
        <v>115</v>
      </c>
      <c r="F217" s="315"/>
    </row>
    <row r="218" spans="1:6" ht="15.6" thickTop="1" thickBot="1">
      <c r="A218" s="305">
        <v>4544</v>
      </c>
      <c r="B218" s="299" t="s">
        <v>994</v>
      </c>
      <c r="C218" s="110"/>
      <c r="D218" s="299" t="s">
        <v>1282</v>
      </c>
      <c r="E218" s="299" t="s">
        <v>115</v>
      </c>
      <c r="F218" s="315"/>
    </row>
    <row r="219" spans="1:6" ht="15.6" thickTop="1" thickBot="1">
      <c r="A219" s="305">
        <v>4547</v>
      </c>
      <c r="B219" s="299" t="s">
        <v>996</v>
      </c>
      <c r="C219" s="110"/>
      <c r="D219" s="299" t="s">
        <v>115</v>
      </c>
      <c r="E219" s="299" t="s">
        <v>115</v>
      </c>
      <c r="F219" s="315"/>
    </row>
    <row r="220" spans="1:6" ht="15.6" thickTop="1" thickBot="1">
      <c r="A220" s="305">
        <v>4549</v>
      </c>
      <c r="B220" s="299" t="s">
        <v>789</v>
      </c>
      <c r="C220" s="110"/>
      <c r="D220" s="299" t="s">
        <v>115</v>
      </c>
      <c r="E220" s="299" t="s">
        <v>115</v>
      </c>
      <c r="F220" s="315"/>
    </row>
    <row r="221" spans="1:6" ht="15.6" thickTop="1" thickBot="1">
      <c r="A221" s="305">
        <v>4550</v>
      </c>
      <c r="B221" s="299" t="s">
        <v>998</v>
      </c>
      <c r="C221" s="110"/>
      <c r="D221" s="299" t="s">
        <v>115</v>
      </c>
      <c r="E221" s="299" t="s">
        <v>115</v>
      </c>
      <c r="F221" s="315"/>
    </row>
    <row r="222" spans="1:6" ht="15.6" thickTop="1" thickBot="1">
      <c r="A222" s="305">
        <v>4576</v>
      </c>
      <c r="B222" s="299" t="s">
        <v>1000</v>
      </c>
      <c r="C222" s="110"/>
      <c r="D222" s="299" t="s">
        <v>116</v>
      </c>
      <c r="E222" s="299" t="s">
        <v>115</v>
      </c>
      <c r="F222" s="315"/>
    </row>
    <row r="223" spans="1:6" ht="15.6" thickTop="1" thickBot="1">
      <c r="A223" s="305">
        <v>4577</v>
      </c>
      <c r="B223" s="299" t="s">
        <v>1002</v>
      </c>
      <c r="C223" s="110"/>
      <c r="D223" s="299" t="s">
        <v>116</v>
      </c>
      <c r="E223" s="299" t="s">
        <v>115</v>
      </c>
      <c r="F223" s="315"/>
    </row>
    <row r="224" spans="1:6" ht="15.6" thickTop="1" thickBot="1">
      <c r="A224" s="305">
        <v>4578</v>
      </c>
      <c r="B224" s="299" t="s">
        <v>1355</v>
      </c>
      <c r="C224" s="110"/>
      <c r="D224" s="299" t="s">
        <v>116</v>
      </c>
      <c r="E224" s="299" t="s">
        <v>115</v>
      </c>
      <c r="F224" s="315"/>
    </row>
    <row r="225" spans="1:6" ht="15.6" thickTop="1" thickBot="1">
      <c r="A225" s="305">
        <v>4578</v>
      </c>
      <c r="B225" s="299" t="s">
        <v>797</v>
      </c>
      <c r="C225" s="110"/>
      <c r="D225" s="299" t="s">
        <v>116</v>
      </c>
      <c r="E225" s="299" t="s">
        <v>115</v>
      </c>
      <c r="F225" s="315"/>
    </row>
    <row r="226" spans="1:6" ht="15.6" thickTop="1" thickBot="1">
      <c r="A226" s="305">
        <v>4579</v>
      </c>
      <c r="B226" s="299" t="s">
        <v>1004</v>
      </c>
      <c r="C226" s="110"/>
      <c r="D226" s="299" t="s">
        <v>115</v>
      </c>
      <c r="E226" s="299" t="s">
        <v>115</v>
      </c>
      <c r="F226" s="315"/>
    </row>
    <row r="227" spans="1:6" ht="15.6" thickTop="1" thickBot="1">
      <c r="A227" s="305">
        <v>4592</v>
      </c>
      <c r="B227" s="299" t="s">
        <v>1006</v>
      </c>
      <c r="C227" s="110"/>
      <c r="D227" s="299" t="s">
        <v>116</v>
      </c>
      <c r="E227" s="299" t="s">
        <v>115</v>
      </c>
      <c r="F227" s="315"/>
    </row>
    <row r="228" spans="1:6" ht="15.6" thickTop="1" thickBot="1">
      <c r="A228" s="305">
        <v>4593</v>
      </c>
      <c r="B228" s="299" t="s">
        <v>1356</v>
      </c>
      <c r="C228" s="110"/>
      <c r="D228" s="299" t="s">
        <v>116</v>
      </c>
      <c r="E228" s="299" t="s">
        <v>115</v>
      </c>
      <c r="F228" s="315"/>
    </row>
    <row r="229" spans="1:6" ht="15.6" thickTop="1" thickBot="1">
      <c r="A229" s="305">
        <v>4599</v>
      </c>
      <c r="B229" s="299" t="s">
        <v>1357</v>
      </c>
      <c r="C229" s="110"/>
      <c r="D229" s="299" t="s">
        <v>116</v>
      </c>
      <c r="E229" s="299" t="s">
        <v>115</v>
      </c>
      <c r="F229" s="315"/>
    </row>
    <row r="230" spans="1:6" s="311" customFormat="1" ht="73.2" customHeight="1" thickTop="1" thickBot="1">
      <c r="A230" s="313">
        <v>4624</v>
      </c>
      <c r="B230" s="309" t="s">
        <v>1008</v>
      </c>
      <c r="C230" s="310" t="s">
        <v>1381</v>
      </c>
      <c r="D230" s="309" t="s">
        <v>116</v>
      </c>
      <c r="E230" s="309" t="s">
        <v>116</v>
      </c>
      <c r="F230" s="315" t="s">
        <v>1382</v>
      </c>
    </row>
    <row r="231" spans="1:6" ht="15.6" thickTop="1" thickBot="1">
      <c r="A231" s="305">
        <v>4628</v>
      </c>
      <c r="B231" s="299" t="s">
        <v>1010</v>
      </c>
      <c r="C231" s="110"/>
      <c r="D231" s="299" t="s">
        <v>115</v>
      </c>
      <c r="E231" s="299" t="s">
        <v>115</v>
      </c>
      <c r="F231" s="315"/>
    </row>
    <row r="232" spans="1:6" ht="15.6" thickTop="1" thickBot="1">
      <c r="A232" s="305">
        <v>4639</v>
      </c>
      <c r="B232" s="299" t="s">
        <v>1012</v>
      </c>
      <c r="C232" s="110"/>
      <c r="D232" s="299" t="s">
        <v>115</v>
      </c>
      <c r="E232" s="299" t="s">
        <v>115</v>
      </c>
      <c r="F232" s="315"/>
    </row>
    <row r="233" spans="1:6" ht="15.6" thickTop="1" thickBot="1">
      <c r="A233" s="305">
        <v>4640</v>
      </c>
      <c r="B233" s="299" t="s">
        <v>1014</v>
      </c>
      <c r="C233" s="110"/>
      <c r="D233" s="299" t="s">
        <v>115</v>
      </c>
      <c r="E233" s="299" t="s">
        <v>115</v>
      </c>
      <c r="F233" s="315"/>
    </row>
    <row r="234" spans="1:6" ht="15.6" thickTop="1" thickBot="1">
      <c r="A234" s="312">
        <v>4642</v>
      </c>
      <c r="B234" s="299" t="s">
        <v>1008</v>
      </c>
      <c r="C234" s="110"/>
      <c r="D234" s="299" t="s">
        <v>116</v>
      </c>
      <c r="E234" s="299" t="s">
        <v>115</v>
      </c>
      <c r="F234" s="315"/>
    </row>
    <row r="235" spans="1:6" ht="15.6" thickTop="1" thickBot="1">
      <c r="A235" s="305">
        <v>4643</v>
      </c>
      <c r="B235" s="299" t="s">
        <v>1016</v>
      </c>
      <c r="C235" s="110"/>
      <c r="D235" s="299" t="s">
        <v>116</v>
      </c>
      <c r="E235" s="299" t="s">
        <v>115</v>
      </c>
      <c r="F235" s="315"/>
    </row>
    <row r="236" spans="1:6" ht="15.6" thickTop="1" thickBot="1">
      <c r="A236" s="305">
        <v>4644</v>
      </c>
      <c r="B236" s="299" t="s">
        <v>1018</v>
      </c>
      <c r="C236" s="110"/>
      <c r="D236" s="299" t="s">
        <v>116</v>
      </c>
      <c r="E236" s="299" t="s">
        <v>115</v>
      </c>
      <c r="F236" s="315"/>
    </row>
    <row r="237" spans="1:6" ht="15.6" thickTop="1" thickBot="1">
      <c r="A237" s="305">
        <v>4650</v>
      </c>
      <c r="B237" s="299" t="s">
        <v>1020</v>
      </c>
      <c r="C237" s="110"/>
      <c r="D237" s="299" t="s">
        <v>116</v>
      </c>
      <c r="E237" s="299" t="s">
        <v>115</v>
      </c>
      <c r="F237" s="315"/>
    </row>
    <row r="238" spans="1:6" ht="15.6" thickTop="1" thickBot="1">
      <c r="A238" s="305">
        <v>4651</v>
      </c>
      <c r="B238" s="299" t="s">
        <v>954</v>
      </c>
      <c r="C238" s="110"/>
      <c r="D238" s="299" t="s">
        <v>115</v>
      </c>
      <c r="E238" s="299" t="s">
        <v>115</v>
      </c>
      <c r="F238" s="315"/>
    </row>
    <row r="239" spans="1:6" ht="15.6" thickTop="1" thickBot="1">
      <c r="A239" s="305">
        <v>4687</v>
      </c>
      <c r="B239" s="299" t="s">
        <v>954</v>
      </c>
      <c r="C239" s="110"/>
      <c r="D239" s="299" t="s">
        <v>115</v>
      </c>
      <c r="E239" s="299" t="s">
        <v>115</v>
      </c>
      <c r="F239" s="315"/>
    </row>
    <row r="240" spans="1:6" ht="15.6" thickTop="1" thickBot="1">
      <c r="A240" s="305">
        <v>4926</v>
      </c>
      <c r="B240" s="299" t="s">
        <v>1024</v>
      </c>
      <c r="C240" s="110"/>
      <c r="D240" s="299" t="s">
        <v>116</v>
      </c>
      <c r="E240" s="299" t="s">
        <v>115</v>
      </c>
      <c r="F240" s="315"/>
    </row>
    <row r="241" spans="1:6" ht="15.6" thickTop="1" thickBot="1">
      <c r="A241" s="305">
        <v>4932</v>
      </c>
      <c r="B241" s="299" t="s">
        <v>1026</v>
      </c>
      <c r="C241" s="110"/>
      <c r="D241" s="299" t="s">
        <v>116</v>
      </c>
      <c r="E241" s="299" t="s">
        <v>115</v>
      </c>
      <c r="F241" s="315"/>
    </row>
    <row r="242" spans="1:6" ht="15.6" thickTop="1" thickBot="1">
      <c r="A242" s="305">
        <v>4934</v>
      </c>
      <c r="B242" s="299" t="s">
        <v>1028</v>
      </c>
      <c r="C242" s="110"/>
      <c r="D242" s="299" t="s">
        <v>116</v>
      </c>
      <c r="E242" s="299" t="s">
        <v>115</v>
      </c>
      <c r="F242" s="315"/>
    </row>
    <row r="243" spans="1:6" ht="15.6" thickTop="1" thickBot="1">
      <c r="A243" s="305">
        <v>4935</v>
      </c>
      <c r="B243" s="299" t="s">
        <v>1030</v>
      </c>
      <c r="C243" s="110"/>
      <c r="D243" s="299" t="s">
        <v>116</v>
      </c>
      <c r="E243" s="299" t="s">
        <v>115</v>
      </c>
      <c r="F243" s="315"/>
    </row>
    <row r="244" spans="1:6" ht="15.6" thickTop="1" thickBot="1">
      <c r="A244" s="305">
        <v>4936</v>
      </c>
      <c r="B244" s="299" t="s">
        <v>1032</v>
      </c>
      <c r="C244" s="110"/>
      <c r="D244" s="299" t="s">
        <v>116</v>
      </c>
      <c r="E244" s="299" t="s">
        <v>115</v>
      </c>
      <c r="F244" s="315"/>
    </row>
    <row r="245" spans="1:6" ht="15.6" thickTop="1" thickBot="1">
      <c r="A245" s="305">
        <v>4950</v>
      </c>
      <c r="B245" s="299" t="s">
        <v>1358</v>
      </c>
      <c r="C245" s="110"/>
      <c r="D245" s="299" t="s">
        <v>116</v>
      </c>
      <c r="E245" s="299" t="s">
        <v>115</v>
      </c>
      <c r="F245" s="315"/>
    </row>
    <row r="246" spans="1:6" ht="15.6" thickTop="1" thickBot="1">
      <c r="A246" s="305">
        <v>4959</v>
      </c>
      <c r="B246" s="299" t="s">
        <v>1034</v>
      </c>
      <c r="C246" s="110"/>
      <c r="D246" s="299" t="s">
        <v>116</v>
      </c>
      <c r="E246" s="299" t="s">
        <v>115</v>
      </c>
      <c r="F246" s="315"/>
    </row>
    <row r="247" spans="1:6" ht="15.6" thickTop="1" thickBot="1">
      <c r="A247" s="305">
        <v>4983</v>
      </c>
      <c r="B247" s="299" t="s">
        <v>41</v>
      </c>
      <c r="C247" s="110"/>
      <c r="D247" s="299" t="s">
        <v>115</v>
      </c>
      <c r="E247" s="299" t="s">
        <v>115</v>
      </c>
      <c r="F247" s="315" t="s">
        <v>1425</v>
      </c>
    </row>
    <row r="248" spans="1:6" ht="15.6" thickTop="1" thickBot="1">
      <c r="A248" s="305">
        <v>4994</v>
      </c>
      <c r="B248" s="299" t="s">
        <v>1037</v>
      </c>
      <c r="C248" s="110"/>
      <c r="D248" s="299" t="s">
        <v>116</v>
      </c>
      <c r="E248" s="299" t="s">
        <v>115</v>
      </c>
      <c r="F248" s="315"/>
    </row>
    <row r="249" spans="1:6" ht="15.6" thickTop="1" thickBot="1">
      <c r="A249" s="305">
        <v>4996</v>
      </c>
      <c r="B249" s="299" t="s">
        <v>1039</v>
      </c>
      <c r="C249" s="110"/>
      <c r="D249" s="299" t="s">
        <v>116</v>
      </c>
      <c r="E249" s="299" t="s">
        <v>115</v>
      </c>
      <c r="F249" s="315"/>
    </row>
    <row r="250" spans="1:6" ht="15.6" thickTop="1" thickBot="1">
      <c r="A250" s="305">
        <v>4997</v>
      </c>
      <c r="B250" s="299" t="s">
        <v>1041</v>
      </c>
      <c r="C250" s="110"/>
      <c r="D250" s="299" t="s">
        <v>115</v>
      </c>
      <c r="E250" s="299" t="s">
        <v>115</v>
      </c>
      <c r="F250" s="315"/>
    </row>
    <row r="251" spans="1:6" ht="15.6" thickTop="1" thickBot="1">
      <c r="A251" s="305">
        <v>4998</v>
      </c>
      <c r="B251" s="299" t="s">
        <v>879</v>
      </c>
      <c r="C251" s="110"/>
      <c r="D251" s="299" t="s">
        <v>116</v>
      </c>
      <c r="E251" s="299" t="s">
        <v>115</v>
      </c>
      <c r="F251" s="315"/>
    </row>
    <row r="252" spans="1:6" ht="15.6" thickTop="1" thickBot="1">
      <c r="A252" s="305">
        <v>5216</v>
      </c>
      <c r="B252" s="299" t="s">
        <v>95</v>
      </c>
      <c r="C252" s="110"/>
      <c r="D252" s="299" t="s">
        <v>116</v>
      </c>
      <c r="E252" s="299" t="s">
        <v>115</v>
      </c>
      <c r="F252" s="315"/>
    </row>
    <row r="253" spans="1:6" ht="15.6" thickTop="1" thickBot="1">
      <c r="A253" s="305">
        <v>5219</v>
      </c>
      <c r="B253" s="299" t="s">
        <v>1045</v>
      </c>
      <c r="C253" s="110"/>
      <c r="D253" s="299" t="s">
        <v>116</v>
      </c>
      <c r="E253" s="299" t="s">
        <v>115</v>
      </c>
      <c r="F253" s="315"/>
    </row>
    <row r="254" spans="1:6" ht="15.6" thickTop="1" thickBot="1">
      <c r="A254" s="305">
        <v>5224</v>
      </c>
      <c r="B254" s="299" t="s">
        <v>1047</v>
      </c>
      <c r="C254" s="110"/>
      <c r="D254" s="299" t="s">
        <v>116</v>
      </c>
      <c r="E254" s="299" t="s">
        <v>115</v>
      </c>
      <c r="F254" s="315"/>
    </row>
    <row r="255" spans="1:6" ht="15.6" thickTop="1" thickBot="1">
      <c r="A255" s="305">
        <v>5251</v>
      </c>
      <c r="B255" s="299" t="s">
        <v>1049</v>
      </c>
      <c r="C255" s="110"/>
      <c r="D255" s="299" t="s">
        <v>115</v>
      </c>
      <c r="E255" s="299" t="s">
        <v>115</v>
      </c>
      <c r="F255" s="315"/>
    </row>
    <row r="256" spans="1:6" ht="15.6" thickTop="1" thickBot="1">
      <c r="A256" s="305">
        <v>5253</v>
      </c>
      <c r="B256" s="299" t="s">
        <v>78</v>
      </c>
      <c r="C256" s="110"/>
      <c r="D256" s="299" t="s">
        <v>115</v>
      </c>
      <c r="E256" s="299" t="s">
        <v>115</v>
      </c>
      <c r="F256" s="315"/>
    </row>
    <row r="257" spans="1:6" ht="15.6" thickTop="1" thickBot="1">
      <c r="A257" s="305">
        <v>5254</v>
      </c>
      <c r="B257" s="299" t="s">
        <v>78</v>
      </c>
      <c r="C257" s="110"/>
      <c r="D257" s="299" t="s">
        <v>115</v>
      </c>
      <c r="E257" s="299" t="s">
        <v>115</v>
      </c>
      <c r="F257" s="315"/>
    </row>
    <row r="258" spans="1:6" ht="15.6" thickTop="1" thickBot="1">
      <c r="A258" s="305">
        <v>5268</v>
      </c>
      <c r="B258" s="299" t="s">
        <v>1053</v>
      </c>
      <c r="C258" s="110"/>
      <c r="D258" s="299" t="s">
        <v>116</v>
      </c>
      <c r="E258" s="299" t="s">
        <v>115</v>
      </c>
      <c r="F258" s="315"/>
    </row>
    <row r="259" spans="1:6" ht="15.6" thickTop="1" thickBot="1">
      <c r="A259" s="305">
        <v>5270</v>
      </c>
      <c r="B259" s="299" t="s">
        <v>1055</v>
      </c>
      <c r="C259" s="110"/>
      <c r="D259" s="299" t="s">
        <v>116</v>
      </c>
      <c r="E259" s="299" t="s">
        <v>115</v>
      </c>
      <c r="F259" s="315"/>
    </row>
    <row r="260" spans="1:6" ht="15.6" thickTop="1" thickBot="1">
      <c r="A260" s="305">
        <v>5276</v>
      </c>
      <c r="B260" s="299" t="s">
        <v>1056</v>
      </c>
      <c r="C260" s="110"/>
      <c r="D260" s="299" t="s">
        <v>116</v>
      </c>
      <c r="E260" s="299" t="s">
        <v>115</v>
      </c>
      <c r="F260" s="315"/>
    </row>
    <row r="261" spans="1:6" ht="15.6" thickTop="1" thickBot="1">
      <c r="A261" s="305">
        <v>5279</v>
      </c>
      <c r="B261" s="299" t="s">
        <v>1058</v>
      </c>
      <c r="C261" s="110"/>
      <c r="D261" s="299" t="s">
        <v>116</v>
      </c>
      <c r="E261" s="299" t="s">
        <v>115</v>
      </c>
      <c r="F261" s="315"/>
    </row>
    <row r="262" spans="1:6" ht="15.6" thickTop="1" thickBot="1">
      <c r="A262" s="305">
        <v>5280</v>
      </c>
      <c r="B262" s="299" t="s">
        <v>1060</v>
      </c>
      <c r="C262" s="110"/>
      <c r="D262" s="299" t="s">
        <v>116</v>
      </c>
      <c r="E262" s="299" t="s">
        <v>115</v>
      </c>
      <c r="F262" s="315"/>
    </row>
    <row r="263" spans="1:6" ht="15.6" thickTop="1" thickBot="1">
      <c r="A263" s="305">
        <v>5283</v>
      </c>
      <c r="B263" s="299" t="s">
        <v>985</v>
      </c>
      <c r="C263" s="110"/>
      <c r="D263" s="299" t="s">
        <v>116</v>
      </c>
      <c r="E263" s="299" t="s">
        <v>115</v>
      </c>
      <c r="F263" s="315"/>
    </row>
    <row r="264" spans="1:6" ht="15.6" thickTop="1" thickBot="1">
      <c r="A264" s="305">
        <v>5294</v>
      </c>
      <c r="B264" s="299" t="s">
        <v>1359</v>
      </c>
      <c r="C264" s="110"/>
      <c r="D264" s="299" t="s">
        <v>115</v>
      </c>
      <c r="E264" s="299" t="s">
        <v>115</v>
      </c>
      <c r="F264" s="315"/>
    </row>
    <row r="265" spans="1:6" ht="15.6" thickTop="1" thickBot="1">
      <c r="A265" s="305">
        <v>5296</v>
      </c>
      <c r="B265" s="299" t="s">
        <v>1360</v>
      </c>
      <c r="C265" s="110"/>
      <c r="D265" s="299" t="s">
        <v>116</v>
      </c>
      <c r="E265" s="299" t="s">
        <v>115</v>
      </c>
      <c r="F265" s="315"/>
    </row>
    <row r="266" spans="1:6" ht="15.6" thickTop="1" thickBot="1">
      <c r="A266" s="305">
        <v>5321</v>
      </c>
      <c r="B266" s="299" t="s">
        <v>1063</v>
      </c>
      <c r="C266" s="110"/>
      <c r="D266" s="299" t="s">
        <v>116</v>
      </c>
      <c r="E266" s="299" t="s">
        <v>115</v>
      </c>
      <c r="F266" s="315"/>
    </row>
    <row r="267" spans="1:6" ht="15.6" thickTop="1" thickBot="1">
      <c r="A267" s="305">
        <v>5322</v>
      </c>
      <c r="B267" s="299" t="s">
        <v>1065</v>
      </c>
      <c r="C267" s="110"/>
      <c r="D267" s="299" t="s">
        <v>116</v>
      </c>
      <c r="E267" s="299" t="s">
        <v>115</v>
      </c>
      <c r="F267" s="315"/>
    </row>
    <row r="268" spans="1:6" ht="15.6" thickTop="1" thickBot="1">
      <c r="A268" s="305">
        <v>5338</v>
      </c>
      <c r="B268" s="299" t="s">
        <v>1067</v>
      </c>
      <c r="C268" s="110"/>
      <c r="D268" s="299" t="s">
        <v>116</v>
      </c>
      <c r="E268" s="299" t="s">
        <v>115</v>
      </c>
      <c r="F268" s="315"/>
    </row>
    <row r="269" spans="1:6" ht="15.6" thickTop="1" thickBot="1">
      <c r="A269" s="305">
        <v>5339</v>
      </c>
      <c r="B269" s="299" t="s">
        <v>1069</v>
      </c>
      <c r="C269" s="110"/>
      <c r="D269" s="299" t="s">
        <v>116</v>
      </c>
      <c r="E269" s="299" t="s">
        <v>115</v>
      </c>
      <c r="F269" s="315"/>
    </row>
    <row r="270" spans="1:6" ht="15.6" thickTop="1" thickBot="1">
      <c r="A270" s="305">
        <v>5340</v>
      </c>
      <c r="B270" s="299" t="s">
        <v>1070</v>
      </c>
      <c r="C270" s="110"/>
      <c r="D270" s="299" t="s">
        <v>115</v>
      </c>
      <c r="E270" s="299" t="s">
        <v>115</v>
      </c>
      <c r="F270" s="315"/>
    </row>
    <row r="271" spans="1:6" ht="15.6" thickTop="1" thickBot="1">
      <c r="A271" s="305">
        <v>5401</v>
      </c>
      <c r="B271" s="299" t="s">
        <v>24</v>
      </c>
      <c r="C271" s="110"/>
      <c r="D271" s="299" t="s">
        <v>116</v>
      </c>
      <c r="E271" s="299" t="s">
        <v>115</v>
      </c>
      <c r="F271" s="315"/>
    </row>
    <row r="272" spans="1:6" ht="15.6" thickTop="1" thickBot="1">
      <c r="A272" s="305">
        <v>5402</v>
      </c>
      <c r="B272" s="299" t="s">
        <v>1361</v>
      </c>
      <c r="C272" s="110"/>
      <c r="D272" s="299" t="s">
        <v>116</v>
      </c>
      <c r="E272" s="299" t="s">
        <v>115</v>
      </c>
      <c r="F272" s="315"/>
    </row>
    <row r="273" spans="1:6" ht="15.6" thickTop="1" thickBot="1">
      <c r="A273" s="305">
        <v>5422</v>
      </c>
      <c r="B273" s="299" t="s">
        <v>1072</v>
      </c>
      <c r="C273" s="110"/>
      <c r="D273" s="299" t="s">
        <v>116</v>
      </c>
      <c r="E273" s="299" t="s">
        <v>115</v>
      </c>
      <c r="F273" s="315"/>
    </row>
    <row r="274" spans="1:6" ht="15.6" thickTop="1" thickBot="1">
      <c r="A274" s="305">
        <v>5533</v>
      </c>
      <c r="B274" s="299" t="s">
        <v>1369</v>
      </c>
      <c r="C274" s="110"/>
      <c r="D274" s="299" t="s">
        <v>116</v>
      </c>
      <c r="E274" s="299" t="s">
        <v>115</v>
      </c>
      <c r="F274" s="315"/>
    </row>
    <row r="275" spans="1:6" ht="15" thickTop="1"/>
    <row r="277" spans="1:6">
      <c r="B277" s="307"/>
    </row>
  </sheetData>
  <hyperlinks>
    <hyperlink ref="A12" r:id="rId1" display="../../marce/Dropbox/מטאור/מנהלת הגמלאות/הסבה/החלטת ממשלה הכרה בתוספות קבועות.pdf" xr:uid="{FD8C6882-EAAA-4560-91CD-F10E6F0DC732}"/>
    <hyperlink ref="A15" r:id="rId2" display="../../marce/Dropbox/מטאור/מנהלת הגמלאות/הסבה/החלטת ממשלה הכרה בתוספות קבועות.pdf" xr:uid="{DBC8FD51-8EA5-46CD-B05B-F63E7AC6FF30}"/>
    <hyperlink ref="A28" r:id="rId3" display="../../marce/Dropbox/מטאור/מנהלת הגמלאות/הסבה/ילקוט פרסומים 96.pdf" xr:uid="{1F9F0ECF-1A4A-4430-A2FD-3E0354806E73}"/>
    <hyperlink ref="A43" r:id="rId4" display="../../marce/Dropbox/מטאור/מנהלת הגמלאות/הסבה/ילקוט פרסומים יולי 2005.pdf" xr:uid="{DC460EF6-662C-4638-AD2E-3CC19E23BFE8}"/>
    <hyperlink ref="A52" r:id="rId5" display="../../marce/Dropbox/מטאור/מנהלת הגמלאות/הסבה/ילקוט פרסומים יולי 2005.pdf" xr:uid="{DF166328-9F69-49CB-80B6-1B2C8B9C1950}"/>
    <hyperlink ref="A63" r:id="rId6" display="../../marce/Dropbox/מטאור/מנהלת הגמלאות/הסבה/החלטת ממשלה הכרה בתוספות קבועות.pdf" xr:uid="{D2385384-C989-4263-99FD-1022A8A34983}"/>
    <hyperlink ref="A88" r:id="rId7" display="../../marce/Dropbox/מטאור/מנהלת הגמלאות/הסבה/94החלטת ממשלה הכרה בתוספות קבועות.pdf" xr:uid="{DAFF0B8A-3C4E-4415-9779-ADECF9706374}"/>
    <hyperlink ref="A100" r:id="rId8" display="../../marce/Dropbox/מטאור/מנהלת הגמלאות/הסבה/החלטת ממשלה הכרה בתוספות קבועות.pdf" xr:uid="{089AB9F0-9B0D-48A1-9653-1BF17FBA9D0C}"/>
    <hyperlink ref="A111" r:id="rId9" display="../../marce/Dropbox/מטאור/מנהלת הגמלאות/הסבה/החלטת ממשלה הכרה בתוספות קבועות.pdf" xr:uid="{43E69B85-FDCF-4BF5-B5AB-4A4C1F7E4C13}"/>
    <hyperlink ref="B111" r:id="rId10" display="../../marce/Dropbox/מטאור/מנהלת הגמלאות/הסבה/ילקוט פרסומים 96.pdf" xr:uid="{F9E00FC3-53F9-4913-A07A-45420A19D227}"/>
    <hyperlink ref="A115" r:id="rId11" display="../../marce/Dropbox/מטאור/מנהלת הגמלאות/הסבה/94החלטת ממשלה הכרה בתוספות קבועות.pdf" xr:uid="{869FAC01-0485-45D7-A47A-B386DCCC8E32}"/>
    <hyperlink ref="A117" r:id="rId12" display="../../marce/Dropbox/מטאור/מנהלת הגמלאות/הסבה/החלטת ממשלה הכרה בתוספות קבועות.pdf" xr:uid="{393FFE95-30B8-41D1-A8EC-01CD0E4F0679}"/>
    <hyperlink ref="A118" r:id="rId13" display="../../marce/Dropbox/מטאור/מנהלת הגמלאות/הסבה/החלטת ממשלה הכרה בתוספות קבועות.pdf" xr:uid="{38CD594E-8482-47E4-8B3B-789FE5B086F9}"/>
    <hyperlink ref="A134" r:id="rId14" display="../../marce/Dropbox/מטאור/מנהלת הגמלאות/הסבה/חוזר הכרה בתופת אוקטובר 2000.pdf" xr:uid="{7C1712CC-9109-4834-B56C-04FE043F4546}"/>
    <hyperlink ref="A135" r:id="rId15" display="../../marce/Dropbox/מטאור/מנהלת הגמלאות/הסבה/חוזר הכרה בתופת אוקטובר 2000.pdf" xr:uid="{632EB0D4-76D7-4E74-8771-16408CB23F03}"/>
    <hyperlink ref="A143" r:id="rId16" display="../../marce/Dropbox/מטאור/מנהלת הגמלאות/הסבה/החלטת ממשלה הכרה בתוספות קבועות.pdf" xr:uid="{592A1E22-086F-4808-A2D4-4F84006661F2}"/>
    <hyperlink ref="A146" r:id="rId17" display="../../marce/Dropbox/מטאור/מנהלת הגמלאות/הסבה/החלטת ממשלה הכרה בתוספות קבועות.pdf" xr:uid="{9C332818-B37F-433B-A071-C235214B21C7}"/>
    <hyperlink ref="A155" r:id="rId18" display="../../marce/Dropbox/מטאור/מנהלת הגמלאות/הסבה/החלטת ממשלה הכרה בתוספות קבועות.pdf" xr:uid="{79EA5AB2-B0B1-4B35-BCD8-B65F78519126}"/>
    <hyperlink ref="B155" r:id="rId19" display="../../marce/Dropbox/מטאור/מנהלת הגמלאות/הסבה/ילקוט פרסומים 96.pdf" xr:uid="{0CC88866-E4AA-496E-AF32-84DAE0401A63}"/>
    <hyperlink ref="A158" r:id="rId20" display="../../marce/Dropbox/מטאור/מנהלת הגמלאות/הסבה/החלטת ממשלה הכרה בתוספות קבועות.pdf" xr:uid="{E31BC4EB-A5B4-4694-A483-7381631657E7}"/>
    <hyperlink ref="B158" r:id="rId21" display="../../marce/Dropbox/מטאור/מנהלת הגמלאות/הסבה/ילקוט פרסומים 96.pdf" xr:uid="{58AC4163-630B-4090-9C62-6B1B930ECD06}"/>
    <hyperlink ref="A160" r:id="rId22" display="../../marce/Dropbox/מטאור/מנהלת הגמלאות/הסבה/החלטת ממשלה הכרה בתוספות קבועות.pdf" xr:uid="{5D2B9383-EDD3-4056-B2C2-D0608AB3DFD8}"/>
    <hyperlink ref="B160" r:id="rId23" display="../../marce/Dropbox/מטאור/מנהלת הגמלאות/הסבה/ילקוט פרסומים 96.pdf" xr:uid="{86DDC4DC-1D4D-40D9-A0CA-85CCDD721843}"/>
    <hyperlink ref="A165" r:id="rId24" display="../../marce/Dropbox/מטאור/מנהלת הגמלאות/הסבה/החלטת ממשלה הכרה בתוספות קבועות.pdf" xr:uid="{827FC969-C64E-44A6-951C-F80E3DECD1E0}"/>
    <hyperlink ref="A194" r:id="rId25" display="../../marce/Dropbox/מטאור/מנהלת הגמלאות/הסבה/החלטת ממשלה הכרה בתוספות קבועות.pdf" xr:uid="{E56E0222-00E0-47E7-8188-A585B3F93050}"/>
    <hyperlink ref="A200" r:id="rId26" display="../../marce/Dropbox/מטאור/מנהלת הגמלאות/הסבה/חוזר הכרה בתופת אוקטובר 2000.pdf" xr:uid="{5F4A470B-E650-4675-8921-3CA4231248B2}"/>
    <hyperlink ref="A216" r:id="rId27" display="../../marce/Dropbox/מטאור/מנהלת הגמלאות/הסבה/החלטת ממשלה הכרה בתוספות קבועות.pdf" xr:uid="{51537250-BF02-4AC4-8075-18BCF8EB6510}"/>
    <hyperlink ref="B216" r:id="rId28" display="../../marce/Dropbox/מטאור/מנהלת הגמלאות/הסבה/ילקוט פרסומים 96.pdf" xr:uid="{AB3EC1D9-DC3D-450F-8459-7092349ADFDF}"/>
    <hyperlink ref="A230" r:id="rId29" display="../../marce/Dropbox/מטאור/מנהלת הגמלאות/הסבה/חוזר הכרה בתופת אוקטובר 2000.pdf" xr:uid="{DACBC1D6-FADD-44EE-8AD4-D4CCDA1C3411}"/>
    <hyperlink ref="A234" r:id="rId30" display="../../marce/Dropbox/מטאור/מנהלת הגמלאות/הסבה/חוזר הכרה בתופת אוקטובר 2000.pdf" xr:uid="{26A30464-E464-4705-BFCC-91715690BBF4}"/>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3D9FC-219F-4025-951A-BF2E5634A989}">
  <sheetPr codeName="גיליון14"/>
  <dimension ref="A1:C8"/>
  <sheetViews>
    <sheetView rightToLeft="1" workbookViewId="0">
      <selection activeCell="D20" sqref="D20"/>
    </sheetView>
  </sheetViews>
  <sheetFormatPr defaultRowHeight="14.4"/>
  <cols>
    <col min="1" max="1" width="4.88671875" bestFit="1" customWidth="1"/>
    <col min="2" max="2" width="25" bestFit="1" customWidth="1"/>
    <col min="3" max="3" width="28.6640625" bestFit="1" customWidth="1"/>
  </cols>
  <sheetData>
    <row r="1" spans="1:3">
      <c r="A1" s="108" t="s">
        <v>88</v>
      </c>
      <c r="B1" s="108" t="s">
        <v>1409</v>
      </c>
      <c r="C1" s="108" t="s">
        <v>1384</v>
      </c>
    </row>
    <row r="2" spans="1:3">
      <c r="A2">
        <v>1</v>
      </c>
      <c r="B2" t="s">
        <v>1220</v>
      </c>
    </row>
    <row r="3" spans="1:3">
      <c r="A3">
        <v>2</v>
      </c>
      <c r="B3" t="s">
        <v>1410</v>
      </c>
      <c r="C3" t="s">
        <v>1411</v>
      </c>
    </row>
    <row r="4" spans="1:3">
      <c r="A4">
        <v>3</v>
      </c>
      <c r="B4" t="s">
        <v>1412</v>
      </c>
      <c r="C4" t="s">
        <v>1413</v>
      </c>
    </row>
    <row r="5" spans="1:3">
      <c r="A5">
        <v>4</v>
      </c>
      <c r="B5" t="s">
        <v>1414</v>
      </c>
      <c r="C5" t="s">
        <v>1415</v>
      </c>
    </row>
    <row r="6" spans="1:3">
      <c r="A6">
        <v>5</v>
      </c>
      <c r="B6" t="s">
        <v>1416</v>
      </c>
      <c r="C6" t="s">
        <v>1417</v>
      </c>
    </row>
    <row r="7" spans="1:3">
      <c r="A7">
        <v>6</v>
      </c>
      <c r="B7" t="s">
        <v>1418</v>
      </c>
      <c r="C7" t="s">
        <v>1419</v>
      </c>
    </row>
    <row r="8" spans="1:3">
      <c r="A8">
        <v>7</v>
      </c>
      <c r="B8" t="s">
        <v>1424</v>
      </c>
      <c r="C8" t="s">
        <v>1423</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48844-CCF2-40DB-B042-405F8555AC7B}">
  <sheetPr codeName="גיליון19"/>
  <dimension ref="A1:L27"/>
  <sheetViews>
    <sheetView rightToLeft="1" workbookViewId="0">
      <selection activeCell="E10" sqref="E10"/>
    </sheetView>
  </sheetViews>
  <sheetFormatPr defaultRowHeight="14.4"/>
  <cols>
    <col min="1" max="1" width="15.5546875" bestFit="1" customWidth="1"/>
    <col min="5" max="5" width="12.109375" bestFit="1" customWidth="1"/>
    <col min="11" max="11" width="10.5546875" bestFit="1" customWidth="1"/>
    <col min="12" max="12" width="10.77734375" bestFit="1" customWidth="1"/>
  </cols>
  <sheetData>
    <row r="1" spans="1:12">
      <c r="A1" t="s">
        <v>1222</v>
      </c>
    </row>
    <row r="2" spans="1:12">
      <c r="A2" t="s">
        <v>1079</v>
      </c>
      <c r="C2">
        <f>+SACHAR!C9</f>
        <v>1.2008000000000001</v>
      </c>
    </row>
    <row r="3" spans="1:12">
      <c r="A3" t="s">
        <v>1232</v>
      </c>
      <c r="C3">
        <f>+'Netunei Gimlai'!B6</f>
        <v>1</v>
      </c>
    </row>
    <row r="4" spans="1:12">
      <c r="A4" t="s">
        <v>1265</v>
      </c>
      <c r="C4">
        <f>VLOOKUP(C3,'tosafot '!C6:I234,7,0)</f>
        <v>102.5</v>
      </c>
    </row>
    <row r="5" spans="1:12">
      <c r="A5" t="s">
        <v>1266</v>
      </c>
      <c r="C5">
        <f>MAX(G10:G27)</f>
        <v>13</v>
      </c>
    </row>
    <row r="6" spans="1:12">
      <c r="A6" t="s">
        <v>1267</v>
      </c>
      <c r="C6">
        <f>MAX(F10:F27)</f>
        <v>105.8</v>
      </c>
    </row>
    <row r="7" spans="1:12">
      <c r="A7" t="s">
        <v>1268</v>
      </c>
      <c r="C7" s="249">
        <f>IF(C4&gt;=C6,0,(+C6/C4-1))</f>
        <v>3.2195121951219541E-2</v>
      </c>
    </row>
    <row r="9" spans="1:12">
      <c r="B9" s="108" t="s">
        <v>1241</v>
      </c>
      <c r="C9" s="108"/>
      <c r="D9" s="108" t="s">
        <v>1259</v>
      </c>
      <c r="E9" s="108" t="s">
        <v>1262</v>
      </c>
      <c r="H9" s="108" t="s">
        <v>1264</v>
      </c>
      <c r="L9" s="108" t="s">
        <v>1263</v>
      </c>
    </row>
    <row r="10" spans="1:12">
      <c r="A10" t="s">
        <v>1260</v>
      </c>
      <c r="B10" t="s">
        <v>1261</v>
      </c>
      <c r="C10">
        <v>1.2009000000000001</v>
      </c>
      <c r="D10">
        <v>13</v>
      </c>
      <c r="E10">
        <f t="shared" ref="E10:E27" si="0">IF(D10&lt;=$C$3,0,IF(D10&gt;($C$3+12),1,2))</f>
        <v>2</v>
      </c>
      <c r="F10">
        <f>IF(E10=2,VLOOKUP(D10,'tosafot '!$C$6:$I$234,7,0),0)</f>
        <v>105.8</v>
      </c>
      <c r="G10">
        <f t="shared" ref="G10:G13" si="1">IF(E10=2,D10,0)</f>
        <v>13</v>
      </c>
      <c r="H10" s="84">
        <f>IF(E10=0,0,IF(E10=2,$C$7,L10))</f>
        <v>3.2195121951219541E-2</v>
      </c>
      <c r="K10" t="s">
        <v>1260</v>
      </c>
      <c r="L10" s="6">
        <v>0</v>
      </c>
    </row>
    <row r="11" spans="1:12">
      <c r="A11" t="s">
        <v>1223</v>
      </c>
      <c r="B11" t="s">
        <v>1243</v>
      </c>
      <c r="C11" s="14">
        <v>1.2010000000000001</v>
      </c>
      <c r="D11">
        <f>+D10+12</f>
        <v>25</v>
      </c>
      <c r="E11">
        <f t="shared" si="0"/>
        <v>1</v>
      </c>
      <c r="F11">
        <f>IF(E11=2,VLOOKUP(D11,'tosafot '!$C$6:$I$234,7,0),0)</f>
        <v>0</v>
      </c>
      <c r="G11">
        <f t="shared" si="1"/>
        <v>0</v>
      </c>
      <c r="H11" s="84">
        <f t="shared" ref="H11:H27" si="2">IF(E11=0,0,IF(E11=2,$C$7,L11))</f>
        <v>3.9100000000000003E-2</v>
      </c>
      <c r="K11" t="s">
        <v>1223</v>
      </c>
      <c r="L11" s="6">
        <v>3.9100000000000003E-2</v>
      </c>
    </row>
    <row r="12" spans="1:12">
      <c r="A12" t="s">
        <v>1224</v>
      </c>
      <c r="B12" t="s">
        <v>1244</v>
      </c>
      <c r="C12">
        <v>1.2011000000000001</v>
      </c>
      <c r="D12">
        <f t="shared" ref="D12:D27" si="3">+D11+12</f>
        <v>37</v>
      </c>
      <c r="E12">
        <f t="shared" si="0"/>
        <v>1</v>
      </c>
      <c r="F12">
        <f>IF(E12=2,VLOOKUP(D12,'tosafot '!$C$6:$I$234,7,0),0)</f>
        <v>0</v>
      </c>
      <c r="G12">
        <f t="shared" si="1"/>
        <v>0</v>
      </c>
      <c r="H12" s="84">
        <f t="shared" si="2"/>
        <v>2.6599999999999999E-2</v>
      </c>
      <c r="K12" t="s">
        <v>1224</v>
      </c>
      <c r="L12" s="6">
        <v>2.6599999999999999E-2</v>
      </c>
    </row>
    <row r="13" spans="1:12">
      <c r="A13" t="s">
        <v>1225</v>
      </c>
      <c r="B13" t="s">
        <v>1245</v>
      </c>
      <c r="C13">
        <v>1.2012</v>
      </c>
      <c r="D13">
        <f t="shared" si="3"/>
        <v>49</v>
      </c>
      <c r="E13">
        <f t="shared" si="0"/>
        <v>1</v>
      </c>
      <c r="F13">
        <f>IF(E13=2,VLOOKUP(D13,'tosafot '!$C$6:$I$234,7,0),0)</f>
        <v>0</v>
      </c>
      <c r="G13">
        <f t="shared" si="1"/>
        <v>0</v>
      </c>
      <c r="H13" s="84">
        <f t="shared" si="2"/>
        <v>2.1700000000000001E-2</v>
      </c>
      <c r="K13" t="s">
        <v>1225</v>
      </c>
      <c r="L13" s="6">
        <v>2.1700000000000001E-2</v>
      </c>
    </row>
    <row r="14" spans="1:12">
      <c r="A14" t="s">
        <v>1226</v>
      </c>
      <c r="B14" t="s">
        <v>1246</v>
      </c>
      <c r="C14">
        <v>1.2013</v>
      </c>
      <c r="D14">
        <f t="shared" si="3"/>
        <v>61</v>
      </c>
      <c r="E14">
        <f t="shared" si="0"/>
        <v>1</v>
      </c>
      <c r="F14">
        <f>IF(E14=2,VLOOKUP(D14,'tosafot '!$C$6:$I$234,7,0),0)</f>
        <v>0</v>
      </c>
      <c r="G14">
        <f>IF(E14=2,D14,0)</f>
        <v>0</v>
      </c>
      <c r="H14" s="84">
        <f t="shared" si="2"/>
        <v>1.6299999999999999E-2</v>
      </c>
      <c r="K14" t="s">
        <v>1226</v>
      </c>
      <c r="L14" s="6">
        <v>1.6299999999999999E-2</v>
      </c>
    </row>
    <row r="15" spans="1:12">
      <c r="A15" t="s">
        <v>1227</v>
      </c>
      <c r="B15" t="s">
        <v>1247</v>
      </c>
      <c r="C15">
        <v>1.2014</v>
      </c>
      <c r="D15">
        <f t="shared" si="3"/>
        <v>73</v>
      </c>
      <c r="E15">
        <f t="shared" si="0"/>
        <v>1</v>
      </c>
      <c r="F15">
        <f>IF(E15=2,VLOOKUP(D15,'tosafot '!$C$6:$I$234,7,0),0)</f>
        <v>0</v>
      </c>
      <c r="G15">
        <f t="shared" ref="G15:G27" si="4">IF(E15=2,D15,0)</f>
        <v>0</v>
      </c>
      <c r="H15" s="84">
        <f t="shared" si="2"/>
        <v>1.8200000000000001E-2</v>
      </c>
      <c r="K15" t="s">
        <v>1227</v>
      </c>
      <c r="L15" s="6">
        <v>1.8200000000000001E-2</v>
      </c>
    </row>
    <row r="16" spans="1:12">
      <c r="A16" t="s">
        <v>1228</v>
      </c>
      <c r="B16" t="s">
        <v>1248</v>
      </c>
      <c r="C16">
        <v>1.2015</v>
      </c>
      <c r="D16">
        <f t="shared" si="3"/>
        <v>85</v>
      </c>
      <c r="E16">
        <f t="shared" si="0"/>
        <v>1</v>
      </c>
      <c r="F16">
        <f>IF(E16=2,VLOOKUP(D16,'tosafot '!$C$6:$I$234,7,0),0)</f>
        <v>0</v>
      </c>
      <c r="G16">
        <f t="shared" si="4"/>
        <v>0</v>
      </c>
      <c r="H16" s="84">
        <f t="shared" si="2"/>
        <v>0</v>
      </c>
      <c r="K16" t="s">
        <v>1228</v>
      </c>
      <c r="L16" s="6">
        <v>0</v>
      </c>
    </row>
    <row r="17" spans="1:12">
      <c r="A17" t="s">
        <v>1229</v>
      </c>
      <c r="B17" t="s">
        <v>1249</v>
      </c>
      <c r="C17">
        <v>1.2016</v>
      </c>
      <c r="D17">
        <f t="shared" si="3"/>
        <v>97</v>
      </c>
      <c r="E17">
        <f t="shared" si="0"/>
        <v>1</v>
      </c>
      <c r="F17">
        <f>IF(E17=2,VLOOKUP(D17,'tosafot '!$C$6:$I$234,7,0),0)</f>
        <v>0</v>
      </c>
      <c r="G17">
        <f t="shared" si="4"/>
        <v>0</v>
      </c>
      <c r="H17" s="84">
        <f t="shared" si="2"/>
        <v>0</v>
      </c>
      <c r="K17" t="s">
        <v>1229</v>
      </c>
      <c r="L17" s="6">
        <v>0</v>
      </c>
    </row>
    <row r="18" spans="1:12">
      <c r="A18" t="s">
        <v>1230</v>
      </c>
      <c r="B18" t="s">
        <v>1250</v>
      </c>
      <c r="C18">
        <v>1.2017</v>
      </c>
      <c r="D18">
        <f t="shared" si="3"/>
        <v>109</v>
      </c>
      <c r="E18">
        <f t="shared" si="0"/>
        <v>1</v>
      </c>
      <c r="F18">
        <f>IF(E18=2,VLOOKUP(D18,'tosafot '!$C$6:$I$234,7,0),0)</f>
        <v>0</v>
      </c>
      <c r="G18">
        <f t="shared" si="4"/>
        <v>0</v>
      </c>
      <c r="H18" s="84">
        <f t="shared" si="2"/>
        <v>0</v>
      </c>
      <c r="K18" t="s">
        <v>1230</v>
      </c>
      <c r="L18" s="6">
        <v>0</v>
      </c>
    </row>
    <row r="19" spans="1:12">
      <c r="A19" t="s">
        <v>1231</v>
      </c>
      <c r="B19" t="s">
        <v>1251</v>
      </c>
      <c r="C19">
        <v>1.2018</v>
      </c>
      <c r="D19">
        <f t="shared" si="3"/>
        <v>121</v>
      </c>
      <c r="E19">
        <f t="shared" si="0"/>
        <v>1</v>
      </c>
      <c r="F19">
        <f>IF(E19=2,VLOOKUP(D19,'tosafot '!$C$6:$I$234,7,0),0)</f>
        <v>0</v>
      </c>
      <c r="G19">
        <f t="shared" si="4"/>
        <v>0</v>
      </c>
      <c r="H19" s="84">
        <f t="shared" si="2"/>
        <v>0</v>
      </c>
      <c r="K19" t="s">
        <v>1231</v>
      </c>
      <c r="L19" s="6">
        <v>0</v>
      </c>
    </row>
    <row r="20" spans="1:12">
      <c r="A20" t="s">
        <v>1233</v>
      </c>
      <c r="B20" t="s">
        <v>1242</v>
      </c>
      <c r="C20">
        <v>1.2019</v>
      </c>
      <c r="D20">
        <f t="shared" si="3"/>
        <v>133</v>
      </c>
      <c r="E20">
        <f t="shared" si="0"/>
        <v>1</v>
      </c>
      <c r="F20">
        <f>IF(E20=2,VLOOKUP(D20,'tosafot '!$C$6:$I$234,7,0),0)</f>
        <v>0</v>
      </c>
      <c r="G20">
        <f t="shared" si="4"/>
        <v>0</v>
      </c>
      <c r="H20" s="84">
        <f t="shared" si="2"/>
        <v>0</v>
      </c>
      <c r="K20" t="s">
        <v>1233</v>
      </c>
      <c r="L20" s="6">
        <v>0</v>
      </c>
    </row>
    <row r="21" spans="1:12">
      <c r="A21" t="s">
        <v>1234</v>
      </c>
      <c r="B21" t="s">
        <v>1252</v>
      </c>
      <c r="C21" s="14">
        <v>1.202</v>
      </c>
      <c r="D21">
        <f t="shared" si="3"/>
        <v>145</v>
      </c>
      <c r="E21">
        <f t="shared" si="0"/>
        <v>1</v>
      </c>
      <c r="F21">
        <f>IF(E21=2,VLOOKUP(D21,'tosafot '!$C$6:$I$234,7,0),0)</f>
        <v>0</v>
      </c>
      <c r="G21">
        <f t="shared" si="4"/>
        <v>0</v>
      </c>
      <c r="H21" s="84">
        <f t="shared" si="2"/>
        <v>3.8999999999999998E-3</v>
      </c>
      <c r="K21" t="s">
        <v>1234</v>
      </c>
      <c r="L21" s="6">
        <v>3.8999999999999998E-3</v>
      </c>
    </row>
    <row r="22" spans="1:12">
      <c r="A22" t="s">
        <v>1235</v>
      </c>
      <c r="B22" t="s">
        <v>1253</v>
      </c>
      <c r="C22">
        <v>2.2021000000000002</v>
      </c>
      <c r="D22">
        <f t="shared" si="3"/>
        <v>157</v>
      </c>
      <c r="E22">
        <f t="shared" si="0"/>
        <v>1</v>
      </c>
      <c r="F22">
        <f>IF(E22=2,VLOOKUP(D22,'tosafot '!$C$6:$I$234,7,0),0)</f>
        <v>0</v>
      </c>
      <c r="G22">
        <f t="shared" si="4"/>
        <v>0</v>
      </c>
      <c r="H22" s="84">
        <f t="shared" si="2"/>
        <v>0</v>
      </c>
      <c r="K22" t="s">
        <v>1235</v>
      </c>
      <c r="L22" s="6">
        <v>0</v>
      </c>
    </row>
    <row r="23" spans="1:12">
      <c r="A23" t="s">
        <v>1236</v>
      </c>
      <c r="B23" t="s">
        <v>1254</v>
      </c>
      <c r="C23">
        <v>1.2021999999999999</v>
      </c>
      <c r="D23">
        <f t="shared" si="3"/>
        <v>169</v>
      </c>
      <c r="E23">
        <f t="shared" si="0"/>
        <v>1</v>
      </c>
      <c r="F23">
        <f>IF(E23=2,VLOOKUP(D23,'tosafot '!$C$6:$I$234,7,0),0)</f>
        <v>0</v>
      </c>
      <c r="G23">
        <f t="shared" si="4"/>
        <v>0</v>
      </c>
      <c r="H23" s="84">
        <f t="shared" si="2"/>
        <v>2.0899999999999998E-2</v>
      </c>
      <c r="K23" t="s">
        <v>1236</v>
      </c>
      <c r="L23" s="6">
        <v>2.0899999999999998E-2</v>
      </c>
    </row>
    <row r="24" spans="1:12">
      <c r="A24" t="s">
        <v>1237</v>
      </c>
      <c r="B24" t="s">
        <v>1255</v>
      </c>
      <c r="C24">
        <v>1.2022999999999999</v>
      </c>
      <c r="D24">
        <f t="shared" si="3"/>
        <v>181</v>
      </c>
      <c r="E24">
        <f t="shared" si="0"/>
        <v>1</v>
      </c>
      <c r="F24">
        <f>IF(E24=2,VLOOKUP(D24,'tosafot '!$C$6:$I$234,7,0),0)</f>
        <v>0</v>
      </c>
      <c r="G24">
        <f t="shared" si="4"/>
        <v>0</v>
      </c>
      <c r="H24" s="84">
        <f t="shared" si="2"/>
        <v>5.2600000000000001E-2</v>
      </c>
      <c r="K24" t="s">
        <v>1237</v>
      </c>
      <c r="L24" s="6">
        <v>5.2600000000000001E-2</v>
      </c>
    </row>
    <row r="25" spans="1:12">
      <c r="A25" t="s">
        <v>1238</v>
      </c>
      <c r="B25" t="s">
        <v>1256</v>
      </c>
      <c r="C25">
        <v>1.2023999999999999</v>
      </c>
      <c r="D25">
        <f t="shared" si="3"/>
        <v>193</v>
      </c>
      <c r="E25">
        <f t="shared" si="0"/>
        <v>1</v>
      </c>
      <c r="F25">
        <f>IF(E25=2,VLOOKUP(D25,'tosafot '!$C$6:$I$234,7,0),0)</f>
        <v>0</v>
      </c>
      <c r="G25">
        <f t="shared" si="4"/>
        <v>0</v>
      </c>
      <c r="H25" s="84">
        <f t="shared" si="2"/>
        <v>2.9600000000000001E-2</v>
      </c>
      <c r="K25" t="s">
        <v>1238</v>
      </c>
      <c r="L25" s="6">
        <v>2.9600000000000001E-2</v>
      </c>
    </row>
    <row r="26" spans="1:12">
      <c r="A26" t="s">
        <v>1239</v>
      </c>
      <c r="B26" t="s">
        <v>1257</v>
      </c>
      <c r="C26">
        <v>1.2024999999999999</v>
      </c>
      <c r="D26">
        <f t="shared" si="3"/>
        <v>205</v>
      </c>
      <c r="E26">
        <f t="shared" si="0"/>
        <v>1</v>
      </c>
      <c r="F26">
        <f>IF(E26=2,VLOOKUP(D26,'tosafot '!$C$6:$I$234,7,0),0)</f>
        <v>0</v>
      </c>
      <c r="G26">
        <f t="shared" si="4"/>
        <v>0</v>
      </c>
      <c r="H26" s="84">
        <f t="shared" si="2"/>
        <v>3.1400000000000004E-2</v>
      </c>
      <c r="K26" t="s">
        <v>1239</v>
      </c>
      <c r="L26" s="6">
        <v>3.1400000000000004E-2</v>
      </c>
    </row>
    <row r="27" spans="1:12">
      <c r="A27" t="s">
        <v>1240</v>
      </c>
      <c r="B27" t="s">
        <v>1258</v>
      </c>
      <c r="C27">
        <v>1.2024999999999999</v>
      </c>
      <c r="D27">
        <f t="shared" si="3"/>
        <v>217</v>
      </c>
      <c r="E27">
        <f t="shared" si="0"/>
        <v>1</v>
      </c>
      <c r="F27">
        <f>IF(E27=2,VLOOKUP(D27,'tosafot '!$C$6:$I$234,7,0),0)</f>
        <v>0</v>
      </c>
      <c r="G27">
        <f t="shared" si="4"/>
        <v>0</v>
      </c>
      <c r="H27" s="84">
        <f t="shared" si="2"/>
        <v>0</v>
      </c>
      <c r="K27" t="s">
        <v>1240</v>
      </c>
    </row>
  </sheetData>
  <phoneticPr fontId="37"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8E96A-99D5-445A-9E1A-4035F5E52C22}">
  <sheetPr codeName="גיליון20"/>
  <dimension ref="A1:L173"/>
  <sheetViews>
    <sheetView rightToLeft="1" workbookViewId="0">
      <selection activeCell="G2" sqref="G2"/>
    </sheetView>
  </sheetViews>
  <sheetFormatPr defaultRowHeight="14.4"/>
  <cols>
    <col min="1" max="1" width="4" bestFit="1" customWidth="1"/>
    <col min="2" max="2" width="10.6640625" bestFit="1" customWidth="1"/>
    <col min="3" max="3" width="6" bestFit="1" customWidth="1"/>
    <col min="4" max="4" width="5.33203125" bestFit="1" customWidth="1"/>
  </cols>
  <sheetData>
    <row r="1" spans="1:12" ht="15" thickTop="1">
      <c r="B1" s="275" t="s">
        <v>53</v>
      </c>
      <c r="C1" s="190">
        <f>VLOOKUP('Netunei Gimlai'!$B$9,DERUG!$C$3:$D$64,2,0)</f>
        <v>1</v>
      </c>
    </row>
    <row r="2" spans="1:12">
      <c r="B2" s="126" t="s">
        <v>56</v>
      </c>
      <c r="C2" s="189">
        <f>+'Netunei Gimlai'!$B$10</f>
        <v>11</v>
      </c>
      <c r="G2" s="106">
        <f>IF(C4&gt;=H6,H4,IF(C4&gt;=G6,G4,0))</f>
        <v>0</v>
      </c>
    </row>
    <row r="3" spans="1:12">
      <c r="B3" s="126" t="s">
        <v>58</v>
      </c>
      <c r="C3" s="189" cm="1">
        <f t="array" ref="C3">INDEX(kodderugdarga!$AJ$3:$AT$112,$C$2,$C$1)</f>
        <v>1011</v>
      </c>
    </row>
    <row r="4" spans="1:12" ht="15" thickBot="1">
      <c r="B4" s="276" t="s">
        <v>9</v>
      </c>
      <c r="C4" s="277">
        <f>+'Netunei Gimlai'!$B$6</f>
        <v>1</v>
      </c>
      <c r="G4" s="106">
        <f>IF(VLOOKUP($C$3,$E$8:F65,2,0)=1,G8,G22)</f>
        <v>7.0000000000000007E-2</v>
      </c>
      <c r="H4" s="106">
        <f>IF(VLOOKUP($C$3,$E$8:$F$65,2,0)=1,H8,H22)</f>
        <v>0.1</v>
      </c>
    </row>
    <row r="5" spans="1:12" ht="15" thickTop="1">
      <c r="L5" s="18"/>
    </row>
    <row r="6" spans="1:12">
      <c r="G6">
        <f>VLOOKUP(G7,'tosafot '!$B$7:$C$234,2,0)</f>
        <v>32</v>
      </c>
      <c r="H6">
        <f>VLOOKUP(H7,'tosafot '!$B$7:$C$234,2,0)</f>
        <v>44</v>
      </c>
      <c r="L6" s="18"/>
    </row>
    <row r="7" spans="1:12">
      <c r="B7" t="s">
        <v>136</v>
      </c>
      <c r="D7" t="s">
        <v>54</v>
      </c>
      <c r="F7" s="108" t="s">
        <v>1207</v>
      </c>
      <c r="G7" s="274">
        <v>8.2010000000000005</v>
      </c>
      <c r="H7" s="108">
        <v>8.2011000000000003</v>
      </c>
    </row>
    <row r="8" spans="1:12">
      <c r="A8">
        <v>1</v>
      </c>
      <c r="B8" s="1">
        <v>10</v>
      </c>
      <c r="C8">
        <v>1</v>
      </c>
      <c r="D8" s="1" t="s">
        <v>102</v>
      </c>
      <c r="E8" s="1">
        <v>1001</v>
      </c>
      <c r="F8" s="1">
        <v>1</v>
      </c>
      <c r="G8" s="5">
        <v>7.0000000000000007E-2</v>
      </c>
      <c r="H8" s="5">
        <v>0.1</v>
      </c>
    </row>
    <row r="9" spans="1:12">
      <c r="A9">
        <v>2</v>
      </c>
      <c r="B9" s="1">
        <v>11</v>
      </c>
      <c r="C9">
        <v>2</v>
      </c>
      <c r="D9" s="1" t="s">
        <v>102</v>
      </c>
      <c r="E9" s="1">
        <f>+E8+1</f>
        <v>1002</v>
      </c>
      <c r="F9" s="1">
        <v>1</v>
      </c>
      <c r="G9" s="5">
        <v>7.0000000000000007E-2</v>
      </c>
      <c r="H9" s="5">
        <v>0.1</v>
      </c>
    </row>
    <row r="10" spans="1:12">
      <c r="A10">
        <v>3</v>
      </c>
      <c r="B10" s="1">
        <v>12</v>
      </c>
      <c r="C10">
        <v>3</v>
      </c>
      <c r="D10" s="1" t="s">
        <v>102</v>
      </c>
      <c r="E10" s="1">
        <f t="shared" ref="E10:E25" si="0">+E9+1</f>
        <v>1003</v>
      </c>
      <c r="F10" s="1">
        <v>1</v>
      </c>
      <c r="G10" s="5">
        <v>7.0000000000000007E-2</v>
      </c>
      <c r="H10" s="5">
        <v>0.1</v>
      </c>
    </row>
    <row r="11" spans="1:12">
      <c r="A11">
        <v>4</v>
      </c>
      <c r="B11" s="1" t="s">
        <v>141</v>
      </c>
      <c r="C11">
        <v>4</v>
      </c>
      <c r="D11" s="1" t="s">
        <v>102</v>
      </c>
      <c r="E11" s="1">
        <f t="shared" si="0"/>
        <v>1004</v>
      </c>
      <c r="F11" s="1">
        <v>1</v>
      </c>
      <c r="G11" s="5">
        <v>7.0000000000000007E-2</v>
      </c>
      <c r="H11" s="5">
        <v>0.1</v>
      </c>
    </row>
    <row r="12" spans="1:12">
      <c r="A12">
        <v>5</v>
      </c>
      <c r="B12" s="1">
        <v>13</v>
      </c>
      <c r="C12">
        <v>5</v>
      </c>
      <c r="D12" s="1" t="s">
        <v>102</v>
      </c>
      <c r="E12" s="1">
        <f t="shared" si="0"/>
        <v>1005</v>
      </c>
      <c r="F12" s="1">
        <v>1</v>
      </c>
      <c r="G12" s="5">
        <v>7.0000000000000007E-2</v>
      </c>
      <c r="H12" s="5">
        <v>0.1</v>
      </c>
    </row>
    <row r="13" spans="1:12">
      <c r="A13">
        <v>6</v>
      </c>
      <c r="B13" s="1" t="s">
        <v>144</v>
      </c>
      <c r="C13">
        <v>6</v>
      </c>
      <c r="D13" s="1" t="s">
        <v>102</v>
      </c>
      <c r="E13" s="1">
        <f t="shared" si="0"/>
        <v>1006</v>
      </c>
      <c r="F13" s="1">
        <v>1</v>
      </c>
      <c r="G13" s="5">
        <v>7.0000000000000007E-2</v>
      </c>
      <c r="H13" s="5">
        <v>0.1</v>
      </c>
    </row>
    <row r="14" spans="1:12">
      <c r="A14">
        <v>7</v>
      </c>
      <c r="B14" s="1">
        <v>14</v>
      </c>
      <c r="C14">
        <v>7</v>
      </c>
      <c r="D14" s="1" t="s">
        <v>102</v>
      </c>
      <c r="E14" s="1">
        <f t="shared" si="0"/>
        <v>1007</v>
      </c>
      <c r="F14" s="1">
        <v>1</v>
      </c>
      <c r="G14" s="5">
        <v>7.0000000000000007E-2</v>
      </c>
      <c r="H14" s="5">
        <v>0.1</v>
      </c>
    </row>
    <row r="15" spans="1:12">
      <c r="A15">
        <v>8</v>
      </c>
      <c r="B15" s="1" t="s">
        <v>147</v>
      </c>
      <c r="C15">
        <v>8</v>
      </c>
      <c r="D15" s="1" t="s">
        <v>102</v>
      </c>
      <c r="E15" s="1">
        <f t="shared" si="0"/>
        <v>1008</v>
      </c>
      <c r="F15" s="1">
        <v>1</v>
      </c>
      <c r="G15" s="5">
        <v>7.0000000000000007E-2</v>
      </c>
      <c r="H15" s="5">
        <v>0.1</v>
      </c>
    </row>
    <row r="16" spans="1:12">
      <c r="A16">
        <v>9</v>
      </c>
      <c r="B16" s="1">
        <v>15</v>
      </c>
      <c r="C16">
        <v>9</v>
      </c>
      <c r="D16" s="1" t="s">
        <v>102</v>
      </c>
      <c r="E16" s="1">
        <f t="shared" si="0"/>
        <v>1009</v>
      </c>
      <c r="F16" s="1">
        <v>1</v>
      </c>
      <c r="G16" s="5">
        <v>7.0000000000000007E-2</v>
      </c>
      <c r="H16" s="5">
        <v>0.1</v>
      </c>
    </row>
    <row r="17" spans="1:8">
      <c r="A17">
        <v>10</v>
      </c>
      <c r="B17" s="1" t="s">
        <v>150</v>
      </c>
      <c r="C17">
        <v>10</v>
      </c>
      <c r="D17" s="1" t="s">
        <v>102</v>
      </c>
      <c r="E17" s="1">
        <f t="shared" si="0"/>
        <v>1010</v>
      </c>
      <c r="F17" s="1">
        <v>1</v>
      </c>
      <c r="G17" s="5">
        <v>7.0000000000000007E-2</v>
      </c>
      <c r="H17" s="5">
        <v>0.1</v>
      </c>
    </row>
    <row r="18" spans="1:8">
      <c r="A18">
        <v>11</v>
      </c>
      <c r="B18" s="1">
        <v>16</v>
      </c>
      <c r="C18">
        <v>11</v>
      </c>
      <c r="D18" s="1" t="s">
        <v>102</v>
      </c>
      <c r="E18" s="1">
        <f t="shared" si="0"/>
        <v>1011</v>
      </c>
      <c r="F18" s="1">
        <v>1</v>
      </c>
      <c r="G18" s="5">
        <v>7.0000000000000007E-2</v>
      </c>
      <c r="H18" s="5">
        <v>0.1</v>
      </c>
    </row>
    <row r="19" spans="1:8">
      <c r="A19">
        <v>12</v>
      </c>
      <c r="B19" s="1" t="s">
        <v>153</v>
      </c>
      <c r="C19">
        <v>12</v>
      </c>
      <c r="D19" s="1" t="s">
        <v>102</v>
      </c>
      <c r="E19" s="1">
        <f t="shared" si="0"/>
        <v>1012</v>
      </c>
      <c r="F19" s="1">
        <v>1</v>
      </c>
      <c r="G19" s="5">
        <v>7.0000000000000007E-2</v>
      </c>
      <c r="H19" s="5">
        <v>0.1</v>
      </c>
    </row>
    <row r="20" spans="1:8">
      <c r="A20">
        <v>13</v>
      </c>
      <c r="B20" s="1">
        <v>17</v>
      </c>
      <c r="C20">
        <v>13</v>
      </c>
      <c r="D20" s="1" t="s">
        <v>102</v>
      </c>
      <c r="E20" s="1">
        <f t="shared" si="0"/>
        <v>1013</v>
      </c>
      <c r="F20" s="1">
        <v>1</v>
      </c>
      <c r="G20" s="5">
        <v>7.0000000000000007E-2</v>
      </c>
      <c r="H20" s="5">
        <v>0.1</v>
      </c>
    </row>
    <row r="21" spans="1:8">
      <c r="A21">
        <v>14</v>
      </c>
      <c r="B21" s="1" t="s">
        <v>156</v>
      </c>
      <c r="C21">
        <v>14</v>
      </c>
      <c r="D21" s="1" t="s">
        <v>102</v>
      </c>
      <c r="E21" s="1">
        <f t="shared" si="0"/>
        <v>1014</v>
      </c>
      <c r="F21" s="1">
        <v>1</v>
      </c>
      <c r="G21" s="5">
        <v>7.0000000000000007E-2</v>
      </c>
      <c r="H21" s="5">
        <v>0.1</v>
      </c>
    </row>
    <row r="22" spans="1:8">
      <c r="A22">
        <v>15</v>
      </c>
      <c r="B22" s="1">
        <v>18</v>
      </c>
      <c r="C22">
        <v>15</v>
      </c>
      <c r="D22" s="1" t="s">
        <v>102</v>
      </c>
      <c r="E22" s="1">
        <f t="shared" si="0"/>
        <v>1015</v>
      </c>
      <c r="F22" s="1">
        <v>2</v>
      </c>
      <c r="G22" s="5">
        <v>0.05</v>
      </c>
      <c r="H22" s="5">
        <v>0.08</v>
      </c>
    </row>
    <row r="23" spans="1:8">
      <c r="A23">
        <v>16</v>
      </c>
      <c r="B23" s="1" t="s">
        <v>159</v>
      </c>
      <c r="C23">
        <v>16</v>
      </c>
      <c r="D23" s="1" t="s">
        <v>102</v>
      </c>
      <c r="E23" s="1">
        <f t="shared" si="0"/>
        <v>1016</v>
      </c>
      <c r="F23" s="1">
        <v>2</v>
      </c>
      <c r="G23" s="5">
        <v>0.05</v>
      </c>
      <c r="H23" s="5">
        <v>0.08</v>
      </c>
    </row>
    <row r="24" spans="1:8">
      <c r="A24">
        <v>17</v>
      </c>
      <c r="B24" s="1">
        <v>19</v>
      </c>
      <c r="C24">
        <v>17</v>
      </c>
      <c r="D24" s="1" t="s">
        <v>102</v>
      </c>
      <c r="E24" s="1">
        <f t="shared" si="0"/>
        <v>1017</v>
      </c>
      <c r="F24" s="1">
        <v>2</v>
      </c>
      <c r="G24" s="5">
        <v>0.05</v>
      </c>
      <c r="H24" s="5">
        <v>0.08</v>
      </c>
    </row>
    <row r="25" spans="1:8">
      <c r="A25">
        <v>18</v>
      </c>
      <c r="B25" s="1" t="s">
        <v>162</v>
      </c>
      <c r="C25">
        <v>18</v>
      </c>
      <c r="D25" s="1" t="s">
        <v>102</v>
      </c>
      <c r="E25" s="1">
        <f t="shared" si="0"/>
        <v>1018</v>
      </c>
      <c r="F25" s="1">
        <v>2</v>
      </c>
      <c r="G25" s="5">
        <v>0.05</v>
      </c>
      <c r="H25" s="5">
        <v>0.08</v>
      </c>
    </row>
    <row r="26" spans="1:8">
      <c r="A26">
        <v>19</v>
      </c>
      <c r="B26" s="1">
        <v>20</v>
      </c>
      <c r="C26">
        <v>19</v>
      </c>
      <c r="D26" s="1" t="s">
        <v>102</v>
      </c>
      <c r="E26" s="1">
        <f t="shared" ref="E26:E37" si="1">+E25+1</f>
        <v>1019</v>
      </c>
      <c r="F26" s="1">
        <v>2</v>
      </c>
      <c r="G26" s="5">
        <v>0.05</v>
      </c>
      <c r="H26" s="5">
        <v>0.08</v>
      </c>
    </row>
    <row r="27" spans="1:8">
      <c r="A27">
        <v>20</v>
      </c>
      <c r="B27" s="1" t="s">
        <v>165</v>
      </c>
      <c r="C27">
        <v>20</v>
      </c>
      <c r="D27" s="1" t="s">
        <v>102</v>
      </c>
      <c r="E27" s="1">
        <f t="shared" si="1"/>
        <v>1020</v>
      </c>
      <c r="F27" s="1">
        <v>2</v>
      </c>
      <c r="G27" s="5">
        <v>0.05</v>
      </c>
      <c r="H27" s="5">
        <v>0.08</v>
      </c>
    </row>
    <row r="28" spans="1:8">
      <c r="A28">
        <v>21</v>
      </c>
      <c r="B28" s="1">
        <v>21</v>
      </c>
      <c r="C28">
        <v>21</v>
      </c>
      <c r="D28" s="1" t="s">
        <v>102</v>
      </c>
      <c r="E28" s="1">
        <f t="shared" si="1"/>
        <v>1021</v>
      </c>
      <c r="F28" s="1">
        <v>2</v>
      </c>
      <c r="G28" s="5">
        <v>0.05</v>
      </c>
      <c r="H28" s="5">
        <v>0.08</v>
      </c>
    </row>
    <row r="29" spans="1:8">
      <c r="A29">
        <v>22</v>
      </c>
      <c r="B29" s="1" t="s">
        <v>168</v>
      </c>
      <c r="C29">
        <v>22</v>
      </c>
      <c r="D29" s="1" t="s">
        <v>102</v>
      </c>
      <c r="E29" s="1">
        <f t="shared" si="1"/>
        <v>1022</v>
      </c>
      <c r="F29" s="1">
        <v>2</v>
      </c>
      <c r="G29" s="5">
        <v>0.05</v>
      </c>
      <c r="H29" s="5">
        <v>0.08</v>
      </c>
    </row>
    <row r="30" spans="1:8">
      <c r="A30">
        <v>23</v>
      </c>
      <c r="B30" s="1">
        <v>22</v>
      </c>
      <c r="C30">
        <v>23</v>
      </c>
      <c r="D30" s="1" t="s">
        <v>102</v>
      </c>
      <c r="E30" s="1">
        <f t="shared" si="1"/>
        <v>1023</v>
      </c>
      <c r="F30" s="1">
        <v>2</v>
      </c>
      <c r="G30" s="5">
        <v>0.05</v>
      </c>
      <c r="H30" s="5">
        <v>0.08</v>
      </c>
    </row>
    <row r="31" spans="1:8">
      <c r="A31">
        <v>24</v>
      </c>
      <c r="B31" s="1" t="s">
        <v>171</v>
      </c>
      <c r="C31">
        <v>24</v>
      </c>
      <c r="D31" s="1" t="s">
        <v>102</v>
      </c>
      <c r="E31" s="1">
        <f t="shared" si="1"/>
        <v>1024</v>
      </c>
      <c r="F31" s="1">
        <v>2</v>
      </c>
      <c r="G31" s="5">
        <v>0.05</v>
      </c>
      <c r="H31" s="5">
        <v>0.08</v>
      </c>
    </row>
    <row r="32" spans="1:8">
      <c r="A32">
        <v>25</v>
      </c>
      <c r="B32" s="1">
        <v>23</v>
      </c>
      <c r="C32">
        <v>25</v>
      </c>
      <c r="D32" s="1" t="s">
        <v>102</v>
      </c>
      <c r="E32" s="1">
        <f t="shared" si="1"/>
        <v>1025</v>
      </c>
      <c r="F32" s="1">
        <v>2</v>
      </c>
      <c r="G32" s="5">
        <v>0.05</v>
      </c>
      <c r="H32" s="5">
        <v>0.08</v>
      </c>
    </row>
    <row r="33" spans="1:8">
      <c r="A33">
        <v>26</v>
      </c>
      <c r="B33" s="1" t="s">
        <v>174</v>
      </c>
      <c r="C33">
        <v>26</v>
      </c>
      <c r="D33" s="1" t="s">
        <v>102</v>
      </c>
      <c r="E33" s="1">
        <f t="shared" si="1"/>
        <v>1026</v>
      </c>
      <c r="F33" s="1">
        <v>2</v>
      </c>
      <c r="G33" s="5">
        <v>0.05</v>
      </c>
      <c r="H33" s="5">
        <v>0.08</v>
      </c>
    </row>
    <row r="34" spans="1:8">
      <c r="A34">
        <v>27</v>
      </c>
      <c r="B34" s="1">
        <v>24</v>
      </c>
      <c r="C34">
        <v>27</v>
      </c>
      <c r="D34" s="1" t="s">
        <v>102</v>
      </c>
      <c r="E34" s="1">
        <f t="shared" si="1"/>
        <v>1027</v>
      </c>
      <c r="F34" s="1">
        <v>2</v>
      </c>
      <c r="G34" s="5">
        <v>0.05</v>
      </c>
      <c r="H34" s="5">
        <v>0.08</v>
      </c>
    </row>
    <row r="35" spans="1:8">
      <c r="A35">
        <v>28</v>
      </c>
      <c r="B35" s="1" t="s">
        <v>177</v>
      </c>
      <c r="C35">
        <v>28</v>
      </c>
      <c r="D35" s="1" t="s">
        <v>102</v>
      </c>
      <c r="E35" s="1">
        <f t="shared" si="1"/>
        <v>1028</v>
      </c>
      <c r="F35" s="1">
        <v>2</v>
      </c>
      <c r="G35" s="5">
        <v>0.05</v>
      </c>
      <c r="H35" s="5">
        <v>0.08</v>
      </c>
    </row>
    <row r="36" spans="1:8">
      <c r="A36">
        <v>29</v>
      </c>
      <c r="B36" s="1">
        <v>25</v>
      </c>
      <c r="C36">
        <v>29</v>
      </c>
      <c r="D36" s="1" t="s">
        <v>102</v>
      </c>
      <c r="E36" s="1">
        <f t="shared" si="1"/>
        <v>1029</v>
      </c>
      <c r="F36" s="1">
        <v>2</v>
      </c>
      <c r="G36" s="5">
        <v>0.05</v>
      </c>
      <c r="H36" s="5">
        <v>0.08</v>
      </c>
    </row>
    <row r="37" spans="1:8">
      <c r="A37">
        <v>30</v>
      </c>
      <c r="B37" s="1" t="s">
        <v>180</v>
      </c>
      <c r="C37">
        <v>30</v>
      </c>
      <c r="D37" s="1" t="s">
        <v>102</v>
      </c>
      <c r="E37" s="1">
        <f t="shared" si="1"/>
        <v>1030</v>
      </c>
      <c r="F37" s="1">
        <v>2</v>
      </c>
      <c r="G37" s="5">
        <v>0.05</v>
      </c>
      <c r="H37" s="5">
        <v>0.08</v>
      </c>
    </row>
    <row r="38" spans="1:8">
      <c r="A38">
        <v>31</v>
      </c>
      <c r="B38" s="1" t="s">
        <v>702</v>
      </c>
      <c r="C38">
        <v>31</v>
      </c>
      <c r="E38" s="1">
        <v>0</v>
      </c>
      <c r="F38" s="1"/>
    </row>
    <row r="39" spans="1:8">
      <c r="A39">
        <v>32</v>
      </c>
      <c r="B39" s="1" t="s">
        <v>702</v>
      </c>
      <c r="C39">
        <v>32</v>
      </c>
      <c r="E39" s="1">
        <v>0</v>
      </c>
      <c r="F39" s="1"/>
    </row>
    <row r="40" spans="1:8">
      <c r="A40">
        <v>33</v>
      </c>
      <c r="B40" s="1">
        <v>34</v>
      </c>
      <c r="C40">
        <v>33</v>
      </c>
      <c r="E40" s="1">
        <v>11001</v>
      </c>
      <c r="F40" s="1">
        <v>1</v>
      </c>
      <c r="G40" s="5">
        <v>7.0000000000000007E-2</v>
      </c>
      <c r="H40" s="5">
        <v>0.1</v>
      </c>
    </row>
    <row r="41" spans="1:8">
      <c r="A41">
        <v>34</v>
      </c>
      <c r="B41" s="1" t="s">
        <v>187</v>
      </c>
      <c r="C41">
        <v>34</v>
      </c>
      <c r="E41" s="1">
        <f t="shared" ref="E41:E65" si="2">+E40+1</f>
        <v>11002</v>
      </c>
      <c r="F41" s="1">
        <v>1</v>
      </c>
      <c r="G41" s="5">
        <v>7.0000000000000007E-2</v>
      </c>
      <c r="H41" s="5">
        <v>0.1</v>
      </c>
    </row>
    <row r="42" spans="1:8">
      <c r="A42">
        <v>35</v>
      </c>
      <c r="B42" s="1">
        <v>35</v>
      </c>
      <c r="C42">
        <v>35</v>
      </c>
      <c r="E42" s="1">
        <f t="shared" si="2"/>
        <v>11003</v>
      </c>
      <c r="F42" s="1">
        <v>1</v>
      </c>
      <c r="G42" s="5">
        <v>7.0000000000000007E-2</v>
      </c>
      <c r="H42" s="5">
        <v>0.1</v>
      </c>
    </row>
    <row r="43" spans="1:8">
      <c r="A43">
        <v>36</v>
      </c>
      <c r="B43" s="1" t="s">
        <v>188</v>
      </c>
      <c r="C43">
        <v>36</v>
      </c>
      <c r="E43" s="1">
        <f t="shared" si="2"/>
        <v>11004</v>
      </c>
      <c r="F43" s="1">
        <v>1</v>
      </c>
      <c r="G43" s="5">
        <v>7.0000000000000007E-2</v>
      </c>
      <c r="H43" s="5">
        <v>0.1</v>
      </c>
    </row>
    <row r="44" spans="1:8">
      <c r="A44">
        <v>37</v>
      </c>
      <c r="B44" s="1">
        <v>36</v>
      </c>
      <c r="C44">
        <v>37</v>
      </c>
      <c r="E44" s="1">
        <f t="shared" si="2"/>
        <v>11005</v>
      </c>
      <c r="F44" s="1">
        <v>1</v>
      </c>
      <c r="G44" s="5">
        <v>7.0000000000000007E-2</v>
      </c>
      <c r="H44" s="5">
        <v>0.1</v>
      </c>
    </row>
    <row r="45" spans="1:8">
      <c r="A45">
        <v>38</v>
      </c>
      <c r="B45" s="1" t="s">
        <v>189</v>
      </c>
      <c r="C45">
        <v>38</v>
      </c>
      <c r="E45" s="1">
        <f t="shared" si="2"/>
        <v>11006</v>
      </c>
      <c r="F45" s="1">
        <v>1</v>
      </c>
      <c r="G45" s="5">
        <v>7.0000000000000007E-2</v>
      </c>
      <c r="H45" s="5">
        <v>0.1</v>
      </c>
    </row>
    <row r="46" spans="1:8">
      <c r="A46">
        <v>39</v>
      </c>
      <c r="B46" s="1">
        <v>37</v>
      </c>
      <c r="C46">
        <v>39</v>
      </c>
      <c r="E46" s="1">
        <f t="shared" si="2"/>
        <v>11007</v>
      </c>
      <c r="F46" s="1">
        <v>1</v>
      </c>
      <c r="G46" s="5">
        <v>7.0000000000000007E-2</v>
      </c>
      <c r="H46" s="5">
        <v>0.1</v>
      </c>
    </row>
    <row r="47" spans="1:8">
      <c r="A47">
        <v>40</v>
      </c>
      <c r="B47" s="1" t="s">
        <v>190</v>
      </c>
      <c r="C47">
        <v>40</v>
      </c>
      <c r="E47" s="1">
        <f t="shared" si="2"/>
        <v>11008</v>
      </c>
      <c r="F47" s="1">
        <v>1</v>
      </c>
      <c r="G47" s="5">
        <v>7.0000000000000007E-2</v>
      </c>
      <c r="H47" s="5">
        <v>0.1</v>
      </c>
    </row>
    <row r="48" spans="1:8">
      <c r="A48">
        <v>41</v>
      </c>
      <c r="B48" s="1">
        <v>38</v>
      </c>
      <c r="C48">
        <v>41</v>
      </c>
      <c r="E48" s="1">
        <f t="shared" si="2"/>
        <v>11009</v>
      </c>
      <c r="F48" s="1">
        <v>1</v>
      </c>
      <c r="G48" s="5">
        <v>7.0000000000000007E-2</v>
      </c>
      <c r="H48" s="5">
        <v>0.1</v>
      </c>
    </row>
    <row r="49" spans="1:8">
      <c r="A49">
        <v>42</v>
      </c>
      <c r="B49" s="1" t="s">
        <v>191</v>
      </c>
      <c r="C49">
        <v>42</v>
      </c>
      <c r="E49" s="1">
        <f t="shared" si="2"/>
        <v>11010</v>
      </c>
      <c r="F49" s="1">
        <v>1</v>
      </c>
      <c r="G49" s="5">
        <v>7.0000000000000007E-2</v>
      </c>
      <c r="H49" s="5">
        <v>0.1</v>
      </c>
    </row>
    <row r="50" spans="1:8">
      <c r="A50">
        <v>43</v>
      </c>
      <c r="B50" s="1">
        <v>39</v>
      </c>
      <c r="C50">
        <v>43</v>
      </c>
      <c r="E50" s="1">
        <f t="shared" si="2"/>
        <v>11011</v>
      </c>
      <c r="F50" s="1">
        <v>2</v>
      </c>
      <c r="G50" s="5">
        <v>0.05</v>
      </c>
      <c r="H50" s="5">
        <v>7.0000000000000007E-2</v>
      </c>
    </row>
    <row r="51" spans="1:8">
      <c r="A51">
        <v>44</v>
      </c>
      <c r="B51" s="1" t="s">
        <v>192</v>
      </c>
      <c r="C51">
        <v>44</v>
      </c>
      <c r="E51" s="1">
        <f t="shared" si="2"/>
        <v>11012</v>
      </c>
      <c r="F51" s="1">
        <v>2</v>
      </c>
      <c r="G51" s="5">
        <v>0.05</v>
      </c>
      <c r="H51" s="5">
        <v>7.0000000000000007E-2</v>
      </c>
    </row>
    <row r="52" spans="1:8">
      <c r="A52">
        <v>45</v>
      </c>
      <c r="B52" s="1">
        <v>40</v>
      </c>
      <c r="C52">
        <v>45</v>
      </c>
      <c r="E52" s="1">
        <f t="shared" si="2"/>
        <v>11013</v>
      </c>
      <c r="F52" s="1">
        <v>2</v>
      </c>
      <c r="G52" s="5">
        <v>0.05</v>
      </c>
      <c r="H52" s="5">
        <v>7.0000000000000007E-2</v>
      </c>
    </row>
    <row r="53" spans="1:8">
      <c r="A53">
        <v>46</v>
      </c>
      <c r="B53" s="1" t="s">
        <v>193</v>
      </c>
      <c r="C53">
        <v>46</v>
      </c>
      <c r="E53" s="1">
        <f t="shared" si="2"/>
        <v>11014</v>
      </c>
      <c r="F53" s="1">
        <v>2</v>
      </c>
      <c r="G53" s="5">
        <v>0.05</v>
      </c>
      <c r="H53" s="5">
        <v>7.0000000000000007E-2</v>
      </c>
    </row>
    <row r="54" spans="1:8">
      <c r="A54">
        <v>47</v>
      </c>
      <c r="B54" s="1">
        <v>41</v>
      </c>
      <c r="C54">
        <v>47</v>
      </c>
      <c r="E54" s="1">
        <f t="shared" si="2"/>
        <v>11015</v>
      </c>
      <c r="F54" s="1">
        <v>2</v>
      </c>
      <c r="G54" s="5">
        <v>0.05</v>
      </c>
      <c r="H54" s="5">
        <v>7.0000000000000007E-2</v>
      </c>
    </row>
    <row r="55" spans="1:8">
      <c r="A55">
        <v>48</v>
      </c>
      <c r="B55" s="1" t="s">
        <v>194</v>
      </c>
      <c r="C55">
        <v>48</v>
      </c>
      <c r="E55" s="1">
        <f t="shared" si="2"/>
        <v>11016</v>
      </c>
      <c r="F55" s="1">
        <v>2</v>
      </c>
      <c r="G55" s="5">
        <v>0.05</v>
      </c>
      <c r="H55" s="5">
        <v>7.0000000000000007E-2</v>
      </c>
    </row>
    <row r="56" spans="1:8">
      <c r="A56">
        <v>49</v>
      </c>
      <c r="B56" s="1">
        <v>42</v>
      </c>
      <c r="C56">
        <v>49</v>
      </c>
      <c r="E56" s="1">
        <f t="shared" si="2"/>
        <v>11017</v>
      </c>
      <c r="F56" s="1">
        <v>2</v>
      </c>
      <c r="G56" s="5">
        <v>0.05</v>
      </c>
      <c r="H56" s="5">
        <v>7.0000000000000007E-2</v>
      </c>
    </row>
    <row r="57" spans="1:8">
      <c r="A57">
        <v>50</v>
      </c>
      <c r="B57" s="1" t="s">
        <v>195</v>
      </c>
      <c r="C57">
        <v>50</v>
      </c>
      <c r="E57" s="1">
        <f t="shared" si="2"/>
        <v>11018</v>
      </c>
      <c r="F57" s="1">
        <v>2</v>
      </c>
      <c r="G57" s="5">
        <v>0.05</v>
      </c>
      <c r="H57" s="5">
        <v>7.0000000000000007E-2</v>
      </c>
    </row>
    <row r="58" spans="1:8">
      <c r="A58">
        <v>51</v>
      </c>
      <c r="B58" s="1">
        <v>43</v>
      </c>
      <c r="C58">
        <v>51</v>
      </c>
      <c r="E58" s="1">
        <f t="shared" si="2"/>
        <v>11019</v>
      </c>
      <c r="F58" s="1">
        <v>2</v>
      </c>
      <c r="G58" s="5">
        <v>0.05</v>
      </c>
      <c r="H58" s="5">
        <v>7.0000000000000007E-2</v>
      </c>
    </row>
    <row r="59" spans="1:8">
      <c r="A59">
        <v>52</v>
      </c>
      <c r="B59" s="1" t="s">
        <v>196</v>
      </c>
      <c r="C59">
        <v>52</v>
      </c>
      <c r="E59" s="1">
        <f t="shared" si="2"/>
        <v>11020</v>
      </c>
      <c r="F59" s="1">
        <v>2</v>
      </c>
      <c r="G59" s="5">
        <v>0.05</v>
      </c>
      <c r="H59" s="5">
        <v>7.0000000000000007E-2</v>
      </c>
    </row>
    <row r="60" spans="1:8">
      <c r="A60">
        <v>53</v>
      </c>
      <c r="B60" s="1">
        <v>44</v>
      </c>
      <c r="C60">
        <v>53</v>
      </c>
      <c r="E60" s="1">
        <f t="shared" si="2"/>
        <v>11021</v>
      </c>
      <c r="F60" s="1">
        <v>2</v>
      </c>
      <c r="G60" s="5">
        <v>0.05</v>
      </c>
      <c r="H60" s="5">
        <v>7.0000000000000007E-2</v>
      </c>
    </row>
    <row r="61" spans="1:8">
      <c r="A61">
        <v>54</v>
      </c>
      <c r="B61" s="1" t="s">
        <v>197</v>
      </c>
      <c r="C61">
        <v>54</v>
      </c>
      <c r="E61" s="1">
        <f t="shared" si="2"/>
        <v>11022</v>
      </c>
      <c r="F61" s="1">
        <v>2</v>
      </c>
      <c r="G61" s="5">
        <v>0.05</v>
      </c>
      <c r="H61" s="5">
        <v>7.0000000000000007E-2</v>
      </c>
    </row>
    <row r="62" spans="1:8">
      <c r="A62">
        <v>55</v>
      </c>
      <c r="B62" s="1">
        <v>45</v>
      </c>
      <c r="C62">
        <v>55</v>
      </c>
      <c r="E62" s="1">
        <f t="shared" si="2"/>
        <v>11023</v>
      </c>
      <c r="F62" s="1">
        <v>2</v>
      </c>
      <c r="G62" s="5">
        <v>0.05</v>
      </c>
      <c r="H62" s="5">
        <v>7.0000000000000007E-2</v>
      </c>
    </row>
    <row r="63" spans="1:8">
      <c r="A63">
        <v>56</v>
      </c>
      <c r="B63" s="1" t="s">
        <v>198</v>
      </c>
      <c r="C63">
        <v>56</v>
      </c>
      <c r="E63" s="1">
        <f t="shared" si="2"/>
        <v>11024</v>
      </c>
      <c r="F63" s="1">
        <v>2</v>
      </c>
      <c r="G63" s="5">
        <v>0.05</v>
      </c>
      <c r="H63" s="5">
        <v>7.0000000000000007E-2</v>
      </c>
    </row>
    <row r="64" spans="1:8">
      <c r="A64">
        <v>57</v>
      </c>
      <c r="B64" s="1">
        <v>46</v>
      </c>
      <c r="C64">
        <v>57</v>
      </c>
      <c r="E64" s="1">
        <f t="shared" si="2"/>
        <v>11025</v>
      </c>
      <c r="F64" s="1">
        <v>2</v>
      </c>
      <c r="G64" s="5">
        <v>0.05</v>
      </c>
      <c r="H64" s="5">
        <v>7.0000000000000007E-2</v>
      </c>
    </row>
    <row r="65" spans="1:8">
      <c r="A65">
        <v>58</v>
      </c>
      <c r="B65" s="1" t="s">
        <v>199</v>
      </c>
      <c r="C65">
        <v>58</v>
      </c>
      <c r="E65" s="1">
        <f t="shared" si="2"/>
        <v>11026</v>
      </c>
      <c r="F65" s="1">
        <v>2</v>
      </c>
      <c r="G65" s="5">
        <v>0.05</v>
      </c>
      <c r="H65" s="5">
        <v>7.0000000000000007E-2</v>
      </c>
    </row>
    <row r="66" spans="1:8">
      <c r="B66" s="1"/>
      <c r="E66" s="1"/>
      <c r="F66" s="1"/>
    </row>
    <row r="67" spans="1:8">
      <c r="B67" s="1"/>
      <c r="E67" s="1"/>
      <c r="F67" s="1"/>
    </row>
    <row r="68" spans="1:8">
      <c r="B68" s="1"/>
      <c r="E68" s="1"/>
      <c r="F68" s="1"/>
    </row>
    <row r="69" spans="1:8">
      <c r="B69" s="1"/>
      <c r="E69" s="1"/>
      <c r="F69" s="1"/>
    </row>
    <row r="70" spans="1:8">
      <c r="B70" s="1"/>
      <c r="E70" s="1"/>
      <c r="F70" s="1"/>
    </row>
    <row r="71" spans="1:8">
      <c r="B71" s="1"/>
      <c r="E71" s="1"/>
      <c r="F71" s="1"/>
    </row>
    <row r="72" spans="1:8">
      <c r="B72" s="1"/>
      <c r="E72" s="1"/>
      <c r="F72" s="1"/>
    </row>
    <row r="73" spans="1:8">
      <c r="B73" s="1"/>
      <c r="E73" s="1"/>
      <c r="F73" s="1"/>
    </row>
    <row r="74" spans="1:8">
      <c r="B74" s="1"/>
      <c r="E74" s="1"/>
      <c r="F74" s="1"/>
    </row>
    <row r="75" spans="1:8">
      <c r="B75" s="1"/>
      <c r="E75" s="1"/>
      <c r="F75" s="1"/>
    </row>
    <row r="76" spans="1:8">
      <c r="B76" s="1"/>
      <c r="E76" s="1"/>
      <c r="F76" s="1"/>
    </row>
    <row r="77" spans="1:8">
      <c r="B77" s="1"/>
      <c r="E77" s="1"/>
      <c r="F77" s="1"/>
    </row>
    <row r="78" spans="1:8">
      <c r="B78" s="1"/>
      <c r="E78" s="1"/>
      <c r="F78" s="1"/>
    </row>
    <row r="79" spans="1:8">
      <c r="B79" s="1"/>
      <c r="E79" s="1"/>
      <c r="F79" s="1"/>
    </row>
    <row r="122" spans="1:3">
      <c r="A122">
        <v>59</v>
      </c>
      <c r="B122" s="1" t="s">
        <v>702</v>
      </c>
      <c r="C122">
        <v>59</v>
      </c>
    </row>
    <row r="123" spans="1:3">
      <c r="A123">
        <v>60</v>
      </c>
      <c r="B123" s="1" t="s">
        <v>702</v>
      </c>
      <c r="C123">
        <v>60</v>
      </c>
    </row>
    <row r="124" spans="1:3">
      <c r="A124">
        <v>61</v>
      </c>
      <c r="B124" s="1">
        <v>60</v>
      </c>
      <c r="C124">
        <v>61</v>
      </c>
    </row>
    <row r="125" spans="1:3">
      <c r="A125">
        <v>62</v>
      </c>
      <c r="B125" s="1">
        <v>61</v>
      </c>
      <c r="C125">
        <v>62</v>
      </c>
    </row>
    <row r="126" spans="1:3">
      <c r="A126">
        <v>63</v>
      </c>
      <c r="B126" s="1">
        <v>61</v>
      </c>
      <c r="C126">
        <v>63</v>
      </c>
    </row>
    <row r="127" spans="1:3">
      <c r="A127">
        <v>64</v>
      </c>
      <c r="B127" s="1" t="s">
        <v>703</v>
      </c>
      <c r="C127">
        <v>64</v>
      </c>
    </row>
    <row r="128" spans="1:3">
      <c r="A128">
        <v>65</v>
      </c>
      <c r="B128" s="1">
        <v>63</v>
      </c>
      <c r="C128">
        <v>65</v>
      </c>
    </row>
    <row r="129" spans="1:3">
      <c r="A129">
        <v>66</v>
      </c>
      <c r="B129" s="1" t="s">
        <v>704</v>
      </c>
      <c r="C129">
        <v>66</v>
      </c>
    </row>
    <row r="130" spans="1:3">
      <c r="A130">
        <v>67</v>
      </c>
      <c r="B130" s="1">
        <v>64</v>
      </c>
      <c r="C130">
        <v>67</v>
      </c>
    </row>
    <row r="131" spans="1:3">
      <c r="A131">
        <v>68</v>
      </c>
      <c r="B131" s="1" t="s">
        <v>705</v>
      </c>
      <c r="C131">
        <v>68</v>
      </c>
    </row>
    <row r="132" spans="1:3">
      <c r="A132">
        <v>69</v>
      </c>
      <c r="B132" s="1">
        <v>65</v>
      </c>
      <c r="C132">
        <v>69</v>
      </c>
    </row>
    <row r="133" spans="1:3">
      <c r="A133">
        <v>70</v>
      </c>
      <c r="B133" s="1" t="s">
        <v>706</v>
      </c>
      <c r="C133">
        <v>70</v>
      </c>
    </row>
    <row r="134" spans="1:3">
      <c r="A134">
        <v>71</v>
      </c>
      <c r="B134" s="1">
        <v>66</v>
      </c>
      <c r="C134">
        <v>71</v>
      </c>
    </row>
    <row r="135" spans="1:3">
      <c r="A135">
        <v>72</v>
      </c>
      <c r="B135" s="1" t="s">
        <v>707</v>
      </c>
      <c r="C135">
        <v>72</v>
      </c>
    </row>
    <row r="136" spans="1:3">
      <c r="A136">
        <v>73</v>
      </c>
      <c r="B136" s="1">
        <v>67</v>
      </c>
      <c r="C136">
        <v>73</v>
      </c>
    </row>
    <row r="137" spans="1:3">
      <c r="A137">
        <v>74</v>
      </c>
      <c r="B137" s="1" t="s">
        <v>708</v>
      </c>
      <c r="C137">
        <v>74</v>
      </c>
    </row>
    <row r="138" spans="1:3">
      <c r="A138">
        <v>75</v>
      </c>
      <c r="B138" s="1">
        <v>68</v>
      </c>
      <c r="C138">
        <v>75</v>
      </c>
    </row>
    <row r="139" spans="1:3">
      <c r="A139">
        <v>76</v>
      </c>
      <c r="B139" s="1" t="s">
        <v>709</v>
      </c>
      <c r="C139">
        <v>76</v>
      </c>
    </row>
    <row r="140" spans="1:3">
      <c r="A140">
        <v>77</v>
      </c>
      <c r="B140" s="1">
        <v>69</v>
      </c>
      <c r="C140">
        <v>77</v>
      </c>
    </row>
    <row r="141" spans="1:3">
      <c r="A141">
        <v>78</v>
      </c>
      <c r="B141" s="1" t="s">
        <v>710</v>
      </c>
      <c r="C141">
        <v>78</v>
      </c>
    </row>
    <row r="142" spans="1:3">
      <c r="A142">
        <v>79</v>
      </c>
      <c r="B142" s="1">
        <v>70</v>
      </c>
      <c r="C142">
        <v>79</v>
      </c>
    </row>
    <row r="143" spans="1:3">
      <c r="A143">
        <v>80</v>
      </c>
      <c r="B143" s="1" t="s">
        <v>711</v>
      </c>
      <c r="C143">
        <v>80</v>
      </c>
    </row>
    <row r="144" spans="1:3">
      <c r="A144">
        <v>81</v>
      </c>
      <c r="B144" s="1">
        <v>71</v>
      </c>
      <c r="C144">
        <v>81</v>
      </c>
    </row>
    <row r="145" spans="1:3">
      <c r="A145">
        <v>82</v>
      </c>
      <c r="B145" s="1" t="s">
        <v>712</v>
      </c>
      <c r="C145">
        <v>82</v>
      </c>
    </row>
    <row r="146" spans="1:3">
      <c r="A146">
        <v>83</v>
      </c>
      <c r="B146" s="1">
        <v>72</v>
      </c>
      <c r="C146">
        <v>83</v>
      </c>
    </row>
    <row r="147" spans="1:3">
      <c r="A147">
        <v>84</v>
      </c>
      <c r="B147" s="1" t="s">
        <v>713</v>
      </c>
      <c r="C147">
        <v>84</v>
      </c>
    </row>
    <row r="148" spans="1:3">
      <c r="A148">
        <v>85</v>
      </c>
      <c r="B148" s="1">
        <v>73</v>
      </c>
      <c r="C148">
        <v>85</v>
      </c>
    </row>
    <row r="149" spans="1:3">
      <c r="A149">
        <v>86</v>
      </c>
      <c r="B149" s="1" t="s">
        <v>714</v>
      </c>
      <c r="C149">
        <v>86</v>
      </c>
    </row>
    <row r="150" spans="1:3">
      <c r="A150">
        <v>87</v>
      </c>
      <c r="B150" s="1">
        <v>74</v>
      </c>
      <c r="C150">
        <v>87</v>
      </c>
    </row>
    <row r="151" spans="1:3">
      <c r="A151">
        <v>88</v>
      </c>
      <c r="B151" s="1" t="s">
        <v>715</v>
      </c>
      <c r="C151">
        <v>88</v>
      </c>
    </row>
    <row r="152" spans="1:3">
      <c r="A152">
        <v>89</v>
      </c>
      <c r="B152" s="1">
        <v>75</v>
      </c>
      <c r="C152">
        <v>89</v>
      </c>
    </row>
    <row r="153" spans="1:3">
      <c r="A153">
        <v>90</v>
      </c>
      <c r="B153" s="1" t="s">
        <v>716</v>
      </c>
      <c r="C153">
        <v>90</v>
      </c>
    </row>
    <row r="154" spans="1:3">
      <c r="A154">
        <v>91</v>
      </c>
      <c r="B154" s="1">
        <v>1</v>
      </c>
      <c r="C154">
        <v>91</v>
      </c>
    </row>
    <row r="155" spans="1:3">
      <c r="A155">
        <v>92</v>
      </c>
      <c r="B155" s="1">
        <v>2</v>
      </c>
      <c r="C155">
        <v>92</v>
      </c>
    </row>
    <row r="156" spans="1:3">
      <c r="A156">
        <v>93</v>
      </c>
      <c r="B156" s="1">
        <v>3</v>
      </c>
      <c r="C156">
        <v>93</v>
      </c>
    </row>
    <row r="157" spans="1:3">
      <c r="A157">
        <v>94</v>
      </c>
      <c r="B157" s="1" t="s">
        <v>717</v>
      </c>
      <c r="C157">
        <v>94</v>
      </c>
    </row>
    <row r="158" spans="1:3">
      <c r="A158">
        <v>95</v>
      </c>
      <c r="B158" s="1">
        <v>4</v>
      </c>
      <c r="C158">
        <v>95</v>
      </c>
    </row>
    <row r="159" spans="1:3">
      <c r="A159">
        <v>96</v>
      </c>
      <c r="B159" s="1">
        <v>5</v>
      </c>
      <c r="C159">
        <v>96</v>
      </c>
    </row>
    <row r="160" spans="1:3">
      <c r="A160">
        <v>97</v>
      </c>
      <c r="B160" s="1">
        <v>6</v>
      </c>
      <c r="C160">
        <v>97</v>
      </c>
    </row>
    <row r="161" spans="1:3">
      <c r="A161">
        <v>98</v>
      </c>
      <c r="B161" s="1" t="s">
        <v>718</v>
      </c>
      <c r="C161">
        <v>98</v>
      </c>
    </row>
    <row r="162" spans="1:3">
      <c r="A162">
        <v>99</v>
      </c>
      <c r="B162" s="1">
        <v>7</v>
      </c>
      <c r="C162">
        <v>99</v>
      </c>
    </row>
    <row r="163" spans="1:3">
      <c r="A163">
        <v>100</v>
      </c>
      <c r="B163" s="1" t="s">
        <v>719</v>
      </c>
      <c r="C163">
        <v>100</v>
      </c>
    </row>
    <row r="164" spans="1:3">
      <c r="A164">
        <v>101</v>
      </c>
      <c r="B164" s="1">
        <v>8</v>
      </c>
      <c r="C164">
        <v>101</v>
      </c>
    </row>
    <row r="165" spans="1:3">
      <c r="A165">
        <v>102</v>
      </c>
      <c r="B165" s="1" t="s">
        <v>333</v>
      </c>
      <c r="C165">
        <v>102</v>
      </c>
    </row>
    <row r="166" spans="1:3">
      <c r="A166">
        <v>103</v>
      </c>
      <c r="B166" s="1">
        <v>9</v>
      </c>
      <c r="C166">
        <v>103</v>
      </c>
    </row>
    <row r="167" spans="1:3">
      <c r="A167">
        <v>104</v>
      </c>
      <c r="B167" s="1" t="s">
        <v>334</v>
      </c>
      <c r="C167">
        <v>104</v>
      </c>
    </row>
    <row r="168" spans="1:3">
      <c r="A168">
        <v>105</v>
      </c>
      <c r="B168" s="1">
        <v>10</v>
      </c>
      <c r="C168">
        <v>105</v>
      </c>
    </row>
    <row r="169" spans="1:3">
      <c r="A169">
        <v>106</v>
      </c>
      <c r="B169" s="1" t="s">
        <v>335</v>
      </c>
      <c r="C169">
        <v>106</v>
      </c>
    </row>
    <row r="170" spans="1:3">
      <c r="A170">
        <v>107</v>
      </c>
      <c r="B170" s="1">
        <v>11</v>
      </c>
      <c r="C170">
        <v>107</v>
      </c>
    </row>
    <row r="171" spans="1:3">
      <c r="A171">
        <v>108</v>
      </c>
      <c r="B171" s="1" t="s">
        <v>389</v>
      </c>
      <c r="C171">
        <v>108</v>
      </c>
    </row>
    <row r="172" spans="1:3">
      <c r="A172">
        <v>109</v>
      </c>
      <c r="B172" s="1">
        <v>12</v>
      </c>
      <c r="C172">
        <v>109</v>
      </c>
    </row>
    <row r="173" spans="1:3">
      <c r="A173">
        <v>110</v>
      </c>
      <c r="B173" s="1" t="s">
        <v>141</v>
      </c>
      <c r="C173">
        <v>110</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4CD0B-16FD-43A5-A12F-D35F2CC54A0B}">
  <sheetPr codeName="גיליון23"/>
  <dimension ref="A2:E64"/>
  <sheetViews>
    <sheetView rightToLeft="1" topLeftCell="A43" workbookViewId="0">
      <selection activeCell="A43" sqref="A1:D1048576"/>
    </sheetView>
  </sheetViews>
  <sheetFormatPr defaultRowHeight="14.4"/>
  <cols>
    <col min="1" max="1" width="4.88671875" bestFit="1" customWidth="1"/>
    <col min="2" max="2" width="25.6640625" bestFit="1" customWidth="1"/>
    <col min="3" max="3" width="4.88671875" bestFit="1" customWidth="1"/>
    <col min="4" max="4" width="10.88671875" bestFit="1" customWidth="1"/>
    <col min="5" max="5" width="10.44140625" bestFit="1" customWidth="1"/>
    <col min="6" max="6" width="11.6640625" bestFit="1" customWidth="1"/>
  </cols>
  <sheetData>
    <row r="2" spans="1:5">
      <c r="A2" t="s">
        <v>88</v>
      </c>
      <c r="B2" s="185" t="s">
        <v>131</v>
      </c>
      <c r="C2" t="s">
        <v>88</v>
      </c>
      <c r="D2" s="185" t="s">
        <v>55</v>
      </c>
      <c r="E2" t="s">
        <v>724</v>
      </c>
    </row>
    <row r="3" spans="1:5">
      <c r="A3" s="3">
        <v>1</v>
      </c>
      <c r="B3" s="186" t="s">
        <v>137</v>
      </c>
      <c r="C3" s="3">
        <v>1</v>
      </c>
      <c r="D3" s="186">
        <v>1</v>
      </c>
      <c r="E3">
        <v>37</v>
      </c>
    </row>
    <row r="4" spans="1:5">
      <c r="A4" s="3">
        <v>2</v>
      </c>
      <c r="B4" s="186" t="s">
        <v>181</v>
      </c>
      <c r="C4" s="3">
        <v>2</v>
      </c>
      <c r="D4" s="186">
        <v>2</v>
      </c>
      <c r="E4">
        <v>37</v>
      </c>
    </row>
    <row r="5" spans="1:5">
      <c r="A5" s="3">
        <v>3</v>
      </c>
      <c r="B5" s="186" t="s">
        <v>182</v>
      </c>
      <c r="C5" s="3">
        <v>3</v>
      </c>
      <c r="D5" s="186">
        <v>4</v>
      </c>
    </row>
    <row r="6" spans="1:5">
      <c r="A6" s="3">
        <v>4</v>
      </c>
      <c r="B6" s="186" t="s">
        <v>183</v>
      </c>
      <c r="C6" s="3">
        <v>4</v>
      </c>
      <c r="D6" s="186">
        <v>5</v>
      </c>
    </row>
    <row r="7" spans="1:5">
      <c r="A7" s="3">
        <v>5</v>
      </c>
      <c r="B7" s="186" t="s">
        <v>184</v>
      </c>
      <c r="C7" s="3">
        <v>5</v>
      </c>
      <c r="D7" s="186">
        <v>6</v>
      </c>
    </row>
    <row r="8" spans="1:5">
      <c r="A8" s="3">
        <v>6</v>
      </c>
      <c r="B8" s="186" t="s">
        <v>185</v>
      </c>
      <c r="C8" s="3">
        <v>6</v>
      </c>
      <c r="D8" s="186">
        <v>9</v>
      </c>
    </row>
    <row r="9" spans="1:5">
      <c r="A9" s="3">
        <v>7</v>
      </c>
      <c r="B9" s="186" t="s">
        <v>186</v>
      </c>
      <c r="C9" s="3">
        <v>7</v>
      </c>
      <c r="D9" s="186">
        <v>11</v>
      </c>
      <c r="E9">
        <v>40</v>
      </c>
    </row>
    <row r="10" spans="1:5">
      <c r="A10" s="3">
        <v>8</v>
      </c>
      <c r="B10" s="186" t="s">
        <v>107</v>
      </c>
      <c r="C10" s="3">
        <v>8</v>
      </c>
      <c r="D10" s="186">
        <v>12</v>
      </c>
    </row>
    <row r="11" spans="1:5">
      <c r="A11" s="3">
        <v>9</v>
      </c>
      <c r="B11" s="186" t="s">
        <v>200</v>
      </c>
      <c r="C11" s="3">
        <v>9</v>
      </c>
      <c r="D11" s="186">
        <v>13</v>
      </c>
    </row>
    <row r="12" spans="1:5">
      <c r="A12" s="3">
        <v>10</v>
      </c>
      <c r="B12" s="186" t="s">
        <v>201</v>
      </c>
      <c r="C12" s="3">
        <v>10</v>
      </c>
      <c r="D12" s="186">
        <v>15</v>
      </c>
    </row>
    <row r="13" spans="1:5">
      <c r="A13" s="3">
        <v>11</v>
      </c>
      <c r="B13" s="186" t="s">
        <v>202</v>
      </c>
      <c r="C13" s="3">
        <v>11</v>
      </c>
      <c r="D13" s="186">
        <v>16</v>
      </c>
    </row>
    <row r="14" spans="1:5">
      <c r="A14" s="3">
        <v>12</v>
      </c>
      <c r="B14" s="186" t="s">
        <v>203</v>
      </c>
      <c r="C14" s="3">
        <v>12</v>
      </c>
      <c r="D14" s="186">
        <v>17</v>
      </c>
    </row>
    <row r="15" spans="1:5">
      <c r="A15" s="3">
        <v>13</v>
      </c>
      <c r="B15" s="186" t="s">
        <v>204</v>
      </c>
      <c r="C15" s="3">
        <v>13</v>
      </c>
      <c r="D15" s="186">
        <v>18</v>
      </c>
    </row>
    <row r="16" spans="1:5">
      <c r="A16" s="3">
        <v>14</v>
      </c>
      <c r="B16" s="186" t="s">
        <v>205</v>
      </c>
      <c r="C16" s="3">
        <v>14</v>
      </c>
      <c r="D16" s="186">
        <v>21</v>
      </c>
    </row>
    <row r="17" spans="1:4">
      <c r="A17" s="3">
        <v>15</v>
      </c>
      <c r="B17" s="186" t="s">
        <v>206</v>
      </c>
      <c r="C17" s="3">
        <v>15</v>
      </c>
      <c r="D17" s="186">
        <v>22</v>
      </c>
    </row>
    <row r="18" spans="1:4">
      <c r="A18" s="3">
        <v>16</v>
      </c>
      <c r="B18" s="186" t="s">
        <v>207</v>
      </c>
      <c r="C18" s="3">
        <v>16</v>
      </c>
      <c r="D18" s="186">
        <v>23</v>
      </c>
    </row>
    <row r="19" spans="1:4">
      <c r="A19" s="3">
        <v>17</v>
      </c>
      <c r="B19" s="186" t="s">
        <v>208</v>
      </c>
      <c r="C19" s="3">
        <v>17</v>
      </c>
      <c r="D19" s="186">
        <v>24</v>
      </c>
    </row>
    <row r="20" spans="1:4">
      <c r="A20" s="3">
        <v>18</v>
      </c>
      <c r="B20" s="186" t="s">
        <v>209</v>
      </c>
      <c r="C20" s="3">
        <v>18</v>
      </c>
      <c r="D20" s="186">
        <v>25</v>
      </c>
    </row>
    <row r="21" spans="1:4">
      <c r="A21" s="3">
        <v>19</v>
      </c>
      <c r="B21" s="186" t="s">
        <v>210</v>
      </c>
      <c r="C21" s="3">
        <v>19</v>
      </c>
      <c r="D21" s="186">
        <v>27</v>
      </c>
    </row>
    <row r="22" spans="1:4">
      <c r="A22" s="3">
        <v>20</v>
      </c>
      <c r="B22" s="186" t="s">
        <v>211</v>
      </c>
      <c r="C22" s="3">
        <v>20</v>
      </c>
      <c r="D22" s="186">
        <v>28</v>
      </c>
    </row>
    <row r="23" spans="1:4">
      <c r="A23" s="3">
        <v>21</v>
      </c>
      <c r="B23" s="186" t="s">
        <v>110</v>
      </c>
      <c r="C23" s="3">
        <v>21</v>
      </c>
      <c r="D23" s="186">
        <v>31</v>
      </c>
    </row>
    <row r="24" spans="1:4">
      <c r="A24" s="3">
        <v>22</v>
      </c>
      <c r="B24" s="186" t="s">
        <v>212</v>
      </c>
      <c r="C24" s="3">
        <v>22</v>
      </c>
      <c r="D24" s="186">
        <v>32</v>
      </c>
    </row>
    <row r="25" spans="1:4">
      <c r="A25" s="3">
        <v>23</v>
      </c>
      <c r="B25" s="186" t="s">
        <v>213</v>
      </c>
      <c r="C25" s="3">
        <v>23</v>
      </c>
      <c r="D25" s="186">
        <v>33</v>
      </c>
    </row>
    <row r="26" spans="1:4">
      <c r="A26" s="3">
        <v>24</v>
      </c>
      <c r="B26" s="186" t="s">
        <v>214</v>
      </c>
      <c r="C26" s="3">
        <v>24</v>
      </c>
      <c r="D26" s="186">
        <v>35</v>
      </c>
    </row>
    <row r="27" spans="1:4">
      <c r="A27" s="3">
        <v>25</v>
      </c>
      <c r="B27" s="186" t="s">
        <v>215</v>
      </c>
      <c r="C27" s="3">
        <v>25</v>
      </c>
      <c r="D27" s="186">
        <v>36</v>
      </c>
    </row>
    <row r="28" spans="1:4">
      <c r="A28" s="3">
        <v>26</v>
      </c>
      <c r="B28" s="186" t="s">
        <v>216</v>
      </c>
      <c r="C28" s="3">
        <v>26</v>
      </c>
      <c r="D28" s="186">
        <v>37</v>
      </c>
    </row>
    <row r="29" spans="1:4">
      <c r="A29" s="3">
        <v>27</v>
      </c>
      <c r="B29" s="186" t="s">
        <v>217</v>
      </c>
      <c r="C29" s="3">
        <v>27</v>
      </c>
      <c r="D29" s="186">
        <v>38</v>
      </c>
    </row>
    <row r="30" spans="1:4">
      <c r="A30" s="3">
        <v>28</v>
      </c>
      <c r="B30" s="186" t="s">
        <v>218</v>
      </c>
      <c r="C30" s="3">
        <v>28</v>
      </c>
      <c r="D30" s="186">
        <v>39</v>
      </c>
    </row>
    <row r="31" spans="1:4">
      <c r="A31" s="3">
        <v>29</v>
      </c>
      <c r="B31" s="186" t="s">
        <v>219</v>
      </c>
      <c r="C31" s="3">
        <v>29</v>
      </c>
      <c r="D31" s="186">
        <v>41</v>
      </c>
    </row>
    <row r="32" spans="1:4">
      <c r="A32" s="3">
        <v>30</v>
      </c>
      <c r="B32" s="186" t="s">
        <v>220</v>
      </c>
      <c r="C32" s="3">
        <v>30</v>
      </c>
      <c r="D32" s="186">
        <v>42</v>
      </c>
    </row>
    <row r="33" spans="1:4">
      <c r="A33" s="3">
        <v>31</v>
      </c>
      <c r="B33" s="186" t="s">
        <v>221</v>
      </c>
      <c r="C33" s="3">
        <v>31</v>
      </c>
      <c r="D33" s="186">
        <v>43</v>
      </c>
    </row>
    <row r="34" spans="1:4">
      <c r="A34" s="3">
        <v>32</v>
      </c>
      <c r="B34" s="186" t="s">
        <v>222</v>
      </c>
      <c r="C34" s="3">
        <v>32</v>
      </c>
      <c r="D34" s="186">
        <v>44</v>
      </c>
    </row>
    <row r="35" spans="1:4">
      <c r="A35" s="3">
        <v>33</v>
      </c>
      <c r="B35" s="186" t="s">
        <v>223</v>
      </c>
      <c r="C35" s="3">
        <v>33</v>
      </c>
      <c r="D35" s="186">
        <v>45</v>
      </c>
    </row>
    <row r="36" spans="1:4">
      <c r="A36" s="3">
        <v>34</v>
      </c>
      <c r="B36" s="186" t="s">
        <v>224</v>
      </c>
      <c r="C36" s="3">
        <v>34</v>
      </c>
      <c r="D36" s="186">
        <v>50</v>
      </c>
    </row>
    <row r="37" spans="1:4">
      <c r="A37" s="3">
        <v>35</v>
      </c>
      <c r="B37" s="186" t="s">
        <v>225</v>
      </c>
      <c r="C37" s="3">
        <v>35</v>
      </c>
      <c r="D37" s="186">
        <v>51</v>
      </c>
    </row>
    <row r="38" spans="1:4">
      <c r="A38" s="3">
        <v>36</v>
      </c>
      <c r="B38" s="186" t="s">
        <v>183</v>
      </c>
      <c r="C38" s="3">
        <v>36</v>
      </c>
      <c r="D38" s="186">
        <v>57</v>
      </c>
    </row>
    <row r="39" spans="1:4">
      <c r="A39" s="3">
        <v>37</v>
      </c>
      <c r="B39" s="186" t="s">
        <v>226</v>
      </c>
      <c r="C39" s="3">
        <v>37</v>
      </c>
      <c r="D39" s="186">
        <v>58</v>
      </c>
    </row>
    <row r="40" spans="1:4">
      <c r="A40" s="3">
        <v>38</v>
      </c>
      <c r="B40" s="186" t="s">
        <v>227</v>
      </c>
      <c r="C40" s="3">
        <v>38</v>
      </c>
      <c r="D40" s="186">
        <v>59</v>
      </c>
    </row>
    <row r="41" spans="1:4">
      <c r="A41" s="3">
        <v>39</v>
      </c>
      <c r="B41" s="186" t="s">
        <v>228</v>
      </c>
      <c r="C41" s="3">
        <v>39</v>
      </c>
      <c r="D41" s="186">
        <v>61</v>
      </c>
    </row>
    <row r="42" spans="1:4">
      <c r="A42" s="3">
        <v>40</v>
      </c>
      <c r="B42" s="186" t="s">
        <v>229</v>
      </c>
      <c r="C42" s="3">
        <v>40</v>
      </c>
      <c r="D42" s="186">
        <v>63</v>
      </c>
    </row>
    <row r="43" spans="1:4">
      <c r="A43" s="3">
        <v>41</v>
      </c>
      <c r="B43" s="186" t="s">
        <v>230</v>
      </c>
      <c r="C43" s="3">
        <v>41</v>
      </c>
      <c r="D43" s="186">
        <v>64</v>
      </c>
    </row>
    <row r="44" spans="1:4">
      <c r="A44" s="3">
        <v>42</v>
      </c>
      <c r="B44" s="186" t="s">
        <v>231</v>
      </c>
      <c r="C44" s="3">
        <v>42</v>
      </c>
      <c r="D44" s="186">
        <v>65</v>
      </c>
    </row>
    <row r="45" spans="1:4">
      <c r="A45" s="3">
        <v>43</v>
      </c>
      <c r="B45" s="186" t="s">
        <v>232</v>
      </c>
      <c r="C45" s="3">
        <v>43</v>
      </c>
      <c r="D45" s="186">
        <v>67</v>
      </c>
    </row>
    <row r="46" spans="1:4">
      <c r="A46" s="3">
        <v>44</v>
      </c>
      <c r="B46" s="186" t="s">
        <v>233</v>
      </c>
      <c r="C46" s="3">
        <v>44</v>
      </c>
      <c r="D46" s="186">
        <v>68</v>
      </c>
    </row>
    <row r="47" spans="1:4">
      <c r="A47" s="3">
        <v>45</v>
      </c>
      <c r="B47" s="222" t="s">
        <v>234</v>
      </c>
      <c r="C47" s="3">
        <v>45</v>
      </c>
      <c r="D47" s="186">
        <v>72</v>
      </c>
    </row>
    <row r="48" spans="1:4">
      <c r="A48" s="3">
        <v>46</v>
      </c>
      <c r="B48" s="186" t="s">
        <v>235</v>
      </c>
      <c r="C48" s="3">
        <v>46</v>
      </c>
      <c r="D48" s="186">
        <v>74</v>
      </c>
    </row>
    <row r="49" spans="1:4">
      <c r="A49" s="3">
        <v>47</v>
      </c>
      <c r="B49" s="186" t="s">
        <v>236</v>
      </c>
      <c r="C49" s="3">
        <v>47</v>
      </c>
      <c r="D49" s="186">
        <v>77</v>
      </c>
    </row>
    <row r="50" spans="1:4">
      <c r="A50" s="3">
        <v>48</v>
      </c>
      <c r="B50" s="186" t="s">
        <v>237</v>
      </c>
      <c r="C50" s="3">
        <v>48</v>
      </c>
      <c r="D50" s="186">
        <v>78</v>
      </c>
    </row>
    <row r="51" spans="1:4">
      <c r="A51" s="3">
        <v>49</v>
      </c>
      <c r="B51" s="186" t="s">
        <v>238</v>
      </c>
      <c r="C51" s="3">
        <v>49</v>
      </c>
      <c r="D51" s="186">
        <v>80</v>
      </c>
    </row>
    <row r="52" spans="1:4">
      <c r="A52" s="3">
        <v>50</v>
      </c>
      <c r="B52" s="186" t="s">
        <v>239</v>
      </c>
      <c r="C52" s="3">
        <v>50</v>
      </c>
      <c r="D52" s="186">
        <v>82</v>
      </c>
    </row>
    <row r="53" spans="1:4">
      <c r="A53" s="3">
        <v>51</v>
      </c>
      <c r="B53" s="186" t="s">
        <v>240</v>
      </c>
      <c r="C53" s="3">
        <v>51</v>
      </c>
      <c r="D53" s="186">
        <v>83</v>
      </c>
    </row>
    <row r="54" spans="1:4">
      <c r="A54" s="3">
        <v>52</v>
      </c>
      <c r="B54" s="186" t="s">
        <v>241</v>
      </c>
      <c r="C54" s="3">
        <v>52</v>
      </c>
      <c r="D54" s="186">
        <v>84</v>
      </c>
    </row>
    <row r="55" spans="1:4">
      <c r="A55" s="3">
        <v>53</v>
      </c>
      <c r="B55" s="186" t="s">
        <v>242</v>
      </c>
      <c r="C55" s="3">
        <v>53</v>
      </c>
      <c r="D55" s="186">
        <v>85</v>
      </c>
    </row>
    <row r="56" spans="1:4">
      <c r="A56" s="3">
        <v>54</v>
      </c>
      <c r="B56" s="186" t="s">
        <v>243</v>
      </c>
      <c r="C56" s="3">
        <v>54</v>
      </c>
      <c r="D56" s="186">
        <v>86</v>
      </c>
    </row>
    <row r="57" spans="1:4">
      <c r="A57" s="3">
        <v>55</v>
      </c>
      <c r="B57" s="186" t="s">
        <v>244</v>
      </c>
      <c r="C57" s="3">
        <v>55</v>
      </c>
      <c r="D57" s="186">
        <v>90</v>
      </c>
    </row>
    <row r="58" spans="1:4">
      <c r="A58" s="3">
        <v>56</v>
      </c>
      <c r="B58" s="186" t="s">
        <v>245</v>
      </c>
      <c r="C58" s="3">
        <v>56</v>
      </c>
      <c r="D58" s="186">
        <v>91</v>
      </c>
    </row>
    <row r="59" spans="1:4">
      <c r="A59" s="3">
        <v>57</v>
      </c>
      <c r="B59" s="186" t="s">
        <v>246</v>
      </c>
      <c r="C59" s="3">
        <v>57</v>
      </c>
      <c r="D59" s="186">
        <v>92</v>
      </c>
    </row>
    <row r="60" spans="1:4">
      <c r="A60" s="3">
        <v>58</v>
      </c>
      <c r="B60" s="186" t="s">
        <v>247</v>
      </c>
      <c r="C60" s="3">
        <v>58</v>
      </c>
      <c r="D60" s="186">
        <v>93</v>
      </c>
    </row>
    <row r="61" spans="1:4">
      <c r="A61" s="3">
        <v>59</v>
      </c>
      <c r="B61" s="186" t="s">
        <v>248</v>
      </c>
      <c r="C61" s="3">
        <v>59</v>
      </c>
      <c r="D61" s="186">
        <v>95</v>
      </c>
    </row>
    <row r="62" spans="1:4">
      <c r="A62" s="3">
        <v>60</v>
      </c>
      <c r="B62" s="186" t="s">
        <v>249</v>
      </c>
      <c r="C62" s="3">
        <v>60</v>
      </c>
      <c r="D62" s="186">
        <v>96</v>
      </c>
    </row>
    <row r="63" spans="1:4">
      <c r="A63" s="3">
        <v>61</v>
      </c>
      <c r="B63" s="186" t="s">
        <v>250</v>
      </c>
      <c r="C63" s="3">
        <v>61</v>
      </c>
      <c r="D63" s="186">
        <v>98</v>
      </c>
    </row>
    <row r="64" spans="1:4">
      <c r="A64" s="3">
        <v>62</v>
      </c>
      <c r="B64" s="187" t="s">
        <v>251</v>
      </c>
      <c r="C64" s="3">
        <v>62</v>
      </c>
      <c r="D64" s="187">
        <v>99</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C72A-381B-44C3-8775-9E8D8469DA08}">
  <sheetPr codeName="גיליון24"/>
  <dimension ref="A1:Q239"/>
  <sheetViews>
    <sheetView rightToLeft="1" topLeftCell="A10" workbookViewId="0">
      <pane ySplit="2016" topLeftCell="A223" activePane="bottomLeft"/>
      <selection activeCell="D7" sqref="D7"/>
      <selection pane="bottomLeft" activeCell="D228" sqref="D228:D239"/>
    </sheetView>
  </sheetViews>
  <sheetFormatPr defaultRowHeight="14.4"/>
  <cols>
    <col min="1" max="1" width="28.109375" bestFit="1" customWidth="1"/>
    <col min="2" max="2" width="9.33203125" bestFit="1" customWidth="1"/>
    <col min="4" max="4" width="9.33203125" bestFit="1" customWidth="1"/>
    <col min="14" max="14" width="9.33203125" bestFit="1" customWidth="1"/>
  </cols>
  <sheetData>
    <row r="1" spans="1:17">
      <c r="A1" t="s">
        <v>9</v>
      </c>
      <c r="B1">
        <f>+SACHAR!C11</f>
        <v>1.2008000000000001</v>
      </c>
      <c r="D1" s="108" t="s">
        <v>1401</v>
      </c>
    </row>
    <row r="2" spans="1:17">
      <c r="A2" t="s">
        <v>252</v>
      </c>
      <c r="B2">
        <f>+'Netunei Gimlai'!B6</f>
        <v>1</v>
      </c>
      <c r="D2">
        <v>7.2016</v>
      </c>
      <c r="E2">
        <f>VLOOKUP(D2,'tosafot '!$B$7:$C$234,2,0)</f>
        <v>103</v>
      </c>
      <c r="F2" s="224">
        <v>0.01</v>
      </c>
      <c r="G2" s="84"/>
      <c r="H2" s="84"/>
      <c r="I2" s="84"/>
      <c r="J2" s="84"/>
      <c r="K2" s="84"/>
      <c r="L2" s="84"/>
      <c r="M2" s="84"/>
      <c r="N2" s="84"/>
      <c r="O2" s="84"/>
      <c r="P2" s="84"/>
      <c r="Q2" s="84"/>
    </row>
    <row r="3" spans="1:17">
      <c r="A3" t="s">
        <v>16</v>
      </c>
      <c r="B3">
        <f>+SACHAR!K11</f>
        <v>1</v>
      </c>
      <c r="D3">
        <v>3.2017000000000002</v>
      </c>
      <c r="E3">
        <f>VLOOKUP(D3,'tosafot '!$B$7:$C$234,2,0)</f>
        <v>111</v>
      </c>
      <c r="F3" s="224">
        <v>1.375E-2</v>
      </c>
      <c r="G3" s="84"/>
      <c r="H3" s="84"/>
      <c r="I3" s="84"/>
      <c r="J3" s="84"/>
      <c r="K3" s="84"/>
      <c r="L3" s="84"/>
      <c r="M3" s="84"/>
      <c r="N3" s="84"/>
      <c r="O3" s="84"/>
      <c r="P3" s="84"/>
      <c r="Q3" s="84"/>
    </row>
    <row r="4" spans="1:17">
      <c r="D4">
        <v>6.2018000000000004</v>
      </c>
      <c r="E4">
        <f>VLOOKUP(D4,'tosafot '!$B$7:$C$234,2,0)</f>
        <v>126</v>
      </c>
      <c r="F4" s="224">
        <v>2.1250000000000002E-2</v>
      </c>
      <c r="G4" s="84"/>
      <c r="H4" s="84"/>
      <c r="I4" s="84"/>
      <c r="J4" s="84"/>
      <c r="K4" s="84"/>
      <c r="L4" s="84"/>
      <c r="M4" s="84"/>
      <c r="N4" s="84"/>
      <c r="O4" s="84"/>
      <c r="P4" s="84"/>
      <c r="Q4" s="84"/>
    </row>
    <row r="5" spans="1:17">
      <c r="A5" t="s">
        <v>253</v>
      </c>
      <c r="B5" s="224">
        <f>IF(B2&gt;=E6,F6,IF(B2&gt;=E5,F5,IF(B2&gt;=E4,F4,IF(B2&gt;=E3,F3,IF(B2&gt;=E2,F2,0)))))</f>
        <v>0</v>
      </c>
      <c r="D5">
        <v>8.2019000000000002</v>
      </c>
      <c r="E5">
        <f>VLOOKUP(D5,'tosafot '!$B$7:$C$234,2,0)</f>
        <v>140</v>
      </c>
      <c r="F5" s="224">
        <v>0.03</v>
      </c>
      <c r="G5" s="84"/>
      <c r="H5" s="84"/>
      <c r="I5" s="84"/>
      <c r="J5" s="84"/>
      <c r="K5" s="84"/>
      <c r="L5" s="84"/>
      <c r="M5" s="84"/>
      <c r="N5" s="84"/>
      <c r="O5" s="84"/>
      <c r="P5" s="84"/>
      <c r="Q5" s="84"/>
    </row>
    <row r="6" spans="1:17">
      <c r="A6" t="s">
        <v>254</v>
      </c>
      <c r="B6" s="209" cm="1">
        <f t="array" ref="B6">INDEX(D12:P239,B2,B3)</f>
        <v>0</v>
      </c>
      <c r="D6">
        <v>12.2019</v>
      </c>
      <c r="E6">
        <f>VLOOKUP(D6,'tosafot '!$B$7:$C$234,2,0)</f>
        <v>144</v>
      </c>
      <c r="F6" s="224">
        <v>3.875E-2</v>
      </c>
      <c r="G6" s="224"/>
      <c r="H6" s="224"/>
      <c r="I6" s="224"/>
      <c r="J6" s="224"/>
      <c r="K6" s="224"/>
      <c r="L6" s="224"/>
      <c r="M6" s="224"/>
      <c r="N6" s="224"/>
      <c r="O6" s="224"/>
      <c r="P6" s="224"/>
      <c r="Q6" s="224"/>
    </row>
    <row r="7" spans="1:17">
      <c r="B7" s="209"/>
      <c r="F7" s="224"/>
      <c r="G7" s="224"/>
      <c r="H7" s="224"/>
      <c r="I7" s="224"/>
      <c r="J7" s="224"/>
      <c r="K7" s="224"/>
      <c r="L7" s="224"/>
      <c r="M7" s="224"/>
      <c r="N7" s="224"/>
      <c r="O7" s="224"/>
      <c r="P7" s="224"/>
      <c r="Q7" s="224"/>
    </row>
    <row r="8" spans="1:17">
      <c r="A8" s="224"/>
      <c r="B8" s="209"/>
    </row>
    <row r="9" spans="1:17">
      <c r="A9" s="224"/>
      <c r="B9" s="209"/>
    </row>
    <row r="10" spans="1:17" s="3" customFormat="1" ht="57.6">
      <c r="D10" s="3" t="s">
        <v>1403</v>
      </c>
      <c r="E10" s="328" t="s">
        <v>181</v>
      </c>
      <c r="F10" s="3" t="s">
        <v>702</v>
      </c>
      <c r="G10" s="328" t="s">
        <v>182</v>
      </c>
      <c r="H10" s="328" t="s">
        <v>183</v>
      </c>
      <c r="I10" s="328" t="s">
        <v>184</v>
      </c>
      <c r="J10" s="3" t="s">
        <v>702</v>
      </c>
      <c r="K10" s="3" t="s">
        <v>702</v>
      </c>
      <c r="L10" s="3" t="s">
        <v>185</v>
      </c>
      <c r="M10" s="3" t="s">
        <v>702</v>
      </c>
      <c r="N10" s="3" t="s">
        <v>186</v>
      </c>
      <c r="O10" s="3" t="s">
        <v>107</v>
      </c>
      <c r="P10" s="3" t="s">
        <v>200</v>
      </c>
    </row>
    <row r="11" spans="1:17">
      <c r="A11" t="s">
        <v>651</v>
      </c>
      <c r="B11" t="s">
        <v>1402</v>
      </c>
      <c r="C11" t="s">
        <v>651</v>
      </c>
      <c r="D11">
        <v>1</v>
      </c>
      <c r="E11">
        <v>2</v>
      </c>
      <c r="F11">
        <v>3</v>
      </c>
      <c r="G11">
        <v>4</v>
      </c>
      <c r="H11">
        <v>5</v>
      </c>
      <c r="I11">
        <v>6</v>
      </c>
      <c r="J11">
        <v>7</v>
      </c>
      <c r="K11">
        <v>8</v>
      </c>
      <c r="L11">
        <v>9</v>
      </c>
      <c r="M11">
        <v>10</v>
      </c>
      <c r="N11">
        <v>11</v>
      </c>
      <c r="O11">
        <v>12</v>
      </c>
      <c r="P11">
        <v>13</v>
      </c>
    </row>
    <row r="12" spans="1:17">
      <c r="A12">
        <v>1</v>
      </c>
      <c r="B12" s="9">
        <v>1.2008000000000001</v>
      </c>
      <c r="C12">
        <v>1</v>
      </c>
      <c r="D12" s="2">
        <v>0</v>
      </c>
      <c r="E12" s="2">
        <v>0</v>
      </c>
      <c r="F12" s="2">
        <v>0</v>
      </c>
      <c r="G12" s="2">
        <v>0</v>
      </c>
      <c r="H12" s="2">
        <v>0</v>
      </c>
      <c r="I12" s="2">
        <v>0</v>
      </c>
      <c r="J12" s="2">
        <v>0</v>
      </c>
      <c r="K12" s="2">
        <v>0</v>
      </c>
      <c r="L12" s="2">
        <v>0</v>
      </c>
      <c r="M12" s="2">
        <v>0</v>
      </c>
      <c r="N12" s="2">
        <v>0</v>
      </c>
      <c r="O12" s="2">
        <v>0</v>
      </c>
      <c r="P12" s="2">
        <v>0</v>
      </c>
    </row>
    <row r="13" spans="1:17">
      <c r="A13">
        <v>2</v>
      </c>
      <c r="B13" s="9">
        <v>2.2008000000000001</v>
      </c>
      <c r="C13">
        <v>2</v>
      </c>
      <c r="D13" s="2">
        <v>0</v>
      </c>
      <c r="E13" s="2">
        <v>0</v>
      </c>
      <c r="F13" s="2">
        <v>0</v>
      </c>
      <c r="G13" s="2">
        <v>0</v>
      </c>
      <c r="H13" s="2">
        <v>0</v>
      </c>
      <c r="I13" s="2">
        <v>0</v>
      </c>
      <c r="J13" s="2">
        <v>0</v>
      </c>
      <c r="K13" s="2">
        <v>0</v>
      </c>
      <c r="L13" s="2">
        <v>0</v>
      </c>
      <c r="M13" s="2">
        <v>0</v>
      </c>
      <c r="N13" s="2">
        <v>0</v>
      </c>
      <c r="O13" s="2">
        <v>0</v>
      </c>
      <c r="P13" s="2">
        <v>0</v>
      </c>
    </row>
    <row r="14" spans="1:17">
      <c r="A14">
        <v>3</v>
      </c>
      <c r="B14" s="9">
        <v>3.2008000000000001</v>
      </c>
      <c r="C14">
        <v>3</v>
      </c>
      <c r="D14" s="2">
        <v>0</v>
      </c>
      <c r="E14" s="2">
        <v>0</v>
      </c>
      <c r="F14" s="2">
        <v>0</v>
      </c>
      <c r="G14" s="2">
        <v>0</v>
      </c>
      <c r="H14" s="2">
        <v>0</v>
      </c>
      <c r="I14" s="2">
        <v>0</v>
      </c>
      <c r="J14" s="2">
        <v>0</v>
      </c>
      <c r="K14" s="2">
        <v>0</v>
      </c>
      <c r="L14" s="2">
        <v>0</v>
      </c>
      <c r="M14" s="2">
        <v>0</v>
      </c>
      <c r="N14" s="2">
        <v>0</v>
      </c>
      <c r="O14" s="2">
        <v>0</v>
      </c>
      <c r="P14" s="2">
        <v>0</v>
      </c>
    </row>
    <row r="15" spans="1:17">
      <c r="A15">
        <v>4</v>
      </c>
      <c r="B15" s="9">
        <v>4.2008000000000001</v>
      </c>
      <c r="C15">
        <v>4</v>
      </c>
      <c r="D15" s="2">
        <v>0</v>
      </c>
      <c r="E15" s="2">
        <v>0</v>
      </c>
      <c r="F15" s="2">
        <v>0</v>
      </c>
      <c r="G15" s="2">
        <v>0</v>
      </c>
      <c r="H15" s="2">
        <v>0</v>
      </c>
      <c r="I15" s="2">
        <v>0</v>
      </c>
      <c r="J15" s="2">
        <v>0</v>
      </c>
      <c r="K15" s="2">
        <v>0</v>
      </c>
      <c r="L15" s="2">
        <v>0</v>
      </c>
      <c r="M15" s="2">
        <v>0</v>
      </c>
      <c r="N15" s="2">
        <v>0</v>
      </c>
      <c r="O15" s="2">
        <v>0</v>
      </c>
      <c r="P15" s="2">
        <v>0</v>
      </c>
    </row>
    <row r="16" spans="1:17">
      <c r="A16">
        <v>5</v>
      </c>
      <c r="B16" s="9">
        <v>5.2008000000000001</v>
      </c>
      <c r="C16">
        <v>5</v>
      </c>
      <c r="D16" s="2">
        <v>0</v>
      </c>
      <c r="E16" s="2">
        <v>0</v>
      </c>
      <c r="F16" s="2">
        <v>0</v>
      </c>
      <c r="G16" s="2">
        <v>0</v>
      </c>
      <c r="H16" s="2">
        <v>0</v>
      </c>
      <c r="I16" s="2">
        <v>0</v>
      </c>
      <c r="J16" s="2">
        <v>0</v>
      </c>
      <c r="K16" s="2">
        <v>0</v>
      </c>
      <c r="L16" s="2">
        <v>0</v>
      </c>
      <c r="M16" s="2">
        <v>0</v>
      </c>
      <c r="N16" s="2">
        <v>0</v>
      </c>
      <c r="O16" s="2">
        <v>0</v>
      </c>
      <c r="P16" s="2">
        <v>0</v>
      </c>
    </row>
    <row r="17" spans="1:16">
      <c r="A17">
        <v>6</v>
      </c>
      <c r="B17" s="9">
        <v>6.2008000000000001</v>
      </c>
      <c r="C17">
        <v>6</v>
      </c>
      <c r="D17" s="2">
        <v>0</v>
      </c>
      <c r="E17" s="2">
        <v>0</v>
      </c>
      <c r="F17" s="2">
        <v>0</v>
      </c>
      <c r="G17" s="2">
        <v>0</v>
      </c>
      <c r="H17" s="2">
        <v>0</v>
      </c>
      <c r="I17" s="2">
        <v>0</v>
      </c>
      <c r="J17" s="2">
        <v>0</v>
      </c>
      <c r="K17" s="2">
        <v>0</v>
      </c>
      <c r="L17" s="2">
        <v>0</v>
      </c>
      <c r="M17" s="2">
        <v>0</v>
      </c>
      <c r="N17" s="2">
        <v>0</v>
      </c>
      <c r="O17" s="2">
        <v>0</v>
      </c>
      <c r="P17" s="2">
        <v>0</v>
      </c>
    </row>
    <row r="18" spans="1:16">
      <c r="A18">
        <v>7</v>
      </c>
      <c r="B18" s="9">
        <v>7.2008000000000001</v>
      </c>
      <c r="C18">
        <v>7</v>
      </c>
      <c r="D18" s="2">
        <v>0</v>
      </c>
      <c r="E18" s="2">
        <v>0</v>
      </c>
      <c r="F18" s="2">
        <v>0</v>
      </c>
      <c r="G18" s="2">
        <v>0</v>
      </c>
      <c r="H18" s="2">
        <v>0</v>
      </c>
      <c r="I18" s="2">
        <v>0</v>
      </c>
      <c r="J18" s="2">
        <v>0</v>
      </c>
      <c r="K18" s="2">
        <v>0</v>
      </c>
      <c r="L18" s="2">
        <v>0</v>
      </c>
      <c r="M18" s="2">
        <v>0</v>
      </c>
      <c r="N18" s="2">
        <v>0</v>
      </c>
      <c r="O18" s="2">
        <v>0</v>
      </c>
      <c r="P18" s="2">
        <v>0</v>
      </c>
    </row>
    <row r="19" spans="1:16">
      <c r="A19">
        <v>8</v>
      </c>
      <c r="B19" s="9">
        <v>8.2007999999999992</v>
      </c>
      <c r="C19">
        <v>8</v>
      </c>
      <c r="D19" s="2">
        <v>0</v>
      </c>
      <c r="E19" s="2">
        <v>0</v>
      </c>
      <c r="F19" s="2">
        <v>0</v>
      </c>
      <c r="G19" s="2">
        <v>0</v>
      </c>
      <c r="H19" s="2">
        <v>0</v>
      </c>
      <c r="I19" s="2">
        <v>0</v>
      </c>
      <c r="J19" s="2">
        <v>0</v>
      </c>
      <c r="K19" s="2">
        <v>0</v>
      </c>
      <c r="L19" s="2">
        <v>0</v>
      </c>
      <c r="M19" s="2">
        <v>0</v>
      </c>
      <c r="N19" s="2">
        <v>0</v>
      </c>
      <c r="O19" s="2">
        <v>0</v>
      </c>
      <c r="P19" s="2">
        <v>0</v>
      </c>
    </row>
    <row r="20" spans="1:16">
      <c r="A20">
        <v>9</v>
      </c>
      <c r="B20" s="9">
        <v>9.2007999999999992</v>
      </c>
      <c r="C20">
        <v>9</v>
      </c>
      <c r="D20" s="2">
        <v>0</v>
      </c>
      <c r="E20" s="2">
        <v>0</v>
      </c>
      <c r="F20" s="2">
        <v>0</v>
      </c>
      <c r="G20" s="2">
        <v>0</v>
      </c>
      <c r="H20" s="2">
        <v>0</v>
      </c>
      <c r="I20" s="2">
        <v>0</v>
      </c>
      <c r="J20" s="2">
        <v>0</v>
      </c>
      <c r="K20" s="2">
        <v>0</v>
      </c>
      <c r="L20" s="2">
        <v>0</v>
      </c>
      <c r="M20" s="2">
        <v>0</v>
      </c>
      <c r="N20" s="2">
        <v>0</v>
      </c>
      <c r="O20" s="2">
        <v>0</v>
      </c>
      <c r="P20" s="2">
        <v>0</v>
      </c>
    </row>
    <row r="21" spans="1:16">
      <c r="A21">
        <v>10</v>
      </c>
      <c r="B21" s="9">
        <v>10.200799999999999</v>
      </c>
      <c r="C21">
        <v>10</v>
      </c>
      <c r="D21" s="2">
        <v>0</v>
      </c>
      <c r="E21" s="2">
        <v>0</v>
      </c>
      <c r="F21" s="2">
        <v>0</v>
      </c>
      <c r="G21" s="2">
        <v>0</v>
      </c>
      <c r="H21" s="2">
        <v>0</v>
      </c>
      <c r="I21" s="2">
        <v>0</v>
      </c>
      <c r="J21" s="2">
        <v>0</v>
      </c>
      <c r="K21" s="2">
        <v>0</v>
      </c>
      <c r="L21" s="2">
        <v>0</v>
      </c>
      <c r="M21" s="2">
        <v>0</v>
      </c>
      <c r="N21" s="2">
        <v>0</v>
      </c>
      <c r="O21" s="2">
        <v>0</v>
      </c>
      <c r="P21" s="2">
        <v>0</v>
      </c>
    </row>
    <row r="22" spans="1:16">
      <c r="A22">
        <v>11</v>
      </c>
      <c r="B22" s="9">
        <v>11.200799999999999</v>
      </c>
      <c r="C22">
        <v>11</v>
      </c>
      <c r="D22" s="2">
        <v>0</v>
      </c>
      <c r="E22" s="2">
        <v>0</v>
      </c>
      <c r="F22" s="2">
        <v>0</v>
      </c>
      <c r="G22" s="2">
        <v>0</v>
      </c>
      <c r="H22" s="2">
        <v>0</v>
      </c>
      <c r="I22" s="2">
        <v>0</v>
      </c>
      <c r="J22" s="2">
        <v>0</v>
      </c>
      <c r="K22" s="2">
        <v>0</v>
      </c>
      <c r="L22" s="2">
        <v>0</v>
      </c>
      <c r="M22" s="2">
        <v>0</v>
      </c>
      <c r="N22" s="2">
        <v>0</v>
      </c>
      <c r="O22" s="2">
        <v>0</v>
      </c>
      <c r="P22" s="2">
        <v>0</v>
      </c>
    </row>
    <row r="23" spans="1:16">
      <c r="A23">
        <v>12</v>
      </c>
      <c r="B23" s="9">
        <v>12.200799999999999</v>
      </c>
      <c r="C23">
        <v>12</v>
      </c>
      <c r="D23" s="2">
        <v>0</v>
      </c>
      <c r="E23" s="2">
        <v>0</v>
      </c>
      <c r="F23" s="2">
        <v>0</v>
      </c>
      <c r="G23" s="2">
        <v>0</v>
      </c>
      <c r="H23" s="2">
        <v>0</v>
      </c>
      <c r="I23" s="2">
        <v>0</v>
      </c>
      <c r="J23" s="2">
        <v>0</v>
      </c>
      <c r="K23" s="2">
        <v>0</v>
      </c>
      <c r="L23" s="2">
        <v>0</v>
      </c>
      <c r="M23" s="2">
        <v>0</v>
      </c>
      <c r="N23" s="2">
        <v>0</v>
      </c>
      <c r="O23" s="2">
        <v>0</v>
      </c>
      <c r="P23" s="2">
        <v>0</v>
      </c>
    </row>
    <row r="24" spans="1:16">
      <c r="A24">
        <v>13</v>
      </c>
      <c r="B24" s="9">
        <v>1.2009000000000001</v>
      </c>
      <c r="C24">
        <v>13</v>
      </c>
      <c r="D24" s="2">
        <v>0</v>
      </c>
      <c r="E24" s="2">
        <v>0</v>
      </c>
      <c r="F24" s="2">
        <v>0</v>
      </c>
      <c r="G24" s="2">
        <v>0</v>
      </c>
      <c r="H24" s="2">
        <v>0</v>
      </c>
      <c r="I24" s="2">
        <v>0</v>
      </c>
      <c r="J24" s="2">
        <v>0</v>
      </c>
      <c r="K24" s="2">
        <v>0</v>
      </c>
      <c r="L24" s="2">
        <v>0</v>
      </c>
      <c r="M24" s="2">
        <v>0</v>
      </c>
      <c r="N24" s="2">
        <v>0</v>
      </c>
      <c r="O24" s="2">
        <v>0</v>
      </c>
      <c r="P24" s="2">
        <v>0</v>
      </c>
    </row>
    <row r="25" spans="1:16">
      <c r="A25">
        <v>14</v>
      </c>
      <c r="B25" s="9">
        <v>2.2008999999999999</v>
      </c>
      <c r="C25">
        <v>14</v>
      </c>
      <c r="D25" s="2">
        <v>0</v>
      </c>
      <c r="E25" s="2">
        <v>0</v>
      </c>
      <c r="F25" s="2">
        <v>0</v>
      </c>
      <c r="G25" s="2">
        <v>0</v>
      </c>
      <c r="H25" s="2">
        <v>0</v>
      </c>
      <c r="I25" s="2">
        <v>0</v>
      </c>
      <c r="J25" s="2">
        <v>0</v>
      </c>
      <c r="K25" s="2">
        <v>0</v>
      </c>
      <c r="L25" s="2">
        <v>0</v>
      </c>
      <c r="M25" s="2">
        <v>0</v>
      </c>
      <c r="N25" s="2">
        <v>0</v>
      </c>
      <c r="O25" s="2">
        <v>0</v>
      </c>
      <c r="P25" s="2">
        <v>0</v>
      </c>
    </row>
    <row r="26" spans="1:16">
      <c r="A26">
        <v>15</v>
      </c>
      <c r="B26" s="9">
        <v>3.2008999999999999</v>
      </c>
      <c r="C26">
        <v>15</v>
      </c>
      <c r="D26" s="2">
        <v>0</v>
      </c>
      <c r="E26" s="2">
        <v>0</v>
      </c>
      <c r="F26" s="2">
        <v>0</v>
      </c>
      <c r="G26" s="2">
        <v>0</v>
      </c>
      <c r="H26" s="2">
        <v>0</v>
      </c>
      <c r="I26" s="2">
        <v>0</v>
      </c>
      <c r="J26" s="2">
        <v>0</v>
      </c>
      <c r="K26" s="2">
        <v>0</v>
      </c>
      <c r="L26" s="2">
        <v>0</v>
      </c>
      <c r="M26" s="2">
        <v>0</v>
      </c>
      <c r="N26" s="2">
        <v>0</v>
      </c>
      <c r="O26" s="2">
        <v>0</v>
      </c>
      <c r="P26" s="2">
        <v>0</v>
      </c>
    </row>
    <row r="27" spans="1:16">
      <c r="A27">
        <v>16</v>
      </c>
      <c r="B27" s="9">
        <v>4.2008999999999999</v>
      </c>
      <c r="C27">
        <v>16</v>
      </c>
      <c r="D27" s="2">
        <v>0</v>
      </c>
      <c r="E27" s="2">
        <v>0</v>
      </c>
      <c r="F27" s="2">
        <v>0</v>
      </c>
      <c r="G27" s="2">
        <v>0</v>
      </c>
      <c r="H27" s="2">
        <v>0</v>
      </c>
      <c r="I27" s="2">
        <v>0</v>
      </c>
      <c r="J27" s="2">
        <v>0</v>
      </c>
      <c r="K27" s="2">
        <v>0</v>
      </c>
      <c r="L27" s="2">
        <v>0</v>
      </c>
      <c r="M27" s="2">
        <v>0</v>
      </c>
      <c r="N27" s="2">
        <v>0</v>
      </c>
      <c r="O27" s="2">
        <v>0</v>
      </c>
      <c r="P27" s="2">
        <v>0</v>
      </c>
    </row>
    <row r="28" spans="1:16">
      <c r="A28">
        <v>17</v>
      </c>
      <c r="B28" s="9">
        <v>5.2008999999999999</v>
      </c>
      <c r="C28">
        <v>17</v>
      </c>
      <c r="D28" s="2">
        <v>0</v>
      </c>
      <c r="E28" s="2">
        <v>0</v>
      </c>
      <c r="F28" s="2">
        <v>0</v>
      </c>
      <c r="G28" s="2">
        <v>0</v>
      </c>
      <c r="H28" s="2">
        <v>0</v>
      </c>
      <c r="I28" s="2">
        <v>0</v>
      </c>
      <c r="J28" s="2">
        <v>0</v>
      </c>
      <c r="K28" s="2">
        <v>0</v>
      </c>
      <c r="L28" s="2">
        <v>0</v>
      </c>
      <c r="M28" s="2">
        <v>0</v>
      </c>
      <c r="N28" s="2">
        <v>0</v>
      </c>
      <c r="O28" s="2">
        <v>0</v>
      </c>
      <c r="P28" s="2">
        <v>0</v>
      </c>
    </row>
    <row r="29" spans="1:16">
      <c r="A29">
        <v>18</v>
      </c>
      <c r="B29" s="9">
        <v>6.2008999999999999</v>
      </c>
      <c r="C29">
        <v>18</v>
      </c>
      <c r="D29" s="2">
        <v>0</v>
      </c>
      <c r="E29" s="2">
        <v>0</v>
      </c>
      <c r="F29" s="2">
        <v>0</v>
      </c>
      <c r="G29" s="2">
        <v>0</v>
      </c>
      <c r="H29" s="2">
        <v>0</v>
      </c>
      <c r="I29" s="2">
        <v>0</v>
      </c>
      <c r="J29" s="2">
        <v>0</v>
      </c>
      <c r="K29" s="2">
        <v>0</v>
      </c>
      <c r="L29" s="2">
        <v>0</v>
      </c>
      <c r="M29" s="2">
        <v>0</v>
      </c>
      <c r="N29" s="2">
        <v>0</v>
      </c>
      <c r="O29" s="2">
        <v>0</v>
      </c>
      <c r="P29" s="2">
        <v>0</v>
      </c>
    </row>
    <row r="30" spans="1:16">
      <c r="A30">
        <v>19</v>
      </c>
      <c r="B30" s="9">
        <v>7.2008999999999999</v>
      </c>
      <c r="C30">
        <v>19</v>
      </c>
      <c r="D30" s="2">
        <v>0</v>
      </c>
      <c r="E30" s="2">
        <v>0</v>
      </c>
      <c r="F30" s="2">
        <v>0</v>
      </c>
      <c r="G30" s="2">
        <v>0</v>
      </c>
      <c r="H30" s="2">
        <v>0</v>
      </c>
      <c r="I30" s="2">
        <v>0</v>
      </c>
      <c r="J30" s="2">
        <v>0</v>
      </c>
      <c r="K30" s="2">
        <v>0</v>
      </c>
      <c r="L30" s="2">
        <v>0</v>
      </c>
      <c r="M30" s="2">
        <v>0</v>
      </c>
      <c r="N30" s="2">
        <v>0</v>
      </c>
      <c r="O30" s="2">
        <v>0</v>
      </c>
      <c r="P30" s="2">
        <v>0</v>
      </c>
    </row>
    <row r="31" spans="1:16">
      <c r="A31">
        <v>20</v>
      </c>
      <c r="B31" s="9">
        <v>8.2009000000000007</v>
      </c>
      <c r="C31">
        <v>20</v>
      </c>
      <c r="D31" s="2">
        <v>0</v>
      </c>
      <c r="E31" s="2">
        <v>0</v>
      </c>
      <c r="F31" s="2">
        <v>0</v>
      </c>
      <c r="G31" s="2">
        <v>0</v>
      </c>
      <c r="H31" s="2">
        <v>0</v>
      </c>
      <c r="I31" s="2">
        <v>0</v>
      </c>
      <c r="J31" s="2">
        <v>0</v>
      </c>
      <c r="K31" s="2">
        <v>0</v>
      </c>
      <c r="L31" s="2">
        <v>0</v>
      </c>
      <c r="M31" s="2">
        <v>0</v>
      </c>
      <c r="N31" s="2">
        <v>0</v>
      </c>
      <c r="O31" s="2">
        <v>0</v>
      </c>
      <c r="P31" s="2">
        <v>0</v>
      </c>
    </row>
    <row r="32" spans="1:16">
      <c r="A32">
        <v>21</v>
      </c>
      <c r="B32" s="9">
        <v>9.2009000000000007</v>
      </c>
      <c r="C32">
        <v>21</v>
      </c>
      <c r="D32" s="2">
        <v>0</v>
      </c>
      <c r="E32" s="2">
        <v>0</v>
      </c>
      <c r="F32" s="2">
        <v>0</v>
      </c>
      <c r="G32" s="2">
        <v>0</v>
      </c>
      <c r="H32" s="2">
        <v>0</v>
      </c>
      <c r="I32" s="2">
        <v>0</v>
      </c>
      <c r="J32" s="2">
        <v>0</v>
      </c>
      <c r="K32" s="2">
        <v>0</v>
      </c>
      <c r="L32" s="2">
        <v>0</v>
      </c>
      <c r="M32" s="2">
        <v>0</v>
      </c>
      <c r="N32" s="2">
        <v>0</v>
      </c>
      <c r="O32" s="2">
        <v>0</v>
      </c>
      <c r="P32" s="2">
        <v>0</v>
      </c>
    </row>
    <row r="33" spans="1:16">
      <c r="A33">
        <v>22</v>
      </c>
      <c r="B33" s="9">
        <v>10.200900000000001</v>
      </c>
      <c r="C33">
        <v>22</v>
      </c>
      <c r="D33" s="2">
        <v>0</v>
      </c>
      <c r="E33" s="2">
        <v>0</v>
      </c>
      <c r="F33" s="2">
        <v>0</v>
      </c>
      <c r="G33" s="2">
        <v>0</v>
      </c>
      <c r="H33" s="2">
        <v>0</v>
      </c>
      <c r="I33" s="2">
        <v>0</v>
      </c>
      <c r="J33" s="2">
        <v>0</v>
      </c>
      <c r="K33" s="2">
        <v>0</v>
      </c>
      <c r="L33" s="2">
        <v>0</v>
      </c>
      <c r="M33" s="2">
        <v>0</v>
      </c>
      <c r="N33" s="2">
        <v>0</v>
      </c>
      <c r="O33" s="2">
        <v>0</v>
      </c>
      <c r="P33" s="2">
        <v>0</v>
      </c>
    </row>
    <row r="34" spans="1:16">
      <c r="A34">
        <v>23</v>
      </c>
      <c r="B34" s="9">
        <v>11.200900000000001</v>
      </c>
      <c r="C34">
        <v>23</v>
      </c>
      <c r="D34" s="2">
        <v>0</v>
      </c>
      <c r="E34" s="2">
        <v>0</v>
      </c>
      <c r="F34" s="2">
        <v>0</v>
      </c>
      <c r="G34" s="2">
        <v>0</v>
      </c>
      <c r="H34" s="2">
        <v>0</v>
      </c>
      <c r="I34" s="2">
        <v>0</v>
      </c>
      <c r="J34" s="2">
        <v>0</v>
      </c>
      <c r="K34" s="2">
        <v>0</v>
      </c>
      <c r="L34" s="2">
        <v>0</v>
      </c>
      <c r="M34" s="2">
        <v>0</v>
      </c>
      <c r="N34" s="2">
        <v>0</v>
      </c>
      <c r="O34" s="2">
        <v>0</v>
      </c>
      <c r="P34" s="2">
        <v>0</v>
      </c>
    </row>
    <row r="35" spans="1:16">
      <c r="A35">
        <v>24</v>
      </c>
      <c r="B35" s="9">
        <v>12.200900000000001</v>
      </c>
      <c r="C35">
        <v>24</v>
      </c>
      <c r="D35" s="2">
        <v>0</v>
      </c>
      <c r="E35" s="2">
        <v>0</v>
      </c>
      <c r="F35" s="2">
        <v>0</v>
      </c>
      <c r="G35" s="2">
        <v>0</v>
      </c>
      <c r="H35" s="2">
        <v>0</v>
      </c>
      <c r="I35" s="2">
        <v>0</v>
      </c>
      <c r="J35" s="2">
        <v>0</v>
      </c>
      <c r="K35" s="2">
        <v>0</v>
      </c>
      <c r="L35" s="2">
        <v>0</v>
      </c>
      <c r="M35" s="2">
        <v>0</v>
      </c>
      <c r="N35" s="2">
        <v>0</v>
      </c>
      <c r="O35" s="2">
        <v>0</v>
      </c>
      <c r="P35" s="2">
        <v>0</v>
      </c>
    </row>
    <row r="36" spans="1:16">
      <c r="A36">
        <v>25</v>
      </c>
      <c r="B36" s="259">
        <v>1.2010000000000001</v>
      </c>
      <c r="C36">
        <v>25</v>
      </c>
      <c r="D36" s="2">
        <v>0</v>
      </c>
      <c r="E36" s="2">
        <v>0</v>
      </c>
      <c r="F36" s="2">
        <v>0</v>
      </c>
      <c r="G36" s="2">
        <v>0</v>
      </c>
      <c r="H36" s="2">
        <v>0</v>
      </c>
      <c r="I36" s="2">
        <v>0</v>
      </c>
      <c r="J36" s="2">
        <v>0</v>
      </c>
      <c r="K36" s="2">
        <v>0</v>
      </c>
      <c r="L36" s="2">
        <v>0</v>
      </c>
      <c r="M36" s="2">
        <v>0</v>
      </c>
      <c r="N36" s="2">
        <v>0</v>
      </c>
      <c r="O36" s="2">
        <v>0</v>
      </c>
      <c r="P36" s="2">
        <v>0</v>
      </c>
    </row>
    <row r="37" spans="1:16">
      <c r="A37">
        <v>26</v>
      </c>
      <c r="B37" s="259">
        <v>2.2010000000000001</v>
      </c>
      <c r="C37">
        <v>26</v>
      </c>
      <c r="D37" s="2">
        <v>0</v>
      </c>
      <c r="E37" s="2">
        <v>0</v>
      </c>
      <c r="F37" s="2">
        <v>0</v>
      </c>
      <c r="G37" s="2">
        <v>0</v>
      </c>
      <c r="H37" s="2">
        <v>0</v>
      </c>
      <c r="I37" s="2">
        <v>0</v>
      </c>
      <c r="J37" s="2">
        <v>0</v>
      </c>
      <c r="K37" s="2">
        <v>0</v>
      </c>
      <c r="L37" s="2">
        <v>0</v>
      </c>
      <c r="M37" s="2">
        <v>0</v>
      </c>
      <c r="N37" s="2">
        <v>0</v>
      </c>
      <c r="O37" s="2">
        <v>0</v>
      </c>
      <c r="P37" s="2">
        <v>0</v>
      </c>
    </row>
    <row r="38" spans="1:16">
      <c r="A38">
        <v>27</v>
      </c>
      <c r="B38" s="259">
        <v>3.2010000000000001</v>
      </c>
      <c r="C38">
        <v>27</v>
      </c>
      <c r="D38" s="2">
        <v>0</v>
      </c>
      <c r="E38" s="2">
        <v>0</v>
      </c>
      <c r="F38" s="2">
        <v>0</v>
      </c>
      <c r="G38" s="2">
        <v>0</v>
      </c>
      <c r="H38" s="2">
        <v>0</v>
      </c>
      <c r="I38" s="2">
        <v>0</v>
      </c>
      <c r="J38" s="2">
        <v>0</v>
      </c>
      <c r="K38" s="2">
        <v>0</v>
      </c>
      <c r="L38" s="2">
        <v>0</v>
      </c>
      <c r="M38" s="2">
        <v>0</v>
      </c>
      <c r="N38" s="2">
        <v>0</v>
      </c>
      <c r="O38" s="2">
        <v>0</v>
      </c>
      <c r="P38" s="2">
        <v>0</v>
      </c>
    </row>
    <row r="39" spans="1:16">
      <c r="A39">
        <v>28</v>
      </c>
      <c r="B39" s="259">
        <v>4.2009999999999996</v>
      </c>
      <c r="C39">
        <v>28</v>
      </c>
      <c r="D39" s="2">
        <v>0</v>
      </c>
      <c r="E39" s="2">
        <v>0</v>
      </c>
      <c r="F39" s="2">
        <v>0</v>
      </c>
      <c r="G39" s="2">
        <v>0</v>
      </c>
      <c r="H39" s="2">
        <v>0</v>
      </c>
      <c r="I39" s="2">
        <v>0</v>
      </c>
      <c r="J39" s="2">
        <v>0</v>
      </c>
      <c r="K39" s="2">
        <v>0</v>
      </c>
      <c r="L39" s="2">
        <v>0</v>
      </c>
      <c r="M39" s="2">
        <v>0</v>
      </c>
      <c r="N39" s="2">
        <v>0</v>
      </c>
      <c r="O39" s="2">
        <v>0</v>
      </c>
      <c r="P39" s="2">
        <v>0</v>
      </c>
    </row>
    <row r="40" spans="1:16">
      <c r="A40">
        <v>29</v>
      </c>
      <c r="B40" s="259">
        <v>5.2009999999999996</v>
      </c>
      <c r="C40">
        <v>29</v>
      </c>
      <c r="D40" s="2">
        <v>0</v>
      </c>
      <c r="E40" s="2">
        <v>0</v>
      </c>
      <c r="F40" s="2">
        <v>0</v>
      </c>
      <c r="G40" s="2">
        <v>0</v>
      </c>
      <c r="H40" s="2">
        <v>0</v>
      </c>
      <c r="I40" s="2">
        <v>0</v>
      </c>
      <c r="J40" s="2">
        <v>0</v>
      </c>
      <c r="K40" s="2">
        <v>0</v>
      </c>
      <c r="L40" s="2">
        <v>0</v>
      </c>
      <c r="M40" s="2">
        <v>0</v>
      </c>
      <c r="N40" s="2">
        <v>0</v>
      </c>
      <c r="O40" s="2">
        <v>0</v>
      </c>
      <c r="P40" s="2">
        <v>0</v>
      </c>
    </row>
    <row r="41" spans="1:16">
      <c r="A41">
        <v>30</v>
      </c>
      <c r="B41" s="259">
        <v>6.2009999999999996</v>
      </c>
      <c r="C41">
        <v>30</v>
      </c>
      <c r="D41" s="2">
        <v>0</v>
      </c>
      <c r="E41" s="2">
        <v>0</v>
      </c>
      <c r="F41" s="2">
        <v>0</v>
      </c>
      <c r="G41" s="2">
        <v>0</v>
      </c>
      <c r="H41" s="2">
        <v>0</v>
      </c>
      <c r="I41" s="2">
        <v>0</v>
      </c>
      <c r="J41" s="2">
        <v>0</v>
      </c>
      <c r="K41" s="2">
        <v>0</v>
      </c>
      <c r="L41" s="2">
        <v>0</v>
      </c>
      <c r="M41" s="2">
        <v>0</v>
      </c>
      <c r="N41" s="2">
        <v>0</v>
      </c>
      <c r="O41" s="2">
        <v>0</v>
      </c>
      <c r="P41" s="2">
        <v>0</v>
      </c>
    </row>
    <row r="42" spans="1:16">
      <c r="A42">
        <v>31</v>
      </c>
      <c r="B42" s="259">
        <v>7.2009999999999996</v>
      </c>
      <c r="C42">
        <v>31</v>
      </c>
      <c r="D42" s="2">
        <v>0</v>
      </c>
      <c r="E42" s="2">
        <v>0</v>
      </c>
      <c r="F42" s="2">
        <v>0</v>
      </c>
      <c r="G42" s="2">
        <v>0</v>
      </c>
      <c r="H42" s="2">
        <v>0</v>
      </c>
      <c r="I42" s="2">
        <v>0</v>
      </c>
      <c r="J42" s="2">
        <v>0</v>
      </c>
      <c r="K42" s="2">
        <v>0</v>
      </c>
      <c r="L42" s="2">
        <v>0</v>
      </c>
      <c r="M42" s="2">
        <v>0</v>
      </c>
      <c r="N42" s="2">
        <v>0</v>
      </c>
      <c r="O42" s="2">
        <v>0</v>
      </c>
      <c r="P42" s="2">
        <v>0</v>
      </c>
    </row>
    <row r="43" spans="1:16">
      <c r="A43">
        <v>32</v>
      </c>
      <c r="B43" s="259">
        <v>8.2010000000000005</v>
      </c>
      <c r="C43">
        <v>32</v>
      </c>
      <c r="D43" s="2">
        <v>0</v>
      </c>
      <c r="E43" s="2">
        <v>0</v>
      </c>
      <c r="F43" s="2">
        <v>0</v>
      </c>
      <c r="G43" s="2">
        <v>0</v>
      </c>
      <c r="H43" s="2">
        <v>0</v>
      </c>
      <c r="I43" s="2">
        <v>0</v>
      </c>
      <c r="J43" s="2">
        <v>0</v>
      </c>
      <c r="K43" s="2">
        <v>0</v>
      </c>
      <c r="L43" s="2">
        <v>0</v>
      </c>
      <c r="M43" s="2">
        <v>0</v>
      </c>
      <c r="N43" s="2">
        <v>0</v>
      </c>
      <c r="O43" s="2">
        <v>0</v>
      </c>
      <c r="P43" s="2">
        <v>0</v>
      </c>
    </row>
    <row r="44" spans="1:16">
      <c r="A44">
        <v>33</v>
      </c>
      <c r="B44" s="259">
        <v>9.2010000000000005</v>
      </c>
      <c r="C44">
        <v>33</v>
      </c>
      <c r="D44" s="2">
        <v>0</v>
      </c>
      <c r="E44" s="2">
        <v>0</v>
      </c>
      <c r="F44" s="2">
        <v>0</v>
      </c>
      <c r="G44" s="2">
        <v>0</v>
      </c>
      <c r="H44" s="2">
        <v>0</v>
      </c>
      <c r="I44" s="2">
        <v>0</v>
      </c>
      <c r="J44" s="2">
        <v>0</v>
      </c>
      <c r="K44" s="2">
        <v>0</v>
      </c>
      <c r="L44" s="2">
        <v>0</v>
      </c>
      <c r="M44" s="2">
        <v>0</v>
      </c>
      <c r="N44" s="2">
        <v>0</v>
      </c>
      <c r="O44" s="2">
        <v>0</v>
      </c>
      <c r="P44" s="2">
        <v>0</v>
      </c>
    </row>
    <row r="45" spans="1:16">
      <c r="A45">
        <v>34</v>
      </c>
      <c r="B45" s="259">
        <v>10.201000000000001</v>
      </c>
      <c r="C45">
        <v>34</v>
      </c>
      <c r="D45" s="2">
        <v>0</v>
      </c>
      <c r="E45" s="2">
        <v>0</v>
      </c>
      <c r="F45" s="2">
        <v>0</v>
      </c>
      <c r="G45" s="2">
        <v>0</v>
      </c>
      <c r="H45" s="2">
        <v>0</v>
      </c>
      <c r="I45" s="2">
        <v>0</v>
      </c>
      <c r="J45" s="2">
        <v>0</v>
      </c>
      <c r="K45" s="2">
        <v>0</v>
      </c>
      <c r="L45" s="2">
        <v>0</v>
      </c>
      <c r="M45" s="2">
        <v>0</v>
      </c>
      <c r="N45" s="2">
        <v>0</v>
      </c>
      <c r="O45" s="2">
        <v>0</v>
      </c>
      <c r="P45" s="2">
        <v>0</v>
      </c>
    </row>
    <row r="46" spans="1:16">
      <c r="A46">
        <v>35</v>
      </c>
      <c r="B46" s="259">
        <v>11.201000000000001</v>
      </c>
      <c r="C46">
        <v>35</v>
      </c>
      <c r="D46" s="2">
        <v>0</v>
      </c>
      <c r="E46" s="2">
        <v>0</v>
      </c>
      <c r="F46" s="2">
        <v>0</v>
      </c>
      <c r="G46" s="2">
        <v>0</v>
      </c>
      <c r="H46" s="2">
        <v>0</v>
      </c>
      <c r="I46" s="2">
        <v>0</v>
      </c>
      <c r="J46" s="2">
        <v>0</v>
      </c>
      <c r="K46" s="2">
        <v>0</v>
      </c>
      <c r="L46" s="2">
        <v>0</v>
      </c>
      <c r="M46" s="2">
        <v>0</v>
      </c>
      <c r="N46" s="2">
        <v>0</v>
      </c>
      <c r="O46" s="2">
        <v>0</v>
      </c>
      <c r="P46" s="2">
        <v>0</v>
      </c>
    </row>
    <row r="47" spans="1:16">
      <c r="A47">
        <v>36</v>
      </c>
      <c r="B47" s="259">
        <v>12.201000000000001</v>
      </c>
      <c r="C47">
        <v>36</v>
      </c>
      <c r="D47" s="2">
        <v>0</v>
      </c>
      <c r="E47" s="2">
        <v>0</v>
      </c>
      <c r="F47" s="2">
        <v>0</v>
      </c>
      <c r="G47" s="2">
        <v>0</v>
      </c>
      <c r="H47" s="2">
        <v>0</v>
      </c>
      <c r="I47" s="2">
        <v>0</v>
      </c>
      <c r="J47" s="2">
        <v>0</v>
      </c>
      <c r="K47" s="2">
        <v>0</v>
      </c>
      <c r="L47" s="2">
        <v>0</v>
      </c>
      <c r="M47" s="2">
        <v>0</v>
      </c>
      <c r="N47" s="2">
        <v>0</v>
      </c>
      <c r="O47" s="2">
        <v>0</v>
      </c>
      <c r="P47" s="2">
        <v>0</v>
      </c>
    </row>
    <row r="48" spans="1:16">
      <c r="A48">
        <v>37</v>
      </c>
      <c r="B48" s="259">
        <v>1.2011000000000001</v>
      </c>
      <c r="C48">
        <v>37</v>
      </c>
      <c r="D48" s="2">
        <v>0</v>
      </c>
      <c r="E48" s="2">
        <v>0</v>
      </c>
      <c r="F48" s="2">
        <v>0</v>
      </c>
      <c r="G48" s="2">
        <v>0</v>
      </c>
      <c r="H48" s="2">
        <v>0</v>
      </c>
      <c r="I48" s="2">
        <v>0</v>
      </c>
      <c r="J48" s="2">
        <v>0</v>
      </c>
      <c r="K48" s="2">
        <v>0</v>
      </c>
      <c r="L48" s="2">
        <v>0</v>
      </c>
      <c r="M48" s="2">
        <v>0</v>
      </c>
      <c r="N48" s="2">
        <v>0</v>
      </c>
      <c r="O48" s="2">
        <v>0</v>
      </c>
      <c r="P48" s="2">
        <v>0</v>
      </c>
    </row>
    <row r="49" spans="1:16">
      <c r="A49">
        <v>38</v>
      </c>
      <c r="B49" s="259">
        <v>2.2010999999999998</v>
      </c>
      <c r="C49">
        <v>38</v>
      </c>
      <c r="D49" s="2">
        <v>0</v>
      </c>
      <c r="E49" s="2">
        <v>0</v>
      </c>
      <c r="F49" s="2">
        <v>0</v>
      </c>
      <c r="G49" s="2">
        <v>0</v>
      </c>
      <c r="H49" s="2">
        <v>0</v>
      </c>
      <c r="I49" s="2">
        <v>0</v>
      </c>
      <c r="J49" s="2">
        <v>0</v>
      </c>
      <c r="K49" s="2">
        <v>0</v>
      </c>
      <c r="L49" s="2">
        <v>0</v>
      </c>
      <c r="M49" s="2">
        <v>0</v>
      </c>
      <c r="N49" s="2">
        <v>0</v>
      </c>
      <c r="O49" s="2">
        <v>0</v>
      </c>
      <c r="P49" s="2">
        <v>0</v>
      </c>
    </row>
    <row r="50" spans="1:16">
      <c r="A50">
        <v>39</v>
      </c>
      <c r="B50" s="259">
        <v>3.2010999999999998</v>
      </c>
      <c r="C50">
        <v>39</v>
      </c>
      <c r="D50" s="2">
        <v>0</v>
      </c>
      <c r="E50" s="2">
        <v>0</v>
      </c>
      <c r="F50" s="2">
        <v>0</v>
      </c>
      <c r="G50" s="2">
        <v>0</v>
      </c>
      <c r="H50" s="2">
        <v>0</v>
      </c>
      <c r="I50" s="2">
        <v>0</v>
      </c>
      <c r="J50" s="2">
        <v>0</v>
      </c>
      <c r="K50" s="2">
        <v>0</v>
      </c>
      <c r="L50" s="2">
        <v>0</v>
      </c>
      <c r="M50" s="2">
        <v>0</v>
      </c>
      <c r="N50" s="2">
        <v>0</v>
      </c>
      <c r="O50" s="2">
        <v>0</v>
      </c>
      <c r="P50" s="2">
        <v>0</v>
      </c>
    </row>
    <row r="51" spans="1:16">
      <c r="A51">
        <v>40</v>
      </c>
      <c r="B51" s="259">
        <v>4.2011000000000003</v>
      </c>
      <c r="C51">
        <v>40</v>
      </c>
      <c r="D51" s="2">
        <v>0</v>
      </c>
      <c r="E51" s="2">
        <v>0</v>
      </c>
      <c r="F51" s="2">
        <v>0</v>
      </c>
      <c r="G51" s="2">
        <v>0</v>
      </c>
      <c r="H51" s="2">
        <v>0</v>
      </c>
      <c r="I51" s="2">
        <v>0</v>
      </c>
      <c r="J51" s="2">
        <v>0</v>
      </c>
      <c r="K51" s="2">
        <v>0</v>
      </c>
      <c r="L51" s="2">
        <v>0</v>
      </c>
      <c r="M51" s="2">
        <v>0</v>
      </c>
      <c r="N51" s="2">
        <v>0</v>
      </c>
      <c r="O51" s="2">
        <v>0</v>
      </c>
      <c r="P51" s="2">
        <v>0</v>
      </c>
    </row>
    <row r="52" spans="1:16">
      <c r="A52">
        <v>41</v>
      </c>
      <c r="B52" s="259">
        <v>5.2011000000000003</v>
      </c>
      <c r="C52">
        <v>41</v>
      </c>
      <c r="D52" s="2">
        <v>0</v>
      </c>
      <c r="E52" s="2">
        <v>0</v>
      </c>
      <c r="F52" s="2">
        <v>0</v>
      </c>
      <c r="G52" s="2">
        <v>0</v>
      </c>
      <c r="H52" s="2">
        <v>0</v>
      </c>
      <c r="I52" s="2">
        <v>0</v>
      </c>
      <c r="J52" s="2">
        <v>0</v>
      </c>
      <c r="K52" s="2">
        <v>0</v>
      </c>
      <c r="L52" s="2">
        <v>0</v>
      </c>
      <c r="M52" s="2">
        <v>0</v>
      </c>
      <c r="N52" s="2">
        <v>0</v>
      </c>
      <c r="O52" s="2">
        <v>0</v>
      </c>
      <c r="P52" s="2">
        <v>0</v>
      </c>
    </row>
    <row r="53" spans="1:16">
      <c r="A53">
        <v>42</v>
      </c>
      <c r="B53" s="259">
        <v>6.2011000000000003</v>
      </c>
      <c r="C53">
        <v>42</v>
      </c>
      <c r="D53" s="2">
        <v>0</v>
      </c>
      <c r="E53" s="2">
        <v>0</v>
      </c>
      <c r="F53" s="2">
        <v>0</v>
      </c>
      <c r="G53" s="2">
        <v>0</v>
      </c>
      <c r="H53" s="2">
        <v>0</v>
      </c>
      <c r="I53" s="2">
        <v>0</v>
      </c>
      <c r="J53" s="2">
        <v>0</v>
      </c>
      <c r="K53" s="2">
        <v>0</v>
      </c>
      <c r="L53" s="2">
        <v>0</v>
      </c>
      <c r="M53" s="2">
        <v>0</v>
      </c>
      <c r="N53" s="2">
        <v>0</v>
      </c>
      <c r="O53" s="2">
        <v>0</v>
      </c>
      <c r="P53" s="2">
        <v>0</v>
      </c>
    </row>
    <row r="54" spans="1:16">
      <c r="A54">
        <v>43</v>
      </c>
      <c r="B54" s="259">
        <v>7.2011000000000003</v>
      </c>
      <c r="C54">
        <v>43</v>
      </c>
      <c r="D54" s="2">
        <v>0</v>
      </c>
      <c r="E54" s="2">
        <v>0</v>
      </c>
      <c r="F54" s="2">
        <v>0</v>
      </c>
      <c r="G54" s="2">
        <v>0</v>
      </c>
      <c r="H54" s="2">
        <v>0</v>
      </c>
      <c r="I54" s="2">
        <v>0</v>
      </c>
      <c r="J54" s="2">
        <v>0</v>
      </c>
      <c r="K54" s="2">
        <v>0</v>
      </c>
      <c r="L54" s="2">
        <v>0</v>
      </c>
      <c r="M54" s="2">
        <v>0</v>
      </c>
      <c r="N54" s="2">
        <v>0</v>
      </c>
      <c r="O54" s="2">
        <v>0</v>
      </c>
      <c r="P54" s="2">
        <v>0</v>
      </c>
    </row>
    <row r="55" spans="1:16">
      <c r="A55">
        <v>44</v>
      </c>
      <c r="B55" s="259">
        <v>8.2011000000000003</v>
      </c>
      <c r="C55">
        <v>44</v>
      </c>
      <c r="D55" s="2">
        <v>0</v>
      </c>
      <c r="E55" s="2">
        <v>0</v>
      </c>
      <c r="F55" s="2">
        <v>0</v>
      </c>
      <c r="G55" s="2">
        <v>0</v>
      </c>
      <c r="H55" s="2">
        <v>0</v>
      </c>
      <c r="I55" s="2">
        <v>0</v>
      </c>
      <c r="J55" s="2">
        <v>0</v>
      </c>
      <c r="K55" s="2">
        <v>0</v>
      </c>
      <c r="L55" s="2">
        <v>0</v>
      </c>
      <c r="M55" s="2">
        <v>0</v>
      </c>
      <c r="N55" s="2">
        <v>0</v>
      </c>
      <c r="O55" s="2">
        <v>0</v>
      </c>
      <c r="P55" s="2">
        <v>0</v>
      </c>
    </row>
    <row r="56" spans="1:16">
      <c r="A56">
        <v>45</v>
      </c>
      <c r="B56" s="259">
        <v>9.2011000000000003</v>
      </c>
      <c r="C56">
        <v>45</v>
      </c>
      <c r="D56" s="2">
        <v>0</v>
      </c>
      <c r="E56" s="2">
        <v>0</v>
      </c>
      <c r="F56" s="2">
        <v>0</v>
      </c>
      <c r="G56" s="2">
        <v>0</v>
      </c>
      <c r="H56" s="2">
        <v>0</v>
      </c>
      <c r="I56" s="2">
        <v>0</v>
      </c>
      <c r="J56" s="2">
        <v>0</v>
      </c>
      <c r="K56" s="2">
        <v>0</v>
      </c>
      <c r="L56" s="2">
        <v>0</v>
      </c>
      <c r="M56" s="2">
        <v>0</v>
      </c>
      <c r="N56" s="2">
        <v>0</v>
      </c>
      <c r="O56" s="2">
        <v>0</v>
      </c>
      <c r="P56" s="2">
        <v>0</v>
      </c>
    </row>
    <row r="57" spans="1:16">
      <c r="A57">
        <v>46</v>
      </c>
      <c r="B57" s="259">
        <v>10.2011</v>
      </c>
      <c r="C57">
        <v>46</v>
      </c>
      <c r="D57" s="2">
        <v>0</v>
      </c>
      <c r="E57" s="2">
        <v>0</v>
      </c>
      <c r="F57" s="2">
        <v>0</v>
      </c>
      <c r="G57" s="2">
        <v>0</v>
      </c>
      <c r="H57" s="2">
        <v>0</v>
      </c>
      <c r="I57" s="2">
        <v>0</v>
      </c>
      <c r="J57" s="2">
        <v>0</v>
      </c>
      <c r="K57" s="2">
        <v>0</v>
      </c>
      <c r="L57" s="2">
        <v>0</v>
      </c>
      <c r="M57" s="2">
        <v>0</v>
      </c>
      <c r="N57" s="2">
        <v>0</v>
      </c>
      <c r="O57" s="2">
        <v>0</v>
      </c>
      <c r="P57" s="2">
        <v>0</v>
      </c>
    </row>
    <row r="58" spans="1:16">
      <c r="A58">
        <v>47</v>
      </c>
      <c r="B58" s="259">
        <v>11.2011</v>
      </c>
      <c r="C58">
        <v>47</v>
      </c>
      <c r="D58" s="2">
        <v>0</v>
      </c>
      <c r="E58" s="2">
        <v>0</v>
      </c>
      <c r="F58" s="2">
        <v>0</v>
      </c>
      <c r="G58" s="2">
        <v>0</v>
      </c>
      <c r="H58" s="2">
        <v>0</v>
      </c>
      <c r="I58" s="2">
        <v>0</v>
      </c>
      <c r="J58" s="2">
        <v>0</v>
      </c>
      <c r="K58" s="2">
        <v>0</v>
      </c>
      <c r="L58" s="2">
        <v>0</v>
      </c>
      <c r="M58" s="2">
        <v>0</v>
      </c>
      <c r="N58" s="2">
        <v>0</v>
      </c>
      <c r="O58" s="2">
        <v>0</v>
      </c>
      <c r="P58" s="2">
        <v>0</v>
      </c>
    </row>
    <row r="59" spans="1:16">
      <c r="A59">
        <v>48</v>
      </c>
      <c r="B59" s="259">
        <v>12.2011</v>
      </c>
      <c r="C59">
        <v>48</v>
      </c>
      <c r="D59" s="2">
        <v>0</v>
      </c>
      <c r="E59" s="2">
        <v>0</v>
      </c>
      <c r="F59" s="2">
        <v>0</v>
      </c>
      <c r="G59" s="2">
        <v>0</v>
      </c>
      <c r="H59" s="2">
        <v>0</v>
      </c>
      <c r="I59" s="2">
        <v>0</v>
      </c>
      <c r="J59" s="2">
        <v>0</v>
      </c>
      <c r="K59" s="2">
        <v>0</v>
      </c>
      <c r="L59" s="2">
        <v>0</v>
      </c>
      <c r="M59" s="2">
        <v>0</v>
      </c>
      <c r="N59" s="2">
        <v>0</v>
      </c>
      <c r="O59" s="2">
        <v>0</v>
      </c>
      <c r="P59" s="2">
        <v>0</v>
      </c>
    </row>
    <row r="60" spans="1:16">
      <c r="A60">
        <v>49</v>
      </c>
      <c r="B60" s="259">
        <v>1.2012</v>
      </c>
      <c r="C60">
        <v>49</v>
      </c>
      <c r="D60" s="2">
        <v>0</v>
      </c>
      <c r="E60" s="2">
        <v>0</v>
      </c>
      <c r="F60" s="2">
        <v>0</v>
      </c>
      <c r="G60" s="2">
        <v>0</v>
      </c>
      <c r="H60" s="2">
        <v>0</v>
      </c>
      <c r="I60" s="2">
        <v>0</v>
      </c>
      <c r="J60" s="2">
        <v>0</v>
      </c>
      <c r="K60" s="2">
        <v>0</v>
      </c>
      <c r="L60" s="2">
        <v>0</v>
      </c>
      <c r="M60" s="2">
        <v>0</v>
      </c>
      <c r="N60" s="2">
        <v>0</v>
      </c>
      <c r="O60" s="2">
        <v>0</v>
      </c>
      <c r="P60" s="2">
        <v>0</v>
      </c>
    </row>
    <row r="61" spans="1:16">
      <c r="A61">
        <v>50</v>
      </c>
      <c r="B61" s="259">
        <v>2.2012</v>
      </c>
      <c r="C61">
        <v>50</v>
      </c>
      <c r="D61" s="2">
        <v>0</v>
      </c>
      <c r="E61" s="2">
        <v>0</v>
      </c>
      <c r="F61" s="2">
        <v>0</v>
      </c>
      <c r="G61" s="2">
        <v>0</v>
      </c>
      <c r="H61" s="2">
        <v>0</v>
      </c>
      <c r="I61" s="2">
        <v>0</v>
      </c>
      <c r="J61" s="2">
        <v>0</v>
      </c>
      <c r="K61" s="2">
        <v>0</v>
      </c>
      <c r="L61" s="2">
        <v>0</v>
      </c>
      <c r="M61" s="2">
        <v>0</v>
      </c>
      <c r="N61" s="2">
        <v>0</v>
      </c>
      <c r="O61" s="2">
        <v>0</v>
      </c>
      <c r="P61" s="2">
        <v>0</v>
      </c>
    </row>
    <row r="62" spans="1:16">
      <c r="A62">
        <v>51</v>
      </c>
      <c r="B62" s="259">
        <v>3.2012</v>
      </c>
      <c r="C62">
        <v>51</v>
      </c>
      <c r="D62" s="2">
        <v>0</v>
      </c>
      <c r="E62" s="2">
        <v>0</v>
      </c>
      <c r="F62" s="2">
        <v>0</v>
      </c>
      <c r="G62" s="2">
        <v>0</v>
      </c>
      <c r="H62" s="2">
        <v>0</v>
      </c>
      <c r="I62" s="2">
        <v>0</v>
      </c>
      <c r="J62" s="2">
        <v>0</v>
      </c>
      <c r="K62" s="2">
        <v>0</v>
      </c>
      <c r="L62" s="2">
        <v>0</v>
      </c>
      <c r="M62" s="2">
        <v>0</v>
      </c>
      <c r="N62" s="2">
        <v>0</v>
      </c>
      <c r="O62" s="2">
        <v>0</v>
      </c>
      <c r="P62" s="2">
        <v>0</v>
      </c>
    </row>
    <row r="63" spans="1:16">
      <c r="A63">
        <v>52</v>
      </c>
      <c r="B63" s="259">
        <v>4.2012</v>
      </c>
      <c r="C63">
        <v>52</v>
      </c>
      <c r="D63" s="2">
        <v>0</v>
      </c>
      <c r="E63" s="2">
        <v>0</v>
      </c>
      <c r="F63" s="2">
        <v>0</v>
      </c>
      <c r="G63" s="2">
        <v>0</v>
      </c>
      <c r="H63" s="2">
        <v>0</v>
      </c>
      <c r="I63" s="2">
        <v>0</v>
      </c>
      <c r="J63" s="2">
        <v>0</v>
      </c>
      <c r="K63" s="2">
        <v>0</v>
      </c>
      <c r="L63" s="2">
        <v>0</v>
      </c>
      <c r="M63" s="2">
        <v>0</v>
      </c>
      <c r="N63" s="2">
        <v>0</v>
      </c>
      <c r="O63" s="2">
        <v>0</v>
      </c>
      <c r="P63" s="2">
        <v>0</v>
      </c>
    </row>
    <row r="64" spans="1:16">
      <c r="A64">
        <v>53</v>
      </c>
      <c r="B64" s="259">
        <v>5.2012</v>
      </c>
      <c r="C64">
        <v>53</v>
      </c>
      <c r="D64" s="2">
        <v>0</v>
      </c>
      <c r="E64" s="2">
        <v>0</v>
      </c>
      <c r="F64" s="2">
        <v>0</v>
      </c>
      <c r="G64" s="2">
        <v>0</v>
      </c>
      <c r="H64" s="2">
        <v>0</v>
      </c>
      <c r="I64" s="2">
        <v>0</v>
      </c>
      <c r="J64" s="2">
        <v>0</v>
      </c>
      <c r="K64" s="2">
        <v>0</v>
      </c>
      <c r="L64" s="2">
        <v>0</v>
      </c>
      <c r="M64" s="2">
        <v>0</v>
      </c>
      <c r="N64" s="2">
        <v>0</v>
      </c>
      <c r="O64" s="2">
        <v>0</v>
      </c>
      <c r="P64" s="2">
        <v>0</v>
      </c>
    </row>
    <row r="65" spans="1:16">
      <c r="A65">
        <v>54</v>
      </c>
      <c r="B65" s="259">
        <v>6.2012</v>
      </c>
      <c r="C65">
        <v>54</v>
      </c>
      <c r="D65" s="2">
        <v>0</v>
      </c>
      <c r="E65" s="2">
        <v>0</v>
      </c>
      <c r="F65" s="2">
        <v>0</v>
      </c>
      <c r="G65" s="2">
        <v>0</v>
      </c>
      <c r="H65" s="2">
        <v>0</v>
      </c>
      <c r="I65" s="2">
        <v>0</v>
      </c>
      <c r="J65" s="2">
        <v>0</v>
      </c>
      <c r="K65" s="2">
        <v>0</v>
      </c>
      <c r="L65" s="2">
        <v>0</v>
      </c>
      <c r="M65" s="2">
        <v>0</v>
      </c>
      <c r="N65" s="2">
        <v>0</v>
      </c>
      <c r="O65" s="2">
        <v>0</v>
      </c>
      <c r="P65" s="2">
        <v>0</v>
      </c>
    </row>
    <row r="66" spans="1:16">
      <c r="A66">
        <v>55</v>
      </c>
      <c r="B66" s="259">
        <v>7.2012</v>
      </c>
      <c r="C66">
        <v>55</v>
      </c>
      <c r="D66" s="2">
        <v>0</v>
      </c>
      <c r="E66" s="2">
        <v>0</v>
      </c>
      <c r="F66" s="2">
        <v>0</v>
      </c>
      <c r="G66" s="2">
        <v>0</v>
      </c>
      <c r="H66" s="2">
        <v>0</v>
      </c>
      <c r="I66" s="2">
        <v>0</v>
      </c>
      <c r="J66" s="2">
        <v>0</v>
      </c>
      <c r="K66" s="2">
        <v>0</v>
      </c>
      <c r="L66" s="2">
        <v>0</v>
      </c>
      <c r="M66" s="2">
        <v>0</v>
      </c>
      <c r="N66" s="2">
        <v>0</v>
      </c>
      <c r="O66" s="2">
        <v>0</v>
      </c>
      <c r="P66" s="2">
        <v>0</v>
      </c>
    </row>
    <row r="67" spans="1:16">
      <c r="A67">
        <v>56</v>
      </c>
      <c r="B67" s="259">
        <v>8.2012</v>
      </c>
      <c r="C67">
        <v>56</v>
      </c>
      <c r="D67" s="2">
        <v>0</v>
      </c>
      <c r="E67" s="2">
        <v>0</v>
      </c>
      <c r="F67" s="2">
        <v>0</v>
      </c>
      <c r="G67" s="2">
        <v>0</v>
      </c>
      <c r="H67" s="2">
        <v>0</v>
      </c>
      <c r="I67" s="2">
        <v>0</v>
      </c>
      <c r="J67" s="2">
        <v>0</v>
      </c>
      <c r="K67" s="2">
        <v>0</v>
      </c>
      <c r="L67" s="2">
        <v>0</v>
      </c>
      <c r="M67" s="2">
        <v>0</v>
      </c>
      <c r="N67" s="2">
        <v>0</v>
      </c>
      <c r="O67" s="2">
        <v>0</v>
      </c>
      <c r="P67" s="2">
        <v>0</v>
      </c>
    </row>
    <row r="68" spans="1:16">
      <c r="A68">
        <v>57</v>
      </c>
      <c r="B68" s="259">
        <v>9.2012</v>
      </c>
      <c r="C68">
        <v>57</v>
      </c>
      <c r="D68" s="2">
        <v>0</v>
      </c>
      <c r="E68" s="2">
        <v>0</v>
      </c>
      <c r="F68" s="2">
        <v>0</v>
      </c>
      <c r="G68" s="2">
        <v>0</v>
      </c>
      <c r="H68" s="2">
        <v>0</v>
      </c>
      <c r="I68" s="2">
        <v>0</v>
      </c>
      <c r="J68" s="2">
        <v>0</v>
      </c>
      <c r="K68" s="2">
        <v>0</v>
      </c>
      <c r="L68" s="2">
        <v>0</v>
      </c>
      <c r="M68" s="2">
        <v>0</v>
      </c>
      <c r="N68" s="2">
        <v>0</v>
      </c>
      <c r="O68" s="2">
        <v>0</v>
      </c>
      <c r="P68" s="2">
        <v>0</v>
      </c>
    </row>
    <row r="69" spans="1:16">
      <c r="A69">
        <v>58</v>
      </c>
      <c r="B69" s="259">
        <v>10.2012</v>
      </c>
      <c r="C69">
        <v>58</v>
      </c>
      <c r="D69" s="2">
        <v>0</v>
      </c>
      <c r="E69" s="2">
        <v>0</v>
      </c>
      <c r="F69" s="2">
        <v>0</v>
      </c>
      <c r="G69" s="2">
        <v>0</v>
      </c>
      <c r="H69" s="2">
        <v>0</v>
      </c>
      <c r="I69" s="2">
        <v>0</v>
      </c>
      <c r="J69" s="2">
        <v>0</v>
      </c>
      <c r="K69" s="2">
        <v>0</v>
      </c>
      <c r="L69" s="2">
        <v>0</v>
      </c>
      <c r="M69" s="2">
        <v>0</v>
      </c>
      <c r="N69" s="2">
        <v>0</v>
      </c>
      <c r="O69" s="2">
        <v>0</v>
      </c>
      <c r="P69" s="2">
        <v>0</v>
      </c>
    </row>
    <row r="70" spans="1:16">
      <c r="A70">
        <v>59</v>
      </c>
      <c r="B70" s="259">
        <v>11.2012</v>
      </c>
      <c r="C70">
        <v>59</v>
      </c>
      <c r="D70" s="2">
        <v>0</v>
      </c>
      <c r="E70" s="2">
        <v>0</v>
      </c>
      <c r="F70" s="2">
        <v>0</v>
      </c>
      <c r="G70" s="2">
        <v>0</v>
      </c>
      <c r="H70" s="2">
        <v>0</v>
      </c>
      <c r="I70" s="2">
        <v>0</v>
      </c>
      <c r="J70" s="2">
        <v>0</v>
      </c>
      <c r="K70" s="2">
        <v>0</v>
      </c>
      <c r="L70" s="2">
        <v>0</v>
      </c>
      <c r="M70" s="2">
        <v>0</v>
      </c>
      <c r="N70" s="2">
        <v>0</v>
      </c>
      <c r="O70" s="2">
        <v>0</v>
      </c>
      <c r="P70" s="2">
        <v>0</v>
      </c>
    </row>
    <row r="71" spans="1:16">
      <c r="A71">
        <v>60</v>
      </c>
      <c r="B71" s="259">
        <v>12.2012</v>
      </c>
      <c r="C71">
        <v>60</v>
      </c>
      <c r="D71" s="2">
        <v>0</v>
      </c>
      <c r="E71" s="2">
        <v>0</v>
      </c>
      <c r="F71" s="2">
        <v>0</v>
      </c>
      <c r="G71" s="2">
        <v>0</v>
      </c>
      <c r="H71" s="2">
        <v>0</v>
      </c>
      <c r="I71" s="2">
        <v>0</v>
      </c>
      <c r="J71" s="2">
        <v>0</v>
      </c>
      <c r="K71" s="2">
        <v>0</v>
      </c>
      <c r="L71" s="2">
        <v>0</v>
      </c>
      <c r="M71" s="2">
        <v>0</v>
      </c>
      <c r="N71" s="2">
        <v>0</v>
      </c>
      <c r="O71" s="2">
        <v>0</v>
      </c>
      <c r="P71" s="2">
        <v>0</v>
      </c>
    </row>
    <row r="72" spans="1:16">
      <c r="A72">
        <v>61</v>
      </c>
      <c r="B72" s="259">
        <v>1.2013</v>
      </c>
      <c r="C72">
        <v>61</v>
      </c>
      <c r="D72" s="2">
        <v>0</v>
      </c>
      <c r="E72" s="2">
        <v>0</v>
      </c>
      <c r="F72" s="2">
        <v>0</v>
      </c>
      <c r="G72" s="2">
        <v>0</v>
      </c>
      <c r="H72" s="2">
        <v>0</v>
      </c>
      <c r="I72" s="2">
        <v>0</v>
      </c>
      <c r="J72" s="2">
        <v>0</v>
      </c>
      <c r="K72" s="2">
        <v>0</v>
      </c>
      <c r="L72" s="2">
        <v>0</v>
      </c>
      <c r="M72" s="2">
        <v>0</v>
      </c>
      <c r="N72" s="2">
        <v>0</v>
      </c>
      <c r="O72" s="2">
        <v>0</v>
      </c>
      <c r="P72" s="2">
        <v>0</v>
      </c>
    </row>
    <row r="73" spans="1:16">
      <c r="A73">
        <v>62</v>
      </c>
      <c r="B73" s="259">
        <v>2.2012999999999998</v>
      </c>
      <c r="C73">
        <v>62</v>
      </c>
      <c r="D73" s="2">
        <v>0</v>
      </c>
      <c r="E73" s="2">
        <v>0</v>
      </c>
      <c r="F73" s="2">
        <v>0</v>
      </c>
      <c r="G73" s="2">
        <v>0</v>
      </c>
      <c r="H73" s="2">
        <v>0</v>
      </c>
      <c r="I73" s="2">
        <v>0</v>
      </c>
      <c r="J73" s="2">
        <v>0</v>
      </c>
      <c r="K73" s="2">
        <v>0</v>
      </c>
      <c r="L73" s="2">
        <v>0</v>
      </c>
      <c r="M73" s="2">
        <v>0</v>
      </c>
      <c r="N73" s="2">
        <v>0</v>
      </c>
      <c r="O73" s="2">
        <v>0</v>
      </c>
      <c r="P73" s="2">
        <v>0</v>
      </c>
    </row>
    <row r="74" spans="1:16">
      <c r="A74">
        <v>63</v>
      </c>
      <c r="B74" s="259">
        <v>3.2012999999999998</v>
      </c>
      <c r="C74">
        <v>63</v>
      </c>
      <c r="D74" s="2">
        <v>0</v>
      </c>
      <c r="E74" s="2">
        <v>0</v>
      </c>
      <c r="F74" s="2">
        <v>0</v>
      </c>
      <c r="G74" s="2">
        <v>0</v>
      </c>
      <c r="H74" s="2">
        <v>0</v>
      </c>
      <c r="I74" s="2">
        <v>0</v>
      </c>
      <c r="J74" s="2">
        <v>0</v>
      </c>
      <c r="K74" s="2">
        <v>0</v>
      </c>
      <c r="L74" s="2">
        <v>0</v>
      </c>
      <c r="M74" s="2">
        <v>0</v>
      </c>
      <c r="N74" s="2">
        <v>0</v>
      </c>
      <c r="O74" s="2">
        <v>0</v>
      </c>
      <c r="P74" s="2">
        <v>0</v>
      </c>
    </row>
    <row r="75" spans="1:16">
      <c r="A75">
        <v>64</v>
      </c>
      <c r="B75" s="259">
        <v>4.2012999999999998</v>
      </c>
      <c r="C75">
        <v>64</v>
      </c>
      <c r="D75" s="2">
        <v>0</v>
      </c>
      <c r="E75" s="2">
        <v>0</v>
      </c>
      <c r="F75" s="2">
        <v>0</v>
      </c>
      <c r="G75" s="2">
        <v>0</v>
      </c>
      <c r="H75" s="2">
        <v>0</v>
      </c>
      <c r="I75" s="2">
        <v>0</v>
      </c>
      <c r="J75" s="2">
        <v>0</v>
      </c>
      <c r="K75" s="2">
        <v>0</v>
      </c>
      <c r="L75" s="2">
        <v>0</v>
      </c>
      <c r="M75" s="2">
        <v>0</v>
      </c>
      <c r="N75" s="2">
        <v>0</v>
      </c>
      <c r="O75" s="2">
        <v>0</v>
      </c>
      <c r="P75" s="2">
        <v>0</v>
      </c>
    </row>
    <row r="76" spans="1:16">
      <c r="A76">
        <v>65</v>
      </c>
      <c r="B76" s="259">
        <v>5.2012999999999998</v>
      </c>
      <c r="C76">
        <v>65</v>
      </c>
      <c r="D76" s="2">
        <v>0</v>
      </c>
      <c r="E76" s="2">
        <v>0</v>
      </c>
      <c r="F76" s="2">
        <v>0</v>
      </c>
      <c r="G76" s="2">
        <v>0</v>
      </c>
      <c r="H76" s="2">
        <v>0</v>
      </c>
      <c r="I76" s="2">
        <v>0</v>
      </c>
      <c r="J76" s="2">
        <v>0</v>
      </c>
      <c r="K76" s="2">
        <v>0</v>
      </c>
      <c r="L76" s="2">
        <v>0</v>
      </c>
      <c r="M76" s="2">
        <v>0</v>
      </c>
      <c r="N76" s="2">
        <v>0</v>
      </c>
      <c r="O76" s="2">
        <v>0</v>
      </c>
      <c r="P76" s="2">
        <v>0</v>
      </c>
    </row>
    <row r="77" spans="1:16">
      <c r="A77">
        <v>66</v>
      </c>
      <c r="B77" s="259">
        <v>6.2012999999999998</v>
      </c>
      <c r="C77">
        <v>66</v>
      </c>
      <c r="D77" s="2">
        <v>0</v>
      </c>
      <c r="E77" s="2">
        <v>0</v>
      </c>
      <c r="F77" s="2">
        <v>0</v>
      </c>
      <c r="G77" s="2">
        <v>0</v>
      </c>
      <c r="H77" s="2">
        <v>0</v>
      </c>
      <c r="I77" s="2">
        <v>0</v>
      </c>
      <c r="J77" s="2">
        <v>0</v>
      </c>
      <c r="K77" s="2">
        <v>0</v>
      </c>
      <c r="L77" s="2">
        <v>0</v>
      </c>
      <c r="M77" s="2">
        <v>0</v>
      </c>
      <c r="N77" s="2">
        <v>0</v>
      </c>
      <c r="O77" s="2">
        <v>0</v>
      </c>
      <c r="P77" s="2">
        <v>0</v>
      </c>
    </row>
    <row r="78" spans="1:16">
      <c r="A78">
        <v>67</v>
      </c>
      <c r="B78" s="259">
        <v>7.2012999999999998</v>
      </c>
      <c r="C78">
        <v>67</v>
      </c>
      <c r="D78" s="2">
        <v>0</v>
      </c>
      <c r="E78" s="2">
        <v>0</v>
      </c>
      <c r="F78" s="2">
        <v>0</v>
      </c>
      <c r="G78" s="2">
        <v>0</v>
      </c>
      <c r="H78" s="2">
        <v>0</v>
      </c>
      <c r="I78" s="2">
        <v>0</v>
      </c>
      <c r="J78" s="2">
        <v>0</v>
      </c>
      <c r="K78" s="2">
        <v>0</v>
      </c>
      <c r="L78" s="2">
        <v>0</v>
      </c>
      <c r="M78" s="2">
        <v>0</v>
      </c>
      <c r="N78" s="2">
        <v>0</v>
      </c>
      <c r="O78" s="2">
        <v>0</v>
      </c>
      <c r="P78" s="2">
        <v>0</v>
      </c>
    </row>
    <row r="79" spans="1:16">
      <c r="A79">
        <v>68</v>
      </c>
      <c r="B79" s="259">
        <v>8.2012999999999998</v>
      </c>
      <c r="C79">
        <v>68</v>
      </c>
      <c r="D79" s="2">
        <v>0</v>
      </c>
      <c r="E79" s="2">
        <v>0</v>
      </c>
      <c r="F79" s="2">
        <v>0</v>
      </c>
      <c r="G79" s="2">
        <v>0</v>
      </c>
      <c r="H79" s="2">
        <v>0</v>
      </c>
      <c r="I79" s="2">
        <v>0</v>
      </c>
      <c r="J79" s="2">
        <v>0</v>
      </c>
      <c r="K79" s="2">
        <v>0</v>
      </c>
      <c r="L79" s="2">
        <v>0</v>
      </c>
      <c r="M79" s="2">
        <v>0</v>
      </c>
      <c r="N79" s="2">
        <v>0</v>
      </c>
      <c r="O79" s="2">
        <v>0</v>
      </c>
      <c r="P79" s="2">
        <v>0</v>
      </c>
    </row>
    <row r="80" spans="1:16">
      <c r="A80">
        <v>69</v>
      </c>
      <c r="B80" s="259">
        <v>9.2012999999999998</v>
      </c>
      <c r="C80">
        <v>69</v>
      </c>
      <c r="D80" s="2">
        <v>0</v>
      </c>
      <c r="E80" s="2">
        <v>0</v>
      </c>
      <c r="F80" s="2">
        <v>0</v>
      </c>
      <c r="G80" s="2">
        <v>0</v>
      </c>
      <c r="H80" s="2">
        <v>0</v>
      </c>
      <c r="I80" s="2">
        <v>0</v>
      </c>
      <c r="J80" s="2">
        <v>0</v>
      </c>
      <c r="K80" s="2">
        <v>0</v>
      </c>
      <c r="L80" s="2">
        <v>0</v>
      </c>
      <c r="M80" s="2">
        <v>0</v>
      </c>
      <c r="N80" s="2">
        <v>0</v>
      </c>
      <c r="O80" s="2">
        <v>0</v>
      </c>
      <c r="P80" s="2">
        <v>0</v>
      </c>
    </row>
    <row r="81" spans="1:16">
      <c r="A81">
        <v>70</v>
      </c>
      <c r="B81" s="259">
        <v>10.2013</v>
      </c>
      <c r="C81">
        <v>70</v>
      </c>
      <c r="D81" s="2">
        <v>0</v>
      </c>
      <c r="E81" s="2">
        <v>0</v>
      </c>
      <c r="F81" s="2">
        <v>0</v>
      </c>
      <c r="G81" s="2">
        <v>0</v>
      </c>
      <c r="H81" s="2">
        <v>0</v>
      </c>
      <c r="I81" s="2">
        <v>0</v>
      </c>
      <c r="J81" s="2">
        <v>0</v>
      </c>
      <c r="K81" s="2">
        <v>0</v>
      </c>
      <c r="L81" s="2">
        <v>0</v>
      </c>
      <c r="M81" s="2">
        <v>0</v>
      </c>
      <c r="N81" s="2">
        <v>0</v>
      </c>
      <c r="O81" s="2">
        <v>0</v>
      </c>
      <c r="P81" s="2">
        <v>0</v>
      </c>
    </row>
    <row r="82" spans="1:16">
      <c r="A82">
        <v>71</v>
      </c>
      <c r="B82" s="259">
        <v>11.2013</v>
      </c>
      <c r="C82">
        <v>71</v>
      </c>
      <c r="D82" s="2">
        <v>0</v>
      </c>
      <c r="E82" s="2">
        <v>0</v>
      </c>
      <c r="F82" s="2">
        <v>0</v>
      </c>
      <c r="G82" s="2">
        <v>0</v>
      </c>
      <c r="H82" s="2">
        <v>0</v>
      </c>
      <c r="I82" s="2">
        <v>0</v>
      </c>
      <c r="J82" s="2">
        <v>0</v>
      </c>
      <c r="K82" s="2">
        <v>0</v>
      </c>
      <c r="L82" s="2">
        <v>0</v>
      </c>
      <c r="M82" s="2">
        <v>0</v>
      </c>
      <c r="N82" s="2">
        <v>0</v>
      </c>
      <c r="O82" s="2">
        <v>0</v>
      </c>
      <c r="P82" s="2">
        <v>0</v>
      </c>
    </row>
    <row r="83" spans="1:16">
      <c r="A83">
        <v>72</v>
      </c>
      <c r="B83" s="259">
        <v>12.2013</v>
      </c>
      <c r="C83">
        <v>72</v>
      </c>
      <c r="D83" s="2">
        <v>0</v>
      </c>
      <c r="E83" s="2">
        <v>0</v>
      </c>
      <c r="F83" s="2">
        <v>0</v>
      </c>
      <c r="G83" s="2">
        <v>0</v>
      </c>
      <c r="H83" s="2">
        <v>0</v>
      </c>
      <c r="I83" s="2">
        <v>0</v>
      </c>
      <c r="J83" s="2">
        <v>0</v>
      </c>
      <c r="K83" s="2">
        <v>0</v>
      </c>
      <c r="L83" s="2">
        <v>0</v>
      </c>
      <c r="M83" s="2">
        <v>0</v>
      </c>
      <c r="N83" s="2">
        <v>0</v>
      </c>
      <c r="O83" s="2">
        <v>0</v>
      </c>
      <c r="P83" s="2">
        <v>0</v>
      </c>
    </row>
    <row r="84" spans="1:16">
      <c r="A84">
        <v>73</v>
      </c>
      <c r="B84" s="259">
        <v>1.2014</v>
      </c>
      <c r="C84">
        <v>73</v>
      </c>
      <c r="D84" s="2">
        <v>0</v>
      </c>
      <c r="E84" s="2">
        <v>0</v>
      </c>
      <c r="F84" s="2">
        <v>0</v>
      </c>
      <c r="G84" s="2">
        <v>0</v>
      </c>
      <c r="H84" s="2">
        <v>0</v>
      </c>
      <c r="I84" s="2">
        <v>0</v>
      </c>
      <c r="J84" s="2">
        <v>0</v>
      </c>
      <c r="K84" s="2">
        <v>0</v>
      </c>
      <c r="L84" s="2">
        <v>0</v>
      </c>
      <c r="M84" s="2">
        <v>0</v>
      </c>
      <c r="N84" s="2">
        <v>0</v>
      </c>
      <c r="O84" s="2">
        <v>0</v>
      </c>
      <c r="P84" s="2">
        <v>0</v>
      </c>
    </row>
    <row r="85" spans="1:16">
      <c r="A85">
        <v>74</v>
      </c>
      <c r="B85" s="259">
        <v>2.2014</v>
      </c>
      <c r="C85">
        <v>74</v>
      </c>
      <c r="D85" s="2">
        <v>0</v>
      </c>
      <c r="E85" s="2">
        <v>0</v>
      </c>
      <c r="F85" s="2">
        <v>0</v>
      </c>
      <c r="G85" s="2">
        <v>0</v>
      </c>
      <c r="H85" s="2">
        <v>0</v>
      </c>
      <c r="I85" s="2">
        <v>0</v>
      </c>
      <c r="J85" s="2">
        <v>0</v>
      </c>
      <c r="K85" s="2">
        <v>0</v>
      </c>
      <c r="L85" s="2">
        <v>0</v>
      </c>
      <c r="M85" s="2">
        <v>0</v>
      </c>
      <c r="N85" s="2">
        <v>0</v>
      </c>
      <c r="O85" s="2">
        <v>0</v>
      </c>
      <c r="P85" s="2">
        <v>0</v>
      </c>
    </row>
    <row r="86" spans="1:16">
      <c r="A86">
        <v>75</v>
      </c>
      <c r="B86" s="259">
        <v>3.2014</v>
      </c>
      <c r="C86">
        <v>75</v>
      </c>
      <c r="D86" s="2">
        <v>0</v>
      </c>
      <c r="E86" s="2">
        <v>0</v>
      </c>
      <c r="F86" s="2">
        <v>0</v>
      </c>
      <c r="G86" s="2">
        <v>0</v>
      </c>
      <c r="H86" s="2">
        <v>0</v>
      </c>
      <c r="I86" s="2">
        <v>0</v>
      </c>
      <c r="J86" s="2">
        <v>0</v>
      </c>
      <c r="K86" s="2">
        <v>0</v>
      </c>
      <c r="L86" s="2">
        <v>0</v>
      </c>
      <c r="M86" s="2">
        <v>0</v>
      </c>
      <c r="N86" s="2">
        <v>0</v>
      </c>
      <c r="O86" s="2">
        <v>0</v>
      </c>
      <c r="P86" s="2">
        <v>0</v>
      </c>
    </row>
    <row r="87" spans="1:16">
      <c r="A87">
        <v>76</v>
      </c>
      <c r="B87" s="259">
        <v>4.2013999999999996</v>
      </c>
      <c r="C87">
        <v>76</v>
      </c>
      <c r="D87" s="2">
        <v>0</v>
      </c>
      <c r="E87" s="2">
        <v>0</v>
      </c>
      <c r="F87" s="2">
        <v>0</v>
      </c>
      <c r="G87" s="2">
        <v>0</v>
      </c>
      <c r="H87" s="2">
        <v>0</v>
      </c>
      <c r="I87" s="2">
        <v>0</v>
      </c>
      <c r="J87" s="2">
        <v>0</v>
      </c>
      <c r="K87" s="2">
        <v>0</v>
      </c>
      <c r="L87" s="2">
        <v>0</v>
      </c>
      <c r="M87" s="2">
        <v>0</v>
      </c>
      <c r="N87" s="2">
        <v>0</v>
      </c>
      <c r="O87" s="2">
        <v>0</v>
      </c>
      <c r="P87" s="2">
        <v>0</v>
      </c>
    </row>
    <row r="88" spans="1:16">
      <c r="A88">
        <v>77</v>
      </c>
      <c r="B88" s="259">
        <v>5.2013999999999996</v>
      </c>
      <c r="C88">
        <v>77</v>
      </c>
      <c r="D88" s="2">
        <v>0</v>
      </c>
      <c r="E88" s="2">
        <v>0</v>
      </c>
      <c r="F88" s="2">
        <v>0</v>
      </c>
      <c r="G88" s="2">
        <v>0</v>
      </c>
      <c r="H88" s="2">
        <v>0</v>
      </c>
      <c r="I88" s="2">
        <v>0</v>
      </c>
      <c r="J88" s="2">
        <v>0</v>
      </c>
      <c r="K88" s="2">
        <v>0</v>
      </c>
      <c r="L88" s="2">
        <v>0</v>
      </c>
      <c r="M88" s="2">
        <v>0</v>
      </c>
      <c r="N88" s="2">
        <v>0</v>
      </c>
      <c r="O88" s="2">
        <v>0</v>
      </c>
      <c r="P88" s="2">
        <v>0</v>
      </c>
    </row>
    <row r="89" spans="1:16">
      <c r="A89">
        <v>78</v>
      </c>
      <c r="B89" s="259">
        <v>6.2013999999999996</v>
      </c>
      <c r="C89">
        <v>78</v>
      </c>
      <c r="D89" s="2">
        <v>0</v>
      </c>
      <c r="E89" s="2">
        <v>0</v>
      </c>
      <c r="F89" s="2">
        <v>0</v>
      </c>
      <c r="G89" s="2">
        <v>0</v>
      </c>
      <c r="H89" s="2">
        <v>0</v>
      </c>
      <c r="I89" s="2">
        <v>0</v>
      </c>
      <c r="J89" s="2">
        <v>0</v>
      </c>
      <c r="K89" s="2">
        <v>0</v>
      </c>
      <c r="L89" s="2">
        <v>0</v>
      </c>
      <c r="M89" s="2">
        <v>0</v>
      </c>
      <c r="N89" s="2">
        <v>0</v>
      </c>
      <c r="O89" s="2">
        <v>0</v>
      </c>
      <c r="P89" s="2">
        <v>0</v>
      </c>
    </row>
    <row r="90" spans="1:16">
      <c r="A90">
        <v>79</v>
      </c>
      <c r="B90" s="259">
        <v>7.2013999999999996</v>
      </c>
      <c r="C90">
        <v>79</v>
      </c>
      <c r="D90" s="2">
        <v>0</v>
      </c>
      <c r="E90" s="2">
        <v>0</v>
      </c>
      <c r="F90" s="2">
        <v>0</v>
      </c>
      <c r="G90" s="2">
        <v>0</v>
      </c>
      <c r="H90" s="2">
        <v>0</v>
      </c>
      <c r="I90" s="2">
        <v>0</v>
      </c>
      <c r="J90" s="2">
        <v>0</v>
      </c>
      <c r="K90" s="2">
        <v>0</v>
      </c>
      <c r="L90" s="2">
        <v>0</v>
      </c>
      <c r="M90" s="2">
        <v>0</v>
      </c>
      <c r="N90" s="2">
        <v>0</v>
      </c>
      <c r="O90" s="2">
        <v>0</v>
      </c>
      <c r="P90" s="2">
        <v>0</v>
      </c>
    </row>
    <row r="91" spans="1:16">
      <c r="A91">
        <v>80</v>
      </c>
      <c r="B91" s="259">
        <v>8.2013999999999996</v>
      </c>
      <c r="C91">
        <v>80</v>
      </c>
      <c r="D91" s="2">
        <v>0</v>
      </c>
      <c r="E91" s="2">
        <v>0</v>
      </c>
      <c r="F91" s="2">
        <v>0</v>
      </c>
      <c r="G91" s="2">
        <v>0</v>
      </c>
      <c r="H91" s="2">
        <v>0</v>
      </c>
      <c r="I91" s="2">
        <v>0</v>
      </c>
      <c r="J91" s="2">
        <v>0</v>
      </c>
      <c r="K91" s="2">
        <v>0</v>
      </c>
      <c r="L91" s="2">
        <v>0</v>
      </c>
      <c r="M91" s="2">
        <v>0</v>
      </c>
      <c r="N91" s="2">
        <v>0</v>
      </c>
      <c r="O91" s="2">
        <v>0</v>
      </c>
      <c r="P91" s="2">
        <v>0</v>
      </c>
    </row>
    <row r="92" spans="1:16">
      <c r="A92">
        <v>81</v>
      </c>
      <c r="B92" s="259">
        <v>9.2013999999999996</v>
      </c>
      <c r="C92">
        <v>81</v>
      </c>
      <c r="D92" s="2">
        <v>0</v>
      </c>
      <c r="E92" s="2">
        <v>0</v>
      </c>
      <c r="F92" s="2">
        <v>0</v>
      </c>
      <c r="G92" s="2">
        <v>0</v>
      </c>
      <c r="H92" s="2">
        <v>0</v>
      </c>
      <c r="I92" s="2">
        <v>0</v>
      </c>
      <c r="J92" s="2">
        <v>0</v>
      </c>
      <c r="K92" s="2">
        <v>0</v>
      </c>
      <c r="L92" s="2">
        <v>0</v>
      </c>
      <c r="M92" s="2">
        <v>0</v>
      </c>
      <c r="N92" s="2">
        <v>0</v>
      </c>
      <c r="O92" s="2">
        <v>0</v>
      </c>
      <c r="P92" s="2">
        <v>0</v>
      </c>
    </row>
    <row r="93" spans="1:16">
      <c r="A93">
        <v>82</v>
      </c>
      <c r="B93" s="259">
        <v>10.2014</v>
      </c>
      <c r="C93">
        <v>82</v>
      </c>
      <c r="D93" s="2">
        <v>0</v>
      </c>
      <c r="E93" s="2">
        <v>0</v>
      </c>
      <c r="F93" s="2">
        <v>0</v>
      </c>
      <c r="G93" s="2">
        <v>0</v>
      </c>
      <c r="H93" s="2">
        <v>0</v>
      </c>
      <c r="I93" s="2">
        <v>0</v>
      </c>
      <c r="J93" s="2">
        <v>0</v>
      </c>
      <c r="K93" s="2">
        <v>0</v>
      </c>
      <c r="L93" s="2">
        <v>0</v>
      </c>
      <c r="M93" s="2">
        <v>0</v>
      </c>
      <c r="N93" s="2">
        <v>0</v>
      </c>
      <c r="O93" s="2">
        <v>0</v>
      </c>
      <c r="P93" s="2">
        <v>0</v>
      </c>
    </row>
    <row r="94" spans="1:16">
      <c r="A94">
        <v>83</v>
      </c>
      <c r="B94" s="259">
        <v>11.2014</v>
      </c>
      <c r="C94">
        <v>83</v>
      </c>
      <c r="D94" s="2">
        <v>0</v>
      </c>
      <c r="E94" s="2">
        <v>0</v>
      </c>
      <c r="F94" s="2">
        <v>0</v>
      </c>
      <c r="G94" s="2">
        <v>0</v>
      </c>
      <c r="H94" s="2">
        <v>0</v>
      </c>
      <c r="I94" s="2">
        <v>0</v>
      </c>
      <c r="J94" s="2">
        <v>0</v>
      </c>
      <c r="K94" s="2">
        <v>0</v>
      </c>
      <c r="L94" s="2">
        <v>0</v>
      </c>
      <c r="M94" s="2">
        <v>0</v>
      </c>
      <c r="N94" s="2">
        <v>0</v>
      </c>
      <c r="O94" s="2">
        <v>0</v>
      </c>
      <c r="P94" s="2">
        <v>0</v>
      </c>
    </row>
    <row r="95" spans="1:16">
      <c r="A95">
        <v>84</v>
      </c>
      <c r="B95" s="259">
        <v>12.2014</v>
      </c>
      <c r="C95">
        <v>84</v>
      </c>
      <c r="D95" s="2">
        <v>0</v>
      </c>
      <c r="E95" s="2">
        <v>0</v>
      </c>
      <c r="F95" s="2">
        <v>0</v>
      </c>
      <c r="G95" s="2">
        <v>0</v>
      </c>
      <c r="H95" s="2">
        <v>0</v>
      </c>
      <c r="I95" s="2">
        <v>0</v>
      </c>
      <c r="J95" s="2">
        <v>0</v>
      </c>
      <c r="K95" s="2">
        <v>0</v>
      </c>
      <c r="L95" s="2">
        <v>0</v>
      </c>
      <c r="M95" s="2">
        <v>0</v>
      </c>
      <c r="N95" s="2">
        <v>0</v>
      </c>
      <c r="O95" s="2">
        <v>0</v>
      </c>
      <c r="P95" s="2">
        <v>0</v>
      </c>
    </row>
    <row r="96" spans="1:16">
      <c r="A96">
        <v>85</v>
      </c>
      <c r="B96" s="259">
        <v>1.2015</v>
      </c>
      <c r="C96">
        <v>85</v>
      </c>
      <c r="D96" s="2">
        <v>0</v>
      </c>
      <c r="E96" s="2">
        <v>0</v>
      </c>
      <c r="F96" s="2">
        <v>0</v>
      </c>
      <c r="G96" s="2">
        <v>0</v>
      </c>
      <c r="H96" s="2">
        <v>0</v>
      </c>
      <c r="I96" s="2">
        <v>0</v>
      </c>
      <c r="J96" s="2">
        <v>0</v>
      </c>
      <c r="K96" s="2">
        <v>0</v>
      </c>
      <c r="L96" s="2">
        <v>0</v>
      </c>
      <c r="M96" s="2">
        <v>0</v>
      </c>
      <c r="N96" s="2">
        <v>0</v>
      </c>
      <c r="O96" s="2">
        <v>0</v>
      </c>
      <c r="P96" s="2">
        <v>0</v>
      </c>
    </row>
    <row r="97" spans="1:16">
      <c r="A97">
        <v>86</v>
      </c>
      <c r="B97" s="259">
        <v>2.2014999999999998</v>
      </c>
      <c r="C97">
        <v>86</v>
      </c>
      <c r="D97" s="2">
        <v>0</v>
      </c>
      <c r="E97" s="2">
        <v>0</v>
      </c>
      <c r="F97" s="2">
        <v>0</v>
      </c>
      <c r="G97" s="2">
        <v>0</v>
      </c>
      <c r="H97" s="2">
        <v>0</v>
      </c>
      <c r="I97" s="2">
        <v>0</v>
      </c>
      <c r="J97" s="2">
        <v>0</v>
      </c>
      <c r="K97" s="2">
        <v>0</v>
      </c>
      <c r="L97" s="2">
        <v>0</v>
      </c>
      <c r="M97" s="2">
        <v>0</v>
      </c>
      <c r="N97" s="2">
        <v>0</v>
      </c>
      <c r="O97" s="2">
        <v>0</v>
      </c>
      <c r="P97" s="2">
        <v>0</v>
      </c>
    </row>
    <row r="98" spans="1:16">
      <c r="A98">
        <v>87</v>
      </c>
      <c r="B98" s="259">
        <v>3.2014999999999998</v>
      </c>
      <c r="C98">
        <v>87</v>
      </c>
      <c r="D98" s="2">
        <v>0</v>
      </c>
      <c r="E98" s="2">
        <v>0</v>
      </c>
      <c r="F98" s="2">
        <v>0</v>
      </c>
      <c r="G98" s="2">
        <v>0</v>
      </c>
      <c r="H98" s="2">
        <v>0</v>
      </c>
      <c r="I98" s="2">
        <v>0</v>
      </c>
      <c r="J98" s="2">
        <v>0</v>
      </c>
      <c r="K98" s="2">
        <v>0</v>
      </c>
      <c r="L98" s="2">
        <v>0</v>
      </c>
      <c r="M98" s="2">
        <v>0</v>
      </c>
      <c r="N98" s="2">
        <v>0</v>
      </c>
      <c r="O98" s="2">
        <v>0</v>
      </c>
      <c r="P98" s="2">
        <v>0</v>
      </c>
    </row>
    <row r="99" spans="1:16">
      <c r="A99">
        <v>88</v>
      </c>
      <c r="B99" s="259">
        <v>4.2015000000000002</v>
      </c>
      <c r="C99">
        <v>88</v>
      </c>
      <c r="D99" s="2">
        <v>0</v>
      </c>
      <c r="E99" s="2">
        <v>0</v>
      </c>
      <c r="F99" s="2">
        <v>0</v>
      </c>
      <c r="G99" s="2">
        <v>0</v>
      </c>
      <c r="H99" s="2">
        <v>0</v>
      </c>
      <c r="I99" s="2">
        <v>0</v>
      </c>
      <c r="J99" s="2">
        <v>0</v>
      </c>
      <c r="K99" s="2">
        <v>0</v>
      </c>
      <c r="L99" s="2">
        <v>0</v>
      </c>
      <c r="M99" s="2">
        <v>0</v>
      </c>
      <c r="N99" s="2">
        <v>0</v>
      </c>
      <c r="O99" s="2">
        <v>0</v>
      </c>
      <c r="P99" s="2">
        <v>0</v>
      </c>
    </row>
    <row r="100" spans="1:16">
      <c r="A100">
        <v>89</v>
      </c>
      <c r="B100" s="259">
        <v>5.2015000000000002</v>
      </c>
      <c r="C100">
        <v>89</v>
      </c>
      <c r="D100" s="2">
        <v>0</v>
      </c>
      <c r="E100" s="2">
        <v>0</v>
      </c>
      <c r="F100" s="2">
        <v>0</v>
      </c>
      <c r="G100" s="2">
        <v>0</v>
      </c>
      <c r="H100" s="2">
        <v>0</v>
      </c>
      <c r="I100" s="2">
        <v>0</v>
      </c>
      <c r="J100" s="2">
        <v>0</v>
      </c>
      <c r="K100" s="2">
        <v>0</v>
      </c>
      <c r="L100" s="2">
        <v>0</v>
      </c>
      <c r="M100" s="2">
        <v>0</v>
      </c>
      <c r="N100" s="2">
        <v>0</v>
      </c>
      <c r="O100" s="2">
        <v>0</v>
      </c>
      <c r="P100" s="2">
        <v>0</v>
      </c>
    </row>
    <row r="101" spans="1:16">
      <c r="A101">
        <v>90</v>
      </c>
      <c r="B101" s="259">
        <v>6.2015000000000002</v>
      </c>
      <c r="C101">
        <v>90</v>
      </c>
      <c r="D101" s="2">
        <v>0</v>
      </c>
      <c r="E101" s="2">
        <v>0</v>
      </c>
      <c r="F101" s="2">
        <v>0</v>
      </c>
      <c r="G101" s="2">
        <v>0</v>
      </c>
      <c r="H101" s="2">
        <v>0</v>
      </c>
      <c r="I101" s="2">
        <v>0</v>
      </c>
      <c r="J101" s="2">
        <v>0</v>
      </c>
      <c r="K101" s="2">
        <v>0</v>
      </c>
      <c r="L101" s="2">
        <v>0</v>
      </c>
      <c r="M101" s="2">
        <v>0</v>
      </c>
      <c r="N101" s="2">
        <v>0</v>
      </c>
      <c r="O101" s="2">
        <v>0</v>
      </c>
      <c r="P101" s="2">
        <v>0</v>
      </c>
    </row>
    <row r="102" spans="1:16">
      <c r="A102">
        <v>91</v>
      </c>
      <c r="B102" s="259">
        <v>7.2015000000000002</v>
      </c>
      <c r="C102">
        <v>91</v>
      </c>
      <c r="D102" s="2">
        <v>0</v>
      </c>
      <c r="E102" s="2">
        <v>0</v>
      </c>
      <c r="F102" s="2">
        <v>0</v>
      </c>
      <c r="G102" s="2">
        <v>0</v>
      </c>
      <c r="H102" s="2">
        <v>0</v>
      </c>
      <c r="I102" s="2">
        <v>0</v>
      </c>
      <c r="J102" s="2">
        <v>0</v>
      </c>
      <c r="K102" s="2">
        <v>0</v>
      </c>
      <c r="L102" s="2">
        <v>0</v>
      </c>
      <c r="M102" s="2">
        <v>0</v>
      </c>
      <c r="N102" s="2">
        <v>0</v>
      </c>
      <c r="O102" s="2">
        <v>0</v>
      </c>
      <c r="P102" s="2">
        <v>0</v>
      </c>
    </row>
    <row r="103" spans="1:16">
      <c r="A103">
        <v>92</v>
      </c>
      <c r="B103" s="259">
        <v>8.2014999999999993</v>
      </c>
      <c r="C103">
        <v>92</v>
      </c>
      <c r="D103" s="2">
        <v>0</v>
      </c>
      <c r="E103" s="2">
        <v>0</v>
      </c>
      <c r="F103" s="2">
        <v>0</v>
      </c>
      <c r="G103" s="2">
        <v>0</v>
      </c>
      <c r="H103" s="2">
        <v>0</v>
      </c>
      <c r="I103" s="2">
        <v>0</v>
      </c>
      <c r="J103" s="2">
        <v>0</v>
      </c>
      <c r="K103" s="2">
        <v>0</v>
      </c>
      <c r="L103" s="2">
        <v>0</v>
      </c>
      <c r="M103" s="2">
        <v>0</v>
      </c>
      <c r="N103" s="2">
        <v>0</v>
      </c>
      <c r="O103" s="2">
        <v>0</v>
      </c>
      <c r="P103" s="2">
        <v>0</v>
      </c>
    </row>
    <row r="104" spans="1:16">
      <c r="A104">
        <v>93</v>
      </c>
      <c r="B104" s="259">
        <v>9.2014999999999993</v>
      </c>
      <c r="C104">
        <v>93</v>
      </c>
      <c r="D104" s="2">
        <v>0</v>
      </c>
      <c r="E104" s="2">
        <v>0</v>
      </c>
      <c r="F104" s="2">
        <v>0</v>
      </c>
      <c r="G104" s="2">
        <v>0</v>
      </c>
      <c r="H104" s="2">
        <v>0</v>
      </c>
      <c r="I104" s="2">
        <v>0</v>
      </c>
      <c r="J104" s="2">
        <v>0</v>
      </c>
      <c r="K104" s="2">
        <v>0</v>
      </c>
      <c r="L104" s="2">
        <v>0</v>
      </c>
      <c r="M104" s="2">
        <v>0</v>
      </c>
      <c r="N104" s="2">
        <v>0</v>
      </c>
      <c r="O104" s="2">
        <v>0</v>
      </c>
      <c r="P104" s="2">
        <v>0</v>
      </c>
    </row>
    <row r="105" spans="1:16">
      <c r="A105">
        <v>94</v>
      </c>
      <c r="B105" s="259">
        <v>10.201499999999999</v>
      </c>
      <c r="C105">
        <v>94</v>
      </c>
      <c r="D105" s="2">
        <v>0</v>
      </c>
      <c r="E105" s="2">
        <v>0</v>
      </c>
      <c r="F105" s="2">
        <v>0</v>
      </c>
      <c r="G105" s="2">
        <v>0</v>
      </c>
      <c r="H105" s="2">
        <v>0</v>
      </c>
      <c r="I105" s="2">
        <v>0</v>
      </c>
      <c r="J105" s="2">
        <v>0</v>
      </c>
      <c r="K105" s="2">
        <v>0</v>
      </c>
      <c r="L105" s="2">
        <v>0</v>
      </c>
      <c r="M105" s="2">
        <v>0</v>
      </c>
      <c r="N105" s="2">
        <v>0</v>
      </c>
      <c r="O105" s="2">
        <v>0</v>
      </c>
      <c r="P105" s="2">
        <v>0</v>
      </c>
    </row>
    <row r="106" spans="1:16">
      <c r="A106">
        <v>95</v>
      </c>
      <c r="B106" s="259">
        <v>11.201499999999999</v>
      </c>
      <c r="C106">
        <v>95</v>
      </c>
      <c r="D106" s="2">
        <v>0</v>
      </c>
      <c r="E106" s="2">
        <v>0</v>
      </c>
      <c r="F106" s="2">
        <v>0</v>
      </c>
      <c r="G106" s="2">
        <v>0</v>
      </c>
      <c r="H106" s="2">
        <v>0</v>
      </c>
      <c r="I106" s="2">
        <v>0</v>
      </c>
      <c r="J106" s="2">
        <v>0</v>
      </c>
      <c r="K106" s="2">
        <v>0</v>
      </c>
      <c r="L106" s="2">
        <v>0</v>
      </c>
      <c r="M106" s="2">
        <v>0</v>
      </c>
      <c r="N106" s="2">
        <v>0</v>
      </c>
      <c r="O106" s="2">
        <v>0</v>
      </c>
      <c r="P106" s="2">
        <v>0</v>
      </c>
    </row>
    <row r="107" spans="1:16">
      <c r="A107">
        <v>96</v>
      </c>
      <c r="B107" s="259">
        <v>12.201499999999999</v>
      </c>
      <c r="C107">
        <v>96</v>
      </c>
      <c r="D107" s="2">
        <v>0</v>
      </c>
      <c r="E107" s="2">
        <v>0</v>
      </c>
      <c r="F107" s="2">
        <v>0</v>
      </c>
      <c r="G107" s="2">
        <v>0</v>
      </c>
      <c r="H107" s="2">
        <v>0</v>
      </c>
      <c r="I107" s="2">
        <v>0</v>
      </c>
      <c r="J107" s="2">
        <v>0</v>
      </c>
      <c r="K107" s="2">
        <v>0</v>
      </c>
      <c r="L107" s="2">
        <v>0</v>
      </c>
      <c r="M107" s="2">
        <v>0</v>
      </c>
      <c r="N107" s="2">
        <v>0</v>
      </c>
      <c r="O107" s="2">
        <v>0</v>
      </c>
      <c r="P107" s="2">
        <v>0</v>
      </c>
    </row>
    <row r="108" spans="1:16">
      <c r="A108">
        <v>97</v>
      </c>
      <c r="B108" s="259">
        <v>1.2016</v>
      </c>
      <c r="C108">
        <v>97</v>
      </c>
      <c r="D108" s="2">
        <v>0</v>
      </c>
      <c r="E108" s="2">
        <v>0</v>
      </c>
      <c r="F108" s="2">
        <v>0</v>
      </c>
      <c r="G108" s="2">
        <v>0</v>
      </c>
      <c r="H108" s="2">
        <v>0</v>
      </c>
      <c r="I108" s="2">
        <v>0</v>
      </c>
      <c r="J108" s="2">
        <v>0</v>
      </c>
      <c r="K108" s="2">
        <v>0</v>
      </c>
      <c r="L108" s="2">
        <v>0</v>
      </c>
      <c r="M108" s="2">
        <v>0</v>
      </c>
      <c r="N108" s="2">
        <v>0</v>
      </c>
      <c r="O108" s="2">
        <v>0</v>
      </c>
      <c r="P108" s="2">
        <v>0</v>
      </c>
    </row>
    <row r="109" spans="1:16">
      <c r="A109">
        <v>98</v>
      </c>
      <c r="B109" s="259">
        <v>2.2016</v>
      </c>
      <c r="C109">
        <v>98</v>
      </c>
      <c r="D109" s="2">
        <v>0</v>
      </c>
      <c r="E109" s="2">
        <v>0</v>
      </c>
      <c r="F109" s="2">
        <v>0</v>
      </c>
      <c r="G109" s="2">
        <v>0</v>
      </c>
      <c r="H109" s="2">
        <v>0</v>
      </c>
      <c r="I109" s="2">
        <v>0</v>
      </c>
      <c r="J109" s="2">
        <v>0</v>
      </c>
      <c r="K109" s="2">
        <v>0</v>
      </c>
      <c r="L109" s="2">
        <v>0</v>
      </c>
      <c r="M109" s="2">
        <v>0</v>
      </c>
      <c r="N109" s="2">
        <v>0</v>
      </c>
      <c r="O109" s="2">
        <v>0</v>
      </c>
      <c r="P109" s="2">
        <v>0</v>
      </c>
    </row>
    <row r="110" spans="1:16">
      <c r="A110">
        <v>99</v>
      </c>
      <c r="B110" s="259">
        <v>3.2016</v>
      </c>
      <c r="C110">
        <v>99</v>
      </c>
      <c r="D110" s="2">
        <v>0</v>
      </c>
      <c r="E110" s="2">
        <v>0</v>
      </c>
      <c r="F110" s="2">
        <v>0</v>
      </c>
      <c r="G110" s="2">
        <v>0</v>
      </c>
      <c r="H110" s="2">
        <v>0</v>
      </c>
      <c r="I110" s="2">
        <v>0</v>
      </c>
      <c r="J110" s="2">
        <v>0</v>
      </c>
      <c r="K110" s="2">
        <v>0</v>
      </c>
      <c r="L110" s="2">
        <v>0</v>
      </c>
      <c r="M110" s="2">
        <v>0</v>
      </c>
      <c r="N110" s="2">
        <v>0</v>
      </c>
      <c r="O110" s="2">
        <v>0</v>
      </c>
      <c r="P110" s="2">
        <v>0</v>
      </c>
    </row>
    <row r="111" spans="1:16">
      <c r="A111">
        <v>100</v>
      </c>
      <c r="B111" s="259">
        <v>4.2016</v>
      </c>
      <c r="C111">
        <v>100</v>
      </c>
      <c r="D111" s="2">
        <v>0</v>
      </c>
      <c r="E111" s="2">
        <v>0</v>
      </c>
      <c r="F111" s="2">
        <v>0</v>
      </c>
      <c r="G111" s="2">
        <v>0</v>
      </c>
      <c r="H111" s="2">
        <v>0</v>
      </c>
      <c r="I111" s="2">
        <v>0</v>
      </c>
      <c r="J111" s="2">
        <v>0</v>
      </c>
      <c r="K111" s="2">
        <v>0</v>
      </c>
      <c r="L111" s="2">
        <v>0</v>
      </c>
      <c r="M111" s="2">
        <v>0</v>
      </c>
      <c r="N111" s="2">
        <v>0</v>
      </c>
      <c r="O111" s="2">
        <v>0</v>
      </c>
      <c r="P111" s="2">
        <v>0</v>
      </c>
    </row>
    <row r="112" spans="1:16">
      <c r="A112">
        <v>101</v>
      </c>
      <c r="B112" s="259">
        <v>5.2016</v>
      </c>
      <c r="C112">
        <v>101</v>
      </c>
      <c r="D112" s="2">
        <v>0</v>
      </c>
      <c r="E112" s="2">
        <v>0</v>
      </c>
      <c r="F112" s="2">
        <v>0</v>
      </c>
      <c r="G112" s="2">
        <v>0</v>
      </c>
      <c r="H112" s="2">
        <v>0</v>
      </c>
      <c r="I112" s="2">
        <v>0</v>
      </c>
      <c r="J112" s="2">
        <v>0</v>
      </c>
      <c r="K112" s="2">
        <v>0</v>
      </c>
      <c r="L112" s="2">
        <v>0</v>
      </c>
      <c r="M112" s="2">
        <v>0</v>
      </c>
      <c r="N112" s="2">
        <v>0</v>
      </c>
      <c r="O112" s="2">
        <v>0</v>
      </c>
      <c r="P112" s="2">
        <v>0</v>
      </c>
    </row>
    <row r="113" spans="1:16">
      <c r="A113">
        <v>102</v>
      </c>
      <c r="B113" s="259">
        <v>6.2016</v>
      </c>
      <c r="C113">
        <v>102</v>
      </c>
      <c r="D113" s="2">
        <v>0</v>
      </c>
      <c r="E113" s="2">
        <v>0</v>
      </c>
      <c r="F113" s="2">
        <v>0</v>
      </c>
      <c r="G113" s="2">
        <v>0</v>
      </c>
      <c r="H113" s="2">
        <v>0</v>
      </c>
      <c r="I113" s="2">
        <v>0</v>
      </c>
      <c r="J113" s="2">
        <v>0</v>
      </c>
      <c r="K113" s="2">
        <v>0</v>
      </c>
      <c r="L113" s="2">
        <v>0</v>
      </c>
      <c r="M113" s="2">
        <v>0</v>
      </c>
      <c r="N113" s="2">
        <v>0</v>
      </c>
      <c r="O113" s="2">
        <v>0</v>
      </c>
      <c r="P113" s="2">
        <v>0</v>
      </c>
    </row>
    <row r="114" spans="1:16">
      <c r="A114">
        <v>103</v>
      </c>
      <c r="B114" s="259">
        <v>7.2016</v>
      </c>
      <c r="C114">
        <v>103</v>
      </c>
      <c r="D114" s="2">
        <v>66.88</v>
      </c>
      <c r="F114" s="2">
        <v>0</v>
      </c>
      <c r="J114" s="2">
        <v>0</v>
      </c>
      <c r="K114" s="2">
        <v>0</v>
      </c>
      <c r="M114" s="2">
        <v>0</v>
      </c>
      <c r="N114" s="2">
        <v>84.84</v>
      </c>
    </row>
    <row r="115" spans="1:16">
      <c r="A115">
        <v>104</v>
      </c>
      <c r="B115" s="259">
        <v>8.2015999999999991</v>
      </c>
      <c r="C115">
        <v>104</v>
      </c>
      <c r="D115" s="2">
        <v>66.88</v>
      </c>
      <c r="F115" s="2">
        <v>0</v>
      </c>
      <c r="J115" s="2">
        <v>0</v>
      </c>
      <c r="K115" s="2">
        <v>0</v>
      </c>
      <c r="M115" s="2">
        <v>0</v>
      </c>
      <c r="N115" s="2">
        <v>84.84</v>
      </c>
    </row>
    <row r="116" spans="1:16">
      <c r="A116">
        <v>105</v>
      </c>
      <c r="B116" s="259">
        <v>9.2015999999999991</v>
      </c>
      <c r="C116">
        <v>105</v>
      </c>
      <c r="D116" s="2">
        <v>66.88</v>
      </c>
      <c r="F116" s="2">
        <v>0</v>
      </c>
      <c r="J116" s="2">
        <v>0</v>
      </c>
      <c r="K116" s="2">
        <v>0</v>
      </c>
      <c r="M116" s="2">
        <v>0</v>
      </c>
      <c r="N116" s="2">
        <v>84.84</v>
      </c>
    </row>
    <row r="117" spans="1:16">
      <c r="A117">
        <v>106</v>
      </c>
      <c r="B117" s="259">
        <v>10.201599999999999</v>
      </c>
      <c r="C117">
        <v>106</v>
      </c>
      <c r="D117" s="2">
        <v>66.88</v>
      </c>
      <c r="F117" s="2">
        <v>0</v>
      </c>
      <c r="J117" s="2">
        <v>0</v>
      </c>
      <c r="K117" s="2">
        <v>0</v>
      </c>
      <c r="M117" s="2">
        <v>0</v>
      </c>
      <c r="N117" s="2">
        <v>84.84</v>
      </c>
    </row>
    <row r="118" spans="1:16">
      <c r="A118">
        <v>107</v>
      </c>
      <c r="B118" s="259">
        <v>11.201599999999999</v>
      </c>
      <c r="C118">
        <v>107</v>
      </c>
      <c r="D118" s="2">
        <v>66.88</v>
      </c>
      <c r="F118" s="2">
        <v>0</v>
      </c>
      <c r="J118" s="2">
        <v>0</v>
      </c>
      <c r="K118" s="2">
        <v>0</v>
      </c>
      <c r="M118" s="2">
        <v>0</v>
      </c>
      <c r="N118" s="2">
        <v>84.84</v>
      </c>
    </row>
    <row r="119" spans="1:16">
      <c r="A119">
        <v>108</v>
      </c>
      <c r="B119" s="259">
        <v>12.201599999999999</v>
      </c>
      <c r="C119">
        <v>108</v>
      </c>
      <c r="D119" s="2">
        <v>66.88</v>
      </c>
      <c r="F119" s="2">
        <v>0</v>
      </c>
      <c r="J119" s="2">
        <v>0</v>
      </c>
      <c r="K119" s="2">
        <v>0</v>
      </c>
      <c r="M119" s="2">
        <v>0</v>
      </c>
      <c r="N119" s="2">
        <v>84.84</v>
      </c>
    </row>
    <row r="120" spans="1:16">
      <c r="A120">
        <v>109</v>
      </c>
      <c r="B120" s="259">
        <v>1.2017</v>
      </c>
      <c r="C120">
        <v>109</v>
      </c>
      <c r="D120" s="2">
        <v>66.88</v>
      </c>
      <c r="F120" s="2">
        <v>0</v>
      </c>
      <c r="J120" s="2">
        <v>0</v>
      </c>
      <c r="K120" s="2">
        <v>0</v>
      </c>
      <c r="M120" s="2">
        <v>0</v>
      </c>
      <c r="N120" s="2">
        <v>84.84</v>
      </c>
    </row>
    <row r="121" spans="1:16">
      <c r="A121">
        <v>110</v>
      </c>
      <c r="B121" s="259">
        <v>2.2017000000000002</v>
      </c>
      <c r="C121">
        <v>110</v>
      </c>
      <c r="D121" s="2">
        <v>66.88</v>
      </c>
      <c r="F121" s="2">
        <v>0</v>
      </c>
      <c r="J121" s="2">
        <v>0</v>
      </c>
      <c r="K121" s="2">
        <v>0</v>
      </c>
      <c r="M121" s="2">
        <v>0</v>
      </c>
      <c r="N121" s="2">
        <v>84.84</v>
      </c>
    </row>
    <row r="122" spans="1:16">
      <c r="A122">
        <v>111</v>
      </c>
      <c r="B122" s="259">
        <v>3.2017000000000002</v>
      </c>
      <c r="C122">
        <v>111</v>
      </c>
      <c r="D122" s="2">
        <v>102.72</v>
      </c>
      <c r="F122" s="2">
        <v>0</v>
      </c>
      <c r="J122" s="2">
        <v>0</v>
      </c>
      <c r="K122" s="2">
        <v>0</v>
      </c>
      <c r="M122" s="2">
        <v>0</v>
      </c>
      <c r="N122" s="2">
        <v>125.37</v>
      </c>
    </row>
    <row r="123" spans="1:16">
      <c r="A123">
        <v>112</v>
      </c>
      <c r="B123" s="259">
        <v>4.2016999999999998</v>
      </c>
      <c r="C123">
        <v>112</v>
      </c>
      <c r="D123" s="2">
        <v>102.72</v>
      </c>
      <c r="F123" s="2">
        <v>0</v>
      </c>
      <c r="J123" s="2">
        <v>0</v>
      </c>
      <c r="K123" s="2">
        <v>0</v>
      </c>
      <c r="M123" s="2">
        <v>0</v>
      </c>
      <c r="N123" s="2">
        <v>125.37</v>
      </c>
    </row>
    <row r="124" spans="1:16">
      <c r="A124">
        <v>113</v>
      </c>
      <c r="B124" s="259">
        <v>5.2016999999999998</v>
      </c>
      <c r="C124">
        <v>113</v>
      </c>
      <c r="D124" s="2">
        <v>102.72</v>
      </c>
      <c r="F124" s="2">
        <v>0</v>
      </c>
      <c r="J124" s="2">
        <v>0</v>
      </c>
      <c r="K124" s="2">
        <v>0</v>
      </c>
      <c r="M124" s="2">
        <v>0</v>
      </c>
      <c r="N124" s="2">
        <v>125.37</v>
      </c>
    </row>
    <row r="125" spans="1:16">
      <c r="A125">
        <v>114</v>
      </c>
      <c r="B125" s="259">
        <v>6.2016999999999998</v>
      </c>
      <c r="C125">
        <v>114</v>
      </c>
      <c r="D125" s="2">
        <v>102.72</v>
      </c>
      <c r="F125" s="2">
        <v>0</v>
      </c>
      <c r="J125" s="2">
        <v>0</v>
      </c>
      <c r="K125" s="2">
        <v>0</v>
      </c>
      <c r="M125" s="2">
        <v>0</v>
      </c>
      <c r="N125" s="2">
        <v>125.37</v>
      </c>
    </row>
    <row r="126" spans="1:16">
      <c r="A126">
        <v>115</v>
      </c>
      <c r="B126" s="259">
        <v>7.2016999999999998</v>
      </c>
      <c r="C126">
        <v>115</v>
      </c>
      <c r="D126" s="2">
        <v>102.72</v>
      </c>
      <c r="F126" s="2">
        <v>0</v>
      </c>
      <c r="J126" s="2">
        <v>0</v>
      </c>
      <c r="K126" s="2">
        <v>0</v>
      </c>
      <c r="M126" s="2">
        <v>0</v>
      </c>
      <c r="N126" s="2">
        <v>125.37</v>
      </c>
    </row>
    <row r="127" spans="1:16">
      <c r="A127">
        <v>116</v>
      </c>
      <c r="B127" s="259">
        <v>8.2017000000000007</v>
      </c>
      <c r="C127">
        <v>116</v>
      </c>
      <c r="D127" s="2">
        <v>102.72</v>
      </c>
      <c r="F127" s="2">
        <v>0</v>
      </c>
      <c r="J127" s="2">
        <v>0</v>
      </c>
      <c r="K127" s="2">
        <v>0</v>
      </c>
      <c r="M127" s="2">
        <v>0</v>
      </c>
      <c r="N127" s="2">
        <v>125.37</v>
      </c>
    </row>
    <row r="128" spans="1:16">
      <c r="A128">
        <v>117</v>
      </c>
      <c r="B128" s="259">
        <v>9.2017000000000007</v>
      </c>
      <c r="C128">
        <v>117</v>
      </c>
      <c r="D128" s="2">
        <v>102.72</v>
      </c>
      <c r="F128" s="2">
        <v>0</v>
      </c>
      <c r="J128" s="2">
        <v>0</v>
      </c>
      <c r="K128" s="2">
        <v>0</v>
      </c>
      <c r="M128" s="2">
        <v>0</v>
      </c>
      <c r="N128" s="2">
        <v>125.37</v>
      </c>
    </row>
    <row r="129" spans="1:14">
      <c r="A129">
        <v>118</v>
      </c>
      <c r="B129" s="259">
        <v>10.201700000000001</v>
      </c>
      <c r="C129">
        <v>118</v>
      </c>
      <c r="D129" s="2">
        <v>102.72</v>
      </c>
      <c r="F129" s="2">
        <v>0</v>
      </c>
      <c r="J129" s="2">
        <v>0</v>
      </c>
      <c r="K129" s="2">
        <v>0</v>
      </c>
      <c r="M129" s="2">
        <v>0</v>
      </c>
      <c r="N129" s="2">
        <v>125.37</v>
      </c>
    </row>
    <row r="130" spans="1:14">
      <c r="A130">
        <v>119</v>
      </c>
      <c r="B130" s="259">
        <v>11.201700000000001</v>
      </c>
      <c r="C130">
        <v>119</v>
      </c>
      <c r="D130" s="2">
        <v>102.72</v>
      </c>
      <c r="F130" s="2">
        <v>0</v>
      </c>
      <c r="J130" s="2">
        <v>0</v>
      </c>
      <c r="K130" s="2">
        <v>0</v>
      </c>
      <c r="M130" s="2">
        <v>0</v>
      </c>
      <c r="N130" s="2">
        <v>125.37</v>
      </c>
    </row>
    <row r="131" spans="1:14">
      <c r="A131">
        <v>120</v>
      </c>
      <c r="B131" s="259">
        <v>12.201700000000001</v>
      </c>
      <c r="C131">
        <v>120</v>
      </c>
      <c r="D131" s="2">
        <v>102.72</v>
      </c>
      <c r="F131" s="2">
        <v>0</v>
      </c>
      <c r="J131" s="2">
        <v>0</v>
      </c>
      <c r="K131" s="2">
        <v>0</v>
      </c>
      <c r="M131" s="2">
        <v>0</v>
      </c>
      <c r="N131" s="2">
        <v>125.37</v>
      </c>
    </row>
    <row r="132" spans="1:14">
      <c r="A132">
        <v>121</v>
      </c>
      <c r="B132" s="259">
        <v>1.2018</v>
      </c>
      <c r="C132">
        <v>121</v>
      </c>
      <c r="D132" s="2">
        <v>102.93</v>
      </c>
      <c r="F132" s="2">
        <v>0</v>
      </c>
      <c r="J132" s="2">
        <v>0</v>
      </c>
      <c r="K132" s="2">
        <v>0</v>
      </c>
      <c r="M132" s="2">
        <v>0</v>
      </c>
      <c r="N132" s="2">
        <v>125.62</v>
      </c>
    </row>
    <row r="133" spans="1:14">
      <c r="A133">
        <v>122</v>
      </c>
      <c r="B133" s="259">
        <v>2.2018</v>
      </c>
      <c r="C133">
        <v>122</v>
      </c>
      <c r="D133" s="2">
        <v>102.93</v>
      </c>
      <c r="F133" s="2">
        <v>0</v>
      </c>
      <c r="J133" s="2">
        <v>0</v>
      </c>
      <c r="K133" s="2">
        <v>0</v>
      </c>
      <c r="M133" s="2">
        <v>0</v>
      </c>
      <c r="N133" s="2">
        <v>125.62</v>
      </c>
    </row>
    <row r="134" spans="1:14">
      <c r="A134">
        <v>123</v>
      </c>
      <c r="B134" s="259">
        <v>3.2018</v>
      </c>
      <c r="C134">
        <v>123</v>
      </c>
      <c r="D134" s="2">
        <v>102.93</v>
      </c>
      <c r="F134" s="2">
        <v>0</v>
      </c>
      <c r="J134" s="2">
        <v>0</v>
      </c>
      <c r="K134" s="2">
        <v>0</v>
      </c>
      <c r="M134" s="2">
        <v>0</v>
      </c>
      <c r="N134" s="2">
        <v>125.62</v>
      </c>
    </row>
    <row r="135" spans="1:14">
      <c r="A135">
        <v>124</v>
      </c>
      <c r="B135" s="259">
        <v>4.2018000000000004</v>
      </c>
      <c r="C135">
        <v>124</v>
      </c>
      <c r="D135" s="2">
        <v>102.93</v>
      </c>
      <c r="F135" s="2">
        <v>0</v>
      </c>
      <c r="J135" s="2">
        <v>0</v>
      </c>
      <c r="K135" s="2">
        <v>0</v>
      </c>
      <c r="M135" s="2">
        <v>0</v>
      </c>
      <c r="N135" s="2">
        <v>125.62</v>
      </c>
    </row>
    <row r="136" spans="1:14">
      <c r="A136">
        <v>125</v>
      </c>
      <c r="B136" s="259">
        <v>5.2018000000000004</v>
      </c>
      <c r="C136">
        <v>125</v>
      </c>
      <c r="D136" s="2">
        <v>102.93</v>
      </c>
      <c r="F136" s="2">
        <v>0</v>
      </c>
      <c r="J136" s="2">
        <v>0</v>
      </c>
      <c r="K136" s="2">
        <v>0</v>
      </c>
      <c r="M136" s="2">
        <v>0</v>
      </c>
      <c r="N136" s="2">
        <v>125.62</v>
      </c>
    </row>
    <row r="137" spans="1:14">
      <c r="A137">
        <v>126</v>
      </c>
      <c r="B137" s="259">
        <v>6.2018000000000004</v>
      </c>
      <c r="C137">
        <v>126</v>
      </c>
      <c r="D137" s="2">
        <v>158.1</v>
      </c>
      <c r="F137" s="2">
        <v>0</v>
      </c>
      <c r="J137" s="2">
        <v>0</v>
      </c>
      <c r="K137" s="2">
        <v>0</v>
      </c>
      <c r="M137" s="2">
        <v>0</v>
      </c>
      <c r="N137" s="2">
        <v>194.15</v>
      </c>
    </row>
    <row r="138" spans="1:14">
      <c r="A138">
        <v>127</v>
      </c>
      <c r="B138" s="259">
        <v>7.2018000000000004</v>
      </c>
      <c r="C138">
        <v>127</v>
      </c>
      <c r="D138" s="2">
        <v>158.1</v>
      </c>
      <c r="F138" s="2">
        <v>0</v>
      </c>
      <c r="J138" s="2">
        <v>0</v>
      </c>
      <c r="K138" s="2">
        <v>0</v>
      </c>
      <c r="M138" s="2">
        <v>0</v>
      </c>
      <c r="N138" s="2">
        <v>194.15</v>
      </c>
    </row>
    <row r="139" spans="1:14">
      <c r="A139">
        <v>128</v>
      </c>
      <c r="B139" s="259">
        <v>8.2018000000000004</v>
      </c>
      <c r="C139">
        <v>128</v>
      </c>
      <c r="D139" s="2">
        <v>158.1</v>
      </c>
      <c r="F139" s="2">
        <v>0</v>
      </c>
      <c r="J139" s="2">
        <v>0</v>
      </c>
      <c r="K139" s="2">
        <v>0</v>
      </c>
      <c r="M139" s="2">
        <v>0</v>
      </c>
      <c r="N139" s="2">
        <v>194.15</v>
      </c>
    </row>
    <row r="140" spans="1:14">
      <c r="A140">
        <v>129</v>
      </c>
      <c r="B140" s="259">
        <v>9.2018000000000004</v>
      </c>
      <c r="C140">
        <v>129</v>
      </c>
      <c r="D140" s="2">
        <v>158.1</v>
      </c>
      <c r="F140" s="2">
        <v>0</v>
      </c>
      <c r="J140" s="2">
        <v>0</v>
      </c>
      <c r="K140" s="2">
        <v>0</v>
      </c>
      <c r="M140" s="2">
        <v>0</v>
      </c>
      <c r="N140" s="2">
        <v>194.15</v>
      </c>
    </row>
    <row r="141" spans="1:14">
      <c r="A141">
        <v>130</v>
      </c>
      <c r="B141" s="259">
        <v>10.2018</v>
      </c>
      <c r="C141">
        <v>130</v>
      </c>
      <c r="D141" s="2">
        <v>158.1</v>
      </c>
      <c r="F141" s="2">
        <v>0</v>
      </c>
      <c r="J141" s="2">
        <v>0</v>
      </c>
      <c r="K141" s="2">
        <v>0</v>
      </c>
      <c r="M141" s="2">
        <v>0</v>
      </c>
      <c r="N141" s="2">
        <v>194.15</v>
      </c>
    </row>
    <row r="142" spans="1:14">
      <c r="A142">
        <v>131</v>
      </c>
      <c r="B142" s="259">
        <v>11.2018</v>
      </c>
      <c r="C142">
        <v>131</v>
      </c>
      <c r="D142" s="2">
        <v>158.1</v>
      </c>
      <c r="F142" s="2">
        <v>0</v>
      </c>
      <c r="J142" s="2">
        <v>0</v>
      </c>
      <c r="K142" s="2">
        <v>0</v>
      </c>
      <c r="M142" s="2">
        <v>0</v>
      </c>
      <c r="N142" s="2">
        <v>194.15</v>
      </c>
    </row>
    <row r="143" spans="1:14">
      <c r="A143">
        <v>132</v>
      </c>
      <c r="B143" s="259">
        <v>12.2018</v>
      </c>
      <c r="C143">
        <v>132</v>
      </c>
      <c r="D143" s="2">
        <v>158.1</v>
      </c>
      <c r="F143" s="2">
        <v>0</v>
      </c>
      <c r="J143" s="2">
        <v>0</v>
      </c>
      <c r="K143" s="2">
        <v>0</v>
      </c>
      <c r="M143" s="2">
        <v>0</v>
      </c>
      <c r="N143" s="2">
        <v>194.15</v>
      </c>
    </row>
    <row r="144" spans="1:14">
      <c r="A144">
        <v>133</v>
      </c>
      <c r="B144" s="259">
        <v>1.2019</v>
      </c>
      <c r="C144">
        <v>133</v>
      </c>
      <c r="D144" s="2">
        <v>159.36000000000001</v>
      </c>
      <c r="F144" s="2">
        <v>0</v>
      </c>
      <c r="J144" s="2">
        <v>0</v>
      </c>
      <c r="K144" s="2">
        <v>0</v>
      </c>
      <c r="M144" s="2">
        <v>0</v>
      </c>
      <c r="N144" s="2">
        <v>195.7</v>
      </c>
    </row>
    <row r="145" spans="1:14">
      <c r="A145">
        <v>134</v>
      </c>
      <c r="B145" s="259">
        <v>2.2019000000000002</v>
      </c>
      <c r="C145">
        <v>134</v>
      </c>
      <c r="D145" s="2">
        <v>159.36000000000001</v>
      </c>
      <c r="F145" s="2">
        <v>0</v>
      </c>
      <c r="J145" s="2">
        <v>0</v>
      </c>
      <c r="K145" s="2">
        <v>0</v>
      </c>
      <c r="M145" s="2">
        <v>0</v>
      </c>
      <c r="N145" s="2">
        <v>195.7</v>
      </c>
    </row>
    <row r="146" spans="1:14">
      <c r="A146">
        <v>135</v>
      </c>
      <c r="B146" s="259">
        <v>3.2019000000000002</v>
      </c>
      <c r="C146">
        <v>135</v>
      </c>
      <c r="D146" s="2">
        <v>159.36000000000001</v>
      </c>
      <c r="F146" s="2">
        <v>0</v>
      </c>
      <c r="J146" s="2">
        <v>0</v>
      </c>
      <c r="K146" s="2">
        <v>0</v>
      </c>
      <c r="M146" s="2">
        <v>0</v>
      </c>
      <c r="N146" s="2">
        <v>195.7</v>
      </c>
    </row>
    <row r="147" spans="1:14">
      <c r="A147">
        <v>136</v>
      </c>
      <c r="B147" s="259">
        <v>4.2019000000000002</v>
      </c>
      <c r="C147">
        <v>136</v>
      </c>
      <c r="D147" s="2">
        <v>159.36000000000001</v>
      </c>
      <c r="F147" s="2">
        <v>0</v>
      </c>
      <c r="J147" s="2">
        <v>0</v>
      </c>
      <c r="K147" s="2">
        <v>0</v>
      </c>
      <c r="M147" s="2">
        <v>0</v>
      </c>
      <c r="N147" s="2">
        <v>195.7</v>
      </c>
    </row>
    <row r="148" spans="1:14">
      <c r="A148">
        <v>137</v>
      </c>
      <c r="B148" s="259">
        <v>5.2019000000000002</v>
      </c>
      <c r="C148">
        <v>137</v>
      </c>
      <c r="D148" s="2">
        <v>159.36000000000001</v>
      </c>
      <c r="F148" s="2">
        <v>0</v>
      </c>
      <c r="J148" s="2">
        <v>0</v>
      </c>
      <c r="K148" s="2">
        <v>0</v>
      </c>
      <c r="M148" s="2">
        <v>0</v>
      </c>
      <c r="N148" s="2">
        <v>195.7</v>
      </c>
    </row>
    <row r="149" spans="1:14">
      <c r="A149">
        <v>138</v>
      </c>
      <c r="B149" s="259">
        <v>6.2019000000000002</v>
      </c>
      <c r="C149">
        <v>138</v>
      </c>
      <c r="D149" s="2">
        <v>159.36000000000001</v>
      </c>
      <c r="F149" s="2">
        <v>0</v>
      </c>
      <c r="J149" s="2">
        <v>0</v>
      </c>
      <c r="K149" s="2">
        <v>0</v>
      </c>
      <c r="M149" s="2">
        <v>0</v>
      </c>
      <c r="N149" s="2">
        <v>195.7</v>
      </c>
    </row>
    <row r="150" spans="1:14">
      <c r="A150">
        <v>139</v>
      </c>
      <c r="B150" s="259">
        <v>7.2019000000000002</v>
      </c>
      <c r="C150">
        <v>139</v>
      </c>
      <c r="D150" s="2">
        <v>159.36000000000001</v>
      </c>
      <c r="F150" s="2">
        <v>0</v>
      </c>
      <c r="J150" s="2">
        <v>0</v>
      </c>
      <c r="K150" s="2">
        <v>0</v>
      </c>
      <c r="M150" s="2">
        <v>0</v>
      </c>
      <c r="N150" s="2">
        <v>195.7</v>
      </c>
    </row>
    <row r="151" spans="1:14">
      <c r="A151">
        <v>140</v>
      </c>
      <c r="B151" s="259">
        <v>8.2019000000000002</v>
      </c>
      <c r="C151">
        <v>140</v>
      </c>
      <c r="D151" s="2">
        <v>224.98</v>
      </c>
      <c r="F151" s="2">
        <v>0</v>
      </c>
      <c r="J151" s="2">
        <v>0</v>
      </c>
      <c r="K151" s="2">
        <v>0</v>
      </c>
      <c r="M151" s="2">
        <v>0</v>
      </c>
      <c r="N151" s="2">
        <v>276.29000000000002</v>
      </c>
    </row>
    <row r="152" spans="1:14">
      <c r="A152">
        <v>141</v>
      </c>
      <c r="B152" s="259">
        <v>9.2019000000000002</v>
      </c>
      <c r="C152">
        <v>141</v>
      </c>
      <c r="D152" s="2">
        <v>224.98</v>
      </c>
      <c r="F152" s="2">
        <v>0</v>
      </c>
      <c r="J152" s="2">
        <v>0</v>
      </c>
      <c r="K152" s="2">
        <v>0</v>
      </c>
      <c r="M152" s="2">
        <v>0</v>
      </c>
      <c r="N152" s="2">
        <v>276.29000000000002</v>
      </c>
    </row>
    <row r="153" spans="1:14">
      <c r="A153">
        <v>142</v>
      </c>
      <c r="B153" s="259">
        <v>10.2019</v>
      </c>
      <c r="C153">
        <v>142</v>
      </c>
      <c r="D153" s="2">
        <v>224.98</v>
      </c>
      <c r="F153" s="2">
        <v>0</v>
      </c>
      <c r="J153" s="2">
        <v>0</v>
      </c>
      <c r="K153" s="2">
        <v>0</v>
      </c>
      <c r="M153" s="2">
        <v>0</v>
      </c>
      <c r="N153" s="2">
        <v>276.29000000000002</v>
      </c>
    </row>
    <row r="154" spans="1:14">
      <c r="A154">
        <v>143</v>
      </c>
      <c r="B154" s="259">
        <v>11.2019</v>
      </c>
      <c r="C154">
        <v>143</v>
      </c>
      <c r="D154" s="2">
        <v>224.98</v>
      </c>
      <c r="F154" s="2">
        <v>0</v>
      </c>
      <c r="J154" s="2">
        <v>0</v>
      </c>
      <c r="K154" s="2">
        <v>0</v>
      </c>
      <c r="M154" s="2">
        <v>0</v>
      </c>
      <c r="N154" s="2">
        <v>276.29000000000002</v>
      </c>
    </row>
    <row r="155" spans="1:14">
      <c r="A155">
        <v>144</v>
      </c>
      <c r="B155" s="259">
        <v>12.2019</v>
      </c>
      <c r="C155">
        <v>144</v>
      </c>
      <c r="D155" s="2">
        <v>301.85000000000002</v>
      </c>
      <c r="F155" s="2">
        <v>0</v>
      </c>
      <c r="J155" s="2">
        <v>0</v>
      </c>
      <c r="K155" s="2">
        <v>0</v>
      </c>
      <c r="M155" s="2">
        <v>0</v>
      </c>
      <c r="N155" s="2">
        <v>370.65</v>
      </c>
    </row>
    <row r="156" spans="1:14">
      <c r="A156">
        <v>145</v>
      </c>
      <c r="B156" s="259">
        <v>1.202</v>
      </c>
      <c r="C156">
        <v>145</v>
      </c>
      <c r="D156" s="2">
        <v>303.66000000000003</v>
      </c>
      <c r="F156" s="2">
        <v>0</v>
      </c>
      <c r="J156" s="2">
        <v>0</v>
      </c>
      <c r="K156" s="2">
        <v>0</v>
      </c>
      <c r="M156" s="2">
        <v>0</v>
      </c>
      <c r="N156" s="2">
        <v>372.87</v>
      </c>
    </row>
    <row r="157" spans="1:14">
      <c r="A157">
        <v>146</v>
      </c>
      <c r="B157" s="259">
        <v>2.202</v>
      </c>
      <c r="C157">
        <v>146</v>
      </c>
      <c r="D157" s="2">
        <v>303.66000000000003</v>
      </c>
      <c r="F157" s="2">
        <v>0</v>
      </c>
      <c r="J157" s="2">
        <v>0</v>
      </c>
      <c r="K157" s="2">
        <v>0</v>
      </c>
      <c r="M157" s="2">
        <v>0</v>
      </c>
      <c r="N157" s="2">
        <v>372.87</v>
      </c>
    </row>
    <row r="158" spans="1:14">
      <c r="A158">
        <v>147</v>
      </c>
      <c r="B158" s="259">
        <v>3.202</v>
      </c>
      <c r="C158">
        <v>147</v>
      </c>
      <c r="D158" s="2">
        <v>303.66000000000003</v>
      </c>
      <c r="F158" s="2">
        <v>0</v>
      </c>
      <c r="J158" s="2">
        <v>0</v>
      </c>
      <c r="K158" s="2">
        <v>0</v>
      </c>
      <c r="M158" s="2">
        <v>0</v>
      </c>
      <c r="N158" s="2">
        <v>372.87</v>
      </c>
    </row>
    <row r="159" spans="1:14">
      <c r="A159">
        <v>148</v>
      </c>
      <c r="B159" s="259">
        <v>4.202</v>
      </c>
      <c r="C159">
        <v>148</v>
      </c>
      <c r="D159" s="2">
        <v>303.66000000000003</v>
      </c>
      <c r="F159" s="2">
        <v>0</v>
      </c>
      <c r="J159" s="2">
        <v>0</v>
      </c>
      <c r="K159" s="2">
        <v>0</v>
      </c>
      <c r="M159" s="2">
        <v>0</v>
      </c>
      <c r="N159" s="2">
        <v>372.87</v>
      </c>
    </row>
    <row r="160" spans="1:14">
      <c r="A160">
        <v>149</v>
      </c>
      <c r="B160" s="259">
        <v>5.202</v>
      </c>
      <c r="C160">
        <v>149</v>
      </c>
      <c r="D160" s="2">
        <v>303.66000000000003</v>
      </c>
      <c r="F160" s="2">
        <v>0</v>
      </c>
      <c r="J160" s="2">
        <v>0</v>
      </c>
      <c r="K160" s="2">
        <v>0</v>
      </c>
      <c r="M160" s="2">
        <v>0</v>
      </c>
      <c r="N160" s="2">
        <v>372.87</v>
      </c>
    </row>
    <row r="161" spans="1:14">
      <c r="A161">
        <v>150</v>
      </c>
      <c r="B161" s="259">
        <v>6.202</v>
      </c>
      <c r="C161">
        <v>150</v>
      </c>
      <c r="D161" s="2">
        <v>303.66000000000003</v>
      </c>
      <c r="F161" s="2">
        <v>0</v>
      </c>
      <c r="J161" s="2">
        <v>0</v>
      </c>
      <c r="K161" s="2">
        <v>0</v>
      </c>
      <c r="M161" s="2">
        <v>0</v>
      </c>
      <c r="N161" s="2">
        <v>372.87</v>
      </c>
    </row>
    <row r="162" spans="1:14">
      <c r="A162">
        <v>151</v>
      </c>
      <c r="B162" s="259">
        <v>7.202</v>
      </c>
      <c r="C162">
        <v>151</v>
      </c>
      <c r="D162" s="2">
        <v>303.66000000000003</v>
      </c>
      <c r="F162" s="2">
        <v>0</v>
      </c>
      <c r="J162" s="2">
        <v>0</v>
      </c>
      <c r="K162" s="2">
        <v>0</v>
      </c>
      <c r="M162" s="2">
        <v>0</v>
      </c>
      <c r="N162" s="2">
        <v>372.87</v>
      </c>
    </row>
    <row r="163" spans="1:14">
      <c r="A163">
        <v>152</v>
      </c>
      <c r="B163" s="259">
        <v>8.202</v>
      </c>
      <c r="C163">
        <v>152</v>
      </c>
      <c r="D163" s="2">
        <v>303.66000000000003</v>
      </c>
      <c r="F163" s="2">
        <v>0</v>
      </c>
      <c r="J163" s="2">
        <v>0</v>
      </c>
      <c r="K163" s="2">
        <v>0</v>
      </c>
      <c r="M163" s="2">
        <v>0</v>
      </c>
      <c r="N163" s="2">
        <v>372.87</v>
      </c>
    </row>
    <row r="164" spans="1:14">
      <c r="A164">
        <v>153</v>
      </c>
      <c r="B164" s="259">
        <v>9.202</v>
      </c>
      <c r="C164">
        <v>153</v>
      </c>
      <c r="D164" s="2">
        <v>303.66000000000003</v>
      </c>
      <c r="F164" s="2">
        <v>0</v>
      </c>
      <c r="J164" s="2">
        <v>0</v>
      </c>
      <c r="K164" s="2">
        <v>0</v>
      </c>
      <c r="M164" s="2">
        <v>0</v>
      </c>
      <c r="N164" s="2">
        <v>372.87</v>
      </c>
    </row>
    <row r="165" spans="1:14">
      <c r="A165">
        <v>154</v>
      </c>
      <c r="B165" s="259">
        <v>10.202</v>
      </c>
      <c r="C165">
        <v>154</v>
      </c>
      <c r="D165" s="2">
        <v>303.66000000000003</v>
      </c>
      <c r="F165" s="2">
        <v>0</v>
      </c>
      <c r="J165" s="2">
        <v>0</v>
      </c>
      <c r="K165" s="2">
        <v>0</v>
      </c>
      <c r="M165" s="2">
        <v>0</v>
      </c>
      <c r="N165" s="2">
        <v>372.87</v>
      </c>
    </row>
    <row r="166" spans="1:14">
      <c r="A166">
        <v>155</v>
      </c>
      <c r="B166" s="259">
        <v>11.202</v>
      </c>
      <c r="C166">
        <v>155</v>
      </c>
      <c r="D166" s="2">
        <v>303.66000000000003</v>
      </c>
      <c r="F166" s="2">
        <v>0</v>
      </c>
      <c r="J166" s="2">
        <v>0</v>
      </c>
      <c r="K166" s="2">
        <v>0</v>
      </c>
      <c r="M166" s="2">
        <v>0</v>
      </c>
      <c r="N166" s="2">
        <v>372.87</v>
      </c>
    </row>
    <row r="167" spans="1:14">
      <c r="A167">
        <v>156</v>
      </c>
      <c r="B167" s="259">
        <v>12.202</v>
      </c>
      <c r="C167">
        <v>156</v>
      </c>
      <c r="D167" s="2">
        <v>303.66000000000003</v>
      </c>
      <c r="F167" s="2">
        <v>0</v>
      </c>
      <c r="J167" s="2">
        <v>0</v>
      </c>
      <c r="K167" s="2">
        <v>0</v>
      </c>
      <c r="M167" s="2">
        <v>0</v>
      </c>
      <c r="N167" s="2">
        <v>372.87</v>
      </c>
    </row>
    <row r="168" spans="1:14">
      <c r="A168">
        <v>157</v>
      </c>
      <c r="B168" s="259">
        <v>1.2020999999999999</v>
      </c>
      <c r="C168">
        <v>157</v>
      </c>
      <c r="D168" s="2">
        <v>303.66000000000003</v>
      </c>
      <c r="F168" s="2">
        <v>0</v>
      </c>
      <c r="J168" s="2">
        <v>0</v>
      </c>
      <c r="K168" s="2">
        <v>0</v>
      </c>
      <c r="M168" s="2">
        <v>0</v>
      </c>
      <c r="N168" s="2">
        <v>372.87</v>
      </c>
    </row>
    <row r="169" spans="1:14">
      <c r="A169">
        <v>158</v>
      </c>
      <c r="B169" s="259">
        <v>2.2021000000000002</v>
      </c>
      <c r="C169">
        <v>158</v>
      </c>
      <c r="D169" s="2">
        <v>303.66000000000003</v>
      </c>
      <c r="F169" s="2">
        <v>0</v>
      </c>
      <c r="J169" s="2">
        <v>0</v>
      </c>
      <c r="K169" s="2">
        <v>0</v>
      </c>
      <c r="M169" s="2">
        <v>0</v>
      </c>
      <c r="N169" s="2">
        <v>372.87</v>
      </c>
    </row>
    <row r="170" spans="1:14">
      <c r="A170">
        <v>159</v>
      </c>
      <c r="B170" s="259">
        <v>3.2021000000000002</v>
      </c>
      <c r="C170">
        <v>159</v>
      </c>
      <c r="D170" s="2">
        <v>303.66000000000003</v>
      </c>
      <c r="F170" s="2">
        <v>0</v>
      </c>
      <c r="J170" s="2">
        <v>0</v>
      </c>
      <c r="K170" s="2">
        <v>0</v>
      </c>
      <c r="M170" s="2">
        <v>0</v>
      </c>
      <c r="N170" s="2">
        <v>372.87</v>
      </c>
    </row>
    <row r="171" spans="1:14">
      <c r="A171">
        <v>160</v>
      </c>
      <c r="B171" s="259">
        <v>4.2020999999999997</v>
      </c>
      <c r="C171">
        <v>160</v>
      </c>
      <c r="D171" s="2">
        <v>303.66000000000003</v>
      </c>
      <c r="F171" s="2">
        <v>0</v>
      </c>
      <c r="J171" s="2">
        <v>0</v>
      </c>
      <c r="K171" s="2">
        <v>0</v>
      </c>
      <c r="M171" s="2">
        <v>0</v>
      </c>
      <c r="N171" s="2">
        <v>372.87</v>
      </c>
    </row>
    <row r="172" spans="1:14">
      <c r="A172">
        <v>161</v>
      </c>
      <c r="B172" s="259">
        <v>5.2020999999999997</v>
      </c>
      <c r="C172">
        <v>161</v>
      </c>
      <c r="D172" s="2">
        <v>303.66000000000003</v>
      </c>
      <c r="F172" s="2">
        <v>0</v>
      </c>
      <c r="J172" s="2">
        <v>0</v>
      </c>
      <c r="K172" s="2">
        <v>0</v>
      </c>
      <c r="M172" s="2">
        <v>0</v>
      </c>
      <c r="N172" s="2">
        <v>372.87</v>
      </c>
    </row>
    <row r="173" spans="1:14">
      <c r="A173">
        <v>162</v>
      </c>
      <c r="B173" s="259">
        <v>6.2020999999999997</v>
      </c>
      <c r="C173">
        <v>162</v>
      </c>
      <c r="D173" s="2">
        <v>303.66000000000003</v>
      </c>
      <c r="F173" s="2">
        <v>0</v>
      </c>
      <c r="J173" s="2">
        <v>0</v>
      </c>
      <c r="K173" s="2">
        <v>0</v>
      </c>
      <c r="M173" s="2">
        <v>0</v>
      </c>
      <c r="N173" s="2">
        <v>372.87</v>
      </c>
    </row>
    <row r="174" spans="1:14">
      <c r="A174">
        <v>163</v>
      </c>
      <c r="B174" s="259">
        <v>7.2020999999999997</v>
      </c>
      <c r="C174">
        <v>163</v>
      </c>
      <c r="D174" s="2">
        <v>303.66000000000003</v>
      </c>
      <c r="F174" s="2">
        <v>0</v>
      </c>
      <c r="J174" s="2">
        <v>0</v>
      </c>
      <c r="K174" s="2">
        <v>0</v>
      </c>
      <c r="M174" s="2">
        <v>0</v>
      </c>
      <c r="N174" s="2">
        <v>372.87</v>
      </c>
    </row>
    <row r="175" spans="1:14">
      <c r="A175">
        <v>164</v>
      </c>
      <c r="B175" s="259">
        <v>8.2020999999999997</v>
      </c>
      <c r="C175">
        <v>164</v>
      </c>
      <c r="D175" s="2">
        <v>303.66000000000003</v>
      </c>
      <c r="F175" s="2">
        <v>0</v>
      </c>
      <c r="J175" s="2">
        <v>0</v>
      </c>
      <c r="K175" s="2">
        <v>0</v>
      </c>
      <c r="M175" s="2">
        <v>0</v>
      </c>
      <c r="N175" s="2">
        <v>372.87</v>
      </c>
    </row>
    <row r="176" spans="1:14">
      <c r="A176">
        <v>165</v>
      </c>
      <c r="B176" s="259">
        <v>9.2020999999999997</v>
      </c>
      <c r="C176">
        <v>165</v>
      </c>
      <c r="D176" s="2">
        <v>303.66000000000003</v>
      </c>
      <c r="F176" s="2">
        <v>0</v>
      </c>
      <c r="J176" s="2">
        <v>0</v>
      </c>
      <c r="K176" s="2">
        <v>0</v>
      </c>
      <c r="M176" s="2">
        <v>0</v>
      </c>
      <c r="N176" s="2">
        <v>372.87</v>
      </c>
    </row>
    <row r="177" spans="1:14">
      <c r="A177">
        <v>166</v>
      </c>
      <c r="B177" s="259">
        <v>10.2021</v>
      </c>
      <c r="C177">
        <v>166</v>
      </c>
      <c r="D177" s="2">
        <v>303.66000000000003</v>
      </c>
      <c r="F177" s="2">
        <v>0</v>
      </c>
      <c r="J177" s="2">
        <v>0</v>
      </c>
      <c r="K177" s="2">
        <v>0</v>
      </c>
      <c r="M177" s="2">
        <v>0</v>
      </c>
      <c r="N177" s="2">
        <v>372.87</v>
      </c>
    </row>
    <row r="178" spans="1:14">
      <c r="A178">
        <v>167</v>
      </c>
      <c r="B178" s="259">
        <v>11.2021</v>
      </c>
      <c r="C178">
        <v>167</v>
      </c>
      <c r="D178" s="2">
        <v>303.66000000000003</v>
      </c>
      <c r="F178" s="2">
        <v>0</v>
      </c>
      <c r="J178" s="2">
        <v>0</v>
      </c>
      <c r="K178" s="2">
        <v>0</v>
      </c>
      <c r="M178" s="2">
        <v>0</v>
      </c>
      <c r="N178" s="2">
        <v>372.87</v>
      </c>
    </row>
    <row r="179" spans="1:14">
      <c r="A179">
        <v>168</v>
      </c>
      <c r="B179" s="259">
        <v>12.2021</v>
      </c>
      <c r="C179">
        <v>168</v>
      </c>
      <c r="D179" s="2">
        <v>303.66000000000003</v>
      </c>
      <c r="F179" s="2">
        <v>0</v>
      </c>
      <c r="J179" s="2">
        <v>0</v>
      </c>
      <c r="K179" s="2">
        <v>0</v>
      </c>
      <c r="M179" s="2">
        <v>0</v>
      </c>
      <c r="N179" s="2">
        <v>372.87</v>
      </c>
    </row>
    <row r="180" spans="1:14">
      <c r="A180">
        <v>169</v>
      </c>
      <c r="B180" s="259">
        <v>1.2021999999999999</v>
      </c>
      <c r="C180">
        <v>169</v>
      </c>
      <c r="D180" s="2">
        <v>310.04000000000002</v>
      </c>
      <c r="F180" s="2">
        <v>0</v>
      </c>
      <c r="J180" s="2">
        <v>0</v>
      </c>
      <c r="K180" s="2">
        <v>0</v>
      </c>
      <c r="M180" s="2">
        <v>0</v>
      </c>
      <c r="N180" s="2">
        <v>380.7</v>
      </c>
    </row>
    <row r="181" spans="1:14">
      <c r="A181">
        <v>170</v>
      </c>
      <c r="B181" s="259">
        <v>2.2021999999999999</v>
      </c>
      <c r="C181">
        <v>170</v>
      </c>
      <c r="D181" s="2">
        <v>310.04000000000002</v>
      </c>
      <c r="F181" s="2">
        <v>0</v>
      </c>
      <c r="J181" s="2">
        <v>0</v>
      </c>
      <c r="K181" s="2">
        <v>0</v>
      </c>
      <c r="M181" s="2">
        <v>0</v>
      </c>
      <c r="N181" s="2">
        <v>380.7</v>
      </c>
    </row>
    <row r="182" spans="1:14">
      <c r="A182">
        <v>171</v>
      </c>
      <c r="B182" s="259">
        <v>3.2021999999999999</v>
      </c>
      <c r="C182">
        <v>171</v>
      </c>
      <c r="D182" s="2">
        <v>310.04000000000002</v>
      </c>
      <c r="F182" s="2">
        <v>0</v>
      </c>
      <c r="J182" s="2">
        <v>0</v>
      </c>
      <c r="K182" s="2">
        <v>0</v>
      </c>
      <c r="M182" s="2">
        <v>0</v>
      </c>
      <c r="N182" s="2">
        <v>380.7</v>
      </c>
    </row>
    <row r="183" spans="1:14">
      <c r="A183">
        <v>172</v>
      </c>
      <c r="B183" s="259">
        <v>4.2022000000000004</v>
      </c>
      <c r="C183">
        <v>172</v>
      </c>
      <c r="D183" s="2">
        <v>310.04000000000002</v>
      </c>
      <c r="F183" s="2">
        <v>0</v>
      </c>
      <c r="J183" s="2">
        <v>0</v>
      </c>
      <c r="K183" s="2">
        <v>0</v>
      </c>
      <c r="M183" s="2">
        <v>0</v>
      </c>
      <c r="N183" s="2">
        <v>380.7</v>
      </c>
    </row>
    <row r="184" spans="1:14">
      <c r="A184">
        <v>173</v>
      </c>
      <c r="B184" s="259">
        <v>5.2022000000000004</v>
      </c>
      <c r="C184">
        <v>173</v>
      </c>
      <c r="D184" s="2">
        <v>310.04000000000002</v>
      </c>
      <c r="F184" s="2">
        <v>0</v>
      </c>
      <c r="J184" s="2">
        <v>0</v>
      </c>
      <c r="K184" s="2">
        <v>0</v>
      </c>
      <c r="M184" s="2">
        <v>0</v>
      </c>
      <c r="N184" s="2">
        <v>380.7</v>
      </c>
    </row>
    <row r="185" spans="1:14">
      <c r="A185">
        <v>174</v>
      </c>
      <c r="B185" s="259">
        <v>6.2022000000000004</v>
      </c>
      <c r="C185">
        <v>174</v>
      </c>
      <c r="D185" s="2">
        <v>310.04000000000002</v>
      </c>
      <c r="F185" s="2">
        <v>0</v>
      </c>
      <c r="J185" s="2">
        <v>0</v>
      </c>
      <c r="K185" s="2">
        <v>0</v>
      </c>
      <c r="M185" s="2">
        <v>0</v>
      </c>
      <c r="N185" s="2">
        <v>380.7</v>
      </c>
    </row>
    <row r="186" spans="1:14">
      <c r="A186">
        <v>175</v>
      </c>
      <c r="B186" s="259">
        <v>7.2022000000000004</v>
      </c>
      <c r="C186">
        <v>175</v>
      </c>
      <c r="D186" s="2">
        <v>310.04000000000002</v>
      </c>
      <c r="F186" s="2">
        <v>0</v>
      </c>
      <c r="J186" s="2">
        <v>0</v>
      </c>
      <c r="K186" s="2">
        <v>0</v>
      </c>
      <c r="M186" s="2">
        <v>0</v>
      </c>
      <c r="N186" s="2">
        <v>380.7</v>
      </c>
    </row>
    <row r="187" spans="1:14">
      <c r="A187">
        <v>176</v>
      </c>
      <c r="B187" s="259">
        <v>8.2021999999999995</v>
      </c>
      <c r="C187">
        <v>176</v>
      </c>
      <c r="D187" s="2">
        <v>310.04000000000002</v>
      </c>
      <c r="F187" s="2">
        <v>0</v>
      </c>
      <c r="J187" s="2">
        <v>0</v>
      </c>
      <c r="K187" s="2">
        <v>0</v>
      </c>
      <c r="M187" s="2">
        <v>0</v>
      </c>
      <c r="N187" s="2">
        <v>380.7</v>
      </c>
    </row>
    <row r="188" spans="1:14">
      <c r="A188">
        <v>177</v>
      </c>
      <c r="B188" s="259">
        <v>9.2021999999999995</v>
      </c>
      <c r="C188">
        <v>177</v>
      </c>
      <c r="D188" s="2">
        <v>310.04000000000002</v>
      </c>
      <c r="F188" s="2">
        <v>0</v>
      </c>
      <c r="J188" s="2">
        <v>0</v>
      </c>
      <c r="K188" s="2">
        <v>0</v>
      </c>
      <c r="M188" s="2">
        <v>0</v>
      </c>
      <c r="N188" s="2">
        <v>380.7</v>
      </c>
    </row>
    <row r="189" spans="1:14">
      <c r="A189">
        <v>178</v>
      </c>
      <c r="B189" s="259">
        <v>10.202199999999999</v>
      </c>
      <c r="C189">
        <v>178</v>
      </c>
      <c r="D189" s="2">
        <v>310.04000000000002</v>
      </c>
      <c r="F189" s="2">
        <v>0</v>
      </c>
      <c r="J189" s="2">
        <v>0</v>
      </c>
      <c r="K189" s="2">
        <v>0</v>
      </c>
      <c r="M189" s="2">
        <v>0</v>
      </c>
      <c r="N189" s="2">
        <v>380.7</v>
      </c>
    </row>
    <row r="190" spans="1:14">
      <c r="A190">
        <v>179</v>
      </c>
      <c r="B190" s="259">
        <v>11.202199999999999</v>
      </c>
      <c r="C190">
        <v>179</v>
      </c>
      <c r="D190" s="2">
        <v>310.04000000000002</v>
      </c>
      <c r="F190" s="2">
        <v>0</v>
      </c>
      <c r="J190" s="2">
        <v>0</v>
      </c>
      <c r="K190" s="2">
        <v>0</v>
      </c>
      <c r="M190" s="2">
        <v>0</v>
      </c>
      <c r="N190" s="2">
        <v>380.7</v>
      </c>
    </row>
    <row r="191" spans="1:14">
      <c r="A191">
        <v>180</v>
      </c>
      <c r="B191" s="259">
        <v>12.202199999999999</v>
      </c>
      <c r="C191">
        <v>180</v>
      </c>
      <c r="D191" s="2">
        <v>310.04000000000002</v>
      </c>
      <c r="F191" s="2">
        <v>0</v>
      </c>
      <c r="J191" s="2">
        <v>0</v>
      </c>
      <c r="K191" s="2">
        <v>0</v>
      </c>
      <c r="M191" s="2">
        <v>0</v>
      </c>
      <c r="N191" s="2">
        <v>380.7</v>
      </c>
    </row>
    <row r="192" spans="1:14">
      <c r="A192">
        <v>181</v>
      </c>
      <c r="B192" s="259">
        <v>1.2022999999999999</v>
      </c>
      <c r="C192">
        <v>181</v>
      </c>
      <c r="D192" s="2">
        <v>326.33999999999997</v>
      </c>
      <c r="F192" s="2">
        <v>0</v>
      </c>
      <c r="J192" s="2">
        <v>0</v>
      </c>
      <c r="K192" s="2">
        <v>0</v>
      </c>
      <c r="M192" s="2">
        <v>0</v>
      </c>
      <c r="N192" s="2">
        <v>400.73</v>
      </c>
    </row>
    <row r="193" spans="1:14">
      <c r="A193">
        <v>182</v>
      </c>
      <c r="B193" s="259">
        <v>2.2023000000000001</v>
      </c>
      <c r="C193">
        <v>182</v>
      </c>
      <c r="D193" s="2">
        <v>326.33999999999997</v>
      </c>
      <c r="F193" s="2">
        <v>0</v>
      </c>
      <c r="J193" s="2">
        <v>0</v>
      </c>
      <c r="K193" s="2">
        <v>0</v>
      </c>
      <c r="M193" s="2">
        <v>0</v>
      </c>
      <c r="N193" s="2">
        <v>400.73</v>
      </c>
    </row>
    <row r="194" spans="1:14">
      <c r="A194">
        <v>183</v>
      </c>
      <c r="B194" s="259">
        <v>3.2023000000000001</v>
      </c>
      <c r="C194">
        <v>183</v>
      </c>
      <c r="D194" s="2">
        <v>326.33999999999997</v>
      </c>
      <c r="F194" s="2">
        <v>0</v>
      </c>
      <c r="J194" s="2">
        <v>0</v>
      </c>
      <c r="K194" s="2">
        <v>0</v>
      </c>
      <c r="M194" s="2">
        <v>0</v>
      </c>
      <c r="N194" s="2">
        <v>400.73</v>
      </c>
    </row>
    <row r="195" spans="1:14">
      <c r="A195">
        <v>184</v>
      </c>
      <c r="B195" s="259">
        <v>4.2023000000000001</v>
      </c>
      <c r="C195">
        <v>184</v>
      </c>
      <c r="D195" s="2">
        <v>326.33999999999997</v>
      </c>
      <c r="F195" s="2">
        <v>0</v>
      </c>
      <c r="J195" s="2">
        <v>0</v>
      </c>
      <c r="K195" s="2">
        <v>0</v>
      </c>
      <c r="M195" s="2">
        <v>0</v>
      </c>
      <c r="N195" s="2">
        <v>400.73</v>
      </c>
    </row>
    <row r="196" spans="1:14">
      <c r="A196">
        <v>185</v>
      </c>
      <c r="B196" s="259">
        <v>5.2023000000000001</v>
      </c>
      <c r="C196">
        <v>185</v>
      </c>
      <c r="D196" s="2">
        <v>326.33999999999997</v>
      </c>
      <c r="F196" s="2">
        <v>0</v>
      </c>
      <c r="J196" s="2">
        <v>0</v>
      </c>
      <c r="K196" s="2">
        <v>0</v>
      </c>
      <c r="M196" s="2">
        <v>0</v>
      </c>
      <c r="N196" s="2">
        <v>400.73</v>
      </c>
    </row>
    <row r="197" spans="1:14">
      <c r="A197">
        <v>186</v>
      </c>
      <c r="B197" s="259">
        <v>6.2023000000000001</v>
      </c>
      <c r="C197">
        <v>186</v>
      </c>
      <c r="D197" s="2">
        <v>326.33999999999997</v>
      </c>
      <c r="F197" s="2">
        <v>0</v>
      </c>
      <c r="J197" s="2">
        <v>0</v>
      </c>
      <c r="K197" s="2">
        <v>0</v>
      </c>
      <c r="M197" s="2">
        <v>0</v>
      </c>
      <c r="N197" s="2">
        <v>400.73</v>
      </c>
    </row>
    <row r="198" spans="1:14">
      <c r="A198">
        <v>187</v>
      </c>
      <c r="B198" s="259">
        <v>7.2023000000000001</v>
      </c>
      <c r="C198">
        <v>187</v>
      </c>
      <c r="D198" s="2">
        <v>326.33999999999997</v>
      </c>
      <c r="F198" s="2">
        <v>0</v>
      </c>
      <c r="J198" s="2">
        <v>0</v>
      </c>
      <c r="K198" s="2">
        <v>0</v>
      </c>
      <c r="M198" s="2">
        <v>0</v>
      </c>
      <c r="N198" s="2">
        <v>400.73</v>
      </c>
    </row>
    <row r="199" spans="1:14">
      <c r="A199">
        <v>188</v>
      </c>
      <c r="B199" s="259">
        <v>8.2022999999999993</v>
      </c>
      <c r="C199">
        <v>188</v>
      </c>
      <c r="D199" s="2">
        <v>326.33999999999997</v>
      </c>
      <c r="F199" s="2">
        <v>0</v>
      </c>
      <c r="J199" s="2">
        <v>0</v>
      </c>
      <c r="K199" s="2">
        <v>0</v>
      </c>
      <c r="M199" s="2">
        <v>0</v>
      </c>
      <c r="N199" s="2">
        <v>400.73</v>
      </c>
    </row>
    <row r="200" spans="1:14">
      <c r="A200">
        <v>189</v>
      </c>
      <c r="B200" s="259">
        <v>9.2022999999999993</v>
      </c>
      <c r="C200">
        <v>189</v>
      </c>
      <c r="D200" s="2">
        <v>326.33999999999997</v>
      </c>
      <c r="F200" s="2">
        <v>0</v>
      </c>
      <c r="J200" s="2">
        <v>0</v>
      </c>
      <c r="K200" s="2">
        <v>0</v>
      </c>
      <c r="M200" s="2">
        <v>0</v>
      </c>
      <c r="N200" s="2">
        <v>400.73</v>
      </c>
    </row>
    <row r="201" spans="1:14">
      <c r="A201">
        <v>190</v>
      </c>
      <c r="B201" s="259">
        <v>10.202299999999999</v>
      </c>
      <c r="C201">
        <v>190</v>
      </c>
      <c r="D201" s="2">
        <v>326.33999999999997</v>
      </c>
      <c r="F201" s="2">
        <v>0</v>
      </c>
      <c r="J201" s="2">
        <v>0</v>
      </c>
      <c r="K201" s="2">
        <v>0</v>
      </c>
      <c r="M201" s="2">
        <v>0</v>
      </c>
      <c r="N201" s="2">
        <v>400.73</v>
      </c>
    </row>
    <row r="202" spans="1:14">
      <c r="A202">
        <v>191</v>
      </c>
      <c r="B202" s="259">
        <v>11.202299999999999</v>
      </c>
      <c r="C202">
        <v>191</v>
      </c>
      <c r="D202" s="2">
        <v>326.33999999999997</v>
      </c>
      <c r="F202" s="2">
        <v>0</v>
      </c>
      <c r="J202" s="2">
        <v>0</v>
      </c>
      <c r="K202" s="2">
        <v>0</v>
      </c>
      <c r="M202" s="2">
        <v>0</v>
      </c>
      <c r="N202" s="2">
        <v>400.73</v>
      </c>
    </row>
    <row r="203" spans="1:14">
      <c r="A203">
        <v>192</v>
      </c>
      <c r="B203" s="259">
        <v>12.202299999999999</v>
      </c>
      <c r="C203">
        <v>192</v>
      </c>
      <c r="D203" s="2">
        <v>326.33999999999997</v>
      </c>
      <c r="F203" s="2">
        <v>0</v>
      </c>
      <c r="J203" s="2">
        <v>0</v>
      </c>
      <c r="K203" s="2">
        <v>0</v>
      </c>
      <c r="M203" s="2">
        <v>0</v>
      </c>
      <c r="N203" s="2">
        <v>400.73</v>
      </c>
    </row>
    <row r="204" spans="1:14">
      <c r="A204">
        <v>193</v>
      </c>
      <c r="B204" s="259">
        <v>1.2023999999999999</v>
      </c>
      <c r="C204">
        <v>193</v>
      </c>
      <c r="D204" s="2">
        <v>336</v>
      </c>
      <c r="F204" s="2">
        <v>0</v>
      </c>
      <c r="J204" s="2">
        <v>0</v>
      </c>
      <c r="K204" s="2">
        <v>0</v>
      </c>
      <c r="M204" s="2">
        <v>0</v>
      </c>
      <c r="N204" s="2">
        <v>412.59</v>
      </c>
    </row>
    <row r="205" spans="1:14">
      <c r="A205">
        <v>194</v>
      </c>
      <c r="B205" s="259">
        <v>2.2023999999999999</v>
      </c>
      <c r="C205">
        <v>194</v>
      </c>
      <c r="D205" s="2">
        <v>336</v>
      </c>
      <c r="F205" s="2">
        <v>0</v>
      </c>
      <c r="J205" s="2">
        <v>0</v>
      </c>
      <c r="K205" s="2">
        <v>0</v>
      </c>
      <c r="M205" s="2">
        <v>0</v>
      </c>
      <c r="N205" s="2">
        <v>412.59</v>
      </c>
    </row>
    <row r="206" spans="1:14">
      <c r="A206">
        <v>195</v>
      </c>
      <c r="B206" s="259">
        <v>3.2023999999999999</v>
      </c>
      <c r="C206">
        <v>195</v>
      </c>
      <c r="D206" s="2">
        <v>336</v>
      </c>
      <c r="F206" s="2">
        <v>0</v>
      </c>
      <c r="J206" s="2">
        <v>0</v>
      </c>
      <c r="K206" s="2">
        <v>0</v>
      </c>
      <c r="M206" s="2">
        <v>0</v>
      </c>
      <c r="N206" s="2">
        <v>412.59</v>
      </c>
    </row>
    <row r="207" spans="1:14">
      <c r="A207">
        <v>196</v>
      </c>
      <c r="B207" s="259">
        <v>4.2023999999999999</v>
      </c>
      <c r="C207">
        <v>196</v>
      </c>
      <c r="D207" s="2">
        <v>336</v>
      </c>
      <c r="F207" s="2">
        <v>0</v>
      </c>
      <c r="J207" s="2">
        <v>0</v>
      </c>
      <c r="K207" s="2">
        <v>0</v>
      </c>
      <c r="M207" s="2">
        <v>0</v>
      </c>
      <c r="N207" s="2">
        <v>412.59</v>
      </c>
    </row>
    <row r="208" spans="1:14">
      <c r="A208">
        <v>197</v>
      </c>
      <c r="B208" s="259">
        <v>5.2023999999999999</v>
      </c>
      <c r="C208">
        <v>197</v>
      </c>
      <c r="D208" s="2">
        <v>336</v>
      </c>
      <c r="F208" s="2">
        <v>0</v>
      </c>
      <c r="J208" s="2">
        <v>0</v>
      </c>
      <c r="K208" s="2">
        <v>0</v>
      </c>
      <c r="M208" s="2">
        <v>0</v>
      </c>
      <c r="N208" s="2">
        <v>412.59</v>
      </c>
    </row>
    <row r="209" spans="1:14">
      <c r="A209">
        <v>198</v>
      </c>
      <c r="B209" s="259">
        <v>6.2023999999999999</v>
      </c>
      <c r="C209">
        <v>198</v>
      </c>
      <c r="D209" s="2">
        <v>336</v>
      </c>
      <c r="F209" s="2">
        <v>0</v>
      </c>
      <c r="J209" s="2">
        <v>0</v>
      </c>
      <c r="K209" s="2">
        <v>0</v>
      </c>
      <c r="M209" s="2">
        <v>0</v>
      </c>
      <c r="N209" s="2">
        <v>412.59</v>
      </c>
    </row>
    <row r="210" spans="1:14">
      <c r="A210">
        <v>199</v>
      </c>
      <c r="B210" s="259">
        <v>7.2023999999999999</v>
      </c>
      <c r="C210">
        <v>199</v>
      </c>
      <c r="D210" s="2">
        <v>336</v>
      </c>
      <c r="F210" s="2">
        <v>0</v>
      </c>
      <c r="J210" s="2">
        <v>0</v>
      </c>
      <c r="K210" s="2">
        <v>0</v>
      </c>
      <c r="M210" s="2">
        <v>0</v>
      </c>
      <c r="N210" s="2">
        <v>412.59</v>
      </c>
    </row>
    <row r="211" spans="1:14">
      <c r="A211">
        <v>200</v>
      </c>
      <c r="B211" s="259">
        <v>8.2024000000000008</v>
      </c>
      <c r="C211">
        <v>200</v>
      </c>
      <c r="D211" s="2">
        <v>336</v>
      </c>
      <c r="F211" s="2">
        <v>0</v>
      </c>
      <c r="J211" s="2">
        <v>0</v>
      </c>
      <c r="K211" s="2">
        <v>0</v>
      </c>
      <c r="M211" s="2">
        <v>0</v>
      </c>
      <c r="N211" s="2">
        <v>412.59</v>
      </c>
    </row>
    <row r="212" spans="1:14">
      <c r="A212">
        <v>201</v>
      </c>
      <c r="B212" s="259">
        <v>9.2024000000000008</v>
      </c>
      <c r="C212">
        <v>201</v>
      </c>
      <c r="D212" s="2">
        <v>336</v>
      </c>
      <c r="F212" s="2">
        <v>0</v>
      </c>
      <c r="J212" s="2">
        <v>0</v>
      </c>
      <c r="K212" s="2">
        <v>0</v>
      </c>
      <c r="M212" s="2">
        <v>0</v>
      </c>
      <c r="N212" s="2">
        <v>412.59</v>
      </c>
    </row>
    <row r="213" spans="1:14">
      <c r="A213">
        <v>202</v>
      </c>
      <c r="B213" s="259">
        <v>10.202400000000001</v>
      </c>
      <c r="C213">
        <v>202</v>
      </c>
      <c r="D213" s="2">
        <v>336</v>
      </c>
      <c r="F213" s="2">
        <v>0</v>
      </c>
      <c r="J213" s="2">
        <v>0</v>
      </c>
      <c r="K213" s="2">
        <v>0</v>
      </c>
      <c r="M213" s="2">
        <v>0</v>
      </c>
      <c r="N213" s="2">
        <v>412.59</v>
      </c>
    </row>
    <row r="214" spans="1:14">
      <c r="A214">
        <v>203</v>
      </c>
      <c r="B214" s="259">
        <v>11.202400000000001</v>
      </c>
      <c r="C214">
        <v>203</v>
      </c>
      <c r="D214" s="2">
        <v>336</v>
      </c>
      <c r="F214" s="2">
        <v>0</v>
      </c>
      <c r="J214" s="2">
        <v>0</v>
      </c>
      <c r="K214" s="2">
        <v>0</v>
      </c>
      <c r="M214" s="2">
        <v>0</v>
      </c>
      <c r="N214" s="2">
        <v>412.59</v>
      </c>
    </row>
    <row r="215" spans="1:14">
      <c r="A215">
        <v>204</v>
      </c>
      <c r="B215" s="259">
        <v>12.202400000000001</v>
      </c>
      <c r="C215">
        <v>204</v>
      </c>
      <c r="D215" s="2">
        <v>336</v>
      </c>
      <c r="F215" s="2">
        <v>0</v>
      </c>
      <c r="J215" s="2">
        <v>0</v>
      </c>
      <c r="K215" s="2">
        <v>0</v>
      </c>
      <c r="M215" s="2">
        <v>0</v>
      </c>
      <c r="N215" s="2">
        <v>412.59</v>
      </c>
    </row>
    <row r="216" spans="1:14">
      <c r="A216">
        <v>205</v>
      </c>
      <c r="B216" s="259">
        <v>1.2024999999999999</v>
      </c>
      <c r="C216">
        <v>205</v>
      </c>
      <c r="D216" s="2">
        <v>346.88</v>
      </c>
      <c r="F216" s="2">
        <v>0</v>
      </c>
      <c r="J216" s="2">
        <v>0</v>
      </c>
      <c r="K216" s="2">
        <v>0</v>
      </c>
      <c r="M216" s="2">
        <v>0</v>
      </c>
      <c r="N216" s="2">
        <v>425.95</v>
      </c>
    </row>
    <row r="217" spans="1:14">
      <c r="A217">
        <v>206</v>
      </c>
      <c r="B217" s="259">
        <v>2.2025000000000001</v>
      </c>
      <c r="C217">
        <v>206</v>
      </c>
      <c r="D217" s="2">
        <v>346.88</v>
      </c>
      <c r="F217" s="2">
        <v>0</v>
      </c>
      <c r="J217" s="2">
        <v>0</v>
      </c>
      <c r="K217" s="2">
        <v>0</v>
      </c>
      <c r="M217" s="2">
        <v>0</v>
      </c>
      <c r="N217" s="2">
        <v>425.95</v>
      </c>
    </row>
    <row r="218" spans="1:14">
      <c r="A218">
        <v>207</v>
      </c>
      <c r="B218" s="259">
        <v>3.2025000000000001</v>
      </c>
      <c r="C218">
        <v>207</v>
      </c>
      <c r="D218" s="2">
        <v>346.88</v>
      </c>
      <c r="F218" s="2">
        <v>0</v>
      </c>
      <c r="J218" s="2">
        <v>0</v>
      </c>
      <c r="K218" s="2">
        <v>0</v>
      </c>
      <c r="M218" s="2">
        <v>0</v>
      </c>
      <c r="N218" s="2">
        <v>425.95</v>
      </c>
    </row>
    <row r="219" spans="1:14">
      <c r="A219">
        <v>208</v>
      </c>
      <c r="B219" s="259">
        <v>4.2024999999999997</v>
      </c>
      <c r="C219">
        <v>208</v>
      </c>
      <c r="D219" s="2">
        <v>346.88</v>
      </c>
      <c r="F219" s="2">
        <v>0</v>
      </c>
      <c r="J219" s="2">
        <v>0</v>
      </c>
      <c r="K219" s="2">
        <v>0</v>
      </c>
      <c r="M219" s="2">
        <v>0</v>
      </c>
      <c r="N219" s="2">
        <v>425.95</v>
      </c>
    </row>
    <row r="220" spans="1:14">
      <c r="A220">
        <v>209</v>
      </c>
      <c r="B220" s="259">
        <v>5.2024999999999997</v>
      </c>
      <c r="C220">
        <v>209</v>
      </c>
      <c r="D220" s="2">
        <v>346.88</v>
      </c>
      <c r="F220" s="2">
        <v>0</v>
      </c>
      <c r="J220" s="2">
        <v>0</v>
      </c>
      <c r="K220" s="2">
        <v>0</v>
      </c>
      <c r="M220" s="2">
        <v>0</v>
      </c>
      <c r="N220" s="2">
        <v>425.95</v>
      </c>
    </row>
    <row r="221" spans="1:14">
      <c r="A221">
        <v>210</v>
      </c>
      <c r="B221" s="259">
        <v>6.2024999999999997</v>
      </c>
      <c r="C221">
        <v>210</v>
      </c>
      <c r="D221" s="2">
        <v>346.88</v>
      </c>
      <c r="F221" s="2">
        <v>0</v>
      </c>
      <c r="J221" s="2">
        <v>0</v>
      </c>
      <c r="K221" s="2">
        <v>0</v>
      </c>
      <c r="M221" s="2">
        <v>0</v>
      </c>
      <c r="N221" s="2">
        <v>425.95</v>
      </c>
    </row>
    <row r="222" spans="1:14">
      <c r="A222">
        <v>211</v>
      </c>
      <c r="B222" s="259">
        <v>7.2024999999999997</v>
      </c>
      <c r="C222">
        <v>211</v>
      </c>
      <c r="D222" s="2">
        <v>346.88</v>
      </c>
      <c r="F222" s="2">
        <v>0</v>
      </c>
      <c r="J222" s="2">
        <v>0</v>
      </c>
      <c r="K222" s="2">
        <v>0</v>
      </c>
      <c r="M222" s="2">
        <v>0</v>
      </c>
      <c r="N222" s="2">
        <v>425.95</v>
      </c>
    </row>
    <row r="223" spans="1:14">
      <c r="A223">
        <v>212</v>
      </c>
      <c r="B223" s="259">
        <v>8.2025000000000006</v>
      </c>
      <c r="C223">
        <v>212</v>
      </c>
      <c r="D223" s="2">
        <v>346.88</v>
      </c>
      <c r="F223" s="2">
        <v>0</v>
      </c>
      <c r="J223" s="2">
        <v>0</v>
      </c>
      <c r="K223" s="2">
        <v>0</v>
      </c>
      <c r="M223" s="2">
        <v>0</v>
      </c>
      <c r="N223" s="2">
        <v>425.95</v>
      </c>
    </row>
    <row r="224" spans="1:14">
      <c r="A224">
        <v>213</v>
      </c>
      <c r="B224" s="259">
        <v>9.2025000000000006</v>
      </c>
      <c r="C224">
        <v>213</v>
      </c>
      <c r="D224" s="2">
        <v>346.88</v>
      </c>
      <c r="F224" s="2">
        <v>0</v>
      </c>
      <c r="J224" s="2">
        <v>0</v>
      </c>
      <c r="K224" s="2">
        <v>0</v>
      </c>
      <c r="M224" s="2">
        <v>0</v>
      </c>
      <c r="N224" s="2">
        <v>425.95</v>
      </c>
    </row>
    <row r="225" spans="1:14">
      <c r="A225">
        <v>214</v>
      </c>
      <c r="B225" s="259">
        <v>10.202500000000001</v>
      </c>
      <c r="C225">
        <v>214</v>
      </c>
      <c r="D225" s="2">
        <v>346.88</v>
      </c>
      <c r="F225" s="2">
        <v>0</v>
      </c>
      <c r="J225" s="2">
        <v>0</v>
      </c>
      <c r="K225" s="2">
        <v>0</v>
      </c>
      <c r="M225" s="2">
        <v>0</v>
      </c>
      <c r="N225" s="2">
        <v>425.95</v>
      </c>
    </row>
    <row r="226" spans="1:14">
      <c r="A226">
        <v>215</v>
      </c>
      <c r="B226" s="259">
        <v>11.202500000000001</v>
      </c>
      <c r="C226">
        <v>215</v>
      </c>
      <c r="D226" s="2">
        <v>346.88</v>
      </c>
      <c r="F226" s="2">
        <v>0</v>
      </c>
      <c r="J226" s="2">
        <v>0</v>
      </c>
      <c r="K226" s="2">
        <v>0</v>
      </c>
      <c r="M226" s="2">
        <v>0</v>
      </c>
      <c r="N226" s="2">
        <v>425.95</v>
      </c>
    </row>
    <row r="227" spans="1:14">
      <c r="A227">
        <v>216</v>
      </c>
      <c r="B227" s="259">
        <v>12.202500000000001</v>
      </c>
      <c r="C227">
        <v>216</v>
      </c>
      <c r="D227" s="2">
        <v>346.88</v>
      </c>
      <c r="F227" s="2">
        <v>0</v>
      </c>
      <c r="J227" s="2">
        <v>0</v>
      </c>
      <c r="K227" s="2">
        <v>0</v>
      </c>
      <c r="M227" s="2">
        <v>0</v>
      </c>
      <c r="N227" s="2">
        <v>425.95</v>
      </c>
    </row>
    <row r="228" spans="1:14">
      <c r="A228">
        <v>217</v>
      </c>
      <c r="B228" s="259">
        <v>1.2025999999999999</v>
      </c>
      <c r="C228">
        <v>217</v>
      </c>
      <c r="D228" s="2">
        <v>356.05</v>
      </c>
      <c r="F228" s="2">
        <v>0</v>
      </c>
      <c r="J228" s="2">
        <v>0</v>
      </c>
      <c r="K228" s="2">
        <v>0</v>
      </c>
      <c r="M228" s="2">
        <v>0</v>
      </c>
      <c r="N228" s="2">
        <v>437.21</v>
      </c>
    </row>
    <row r="229" spans="1:14">
      <c r="A229">
        <v>218</v>
      </c>
      <c r="B229" s="259">
        <v>2.2025999999999999</v>
      </c>
      <c r="C229">
        <v>218</v>
      </c>
      <c r="D229" s="2">
        <v>356.05</v>
      </c>
      <c r="F229" s="2">
        <v>0</v>
      </c>
      <c r="J229" s="2">
        <v>0</v>
      </c>
      <c r="K229" s="2">
        <v>0</v>
      </c>
      <c r="M229" s="2">
        <v>0</v>
      </c>
      <c r="N229" s="2">
        <v>437.21</v>
      </c>
    </row>
    <row r="230" spans="1:14">
      <c r="A230">
        <v>219</v>
      </c>
      <c r="B230" s="259">
        <v>3.2025999999999999</v>
      </c>
      <c r="C230">
        <v>219</v>
      </c>
      <c r="D230" s="2">
        <v>356.05</v>
      </c>
      <c r="F230" s="2">
        <v>0</v>
      </c>
      <c r="J230" s="2">
        <v>0</v>
      </c>
      <c r="K230" s="2">
        <v>0</v>
      </c>
      <c r="M230" s="2">
        <v>0</v>
      </c>
      <c r="N230" s="2">
        <v>437.21</v>
      </c>
    </row>
    <row r="231" spans="1:14">
      <c r="A231">
        <v>220</v>
      </c>
      <c r="B231" s="259">
        <v>4.2026000000000003</v>
      </c>
      <c r="C231">
        <v>220</v>
      </c>
      <c r="D231" s="2">
        <v>356.05</v>
      </c>
      <c r="F231" s="2">
        <v>0</v>
      </c>
      <c r="J231" s="2">
        <v>0</v>
      </c>
      <c r="K231" s="2">
        <v>0</v>
      </c>
      <c r="M231" s="2">
        <v>0</v>
      </c>
      <c r="N231" s="2">
        <v>437.21</v>
      </c>
    </row>
    <row r="232" spans="1:14">
      <c r="A232">
        <v>221</v>
      </c>
      <c r="B232" s="259">
        <v>5.2026000000000003</v>
      </c>
      <c r="C232">
        <v>221</v>
      </c>
      <c r="D232" s="2">
        <v>356.05</v>
      </c>
      <c r="F232" s="2">
        <v>0</v>
      </c>
      <c r="J232" s="2">
        <v>0</v>
      </c>
      <c r="K232" s="2">
        <v>0</v>
      </c>
      <c r="M232" s="2">
        <v>0</v>
      </c>
      <c r="N232" s="2">
        <v>437.21</v>
      </c>
    </row>
    <row r="233" spans="1:14">
      <c r="A233">
        <v>222</v>
      </c>
      <c r="B233" s="259">
        <v>6.2026000000000003</v>
      </c>
      <c r="C233">
        <v>222</v>
      </c>
      <c r="D233" s="2">
        <v>356.05</v>
      </c>
      <c r="F233" s="2">
        <v>0</v>
      </c>
      <c r="J233" s="2">
        <v>0</v>
      </c>
      <c r="K233" s="2">
        <v>0</v>
      </c>
      <c r="M233" s="2">
        <v>0</v>
      </c>
      <c r="N233" s="2">
        <v>437.21</v>
      </c>
    </row>
    <row r="234" spans="1:14">
      <c r="A234">
        <v>223</v>
      </c>
      <c r="B234" s="259">
        <v>7.2026000000000003</v>
      </c>
      <c r="C234">
        <v>223</v>
      </c>
      <c r="D234" s="2">
        <v>356.05</v>
      </c>
      <c r="F234" s="2">
        <v>0</v>
      </c>
      <c r="J234" s="2">
        <v>0</v>
      </c>
      <c r="K234" s="2">
        <v>0</v>
      </c>
      <c r="M234" s="2">
        <v>0</v>
      </c>
      <c r="N234" s="2">
        <v>437.21</v>
      </c>
    </row>
    <row r="235" spans="1:14">
      <c r="A235">
        <v>224</v>
      </c>
      <c r="B235" s="259">
        <v>8.2026000000000003</v>
      </c>
      <c r="C235">
        <v>224</v>
      </c>
      <c r="D235" s="2">
        <v>356.05</v>
      </c>
      <c r="F235" s="2">
        <v>0</v>
      </c>
      <c r="J235" s="2">
        <v>0</v>
      </c>
      <c r="K235" s="2">
        <v>0</v>
      </c>
      <c r="M235" s="2">
        <v>0</v>
      </c>
      <c r="N235" s="2">
        <v>437.21</v>
      </c>
    </row>
    <row r="236" spans="1:14">
      <c r="A236">
        <v>225</v>
      </c>
      <c r="B236" s="259">
        <v>9.2026000000000003</v>
      </c>
      <c r="C236">
        <v>225</v>
      </c>
      <c r="D236" s="2">
        <v>356.05</v>
      </c>
      <c r="F236" s="2">
        <v>0</v>
      </c>
      <c r="J236" s="2">
        <v>0</v>
      </c>
      <c r="K236" s="2">
        <v>0</v>
      </c>
      <c r="M236" s="2">
        <v>0</v>
      </c>
      <c r="N236" s="2">
        <v>437.21</v>
      </c>
    </row>
    <row r="237" spans="1:14">
      <c r="A237">
        <v>226</v>
      </c>
      <c r="B237" s="259">
        <v>10.2026</v>
      </c>
      <c r="C237">
        <v>226</v>
      </c>
      <c r="D237" s="2">
        <v>356.05</v>
      </c>
      <c r="F237" s="2">
        <v>0</v>
      </c>
      <c r="J237" s="2">
        <v>0</v>
      </c>
      <c r="K237" s="2">
        <v>0</v>
      </c>
      <c r="M237" s="2">
        <v>0</v>
      </c>
      <c r="N237" s="2">
        <v>437.21</v>
      </c>
    </row>
    <row r="238" spans="1:14">
      <c r="A238">
        <v>227</v>
      </c>
      <c r="B238" s="259">
        <v>11.2026</v>
      </c>
      <c r="C238">
        <v>227</v>
      </c>
      <c r="D238" s="2">
        <v>356.05</v>
      </c>
      <c r="F238" s="2">
        <v>0</v>
      </c>
      <c r="J238" s="2">
        <v>0</v>
      </c>
      <c r="K238" s="2">
        <v>0</v>
      </c>
      <c r="M238" s="2">
        <v>0</v>
      </c>
      <c r="N238" s="2">
        <v>437.21</v>
      </c>
    </row>
    <row r="239" spans="1:14">
      <c r="A239">
        <v>228</v>
      </c>
      <c r="B239" s="259">
        <v>12.2026</v>
      </c>
      <c r="C239">
        <v>228</v>
      </c>
      <c r="D239" s="2">
        <v>356.05</v>
      </c>
      <c r="F239" s="2">
        <v>0</v>
      </c>
      <c r="J239" s="2">
        <v>0</v>
      </c>
      <c r="K239" s="2">
        <v>0</v>
      </c>
      <c r="M239" s="2">
        <v>0</v>
      </c>
      <c r="N239" s="2">
        <v>437.21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4FFF9-ABD0-4057-B6D9-B85E017505DC}">
  <sheetPr codeName="גיליון26"/>
  <dimension ref="A1:H3646"/>
  <sheetViews>
    <sheetView rightToLeft="1" topLeftCell="A120" workbookViewId="0">
      <selection activeCell="F3333" sqref="F3333"/>
    </sheetView>
  </sheetViews>
  <sheetFormatPr defaultRowHeight="14.4"/>
  <cols>
    <col min="2" max="2" width="24.33203125" bestFit="1" customWidth="1"/>
    <col min="4" max="4" width="26" bestFit="1" customWidth="1"/>
  </cols>
  <sheetData>
    <row r="1" spans="1:8" ht="28.8">
      <c r="A1" s="188" t="s">
        <v>267</v>
      </c>
      <c r="B1" s="188" t="s">
        <v>89</v>
      </c>
      <c r="C1" s="188" t="s">
        <v>54</v>
      </c>
      <c r="D1" s="188" t="s">
        <v>131</v>
      </c>
      <c r="E1" s="215" t="s">
        <v>17</v>
      </c>
      <c r="F1" s="215" t="s">
        <v>132</v>
      </c>
      <c r="G1" s="215" t="s">
        <v>268</v>
      </c>
      <c r="H1" s="215" t="s">
        <v>269</v>
      </c>
    </row>
    <row r="2" spans="1:8">
      <c r="A2">
        <v>41</v>
      </c>
      <c r="B2" t="s">
        <v>270</v>
      </c>
      <c r="C2">
        <v>76</v>
      </c>
      <c r="D2" t="s">
        <v>270</v>
      </c>
      <c r="G2" s="1">
        <v>35</v>
      </c>
    </row>
    <row r="3" spans="1:8">
      <c r="A3">
        <v>91</v>
      </c>
      <c r="B3" t="s">
        <v>271</v>
      </c>
      <c r="C3">
        <v>1</v>
      </c>
      <c r="D3" t="s">
        <v>137</v>
      </c>
      <c r="E3" s="1">
        <v>2</v>
      </c>
      <c r="F3" s="1" t="s">
        <v>159</v>
      </c>
      <c r="G3" s="1">
        <v>2</v>
      </c>
      <c r="H3" s="1" t="s">
        <v>159</v>
      </c>
    </row>
    <row r="4" spans="1:8">
      <c r="A4">
        <v>91</v>
      </c>
      <c r="B4" t="s">
        <v>271</v>
      </c>
      <c r="C4">
        <v>9</v>
      </c>
      <c r="D4" t="s">
        <v>185</v>
      </c>
      <c r="E4" s="1">
        <v>1</v>
      </c>
      <c r="F4" s="1" t="s">
        <v>272</v>
      </c>
      <c r="G4" s="1">
        <v>30</v>
      </c>
      <c r="H4" s="1" t="s">
        <v>272</v>
      </c>
    </row>
    <row r="5" spans="1:8">
      <c r="A5">
        <v>91</v>
      </c>
      <c r="B5" t="s">
        <v>271</v>
      </c>
      <c r="C5">
        <v>9</v>
      </c>
      <c r="D5" t="s">
        <v>185</v>
      </c>
      <c r="E5" s="1">
        <v>1</v>
      </c>
      <c r="F5" s="1" t="s">
        <v>273</v>
      </c>
      <c r="G5" s="1">
        <v>42</v>
      </c>
      <c r="H5" s="1" t="s">
        <v>273</v>
      </c>
    </row>
    <row r="6" spans="1:8">
      <c r="A6">
        <v>91</v>
      </c>
      <c r="B6" t="s">
        <v>271</v>
      </c>
      <c r="C6">
        <v>9</v>
      </c>
      <c r="D6" t="s">
        <v>185</v>
      </c>
      <c r="E6" s="1">
        <v>1</v>
      </c>
      <c r="F6" s="1" t="s">
        <v>274</v>
      </c>
      <c r="G6" s="1">
        <v>50</v>
      </c>
      <c r="H6" s="1" t="s">
        <v>274</v>
      </c>
    </row>
    <row r="7" spans="1:8">
      <c r="A7">
        <v>91</v>
      </c>
      <c r="B7" t="s">
        <v>271</v>
      </c>
      <c r="C7">
        <v>9</v>
      </c>
      <c r="D7" t="s">
        <v>185</v>
      </c>
      <c r="E7" s="1">
        <v>1</v>
      </c>
      <c r="F7" s="1" t="s">
        <v>275</v>
      </c>
      <c r="G7" s="1">
        <v>52</v>
      </c>
      <c r="H7" s="1" t="s">
        <v>275</v>
      </c>
    </row>
    <row r="8" spans="1:8">
      <c r="A8">
        <v>91</v>
      </c>
      <c r="B8" t="s">
        <v>271</v>
      </c>
      <c r="C8">
        <v>9</v>
      </c>
      <c r="D8" t="s">
        <v>185</v>
      </c>
      <c r="E8" s="1">
        <v>1</v>
      </c>
      <c r="F8" s="1" t="s">
        <v>276</v>
      </c>
      <c r="G8" s="1">
        <v>60</v>
      </c>
      <c r="H8" s="1" t="s">
        <v>276</v>
      </c>
    </row>
    <row r="9" spans="1:8">
      <c r="A9">
        <v>91</v>
      </c>
      <c r="B9" t="s">
        <v>271</v>
      </c>
      <c r="C9">
        <v>9</v>
      </c>
      <c r="D9" t="s">
        <v>185</v>
      </c>
      <c r="E9" s="1">
        <v>1</v>
      </c>
      <c r="F9" s="1" t="s">
        <v>277</v>
      </c>
      <c r="G9" s="1">
        <v>62</v>
      </c>
      <c r="H9" s="1" t="s">
        <v>277</v>
      </c>
    </row>
    <row r="10" spans="1:8">
      <c r="A10">
        <v>91</v>
      </c>
      <c r="B10" t="s">
        <v>271</v>
      </c>
      <c r="C10">
        <v>9</v>
      </c>
      <c r="D10" t="s">
        <v>185</v>
      </c>
      <c r="E10" s="1">
        <v>3</v>
      </c>
      <c r="F10" s="1" t="s">
        <v>278</v>
      </c>
      <c r="G10" s="1">
        <v>32</v>
      </c>
      <c r="H10" s="1" t="s">
        <v>278</v>
      </c>
    </row>
    <row r="11" spans="1:8">
      <c r="A11">
        <v>91</v>
      </c>
      <c r="B11" t="s">
        <v>271</v>
      </c>
      <c r="C11">
        <v>9</v>
      </c>
      <c r="D11" t="s">
        <v>185</v>
      </c>
      <c r="E11" s="1">
        <v>3</v>
      </c>
      <c r="F11" s="1" t="s">
        <v>279</v>
      </c>
      <c r="G11" s="1">
        <v>40</v>
      </c>
      <c r="H11" s="1" t="s">
        <v>279</v>
      </c>
    </row>
    <row r="12" spans="1:8">
      <c r="A12">
        <v>91</v>
      </c>
      <c r="B12" t="s">
        <v>271</v>
      </c>
      <c r="C12">
        <v>9</v>
      </c>
      <c r="D12" t="s">
        <v>185</v>
      </c>
      <c r="E12" s="1">
        <v>3</v>
      </c>
      <c r="F12" s="1" t="s">
        <v>280</v>
      </c>
      <c r="G12" s="1">
        <v>50</v>
      </c>
      <c r="H12" s="1" t="s">
        <v>280</v>
      </c>
    </row>
    <row r="13" spans="1:8">
      <c r="A13">
        <v>91</v>
      </c>
      <c r="B13" t="s">
        <v>271</v>
      </c>
      <c r="C13">
        <v>9</v>
      </c>
      <c r="D13" t="s">
        <v>185</v>
      </c>
      <c r="E13" s="1">
        <v>3</v>
      </c>
      <c r="F13" s="1" t="s">
        <v>281</v>
      </c>
      <c r="G13" s="1">
        <v>52</v>
      </c>
      <c r="H13" s="1" t="s">
        <v>281</v>
      </c>
    </row>
    <row r="14" spans="1:8">
      <c r="A14">
        <v>91</v>
      </c>
      <c r="B14" t="s">
        <v>271</v>
      </c>
      <c r="C14">
        <v>9</v>
      </c>
      <c r="D14" t="s">
        <v>185</v>
      </c>
      <c r="E14" s="1">
        <v>3</v>
      </c>
      <c r="F14" s="1" t="s">
        <v>282</v>
      </c>
      <c r="G14" s="1">
        <v>60</v>
      </c>
      <c r="H14" s="1" t="s">
        <v>282</v>
      </c>
    </row>
    <row r="15" spans="1:8">
      <c r="A15">
        <v>91</v>
      </c>
      <c r="B15" t="s">
        <v>271</v>
      </c>
      <c r="C15">
        <v>9</v>
      </c>
      <c r="D15" t="s">
        <v>185</v>
      </c>
      <c r="E15" s="1">
        <v>3</v>
      </c>
      <c r="F15" s="1" t="s">
        <v>283</v>
      </c>
      <c r="G15" s="1">
        <v>62</v>
      </c>
      <c r="H15" s="1" t="s">
        <v>283</v>
      </c>
    </row>
    <row r="16" spans="1:8">
      <c r="A16">
        <v>91</v>
      </c>
      <c r="B16" t="s">
        <v>271</v>
      </c>
      <c r="C16">
        <v>12</v>
      </c>
      <c r="D16" t="s">
        <v>107</v>
      </c>
      <c r="E16" s="1">
        <v>1</v>
      </c>
      <c r="F16" s="1">
        <v>40</v>
      </c>
      <c r="G16" s="1">
        <v>10</v>
      </c>
      <c r="H16" s="1">
        <v>40</v>
      </c>
    </row>
    <row r="17" spans="1:8">
      <c r="A17">
        <v>91</v>
      </c>
      <c r="B17" t="s">
        <v>271</v>
      </c>
      <c r="C17">
        <v>13</v>
      </c>
      <c r="D17" t="s">
        <v>200</v>
      </c>
      <c r="E17" s="1">
        <v>1</v>
      </c>
      <c r="F17" s="1" t="s">
        <v>194</v>
      </c>
      <c r="G17" s="1">
        <v>22</v>
      </c>
      <c r="H17" s="1" t="s">
        <v>194</v>
      </c>
    </row>
    <row r="18" spans="1:8">
      <c r="A18">
        <v>91</v>
      </c>
      <c r="B18" t="s">
        <v>271</v>
      </c>
      <c r="C18">
        <v>24</v>
      </c>
      <c r="D18" t="s">
        <v>208</v>
      </c>
      <c r="E18" s="1">
        <v>1</v>
      </c>
      <c r="F18" s="1" t="s">
        <v>284</v>
      </c>
      <c r="G18" s="1">
        <v>20</v>
      </c>
      <c r="H18" s="1" t="s">
        <v>284</v>
      </c>
    </row>
    <row r="19" spans="1:8">
      <c r="A19">
        <v>101</v>
      </c>
      <c r="B19" t="s">
        <v>285</v>
      </c>
      <c r="C19">
        <v>1</v>
      </c>
      <c r="D19" t="s">
        <v>137</v>
      </c>
      <c r="E19" s="1">
        <v>2</v>
      </c>
      <c r="F19" s="1" t="s">
        <v>162</v>
      </c>
      <c r="G19" s="1">
        <v>12</v>
      </c>
      <c r="H19" s="1" t="s">
        <v>162</v>
      </c>
    </row>
    <row r="20" spans="1:8">
      <c r="A20">
        <v>101</v>
      </c>
      <c r="B20" t="s">
        <v>285</v>
      </c>
      <c r="C20">
        <v>1</v>
      </c>
      <c r="D20" t="s">
        <v>137</v>
      </c>
      <c r="E20" s="1">
        <v>2</v>
      </c>
      <c r="F20" s="1">
        <v>20</v>
      </c>
      <c r="G20" s="1">
        <v>20</v>
      </c>
      <c r="H20" s="1">
        <v>20</v>
      </c>
    </row>
    <row r="21" spans="1:8">
      <c r="A21">
        <v>101</v>
      </c>
      <c r="B21" t="s">
        <v>285</v>
      </c>
      <c r="C21">
        <v>1</v>
      </c>
      <c r="D21" t="s">
        <v>137</v>
      </c>
      <c r="E21" s="1">
        <v>2</v>
      </c>
      <c r="F21" s="1" t="s">
        <v>165</v>
      </c>
      <c r="G21" s="1">
        <v>22</v>
      </c>
      <c r="H21" s="1" t="s">
        <v>165</v>
      </c>
    </row>
    <row r="22" spans="1:8">
      <c r="A22">
        <v>101</v>
      </c>
      <c r="B22" t="s">
        <v>285</v>
      </c>
      <c r="C22">
        <v>1</v>
      </c>
      <c r="D22" t="s">
        <v>137</v>
      </c>
      <c r="E22" s="1">
        <v>2</v>
      </c>
      <c r="F22" s="1" t="s">
        <v>168</v>
      </c>
      <c r="G22" s="1">
        <v>32</v>
      </c>
      <c r="H22" s="1" t="s">
        <v>168</v>
      </c>
    </row>
    <row r="23" spans="1:8">
      <c r="A23">
        <v>101</v>
      </c>
      <c r="B23" t="s">
        <v>285</v>
      </c>
      <c r="C23">
        <v>1</v>
      </c>
      <c r="D23" t="s">
        <v>137</v>
      </c>
      <c r="E23" s="1">
        <v>2</v>
      </c>
      <c r="F23" s="1">
        <v>22</v>
      </c>
      <c r="G23" s="1">
        <v>40</v>
      </c>
      <c r="H23" s="1">
        <v>22</v>
      </c>
    </row>
    <row r="24" spans="1:8">
      <c r="A24">
        <v>101</v>
      </c>
      <c r="B24" t="s">
        <v>285</v>
      </c>
      <c r="C24">
        <v>1</v>
      </c>
      <c r="D24" t="s">
        <v>137</v>
      </c>
      <c r="E24" s="1">
        <v>2</v>
      </c>
      <c r="F24" s="1" t="s">
        <v>171</v>
      </c>
      <c r="G24" s="1">
        <v>42</v>
      </c>
      <c r="H24" s="1" t="s">
        <v>171</v>
      </c>
    </row>
    <row r="25" spans="1:8">
      <c r="A25">
        <v>101</v>
      </c>
      <c r="B25" t="s">
        <v>285</v>
      </c>
      <c r="C25">
        <v>1</v>
      </c>
      <c r="D25" t="s">
        <v>137</v>
      </c>
      <c r="E25" s="1">
        <v>2</v>
      </c>
      <c r="F25" s="1" t="s">
        <v>174</v>
      </c>
      <c r="G25" s="1">
        <v>52</v>
      </c>
      <c r="H25" s="1" t="s">
        <v>174</v>
      </c>
    </row>
    <row r="26" spans="1:8">
      <c r="A26">
        <v>101</v>
      </c>
      <c r="B26" t="s">
        <v>285</v>
      </c>
      <c r="C26">
        <v>1</v>
      </c>
      <c r="D26" t="s">
        <v>137</v>
      </c>
      <c r="E26" s="1">
        <v>2</v>
      </c>
      <c r="F26" s="1">
        <v>24</v>
      </c>
      <c r="G26" s="1">
        <v>60</v>
      </c>
      <c r="H26" s="1">
        <v>24</v>
      </c>
    </row>
    <row r="27" spans="1:8">
      <c r="A27">
        <v>101</v>
      </c>
      <c r="B27" t="s">
        <v>285</v>
      </c>
      <c r="C27">
        <v>1</v>
      </c>
      <c r="D27" t="s">
        <v>137</v>
      </c>
      <c r="E27" s="1">
        <v>2</v>
      </c>
      <c r="F27" s="1" t="s">
        <v>177</v>
      </c>
      <c r="G27" s="1">
        <v>62</v>
      </c>
      <c r="H27" s="1" t="s">
        <v>177</v>
      </c>
    </row>
    <row r="28" spans="1:8">
      <c r="A28">
        <v>101</v>
      </c>
      <c r="B28" t="s">
        <v>285</v>
      </c>
      <c r="C28">
        <v>6</v>
      </c>
      <c r="D28" t="s">
        <v>184</v>
      </c>
      <c r="G28" s="1">
        <v>50</v>
      </c>
    </row>
    <row r="29" spans="1:8">
      <c r="A29">
        <v>101</v>
      </c>
      <c r="B29" t="s">
        <v>285</v>
      </c>
      <c r="C29">
        <v>6</v>
      </c>
      <c r="D29" t="s">
        <v>184</v>
      </c>
      <c r="G29" s="1">
        <v>63</v>
      </c>
    </row>
    <row r="30" spans="1:8">
      <c r="A30">
        <v>101</v>
      </c>
      <c r="B30" t="s">
        <v>285</v>
      </c>
      <c r="C30">
        <v>11</v>
      </c>
      <c r="D30" t="s">
        <v>186</v>
      </c>
      <c r="E30" s="1">
        <v>1</v>
      </c>
      <c r="F30" s="1">
        <v>42</v>
      </c>
      <c r="G30" s="1">
        <v>30</v>
      </c>
      <c r="H30" s="1">
        <v>42</v>
      </c>
    </row>
    <row r="31" spans="1:8">
      <c r="A31">
        <v>101</v>
      </c>
      <c r="B31" t="s">
        <v>285</v>
      </c>
      <c r="C31">
        <v>11</v>
      </c>
      <c r="D31" t="s">
        <v>186</v>
      </c>
      <c r="E31" s="1">
        <v>1</v>
      </c>
      <c r="F31" s="1" t="s">
        <v>196</v>
      </c>
      <c r="G31" s="1">
        <v>42</v>
      </c>
      <c r="H31" s="1" t="s">
        <v>196</v>
      </c>
    </row>
    <row r="32" spans="1:8">
      <c r="A32">
        <v>101</v>
      </c>
      <c r="B32" t="s">
        <v>285</v>
      </c>
      <c r="C32">
        <v>11</v>
      </c>
      <c r="D32" t="s">
        <v>186</v>
      </c>
      <c r="E32" s="1">
        <v>1</v>
      </c>
      <c r="F32" s="1">
        <v>44</v>
      </c>
      <c r="G32" s="1">
        <v>50</v>
      </c>
      <c r="H32" s="1">
        <v>44</v>
      </c>
    </row>
    <row r="33" spans="1:8">
      <c r="A33">
        <v>101</v>
      </c>
      <c r="B33" t="s">
        <v>285</v>
      </c>
      <c r="C33">
        <v>11</v>
      </c>
      <c r="D33" t="s">
        <v>186</v>
      </c>
      <c r="E33" s="1">
        <v>1</v>
      </c>
      <c r="F33" s="1" t="s">
        <v>197</v>
      </c>
      <c r="G33" s="1">
        <v>52</v>
      </c>
      <c r="H33" s="1" t="s">
        <v>197</v>
      </c>
    </row>
    <row r="34" spans="1:8">
      <c r="A34">
        <v>101</v>
      </c>
      <c r="B34" t="s">
        <v>285</v>
      </c>
      <c r="C34">
        <v>11</v>
      </c>
      <c r="D34" t="s">
        <v>186</v>
      </c>
      <c r="E34" s="1">
        <v>1</v>
      </c>
      <c r="F34" s="1" t="s">
        <v>198</v>
      </c>
      <c r="G34" s="1">
        <v>62</v>
      </c>
      <c r="H34" s="1" t="s">
        <v>198</v>
      </c>
    </row>
    <row r="35" spans="1:8">
      <c r="A35">
        <v>101</v>
      </c>
      <c r="B35" t="s">
        <v>285</v>
      </c>
      <c r="C35">
        <v>11</v>
      </c>
      <c r="D35" t="s">
        <v>186</v>
      </c>
      <c r="E35" s="1">
        <v>1</v>
      </c>
      <c r="F35" s="1" t="s">
        <v>199</v>
      </c>
      <c r="G35" s="1">
        <v>72</v>
      </c>
      <c r="H35" s="1" t="s">
        <v>199</v>
      </c>
    </row>
    <row r="36" spans="1:8">
      <c r="A36">
        <v>101</v>
      </c>
      <c r="B36" t="s">
        <v>285</v>
      </c>
      <c r="C36">
        <v>15</v>
      </c>
      <c r="D36" t="s">
        <v>201</v>
      </c>
      <c r="E36" s="1">
        <v>4</v>
      </c>
      <c r="F36" s="1" t="s">
        <v>286</v>
      </c>
      <c r="G36" s="1">
        <v>70</v>
      </c>
      <c r="H36" s="1" t="s">
        <v>286</v>
      </c>
    </row>
    <row r="37" spans="1:8">
      <c r="A37">
        <v>101</v>
      </c>
      <c r="B37" t="s">
        <v>285</v>
      </c>
      <c r="C37">
        <v>21</v>
      </c>
      <c r="D37" t="s">
        <v>205</v>
      </c>
      <c r="E37" s="1">
        <v>1</v>
      </c>
      <c r="F37" s="1" t="s">
        <v>287</v>
      </c>
      <c r="G37" s="1">
        <v>52</v>
      </c>
      <c r="H37" s="1" t="s">
        <v>287</v>
      </c>
    </row>
    <row r="38" spans="1:8">
      <c r="A38">
        <v>101</v>
      </c>
      <c r="B38" t="s">
        <v>285</v>
      </c>
      <c r="C38">
        <v>21</v>
      </c>
      <c r="D38" t="s">
        <v>205</v>
      </c>
      <c r="E38" s="1">
        <v>1</v>
      </c>
      <c r="F38" s="1" t="s">
        <v>288</v>
      </c>
      <c r="G38" s="1">
        <v>62</v>
      </c>
      <c r="H38" s="1" t="s">
        <v>288</v>
      </c>
    </row>
    <row r="39" spans="1:8">
      <c r="A39">
        <v>102</v>
      </c>
      <c r="B39" t="s">
        <v>289</v>
      </c>
      <c r="C39">
        <v>1</v>
      </c>
      <c r="D39" t="s">
        <v>137</v>
      </c>
      <c r="E39" s="1">
        <v>1</v>
      </c>
      <c r="F39" s="1">
        <v>16</v>
      </c>
      <c r="G39" s="1">
        <v>90</v>
      </c>
      <c r="H39" s="1">
        <v>16</v>
      </c>
    </row>
    <row r="40" spans="1:8">
      <c r="A40">
        <v>102</v>
      </c>
      <c r="B40" t="s">
        <v>289</v>
      </c>
      <c r="C40">
        <v>1</v>
      </c>
      <c r="D40" t="s">
        <v>137</v>
      </c>
      <c r="E40" s="1">
        <v>1</v>
      </c>
      <c r="F40" s="1">
        <v>17</v>
      </c>
      <c r="G40" s="1">
        <v>94</v>
      </c>
      <c r="H40" s="1">
        <v>17</v>
      </c>
    </row>
    <row r="41" spans="1:8">
      <c r="A41">
        <v>102</v>
      </c>
      <c r="B41" t="s">
        <v>289</v>
      </c>
      <c r="C41">
        <v>1</v>
      </c>
      <c r="D41" t="s">
        <v>137</v>
      </c>
      <c r="E41" s="1">
        <v>2</v>
      </c>
      <c r="F41" s="1" t="s">
        <v>159</v>
      </c>
      <c r="G41" s="1">
        <v>2</v>
      </c>
      <c r="H41" s="1" t="s">
        <v>159</v>
      </c>
    </row>
    <row r="42" spans="1:8">
      <c r="A42">
        <v>102</v>
      </c>
      <c r="B42" t="s">
        <v>289</v>
      </c>
      <c r="C42">
        <v>1</v>
      </c>
      <c r="D42" t="s">
        <v>137</v>
      </c>
      <c r="E42" s="1">
        <v>2</v>
      </c>
      <c r="F42" s="1">
        <v>20</v>
      </c>
      <c r="G42" s="1">
        <v>20</v>
      </c>
      <c r="H42" s="1">
        <v>20</v>
      </c>
    </row>
    <row r="43" spans="1:8">
      <c r="A43">
        <v>102</v>
      </c>
      <c r="B43" t="s">
        <v>289</v>
      </c>
      <c r="C43">
        <v>1</v>
      </c>
      <c r="D43" t="s">
        <v>137</v>
      </c>
      <c r="E43" s="1">
        <v>2</v>
      </c>
      <c r="F43" s="1" t="s">
        <v>165</v>
      </c>
      <c r="G43" s="1">
        <v>22</v>
      </c>
      <c r="H43" s="1" t="s">
        <v>165</v>
      </c>
    </row>
    <row r="44" spans="1:8">
      <c r="A44">
        <v>102</v>
      </c>
      <c r="B44" t="s">
        <v>289</v>
      </c>
      <c r="C44">
        <v>1</v>
      </c>
      <c r="D44" t="s">
        <v>137</v>
      </c>
      <c r="E44" s="1">
        <v>2</v>
      </c>
      <c r="F44" s="1">
        <v>21</v>
      </c>
      <c r="G44" s="1">
        <v>30</v>
      </c>
      <c r="H44" s="1">
        <v>21</v>
      </c>
    </row>
    <row r="45" spans="1:8">
      <c r="A45">
        <v>102</v>
      </c>
      <c r="B45" t="s">
        <v>289</v>
      </c>
      <c r="C45">
        <v>1</v>
      </c>
      <c r="D45" t="s">
        <v>137</v>
      </c>
      <c r="E45" s="1">
        <v>2</v>
      </c>
      <c r="F45" s="1" t="s">
        <v>168</v>
      </c>
      <c r="G45" s="1">
        <v>32</v>
      </c>
      <c r="H45" s="1" t="s">
        <v>168</v>
      </c>
    </row>
    <row r="46" spans="1:8">
      <c r="A46">
        <v>102</v>
      </c>
      <c r="B46" t="s">
        <v>289</v>
      </c>
      <c r="C46">
        <v>1</v>
      </c>
      <c r="D46" t="s">
        <v>137</v>
      </c>
      <c r="E46" s="1">
        <v>2</v>
      </c>
      <c r="F46" s="1">
        <v>22</v>
      </c>
      <c r="G46" s="1">
        <v>40</v>
      </c>
      <c r="H46" s="1">
        <v>22</v>
      </c>
    </row>
    <row r="47" spans="1:8">
      <c r="A47">
        <v>102</v>
      </c>
      <c r="B47" t="s">
        <v>289</v>
      </c>
      <c r="C47">
        <v>1</v>
      </c>
      <c r="D47" t="s">
        <v>137</v>
      </c>
      <c r="E47" s="1">
        <v>2</v>
      </c>
      <c r="F47" s="1" t="s">
        <v>171</v>
      </c>
      <c r="G47" s="1">
        <v>42</v>
      </c>
      <c r="H47" s="1" t="s">
        <v>171</v>
      </c>
    </row>
    <row r="48" spans="1:8">
      <c r="A48">
        <v>102</v>
      </c>
      <c r="B48" t="s">
        <v>289</v>
      </c>
      <c r="C48">
        <v>1</v>
      </c>
      <c r="D48" t="s">
        <v>137</v>
      </c>
      <c r="E48" s="1">
        <v>2</v>
      </c>
      <c r="F48" s="1">
        <v>23</v>
      </c>
      <c r="G48" s="1">
        <v>50</v>
      </c>
      <c r="H48" s="1">
        <v>23</v>
      </c>
    </row>
    <row r="49" spans="1:8">
      <c r="A49">
        <v>102</v>
      </c>
      <c r="B49" t="s">
        <v>289</v>
      </c>
      <c r="C49">
        <v>1</v>
      </c>
      <c r="D49" t="s">
        <v>137</v>
      </c>
      <c r="E49" s="1">
        <v>2</v>
      </c>
      <c r="F49" s="1" t="s">
        <v>174</v>
      </c>
      <c r="G49" s="1">
        <v>52</v>
      </c>
      <c r="H49" s="1" t="s">
        <v>174</v>
      </c>
    </row>
    <row r="50" spans="1:8">
      <c r="A50">
        <v>102</v>
      </c>
      <c r="B50" t="s">
        <v>289</v>
      </c>
      <c r="C50">
        <v>1</v>
      </c>
      <c r="D50" t="s">
        <v>137</v>
      </c>
      <c r="E50" s="1">
        <v>2</v>
      </c>
      <c r="F50" s="1">
        <v>24</v>
      </c>
      <c r="G50" s="1">
        <v>60</v>
      </c>
      <c r="H50" s="1">
        <v>24</v>
      </c>
    </row>
    <row r="51" spans="1:8">
      <c r="A51">
        <v>102</v>
      </c>
      <c r="B51" t="s">
        <v>289</v>
      </c>
      <c r="C51">
        <v>1</v>
      </c>
      <c r="D51" t="s">
        <v>137</v>
      </c>
      <c r="E51" s="1">
        <v>2</v>
      </c>
      <c r="F51" s="1" t="s">
        <v>177</v>
      </c>
      <c r="G51" s="1">
        <v>62</v>
      </c>
      <c r="H51" s="1" t="s">
        <v>177</v>
      </c>
    </row>
    <row r="52" spans="1:8">
      <c r="A52">
        <v>102</v>
      </c>
      <c r="B52" t="s">
        <v>289</v>
      </c>
      <c r="C52">
        <v>1</v>
      </c>
      <c r="D52" t="s">
        <v>137</v>
      </c>
      <c r="E52" s="1">
        <v>2</v>
      </c>
      <c r="F52" s="1">
        <v>25</v>
      </c>
      <c r="G52" s="1">
        <v>70</v>
      </c>
      <c r="H52" s="1">
        <v>25</v>
      </c>
    </row>
    <row r="53" spans="1:8">
      <c r="A53">
        <v>102</v>
      </c>
      <c r="B53" t="s">
        <v>289</v>
      </c>
      <c r="C53">
        <v>1</v>
      </c>
      <c r="D53" t="s">
        <v>137</v>
      </c>
      <c r="E53" s="1">
        <v>2</v>
      </c>
      <c r="F53" s="1" t="s">
        <v>180</v>
      </c>
      <c r="G53" s="1">
        <v>72</v>
      </c>
      <c r="H53" s="1" t="s">
        <v>180</v>
      </c>
    </row>
    <row r="54" spans="1:8">
      <c r="A54">
        <v>102</v>
      </c>
      <c r="B54" t="s">
        <v>289</v>
      </c>
      <c r="C54">
        <v>1</v>
      </c>
      <c r="D54" t="s">
        <v>137</v>
      </c>
      <c r="E54" s="1">
        <v>2</v>
      </c>
      <c r="F54" s="1">
        <v>18</v>
      </c>
      <c r="H54" s="1">
        <v>18</v>
      </c>
    </row>
    <row r="55" spans="1:8">
      <c r="A55">
        <v>102</v>
      </c>
      <c r="B55" t="s">
        <v>289</v>
      </c>
      <c r="C55">
        <v>6</v>
      </c>
      <c r="D55" t="s">
        <v>184</v>
      </c>
      <c r="E55" s="1">
        <v>1</v>
      </c>
      <c r="F55" s="1" t="s">
        <v>290</v>
      </c>
      <c r="G55" s="1">
        <v>10</v>
      </c>
      <c r="H55" s="1" t="s">
        <v>290</v>
      </c>
    </row>
    <row r="56" spans="1:8">
      <c r="A56">
        <v>102</v>
      </c>
      <c r="B56" t="s">
        <v>289</v>
      </c>
      <c r="C56">
        <v>6</v>
      </c>
      <c r="D56" t="s">
        <v>184</v>
      </c>
      <c r="G56" s="1">
        <v>23</v>
      </c>
    </row>
    <row r="57" spans="1:8">
      <c r="A57">
        <v>102</v>
      </c>
      <c r="B57" t="s">
        <v>289</v>
      </c>
      <c r="C57">
        <v>6</v>
      </c>
      <c r="D57" t="s">
        <v>184</v>
      </c>
      <c r="G57" s="1">
        <v>63</v>
      </c>
    </row>
    <row r="58" spans="1:8">
      <c r="A58">
        <v>102</v>
      </c>
      <c r="B58" t="s">
        <v>289</v>
      </c>
      <c r="C58">
        <v>11</v>
      </c>
      <c r="D58" t="s">
        <v>186</v>
      </c>
      <c r="E58" s="1">
        <v>1</v>
      </c>
      <c r="F58" s="1">
        <v>42</v>
      </c>
      <c r="G58" s="1">
        <v>30</v>
      </c>
      <c r="H58" s="1">
        <v>42</v>
      </c>
    </row>
    <row r="59" spans="1:8">
      <c r="A59">
        <v>102</v>
      </c>
      <c r="B59" t="s">
        <v>289</v>
      </c>
      <c r="C59">
        <v>11</v>
      </c>
      <c r="D59" t="s">
        <v>186</v>
      </c>
      <c r="E59" s="1">
        <v>1</v>
      </c>
      <c r="F59" s="1">
        <v>43</v>
      </c>
      <c r="G59" s="1">
        <v>40</v>
      </c>
      <c r="H59" s="1">
        <v>43</v>
      </c>
    </row>
    <row r="60" spans="1:8">
      <c r="A60">
        <v>102</v>
      </c>
      <c r="B60" t="s">
        <v>289</v>
      </c>
      <c r="C60">
        <v>11</v>
      </c>
      <c r="D60" t="s">
        <v>186</v>
      </c>
      <c r="E60" s="1">
        <v>1</v>
      </c>
      <c r="F60" s="1" t="s">
        <v>196</v>
      </c>
      <c r="G60" s="1">
        <v>42</v>
      </c>
      <c r="H60" s="1" t="s">
        <v>196</v>
      </c>
    </row>
    <row r="61" spans="1:8">
      <c r="A61">
        <v>102</v>
      </c>
      <c r="B61" t="s">
        <v>289</v>
      </c>
      <c r="C61">
        <v>11</v>
      </c>
      <c r="D61" t="s">
        <v>186</v>
      </c>
      <c r="E61" s="1">
        <v>1</v>
      </c>
      <c r="F61" s="1">
        <v>44</v>
      </c>
      <c r="G61" s="1">
        <v>50</v>
      </c>
      <c r="H61" s="1">
        <v>44</v>
      </c>
    </row>
    <row r="62" spans="1:8">
      <c r="A62">
        <v>102</v>
      </c>
      <c r="B62" t="s">
        <v>289</v>
      </c>
      <c r="C62">
        <v>11</v>
      </c>
      <c r="D62" t="s">
        <v>186</v>
      </c>
      <c r="E62" s="1">
        <v>1</v>
      </c>
      <c r="F62" s="1" t="s">
        <v>197</v>
      </c>
      <c r="G62" s="1">
        <v>52</v>
      </c>
      <c r="H62" s="1" t="s">
        <v>197</v>
      </c>
    </row>
    <row r="63" spans="1:8">
      <c r="A63">
        <v>102</v>
      </c>
      <c r="B63" t="s">
        <v>289</v>
      </c>
      <c r="C63">
        <v>11</v>
      </c>
      <c r="D63" t="s">
        <v>186</v>
      </c>
      <c r="E63" s="1">
        <v>1</v>
      </c>
      <c r="F63" s="1">
        <v>45</v>
      </c>
      <c r="G63" s="1">
        <v>60</v>
      </c>
      <c r="H63" s="1">
        <v>45</v>
      </c>
    </row>
    <row r="64" spans="1:8">
      <c r="A64">
        <v>102</v>
      </c>
      <c r="B64" t="s">
        <v>289</v>
      </c>
      <c r="C64">
        <v>11</v>
      </c>
      <c r="D64" t="s">
        <v>186</v>
      </c>
      <c r="E64" s="1">
        <v>1</v>
      </c>
      <c r="F64" s="1" t="s">
        <v>198</v>
      </c>
      <c r="G64" s="1">
        <v>62</v>
      </c>
      <c r="H64" s="1" t="s">
        <v>198</v>
      </c>
    </row>
    <row r="65" spans="1:8">
      <c r="A65">
        <v>102</v>
      </c>
      <c r="B65" t="s">
        <v>289</v>
      </c>
      <c r="C65">
        <v>11</v>
      </c>
      <c r="D65" t="s">
        <v>186</v>
      </c>
      <c r="E65" s="1">
        <v>1</v>
      </c>
      <c r="F65" s="1">
        <v>46</v>
      </c>
      <c r="G65" s="1">
        <v>70</v>
      </c>
      <c r="H65" s="1">
        <v>46</v>
      </c>
    </row>
    <row r="66" spans="1:8">
      <c r="A66">
        <v>102</v>
      </c>
      <c r="B66" t="s">
        <v>289</v>
      </c>
      <c r="C66">
        <v>11</v>
      </c>
      <c r="D66" t="s">
        <v>186</v>
      </c>
      <c r="E66" s="1">
        <v>1</v>
      </c>
      <c r="F66" s="1" t="s">
        <v>199</v>
      </c>
      <c r="G66" s="1">
        <v>72</v>
      </c>
      <c r="H66" s="1" t="s">
        <v>199</v>
      </c>
    </row>
    <row r="67" spans="1:8">
      <c r="A67">
        <v>102</v>
      </c>
      <c r="B67" t="s">
        <v>289</v>
      </c>
      <c r="C67">
        <v>12</v>
      </c>
      <c r="D67" t="s">
        <v>107</v>
      </c>
      <c r="E67" s="1">
        <v>1</v>
      </c>
      <c r="F67" s="1" t="s">
        <v>196</v>
      </c>
      <c r="G67" s="1">
        <v>42</v>
      </c>
      <c r="H67" s="1" t="s">
        <v>196</v>
      </c>
    </row>
    <row r="68" spans="1:8">
      <c r="A68">
        <v>102</v>
      </c>
      <c r="B68" t="s">
        <v>289</v>
      </c>
      <c r="C68">
        <v>12</v>
      </c>
      <c r="D68" t="s">
        <v>107</v>
      </c>
      <c r="E68" s="1">
        <v>1</v>
      </c>
      <c r="F68" s="1">
        <v>44</v>
      </c>
      <c r="G68" s="1">
        <v>50</v>
      </c>
      <c r="H68" s="1">
        <v>44</v>
      </c>
    </row>
    <row r="69" spans="1:8">
      <c r="A69">
        <v>102</v>
      </c>
      <c r="B69" t="s">
        <v>289</v>
      </c>
      <c r="C69">
        <v>12</v>
      </c>
      <c r="D69" t="s">
        <v>107</v>
      </c>
      <c r="E69" s="1">
        <v>1</v>
      </c>
      <c r="F69" s="1" t="s">
        <v>199</v>
      </c>
      <c r="G69" s="1">
        <v>72</v>
      </c>
      <c r="H69" s="1" t="s">
        <v>199</v>
      </c>
    </row>
    <row r="70" spans="1:8">
      <c r="A70">
        <v>102</v>
      </c>
      <c r="B70" t="s">
        <v>289</v>
      </c>
      <c r="C70">
        <v>13</v>
      </c>
      <c r="D70" t="s">
        <v>200</v>
      </c>
      <c r="E70" s="1">
        <v>1</v>
      </c>
      <c r="F70" s="1" t="s">
        <v>192</v>
      </c>
      <c r="G70" s="1">
        <v>2</v>
      </c>
      <c r="H70" s="1" t="s">
        <v>192</v>
      </c>
    </row>
    <row r="71" spans="1:8">
      <c r="A71">
        <v>102</v>
      </c>
      <c r="B71" t="s">
        <v>289</v>
      </c>
      <c r="C71">
        <v>13</v>
      </c>
      <c r="D71" t="s">
        <v>200</v>
      </c>
      <c r="E71" s="1">
        <v>1</v>
      </c>
      <c r="F71" s="1">
        <v>41</v>
      </c>
      <c r="G71" s="1">
        <v>20</v>
      </c>
      <c r="H71" s="1">
        <v>41</v>
      </c>
    </row>
    <row r="72" spans="1:8">
      <c r="A72">
        <v>102</v>
      </c>
      <c r="B72" t="s">
        <v>289</v>
      </c>
      <c r="C72">
        <v>13</v>
      </c>
      <c r="D72" t="s">
        <v>200</v>
      </c>
      <c r="E72" s="1">
        <v>1</v>
      </c>
      <c r="F72" s="1" t="s">
        <v>194</v>
      </c>
      <c r="G72" s="1">
        <v>22</v>
      </c>
      <c r="H72" s="1" t="s">
        <v>194</v>
      </c>
    </row>
    <row r="73" spans="1:8">
      <c r="A73">
        <v>102</v>
      </c>
      <c r="B73" t="s">
        <v>289</v>
      </c>
      <c r="C73">
        <v>13</v>
      </c>
      <c r="D73" t="s">
        <v>200</v>
      </c>
      <c r="E73" s="1">
        <v>1</v>
      </c>
      <c r="F73" s="1">
        <v>43</v>
      </c>
      <c r="G73" s="1">
        <v>40</v>
      </c>
      <c r="H73" s="1">
        <v>43</v>
      </c>
    </row>
    <row r="74" spans="1:8">
      <c r="A74">
        <v>102</v>
      </c>
      <c r="B74" t="s">
        <v>289</v>
      </c>
      <c r="C74">
        <v>13</v>
      </c>
      <c r="D74" t="s">
        <v>200</v>
      </c>
      <c r="E74" s="1">
        <v>1</v>
      </c>
      <c r="F74" s="1" t="s">
        <v>196</v>
      </c>
      <c r="G74" s="1">
        <v>42</v>
      </c>
      <c r="H74" s="1" t="s">
        <v>196</v>
      </c>
    </row>
    <row r="75" spans="1:8">
      <c r="A75">
        <v>102</v>
      </c>
      <c r="B75" t="s">
        <v>289</v>
      </c>
      <c r="C75">
        <v>13</v>
      </c>
      <c r="D75" t="s">
        <v>200</v>
      </c>
      <c r="E75" s="1">
        <v>1</v>
      </c>
      <c r="F75" s="1">
        <v>44</v>
      </c>
      <c r="G75" s="1">
        <v>50</v>
      </c>
      <c r="H75" s="1">
        <v>44</v>
      </c>
    </row>
    <row r="76" spans="1:8">
      <c r="A76">
        <v>102</v>
      </c>
      <c r="B76" t="s">
        <v>289</v>
      </c>
      <c r="C76">
        <v>13</v>
      </c>
      <c r="D76" t="s">
        <v>200</v>
      </c>
      <c r="E76" s="1">
        <v>1</v>
      </c>
      <c r="F76" s="1" t="s">
        <v>197</v>
      </c>
      <c r="G76" s="1">
        <v>52</v>
      </c>
      <c r="H76" s="1" t="s">
        <v>197</v>
      </c>
    </row>
    <row r="77" spans="1:8">
      <c r="A77">
        <v>102</v>
      </c>
      <c r="B77" t="s">
        <v>289</v>
      </c>
      <c r="C77">
        <v>13</v>
      </c>
      <c r="D77" t="s">
        <v>200</v>
      </c>
      <c r="E77" s="1">
        <v>1</v>
      </c>
      <c r="F77" s="1">
        <v>45</v>
      </c>
      <c r="G77" s="1">
        <v>60</v>
      </c>
      <c r="H77" s="1">
        <v>45</v>
      </c>
    </row>
    <row r="78" spans="1:8">
      <c r="A78">
        <v>102</v>
      </c>
      <c r="B78" t="s">
        <v>289</v>
      </c>
      <c r="C78">
        <v>13</v>
      </c>
      <c r="D78" t="s">
        <v>200</v>
      </c>
      <c r="E78" s="1">
        <v>1</v>
      </c>
      <c r="F78" s="1" t="s">
        <v>198</v>
      </c>
      <c r="G78" s="1">
        <v>62</v>
      </c>
      <c r="H78" s="1" t="s">
        <v>198</v>
      </c>
    </row>
    <row r="79" spans="1:8">
      <c r="A79">
        <v>102</v>
      </c>
      <c r="B79" t="s">
        <v>289</v>
      </c>
      <c r="C79">
        <v>13</v>
      </c>
      <c r="D79" t="s">
        <v>200</v>
      </c>
      <c r="E79" s="1">
        <v>1</v>
      </c>
      <c r="F79" s="1">
        <v>46</v>
      </c>
      <c r="G79" s="1">
        <v>70</v>
      </c>
      <c r="H79" s="1">
        <v>46</v>
      </c>
    </row>
    <row r="80" spans="1:8">
      <c r="A80">
        <v>102</v>
      </c>
      <c r="B80" t="s">
        <v>289</v>
      </c>
      <c r="C80">
        <v>13</v>
      </c>
      <c r="D80" t="s">
        <v>200</v>
      </c>
      <c r="E80" s="1">
        <v>1</v>
      </c>
      <c r="F80" s="1" t="s">
        <v>199</v>
      </c>
      <c r="G80" s="1">
        <v>72</v>
      </c>
      <c r="H80" s="1" t="s">
        <v>199</v>
      </c>
    </row>
    <row r="81" spans="1:8">
      <c r="A81">
        <v>102</v>
      </c>
      <c r="B81" t="s">
        <v>289</v>
      </c>
      <c r="C81">
        <v>13</v>
      </c>
      <c r="D81" t="s">
        <v>200</v>
      </c>
      <c r="E81" s="1">
        <v>1</v>
      </c>
      <c r="F81" s="1">
        <v>39</v>
      </c>
      <c r="H81" s="1">
        <v>39</v>
      </c>
    </row>
    <row r="82" spans="1:8">
      <c r="A82">
        <v>102</v>
      </c>
      <c r="B82" t="s">
        <v>289</v>
      </c>
      <c r="C82">
        <v>17</v>
      </c>
      <c r="D82" t="s">
        <v>203</v>
      </c>
      <c r="E82" s="1">
        <v>1</v>
      </c>
      <c r="F82" s="1" t="s">
        <v>291</v>
      </c>
      <c r="G82" s="1">
        <v>25</v>
      </c>
      <c r="H82" s="1" t="s">
        <v>291</v>
      </c>
    </row>
    <row r="83" spans="1:8">
      <c r="A83">
        <v>102</v>
      </c>
      <c r="B83" t="s">
        <v>289</v>
      </c>
      <c r="C83">
        <v>17</v>
      </c>
      <c r="D83" t="s">
        <v>203</v>
      </c>
      <c r="E83" s="1">
        <v>1</v>
      </c>
      <c r="F83" s="1" t="s">
        <v>292</v>
      </c>
      <c r="G83" s="1">
        <v>54</v>
      </c>
      <c r="H83" s="1" t="s">
        <v>292</v>
      </c>
    </row>
    <row r="84" spans="1:8">
      <c r="A84">
        <v>102</v>
      </c>
      <c r="B84" t="s">
        <v>289</v>
      </c>
      <c r="C84">
        <v>21</v>
      </c>
      <c r="D84" t="s">
        <v>205</v>
      </c>
      <c r="E84" s="1">
        <v>1</v>
      </c>
      <c r="F84" s="1" t="s">
        <v>288</v>
      </c>
      <c r="G84" s="1">
        <v>62</v>
      </c>
      <c r="H84" s="1" t="s">
        <v>288</v>
      </c>
    </row>
    <row r="85" spans="1:8">
      <c r="A85">
        <v>102</v>
      </c>
      <c r="B85" t="s">
        <v>289</v>
      </c>
      <c r="C85">
        <v>27</v>
      </c>
      <c r="D85" t="s">
        <v>210</v>
      </c>
      <c r="E85" s="1">
        <v>1</v>
      </c>
      <c r="F85" s="1">
        <v>46</v>
      </c>
      <c r="G85" s="1">
        <v>70</v>
      </c>
      <c r="H85" s="1">
        <v>46</v>
      </c>
    </row>
    <row r="86" spans="1:8">
      <c r="A86">
        <v>102</v>
      </c>
      <c r="B86" t="s">
        <v>289</v>
      </c>
      <c r="C86">
        <v>28</v>
      </c>
      <c r="D86" t="s">
        <v>211</v>
      </c>
      <c r="E86" s="1">
        <v>1</v>
      </c>
      <c r="F86" s="1" t="s">
        <v>293</v>
      </c>
      <c r="G86" s="1">
        <v>30</v>
      </c>
      <c r="H86" s="1" t="s">
        <v>293</v>
      </c>
    </row>
    <row r="87" spans="1:8">
      <c r="A87">
        <v>102</v>
      </c>
      <c r="B87" t="s">
        <v>289</v>
      </c>
      <c r="C87">
        <v>38</v>
      </c>
      <c r="D87" t="s">
        <v>217</v>
      </c>
      <c r="E87" s="1">
        <v>4</v>
      </c>
      <c r="F87" s="1" t="s">
        <v>294</v>
      </c>
      <c r="G87" s="1">
        <v>60</v>
      </c>
      <c r="H87" s="1" t="s">
        <v>294</v>
      </c>
    </row>
    <row r="88" spans="1:8">
      <c r="A88">
        <v>102</v>
      </c>
      <c r="B88" t="s">
        <v>289</v>
      </c>
      <c r="C88">
        <v>43</v>
      </c>
      <c r="D88" t="s">
        <v>221</v>
      </c>
      <c r="G88" s="1">
        <v>60</v>
      </c>
    </row>
    <row r="89" spans="1:8">
      <c r="A89">
        <v>102</v>
      </c>
      <c r="B89" t="s">
        <v>289</v>
      </c>
      <c r="C89">
        <v>59</v>
      </c>
      <c r="D89" t="s">
        <v>227</v>
      </c>
      <c r="E89" s="1">
        <v>3</v>
      </c>
      <c r="F89" s="1" t="s">
        <v>295</v>
      </c>
      <c r="G89" s="1">
        <v>23</v>
      </c>
      <c r="H89" s="1" t="s">
        <v>295</v>
      </c>
    </row>
    <row r="90" spans="1:8">
      <c r="A90">
        <v>102</v>
      </c>
      <c r="B90" t="s">
        <v>289</v>
      </c>
      <c r="C90">
        <v>59</v>
      </c>
      <c r="D90" t="s">
        <v>227</v>
      </c>
      <c r="G90" s="1">
        <v>23</v>
      </c>
    </row>
    <row r="91" spans="1:8">
      <c r="A91">
        <v>102</v>
      </c>
      <c r="B91" t="s">
        <v>289</v>
      </c>
      <c r="C91">
        <v>77</v>
      </c>
      <c r="D91" t="s">
        <v>236</v>
      </c>
      <c r="E91" s="1">
        <v>1</v>
      </c>
      <c r="F91" s="1" t="s">
        <v>296</v>
      </c>
      <c r="G91" s="1">
        <v>25</v>
      </c>
      <c r="H91" s="1" t="s">
        <v>296</v>
      </c>
    </row>
    <row r="92" spans="1:8">
      <c r="A92">
        <v>102</v>
      </c>
      <c r="B92" t="s">
        <v>289</v>
      </c>
      <c r="C92">
        <v>77</v>
      </c>
      <c r="D92" t="s">
        <v>236</v>
      </c>
      <c r="E92" s="1">
        <v>1</v>
      </c>
      <c r="F92" s="1" t="s">
        <v>297</v>
      </c>
      <c r="G92" s="1">
        <v>50</v>
      </c>
      <c r="H92" s="1" t="s">
        <v>297</v>
      </c>
    </row>
    <row r="93" spans="1:8">
      <c r="A93">
        <v>102</v>
      </c>
      <c r="B93" t="s">
        <v>289</v>
      </c>
      <c r="C93">
        <v>77</v>
      </c>
      <c r="D93" t="s">
        <v>236</v>
      </c>
      <c r="E93" s="1">
        <v>1</v>
      </c>
      <c r="F93" s="1" t="s">
        <v>298</v>
      </c>
      <c r="G93" s="1">
        <v>54</v>
      </c>
      <c r="H93" s="1" t="s">
        <v>298</v>
      </c>
    </row>
    <row r="94" spans="1:8">
      <c r="A94">
        <v>102</v>
      </c>
      <c r="B94" t="s">
        <v>289</v>
      </c>
      <c r="C94">
        <v>77</v>
      </c>
      <c r="D94" t="s">
        <v>236</v>
      </c>
      <c r="E94" s="1">
        <v>2</v>
      </c>
      <c r="F94" s="1" t="s">
        <v>299</v>
      </c>
      <c r="H94" s="1" t="s">
        <v>299</v>
      </c>
    </row>
    <row r="95" spans="1:8">
      <c r="A95">
        <v>102</v>
      </c>
      <c r="B95" t="s">
        <v>289</v>
      </c>
      <c r="C95">
        <v>77</v>
      </c>
      <c r="D95" t="s">
        <v>236</v>
      </c>
      <c r="E95" s="1">
        <v>3</v>
      </c>
      <c r="F95" s="1" t="s">
        <v>300</v>
      </c>
      <c r="H95" s="1" t="s">
        <v>300</v>
      </c>
    </row>
    <row r="96" spans="1:8">
      <c r="A96">
        <v>102</v>
      </c>
      <c r="B96" t="s">
        <v>289</v>
      </c>
      <c r="C96">
        <v>77</v>
      </c>
      <c r="D96" t="s">
        <v>236</v>
      </c>
      <c r="G96" s="1">
        <v>50</v>
      </c>
    </row>
    <row r="97" spans="1:8">
      <c r="A97">
        <v>102</v>
      </c>
      <c r="B97" t="s">
        <v>289</v>
      </c>
      <c r="C97">
        <v>77</v>
      </c>
      <c r="D97" t="s">
        <v>236</v>
      </c>
      <c r="G97" s="1">
        <v>60</v>
      </c>
    </row>
    <row r="98" spans="1:8">
      <c r="A98">
        <v>102</v>
      </c>
      <c r="B98" t="s">
        <v>289</v>
      </c>
      <c r="C98">
        <v>77</v>
      </c>
      <c r="D98" t="s">
        <v>236</v>
      </c>
      <c r="G98" s="1">
        <v>66</v>
      </c>
    </row>
    <row r="99" spans="1:8">
      <c r="A99">
        <v>102</v>
      </c>
      <c r="B99" t="s">
        <v>289</v>
      </c>
      <c r="C99">
        <v>77</v>
      </c>
      <c r="D99" t="s">
        <v>236</v>
      </c>
      <c r="G99" s="1">
        <v>68</v>
      </c>
    </row>
    <row r="100" spans="1:8">
      <c r="A100">
        <v>102</v>
      </c>
      <c r="B100" t="s">
        <v>289</v>
      </c>
      <c r="C100">
        <v>77</v>
      </c>
      <c r="D100" t="s">
        <v>236</v>
      </c>
      <c r="G100" s="1">
        <v>90</v>
      </c>
    </row>
    <row r="101" spans="1:8">
      <c r="A101">
        <v>102</v>
      </c>
      <c r="B101" t="s">
        <v>289</v>
      </c>
      <c r="C101">
        <v>77</v>
      </c>
      <c r="D101" t="s">
        <v>236</v>
      </c>
      <c r="G101" s="1">
        <v>94</v>
      </c>
    </row>
    <row r="102" spans="1:8">
      <c r="A102">
        <v>102</v>
      </c>
      <c r="B102" t="s">
        <v>289</v>
      </c>
      <c r="C102">
        <v>77</v>
      </c>
      <c r="D102" t="s">
        <v>236</v>
      </c>
      <c r="G102" s="1">
        <v>96</v>
      </c>
    </row>
    <row r="103" spans="1:8">
      <c r="A103">
        <v>102</v>
      </c>
      <c r="B103" t="s">
        <v>289</v>
      </c>
      <c r="C103">
        <v>82</v>
      </c>
      <c r="D103" t="s">
        <v>239</v>
      </c>
      <c r="G103" s="1">
        <v>32</v>
      </c>
    </row>
    <row r="104" spans="1:8">
      <c r="A104">
        <v>102</v>
      </c>
      <c r="B104" t="s">
        <v>289</v>
      </c>
      <c r="C104">
        <v>82</v>
      </c>
      <c r="D104" t="s">
        <v>239</v>
      </c>
      <c r="G104" s="1">
        <v>52</v>
      </c>
    </row>
    <row r="105" spans="1:8">
      <c r="A105">
        <v>102</v>
      </c>
      <c r="B105" t="s">
        <v>289</v>
      </c>
      <c r="C105">
        <v>91</v>
      </c>
      <c r="D105" t="s">
        <v>245</v>
      </c>
      <c r="E105" s="1">
        <v>1</v>
      </c>
      <c r="F105" s="1" t="s">
        <v>297</v>
      </c>
      <c r="G105" s="1">
        <v>50</v>
      </c>
      <c r="H105" s="1" t="s">
        <v>297</v>
      </c>
    </row>
    <row r="106" spans="1:8">
      <c r="A106">
        <v>102</v>
      </c>
      <c r="B106" t="s">
        <v>289</v>
      </c>
      <c r="C106">
        <v>91</v>
      </c>
      <c r="D106" t="s">
        <v>245</v>
      </c>
      <c r="E106" s="1">
        <v>1</v>
      </c>
      <c r="F106" s="1" t="s">
        <v>298</v>
      </c>
      <c r="G106" s="1">
        <v>54</v>
      </c>
      <c r="H106" s="1" t="s">
        <v>298</v>
      </c>
    </row>
    <row r="107" spans="1:8">
      <c r="A107">
        <v>102</v>
      </c>
      <c r="B107" t="s">
        <v>289</v>
      </c>
      <c r="C107">
        <v>91</v>
      </c>
      <c r="D107" t="s">
        <v>245</v>
      </c>
      <c r="E107" s="1">
        <v>6</v>
      </c>
      <c r="F107" s="1" t="s">
        <v>301</v>
      </c>
      <c r="H107" s="1" t="s">
        <v>301</v>
      </c>
    </row>
    <row r="108" spans="1:8">
      <c r="A108">
        <v>102</v>
      </c>
      <c r="B108" t="s">
        <v>289</v>
      </c>
      <c r="C108">
        <v>91</v>
      </c>
      <c r="D108" t="s">
        <v>245</v>
      </c>
      <c r="E108" s="1">
        <v>7</v>
      </c>
      <c r="F108" s="1" t="s">
        <v>302</v>
      </c>
      <c r="G108" s="1">
        <v>12</v>
      </c>
      <c r="H108" s="1" t="s">
        <v>302</v>
      </c>
    </row>
    <row r="109" spans="1:8">
      <c r="A109">
        <v>102</v>
      </c>
      <c r="B109" t="s">
        <v>289</v>
      </c>
      <c r="C109">
        <v>91</v>
      </c>
      <c r="D109" t="s">
        <v>245</v>
      </c>
      <c r="E109" s="1">
        <v>7</v>
      </c>
      <c r="F109" s="1" t="s">
        <v>303</v>
      </c>
      <c r="G109" s="1">
        <v>14</v>
      </c>
      <c r="H109" s="1" t="s">
        <v>303</v>
      </c>
    </row>
    <row r="110" spans="1:8">
      <c r="A110">
        <v>102</v>
      </c>
      <c r="B110" t="s">
        <v>289</v>
      </c>
      <c r="C110">
        <v>91</v>
      </c>
      <c r="D110" t="s">
        <v>245</v>
      </c>
      <c r="E110" s="1">
        <v>9</v>
      </c>
      <c r="F110" s="1" t="s">
        <v>304</v>
      </c>
      <c r="G110" s="1">
        <v>4</v>
      </c>
      <c r="H110" s="1" t="s">
        <v>304</v>
      </c>
    </row>
    <row r="111" spans="1:8">
      <c r="A111">
        <v>102</v>
      </c>
      <c r="B111" t="s">
        <v>289</v>
      </c>
      <c r="C111">
        <v>92</v>
      </c>
      <c r="D111" t="s">
        <v>246</v>
      </c>
      <c r="E111" s="1">
        <v>1</v>
      </c>
      <c r="F111" s="1" t="s">
        <v>296</v>
      </c>
      <c r="G111" s="1">
        <v>25</v>
      </c>
      <c r="H111" s="1" t="s">
        <v>296</v>
      </c>
    </row>
    <row r="112" spans="1:8">
      <c r="A112">
        <v>102</v>
      </c>
      <c r="B112" t="s">
        <v>289</v>
      </c>
      <c r="C112">
        <v>92</v>
      </c>
      <c r="D112" t="s">
        <v>246</v>
      </c>
      <c r="E112" s="1">
        <v>1</v>
      </c>
      <c r="F112" s="1" t="s">
        <v>298</v>
      </c>
      <c r="G112" s="1">
        <v>54</v>
      </c>
      <c r="H112" s="1" t="s">
        <v>298</v>
      </c>
    </row>
    <row r="113" spans="1:8">
      <c r="A113">
        <v>102</v>
      </c>
      <c r="B113" t="s">
        <v>289</v>
      </c>
      <c r="C113">
        <v>92</v>
      </c>
      <c r="D113" t="s">
        <v>246</v>
      </c>
      <c r="E113" s="1">
        <v>31</v>
      </c>
      <c r="F113" s="1" t="s">
        <v>291</v>
      </c>
      <c r="G113" s="1">
        <v>25</v>
      </c>
      <c r="H113" s="1" t="s">
        <v>291</v>
      </c>
    </row>
    <row r="114" spans="1:8">
      <c r="A114">
        <v>102</v>
      </c>
      <c r="B114" t="s">
        <v>289</v>
      </c>
      <c r="C114">
        <v>92</v>
      </c>
      <c r="D114" t="s">
        <v>246</v>
      </c>
      <c r="E114" s="1">
        <v>31</v>
      </c>
      <c r="F114" s="1" t="s">
        <v>292</v>
      </c>
      <c r="G114" s="1">
        <v>54</v>
      </c>
      <c r="H114" s="1" t="s">
        <v>292</v>
      </c>
    </row>
    <row r="115" spans="1:8">
      <c r="A115">
        <v>102</v>
      </c>
      <c r="B115" t="s">
        <v>289</v>
      </c>
      <c r="C115">
        <v>92</v>
      </c>
      <c r="D115" t="s">
        <v>246</v>
      </c>
      <c r="G115" s="1">
        <v>96</v>
      </c>
    </row>
    <row r="116" spans="1:8">
      <c r="A116">
        <v>102</v>
      </c>
      <c r="B116" t="s">
        <v>289</v>
      </c>
      <c r="C116">
        <v>93</v>
      </c>
      <c r="D116" t="s">
        <v>247</v>
      </c>
      <c r="E116" s="1">
        <v>6</v>
      </c>
      <c r="F116" s="1" t="s">
        <v>305</v>
      </c>
      <c r="G116" s="1">
        <v>10</v>
      </c>
      <c r="H116" s="1" t="s">
        <v>305</v>
      </c>
    </row>
    <row r="117" spans="1:8">
      <c r="A117">
        <v>102</v>
      </c>
      <c r="B117" t="s">
        <v>289</v>
      </c>
      <c r="C117">
        <v>93</v>
      </c>
      <c r="D117" t="s">
        <v>247</v>
      </c>
      <c r="E117" s="1">
        <v>7</v>
      </c>
      <c r="F117" s="1" t="s">
        <v>306</v>
      </c>
      <c r="G117" s="1">
        <v>7</v>
      </c>
      <c r="H117" s="1" t="s">
        <v>306</v>
      </c>
    </row>
    <row r="118" spans="1:8">
      <c r="A118">
        <v>102</v>
      </c>
      <c r="B118" t="s">
        <v>289</v>
      </c>
      <c r="C118">
        <v>93</v>
      </c>
      <c r="D118" t="s">
        <v>247</v>
      </c>
      <c r="E118" s="1">
        <v>9</v>
      </c>
      <c r="F118" s="1" t="s">
        <v>304</v>
      </c>
      <c r="G118" s="1">
        <v>4</v>
      </c>
      <c r="H118" s="1" t="s">
        <v>304</v>
      </c>
    </row>
    <row r="119" spans="1:8">
      <c r="A119">
        <v>102</v>
      </c>
      <c r="B119" t="s">
        <v>289</v>
      </c>
      <c r="C119">
        <v>95</v>
      </c>
      <c r="D119" t="s">
        <v>248</v>
      </c>
      <c r="E119" s="1">
        <v>4</v>
      </c>
      <c r="F119" s="1" t="s">
        <v>307</v>
      </c>
      <c r="H119" s="1" t="s">
        <v>307</v>
      </c>
    </row>
    <row r="120" spans="1:8">
      <c r="A120">
        <v>102</v>
      </c>
      <c r="B120" t="s">
        <v>289</v>
      </c>
      <c r="C120">
        <v>95</v>
      </c>
      <c r="D120" t="s">
        <v>248</v>
      </c>
      <c r="E120" s="1">
        <v>5</v>
      </c>
      <c r="F120" s="1" t="s">
        <v>308</v>
      </c>
      <c r="H120" s="1" t="s">
        <v>308</v>
      </c>
    </row>
    <row r="121" spans="1:8">
      <c r="A121">
        <v>102</v>
      </c>
      <c r="B121" t="s">
        <v>289</v>
      </c>
      <c r="C121">
        <v>95</v>
      </c>
      <c r="D121" t="s">
        <v>248</v>
      </c>
      <c r="E121" s="1">
        <v>6</v>
      </c>
      <c r="F121" s="1" t="s">
        <v>301</v>
      </c>
      <c r="H121" s="1" t="s">
        <v>301</v>
      </c>
    </row>
    <row r="122" spans="1:8">
      <c r="A122">
        <v>102</v>
      </c>
      <c r="B122" t="s">
        <v>289</v>
      </c>
      <c r="C122">
        <v>96</v>
      </c>
      <c r="D122" t="s">
        <v>249</v>
      </c>
      <c r="E122" s="1">
        <v>5</v>
      </c>
      <c r="F122" s="1" t="s">
        <v>309</v>
      </c>
      <c r="G122" s="1">
        <v>12</v>
      </c>
      <c r="H122" s="1" t="s">
        <v>309</v>
      </c>
    </row>
    <row r="123" spans="1:8">
      <c r="A123">
        <v>102</v>
      </c>
      <c r="B123" t="s">
        <v>289</v>
      </c>
      <c r="C123">
        <v>96</v>
      </c>
      <c r="D123" t="s">
        <v>249</v>
      </c>
      <c r="E123" s="1">
        <v>6</v>
      </c>
      <c r="F123" s="1" t="s">
        <v>310</v>
      </c>
      <c r="G123" s="1">
        <v>10</v>
      </c>
      <c r="H123" s="1" t="s">
        <v>310</v>
      </c>
    </row>
    <row r="124" spans="1:8">
      <c r="A124">
        <v>102</v>
      </c>
      <c r="B124" t="s">
        <v>289</v>
      </c>
      <c r="C124">
        <v>96</v>
      </c>
      <c r="D124" t="s">
        <v>249</v>
      </c>
      <c r="E124" s="1">
        <v>7</v>
      </c>
      <c r="F124" s="1" t="s">
        <v>311</v>
      </c>
      <c r="G124" s="1">
        <v>10</v>
      </c>
      <c r="H124" s="1" t="s">
        <v>311</v>
      </c>
    </row>
    <row r="125" spans="1:8">
      <c r="A125">
        <v>102</v>
      </c>
      <c r="B125" t="s">
        <v>289</v>
      </c>
      <c r="C125">
        <v>98</v>
      </c>
      <c r="D125" t="s">
        <v>250</v>
      </c>
      <c r="E125" s="1">
        <v>5</v>
      </c>
      <c r="F125" s="1" t="s">
        <v>308</v>
      </c>
      <c r="H125" s="1" t="s">
        <v>308</v>
      </c>
    </row>
    <row r="126" spans="1:8">
      <c r="A126">
        <v>102</v>
      </c>
      <c r="B126" t="s">
        <v>289</v>
      </c>
      <c r="C126">
        <v>98</v>
      </c>
      <c r="D126" t="s">
        <v>250</v>
      </c>
      <c r="E126" s="1">
        <v>6</v>
      </c>
      <c r="F126" s="1" t="s">
        <v>312</v>
      </c>
      <c r="G126" s="1">
        <v>4</v>
      </c>
      <c r="H126" s="1" t="s">
        <v>312</v>
      </c>
    </row>
    <row r="127" spans="1:8">
      <c r="A127">
        <v>102</v>
      </c>
      <c r="B127" t="s">
        <v>289</v>
      </c>
      <c r="C127">
        <v>98</v>
      </c>
      <c r="D127" t="s">
        <v>250</v>
      </c>
      <c r="E127" s="1">
        <v>6</v>
      </c>
      <c r="F127" s="1" t="s">
        <v>313</v>
      </c>
      <c r="G127" s="1">
        <v>7</v>
      </c>
      <c r="H127" s="1" t="s">
        <v>313</v>
      </c>
    </row>
    <row r="128" spans="1:8">
      <c r="A128">
        <v>102</v>
      </c>
      <c r="B128" t="s">
        <v>289</v>
      </c>
      <c r="C128">
        <v>98</v>
      </c>
      <c r="D128" t="s">
        <v>250</v>
      </c>
      <c r="E128" s="1">
        <v>6</v>
      </c>
      <c r="F128" s="1" t="s">
        <v>301</v>
      </c>
      <c r="H128" s="1" t="s">
        <v>301</v>
      </c>
    </row>
    <row r="129" spans="1:8">
      <c r="A129">
        <v>102</v>
      </c>
      <c r="B129" t="s">
        <v>289</v>
      </c>
      <c r="C129">
        <v>98</v>
      </c>
      <c r="D129" t="s">
        <v>250</v>
      </c>
      <c r="E129" s="1">
        <v>7</v>
      </c>
      <c r="F129" s="1" t="s">
        <v>306</v>
      </c>
      <c r="G129" s="1">
        <v>7</v>
      </c>
      <c r="H129" s="1" t="s">
        <v>306</v>
      </c>
    </row>
    <row r="130" spans="1:8">
      <c r="A130">
        <v>102</v>
      </c>
      <c r="B130" t="s">
        <v>289</v>
      </c>
      <c r="C130">
        <v>98</v>
      </c>
      <c r="D130" t="s">
        <v>250</v>
      </c>
      <c r="E130" s="1">
        <v>8</v>
      </c>
      <c r="F130" s="1" t="s">
        <v>314</v>
      </c>
      <c r="H130" s="1" t="s">
        <v>314</v>
      </c>
    </row>
    <row r="131" spans="1:8">
      <c r="A131">
        <v>102</v>
      </c>
      <c r="B131" t="s">
        <v>289</v>
      </c>
      <c r="C131">
        <v>98</v>
      </c>
      <c r="D131" t="s">
        <v>250</v>
      </c>
      <c r="E131" s="1">
        <v>9</v>
      </c>
      <c r="F131" s="1" t="s">
        <v>304</v>
      </c>
      <c r="G131" s="1">
        <v>4</v>
      </c>
      <c r="H131" s="1" t="s">
        <v>304</v>
      </c>
    </row>
    <row r="132" spans="1:8">
      <c r="A132">
        <v>102</v>
      </c>
      <c r="B132" t="s">
        <v>289</v>
      </c>
      <c r="C132">
        <v>99</v>
      </c>
      <c r="D132" t="s">
        <v>251</v>
      </c>
      <c r="E132" s="1">
        <v>7</v>
      </c>
      <c r="F132" s="1" t="s">
        <v>315</v>
      </c>
      <c r="G132" s="1">
        <v>10</v>
      </c>
      <c r="H132" s="1" t="s">
        <v>315</v>
      </c>
    </row>
    <row r="133" spans="1:8">
      <c r="A133">
        <v>102</v>
      </c>
      <c r="B133" t="s">
        <v>289</v>
      </c>
      <c r="C133">
        <v>99</v>
      </c>
      <c r="D133" t="s">
        <v>251</v>
      </c>
      <c r="E133" s="1">
        <v>9</v>
      </c>
      <c r="F133" s="1" t="s">
        <v>316</v>
      </c>
      <c r="H133" s="1" t="s">
        <v>316</v>
      </c>
    </row>
    <row r="134" spans="1:8">
      <c r="A134">
        <v>103</v>
      </c>
      <c r="B134" t="s">
        <v>317</v>
      </c>
      <c r="C134">
        <v>1</v>
      </c>
      <c r="D134" t="s">
        <v>137</v>
      </c>
      <c r="E134" s="1">
        <v>1</v>
      </c>
      <c r="F134" s="1" t="s">
        <v>156</v>
      </c>
      <c r="G134" s="1">
        <v>96</v>
      </c>
      <c r="H134" s="1" t="s">
        <v>156</v>
      </c>
    </row>
    <row r="135" spans="1:8">
      <c r="A135">
        <v>103</v>
      </c>
      <c r="B135" t="s">
        <v>317</v>
      </c>
      <c r="C135">
        <v>1</v>
      </c>
      <c r="D135" t="s">
        <v>137</v>
      </c>
      <c r="E135" s="1">
        <v>2</v>
      </c>
      <c r="F135" s="1" t="s">
        <v>159</v>
      </c>
      <c r="G135" s="1">
        <v>2</v>
      </c>
      <c r="H135" s="1" t="s">
        <v>159</v>
      </c>
    </row>
    <row r="136" spans="1:8">
      <c r="A136">
        <v>103</v>
      </c>
      <c r="B136" t="s">
        <v>317</v>
      </c>
      <c r="C136">
        <v>1</v>
      </c>
      <c r="D136" t="s">
        <v>137</v>
      </c>
      <c r="E136" s="1">
        <v>2</v>
      </c>
      <c r="F136" s="1">
        <v>19</v>
      </c>
      <c r="G136" s="1">
        <v>10</v>
      </c>
      <c r="H136" s="1">
        <v>19</v>
      </c>
    </row>
    <row r="137" spans="1:8">
      <c r="A137">
        <v>103</v>
      </c>
      <c r="B137" t="s">
        <v>317</v>
      </c>
      <c r="C137">
        <v>1</v>
      </c>
      <c r="D137" t="s">
        <v>137</v>
      </c>
      <c r="E137" s="1">
        <v>2</v>
      </c>
      <c r="F137" s="1" t="s">
        <v>162</v>
      </c>
      <c r="G137" s="1">
        <v>12</v>
      </c>
      <c r="H137" s="1" t="s">
        <v>162</v>
      </c>
    </row>
    <row r="138" spans="1:8">
      <c r="A138">
        <v>103</v>
      </c>
      <c r="B138" t="s">
        <v>317</v>
      </c>
      <c r="C138">
        <v>1</v>
      </c>
      <c r="D138" t="s">
        <v>137</v>
      </c>
      <c r="E138" s="1">
        <v>2</v>
      </c>
      <c r="F138" s="1">
        <v>20</v>
      </c>
      <c r="G138" s="1">
        <v>20</v>
      </c>
      <c r="H138" s="1">
        <v>20</v>
      </c>
    </row>
    <row r="139" spans="1:8">
      <c r="A139">
        <v>103</v>
      </c>
      <c r="B139" t="s">
        <v>317</v>
      </c>
      <c r="C139">
        <v>1</v>
      </c>
      <c r="D139" t="s">
        <v>137</v>
      </c>
      <c r="E139" s="1">
        <v>2</v>
      </c>
      <c r="F139" s="1" t="s">
        <v>165</v>
      </c>
      <c r="G139" s="1">
        <v>22</v>
      </c>
      <c r="H139" s="1" t="s">
        <v>165</v>
      </c>
    </row>
    <row r="140" spans="1:8">
      <c r="A140">
        <v>103</v>
      </c>
      <c r="B140" t="s">
        <v>317</v>
      </c>
      <c r="C140">
        <v>1</v>
      </c>
      <c r="D140" t="s">
        <v>137</v>
      </c>
      <c r="E140" s="1">
        <v>2</v>
      </c>
      <c r="F140" s="1">
        <v>21</v>
      </c>
      <c r="G140" s="1">
        <v>30</v>
      </c>
      <c r="H140" s="1">
        <v>21</v>
      </c>
    </row>
    <row r="141" spans="1:8">
      <c r="A141">
        <v>103</v>
      </c>
      <c r="B141" t="s">
        <v>317</v>
      </c>
      <c r="C141">
        <v>1</v>
      </c>
      <c r="D141" t="s">
        <v>137</v>
      </c>
      <c r="E141" s="1">
        <v>2</v>
      </c>
      <c r="F141" s="1" t="s">
        <v>168</v>
      </c>
      <c r="G141" s="1">
        <v>32</v>
      </c>
      <c r="H141" s="1" t="s">
        <v>168</v>
      </c>
    </row>
    <row r="142" spans="1:8">
      <c r="A142">
        <v>103</v>
      </c>
      <c r="B142" t="s">
        <v>317</v>
      </c>
      <c r="C142">
        <v>1</v>
      </c>
      <c r="D142" t="s">
        <v>137</v>
      </c>
      <c r="E142" s="1">
        <v>2</v>
      </c>
      <c r="F142" s="1">
        <v>22</v>
      </c>
      <c r="G142" s="1">
        <v>40</v>
      </c>
      <c r="H142" s="1">
        <v>22</v>
      </c>
    </row>
    <row r="143" spans="1:8">
      <c r="A143">
        <v>103</v>
      </c>
      <c r="B143" t="s">
        <v>317</v>
      </c>
      <c r="C143">
        <v>1</v>
      </c>
      <c r="D143" t="s">
        <v>137</v>
      </c>
      <c r="E143" s="1">
        <v>2</v>
      </c>
      <c r="F143" s="1" t="s">
        <v>171</v>
      </c>
      <c r="G143" s="1">
        <v>42</v>
      </c>
      <c r="H143" s="1" t="s">
        <v>171</v>
      </c>
    </row>
    <row r="144" spans="1:8">
      <c r="A144">
        <v>103</v>
      </c>
      <c r="B144" t="s">
        <v>317</v>
      </c>
      <c r="C144">
        <v>1</v>
      </c>
      <c r="D144" t="s">
        <v>137</v>
      </c>
      <c r="E144" s="1">
        <v>2</v>
      </c>
      <c r="F144" s="1">
        <v>23</v>
      </c>
      <c r="G144" s="1">
        <v>50</v>
      </c>
      <c r="H144" s="1">
        <v>23</v>
      </c>
    </row>
    <row r="145" spans="1:8">
      <c r="A145">
        <v>103</v>
      </c>
      <c r="B145" t="s">
        <v>317</v>
      </c>
      <c r="C145">
        <v>1</v>
      </c>
      <c r="D145" t="s">
        <v>137</v>
      </c>
      <c r="E145" s="1">
        <v>2</v>
      </c>
      <c r="F145" s="1">
        <v>24</v>
      </c>
      <c r="G145" s="1">
        <v>60</v>
      </c>
      <c r="H145" s="1">
        <v>24</v>
      </c>
    </row>
    <row r="146" spans="1:8">
      <c r="A146">
        <v>103</v>
      </c>
      <c r="B146" t="s">
        <v>317</v>
      </c>
      <c r="C146">
        <v>1</v>
      </c>
      <c r="D146" t="s">
        <v>137</v>
      </c>
      <c r="E146" s="1">
        <v>2</v>
      </c>
      <c r="F146" s="1" t="s">
        <v>177</v>
      </c>
      <c r="G146" s="1">
        <v>62</v>
      </c>
      <c r="H146" s="1" t="s">
        <v>177</v>
      </c>
    </row>
    <row r="147" spans="1:8">
      <c r="A147">
        <v>103</v>
      </c>
      <c r="B147" t="s">
        <v>317</v>
      </c>
      <c r="C147">
        <v>1</v>
      </c>
      <c r="D147" t="s">
        <v>137</v>
      </c>
      <c r="E147" s="1">
        <v>2</v>
      </c>
      <c r="F147" s="1">
        <v>18</v>
      </c>
      <c r="H147" s="1">
        <v>18</v>
      </c>
    </row>
    <row r="148" spans="1:8">
      <c r="A148">
        <v>103</v>
      </c>
      <c r="B148" t="s">
        <v>317</v>
      </c>
      <c r="C148">
        <v>5</v>
      </c>
      <c r="D148" t="s">
        <v>183</v>
      </c>
      <c r="G148" s="1">
        <v>50</v>
      </c>
    </row>
    <row r="149" spans="1:8">
      <c r="A149">
        <v>103</v>
      </c>
      <c r="B149" t="s">
        <v>317</v>
      </c>
      <c r="C149">
        <v>5</v>
      </c>
      <c r="D149" t="s">
        <v>183</v>
      </c>
      <c r="G149" s="1">
        <v>60</v>
      </c>
    </row>
    <row r="150" spans="1:8">
      <c r="A150">
        <v>103</v>
      </c>
      <c r="B150" t="s">
        <v>317</v>
      </c>
      <c r="C150">
        <v>11</v>
      </c>
      <c r="D150" t="s">
        <v>186</v>
      </c>
      <c r="E150" s="1">
        <v>1</v>
      </c>
      <c r="F150" s="1" t="s">
        <v>192</v>
      </c>
      <c r="G150" s="1">
        <v>2</v>
      </c>
      <c r="H150" s="1" t="s">
        <v>192</v>
      </c>
    </row>
    <row r="151" spans="1:8">
      <c r="A151">
        <v>103</v>
      </c>
      <c r="B151" t="s">
        <v>317</v>
      </c>
      <c r="C151">
        <v>11</v>
      </c>
      <c r="D151" t="s">
        <v>186</v>
      </c>
      <c r="E151" s="1">
        <v>1</v>
      </c>
      <c r="F151" s="1" t="s">
        <v>193</v>
      </c>
      <c r="G151" s="1">
        <v>12</v>
      </c>
      <c r="H151" s="1" t="s">
        <v>193</v>
      </c>
    </row>
    <row r="152" spans="1:8">
      <c r="A152">
        <v>103</v>
      </c>
      <c r="B152" t="s">
        <v>317</v>
      </c>
      <c r="C152">
        <v>11</v>
      </c>
      <c r="D152" t="s">
        <v>186</v>
      </c>
      <c r="E152" s="1">
        <v>1</v>
      </c>
      <c r="F152" s="1" t="s">
        <v>194</v>
      </c>
      <c r="G152" s="1">
        <v>22</v>
      </c>
      <c r="H152" s="1" t="s">
        <v>194</v>
      </c>
    </row>
    <row r="153" spans="1:8">
      <c r="A153">
        <v>103</v>
      </c>
      <c r="B153" t="s">
        <v>317</v>
      </c>
      <c r="C153">
        <v>11</v>
      </c>
      <c r="D153" t="s">
        <v>186</v>
      </c>
      <c r="E153" s="1">
        <v>1</v>
      </c>
      <c r="F153" s="1">
        <v>42</v>
      </c>
      <c r="G153" s="1">
        <v>30</v>
      </c>
      <c r="H153" s="1">
        <v>42</v>
      </c>
    </row>
    <row r="154" spans="1:8">
      <c r="A154">
        <v>103</v>
      </c>
      <c r="B154" t="s">
        <v>317</v>
      </c>
      <c r="C154">
        <v>11</v>
      </c>
      <c r="D154" t="s">
        <v>186</v>
      </c>
      <c r="E154" s="1">
        <v>1</v>
      </c>
      <c r="F154" s="1" t="s">
        <v>195</v>
      </c>
      <c r="G154" s="1">
        <v>32</v>
      </c>
      <c r="H154" s="1" t="s">
        <v>195</v>
      </c>
    </row>
    <row r="155" spans="1:8">
      <c r="A155">
        <v>103</v>
      </c>
      <c r="B155" t="s">
        <v>317</v>
      </c>
      <c r="C155">
        <v>11</v>
      </c>
      <c r="D155" t="s">
        <v>186</v>
      </c>
      <c r="E155" s="1">
        <v>1</v>
      </c>
      <c r="F155" s="1">
        <v>43</v>
      </c>
      <c r="G155" s="1">
        <v>40</v>
      </c>
      <c r="H155" s="1">
        <v>43</v>
      </c>
    </row>
    <row r="156" spans="1:8">
      <c r="A156">
        <v>103</v>
      </c>
      <c r="B156" t="s">
        <v>317</v>
      </c>
      <c r="C156">
        <v>11</v>
      </c>
      <c r="D156" t="s">
        <v>186</v>
      </c>
      <c r="E156" s="1">
        <v>1</v>
      </c>
      <c r="F156" s="1" t="s">
        <v>196</v>
      </c>
      <c r="G156" s="1">
        <v>42</v>
      </c>
      <c r="H156" s="1" t="s">
        <v>196</v>
      </c>
    </row>
    <row r="157" spans="1:8">
      <c r="A157">
        <v>103</v>
      </c>
      <c r="B157" t="s">
        <v>317</v>
      </c>
      <c r="C157">
        <v>11</v>
      </c>
      <c r="D157" t="s">
        <v>186</v>
      </c>
      <c r="E157" s="1">
        <v>1</v>
      </c>
      <c r="F157" s="1">
        <v>44</v>
      </c>
      <c r="G157" s="1">
        <v>50</v>
      </c>
      <c r="H157" s="1">
        <v>44</v>
      </c>
    </row>
    <row r="158" spans="1:8">
      <c r="A158">
        <v>103</v>
      </c>
      <c r="B158" t="s">
        <v>317</v>
      </c>
      <c r="C158">
        <v>11</v>
      </c>
      <c r="D158" t="s">
        <v>186</v>
      </c>
      <c r="E158" s="1">
        <v>1</v>
      </c>
      <c r="F158" s="1" t="s">
        <v>197</v>
      </c>
      <c r="G158" s="1">
        <v>52</v>
      </c>
      <c r="H158" s="1" t="s">
        <v>197</v>
      </c>
    </row>
    <row r="159" spans="1:8">
      <c r="A159">
        <v>103</v>
      </c>
      <c r="B159" t="s">
        <v>317</v>
      </c>
      <c r="C159">
        <v>11</v>
      </c>
      <c r="D159" t="s">
        <v>186</v>
      </c>
      <c r="E159" s="1">
        <v>1</v>
      </c>
      <c r="F159" s="1">
        <v>45</v>
      </c>
      <c r="G159" s="1">
        <v>60</v>
      </c>
      <c r="H159" s="1">
        <v>45</v>
      </c>
    </row>
    <row r="160" spans="1:8">
      <c r="A160">
        <v>103</v>
      </c>
      <c r="B160" t="s">
        <v>317</v>
      </c>
      <c r="C160">
        <v>11</v>
      </c>
      <c r="D160" t="s">
        <v>186</v>
      </c>
      <c r="E160" s="1">
        <v>1</v>
      </c>
      <c r="F160" s="1" t="s">
        <v>198</v>
      </c>
      <c r="G160" s="1">
        <v>62</v>
      </c>
      <c r="H160" s="1" t="s">
        <v>198</v>
      </c>
    </row>
    <row r="161" spans="1:8">
      <c r="A161">
        <v>103</v>
      </c>
      <c r="B161" t="s">
        <v>317</v>
      </c>
      <c r="C161">
        <v>11</v>
      </c>
      <c r="D161" t="s">
        <v>186</v>
      </c>
      <c r="E161" s="1">
        <v>1</v>
      </c>
      <c r="F161" s="1" t="s">
        <v>199</v>
      </c>
      <c r="G161" s="1">
        <v>72</v>
      </c>
      <c r="H161" s="1" t="s">
        <v>199</v>
      </c>
    </row>
    <row r="162" spans="1:8">
      <c r="A162">
        <v>103</v>
      </c>
      <c r="B162" t="s">
        <v>317</v>
      </c>
      <c r="C162">
        <v>11</v>
      </c>
      <c r="D162" t="s">
        <v>186</v>
      </c>
      <c r="G162" s="1">
        <v>92</v>
      </c>
    </row>
    <row r="163" spans="1:8">
      <c r="A163">
        <v>103</v>
      </c>
      <c r="B163" t="s">
        <v>317</v>
      </c>
      <c r="C163">
        <v>11</v>
      </c>
      <c r="D163" t="s">
        <v>186</v>
      </c>
      <c r="G163" s="1">
        <v>95</v>
      </c>
    </row>
    <row r="164" spans="1:8">
      <c r="A164">
        <v>103</v>
      </c>
      <c r="B164" t="s">
        <v>317</v>
      </c>
      <c r="C164">
        <v>13</v>
      </c>
      <c r="D164" t="s">
        <v>200</v>
      </c>
      <c r="E164" s="1">
        <v>1</v>
      </c>
      <c r="F164" s="1">
        <v>43</v>
      </c>
      <c r="G164" s="1">
        <v>40</v>
      </c>
      <c r="H164" s="1">
        <v>43</v>
      </c>
    </row>
    <row r="165" spans="1:8">
      <c r="A165">
        <v>103</v>
      </c>
      <c r="B165" t="s">
        <v>317</v>
      </c>
      <c r="C165">
        <v>13</v>
      </c>
      <c r="D165" t="s">
        <v>200</v>
      </c>
      <c r="E165" s="1">
        <v>1</v>
      </c>
      <c r="F165" s="1" t="s">
        <v>196</v>
      </c>
      <c r="G165" s="1">
        <v>42</v>
      </c>
      <c r="H165" s="1" t="s">
        <v>196</v>
      </c>
    </row>
    <row r="166" spans="1:8">
      <c r="A166">
        <v>103</v>
      </c>
      <c r="B166" t="s">
        <v>317</v>
      </c>
      <c r="C166">
        <v>13</v>
      </c>
      <c r="D166" t="s">
        <v>200</v>
      </c>
      <c r="E166" s="1">
        <v>1</v>
      </c>
      <c r="F166" s="1" t="s">
        <v>199</v>
      </c>
      <c r="G166" s="1">
        <v>72</v>
      </c>
      <c r="H166" s="1" t="s">
        <v>199</v>
      </c>
    </row>
    <row r="167" spans="1:8">
      <c r="A167">
        <v>103</v>
      </c>
      <c r="B167" t="s">
        <v>317</v>
      </c>
      <c r="C167">
        <v>13</v>
      </c>
      <c r="D167" t="s">
        <v>200</v>
      </c>
      <c r="E167" s="1">
        <v>1</v>
      </c>
      <c r="F167" s="1">
        <v>39</v>
      </c>
      <c r="H167" s="1">
        <v>39</v>
      </c>
    </row>
    <row r="168" spans="1:8">
      <c r="A168">
        <v>103</v>
      </c>
      <c r="B168" t="s">
        <v>317</v>
      </c>
      <c r="C168">
        <v>57</v>
      </c>
      <c r="D168" t="s">
        <v>183</v>
      </c>
      <c r="G168" s="1">
        <v>50</v>
      </c>
    </row>
    <row r="169" spans="1:8">
      <c r="A169">
        <v>103</v>
      </c>
      <c r="B169" t="s">
        <v>317</v>
      </c>
      <c r="C169">
        <v>57</v>
      </c>
      <c r="D169" t="s">
        <v>183</v>
      </c>
      <c r="G169" s="1">
        <v>60</v>
      </c>
    </row>
    <row r="170" spans="1:8">
      <c r="A170">
        <v>103</v>
      </c>
      <c r="B170" t="s">
        <v>317</v>
      </c>
      <c r="C170">
        <v>58</v>
      </c>
      <c r="D170" t="s">
        <v>226</v>
      </c>
      <c r="E170" s="1">
        <v>2</v>
      </c>
      <c r="F170" s="1" t="s">
        <v>318</v>
      </c>
      <c r="G170" s="1">
        <v>60</v>
      </c>
      <c r="H170" s="1" t="s">
        <v>318</v>
      </c>
    </row>
    <row r="171" spans="1:8">
      <c r="A171">
        <v>103</v>
      </c>
      <c r="B171" t="s">
        <v>317</v>
      </c>
      <c r="C171">
        <v>58</v>
      </c>
      <c r="D171" t="s">
        <v>226</v>
      </c>
      <c r="E171" s="1">
        <v>3</v>
      </c>
      <c r="F171" s="1" t="s">
        <v>319</v>
      </c>
      <c r="G171" s="1">
        <v>60</v>
      </c>
      <c r="H171" s="1" t="s">
        <v>319</v>
      </c>
    </row>
    <row r="172" spans="1:8">
      <c r="A172">
        <v>103</v>
      </c>
      <c r="B172" t="s">
        <v>317</v>
      </c>
      <c r="C172">
        <v>74</v>
      </c>
      <c r="D172" t="s">
        <v>235</v>
      </c>
      <c r="E172" s="1">
        <v>3</v>
      </c>
      <c r="F172" s="1" t="s">
        <v>320</v>
      </c>
      <c r="G172" s="1">
        <v>50</v>
      </c>
      <c r="H172" s="1" t="s">
        <v>320</v>
      </c>
    </row>
    <row r="173" spans="1:8">
      <c r="A173">
        <v>103</v>
      </c>
      <c r="B173" t="s">
        <v>317</v>
      </c>
      <c r="C173">
        <v>74</v>
      </c>
      <c r="D173" t="s">
        <v>235</v>
      </c>
      <c r="E173" s="1">
        <v>3</v>
      </c>
      <c r="F173" s="1" t="s">
        <v>321</v>
      </c>
      <c r="G173" s="1">
        <v>60</v>
      </c>
      <c r="H173" s="1" t="s">
        <v>321</v>
      </c>
    </row>
    <row r="174" spans="1:8">
      <c r="A174">
        <v>104</v>
      </c>
      <c r="B174" t="s">
        <v>322</v>
      </c>
      <c r="C174">
        <v>1</v>
      </c>
      <c r="D174" t="s">
        <v>137</v>
      </c>
      <c r="E174" s="1">
        <v>1</v>
      </c>
      <c r="F174" s="1">
        <v>13</v>
      </c>
      <c r="G174" s="1">
        <v>60</v>
      </c>
      <c r="H174" s="1">
        <v>13</v>
      </c>
    </row>
    <row r="175" spans="1:8">
      <c r="A175">
        <v>104</v>
      </c>
      <c r="B175" t="s">
        <v>322</v>
      </c>
      <c r="C175">
        <v>1</v>
      </c>
      <c r="D175" t="s">
        <v>137</v>
      </c>
      <c r="E175" s="1">
        <v>1</v>
      </c>
      <c r="F175" s="1" t="s">
        <v>144</v>
      </c>
      <c r="G175" s="1">
        <v>62</v>
      </c>
      <c r="H175" s="1" t="s">
        <v>144</v>
      </c>
    </row>
    <row r="176" spans="1:8">
      <c r="A176">
        <v>104</v>
      </c>
      <c r="B176" t="s">
        <v>322</v>
      </c>
      <c r="C176">
        <v>1</v>
      </c>
      <c r="D176" t="s">
        <v>137</v>
      </c>
      <c r="E176" s="1">
        <v>1</v>
      </c>
      <c r="F176" s="1">
        <v>14</v>
      </c>
      <c r="G176" s="1">
        <v>70</v>
      </c>
      <c r="H176" s="1">
        <v>14</v>
      </c>
    </row>
    <row r="177" spans="1:8">
      <c r="A177">
        <v>104</v>
      </c>
      <c r="B177" t="s">
        <v>322</v>
      </c>
      <c r="C177">
        <v>1</v>
      </c>
      <c r="D177" t="s">
        <v>137</v>
      </c>
      <c r="E177" s="1">
        <v>1</v>
      </c>
      <c r="F177" s="1" t="s">
        <v>147</v>
      </c>
      <c r="G177" s="1">
        <v>72</v>
      </c>
      <c r="H177" s="1" t="s">
        <v>147</v>
      </c>
    </row>
    <row r="178" spans="1:8">
      <c r="A178">
        <v>104</v>
      </c>
      <c r="B178" t="s">
        <v>322</v>
      </c>
      <c r="C178">
        <v>1</v>
      </c>
      <c r="D178" t="s">
        <v>137</v>
      </c>
      <c r="E178" s="1">
        <v>1</v>
      </c>
      <c r="F178" s="1">
        <v>15</v>
      </c>
      <c r="G178" s="1">
        <v>80</v>
      </c>
      <c r="H178" s="1">
        <v>15</v>
      </c>
    </row>
    <row r="179" spans="1:8">
      <c r="A179">
        <v>104</v>
      </c>
      <c r="B179" t="s">
        <v>322</v>
      </c>
      <c r="C179">
        <v>1</v>
      </c>
      <c r="D179" t="s">
        <v>137</v>
      </c>
      <c r="E179" s="1">
        <v>1</v>
      </c>
      <c r="F179" s="1" t="s">
        <v>150</v>
      </c>
      <c r="G179" s="1">
        <v>82</v>
      </c>
      <c r="H179" s="1" t="s">
        <v>150</v>
      </c>
    </row>
    <row r="180" spans="1:8">
      <c r="A180">
        <v>104</v>
      </c>
      <c r="B180" t="s">
        <v>322</v>
      </c>
      <c r="C180">
        <v>1</v>
      </c>
      <c r="D180" t="s">
        <v>137</v>
      </c>
      <c r="E180" s="1">
        <v>1</v>
      </c>
      <c r="F180" s="1">
        <v>16</v>
      </c>
      <c r="G180" s="1">
        <v>90</v>
      </c>
      <c r="H180" s="1">
        <v>16</v>
      </c>
    </row>
    <row r="181" spans="1:8">
      <c r="A181">
        <v>104</v>
      </c>
      <c r="B181" t="s">
        <v>322</v>
      </c>
      <c r="C181">
        <v>1</v>
      </c>
      <c r="D181" t="s">
        <v>137</v>
      </c>
      <c r="E181" s="1">
        <v>1</v>
      </c>
      <c r="F181" s="1" t="s">
        <v>153</v>
      </c>
      <c r="G181" s="1">
        <v>92</v>
      </c>
      <c r="H181" s="1" t="s">
        <v>153</v>
      </c>
    </row>
    <row r="182" spans="1:8">
      <c r="A182">
        <v>104</v>
      </c>
      <c r="B182" t="s">
        <v>322</v>
      </c>
      <c r="C182">
        <v>1</v>
      </c>
      <c r="D182" t="s">
        <v>137</v>
      </c>
      <c r="E182" s="1">
        <v>1</v>
      </c>
      <c r="F182" s="1">
        <v>17</v>
      </c>
      <c r="G182" s="1">
        <v>94</v>
      </c>
      <c r="H182" s="1">
        <v>17</v>
      </c>
    </row>
    <row r="183" spans="1:8">
      <c r="A183">
        <v>104</v>
      </c>
      <c r="B183" t="s">
        <v>322</v>
      </c>
      <c r="C183">
        <v>1</v>
      </c>
      <c r="D183" t="s">
        <v>137</v>
      </c>
      <c r="E183" s="1">
        <v>1</v>
      </c>
      <c r="F183" s="1" t="s">
        <v>156</v>
      </c>
      <c r="G183" s="1">
        <v>96</v>
      </c>
      <c r="H183" s="1" t="s">
        <v>156</v>
      </c>
    </row>
    <row r="184" spans="1:8">
      <c r="A184">
        <v>104</v>
      </c>
      <c r="B184" t="s">
        <v>322</v>
      </c>
      <c r="C184">
        <v>1</v>
      </c>
      <c r="D184" t="s">
        <v>137</v>
      </c>
      <c r="E184" s="1">
        <v>2</v>
      </c>
      <c r="F184" s="1" t="s">
        <v>159</v>
      </c>
      <c r="G184" s="1">
        <v>2</v>
      </c>
      <c r="H184" s="1" t="s">
        <v>159</v>
      </c>
    </row>
    <row r="185" spans="1:8">
      <c r="A185">
        <v>104</v>
      </c>
      <c r="B185" t="s">
        <v>322</v>
      </c>
      <c r="C185">
        <v>1</v>
      </c>
      <c r="D185" t="s">
        <v>137</v>
      </c>
      <c r="E185" s="1">
        <v>2</v>
      </c>
      <c r="F185" s="1">
        <v>19</v>
      </c>
      <c r="G185" s="1">
        <v>10</v>
      </c>
      <c r="H185" s="1">
        <v>19</v>
      </c>
    </row>
    <row r="186" spans="1:8">
      <c r="A186">
        <v>104</v>
      </c>
      <c r="B186" t="s">
        <v>322</v>
      </c>
      <c r="C186">
        <v>1</v>
      </c>
      <c r="D186" t="s">
        <v>137</v>
      </c>
      <c r="E186" s="1">
        <v>2</v>
      </c>
      <c r="F186" s="1" t="s">
        <v>162</v>
      </c>
      <c r="G186" s="1">
        <v>12</v>
      </c>
      <c r="H186" s="1" t="s">
        <v>162</v>
      </c>
    </row>
    <row r="187" spans="1:8">
      <c r="A187">
        <v>104</v>
      </c>
      <c r="B187" t="s">
        <v>322</v>
      </c>
      <c r="C187">
        <v>1</v>
      </c>
      <c r="D187" t="s">
        <v>137</v>
      </c>
      <c r="E187" s="1">
        <v>2</v>
      </c>
      <c r="F187" s="1">
        <v>20</v>
      </c>
      <c r="G187" s="1">
        <v>20</v>
      </c>
      <c r="H187" s="1">
        <v>20</v>
      </c>
    </row>
    <row r="188" spans="1:8">
      <c r="A188">
        <v>104</v>
      </c>
      <c r="B188" t="s">
        <v>322</v>
      </c>
      <c r="C188">
        <v>1</v>
      </c>
      <c r="D188" t="s">
        <v>137</v>
      </c>
      <c r="E188" s="1">
        <v>2</v>
      </c>
      <c r="F188" s="1" t="s">
        <v>165</v>
      </c>
      <c r="G188" s="1">
        <v>22</v>
      </c>
      <c r="H188" s="1" t="s">
        <v>165</v>
      </c>
    </row>
    <row r="189" spans="1:8">
      <c r="A189">
        <v>104</v>
      </c>
      <c r="B189" t="s">
        <v>322</v>
      </c>
      <c r="C189">
        <v>1</v>
      </c>
      <c r="D189" t="s">
        <v>137</v>
      </c>
      <c r="E189" s="1">
        <v>2</v>
      </c>
      <c r="F189" s="1">
        <v>21</v>
      </c>
      <c r="G189" s="1">
        <v>30</v>
      </c>
      <c r="H189" s="1">
        <v>21</v>
      </c>
    </row>
    <row r="190" spans="1:8">
      <c r="A190">
        <v>104</v>
      </c>
      <c r="B190" t="s">
        <v>322</v>
      </c>
      <c r="C190">
        <v>1</v>
      </c>
      <c r="D190" t="s">
        <v>137</v>
      </c>
      <c r="E190" s="1">
        <v>2</v>
      </c>
      <c r="F190" s="1" t="s">
        <v>168</v>
      </c>
      <c r="G190" s="1">
        <v>32</v>
      </c>
      <c r="H190" s="1" t="s">
        <v>168</v>
      </c>
    </row>
    <row r="191" spans="1:8">
      <c r="A191">
        <v>104</v>
      </c>
      <c r="B191" t="s">
        <v>322</v>
      </c>
      <c r="C191">
        <v>1</v>
      </c>
      <c r="D191" t="s">
        <v>137</v>
      </c>
      <c r="E191" s="1">
        <v>2</v>
      </c>
      <c r="F191" s="1">
        <v>22</v>
      </c>
      <c r="G191" s="1">
        <v>40</v>
      </c>
      <c r="H191" s="1">
        <v>22</v>
      </c>
    </row>
    <row r="192" spans="1:8">
      <c r="A192">
        <v>104</v>
      </c>
      <c r="B192" t="s">
        <v>322</v>
      </c>
      <c r="C192">
        <v>1</v>
      </c>
      <c r="D192" t="s">
        <v>137</v>
      </c>
      <c r="E192" s="1">
        <v>2</v>
      </c>
      <c r="F192" s="1" t="s">
        <v>171</v>
      </c>
      <c r="G192" s="1">
        <v>42</v>
      </c>
      <c r="H192" s="1" t="s">
        <v>171</v>
      </c>
    </row>
    <row r="193" spans="1:8">
      <c r="A193">
        <v>104</v>
      </c>
      <c r="B193" t="s">
        <v>322</v>
      </c>
      <c r="C193">
        <v>1</v>
      </c>
      <c r="D193" t="s">
        <v>137</v>
      </c>
      <c r="E193" s="1">
        <v>2</v>
      </c>
      <c r="F193" s="1">
        <v>23</v>
      </c>
      <c r="G193" s="1">
        <v>50</v>
      </c>
      <c r="H193" s="1">
        <v>23</v>
      </c>
    </row>
    <row r="194" spans="1:8">
      <c r="A194">
        <v>104</v>
      </c>
      <c r="B194" t="s">
        <v>322</v>
      </c>
      <c r="C194">
        <v>1</v>
      </c>
      <c r="D194" t="s">
        <v>137</v>
      </c>
      <c r="E194" s="1">
        <v>2</v>
      </c>
      <c r="F194" s="1" t="s">
        <v>174</v>
      </c>
      <c r="G194" s="1">
        <v>52</v>
      </c>
      <c r="H194" s="1" t="s">
        <v>174</v>
      </c>
    </row>
    <row r="195" spans="1:8">
      <c r="A195">
        <v>104</v>
      </c>
      <c r="B195" t="s">
        <v>322</v>
      </c>
      <c r="C195">
        <v>1</v>
      </c>
      <c r="D195" t="s">
        <v>137</v>
      </c>
      <c r="E195" s="1">
        <v>2</v>
      </c>
      <c r="F195" s="1">
        <v>24</v>
      </c>
      <c r="G195" s="1">
        <v>60</v>
      </c>
      <c r="H195" s="1">
        <v>24</v>
      </c>
    </row>
    <row r="196" spans="1:8">
      <c r="A196">
        <v>104</v>
      </c>
      <c r="B196" t="s">
        <v>322</v>
      </c>
      <c r="C196">
        <v>1</v>
      </c>
      <c r="D196" t="s">
        <v>137</v>
      </c>
      <c r="E196" s="1">
        <v>2</v>
      </c>
      <c r="F196" s="1" t="s">
        <v>177</v>
      </c>
      <c r="G196" s="1">
        <v>62</v>
      </c>
      <c r="H196" s="1" t="s">
        <v>177</v>
      </c>
    </row>
    <row r="197" spans="1:8">
      <c r="A197">
        <v>104</v>
      </c>
      <c r="B197" t="s">
        <v>322</v>
      </c>
      <c r="C197">
        <v>1</v>
      </c>
      <c r="D197" t="s">
        <v>137</v>
      </c>
      <c r="E197" s="1">
        <v>2</v>
      </c>
      <c r="F197" s="1" t="s">
        <v>180</v>
      </c>
      <c r="G197" s="1">
        <v>72</v>
      </c>
      <c r="H197" s="1" t="s">
        <v>180</v>
      </c>
    </row>
    <row r="198" spans="1:8">
      <c r="A198">
        <v>104</v>
      </c>
      <c r="B198" t="s">
        <v>322</v>
      </c>
      <c r="C198">
        <v>1</v>
      </c>
      <c r="D198" t="s">
        <v>137</v>
      </c>
      <c r="E198" s="1">
        <v>2</v>
      </c>
      <c r="F198" s="1">
        <v>18</v>
      </c>
      <c r="H198" s="1">
        <v>18</v>
      </c>
    </row>
    <row r="199" spans="1:8">
      <c r="A199">
        <v>104</v>
      </c>
      <c r="B199" t="s">
        <v>322</v>
      </c>
      <c r="C199">
        <v>5</v>
      </c>
      <c r="D199" t="s">
        <v>183</v>
      </c>
      <c r="G199" s="1">
        <v>50</v>
      </c>
    </row>
    <row r="200" spans="1:8">
      <c r="A200">
        <v>104</v>
      </c>
      <c r="B200" t="s">
        <v>322</v>
      </c>
      <c r="C200">
        <v>5</v>
      </c>
      <c r="D200" t="s">
        <v>183</v>
      </c>
      <c r="G200" s="1">
        <v>60</v>
      </c>
    </row>
    <row r="201" spans="1:8">
      <c r="A201">
        <v>104</v>
      </c>
      <c r="B201" t="s">
        <v>322</v>
      </c>
      <c r="C201">
        <v>6</v>
      </c>
      <c r="D201" t="s">
        <v>184</v>
      </c>
      <c r="E201" s="1">
        <v>1</v>
      </c>
      <c r="F201" s="1" t="s">
        <v>290</v>
      </c>
      <c r="G201" s="1">
        <v>10</v>
      </c>
      <c r="H201" s="1" t="s">
        <v>290</v>
      </c>
    </row>
    <row r="202" spans="1:8">
      <c r="A202">
        <v>104</v>
      </c>
      <c r="B202" t="s">
        <v>322</v>
      </c>
      <c r="C202">
        <v>6</v>
      </c>
      <c r="D202" t="s">
        <v>184</v>
      </c>
      <c r="G202" s="1">
        <v>63</v>
      </c>
    </row>
    <row r="203" spans="1:8">
      <c r="A203">
        <v>104</v>
      </c>
      <c r="B203" t="s">
        <v>322</v>
      </c>
      <c r="C203">
        <v>11</v>
      </c>
      <c r="D203" t="s">
        <v>186</v>
      </c>
      <c r="E203" s="1">
        <v>1</v>
      </c>
      <c r="F203" s="1" t="s">
        <v>192</v>
      </c>
      <c r="G203" s="1">
        <v>2</v>
      </c>
      <c r="H203" s="1" t="s">
        <v>192</v>
      </c>
    </row>
    <row r="204" spans="1:8">
      <c r="A204">
        <v>104</v>
      </c>
      <c r="B204" t="s">
        <v>322</v>
      </c>
      <c r="C204">
        <v>11</v>
      </c>
      <c r="D204" t="s">
        <v>186</v>
      </c>
      <c r="E204" s="1">
        <v>1</v>
      </c>
      <c r="F204" s="1">
        <v>40</v>
      </c>
      <c r="G204" s="1">
        <v>10</v>
      </c>
      <c r="H204" s="1">
        <v>40</v>
      </c>
    </row>
    <row r="205" spans="1:8">
      <c r="A205">
        <v>104</v>
      </c>
      <c r="B205" t="s">
        <v>322</v>
      </c>
      <c r="C205">
        <v>11</v>
      </c>
      <c r="D205" t="s">
        <v>186</v>
      </c>
      <c r="E205" s="1">
        <v>1</v>
      </c>
      <c r="F205" s="1" t="s">
        <v>193</v>
      </c>
      <c r="G205" s="1">
        <v>12</v>
      </c>
      <c r="H205" s="1" t="s">
        <v>193</v>
      </c>
    </row>
    <row r="206" spans="1:8">
      <c r="A206">
        <v>104</v>
      </c>
      <c r="B206" t="s">
        <v>322</v>
      </c>
      <c r="C206">
        <v>11</v>
      </c>
      <c r="D206" t="s">
        <v>186</v>
      </c>
      <c r="E206" s="1">
        <v>1</v>
      </c>
      <c r="F206" s="1">
        <v>41</v>
      </c>
      <c r="G206" s="1">
        <v>20</v>
      </c>
      <c r="H206" s="1">
        <v>41</v>
      </c>
    </row>
    <row r="207" spans="1:8">
      <c r="A207">
        <v>104</v>
      </c>
      <c r="B207" t="s">
        <v>322</v>
      </c>
      <c r="C207">
        <v>11</v>
      </c>
      <c r="D207" t="s">
        <v>186</v>
      </c>
      <c r="E207" s="1">
        <v>1</v>
      </c>
      <c r="F207" s="1" t="s">
        <v>194</v>
      </c>
      <c r="G207" s="1">
        <v>22</v>
      </c>
      <c r="H207" s="1" t="s">
        <v>194</v>
      </c>
    </row>
    <row r="208" spans="1:8">
      <c r="A208">
        <v>104</v>
      </c>
      <c r="B208" t="s">
        <v>322</v>
      </c>
      <c r="C208">
        <v>11</v>
      </c>
      <c r="D208" t="s">
        <v>186</v>
      </c>
      <c r="E208" s="1">
        <v>1</v>
      </c>
      <c r="F208" s="1">
        <v>42</v>
      </c>
      <c r="G208" s="1">
        <v>30</v>
      </c>
      <c r="H208" s="1">
        <v>42</v>
      </c>
    </row>
    <row r="209" spans="1:8">
      <c r="A209">
        <v>104</v>
      </c>
      <c r="B209" t="s">
        <v>322</v>
      </c>
      <c r="C209">
        <v>11</v>
      </c>
      <c r="D209" t="s">
        <v>186</v>
      </c>
      <c r="E209" s="1">
        <v>1</v>
      </c>
      <c r="F209" s="1" t="s">
        <v>195</v>
      </c>
      <c r="G209" s="1">
        <v>32</v>
      </c>
      <c r="H209" s="1" t="s">
        <v>195</v>
      </c>
    </row>
    <row r="210" spans="1:8">
      <c r="A210">
        <v>104</v>
      </c>
      <c r="B210" t="s">
        <v>322</v>
      </c>
      <c r="C210">
        <v>11</v>
      </c>
      <c r="D210" t="s">
        <v>186</v>
      </c>
      <c r="E210" s="1">
        <v>1</v>
      </c>
      <c r="F210" s="1">
        <v>43</v>
      </c>
      <c r="G210" s="1">
        <v>40</v>
      </c>
      <c r="H210" s="1">
        <v>43</v>
      </c>
    </row>
    <row r="211" spans="1:8">
      <c r="A211">
        <v>104</v>
      </c>
      <c r="B211" t="s">
        <v>322</v>
      </c>
      <c r="C211">
        <v>11</v>
      </c>
      <c r="D211" t="s">
        <v>186</v>
      </c>
      <c r="E211" s="1">
        <v>1</v>
      </c>
      <c r="F211" s="1" t="s">
        <v>196</v>
      </c>
      <c r="G211" s="1">
        <v>42</v>
      </c>
      <c r="H211" s="1" t="s">
        <v>196</v>
      </c>
    </row>
    <row r="212" spans="1:8">
      <c r="A212">
        <v>104</v>
      </c>
      <c r="B212" t="s">
        <v>322</v>
      </c>
      <c r="C212">
        <v>11</v>
      </c>
      <c r="D212" t="s">
        <v>186</v>
      </c>
      <c r="E212" s="1">
        <v>1</v>
      </c>
      <c r="F212" s="1">
        <v>44</v>
      </c>
      <c r="G212" s="1">
        <v>50</v>
      </c>
      <c r="H212" s="1">
        <v>44</v>
      </c>
    </row>
    <row r="213" spans="1:8">
      <c r="A213">
        <v>104</v>
      </c>
      <c r="B213" t="s">
        <v>322</v>
      </c>
      <c r="C213">
        <v>11</v>
      </c>
      <c r="D213" t="s">
        <v>186</v>
      </c>
      <c r="E213" s="1">
        <v>1</v>
      </c>
      <c r="F213" s="1" t="s">
        <v>197</v>
      </c>
      <c r="G213" s="1">
        <v>52</v>
      </c>
      <c r="H213" s="1" t="s">
        <v>197</v>
      </c>
    </row>
    <row r="214" spans="1:8">
      <c r="A214">
        <v>104</v>
      </c>
      <c r="B214" t="s">
        <v>322</v>
      </c>
      <c r="C214">
        <v>11</v>
      </c>
      <c r="D214" t="s">
        <v>186</v>
      </c>
      <c r="E214" s="1">
        <v>1</v>
      </c>
      <c r="F214" s="1">
        <v>45</v>
      </c>
      <c r="G214" s="1">
        <v>60</v>
      </c>
      <c r="H214" s="1">
        <v>45</v>
      </c>
    </row>
    <row r="215" spans="1:8">
      <c r="A215">
        <v>104</v>
      </c>
      <c r="B215" t="s">
        <v>322</v>
      </c>
      <c r="C215">
        <v>11</v>
      </c>
      <c r="D215" t="s">
        <v>186</v>
      </c>
      <c r="E215" s="1">
        <v>1</v>
      </c>
      <c r="F215" s="1" t="s">
        <v>198</v>
      </c>
      <c r="G215" s="1">
        <v>62</v>
      </c>
      <c r="H215" s="1" t="s">
        <v>198</v>
      </c>
    </row>
    <row r="216" spans="1:8">
      <c r="A216">
        <v>104</v>
      </c>
      <c r="B216" t="s">
        <v>322</v>
      </c>
      <c r="C216">
        <v>11</v>
      </c>
      <c r="D216" t="s">
        <v>186</v>
      </c>
      <c r="E216" s="1">
        <v>1</v>
      </c>
      <c r="F216" s="1" t="s">
        <v>199</v>
      </c>
      <c r="G216" s="1">
        <v>72</v>
      </c>
      <c r="H216" s="1" t="s">
        <v>199</v>
      </c>
    </row>
    <row r="217" spans="1:8">
      <c r="A217">
        <v>104</v>
      </c>
      <c r="B217" t="s">
        <v>322</v>
      </c>
      <c r="C217">
        <v>11</v>
      </c>
      <c r="D217" t="s">
        <v>186</v>
      </c>
      <c r="E217" s="1">
        <v>1</v>
      </c>
      <c r="F217" s="1">
        <v>39</v>
      </c>
      <c r="H217" s="1">
        <v>39</v>
      </c>
    </row>
    <row r="218" spans="1:8">
      <c r="A218">
        <v>104</v>
      </c>
      <c r="B218" t="s">
        <v>322</v>
      </c>
      <c r="C218">
        <v>11</v>
      </c>
      <c r="D218" t="s">
        <v>186</v>
      </c>
      <c r="G218" s="1">
        <v>92</v>
      </c>
    </row>
    <row r="219" spans="1:8">
      <c r="A219">
        <v>104</v>
      </c>
      <c r="B219" t="s">
        <v>322</v>
      </c>
      <c r="C219">
        <v>11</v>
      </c>
      <c r="D219" t="s">
        <v>186</v>
      </c>
      <c r="G219" s="1">
        <v>96</v>
      </c>
    </row>
    <row r="220" spans="1:8">
      <c r="A220">
        <v>104</v>
      </c>
      <c r="B220" t="s">
        <v>322</v>
      </c>
      <c r="C220">
        <v>12</v>
      </c>
      <c r="D220" t="s">
        <v>107</v>
      </c>
      <c r="E220" s="1">
        <v>1</v>
      </c>
      <c r="F220" s="1" t="s">
        <v>198</v>
      </c>
      <c r="G220" s="1">
        <v>62</v>
      </c>
      <c r="H220" s="1" t="s">
        <v>198</v>
      </c>
    </row>
    <row r="221" spans="1:8">
      <c r="A221">
        <v>104</v>
      </c>
      <c r="B221" t="s">
        <v>322</v>
      </c>
      <c r="C221">
        <v>13</v>
      </c>
      <c r="D221" t="s">
        <v>200</v>
      </c>
      <c r="E221" s="1">
        <v>1</v>
      </c>
      <c r="F221" s="1" t="s">
        <v>193</v>
      </c>
      <c r="G221" s="1">
        <v>12</v>
      </c>
      <c r="H221" s="1" t="s">
        <v>193</v>
      </c>
    </row>
    <row r="222" spans="1:8">
      <c r="A222">
        <v>104</v>
      </c>
      <c r="B222" t="s">
        <v>322</v>
      </c>
      <c r="C222">
        <v>13</v>
      </c>
      <c r="D222" t="s">
        <v>200</v>
      </c>
      <c r="E222" s="1">
        <v>1</v>
      </c>
      <c r="F222" s="1" t="s">
        <v>194</v>
      </c>
      <c r="G222" s="1">
        <v>22</v>
      </c>
      <c r="H222" s="1" t="s">
        <v>194</v>
      </c>
    </row>
    <row r="223" spans="1:8">
      <c r="A223">
        <v>104</v>
      </c>
      <c r="B223" t="s">
        <v>322</v>
      </c>
      <c r="C223">
        <v>13</v>
      </c>
      <c r="D223" t="s">
        <v>200</v>
      </c>
      <c r="E223" s="1">
        <v>1</v>
      </c>
      <c r="F223" s="1" t="s">
        <v>196</v>
      </c>
      <c r="G223" s="1">
        <v>42</v>
      </c>
      <c r="H223" s="1" t="s">
        <v>196</v>
      </c>
    </row>
    <row r="224" spans="1:8">
      <c r="A224">
        <v>104</v>
      </c>
      <c r="B224" t="s">
        <v>322</v>
      </c>
      <c r="C224">
        <v>13</v>
      </c>
      <c r="D224" t="s">
        <v>200</v>
      </c>
      <c r="E224" s="1">
        <v>1</v>
      </c>
      <c r="F224" s="1">
        <v>44</v>
      </c>
      <c r="G224" s="1">
        <v>50</v>
      </c>
      <c r="H224" s="1">
        <v>44</v>
      </c>
    </row>
    <row r="225" spans="1:8">
      <c r="A225">
        <v>104</v>
      </c>
      <c r="B225" t="s">
        <v>322</v>
      </c>
      <c r="C225">
        <v>13</v>
      </c>
      <c r="D225" t="s">
        <v>200</v>
      </c>
      <c r="E225" s="1">
        <v>1</v>
      </c>
      <c r="F225" s="1" t="s">
        <v>197</v>
      </c>
      <c r="G225" s="1">
        <v>52</v>
      </c>
      <c r="H225" s="1" t="s">
        <v>197</v>
      </c>
    </row>
    <row r="226" spans="1:8">
      <c r="A226">
        <v>104</v>
      </c>
      <c r="B226" t="s">
        <v>322</v>
      </c>
      <c r="C226">
        <v>13</v>
      </c>
      <c r="D226" t="s">
        <v>200</v>
      </c>
      <c r="E226" s="1">
        <v>1</v>
      </c>
      <c r="F226" s="1">
        <v>45</v>
      </c>
      <c r="G226" s="1">
        <v>60</v>
      </c>
      <c r="H226" s="1">
        <v>45</v>
      </c>
    </row>
    <row r="227" spans="1:8">
      <c r="A227">
        <v>104</v>
      </c>
      <c r="B227" t="s">
        <v>322</v>
      </c>
      <c r="C227">
        <v>13</v>
      </c>
      <c r="D227" t="s">
        <v>200</v>
      </c>
      <c r="E227" s="1">
        <v>1</v>
      </c>
      <c r="F227" s="1" t="s">
        <v>198</v>
      </c>
      <c r="G227" s="1">
        <v>62</v>
      </c>
      <c r="H227" s="1" t="s">
        <v>198</v>
      </c>
    </row>
    <row r="228" spans="1:8">
      <c r="A228">
        <v>104</v>
      </c>
      <c r="B228" t="s">
        <v>322</v>
      </c>
      <c r="C228">
        <v>13</v>
      </c>
      <c r="D228" t="s">
        <v>200</v>
      </c>
      <c r="E228" s="1">
        <v>1</v>
      </c>
      <c r="F228" s="1" t="s">
        <v>199</v>
      </c>
      <c r="G228" s="1">
        <v>72</v>
      </c>
      <c r="H228" s="1" t="s">
        <v>199</v>
      </c>
    </row>
    <row r="229" spans="1:8">
      <c r="A229">
        <v>104</v>
      </c>
      <c r="B229" t="s">
        <v>322</v>
      </c>
      <c r="C229">
        <v>18</v>
      </c>
      <c r="D229" t="s">
        <v>204</v>
      </c>
      <c r="E229" s="1">
        <v>1</v>
      </c>
      <c r="F229" s="1" t="s">
        <v>194</v>
      </c>
      <c r="G229" s="1">
        <v>22</v>
      </c>
      <c r="H229" s="1" t="s">
        <v>194</v>
      </c>
    </row>
    <row r="230" spans="1:8">
      <c r="A230">
        <v>104</v>
      </c>
      <c r="B230" t="s">
        <v>322</v>
      </c>
      <c r="C230">
        <v>21</v>
      </c>
      <c r="D230" t="s">
        <v>205</v>
      </c>
      <c r="E230" s="1">
        <v>1</v>
      </c>
      <c r="F230" s="1" t="s">
        <v>323</v>
      </c>
      <c r="G230" s="1">
        <v>32</v>
      </c>
      <c r="H230" s="1" t="s">
        <v>323</v>
      </c>
    </row>
    <row r="231" spans="1:8">
      <c r="A231">
        <v>104</v>
      </c>
      <c r="B231" t="s">
        <v>322</v>
      </c>
      <c r="C231">
        <v>21</v>
      </c>
      <c r="D231" t="s">
        <v>205</v>
      </c>
      <c r="E231" s="1">
        <v>1</v>
      </c>
      <c r="F231" s="1" t="s">
        <v>287</v>
      </c>
      <c r="G231" s="1">
        <v>52</v>
      </c>
      <c r="H231" s="1" t="s">
        <v>287</v>
      </c>
    </row>
    <row r="232" spans="1:8">
      <c r="A232">
        <v>104</v>
      </c>
      <c r="B232" t="s">
        <v>322</v>
      </c>
      <c r="C232">
        <v>21</v>
      </c>
      <c r="D232" t="s">
        <v>205</v>
      </c>
      <c r="E232" s="1">
        <v>1</v>
      </c>
      <c r="F232" s="1" t="s">
        <v>288</v>
      </c>
      <c r="G232" s="1">
        <v>62</v>
      </c>
      <c r="H232" s="1" t="s">
        <v>288</v>
      </c>
    </row>
    <row r="233" spans="1:8">
      <c r="A233">
        <v>104</v>
      </c>
      <c r="B233" t="s">
        <v>322</v>
      </c>
      <c r="C233">
        <v>27</v>
      </c>
      <c r="D233" t="s">
        <v>210</v>
      </c>
      <c r="E233" s="1">
        <v>1</v>
      </c>
      <c r="F233" s="1">
        <v>40</v>
      </c>
      <c r="G233" s="1">
        <v>10</v>
      </c>
      <c r="H233" s="1">
        <v>40</v>
      </c>
    </row>
    <row r="234" spans="1:8">
      <c r="A234">
        <v>104</v>
      </c>
      <c r="B234" t="s">
        <v>322</v>
      </c>
      <c r="C234">
        <v>27</v>
      </c>
      <c r="D234" t="s">
        <v>210</v>
      </c>
      <c r="E234" s="1">
        <v>1</v>
      </c>
      <c r="F234" s="1" t="s">
        <v>194</v>
      </c>
      <c r="G234" s="1">
        <v>22</v>
      </c>
      <c r="H234" s="1" t="s">
        <v>194</v>
      </c>
    </row>
    <row r="235" spans="1:8">
      <c r="A235">
        <v>104</v>
      </c>
      <c r="B235" t="s">
        <v>322</v>
      </c>
      <c r="C235">
        <v>27</v>
      </c>
      <c r="D235" t="s">
        <v>210</v>
      </c>
      <c r="E235" s="1">
        <v>1</v>
      </c>
      <c r="F235" s="1">
        <v>42</v>
      </c>
      <c r="G235" s="1">
        <v>30</v>
      </c>
      <c r="H235" s="1">
        <v>42</v>
      </c>
    </row>
    <row r="236" spans="1:8">
      <c r="A236">
        <v>104</v>
      </c>
      <c r="B236" t="s">
        <v>322</v>
      </c>
      <c r="C236">
        <v>27</v>
      </c>
      <c r="D236" t="s">
        <v>210</v>
      </c>
      <c r="E236" s="1">
        <v>1</v>
      </c>
      <c r="F236" s="1" t="s">
        <v>195</v>
      </c>
      <c r="G236" s="1">
        <v>32</v>
      </c>
      <c r="H236" s="1" t="s">
        <v>195</v>
      </c>
    </row>
    <row r="237" spans="1:8">
      <c r="A237">
        <v>104</v>
      </c>
      <c r="B237" t="s">
        <v>322</v>
      </c>
      <c r="C237">
        <v>27</v>
      </c>
      <c r="D237" t="s">
        <v>210</v>
      </c>
      <c r="E237" s="1">
        <v>1</v>
      </c>
      <c r="F237" s="1" t="s">
        <v>196</v>
      </c>
      <c r="G237" s="1">
        <v>42</v>
      </c>
      <c r="H237" s="1" t="s">
        <v>196</v>
      </c>
    </row>
    <row r="238" spans="1:8">
      <c r="A238">
        <v>104</v>
      </c>
      <c r="B238" t="s">
        <v>322</v>
      </c>
      <c r="C238">
        <v>27</v>
      </c>
      <c r="D238" t="s">
        <v>210</v>
      </c>
      <c r="E238" s="1">
        <v>1</v>
      </c>
      <c r="F238" s="1">
        <v>44</v>
      </c>
      <c r="G238" s="1">
        <v>50</v>
      </c>
      <c r="H238" s="1">
        <v>44</v>
      </c>
    </row>
    <row r="239" spans="1:8">
      <c r="A239">
        <v>104</v>
      </c>
      <c r="B239" t="s">
        <v>322</v>
      </c>
      <c r="C239">
        <v>27</v>
      </c>
      <c r="D239" t="s">
        <v>210</v>
      </c>
      <c r="E239" s="1">
        <v>1</v>
      </c>
      <c r="F239" s="1">
        <v>45</v>
      </c>
      <c r="G239" s="1">
        <v>60</v>
      </c>
      <c r="H239" s="1">
        <v>45</v>
      </c>
    </row>
    <row r="240" spans="1:8">
      <c r="A240">
        <v>104</v>
      </c>
      <c r="B240" t="s">
        <v>322</v>
      </c>
      <c r="C240">
        <v>27</v>
      </c>
      <c r="D240" t="s">
        <v>210</v>
      </c>
      <c r="G240" s="1">
        <v>96</v>
      </c>
    </row>
    <row r="241" spans="1:8">
      <c r="A241">
        <v>104</v>
      </c>
      <c r="B241" t="s">
        <v>322</v>
      </c>
      <c r="C241">
        <v>43</v>
      </c>
      <c r="D241" t="s">
        <v>221</v>
      </c>
      <c r="G241" s="1">
        <v>40</v>
      </c>
    </row>
    <row r="242" spans="1:8">
      <c r="A242">
        <v>104</v>
      </c>
      <c r="B242" t="s">
        <v>322</v>
      </c>
      <c r="C242">
        <v>45</v>
      </c>
      <c r="D242" t="s">
        <v>223</v>
      </c>
      <c r="E242" s="1">
        <v>1</v>
      </c>
      <c r="F242" s="1" t="s">
        <v>324</v>
      </c>
      <c r="G242" s="1">
        <v>14</v>
      </c>
      <c r="H242" s="1" t="s">
        <v>325</v>
      </c>
    </row>
    <row r="243" spans="1:8">
      <c r="A243">
        <v>104</v>
      </c>
      <c r="B243" t="s">
        <v>322</v>
      </c>
      <c r="C243">
        <v>57</v>
      </c>
      <c r="D243" t="s">
        <v>183</v>
      </c>
      <c r="G243" s="1">
        <v>40</v>
      </c>
    </row>
    <row r="244" spans="1:8">
      <c r="A244">
        <v>104</v>
      </c>
      <c r="B244" t="s">
        <v>322</v>
      </c>
      <c r="C244">
        <v>57</v>
      </c>
      <c r="D244" t="s">
        <v>183</v>
      </c>
      <c r="G244" s="1">
        <v>50</v>
      </c>
    </row>
    <row r="245" spans="1:8">
      <c r="A245">
        <v>104</v>
      </c>
      <c r="B245" t="s">
        <v>322</v>
      </c>
      <c r="C245">
        <v>57</v>
      </c>
      <c r="D245" t="s">
        <v>183</v>
      </c>
      <c r="G245" s="1">
        <v>60</v>
      </c>
    </row>
    <row r="246" spans="1:8">
      <c r="A246">
        <v>104</v>
      </c>
      <c r="B246" t="s">
        <v>322</v>
      </c>
      <c r="C246">
        <v>59</v>
      </c>
      <c r="D246" t="s">
        <v>227</v>
      </c>
      <c r="E246" s="1">
        <v>3</v>
      </c>
      <c r="F246" s="1" t="s">
        <v>295</v>
      </c>
      <c r="G246" s="1">
        <v>23</v>
      </c>
      <c r="H246" s="1" t="s">
        <v>295</v>
      </c>
    </row>
    <row r="247" spans="1:8">
      <c r="A247">
        <v>104</v>
      </c>
      <c r="B247" t="s">
        <v>322</v>
      </c>
      <c r="C247">
        <v>74</v>
      </c>
      <c r="D247" t="s">
        <v>235</v>
      </c>
      <c r="E247" s="1">
        <v>3</v>
      </c>
      <c r="F247" s="1" t="s">
        <v>326</v>
      </c>
      <c r="G247" s="1">
        <v>40</v>
      </c>
      <c r="H247" s="1" t="s">
        <v>326</v>
      </c>
    </row>
    <row r="248" spans="1:8">
      <c r="A248">
        <v>104</v>
      </c>
      <c r="B248" t="s">
        <v>322</v>
      </c>
      <c r="C248">
        <v>74</v>
      </c>
      <c r="D248" t="s">
        <v>235</v>
      </c>
      <c r="E248" s="1">
        <v>3</v>
      </c>
      <c r="F248" s="1" t="s">
        <v>320</v>
      </c>
      <c r="G248" s="1">
        <v>50</v>
      </c>
      <c r="H248" s="1" t="s">
        <v>320</v>
      </c>
    </row>
    <row r="249" spans="1:8">
      <c r="A249">
        <v>104</v>
      </c>
      <c r="B249" t="s">
        <v>322</v>
      </c>
      <c r="C249">
        <v>74</v>
      </c>
      <c r="D249" t="s">
        <v>235</v>
      </c>
      <c r="E249" s="1">
        <v>3</v>
      </c>
      <c r="F249" s="1" t="s">
        <v>321</v>
      </c>
      <c r="G249" s="1">
        <v>60</v>
      </c>
      <c r="H249" s="1" t="s">
        <v>321</v>
      </c>
    </row>
    <row r="250" spans="1:8">
      <c r="A250">
        <v>104</v>
      </c>
      <c r="B250" t="s">
        <v>322</v>
      </c>
      <c r="C250">
        <v>82</v>
      </c>
      <c r="D250" t="s">
        <v>239</v>
      </c>
      <c r="G250" s="1">
        <v>12</v>
      </c>
    </row>
    <row r="251" spans="1:8">
      <c r="A251">
        <v>104</v>
      </c>
      <c r="B251" t="s">
        <v>322</v>
      </c>
      <c r="C251">
        <v>82</v>
      </c>
      <c r="D251" t="s">
        <v>239</v>
      </c>
      <c r="G251" s="1">
        <v>32</v>
      </c>
    </row>
    <row r="252" spans="1:8">
      <c r="A252">
        <v>105</v>
      </c>
      <c r="B252" t="s">
        <v>327</v>
      </c>
      <c r="C252">
        <v>1</v>
      </c>
      <c r="D252" t="s">
        <v>137</v>
      </c>
      <c r="E252" s="1">
        <v>1</v>
      </c>
      <c r="F252" s="1">
        <v>13</v>
      </c>
      <c r="G252" s="1">
        <v>60</v>
      </c>
      <c r="H252" s="1">
        <v>13</v>
      </c>
    </row>
    <row r="253" spans="1:8">
      <c r="A253">
        <v>105</v>
      </c>
      <c r="B253" t="s">
        <v>327</v>
      </c>
      <c r="C253">
        <v>1</v>
      </c>
      <c r="D253" t="s">
        <v>137</v>
      </c>
      <c r="E253" s="1">
        <v>1</v>
      </c>
      <c r="F253" s="1" t="s">
        <v>144</v>
      </c>
      <c r="G253" s="1">
        <v>62</v>
      </c>
      <c r="H253" s="1" t="s">
        <v>144</v>
      </c>
    </row>
    <row r="254" spans="1:8">
      <c r="A254">
        <v>105</v>
      </c>
      <c r="B254" t="s">
        <v>327</v>
      </c>
      <c r="C254">
        <v>1</v>
      </c>
      <c r="D254" t="s">
        <v>137</v>
      </c>
      <c r="E254" s="1">
        <v>1</v>
      </c>
      <c r="F254" s="1">
        <v>14</v>
      </c>
      <c r="G254" s="1">
        <v>70</v>
      </c>
      <c r="H254" s="1">
        <v>14</v>
      </c>
    </row>
    <row r="255" spans="1:8">
      <c r="A255">
        <v>105</v>
      </c>
      <c r="B255" t="s">
        <v>327</v>
      </c>
      <c r="C255">
        <v>1</v>
      </c>
      <c r="D255" t="s">
        <v>137</v>
      </c>
      <c r="E255" s="1">
        <v>1</v>
      </c>
      <c r="F255" s="1" t="s">
        <v>147</v>
      </c>
      <c r="G255" s="1">
        <v>72</v>
      </c>
      <c r="H255" s="1" t="s">
        <v>147</v>
      </c>
    </row>
    <row r="256" spans="1:8">
      <c r="A256">
        <v>105</v>
      </c>
      <c r="B256" t="s">
        <v>327</v>
      </c>
      <c r="C256">
        <v>1</v>
      </c>
      <c r="D256" t="s">
        <v>137</v>
      </c>
      <c r="E256" s="1">
        <v>1</v>
      </c>
      <c r="F256" s="1">
        <v>15</v>
      </c>
      <c r="G256" s="1">
        <v>80</v>
      </c>
      <c r="H256" s="1">
        <v>15</v>
      </c>
    </row>
    <row r="257" spans="1:8">
      <c r="A257">
        <v>105</v>
      </c>
      <c r="B257" t="s">
        <v>327</v>
      </c>
      <c r="C257">
        <v>1</v>
      </c>
      <c r="D257" t="s">
        <v>137</v>
      </c>
      <c r="E257" s="1">
        <v>1</v>
      </c>
      <c r="F257" s="1" t="s">
        <v>150</v>
      </c>
      <c r="G257" s="1">
        <v>82</v>
      </c>
      <c r="H257" s="1" t="s">
        <v>150</v>
      </c>
    </row>
    <row r="258" spans="1:8">
      <c r="A258">
        <v>105</v>
      </c>
      <c r="B258" t="s">
        <v>327</v>
      </c>
      <c r="C258">
        <v>1</v>
      </c>
      <c r="D258" t="s">
        <v>137</v>
      </c>
      <c r="E258" s="1">
        <v>1</v>
      </c>
      <c r="F258" s="1">
        <v>16</v>
      </c>
      <c r="G258" s="1">
        <v>90</v>
      </c>
      <c r="H258" s="1">
        <v>16</v>
      </c>
    </row>
    <row r="259" spans="1:8">
      <c r="A259">
        <v>105</v>
      </c>
      <c r="B259" t="s">
        <v>327</v>
      </c>
      <c r="C259">
        <v>1</v>
      </c>
      <c r="D259" t="s">
        <v>137</v>
      </c>
      <c r="E259" s="1">
        <v>1</v>
      </c>
      <c r="F259" s="1" t="s">
        <v>153</v>
      </c>
      <c r="G259" s="1">
        <v>92</v>
      </c>
      <c r="H259" s="1" t="s">
        <v>153</v>
      </c>
    </row>
    <row r="260" spans="1:8">
      <c r="A260">
        <v>105</v>
      </c>
      <c r="B260" t="s">
        <v>327</v>
      </c>
      <c r="C260">
        <v>1</v>
      </c>
      <c r="D260" t="s">
        <v>137</v>
      </c>
      <c r="E260" s="1">
        <v>1</v>
      </c>
      <c r="F260" s="1">
        <v>17</v>
      </c>
      <c r="G260" s="1">
        <v>94</v>
      </c>
      <c r="H260" s="1">
        <v>17</v>
      </c>
    </row>
    <row r="261" spans="1:8">
      <c r="A261">
        <v>105</v>
      </c>
      <c r="B261" t="s">
        <v>327</v>
      </c>
      <c r="C261">
        <v>1</v>
      </c>
      <c r="D261" t="s">
        <v>137</v>
      </c>
      <c r="E261" s="1">
        <v>1</v>
      </c>
      <c r="F261" s="1" t="s">
        <v>156</v>
      </c>
      <c r="G261" s="1">
        <v>96</v>
      </c>
      <c r="H261" s="1" t="s">
        <v>156</v>
      </c>
    </row>
    <row r="262" spans="1:8">
      <c r="A262">
        <v>105</v>
      </c>
      <c r="B262" t="s">
        <v>327</v>
      </c>
      <c r="C262">
        <v>1</v>
      </c>
      <c r="D262" t="s">
        <v>137</v>
      </c>
      <c r="E262" s="1">
        <v>2</v>
      </c>
      <c r="F262" s="1" t="s">
        <v>159</v>
      </c>
      <c r="G262" s="1">
        <v>2</v>
      </c>
      <c r="H262" s="1" t="s">
        <v>159</v>
      </c>
    </row>
    <row r="263" spans="1:8">
      <c r="A263">
        <v>105</v>
      </c>
      <c r="B263" t="s">
        <v>327</v>
      </c>
      <c r="C263">
        <v>1</v>
      </c>
      <c r="D263" t="s">
        <v>137</v>
      </c>
      <c r="E263" s="1">
        <v>2</v>
      </c>
      <c r="F263" s="1">
        <v>19</v>
      </c>
      <c r="G263" s="1">
        <v>10</v>
      </c>
      <c r="H263" s="1">
        <v>19</v>
      </c>
    </row>
    <row r="264" spans="1:8">
      <c r="A264">
        <v>105</v>
      </c>
      <c r="B264" t="s">
        <v>327</v>
      </c>
      <c r="C264">
        <v>1</v>
      </c>
      <c r="D264" t="s">
        <v>137</v>
      </c>
      <c r="E264" s="1">
        <v>2</v>
      </c>
      <c r="F264" s="1" t="s">
        <v>162</v>
      </c>
      <c r="G264" s="1">
        <v>12</v>
      </c>
      <c r="H264" s="1" t="s">
        <v>162</v>
      </c>
    </row>
    <row r="265" spans="1:8">
      <c r="A265">
        <v>105</v>
      </c>
      <c r="B265" t="s">
        <v>327</v>
      </c>
      <c r="C265">
        <v>1</v>
      </c>
      <c r="D265" t="s">
        <v>137</v>
      </c>
      <c r="E265" s="1">
        <v>2</v>
      </c>
      <c r="F265" s="1">
        <v>20</v>
      </c>
      <c r="G265" s="1">
        <v>20</v>
      </c>
      <c r="H265" s="1">
        <v>20</v>
      </c>
    </row>
    <row r="266" spans="1:8">
      <c r="A266">
        <v>105</v>
      </c>
      <c r="B266" t="s">
        <v>327</v>
      </c>
      <c r="C266">
        <v>1</v>
      </c>
      <c r="D266" t="s">
        <v>137</v>
      </c>
      <c r="E266" s="1">
        <v>2</v>
      </c>
      <c r="F266" s="1" t="s">
        <v>165</v>
      </c>
      <c r="G266" s="1">
        <v>22</v>
      </c>
      <c r="H266" s="1" t="s">
        <v>165</v>
      </c>
    </row>
    <row r="267" spans="1:8">
      <c r="A267">
        <v>105</v>
      </c>
      <c r="B267" t="s">
        <v>327</v>
      </c>
      <c r="C267">
        <v>1</v>
      </c>
      <c r="D267" t="s">
        <v>137</v>
      </c>
      <c r="E267" s="1">
        <v>2</v>
      </c>
      <c r="F267" s="1">
        <v>21</v>
      </c>
      <c r="G267" s="1">
        <v>30</v>
      </c>
      <c r="H267" s="1">
        <v>21</v>
      </c>
    </row>
    <row r="268" spans="1:8">
      <c r="A268">
        <v>105</v>
      </c>
      <c r="B268" t="s">
        <v>327</v>
      </c>
      <c r="C268">
        <v>1</v>
      </c>
      <c r="D268" t="s">
        <v>137</v>
      </c>
      <c r="E268" s="1">
        <v>2</v>
      </c>
      <c r="F268" s="1" t="s">
        <v>168</v>
      </c>
      <c r="G268" s="1">
        <v>32</v>
      </c>
      <c r="H268" s="1" t="s">
        <v>168</v>
      </c>
    </row>
    <row r="269" spans="1:8">
      <c r="A269">
        <v>105</v>
      </c>
      <c r="B269" t="s">
        <v>327</v>
      </c>
      <c r="C269">
        <v>1</v>
      </c>
      <c r="D269" t="s">
        <v>137</v>
      </c>
      <c r="E269" s="1">
        <v>2</v>
      </c>
      <c r="F269" s="1">
        <v>22</v>
      </c>
      <c r="G269" s="1">
        <v>40</v>
      </c>
      <c r="H269" s="1">
        <v>22</v>
      </c>
    </row>
    <row r="270" spans="1:8">
      <c r="A270">
        <v>105</v>
      </c>
      <c r="B270" t="s">
        <v>327</v>
      </c>
      <c r="C270">
        <v>1</v>
      </c>
      <c r="D270" t="s">
        <v>137</v>
      </c>
      <c r="E270" s="1">
        <v>2</v>
      </c>
      <c r="F270" s="1" t="s">
        <v>171</v>
      </c>
      <c r="G270" s="1">
        <v>42</v>
      </c>
      <c r="H270" s="1" t="s">
        <v>171</v>
      </c>
    </row>
    <row r="271" spans="1:8">
      <c r="A271">
        <v>105</v>
      </c>
      <c r="B271" t="s">
        <v>327</v>
      </c>
      <c r="C271">
        <v>1</v>
      </c>
      <c r="D271" t="s">
        <v>137</v>
      </c>
      <c r="E271" s="1">
        <v>2</v>
      </c>
      <c r="F271" s="1">
        <v>23</v>
      </c>
      <c r="G271" s="1">
        <v>50</v>
      </c>
      <c r="H271" s="1">
        <v>23</v>
      </c>
    </row>
    <row r="272" spans="1:8">
      <c r="A272">
        <v>105</v>
      </c>
      <c r="B272" t="s">
        <v>327</v>
      </c>
      <c r="C272">
        <v>1</v>
      </c>
      <c r="D272" t="s">
        <v>137</v>
      </c>
      <c r="E272" s="1">
        <v>2</v>
      </c>
      <c r="F272" s="1" t="s">
        <v>174</v>
      </c>
      <c r="G272" s="1">
        <v>52</v>
      </c>
      <c r="H272" s="1" t="s">
        <v>174</v>
      </c>
    </row>
    <row r="273" spans="1:8">
      <c r="A273">
        <v>105</v>
      </c>
      <c r="B273" t="s">
        <v>327</v>
      </c>
      <c r="C273">
        <v>1</v>
      </c>
      <c r="D273" t="s">
        <v>137</v>
      </c>
      <c r="E273" s="1">
        <v>2</v>
      </c>
      <c r="F273" s="1">
        <v>24</v>
      </c>
      <c r="G273" s="1">
        <v>60</v>
      </c>
      <c r="H273" s="1">
        <v>24</v>
      </c>
    </row>
    <row r="274" spans="1:8">
      <c r="A274">
        <v>105</v>
      </c>
      <c r="B274" t="s">
        <v>327</v>
      </c>
      <c r="C274">
        <v>1</v>
      </c>
      <c r="D274" t="s">
        <v>137</v>
      </c>
      <c r="E274" s="1">
        <v>2</v>
      </c>
      <c r="F274" s="1" t="s">
        <v>177</v>
      </c>
      <c r="G274" s="1">
        <v>62</v>
      </c>
      <c r="H274" s="1" t="s">
        <v>177</v>
      </c>
    </row>
    <row r="275" spans="1:8">
      <c r="A275">
        <v>105</v>
      </c>
      <c r="B275" t="s">
        <v>327</v>
      </c>
      <c r="C275">
        <v>1</v>
      </c>
      <c r="D275" t="s">
        <v>137</v>
      </c>
      <c r="E275" s="1">
        <v>2</v>
      </c>
      <c r="F275" s="1" t="s">
        <v>180</v>
      </c>
      <c r="G275" s="1">
        <v>72</v>
      </c>
      <c r="H275" s="1" t="s">
        <v>180</v>
      </c>
    </row>
    <row r="276" spans="1:8">
      <c r="A276">
        <v>105</v>
      </c>
      <c r="B276" t="s">
        <v>327</v>
      </c>
      <c r="C276">
        <v>1</v>
      </c>
      <c r="D276" t="s">
        <v>137</v>
      </c>
      <c r="E276" s="1">
        <v>2</v>
      </c>
      <c r="F276" s="1">
        <v>18</v>
      </c>
      <c r="H276" s="1">
        <v>18</v>
      </c>
    </row>
    <row r="277" spans="1:8">
      <c r="A277">
        <v>105</v>
      </c>
      <c r="B277" t="s">
        <v>327</v>
      </c>
      <c r="C277">
        <v>5</v>
      </c>
      <c r="D277" t="s">
        <v>183</v>
      </c>
      <c r="G277" s="1">
        <v>50</v>
      </c>
    </row>
    <row r="278" spans="1:8">
      <c r="A278">
        <v>105</v>
      </c>
      <c r="B278" t="s">
        <v>327</v>
      </c>
      <c r="C278">
        <v>5</v>
      </c>
      <c r="D278" t="s">
        <v>183</v>
      </c>
      <c r="G278" s="1">
        <v>60</v>
      </c>
    </row>
    <row r="279" spans="1:8">
      <c r="A279">
        <v>105</v>
      </c>
      <c r="B279" t="s">
        <v>327</v>
      </c>
      <c r="C279">
        <v>5</v>
      </c>
      <c r="D279" t="s">
        <v>183</v>
      </c>
      <c r="G279" s="1">
        <v>62</v>
      </c>
    </row>
    <row r="280" spans="1:8">
      <c r="A280">
        <v>105</v>
      </c>
      <c r="B280" t="s">
        <v>327</v>
      </c>
      <c r="C280">
        <v>6</v>
      </c>
      <c r="D280" t="s">
        <v>184</v>
      </c>
      <c r="G280" s="1">
        <v>22</v>
      </c>
    </row>
    <row r="281" spans="1:8">
      <c r="A281">
        <v>105</v>
      </c>
      <c r="B281" t="s">
        <v>327</v>
      </c>
      <c r="C281">
        <v>6</v>
      </c>
      <c r="D281" t="s">
        <v>184</v>
      </c>
      <c r="G281" s="1">
        <v>63</v>
      </c>
    </row>
    <row r="282" spans="1:8">
      <c r="A282">
        <v>105</v>
      </c>
      <c r="B282" t="s">
        <v>327</v>
      </c>
      <c r="C282">
        <v>11</v>
      </c>
      <c r="D282" t="s">
        <v>186</v>
      </c>
      <c r="E282" s="1">
        <v>1</v>
      </c>
      <c r="F282" s="1" t="s">
        <v>192</v>
      </c>
      <c r="G282" s="1">
        <v>2</v>
      </c>
      <c r="H282" s="1" t="s">
        <v>192</v>
      </c>
    </row>
    <row r="283" spans="1:8">
      <c r="A283">
        <v>105</v>
      </c>
      <c r="B283" t="s">
        <v>327</v>
      </c>
      <c r="C283">
        <v>11</v>
      </c>
      <c r="D283" t="s">
        <v>186</v>
      </c>
      <c r="E283" s="1">
        <v>1</v>
      </c>
      <c r="F283" s="1">
        <v>40</v>
      </c>
      <c r="G283" s="1">
        <v>10</v>
      </c>
      <c r="H283" s="1">
        <v>40</v>
      </c>
    </row>
    <row r="284" spans="1:8">
      <c r="A284">
        <v>105</v>
      </c>
      <c r="B284" t="s">
        <v>327</v>
      </c>
      <c r="C284">
        <v>11</v>
      </c>
      <c r="D284" t="s">
        <v>186</v>
      </c>
      <c r="E284" s="1">
        <v>1</v>
      </c>
      <c r="F284" s="1" t="s">
        <v>193</v>
      </c>
      <c r="G284" s="1">
        <v>12</v>
      </c>
      <c r="H284" s="1" t="s">
        <v>193</v>
      </c>
    </row>
    <row r="285" spans="1:8">
      <c r="A285">
        <v>105</v>
      </c>
      <c r="B285" t="s">
        <v>327</v>
      </c>
      <c r="C285">
        <v>11</v>
      </c>
      <c r="D285" t="s">
        <v>186</v>
      </c>
      <c r="E285" s="1">
        <v>1</v>
      </c>
      <c r="F285" s="1">
        <v>41</v>
      </c>
      <c r="G285" s="1">
        <v>20</v>
      </c>
      <c r="H285" s="1">
        <v>41</v>
      </c>
    </row>
    <row r="286" spans="1:8">
      <c r="A286">
        <v>105</v>
      </c>
      <c r="B286" t="s">
        <v>327</v>
      </c>
      <c r="C286">
        <v>11</v>
      </c>
      <c r="D286" t="s">
        <v>186</v>
      </c>
      <c r="E286" s="1">
        <v>1</v>
      </c>
      <c r="F286" s="1" t="s">
        <v>194</v>
      </c>
      <c r="G286" s="1">
        <v>22</v>
      </c>
      <c r="H286" s="1" t="s">
        <v>194</v>
      </c>
    </row>
    <row r="287" spans="1:8">
      <c r="A287">
        <v>105</v>
      </c>
      <c r="B287" t="s">
        <v>327</v>
      </c>
      <c r="C287">
        <v>11</v>
      </c>
      <c r="D287" t="s">
        <v>186</v>
      </c>
      <c r="E287" s="1">
        <v>1</v>
      </c>
      <c r="F287" s="1">
        <v>42</v>
      </c>
      <c r="G287" s="1">
        <v>30</v>
      </c>
      <c r="H287" s="1">
        <v>42</v>
      </c>
    </row>
    <row r="288" spans="1:8">
      <c r="A288">
        <v>105</v>
      </c>
      <c r="B288" t="s">
        <v>327</v>
      </c>
      <c r="C288">
        <v>11</v>
      </c>
      <c r="D288" t="s">
        <v>186</v>
      </c>
      <c r="E288" s="1">
        <v>1</v>
      </c>
      <c r="F288" s="1" t="s">
        <v>195</v>
      </c>
      <c r="G288" s="1">
        <v>32</v>
      </c>
      <c r="H288" s="1" t="s">
        <v>195</v>
      </c>
    </row>
    <row r="289" spans="1:8">
      <c r="A289">
        <v>105</v>
      </c>
      <c r="B289" t="s">
        <v>327</v>
      </c>
      <c r="C289">
        <v>11</v>
      </c>
      <c r="D289" t="s">
        <v>186</v>
      </c>
      <c r="E289" s="1">
        <v>1</v>
      </c>
      <c r="F289" s="1">
        <v>43</v>
      </c>
      <c r="G289" s="1">
        <v>40</v>
      </c>
      <c r="H289" s="1">
        <v>43</v>
      </c>
    </row>
    <row r="290" spans="1:8">
      <c r="A290">
        <v>105</v>
      </c>
      <c r="B290" t="s">
        <v>327</v>
      </c>
      <c r="C290">
        <v>11</v>
      </c>
      <c r="D290" t="s">
        <v>186</v>
      </c>
      <c r="E290" s="1">
        <v>1</v>
      </c>
      <c r="F290" s="1" t="s">
        <v>196</v>
      </c>
      <c r="G290" s="1">
        <v>42</v>
      </c>
      <c r="H290" s="1" t="s">
        <v>196</v>
      </c>
    </row>
    <row r="291" spans="1:8">
      <c r="A291">
        <v>105</v>
      </c>
      <c r="B291" t="s">
        <v>327</v>
      </c>
      <c r="C291">
        <v>11</v>
      </c>
      <c r="D291" t="s">
        <v>186</v>
      </c>
      <c r="E291" s="1">
        <v>1</v>
      </c>
      <c r="F291" s="1">
        <v>44</v>
      </c>
      <c r="G291" s="1">
        <v>50</v>
      </c>
      <c r="H291" s="1">
        <v>44</v>
      </c>
    </row>
    <row r="292" spans="1:8">
      <c r="A292">
        <v>105</v>
      </c>
      <c r="B292" t="s">
        <v>327</v>
      </c>
      <c r="C292">
        <v>11</v>
      </c>
      <c r="D292" t="s">
        <v>186</v>
      </c>
      <c r="E292" s="1">
        <v>1</v>
      </c>
      <c r="F292" s="1" t="s">
        <v>197</v>
      </c>
      <c r="G292" s="1">
        <v>52</v>
      </c>
      <c r="H292" s="1" t="s">
        <v>197</v>
      </c>
    </row>
    <row r="293" spans="1:8">
      <c r="A293">
        <v>105</v>
      </c>
      <c r="B293" t="s">
        <v>327</v>
      </c>
      <c r="C293">
        <v>11</v>
      </c>
      <c r="D293" t="s">
        <v>186</v>
      </c>
      <c r="E293" s="1">
        <v>1</v>
      </c>
      <c r="F293" s="1">
        <v>45</v>
      </c>
      <c r="G293" s="1">
        <v>60</v>
      </c>
      <c r="H293" s="1">
        <v>45</v>
      </c>
    </row>
    <row r="294" spans="1:8">
      <c r="A294">
        <v>105</v>
      </c>
      <c r="B294" t="s">
        <v>327</v>
      </c>
      <c r="C294">
        <v>11</v>
      </c>
      <c r="D294" t="s">
        <v>186</v>
      </c>
      <c r="E294" s="1">
        <v>1</v>
      </c>
      <c r="F294" s="1" t="s">
        <v>198</v>
      </c>
      <c r="G294" s="1">
        <v>62</v>
      </c>
      <c r="H294" s="1" t="s">
        <v>198</v>
      </c>
    </row>
    <row r="295" spans="1:8">
      <c r="A295">
        <v>105</v>
      </c>
      <c r="B295" t="s">
        <v>327</v>
      </c>
      <c r="C295">
        <v>11</v>
      </c>
      <c r="D295" t="s">
        <v>186</v>
      </c>
      <c r="E295" s="1">
        <v>1</v>
      </c>
      <c r="F295" s="1" t="s">
        <v>199</v>
      </c>
      <c r="G295" s="1">
        <v>72</v>
      </c>
      <c r="H295" s="1" t="s">
        <v>199</v>
      </c>
    </row>
    <row r="296" spans="1:8">
      <c r="A296">
        <v>105</v>
      </c>
      <c r="B296" t="s">
        <v>327</v>
      </c>
      <c r="C296">
        <v>11</v>
      </c>
      <c r="D296" t="s">
        <v>186</v>
      </c>
      <c r="E296" s="1">
        <v>1</v>
      </c>
      <c r="F296" s="1">
        <v>39</v>
      </c>
      <c r="H296" s="1">
        <v>39</v>
      </c>
    </row>
    <row r="297" spans="1:8">
      <c r="A297">
        <v>105</v>
      </c>
      <c r="B297" t="s">
        <v>327</v>
      </c>
      <c r="C297">
        <v>11</v>
      </c>
      <c r="D297" t="s">
        <v>186</v>
      </c>
      <c r="G297" s="1">
        <v>80</v>
      </c>
    </row>
    <row r="298" spans="1:8">
      <c r="A298">
        <v>105</v>
      </c>
      <c r="B298" t="s">
        <v>327</v>
      </c>
      <c r="C298">
        <v>11</v>
      </c>
      <c r="D298" t="s">
        <v>186</v>
      </c>
      <c r="G298" s="1">
        <v>95</v>
      </c>
    </row>
    <row r="299" spans="1:8">
      <c r="A299">
        <v>105</v>
      </c>
      <c r="B299" t="s">
        <v>327</v>
      </c>
      <c r="C299">
        <v>11</v>
      </c>
      <c r="D299" t="s">
        <v>186</v>
      </c>
      <c r="G299" s="1">
        <v>96</v>
      </c>
    </row>
    <row r="300" spans="1:8">
      <c r="A300">
        <v>105</v>
      </c>
      <c r="B300" t="s">
        <v>327</v>
      </c>
      <c r="C300">
        <v>12</v>
      </c>
      <c r="D300" t="s">
        <v>107</v>
      </c>
      <c r="E300" s="1">
        <v>1</v>
      </c>
      <c r="F300" s="1" t="s">
        <v>193</v>
      </c>
      <c r="G300" s="1">
        <v>12</v>
      </c>
      <c r="H300" s="1" t="s">
        <v>193</v>
      </c>
    </row>
    <row r="301" spans="1:8">
      <c r="A301">
        <v>105</v>
      </c>
      <c r="B301" t="s">
        <v>327</v>
      </c>
      <c r="C301">
        <v>12</v>
      </c>
      <c r="D301" t="s">
        <v>107</v>
      </c>
      <c r="E301" s="1">
        <v>1</v>
      </c>
      <c r="F301" s="1" t="s">
        <v>194</v>
      </c>
      <c r="G301" s="1">
        <v>22</v>
      </c>
      <c r="H301" s="1" t="s">
        <v>194</v>
      </c>
    </row>
    <row r="302" spans="1:8">
      <c r="A302">
        <v>105</v>
      </c>
      <c r="B302" t="s">
        <v>327</v>
      </c>
      <c r="C302">
        <v>12</v>
      </c>
      <c r="D302" t="s">
        <v>107</v>
      </c>
      <c r="E302" s="1">
        <v>1</v>
      </c>
      <c r="F302" s="1">
        <v>42</v>
      </c>
      <c r="G302" s="1">
        <v>30</v>
      </c>
      <c r="H302" s="1">
        <v>42</v>
      </c>
    </row>
    <row r="303" spans="1:8">
      <c r="A303">
        <v>105</v>
      </c>
      <c r="B303" t="s">
        <v>327</v>
      </c>
      <c r="C303">
        <v>12</v>
      </c>
      <c r="D303" t="s">
        <v>107</v>
      </c>
      <c r="E303" s="1">
        <v>1</v>
      </c>
      <c r="F303" s="1" t="s">
        <v>195</v>
      </c>
      <c r="G303" s="1">
        <v>32</v>
      </c>
      <c r="H303" s="1" t="s">
        <v>195</v>
      </c>
    </row>
    <row r="304" spans="1:8">
      <c r="A304">
        <v>105</v>
      </c>
      <c r="B304" t="s">
        <v>327</v>
      </c>
      <c r="C304">
        <v>12</v>
      </c>
      <c r="D304" t="s">
        <v>107</v>
      </c>
      <c r="E304" s="1">
        <v>1</v>
      </c>
      <c r="F304" s="1">
        <v>43</v>
      </c>
      <c r="G304" s="1">
        <v>40</v>
      </c>
      <c r="H304" s="1">
        <v>43</v>
      </c>
    </row>
    <row r="305" spans="1:8">
      <c r="A305">
        <v>105</v>
      </c>
      <c r="B305" t="s">
        <v>327</v>
      </c>
      <c r="C305">
        <v>12</v>
      </c>
      <c r="D305" t="s">
        <v>107</v>
      </c>
      <c r="E305" s="1">
        <v>1</v>
      </c>
      <c r="F305" s="1" t="s">
        <v>196</v>
      </c>
      <c r="G305" s="1">
        <v>42</v>
      </c>
      <c r="H305" s="1" t="s">
        <v>196</v>
      </c>
    </row>
    <row r="306" spans="1:8">
      <c r="A306">
        <v>105</v>
      </c>
      <c r="B306" t="s">
        <v>327</v>
      </c>
      <c r="C306">
        <v>12</v>
      </c>
      <c r="D306" t="s">
        <v>107</v>
      </c>
      <c r="E306" s="1">
        <v>1</v>
      </c>
      <c r="F306" s="1" t="s">
        <v>197</v>
      </c>
      <c r="G306" s="1">
        <v>52</v>
      </c>
      <c r="H306" s="1" t="s">
        <v>197</v>
      </c>
    </row>
    <row r="307" spans="1:8">
      <c r="A307">
        <v>105</v>
      </c>
      <c r="B307" t="s">
        <v>327</v>
      </c>
      <c r="C307">
        <v>12</v>
      </c>
      <c r="D307" t="s">
        <v>107</v>
      </c>
      <c r="E307" s="1">
        <v>1</v>
      </c>
      <c r="F307" s="1" t="s">
        <v>198</v>
      </c>
      <c r="G307" s="1">
        <v>62</v>
      </c>
      <c r="H307" s="1" t="s">
        <v>198</v>
      </c>
    </row>
    <row r="308" spans="1:8">
      <c r="A308">
        <v>105</v>
      </c>
      <c r="B308" t="s">
        <v>327</v>
      </c>
      <c r="C308">
        <v>13</v>
      </c>
      <c r="D308" t="s">
        <v>200</v>
      </c>
      <c r="E308" s="1">
        <v>1</v>
      </c>
      <c r="F308" s="1" t="s">
        <v>192</v>
      </c>
      <c r="G308" s="1">
        <v>2</v>
      </c>
      <c r="H308" s="1" t="s">
        <v>192</v>
      </c>
    </row>
    <row r="309" spans="1:8">
      <c r="A309">
        <v>105</v>
      </c>
      <c r="B309" t="s">
        <v>327</v>
      </c>
      <c r="C309">
        <v>13</v>
      </c>
      <c r="D309" t="s">
        <v>200</v>
      </c>
      <c r="E309" s="1">
        <v>1</v>
      </c>
      <c r="F309" s="1">
        <v>40</v>
      </c>
      <c r="G309" s="1">
        <v>10</v>
      </c>
      <c r="H309" s="1">
        <v>40</v>
      </c>
    </row>
    <row r="310" spans="1:8">
      <c r="A310">
        <v>105</v>
      </c>
      <c r="B310" t="s">
        <v>327</v>
      </c>
      <c r="C310">
        <v>13</v>
      </c>
      <c r="D310" t="s">
        <v>200</v>
      </c>
      <c r="E310" s="1">
        <v>1</v>
      </c>
      <c r="F310" s="1" t="s">
        <v>193</v>
      </c>
      <c r="G310" s="1">
        <v>12</v>
      </c>
      <c r="H310" s="1" t="s">
        <v>193</v>
      </c>
    </row>
    <row r="311" spans="1:8">
      <c r="A311">
        <v>105</v>
      </c>
      <c r="B311" t="s">
        <v>327</v>
      </c>
      <c r="C311">
        <v>13</v>
      </c>
      <c r="D311" t="s">
        <v>200</v>
      </c>
      <c r="E311" s="1">
        <v>1</v>
      </c>
      <c r="F311" s="1">
        <v>41</v>
      </c>
      <c r="G311" s="1">
        <v>20</v>
      </c>
      <c r="H311" s="1">
        <v>41</v>
      </c>
    </row>
    <row r="312" spans="1:8">
      <c r="A312">
        <v>105</v>
      </c>
      <c r="B312" t="s">
        <v>327</v>
      </c>
      <c r="C312">
        <v>13</v>
      </c>
      <c r="D312" t="s">
        <v>200</v>
      </c>
      <c r="E312" s="1">
        <v>1</v>
      </c>
      <c r="F312" s="1" t="s">
        <v>194</v>
      </c>
      <c r="G312" s="1">
        <v>22</v>
      </c>
      <c r="H312" s="1" t="s">
        <v>194</v>
      </c>
    </row>
    <row r="313" spans="1:8">
      <c r="A313">
        <v>105</v>
      </c>
      <c r="B313" t="s">
        <v>327</v>
      </c>
      <c r="C313">
        <v>13</v>
      </c>
      <c r="D313" t="s">
        <v>200</v>
      </c>
      <c r="E313" s="1">
        <v>1</v>
      </c>
      <c r="F313" s="1">
        <v>42</v>
      </c>
      <c r="G313" s="1">
        <v>30</v>
      </c>
      <c r="H313" s="1">
        <v>42</v>
      </c>
    </row>
    <row r="314" spans="1:8">
      <c r="A314">
        <v>105</v>
      </c>
      <c r="B314" t="s">
        <v>327</v>
      </c>
      <c r="C314">
        <v>13</v>
      </c>
      <c r="D314" t="s">
        <v>200</v>
      </c>
      <c r="E314" s="1">
        <v>1</v>
      </c>
      <c r="F314" s="1" t="s">
        <v>195</v>
      </c>
      <c r="G314" s="1">
        <v>32</v>
      </c>
      <c r="H314" s="1" t="s">
        <v>195</v>
      </c>
    </row>
    <row r="315" spans="1:8">
      <c r="A315">
        <v>105</v>
      </c>
      <c r="B315" t="s">
        <v>327</v>
      </c>
      <c r="C315">
        <v>13</v>
      </c>
      <c r="D315" t="s">
        <v>200</v>
      </c>
      <c r="E315" s="1">
        <v>1</v>
      </c>
      <c r="F315" s="1">
        <v>43</v>
      </c>
      <c r="G315" s="1">
        <v>40</v>
      </c>
      <c r="H315" s="1">
        <v>43</v>
      </c>
    </row>
    <row r="316" spans="1:8">
      <c r="A316">
        <v>105</v>
      </c>
      <c r="B316" t="s">
        <v>327</v>
      </c>
      <c r="C316">
        <v>13</v>
      </c>
      <c r="D316" t="s">
        <v>200</v>
      </c>
      <c r="E316" s="1">
        <v>1</v>
      </c>
      <c r="F316" s="1" t="s">
        <v>196</v>
      </c>
      <c r="G316" s="1">
        <v>42</v>
      </c>
      <c r="H316" s="1" t="s">
        <v>196</v>
      </c>
    </row>
    <row r="317" spans="1:8">
      <c r="A317">
        <v>105</v>
      </c>
      <c r="B317" t="s">
        <v>327</v>
      </c>
      <c r="C317">
        <v>13</v>
      </c>
      <c r="D317" t="s">
        <v>200</v>
      </c>
      <c r="E317" s="1">
        <v>1</v>
      </c>
      <c r="F317" s="1">
        <v>44</v>
      </c>
      <c r="G317" s="1">
        <v>50</v>
      </c>
      <c r="H317" s="1">
        <v>44</v>
      </c>
    </row>
    <row r="318" spans="1:8">
      <c r="A318">
        <v>105</v>
      </c>
      <c r="B318" t="s">
        <v>327</v>
      </c>
      <c r="C318">
        <v>13</v>
      </c>
      <c r="D318" t="s">
        <v>200</v>
      </c>
      <c r="E318" s="1">
        <v>1</v>
      </c>
      <c r="F318" s="1" t="s">
        <v>197</v>
      </c>
      <c r="G318" s="1">
        <v>52</v>
      </c>
      <c r="H318" s="1" t="s">
        <v>197</v>
      </c>
    </row>
    <row r="319" spans="1:8">
      <c r="A319">
        <v>105</v>
      </c>
      <c r="B319" t="s">
        <v>327</v>
      </c>
      <c r="C319">
        <v>13</v>
      </c>
      <c r="D319" t="s">
        <v>200</v>
      </c>
      <c r="E319" s="1">
        <v>1</v>
      </c>
      <c r="F319" s="1">
        <v>45</v>
      </c>
      <c r="G319" s="1">
        <v>60</v>
      </c>
      <c r="H319" s="1">
        <v>45</v>
      </c>
    </row>
    <row r="320" spans="1:8">
      <c r="A320">
        <v>105</v>
      </c>
      <c r="B320" t="s">
        <v>327</v>
      </c>
      <c r="C320">
        <v>13</v>
      </c>
      <c r="D320" t="s">
        <v>200</v>
      </c>
      <c r="E320" s="1">
        <v>1</v>
      </c>
      <c r="F320" s="1" t="s">
        <v>198</v>
      </c>
      <c r="G320" s="1">
        <v>62</v>
      </c>
      <c r="H320" s="1" t="s">
        <v>198</v>
      </c>
    </row>
    <row r="321" spans="1:8">
      <c r="A321">
        <v>105</v>
      </c>
      <c r="B321" t="s">
        <v>327</v>
      </c>
      <c r="C321">
        <v>13</v>
      </c>
      <c r="D321" t="s">
        <v>200</v>
      </c>
      <c r="E321" s="1">
        <v>1</v>
      </c>
      <c r="F321" s="1" t="s">
        <v>199</v>
      </c>
      <c r="G321" s="1">
        <v>72</v>
      </c>
      <c r="H321" s="1" t="s">
        <v>199</v>
      </c>
    </row>
    <row r="322" spans="1:8">
      <c r="A322">
        <v>105</v>
      </c>
      <c r="B322" t="s">
        <v>327</v>
      </c>
      <c r="C322">
        <v>13</v>
      </c>
      <c r="D322" t="s">
        <v>200</v>
      </c>
      <c r="G322" s="1">
        <v>96</v>
      </c>
    </row>
    <row r="323" spans="1:8">
      <c r="A323">
        <v>105</v>
      </c>
      <c r="B323" t="s">
        <v>327</v>
      </c>
      <c r="C323">
        <v>15</v>
      </c>
      <c r="D323" t="s">
        <v>201</v>
      </c>
      <c r="E323" s="1">
        <v>4</v>
      </c>
      <c r="F323" s="1" t="s">
        <v>286</v>
      </c>
      <c r="G323" s="1">
        <v>70</v>
      </c>
      <c r="H323" s="1" t="s">
        <v>286</v>
      </c>
    </row>
    <row r="324" spans="1:8">
      <c r="A324">
        <v>105</v>
      </c>
      <c r="B324" t="s">
        <v>327</v>
      </c>
      <c r="C324">
        <v>15</v>
      </c>
      <c r="D324" t="s">
        <v>201</v>
      </c>
      <c r="G324" s="1">
        <v>70</v>
      </c>
    </row>
    <row r="325" spans="1:8">
      <c r="A325">
        <v>105</v>
      </c>
      <c r="B325" t="s">
        <v>327</v>
      </c>
      <c r="C325">
        <v>18</v>
      </c>
      <c r="D325" t="s">
        <v>204</v>
      </c>
      <c r="E325" s="1">
        <v>1</v>
      </c>
      <c r="F325" s="1" t="s">
        <v>195</v>
      </c>
      <c r="G325" s="1">
        <v>32</v>
      </c>
      <c r="H325" s="1" t="s">
        <v>195</v>
      </c>
    </row>
    <row r="326" spans="1:8">
      <c r="A326">
        <v>105</v>
      </c>
      <c r="B326" t="s">
        <v>327</v>
      </c>
      <c r="C326">
        <v>18</v>
      </c>
      <c r="D326" t="s">
        <v>204</v>
      </c>
      <c r="E326" s="1">
        <v>1</v>
      </c>
      <c r="F326" s="1">
        <v>43</v>
      </c>
      <c r="G326" s="1">
        <v>40</v>
      </c>
      <c r="H326" s="1">
        <v>43</v>
      </c>
    </row>
    <row r="327" spans="1:8">
      <c r="A327">
        <v>105</v>
      </c>
      <c r="B327" t="s">
        <v>327</v>
      </c>
      <c r="C327">
        <v>18</v>
      </c>
      <c r="D327" t="s">
        <v>204</v>
      </c>
      <c r="E327" s="1">
        <v>1</v>
      </c>
      <c r="F327" s="1" t="s">
        <v>196</v>
      </c>
      <c r="G327" s="1">
        <v>42</v>
      </c>
      <c r="H327" s="1" t="s">
        <v>196</v>
      </c>
    </row>
    <row r="328" spans="1:8">
      <c r="A328">
        <v>105</v>
      </c>
      <c r="B328" t="s">
        <v>327</v>
      </c>
      <c r="C328">
        <v>18</v>
      </c>
      <c r="D328" t="s">
        <v>204</v>
      </c>
      <c r="E328" s="1">
        <v>1</v>
      </c>
      <c r="F328" s="1" t="s">
        <v>197</v>
      </c>
      <c r="G328" s="1">
        <v>52</v>
      </c>
      <c r="H328" s="1" t="s">
        <v>197</v>
      </c>
    </row>
    <row r="329" spans="1:8">
      <c r="A329">
        <v>105</v>
      </c>
      <c r="B329" t="s">
        <v>327</v>
      </c>
      <c r="C329">
        <v>18</v>
      </c>
      <c r="D329" t="s">
        <v>204</v>
      </c>
      <c r="E329" s="1">
        <v>1</v>
      </c>
      <c r="F329" s="1">
        <v>45</v>
      </c>
      <c r="G329" s="1">
        <v>60</v>
      </c>
      <c r="H329" s="1">
        <v>45</v>
      </c>
    </row>
    <row r="330" spans="1:8">
      <c r="A330">
        <v>105</v>
      </c>
      <c r="B330" t="s">
        <v>327</v>
      </c>
      <c r="C330">
        <v>18</v>
      </c>
      <c r="D330" t="s">
        <v>204</v>
      </c>
      <c r="E330" s="1">
        <v>1</v>
      </c>
      <c r="F330" s="1" t="s">
        <v>199</v>
      </c>
      <c r="G330" s="1">
        <v>72</v>
      </c>
      <c r="H330" s="1" t="s">
        <v>199</v>
      </c>
    </row>
    <row r="331" spans="1:8">
      <c r="A331">
        <v>105</v>
      </c>
      <c r="B331" t="s">
        <v>327</v>
      </c>
      <c r="C331">
        <v>21</v>
      </c>
      <c r="D331" t="s">
        <v>205</v>
      </c>
      <c r="E331" s="1">
        <v>1</v>
      </c>
      <c r="F331" s="1" t="s">
        <v>328</v>
      </c>
      <c r="G331" s="1">
        <v>20</v>
      </c>
      <c r="H331" s="1" t="s">
        <v>328</v>
      </c>
    </row>
    <row r="332" spans="1:8">
      <c r="A332">
        <v>105</v>
      </c>
      <c r="B332" t="s">
        <v>327</v>
      </c>
      <c r="C332">
        <v>21</v>
      </c>
      <c r="D332" t="s">
        <v>205</v>
      </c>
      <c r="E332" s="1">
        <v>1</v>
      </c>
      <c r="F332" s="1" t="s">
        <v>329</v>
      </c>
      <c r="G332" s="1">
        <v>30</v>
      </c>
      <c r="H332" s="1" t="s">
        <v>329</v>
      </c>
    </row>
    <row r="333" spans="1:8">
      <c r="A333">
        <v>105</v>
      </c>
      <c r="B333" t="s">
        <v>327</v>
      </c>
      <c r="C333">
        <v>21</v>
      </c>
      <c r="D333" t="s">
        <v>205</v>
      </c>
      <c r="E333" s="1">
        <v>1</v>
      </c>
      <c r="F333" s="1" t="s">
        <v>323</v>
      </c>
      <c r="G333" s="1">
        <v>32</v>
      </c>
      <c r="H333" s="1" t="s">
        <v>323</v>
      </c>
    </row>
    <row r="334" spans="1:8">
      <c r="A334">
        <v>105</v>
      </c>
      <c r="B334" t="s">
        <v>327</v>
      </c>
      <c r="C334">
        <v>21</v>
      </c>
      <c r="D334" t="s">
        <v>205</v>
      </c>
      <c r="E334" s="1">
        <v>1</v>
      </c>
      <c r="F334" s="1" t="s">
        <v>330</v>
      </c>
      <c r="G334" s="1">
        <v>42</v>
      </c>
      <c r="H334" s="1" t="s">
        <v>330</v>
      </c>
    </row>
    <row r="335" spans="1:8">
      <c r="A335">
        <v>105</v>
      </c>
      <c r="B335" t="s">
        <v>327</v>
      </c>
      <c r="C335">
        <v>21</v>
      </c>
      <c r="D335" t="s">
        <v>205</v>
      </c>
      <c r="E335" s="1">
        <v>1</v>
      </c>
      <c r="F335" s="1" t="s">
        <v>331</v>
      </c>
      <c r="G335" s="1">
        <v>50</v>
      </c>
      <c r="H335" s="1" t="s">
        <v>331</v>
      </c>
    </row>
    <row r="336" spans="1:8">
      <c r="A336">
        <v>105</v>
      </c>
      <c r="B336" t="s">
        <v>327</v>
      </c>
      <c r="C336">
        <v>21</v>
      </c>
      <c r="D336" t="s">
        <v>205</v>
      </c>
      <c r="E336" s="1">
        <v>1</v>
      </c>
      <c r="F336" s="1" t="s">
        <v>287</v>
      </c>
      <c r="G336" s="1">
        <v>52</v>
      </c>
      <c r="H336" s="1" t="s">
        <v>287</v>
      </c>
    </row>
    <row r="337" spans="1:8">
      <c r="A337">
        <v>105</v>
      </c>
      <c r="B337" t="s">
        <v>327</v>
      </c>
      <c r="C337">
        <v>21</v>
      </c>
      <c r="D337" t="s">
        <v>205</v>
      </c>
      <c r="E337" s="1">
        <v>1</v>
      </c>
      <c r="F337" s="1" t="s">
        <v>288</v>
      </c>
      <c r="G337" s="1">
        <v>62</v>
      </c>
      <c r="H337" s="1" t="s">
        <v>288</v>
      </c>
    </row>
    <row r="338" spans="1:8">
      <c r="A338">
        <v>105</v>
      </c>
      <c r="B338" t="s">
        <v>327</v>
      </c>
      <c r="C338">
        <v>21</v>
      </c>
      <c r="D338" t="s">
        <v>205</v>
      </c>
      <c r="E338" s="1">
        <v>1</v>
      </c>
      <c r="F338" s="1" t="s">
        <v>284</v>
      </c>
      <c r="H338" s="1" t="s">
        <v>284</v>
      </c>
    </row>
    <row r="339" spans="1:8">
      <c r="A339">
        <v>105</v>
      </c>
      <c r="B339" t="s">
        <v>327</v>
      </c>
      <c r="C339">
        <v>22</v>
      </c>
      <c r="D339" t="s">
        <v>206</v>
      </c>
      <c r="E339" s="1">
        <v>1</v>
      </c>
      <c r="F339" s="1" t="s">
        <v>332</v>
      </c>
      <c r="G339" s="1">
        <v>40</v>
      </c>
      <c r="H339" s="1" t="s">
        <v>332</v>
      </c>
    </row>
    <row r="340" spans="1:8">
      <c r="A340">
        <v>105</v>
      </c>
      <c r="B340" t="s">
        <v>327</v>
      </c>
      <c r="C340">
        <v>22</v>
      </c>
      <c r="D340" t="s">
        <v>206</v>
      </c>
      <c r="E340" s="1">
        <v>1</v>
      </c>
      <c r="F340" s="1" t="s">
        <v>287</v>
      </c>
      <c r="G340" s="1">
        <v>52</v>
      </c>
      <c r="H340" s="1" t="s">
        <v>287</v>
      </c>
    </row>
    <row r="341" spans="1:8">
      <c r="A341">
        <v>105</v>
      </c>
      <c r="B341" t="s">
        <v>327</v>
      </c>
      <c r="C341">
        <v>24</v>
      </c>
      <c r="D341" t="s">
        <v>208</v>
      </c>
      <c r="E341" s="1">
        <v>1</v>
      </c>
      <c r="F341" s="1" t="s">
        <v>284</v>
      </c>
      <c r="G341" s="1">
        <v>20</v>
      </c>
      <c r="H341" s="1" t="s">
        <v>284</v>
      </c>
    </row>
    <row r="342" spans="1:8">
      <c r="A342">
        <v>105</v>
      </c>
      <c r="B342" t="s">
        <v>327</v>
      </c>
      <c r="C342">
        <v>24</v>
      </c>
      <c r="D342" t="s">
        <v>208</v>
      </c>
      <c r="G342" s="1">
        <v>90</v>
      </c>
    </row>
    <row r="343" spans="1:8">
      <c r="A343">
        <v>105</v>
      </c>
      <c r="B343" t="s">
        <v>327</v>
      </c>
      <c r="C343">
        <v>27</v>
      </c>
      <c r="D343" t="s">
        <v>210</v>
      </c>
      <c r="E343" s="1">
        <v>1</v>
      </c>
      <c r="F343" s="1" t="s">
        <v>194</v>
      </c>
      <c r="G343" s="1">
        <v>22</v>
      </c>
      <c r="H343" s="1" t="s">
        <v>194</v>
      </c>
    </row>
    <row r="344" spans="1:8">
      <c r="A344">
        <v>105</v>
      </c>
      <c r="B344" t="s">
        <v>327</v>
      </c>
      <c r="C344">
        <v>27</v>
      </c>
      <c r="D344" t="s">
        <v>210</v>
      </c>
      <c r="E344" s="1">
        <v>1</v>
      </c>
      <c r="F344" s="1" t="s">
        <v>195</v>
      </c>
      <c r="G344" s="1">
        <v>32</v>
      </c>
      <c r="H344" s="1" t="s">
        <v>195</v>
      </c>
    </row>
    <row r="345" spans="1:8">
      <c r="A345">
        <v>105</v>
      </c>
      <c r="B345" t="s">
        <v>327</v>
      </c>
      <c r="C345">
        <v>27</v>
      </c>
      <c r="D345" t="s">
        <v>210</v>
      </c>
      <c r="E345" s="1">
        <v>1</v>
      </c>
      <c r="F345" s="1" t="s">
        <v>196</v>
      </c>
      <c r="G345" s="1">
        <v>42</v>
      </c>
      <c r="H345" s="1" t="s">
        <v>196</v>
      </c>
    </row>
    <row r="346" spans="1:8">
      <c r="A346">
        <v>105</v>
      </c>
      <c r="B346" t="s">
        <v>327</v>
      </c>
      <c r="C346">
        <v>27</v>
      </c>
      <c r="D346" t="s">
        <v>210</v>
      </c>
      <c r="E346" s="1">
        <v>1</v>
      </c>
      <c r="F346" s="1">
        <v>44</v>
      </c>
      <c r="G346" s="1">
        <v>50</v>
      </c>
      <c r="H346" s="1">
        <v>44</v>
      </c>
    </row>
    <row r="347" spans="1:8">
      <c r="A347">
        <v>105</v>
      </c>
      <c r="B347" t="s">
        <v>327</v>
      </c>
      <c r="C347">
        <v>27</v>
      </c>
      <c r="D347" t="s">
        <v>210</v>
      </c>
      <c r="E347" s="1">
        <v>1</v>
      </c>
      <c r="F347" s="1" t="s">
        <v>198</v>
      </c>
      <c r="G347" s="1">
        <v>62</v>
      </c>
      <c r="H347" s="1" t="s">
        <v>198</v>
      </c>
    </row>
    <row r="348" spans="1:8">
      <c r="A348">
        <v>105</v>
      </c>
      <c r="B348" t="s">
        <v>327</v>
      </c>
      <c r="C348">
        <v>31</v>
      </c>
      <c r="D348" t="s">
        <v>110</v>
      </c>
      <c r="E348" s="1">
        <v>1</v>
      </c>
      <c r="F348" s="1" t="s">
        <v>333</v>
      </c>
      <c r="G348" s="1">
        <v>2</v>
      </c>
      <c r="H348" s="1" t="s">
        <v>333</v>
      </c>
    </row>
    <row r="349" spans="1:8">
      <c r="A349">
        <v>105</v>
      </c>
      <c r="B349" t="s">
        <v>327</v>
      </c>
      <c r="C349">
        <v>31</v>
      </c>
      <c r="D349" t="s">
        <v>110</v>
      </c>
      <c r="E349" s="1">
        <v>1</v>
      </c>
      <c r="F349" s="1" t="s">
        <v>334</v>
      </c>
      <c r="G349" s="1">
        <v>12</v>
      </c>
      <c r="H349" s="1" t="s">
        <v>334</v>
      </c>
    </row>
    <row r="350" spans="1:8">
      <c r="A350">
        <v>105</v>
      </c>
      <c r="B350" t="s">
        <v>327</v>
      </c>
      <c r="C350">
        <v>31</v>
      </c>
      <c r="D350" t="s">
        <v>110</v>
      </c>
      <c r="E350" s="1">
        <v>1</v>
      </c>
      <c r="F350" s="1" t="s">
        <v>335</v>
      </c>
      <c r="G350" s="1">
        <v>22</v>
      </c>
      <c r="H350" s="1" t="s">
        <v>335</v>
      </c>
    </row>
    <row r="351" spans="1:8">
      <c r="A351">
        <v>105</v>
      </c>
      <c r="B351" t="s">
        <v>327</v>
      </c>
      <c r="C351">
        <v>31</v>
      </c>
      <c r="D351" t="s">
        <v>110</v>
      </c>
      <c r="G351" s="1">
        <v>91</v>
      </c>
    </row>
    <row r="352" spans="1:8">
      <c r="A352">
        <v>105</v>
      </c>
      <c r="B352" t="s">
        <v>327</v>
      </c>
      <c r="C352">
        <v>45</v>
      </c>
      <c r="D352" t="s">
        <v>223</v>
      </c>
      <c r="E352" s="1">
        <v>1</v>
      </c>
      <c r="F352" s="1" t="s">
        <v>336</v>
      </c>
      <c r="G352" s="1">
        <v>13</v>
      </c>
      <c r="H352" s="1" t="s">
        <v>337</v>
      </c>
    </row>
    <row r="353" spans="1:8">
      <c r="A353">
        <v>105</v>
      </c>
      <c r="B353" t="s">
        <v>327</v>
      </c>
      <c r="C353">
        <v>57</v>
      </c>
      <c r="D353" t="s">
        <v>183</v>
      </c>
      <c r="E353" s="1">
        <v>3</v>
      </c>
      <c r="F353" s="1" t="s">
        <v>338</v>
      </c>
      <c r="G353" s="1">
        <v>60</v>
      </c>
      <c r="H353" s="1" t="s">
        <v>338</v>
      </c>
    </row>
    <row r="354" spans="1:8">
      <c r="A354">
        <v>105</v>
      </c>
      <c r="B354" t="s">
        <v>327</v>
      </c>
      <c r="C354">
        <v>57</v>
      </c>
      <c r="D354" t="s">
        <v>183</v>
      </c>
      <c r="E354" s="1">
        <v>3</v>
      </c>
      <c r="F354" s="1" t="s">
        <v>339</v>
      </c>
      <c r="G354" s="1">
        <v>70</v>
      </c>
      <c r="H354" s="1" t="s">
        <v>339</v>
      </c>
    </row>
    <row r="355" spans="1:8">
      <c r="A355">
        <v>105</v>
      </c>
      <c r="B355" t="s">
        <v>327</v>
      </c>
      <c r="C355">
        <v>57</v>
      </c>
      <c r="D355" t="s">
        <v>183</v>
      </c>
      <c r="E355" s="1">
        <v>3</v>
      </c>
      <c r="F355" s="1" t="s">
        <v>340</v>
      </c>
      <c r="G355" s="1">
        <v>90</v>
      </c>
      <c r="H355" s="1" t="s">
        <v>340</v>
      </c>
    </row>
    <row r="356" spans="1:8">
      <c r="A356">
        <v>105</v>
      </c>
      <c r="B356" t="s">
        <v>327</v>
      </c>
      <c r="C356">
        <v>57</v>
      </c>
      <c r="D356" t="s">
        <v>183</v>
      </c>
      <c r="G356" s="1">
        <v>50</v>
      </c>
    </row>
    <row r="357" spans="1:8">
      <c r="A357">
        <v>105</v>
      </c>
      <c r="B357" t="s">
        <v>327</v>
      </c>
      <c r="C357">
        <v>57</v>
      </c>
      <c r="D357" t="s">
        <v>183</v>
      </c>
      <c r="G357" s="1">
        <v>60</v>
      </c>
    </row>
    <row r="358" spans="1:8">
      <c r="A358">
        <v>105</v>
      </c>
      <c r="B358" t="s">
        <v>327</v>
      </c>
      <c r="C358">
        <v>59</v>
      </c>
      <c r="D358" t="s">
        <v>227</v>
      </c>
      <c r="E358" s="1">
        <v>3</v>
      </c>
      <c r="F358" s="1" t="s">
        <v>295</v>
      </c>
      <c r="G358" s="1">
        <v>23</v>
      </c>
      <c r="H358" s="1" t="s">
        <v>295</v>
      </c>
    </row>
    <row r="359" spans="1:8">
      <c r="A359">
        <v>105</v>
      </c>
      <c r="B359" t="s">
        <v>327</v>
      </c>
      <c r="C359">
        <v>59</v>
      </c>
      <c r="D359" t="s">
        <v>227</v>
      </c>
      <c r="G359" s="1">
        <v>23</v>
      </c>
    </row>
    <row r="360" spans="1:8">
      <c r="A360">
        <v>105</v>
      </c>
      <c r="B360" t="s">
        <v>327</v>
      </c>
      <c r="C360">
        <v>74</v>
      </c>
      <c r="D360" t="s">
        <v>235</v>
      </c>
      <c r="E360" s="1">
        <v>3</v>
      </c>
      <c r="F360" s="1" t="s">
        <v>320</v>
      </c>
      <c r="G360" s="1">
        <v>50</v>
      </c>
      <c r="H360" s="1" t="s">
        <v>320</v>
      </c>
    </row>
    <row r="361" spans="1:8">
      <c r="A361">
        <v>105</v>
      </c>
      <c r="B361" t="s">
        <v>327</v>
      </c>
      <c r="C361">
        <v>74</v>
      </c>
      <c r="D361" t="s">
        <v>235</v>
      </c>
      <c r="E361" s="1">
        <v>3</v>
      </c>
      <c r="F361" s="1" t="s">
        <v>321</v>
      </c>
      <c r="G361" s="1">
        <v>60</v>
      </c>
      <c r="H361" s="1" t="s">
        <v>321</v>
      </c>
    </row>
    <row r="362" spans="1:8">
      <c r="A362">
        <v>105</v>
      </c>
      <c r="B362" t="s">
        <v>327</v>
      </c>
      <c r="C362">
        <v>74</v>
      </c>
      <c r="D362" t="s">
        <v>235</v>
      </c>
      <c r="E362" s="1">
        <v>4</v>
      </c>
      <c r="F362" s="1" t="s">
        <v>341</v>
      </c>
      <c r="G362" s="1">
        <v>30</v>
      </c>
      <c r="H362" s="1" t="s">
        <v>341</v>
      </c>
    </row>
    <row r="363" spans="1:8">
      <c r="A363">
        <v>105</v>
      </c>
      <c r="B363" t="s">
        <v>327</v>
      </c>
      <c r="C363">
        <v>82</v>
      </c>
      <c r="D363" t="s">
        <v>239</v>
      </c>
      <c r="G363" s="1">
        <v>32</v>
      </c>
    </row>
    <row r="364" spans="1:8">
      <c r="A364">
        <v>105</v>
      </c>
      <c r="B364" t="s">
        <v>327</v>
      </c>
    </row>
    <row r="365" spans="1:8">
      <c r="A365">
        <v>106</v>
      </c>
      <c r="B365" t="s">
        <v>342</v>
      </c>
      <c r="C365">
        <v>11</v>
      </c>
      <c r="D365" t="s">
        <v>186</v>
      </c>
      <c r="E365" s="1">
        <v>1</v>
      </c>
      <c r="F365" s="1">
        <v>45</v>
      </c>
      <c r="G365" s="1">
        <v>60</v>
      </c>
      <c r="H365" s="1">
        <v>45</v>
      </c>
    </row>
    <row r="366" spans="1:8">
      <c r="A366">
        <v>107</v>
      </c>
      <c r="B366" t="s">
        <v>343</v>
      </c>
      <c r="C366">
        <v>1</v>
      </c>
      <c r="D366" t="s">
        <v>137</v>
      </c>
      <c r="E366" s="1">
        <v>1</v>
      </c>
      <c r="F366" s="1">
        <v>12</v>
      </c>
      <c r="G366" s="1">
        <v>50</v>
      </c>
      <c r="H366" s="1">
        <v>12</v>
      </c>
    </row>
    <row r="367" spans="1:8">
      <c r="A367">
        <v>107</v>
      </c>
      <c r="B367" t="s">
        <v>343</v>
      </c>
      <c r="C367">
        <v>1</v>
      </c>
      <c r="D367" t="s">
        <v>137</v>
      </c>
      <c r="E367" s="1">
        <v>1</v>
      </c>
      <c r="F367" s="1">
        <v>13</v>
      </c>
      <c r="G367" s="1">
        <v>60</v>
      </c>
      <c r="H367" s="1">
        <v>13</v>
      </c>
    </row>
    <row r="368" spans="1:8">
      <c r="A368">
        <v>107</v>
      </c>
      <c r="B368" t="s">
        <v>343</v>
      </c>
      <c r="C368">
        <v>1</v>
      </c>
      <c r="D368" t="s">
        <v>137</v>
      </c>
      <c r="E368" s="1">
        <v>1</v>
      </c>
      <c r="F368" s="1" t="s">
        <v>144</v>
      </c>
      <c r="G368" s="1">
        <v>62</v>
      </c>
      <c r="H368" s="1" t="s">
        <v>144</v>
      </c>
    </row>
    <row r="369" spans="1:8">
      <c r="A369">
        <v>107</v>
      </c>
      <c r="B369" t="s">
        <v>343</v>
      </c>
      <c r="C369">
        <v>1</v>
      </c>
      <c r="D369" t="s">
        <v>137</v>
      </c>
      <c r="E369" s="1">
        <v>1</v>
      </c>
      <c r="F369" s="1">
        <v>14</v>
      </c>
      <c r="G369" s="1">
        <v>70</v>
      </c>
      <c r="H369" s="1">
        <v>14</v>
      </c>
    </row>
    <row r="370" spans="1:8">
      <c r="A370">
        <v>107</v>
      </c>
      <c r="B370" t="s">
        <v>343</v>
      </c>
      <c r="C370">
        <v>1</v>
      </c>
      <c r="D370" t="s">
        <v>137</v>
      </c>
      <c r="E370" s="1">
        <v>1</v>
      </c>
      <c r="F370" s="1" t="s">
        <v>147</v>
      </c>
      <c r="G370" s="1">
        <v>72</v>
      </c>
      <c r="H370" s="1" t="s">
        <v>147</v>
      </c>
    </row>
    <row r="371" spans="1:8">
      <c r="A371">
        <v>107</v>
      </c>
      <c r="B371" t="s">
        <v>343</v>
      </c>
      <c r="C371">
        <v>1</v>
      </c>
      <c r="D371" t="s">
        <v>137</v>
      </c>
      <c r="E371" s="1">
        <v>1</v>
      </c>
      <c r="F371" s="1">
        <v>15</v>
      </c>
      <c r="G371" s="1">
        <v>80</v>
      </c>
      <c r="H371" s="1">
        <v>15</v>
      </c>
    </row>
    <row r="372" spans="1:8">
      <c r="A372">
        <v>107</v>
      </c>
      <c r="B372" t="s">
        <v>343</v>
      </c>
      <c r="C372">
        <v>1</v>
      </c>
      <c r="D372" t="s">
        <v>137</v>
      </c>
      <c r="E372" s="1">
        <v>1</v>
      </c>
      <c r="F372" s="1" t="s">
        <v>150</v>
      </c>
      <c r="G372" s="1">
        <v>82</v>
      </c>
      <c r="H372" s="1" t="s">
        <v>150</v>
      </c>
    </row>
    <row r="373" spans="1:8">
      <c r="A373">
        <v>107</v>
      </c>
      <c r="B373" t="s">
        <v>343</v>
      </c>
      <c r="C373">
        <v>1</v>
      </c>
      <c r="D373" t="s">
        <v>137</v>
      </c>
      <c r="E373" s="1">
        <v>1</v>
      </c>
      <c r="F373" s="1">
        <v>16</v>
      </c>
      <c r="G373" s="1">
        <v>90</v>
      </c>
      <c r="H373" s="1">
        <v>16</v>
      </c>
    </row>
    <row r="374" spans="1:8">
      <c r="A374">
        <v>107</v>
      </c>
      <c r="B374" t="s">
        <v>343</v>
      </c>
      <c r="C374">
        <v>1</v>
      </c>
      <c r="D374" t="s">
        <v>137</v>
      </c>
      <c r="E374" s="1">
        <v>1</v>
      </c>
      <c r="F374" s="1" t="s">
        <v>153</v>
      </c>
      <c r="G374" s="1">
        <v>92</v>
      </c>
      <c r="H374" s="1" t="s">
        <v>153</v>
      </c>
    </row>
    <row r="375" spans="1:8">
      <c r="A375">
        <v>107</v>
      </c>
      <c r="B375" t="s">
        <v>343</v>
      </c>
      <c r="C375">
        <v>1</v>
      </c>
      <c r="D375" t="s">
        <v>137</v>
      </c>
      <c r="E375" s="1">
        <v>1</v>
      </c>
      <c r="F375" s="1">
        <v>17</v>
      </c>
      <c r="G375" s="1">
        <v>94</v>
      </c>
      <c r="H375" s="1">
        <v>17</v>
      </c>
    </row>
    <row r="376" spans="1:8">
      <c r="A376">
        <v>107</v>
      </c>
      <c r="B376" t="s">
        <v>343</v>
      </c>
      <c r="C376">
        <v>1</v>
      </c>
      <c r="D376" t="s">
        <v>137</v>
      </c>
      <c r="E376" s="1">
        <v>1</v>
      </c>
      <c r="F376" s="1" t="s">
        <v>156</v>
      </c>
      <c r="G376" s="1">
        <v>96</v>
      </c>
      <c r="H376" s="1" t="s">
        <v>156</v>
      </c>
    </row>
    <row r="377" spans="1:8">
      <c r="A377">
        <v>107</v>
      </c>
      <c r="B377" t="s">
        <v>343</v>
      </c>
      <c r="C377">
        <v>1</v>
      </c>
      <c r="D377" t="s">
        <v>137</v>
      </c>
      <c r="E377" s="1">
        <v>2</v>
      </c>
      <c r="F377" s="1" t="s">
        <v>159</v>
      </c>
      <c r="G377" s="1">
        <v>2</v>
      </c>
      <c r="H377" s="1" t="s">
        <v>159</v>
      </c>
    </row>
    <row r="378" spans="1:8">
      <c r="A378">
        <v>107</v>
      </c>
      <c r="B378" t="s">
        <v>343</v>
      </c>
      <c r="C378">
        <v>1</v>
      </c>
      <c r="D378" t="s">
        <v>137</v>
      </c>
      <c r="E378" s="1">
        <v>2</v>
      </c>
      <c r="F378" s="1">
        <v>19</v>
      </c>
      <c r="G378" s="1">
        <v>10</v>
      </c>
      <c r="H378" s="1">
        <v>19</v>
      </c>
    </row>
    <row r="379" spans="1:8">
      <c r="A379">
        <v>107</v>
      </c>
      <c r="B379" t="s">
        <v>343</v>
      </c>
      <c r="C379">
        <v>1</v>
      </c>
      <c r="D379" t="s">
        <v>137</v>
      </c>
      <c r="E379" s="1">
        <v>2</v>
      </c>
      <c r="F379" s="1" t="s">
        <v>162</v>
      </c>
      <c r="G379" s="1">
        <v>12</v>
      </c>
      <c r="H379" s="1" t="s">
        <v>162</v>
      </c>
    </row>
    <row r="380" spans="1:8">
      <c r="A380">
        <v>107</v>
      </c>
      <c r="B380" t="s">
        <v>343</v>
      </c>
      <c r="C380">
        <v>1</v>
      </c>
      <c r="D380" t="s">
        <v>137</v>
      </c>
      <c r="E380" s="1">
        <v>2</v>
      </c>
      <c r="F380" s="1">
        <v>20</v>
      </c>
      <c r="G380" s="1">
        <v>20</v>
      </c>
      <c r="H380" s="1">
        <v>20</v>
      </c>
    </row>
    <row r="381" spans="1:8">
      <c r="A381">
        <v>107</v>
      </c>
      <c r="B381" t="s">
        <v>343</v>
      </c>
      <c r="C381">
        <v>1</v>
      </c>
      <c r="D381" t="s">
        <v>137</v>
      </c>
      <c r="E381" s="1">
        <v>2</v>
      </c>
      <c r="F381" s="1" t="s">
        <v>165</v>
      </c>
      <c r="G381" s="1">
        <v>22</v>
      </c>
      <c r="H381" s="1" t="s">
        <v>165</v>
      </c>
    </row>
    <row r="382" spans="1:8">
      <c r="A382">
        <v>107</v>
      </c>
      <c r="B382" t="s">
        <v>343</v>
      </c>
      <c r="C382">
        <v>1</v>
      </c>
      <c r="D382" t="s">
        <v>137</v>
      </c>
      <c r="E382" s="1">
        <v>2</v>
      </c>
      <c r="F382" s="1">
        <v>21</v>
      </c>
      <c r="G382" s="1">
        <v>30</v>
      </c>
      <c r="H382" s="1">
        <v>21</v>
      </c>
    </row>
    <row r="383" spans="1:8">
      <c r="A383">
        <v>107</v>
      </c>
      <c r="B383" t="s">
        <v>343</v>
      </c>
      <c r="C383">
        <v>1</v>
      </c>
      <c r="D383" t="s">
        <v>137</v>
      </c>
      <c r="E383" s="1">
        <v>2</v>
      </c>
      <c r="F383" s="1" t="s">
        <v>168</v>
      </c>
      <c r="G383" s="1">
        <v>32</v>
      </c>
      <c r="H383" s="1" t="s">
        <v>168</v>
      </c>
    </row>
    <row r="384" spans="1:8">
      <c r="A384">
        <v>107</v>
      </c>
      <c r="B384" t="s">
        <v>343</v>
      </c>
      <c r="C384">
        <v>1</v>
      </c>
      <c r="D384" t="s">
        <v>137</v>
      </c>
      <c r="E384" s="1">
        <v>2</v>
      </c>
      <c r="F384" s="1">
        <v>22</v>
      </c>
      <c r="G384" s="1">
        <v>40</v>
      </c>
      <c r="H384" s="1">
        <v>22</v>
      </c>
    </row>
    <row r="385" spans="1:8">
      <c r="A385">
        <v>107</v>
      </c>
      <c r="B385" t="s">
        <v>343</v>
      </c>
      <c r="C385">
        <v>1</v>
      </c>
      <c r="D385" t="s">
        <v>137</v>
      </c>
      <c r="E385" s="1">
        <v>2</v>
      </c>
      <c r="F385" s="1" t="s">
        <v>171</v>
      </c>
      <c r="G385" s="1">
        <v>42</v>
      </c>
      <c r="H385" s="1" t="s">
        <v>171</v>
      </c>
    </row>
    <row r="386" spans="1:8">
      <c r="A386">
        <v>107</v>
      </c>
      <c r="B386" t="s">
        <v>343</v>
      </c>
      <c r="C386">
        <v>1</v>
      </c>
      <c r="D386" t="s">
        <v>137</v>
      </c>
      <c r="E386" s="1">
        <v>2</v>
      </c>
      <c r="F386" s="1">
        <v>23</v>
      </c>
      <c r="G386" s="1">
        <v>50</v>
      </c>
      <c r="H386" s="1">
        <v>23</v>
      </c>
    </row>
    <row r="387" spans="1:8">
      <c r="A387">
        <v>107</v>
      </c>
      <c r="B387" t="s">
        <v>343</v>
      </c>
      <c r="C387">
        <v>1</v>
      </c>
      <c r="D387" t="s">
        <v>137</v>
      </c>
      <c r="E387" s="1">
        <v>2</v>
      </c>
      <c r="F387" s="1" t="s">
        <v>174</v>
      </c>
      <c r="G387" s="1">
        <v>52</v>
      </c>
      <c r="H387" s="1" t="s">
        <v>174</v>
      </c>
    </row>
    <row r="388" spans="1:8">
      <c r="A388">
        <v>107</v>
      </c>
      <c r="B388" t="s">
        <v>343</v>
      </c>
      <c r="C388">
        <v>1</v>
      </c>
      <c r="D388" t="s">
        <v>137</v>
      </c>
      <c r="E388" s="1">
        <v>2</v>
      </c>
      <c r="F388" s="1">
        <v>24</v>
      </c>
      <c r="G388" s="1">
        <v>60</v>
      </c>
      <c r="H388" s="1">
        <v>24</v>
      </c>
    </row>
    <row r="389" spans="1:8">
      <c r="A389">
        <v>107</v>
      </c>
      <c r="B389" t="s">
        <v>343</v>
      </c>
      <c r="C389">
        <v>1</v>
      </c>
      <c r="D389" t="s">
        <v>137</v>
      </c>
      <c r="E389" s="1">
        <v>2</v>
      </c>
      <c r="F389" s="1" t="s">
        <v>177</v>
      </c>
      <c r="G389" s="1">
        <v>62</v>
      </c>
      <c r="H389" s="1" t="s">
        <v>177</v>
      </c>
    </row>
    <row r="390" spans="1:8">
      <c r="A390">
        <v>107</v>
      </c>
      <c r="B390" t="s">
        <v>343</v>
      </c>
      <c r="C390">
        <v>1</v>
      </c>
      <c r="D390" t="s">
        <v>137</v>
      </c>
      <c r="E390" s="1">
        <v>2</v>
      </c>
      <c r="F390" s="1" t="s">
        <v>180</v>
      </c>
      <c r="G390" s="1">
        <v>72</v>
      </c>
      <c r="H390" s="1" t="s">
        <v>180</v>
      </c>
    </row>
    <row r="391" spans="1:8">
      <c r="A391">
        <v>107</v>
      </c>
      <c r="B391" t="s">
        <v>343</v>
      </c>
      <c r="C391">
        <v>1</v>
      </c>
      <c r="D391" t="s">
        <v>137</v>
      </c>
      <c r="E391" s="1">
        <v>2</v>
      </c>
      <c r="F391" s="1">
        <v>18</v>
      </c>
      <c r="H391" s="1">
        <v>18</v>
      </c>
    </row>
    <row r="392" spans="1:8">
      <c r="A392">
        <v>107</v>
      </c>
      <c r="B392" t="s">
        <v>343</v>
      </c>
      <c r="C392">
        <v>5</v>
      </c>
      <c r="D392" t="s">
        <v>183</v>
      </c>
      <c r="G392" s="1">
        <v>50</v>
      </c>
    </row>
    <row r="393" spans="1:8">
      <c r="A393">
        <v>107</v>
      </c>
      <c r="B393" t="s">
        <v>343</v>
      </c>
      <c r="C393">
        <v>5</v>
      </c>
      <c r="D393" t="s">
        <v>183</v>
      </c>
      <c r="G393" s="1">
        <v>60</v>
      </c>
    </row>
    <row r="394" spans="1:8">
      <c r="A394">
        <v>107</v>
      </c>
      <c r="B394" t="s">
        <v>343</v>
      </c>
      <c r="C394">
        <v>6</v>
      </c>
      <c r="D394" t="s">
        <v>184</v>
      </c>
      <c r="E394" s="1">
        <v>1</v>
      </c>
      <c r="F394" s="1" t="s">
        <v>290</v>
      </c>
      <c r="G394" s="1">
        <v>10</v>
      </c>
      <c r="H394" s="1" t="s">
        <v>290</v>
      </c>
    </row>
    <row r="395" spans="1:8">
      <c r="A395">
        <v>107</v>
      </c>
      <c r="B395" t="s">
        <v>343</v>
      </c>
      <c r="C395">
        <v>6</v>
      </c>
      <c r="D395" t="s">
        <v>184</v>
      </c>
      <c r="G395" s="1">
        <v>63</v>
      </c>
    </row>
    <row r="396" spans="1:8">
      <c r="A396">
        <v>107</v>
      </c>
      <c r="B396" t="s">
        <v>343</v>
      </c>
      <c r="C396">
        <v>7</v>
      </c>
      <c r="D396" t="s">
        <v>344</v>
      </c>
      <c r="G396" s="1">
        <v>80</v>
      </c>
    </row>
    <row r="397" spans="1:8">
      <c r="A397">
        <v>107</v>
      </c>
      <c r="B397" t="s">
        <v>343</v>
      </c>
      <c r="C397">
        <v>8</v>
      </c>
      <c r="D397" t="s">
        <v>345</v>
      </c>
      <c r="E397" s="1">
        <v>1</v>
      </c>
      <c r="F397" s="1" t="s">
        <v>144</v>
      </c>
      <c r="G397" s="1">
        <v>2</v>
      </c>
      <c r="H397" s="1" t="s">
        <v>144</v>
      </c>
    </row>
    <row r="398" spans="1:8">
      <c r="A398">
        <v>107</v>
      </c>
      <c r="B398" t="s">
        <v>343</v>
      </c>
      <c r="C398">
        <v>8</v>
      </c>
      <c r="D398" t="s">
        <v>345</v>
      </c>
      <c r="E398" s="1">
        <v>1</v>
      </c>
      <c r="F398" s="1">
        <v>14</v>
      </c>
      <c r="G398" s="1">
        <v>10</v>
      </c>
      <c r="H398" s="1">
        <v>14</v>
      </c>
    </row>
    <row r="399" spans="1:8">
      <c r="A399">
        <v>107</v>
      </c>
      <c r="B399" t="s">
        <v>343</v>
      </c>
      <c r="C399">
        <v>8</v>
      </c>
      <c r="D399" t="s">
        <v>345</v>
      </c>
      <c r="E399" s="1">
        <v>1</v>
      </c>
      <c r="F399" s="1" t="s">
        <v>147</v>
      </c>
      <c r="G399" s="1">
        <v>12</v>
      </c>
      <c r="H399" s="1" t="s">
        <v>147</v>
      </c>
    </row>
    <row r="400" spans="1:8">
      <c r="A400">
        <v>107</v>
      </c>
      <c r="B400" t="s">
        <v>343</v>
      </c>
      <c r="C400">
        <v>8</v>
      </c>
      <c r="D400" t="s">
        <v>345</v>
      </c>
      <c r="E400" s="1">
        <v>1</v>
      </c>
      <c r="F400" s="1">
        <v>15</v>
      </c>
      <c r="G400" s="1">
        <v>20</v>
      </c>
      <c r="H400" s="1">
        <v>15</v>
      </c>
    </row>
    <row r="401" spans="1:8">
      <c r="A401">
        <v>107</v>
      </c>
      <c r="B401" t="s">
        <v>343</v>
      </c>
      <c r="C401">
        <v>8</v>
      </c>
      <c r="D401" t="s">
        <v>345</v>
      </c>
      <c r="E401" s="1">
        <v>1</v>
      </c>
      <c r="F401" s="1" t="s">
        <v>150</v>
      </c>
      <c r="G401" s="1">
        <v>22</v>
      </c>
      <c r="H401" s="1" t="s">
        <v>150</v>
      </c>
    </row>
    <row r="402" spans="1:8">
      <c r="A402">
        <v>107</v>
      </c>
      <c r="B402" t="s">
        <v>343</v>
      </c>
      <c r="C402">
        <v>8</v>
      </c>
      <c r="D402" t="s">
        <v>345</v>
      </c>
      <c r="E402" s="1">
        <v>1</v>
      </c>
      <c r="F402" s="1">
        <v>16</v>
      </c>
      <c r="G402" s="1">
        <v>30</v>
      </c>
      <c r="H402" s="1">
        <v>16</v>
      </c>
    </row>
    <row r="403" spans="1:8">
      <c r="A403">
        <v>107</v>
      </c>
      <c r="B403" t="s">
        <v>343</v>
      </c>
      <c r="C403">
        <v>8</v>
      </c>
      <c r="D403" t="s">
        <v>345</v>
      </c>
      <c r="E403" s="1">
        <v>1</v>
      </c>
      <c r="F403" s="1" t="s">
        <v>153</v>
      </c>
      <c r="G403" s="1">
        <v>32</v>
      </c>
      <c r="H403" s="1" t="s">
        <v>153</v>
      </c>
    </row>
    <row r="404" spans="1:8">
      <c r="A404">
        <v>107</v>
      </c>
      <c r="B404" t="s">
        <v>343</v>
      </c>
      <c r="C404">
        <v>8</v>
      </c>
      <c r="D404" t="s">
        <v>345</v>
      </c>
      <c r="E404" s="1">
        <v>1</v>
      </c>
      <c r="F404" s="1">
        <v>17</v>
      </c>
      <c r="G404" s="1">
        <v>40</v>
      </c>
      <c r="H404" s="1">
        <v>17</v>
      </c>
    </row>
    <row r="405" spans="1:8">
      <c r="A405">
        <v>107</v>
      </c>
      <c r="B405" t="s">
        <v>343</v>
      </c>
      <c r="C405">
        <v>8</v>
      </c>
      <c r="D405" t="s">
        <v>345</v>
      </c>
      <c r="E405" s="1">
        <v>1</v>
      </c>
      <c r="F405" s="1" t="s">
        <v>156</v>
      </c>
      <c r="G405" s="1">
        <v>42</v>
      </c>
      <c r="H405" s="1" t="s">
        <v>156</v>
      </c>
    </row>
    <row r="406" spans="1:8">
      <c r="A406">
        <v>107</v>
      </c>
      <c r="B406" t="s">
        <v>343</v>
      </c>
      <c r="C406">
        <v>8</v>
      </c>
      <c r="D406" t="s">
        <v>345</v>
      </c>
      <c r="E406" s="1">
        <v>1</v>
      </c>
      <c r="F406" s="1">
        <v>13</v>
      </c>
      <c r="H406" s="1">
        <v>13</v>
      </c>
    </row>
    <row r="407" spans="1:8">
      <c r="A407">
        <v>107</v>
      </c>
      <c r="B407" t="s">
        <v>343</v>
      </c>
      <c r="C407">
        <v>8</v>
      </c>
      <c r="D407" t="s">
        <v>345</v>
      </c>
      <c r="G407" s="1">
        <v>72</v>
      </c>
    </row>
    <row r="408" spans="1:8">
      <c r="A408">
        <v>107</v>
      </c>
      <c r="B408" t="s">
        <v>343</v>
      </c>
      <c r="C408">
        <v>8</v>
      </c>
      <c r="D408" t="s">
        <v>345</v>
      </c>
      <c r="G408" s="1">
        <v>80</v>
      </c>
    </row>
    <row r="409" spans="1:8">
      <c r="A409">
        <v>107</v>
      </c>
      <c r="B409" t="s">
        <v>343</v>
      </c>
      <c r="C409">
        <v>8</v>
      </c>
      <c r="D409" t="s">
        <v>345</v>
      </c>
      <c r="G409" s="1">
        <v>82</v>
      </c>
    </row>
    <row r="410" spans="1:8">
      <c r="A410">
        <v>107</v>
      </c>
      <c r="B410" t="s">
        <v>343</v>
      </c>
      <c r="C410">
        <v>8</v>
      </c>
      <c r="D410" t="s">
        <v>345</v>
      </c>
      <c r="G410" s="1">
        <v>90</v>
      </c>
    </row>
    <row r="411" spans="1:8">
      <c r="A411">
        <v>107</v>
      </c>
      <c r="B411" t="s">
        <v>343</v>
      </c>
      <c r="C411">
        <v>8</v>
      </c>
      <c r="D411" t="s">
        <v>345</v>
      </c>
      <c r="G411" s="1">
        <v>92</v>
      </c>
    </row>
    <row r="412" spans="1:8">
      <c r="A412">
        <v>107</v>
      </c>
      <c r="B412" t="s">
        <v>343</v>
      </c>
      <c r="C412">
        <v>11</v>
      </c>
      <c r="D412" t="s">
        <v>186</v>
      </c>
      <c r="E412" s="1">
        <v>1</v>
      </c>
      <c r="F412" s="1" t="s">
        <v>192</v>
      </c>
      <c r="G412" s="1">
        <v>2</v>
      </c>
      <c r="H412" s="1" t="s">
        <v>192</v>
      </c>
    </row>
    <row r="413" spans="1:8">
      <c r="A413">
        <v>107</v>
      </c>
      <c r="B413" t="s">
        <v>343</v>
      </c>
      <c r="C413">
        <v>11</v>
      </c>
      <c r="D413" t="s">
        <v>186</v>
      </c>
      <c r="E413" s="1">
        <v>1</v>
      </c>
      <c r="F413" s="1">
        <v>40</v>
      </c>
      <c r="G413" s="1">
        <v>10</v>
      </c>
      <c r="H413" s="1">
        <v>40</v>
      </c>
    </row>
    <row r="414" spans="1:8">
      <c r="A414">
        <v>107</v>
      </c>
      <c r="B414" t="s">
        <v>343</v>
      </c>
      <c r="C414">
        <v>11</v>
      </c>
      <c r="D414" t="s">
        <v>186</v>
      </c>
      <c r="E414" s="1">
        <v>1</v>
      </c>
      <c r="F414" s="1" t="s">
        <v>193</v>
      </c>
      <c r="G414" s="1">
        <v>12</v>
      </c>
      <c r="H414" s="1" t="s">
        <v>193</v>
      </c>
    </row>
    <row r="415" spans="1:8">
      <c r="A415">
        <v>107</v>
      </c>
      <c r="B415" t="s">
        <v>343</v>
      </c>
      <c r="C415">
        <v>11</v>
      </c>
      <c r="D415" t="s">
        <v>186</v>
      </c>
      <c r="E415" s="1">
        <v>1</v>
      </c>
      <c r="F415" s="1">
        <v>41</v>
      </c>
      <c r="G415" s="1">
        <v>20</v>
      </c>
      <c r="H415" s="1">
        <v>41</v>
      </c>
    </row>
    <row r="416" spans="1:8">
      <c r="A416">
        <v>107</v>
      </c>
      <c r="B416" t="s">
        <v>343</v>
      </c>
      <c r="C416">
        <v>11</v>
      </c>
      <c r="D416" t="s">
        <v>186</v>
      </c>
      <c r="E416" s="1">
        <v>1</v>
      </c>
      <c r="F416" s="1" t="s">
        <v>194</v>
      </c>
      <c r="G416" s="1">
        <v>22</v>
      </c>
      <c r="H416" s="1" t="s">
        <v>194</v>
      </c>
    </row>
    <row r="417" spans="1:8">
      <c r="A417">
        <v>107</v>
      </c>
      <c r="B417" t="s">
        <v>343</v>
      </c>
      <c r="C417">
        <v>11</v>
      </c>
      <c r="D417" t="s">
        <v>186</v>
      </c>
      <c r="E417" s="1">
        <v>1</v>
      </c>
      <c r="F417" s="1">
        <v>42</v>
      </c>
      <c r="G417" s="1">
        <v>30</v>
      </c>
      <c r="H417" s="1">
        <v>42</v>
      </c>
    </row>
    <row r="418" spans="1:8">
      <c r="A418">
        <v>107</v>
      </c>
      <c r="B418" t="s">
        <v>343</v>
      </c>
      <c r="C418">
        <v>11</v>
      </c>
      <c r="D418" t="s">
        <v>186</v>
      </c>
      <c r="E418" s="1">
        <v>1</v>
      </c>
      <c r="F418" s="1" t="s">
        <v>195</v>
      </c>
      <c r="G418" s="1">
        <v>32</v>
      </c>
      <c r="H418" s="1" t="s">
        <v>195</v>
      </c>
    </row>
    <row r="419" spans="1:8">
      <c r="A419">
        <v>107</v>
      </c>
      <c r="B419" t="s">
        <v>343</v>
      </c>
      <c r="C419">
        <v>11</v>
      </c>
      <c r="D419" t="s">
        <v>186</v>
      </c>
      <c r="E419" s="1">
        <v>1</v>
      </c>
      <c r="F419" s="1">
        <v>43</v>
      </c>
      <c r="G419" s="1">
        <v>40</v>
      </c>
      <c r="H419" s="1">
        <v>43</v>
      </c>
    </row>
    <row r="420" spans="1:8">
      <c r="A420">
        <v>107</v>
      </c>
      <c r="B420" t="s">
        <v>343</v>
      </c>
      <c r="C420">
        <v>11</v>
      </c>
      <c r="D420" t="s">
        <v>186</v>
      </c>
      <c r="E420" s="1">
        <v>1</v>
      </c>
      <c r="F420" s="1" t="s">
        <v>196</v>
      </c>
      <c r="G420" s="1">
        <v>42</v>
      </c>
      <c r="H420" s="1" t="s">
        <v>196</v>
      </c>
    </row>
    <row r="421" spans="1:8">
      <c r="A421">
        <v>107</v>
      </c>
      <c r="B421" t="s">
        <v>343</v>
      </c>
      <c r="C421">
        <v>11</v>
      </c>
      <c r="D421" t="s">
        <v>186</v>
      </c>
      <c r="E421" s="1">
        <v>1</v>
      </c>
      <c r="F421" s="1">
        <v>44</v>
      </c>
      <c r="G421" s="1">
        <v>50</v>
      </c>
      <c r="H421" s="1">
        <v>44</v>
      </c>
    </row>
    <row r="422" spans="1:8">
      <c r="A422">
        <v>107</v>
      </c>
      <c r="B422" t="s">
        <v>343</v>
      </c>
      <c r="C422">
        <v>11</v>
      </c>
      <c r="D422" t="s">
        <v>186</v>
      </c>
      <c r="E422" s="1">
        <v>1</v>
      </c>
      <c r="F422" s="1" t="s">
        <v>197</v>
      </c>
      <c r="G422" s="1">
        <v>52</v>
      </c>
      <c r="H422" s="1" t="s">
        <v>197</v>
      </c>
    </row>
    <row r="423" spans="1:8">
      <c r="A423">
        <v>107</v>
      </c>
      <c r="B423" t="s">
        <v>343</v>
      </c>
      <c r="C423">
        <v>11</v>
      </c>
      <c r="D423" t="s">
        <v>186</v>
      </c>
      <c r="E423" s="1">
        <v>1</v>
      </c>
      <c r="F423" s="1">
        <v>45</v>
      </c>
      <c r="G423" s="1">
        <v>60</v>
      </c>
      <c r="H423" s="1">
        <v>45</v>
      </c>
    </row>
    <row r="424" spans="1:8">
      <c r="A424">
        <v>107</v>
      </c>
      <c r="B424" t="s">
        <v>343</v>
      </c>
      <c r="C424">
        <v>11</v>
      </c>
      <c r="D424" t="s">
        <v>186</v>
      </c>
      <c r="E424" s="1">
        <v>1</v>
      </c>
      <c r="F424" s="1" t="s">
        <v>198</v>
      </c>
      <c r="G424" s="1">
        <v>62</v>
      </c>
      <c r="H424" s="1" t="s">
        <v>198</v>
      </c>
    </row>
    <row r="425" spans="1:8">
      <c r="A425">
        <v>107</v>
      </c>
      <c r="B425" t="s">
        <v>343</v>
      </c>
      <c r="C425">
        <v>11</v>
      </c>
      <c r="D425" t="s">
        <v>186</v>
      </c>
      <c r="E425" s="1">
        <v>1</v>
      </c>
      <c r="F425" s="1">
        <v>46</v>
      </c>
      <c r="G425" s="1">
        <v>70</v>
      </c>
      <c r="H425" s="1">
        <v>46</v>
      </c>
    </row>
    <row r="426" spans="1:8">
      <c r="A426">
        <v>107</v>
      </c>
      <c r="B426" t="s">
        <v>343</v>
      </c>
      <c r="C426">
        <v>11</v>
      </c>
      <c r="D426" t="s">
        <v>186</v>
      </c>
      <c r="E426" s="1">
        <v>1</v>
      </c>
      <c r="F426" s="1" t="s">
        <v>199</v>
      </c>
      <c r="G426" s="1">
        <v>72</v>
      </c>
      <c r="H426" s="1" t="s">
        <v>199</v>
      </c>
    </row>
    <row r="427" spans="1:8">
      <c r="A427">
        <v>107</v>
      </c>
      <c r="B427" t="s">
        <v>343</v>
      </c>
      <c r="C427">
        <v>11</v>
      </c>
      <c r="D427" t="s">
        <v>186</v>
      </c>
      <c r="E427" s="1">
        <v>1</v>
      </c>
      <c r="F427" s="1">
        <v>39</v>
      </c>
      <c r="H427" s="1">
        <v>39</v>
      </c>
    </row>
    <row r="428" spans="1:8">
      <c r="A428">
        <v>107</v>
      </c>
      <c r="B428" t="s">
        <v>343</v>
      </c>
      <c r="C428">
        <v>11</v>
      </c>
      <c r="D428" t="s">
        <v>186</v>
      </c>
      <c r="G428" s="1">
        <v>90</v>
      </c>
    </row>
    <row r="429" spans="1:8">
      <c r="A429">
        <v>107</v>
      </c>
      <c r="B429" t="s">
        <v>343</v>
      </c>
      <c r="C429">
        <v>11</v>
      </c>
      <c r="D429" t="s">
        <v>186</v>
      </c>
      <c r="G429" s="1">
        <v>92</v>
      </c>
    </row>
    <row r="430" spans="1:8">
      <c r="A430">
        <v>107</v>
      </c>
      <c r="B430" t="s">
        <v>343</v>
      </c>
      <c r="C430">
        <v>11</v>
      </c>
      <c r="D430" t="s">
        <v>186</v>
      </c>
      <c r="G430" s="1">
        <v>95</v>
      </c>
    </row>
    <row r="431" spans="1:8">
      <c r="A431">
        <v>107</v>
      </c>
      <c r="B431" t="s">
        <v>343</v>
      </c>
      <c r="C431">
        <v>11</v>
      </c>
      <c r="D431" t="s">
        <v>186</v>
      </c>
      <c r="G431" s="1">
        <v>96</v>
      </c>
    </row>
    <row r="432" spans="1:8">
      <c r="A432">
        <v>107</v>
      </c>
      <c r="B432" t="s">
        <v>343</v>
      </c>
      <c r="C432">
        <v>12</v>
      </c>
      <c r="D432" t="s">
        <v>107</v>
      </c>
      <c r="E432" s="1">
        <v>1</v>
      </c>
      <c r="F432" s="1" t="s">
        <v>192</v>
      </c>
      <c r="G432" s="1">
        <v>2</v>
      </c>
      <c r="H432" s="1" t="s">
        <v>192</v>
      </c>
    </row>
    <row r="433" spans="1:8">
      <c r="A433">
        <v>107</v>
      </c>
      <c r="B433" t="s">
        <v>343</v>
      </c>
      <c r="C433">
        <v>12</v>
      </c>
      <c r="D433" t="s">
        <v>107</v>
      </c>
      <c r="E433" s="1">
        <v>1</v>
      </c>
      <c r="F433" s="1">
        <v>40</v>
      </c>
      <c r="G433" s="1">
        <v>10</v>
      </c>
      <c r="H433" s="1">
        <v>40</v>
      </c>
    </row>
    <row r="434" spans="1:8">
      <c r="A434">
        <v>107</v>
      </c>
      <c r="B434" t="s">
        <v>343</v>
      </c>
      <c r="C434">
        <v>12</v>
      </c>
      <c r="D434" t="s">
        <v>107</v>
      </c>
      <c r="E434" s="1">
        <v>1</v>
      </c>
      <c r="F434" s="1" t="s">
        <v>193</v>
      </c>
      <c r="G434" s="1">
        <v>12</v>
      </c>
      <c r="H434" s="1" t="s">
        <v>193</v>
      </c>
    </row>
    <row r="435" spans="1:8">
      <c r="A435">
        <v>107</v>
      </c>
      <c r="B435" t="s">
        <v>343</v>
      </c>
      <c r="C435">
        <v>12</v>
      </c>
      <c r="D435" t="s">
        <v>107</v>
      </c>
      <c r="E435" s="1">
        <v>1</v>
      </c>
      <c r="F435" s="1">
        <v>41</v>
      </c>
      <c r="G435" s="1">
        <v>20</v>
      </c>
      <c r="H435" s="1">
        <v>41</v>
      </c>
    </row>
    <row r="436" spans="1:8">
      <c r="A436">
        <v>107</v>
      </c>
      <c r="B436" t="s">
        <v>343</v>
      </c>
      <c r="C436">
        <v>12</v>
      </c>
      <c r="D436" t="s">
        <v>107</v>
      </c>
      <c r="E436" s="1">
        <v>1</v>
      </c>
      <c r="F436" s="1" t="s">
        <v>194</v>
      </c>
      <c r="G436" s="1">
        <v>22</v>
      </c>
      <c r="H436" s="1" t="s">
        <v>194</v>
      </c>
    </row>
    <row r="437" spans="1:8">
      <c r="A437">
        <v>107</v>
      </c>
      <c r="B437" t="s">
        <v>343</v>
      </c>
      <c r="C437">
        <v>12</v>
      </c>
      <c r="D437" t="s">
        <v>107</v>
      </c>
      <c r="E437" s="1">
        <v>1</v>
      </c>
      <c r="F437" s="1">
        <v>42</v>
      </c>
      <c r="G437" s="1">
        <v>30</v>
      </c>
      <c r="H437" s="1">
        <v>42</v>
      </c>
    </row>
    <row r="438" spans="1:8">
      <c r="A438">
        <v>107</v>
      </c>
      <c r="B438" t="s">
        <v>343</v>
      </c>
      <c r="C438">
        <v>12</v>
      </c>
      <c r="D438" t="s">
        <v>107</v>
      </c>
      <c r="E438" s="1">
        <v>1</v>
      </c>
      <c r="F438" s="1" t="s">
        <v>195</v>
      </c>
      <c r="G438" s="1">
        <v>32</v>
      </c>
      <c r="H438" s="1" t="s">
        <v>195</v>
      </c>
    </row>
    <row r="439" spans="1:8">
      <c r="A439">
        <v>107</v>
      </c>
      <c r="B439" t="s">
        <v>343</v>
      </c>
      <c r="C439">
        <v>12</v>
      </c>
      <c r="D439" t="s">
        <v>107</v>
      </c>
      <c r="E439" s="1">
        <v>1</v>
      </c>
      <c r="F439" s="1">
        <v>43</v>
      </c>
      <c r="G439" s="1">
        <v>40</v>
      </c>
      <c r="H439" s="1">
        <v>43</v>
      </c>
    </row>
    <row r="440" spans="1:8">
      <c r="A440">
        <v>107</v>
      </c>
      <c r="B440" t="s">
        <v>343</v>
      </c>
      <c r="C440">
        <v>12</v>
      </c>
      <c r="D440" t="s">
        <v>107</v>
      </c>
      <c r="E440" s="1">
        <v>1</v>
      </c>
      <c r="F440" s="1" t="s">
        <v>196</v>
      </c>
      <c r="G440" s="1">
        <v>42</v>
      </c>
      <c r="H440" s="1" t="s">
        <v>196</v>
      </c>
    </row>
    <row r="441" spans="1:8">
      <c r="A441">
        <v>107</v>
      </c>
      <c r="B441" t="s">
        <v>343</v>
      </c>
      <c r="C441">
        <v>12</v>
      </c>
      <c r="D441" t="s">
        <v>107</v>
      </c>
      <c r="E441" s="1">
        <v>1</v>
      </c>
      <c r="F441" s="1">
        <v>44</v>
      </c>
      <c r="G441" s="1">
        <v>50</v>
      </c>
      <c r="H441" s="1">
        <v>44</v>
      </c>
    </row>
    <row r="442" spans="1:8">
      <c r="A442">
        <v>107</v>
      </c>
      <c r="B442" t="s">
        <v>343</v>
      </c>
      <c r="C442">
        <v>12</v>
      </c>
      <c r="D442" t="s">
        <v>107</v>
      </c>
      <c r="E442" s="1">
        <v>1</v>
      </c>
      <c r="F442" s="1" t="s">
        <v>197</v>
      </c>
      <c r="G442" s="1">
        <v>52</v>
      </c>
      <c r="H442" s="1" t="s">
        <v>197</v>
      </c>
    </row>
    <row r="443" spans="1:8">
      <c r="A443">
        <v>107</v>
      </c>
      <c r="B443" t="s">
        <v>343</v>
      </c>
      <c r="C443">
        <v>12</v>
      </c>
      <c r="D443" t="s">
        <v>107</v>
      </c>
      <c r="E443" s="1">
        <v>1</v>
      </c>
      <c r="F443" s="1">
        <v>45</v>
      </c>
      <c r="G443" s="1">
        <v>60</v>
      </c>
      <c r="H443" s="1">
        <v>45</v>
      </c>
    </row>
    <row r="444" spans="1:8">
      <c r="A444">
        <v>107</v>
      </c>
      <c r="B444" t="s">
        <v>343</v>
      </c>
      <c r="C444">
        <v>12</v>
      </c>
      <c r="D444" t="s">
        <v>107</v>
      </c>
      <c r="E444" s="1">
        <v>1</v>
      </c>
      <c r="F444" s="1" t="s">
        <v>198</v>
      </c>
      <c r="G444" s="1">
        <v>62</v>
      </c>
      <c r="H444" s="1" t="s">
        <v>198</v>
      </c>
    </row>
    <row r="445" spans="1:8">
      <c r="A445">
        <v>107</v>
      </c>
      <c r="B445" t="s">
        <v>343</v>
      </c>
      <c r="C445">
        <v>12</v>
      </c>
      <c r="D445" t="s">
        <v>107</v>
      </c>
      <c r="E445" s="1">
        <v>1</v>
      </c>
      <c r="F445" s="1">
        <v>39</v>
      </c>
      <c r="H445" s="1">
        <v>39</v>
      </c>
    </row>
    <row r="446" spans="1:8">
      <c r="A446">
        <v>107</v>
      </c>
      <c r="B446" t="s">
        <v>343</v>
      </c>
      <c r="C446">
        <v>12</v>
      </c>
      <c r="D446" t="s">
        <v>107</v>
      </c>
      <c r="G446" s="1">
        <v>96</v>
      </c>
    </row>
    <row r="447" spans="1:8">
      <c r="A447">
        <v>107</v>
      </c>
      <c r="B447" t="s">
        <v>343</v>
      </c>
      <c r="C447">
        <v>13</v>
      </c>
      <c r="D447" t="s">
        <v>200</v>
      </c>
      <c r="E447" s="1">
        <v>1</v>
      </c>
      <c r="F447" s="1" t="s">
        <v>192</v>
      </c>
      <c r="G447" s="1">
        <v>2</v>
      </c>
      <c r="H447" s="1" t="s">
        <v>192</v>
      </c>
    </row>
    <row r="448" spans="1:8">
      <c r="A448">
        <v>107</v>
      </c>
      <c r="B448" t="s">
        <v>343</v>
      </c>
      <c r="C448">
        <v>13</v>
      </c>
      <c r="D448" t="s">
        <v>200</v>
      </c>
      <c r="E448" s="1">
        <v>1</v>
      </c>
      <c r="F448" s="1">
        <v>40</v>
      </c>
      <c r="G448" s="1">
        <v>10</v>
      </c>
      <c r="H448" s="1">
        <v>40</v>
      </c>
    </row>
    <row r="449" spans="1:8">
      <c r="A449">
        <v>107</v>
      </c>
      <c r="B449" t="s">
        <v>343</v>
      </c>
      <c r="C449">
        <v>13</v>
      </c>
      <c r="D449" t="s">
        <v>200</v>
      </c>
      <c r="E449" s="1">
        <v>1</v>
      </c>
      <c r="F449" s="1" t="s">
        <v>193</v>
      </c>
      <c r="G449" s="1">
        <v>12</v>
      </c>
      <c r="H449" s="1" t="s">
        <v>193</v>
      </c>
    </row>
    <row r="450" spans="1:8">
      <c r="A450">
        <v>107</v>
      </c>
      <c r="B450" t="s">
        <v>343</v>
      </c>
      <c r="C450">
        <v>13</v>
      </c>
      <c r="D450" t="s">
        <v>200</v>
      </c>
      <c r="E450" s="1">
        <v>1</v>
      </c>
      <c r="F450" s="1">
        <v>41</v>
      </c>
      <c r="G450" s="1">
        <v>20</v>
      </c>
      <c r="H450" s="1">
        <v>41</v>
      </c>
    </row>
    <row r="451" spans="1:8">
      <c r="A451">
        <v>107</v>
      </c>
      <c r="B451" t="s">
        <v>343</v>
      </c>
      <c r="C451">
        <v>13</v>
      </c>
      <c r="D451" t="s">
        <v>200</v>
      </c>
      <c r="E451" s="1">
        <v>1</v>
      </c>
      <c r="F451" s="1" t="s">
        <v>194</v>
      </c>
      <c r="G451" s="1">
        <v>22</v>
      </c>
      <c r="H451" s="1" t="s">
        <v>194</v>
      </c>
    </row>
    <row r="452" spans="1:8">
      <c r="A452">
        <v>107</v>
      </c>
      <c r="B452" t="s">
        <v>343</v>
      </c>
      <c r="C452">
        <v>13</v>
      </c>
      <c r="D452" t="s">
        <v>200</v>
      </c>
      <c r="E452" s="1">
        <v>1</v>
      </c>
      <c r="F452" s="1">
        <v>42</v>
      </c>
      <c r="G452" s="1">
        <v>30</v>
      </c>
      <c r="H452" s="1">
        <v>42</v>
      </c>
    </row>
    <row r="453" spans="1:8">
      <c r="A453">
        <v>107</v>
      </c>
      <c r="B453" t="s">
        <v>343</v>
      </c>
      <c r="C453">
        <v>13</v>
      </c>
      <c r="D453" t="s">
        <v>200</v>
      </c>
      <c r="E453" s="1">
        <v>1</v>
      </c>
      <c r="F453" s="1" t="s">
        <v>195</v>
      </c>
      <c r="G453" s="1">
        <v>32</v>
      </c>
      <c r="H453" s="1" t="s">
        <v>195</v>
      </c>
    </row>
    <row r="454" spans="1:8">
      <c r="A454">
        <v>107</v>
      </c>
      <c r="B454" t="s">
        <v>343</v>
      </c>
      <c r="C454">
        <v>13</v>
      </c>
      <c r="D454" t="s">
        <v>200</v>
      </c>
      <c r="E454" s="1">
        <v>1</v>
      </c>
      <c r="F454" s="1">
        <v>43</v>
      </c>
      <c r="G454" s="1">
        <v>40</v>
      </c>
      <c r="H454" s="1">
        <v>43</v>
      </c>
    </row>
    <row r="455" spans="1:8">
      <c r="A455">
        <v>107</v>
      </c>
      <c r="B455" t="s">
        <v>343</v>
      </c>
      <c r="C455">
        <v>13</v>
      </c>
      <c r="D455" t="s">
        <v>200</v>
      </c>
      <c r="E455" s="1">
        <v>1</v>
      </c>
      <c r="F455" s="1" t="s">
        <v>196</v>
      </c>
      <c r="G455" s="1">
        <v>42</v>
      </c>
      <c r="H455" s="1" t="s">
        <v>196</v>
      </c>
    </row>
    <row r="456" spans="1:8">
      <c r="A456">
        <v>107</v>
      </c>
      <c r="B456" t="s">
        <v>343</v>
      </c>
      <c r="C456">
        <v>13</v>
      </c>
      <c r="D456" t="s">
        <v>200</v>
      </c>
      <c r="E456" s="1">
        <v>1</v>
      </c>
      <c r="F456" s="1">
        <v>44</v>
      </c>
      <c r="G456" s="1">
        <v>50</v>
      </c>
      <c r="H456" s="1">
        <v>44</v>
      </c>
    </row>
    <row r="457" spans="1:8">
      <c r="A457">
        <v>107</v>
      </c>
      <c r="B457" t="s">
        <v>343</v>
      </c>
      <c r="C457">
        <v>13</v>
      </c>
      <c r="D457" t="s">
        <v>200</v>
      </c>
      <c r="E457" s="1">
        <v>1</v>
      </c>
      <c r="F457" s="1" t="s">
        <v>197</v>
      </c>
      <c r="G457" s="1">
        <v>52</v>
      </c>
      <c r="H457" s="1" t="s">
        <v>197</v>
      </c>
    </row>
    <row r="458" spans="1:8">
      <c r="A458">
        <v>107</v>
      </c>
      <c r="B458" t="s">
        <v>343</v>
      </c>
      <c r="C458">
        <v>13</v>
      </c>
      <c r="D458" t="s">
        <v>200</v>
      </c>
      <c r="E458" s="1">
        <v>1</v>
      </c>
      <c r="F458" s="1">
        <v>45</v>
      </c>
      <c r="G458" s="1">
        <v>60</v>
      </c>
      <c r="H458" s="1">
        <v>45</v>
      </c>
    </row>
    <row r="459" spans="1:8">
      <c r="A459">
        <v>107</v>
      </c>
      <c r="B459" t="s">
        <v>343</v>
      </c>
      <c r="C459">
        <v>13</v>
      </c>
      <c r="D459" t="s">
        <v>200</v>
      </c>
      <c r="E459" s="1">
        <v>1</v>
      </c>
      <c r="F459" s="1" t="s">
        <v>198</v>
      </c>
      <c r="G459" s="1">
        <v>62</v>
      </c>
      <c r="H459" s="1" t="s">
        <v>198</v>
      </c>
    </row>
    <row r="460" spans="1:8">
      <c r="A460">
        <v>107</v>
      </c>
      <c r="B460" t="s">
        <v>343</v>
      </c>
      <c r="C460">
        <v>13</v>
      </c>
      <c r="D460" t="s">
        <v>200</v>
      </c>
      <c r="E460" s="1">
        <v>1</v>
      </c>
      <c r="F460" s="1">
        <v>39</v>
      </c>
      <c r="H460" s="1">
        <v>39</v>
      </c>
    </row>
    <row r="461" spans="1:8">
      <c r="A461">
        <v>107</v>
      </c>
      <c r="B461" t="s">
        <v>343</v>
      </c>
      <c r="C461">
        <v>13</v>
      </c>
      <c r="D461" t="s">
        <v>200</v>
      </c>
      <c r="G461" s="1">
        <v>80</v>
      </c>
    </row>
    <row r="462" spans="1:8">
      <c r="A462">
        <v>107</v>
      </c>
      <c r="B462" t="s">
        <v>343</v>
      </c>
      <c r="C462">
        <v>13</v>
      </c>
      <c r="D462" t="s">
        <v>200</v>
      </c>
      <c r="G462" s="1">
        <v>90</v>
      </c>
    </row>
    <row r="463" spans="1:8">
      <c r="A463">
        <v>107</v>
      </c>
      <c r="B463" t="s">
        <v>343</v>
      </c>
      <c r="C463">
        <v>13</v>
      </c>
      <c r="D463" t="s">
        <v>200</v>
      </c>
      <c r="G463" s="1">
        <v>95</v>
      </c>
    </row>
    <row r="464" spans="1:8">
      <c r="A464">
        <v>107</v>
      </c>
      <c r="B464" t="s">
        <v>343</v>
      </c>
      <c r="C464">
        <v>15</v>
      </c>
      <c r="D464" t="s">
        <v>201</v>
      </c>
      <c r="E464" s="1">
        <v>4</v>
      </c>
      <c r="F464" s="1" t="s">
        <v>286</v>
      </c>
      <c r="G464" s="1">
        <v>70</v>
      </c>
      <c r="H464" s="1" t="s">
        <v>286</v>
      </c>
    </row>
    <row r="465" spans="1:8">
      <c r="A465">
        <v>107</v>
      </c>
      <c r="B465" t="s">
        <v>343</v>
      </c>
      <c r="C465">
        <v>16</v>
      </c>
      <c r="D465" t="s">
        <v>202</v>
      </c>
      <c r="E465" s="1">
        <v>1</v>
      </c>
      <c r="F465" s="1" t="s">
        <v>192</v>
      </c>
      <c r="G465" s="1">
        <v>2</v>
      </c>
      <c r="H465" s="1" t="s">
        <v>192</v>
      </c>
    </row>
    <row r="466" spans="1:8">
      <c r="A466">
        <v>107</v>
      </c>
      <c r="B466" t="s">
        <v>343</v>
      </c>
      <c r="C466">
        <v>16</v>
      </c>
      <c r="D466" t="s">
        <v>202</v>
      </c>
      <c r="E466" s="1">
        <v>1</v>
      </c>
      <c r="F466" s="1">
        <v>40</v>
      </c>
      <c r="G466" s="1">
        <v>10</v>
      </c>
      <c r="H466" s="1">
        <v>40</v>
      </c>
    </row>
    <row r="467" spans="1:8">
      <c r="A467">
        <v>107</v>
      </c>
      <c r="B467" t="s">
        <v>343</v>
      </c>
      <c r="C467">
        <v>16</v>
      </c>
      <c r="D467" t="s">
        <v>202</v>
      </c>
      <c r="E467" s="1">
        <v>1</v>
      </c>
      <c r="F467" s="1" t="s">
        <v>193</v>
      </c>
      <c r="G467" s="1">
        <v>12</v>
      </c>
      <c r="H467" s="1" t="s">
        <v>193</v>
      </c>
    </row>
    <row r="468" spans="1:8">
      <c r="A468">
        <v>107</v>
      </c>
      <c r="B468" t="s">
        <v>343</v>
      </c>
      <c r="C468">
        <v>16</v>
      </c>
      <c r="D468" t="s">
        <v>202</v>
      </c>
      <c r="E468" s="1">
        <v>1</v>
      </c>
      <c r="F468" s="1">
        <v>41</v>
      </c>
      <c r="G468" s="1">
        <v>20</v>
      </c>
      <c r="H468" s="1">
        <v>41</v>
      </c>
    </row>
    <row r="469" spans="1:8">
      <c r="A469">
        <v>107</v>
      </c>
      <c r="B469" t="s">
        <v>343</v>
      </c>
      <c r="C469">
        <v>16</v>
      </c>
      <c r="D469" t="s">
        <v>202</v>
      </c>
      <c r="E469" s="1">
        <v>1</v>
      </c>
      <c r="F469" s="1" t="s">
        <v>194</v>
      </c>
      <c r="G469" s="1">
        <v>22</v>
      </c>
      <c r="H469" s="1" t="s">
        <v>194</v>
      </c>
    </row>
    <row r="470" spans="1:8">
      <c r="A470">
        <v>107</v>
      </c>
      <c r="B470" t="s">
        <v>343</v>
      </c>
      <c r="C470">
        <v>16</v>
      </c>
      <c r="D470" t="s">
        <v>202</v>
      </c>
      <c r="E470" s="1">
        <v>1</v>
      </c>
      <c r="F470" s="1">
        <v>42</v>
      </c>
      <c r="G470" s="1">
        <v>30</v>
      </c>
      <c r="H470" s="1">
        <v>42</v>
      </c>
    </row>
    <row r="471" spans="1:8">
      <c r="A471">
        <v>107</v>
      </c>
      <c r="B471" t="s">
        <v>343</v>
      </c>
      <c r="C471">
        <v>16</v>
      </c>
      <c r="D471" t="s">
        <v>202</v>
      </c>
      <c r="E471" s="1">
        <v>1</v>
      </c>
      <c r="F471" s="1" t="s">
        <v>195</v>
      </c>
      <c r="G471" s="1">
        <v>32</v>
      </c>
      <c r="H471" s="1" t="s">
        <v>195</v>
      </c>
    </row>
    <row r="472" spans="1:8">
      <c r="A472">
        <v>107</v>
      </c>
      <c r="B472" t="s">
        <v>343</v>
      </c>
      <c r="C472">
        <v>16</v>
      </c>
      <c r="D472" t="s">
        <v>202</v>
      </c>
      <c r="E472" s="1">
        <v>1</v>
      </c>
      <c r="F472" s="1">
        <v>43</v>
      </c>
      <c r="G472" s="1">
        <v>40</v>
      </c>
      <c r="H472" s="1">
        <v>43</v>
      </c>
    </row>
    <row r="473" spans="1:8">
      <c r="A473">
        <v>107</v>
      </c>
      <c r="B473" t="s">
        <v>343</v>
      </c>
      <c r="C473">
        <v>16</v>
      </c>
      <c r="D473" t="s">
        <v>202</v>
      </c>
      <c r="E473" s="1">
        <v>1</v>
      </c>
      <c r="F473" s="1" t="s">
        <v>196</v>
      </c>
      <c r="G473" s="1">
        <v>42</v>
      </c>
      <c r="H473" s="1" t="s">
        <v>196</v>
      </c>
    </row>
    <row r="474" spans="1:8">
      <c r="A474">
        <v>107</v>
      </c>
      <c r="B474" t="s">
        <v>343</v>
      </c>
      <c r="C474">
        <v>16</v>
      </c>
      <c r="D474" t="s">
        <v>202</v>
      </c>
      <c r="E474" s="1">
        <v>1</v>
      </c>
      <c r="F474" s="1">
        <v>44</v>
      </c>
      <c r="G474" s="1">
        <v>50</v>
      </c>
      <c r="H474" s="1">
        <v>44</v>
      </c>
    </row>
    <row r="475" spans="1:8">
      <c r="A475">
        <v>107</v>
      </c>
      <c r="B475" t="s">
        <v>343</v>
      </c>
      <c r="C475">
        <v>16</v>
      </c>
      <c r="D475" t="s">
        <v>202</v>
      </c>
      <c r="E475" s="1">
        <v>1</v>
      </c>
      <c r="F475" s="1" t="s">
        <v>197</v>
      </c>
      <c r="G475" s="1">
        <v>52</v>
      </c>
      <c r="H475" s="1" t="s">
        <v>197</v>
      </c>
    </row>
    <row r="476" spans="1:8">
      <c r="A476">
        <v>107</v>
      </c>
      <c r="B476" t="s">
        <v>343</v>
      </c>
      <c r="C476">
        <v>16</v>
      </c>
      <c r="D476" t="s">
        <v>202</v>
      </c>
      <c r="E476" s="1">
        <v>1</v>
      </c>
      <c r="F476" s="1">
        <v>45</v>
      </c>
      <c r="G476" s="1">
        <v>60</v>
      </c>
      <c r="H476" s="1">
        <v>45</v>
      </c>
    </row>
    <row r="477" spans="1:8">
      <c r="A477">
        <v>107</v>
      </c>
      <c r="B477" t="s">
        <v>343</v>
      </c>
      <c r="C477">
        <v>16</v>
      </c>
      <c r="D477" t="s">
        <v>202</v>
      </c>
      <c r="E477" s="1">
        <v>1</v>
      </c>
      <c r="F477" s="1" t="s">
        <v>198</v>
      </c>
      <c r="G477" s="1">
        <v>62</v>
      </c>
      <c r="H477" s="1" t="s">
        <v>198</v>
      </c>
    </row>
    <row r="478" spans="1:8">
      <c r="A478">
        <v>107</v>
      </c>
      <c r="B478" t="s">
        <v>343</v>
      </c>
      <c r="C478">
        <v>16</v>
      </c>
      <c r="D478" t="s">
        <v>202</v>
      </c>
      <c r="E478" s="1">
        <v>1</v>
      </c>
      <c r="F478" s="1">
        <v>46</v>
      </c>
      <c r="G478" s="1">
        <v>72</v>
      </c>
      <c r="H478" s="1">
        <v>46</v>
      </c>
    </row>
    <row r="479" spans="1:8">
      <c r="A479">
        <v>107</v>
      </c>
      <c r="B479" t="s">
        <v>343</v>
      </c>
      <c r="C479">
        <v>16</v>
      </c>
      <c r="D479" t="s">
        <v>202</v>
      </c>
      <c r="E479" s="1">
        <v>1</v>
      </c>
      <c r="F479" s="1">
        <v>39</v>
      </c>
      <c r="H479" s="1">
        <v>39</v>
      </c>
    </row>
    <row r="480" spans="1:8">
      <c r="A480">
        <v>107</v>
      </c>
      <c r="B480" t="s">
        <v>343</v>
      </c>
      <c r="C480">
        <v>16</v>
      </c>
      <c r="D480" t="s">
        <v>202</v>
      </c>
      <c r="G480" s="1">
        <v>55</v>
      </c>
    </row>
    <row r="481" spans="1:8">
      <c r="A481">
        <v>107</v>
      </c>
      <c r="B481" t="s">
        <v>343</v>
      </c>
      <c r="C481">
        <v>16</v>
      </c>
      <c r="D481" t="s">
        <v>202</v>
      </c>
      <c r="G481" s="1">
        <v>92</v>
      </c>
    </row>
    <row r="482" spans="1:8">
      <c r="A482">
        <v>107</v>
      </c>
      <c r="B482" t="s">
        <v>343</v>
      </c>
      <c r="C482">
        <v>20</v>
      </c>
      <c r="D482" t="s">
        <v>346</v>
      </c>
      <c r="E482" s="1">
        <v>2</v>
      </c>
      <c r="F482" s="1" t="s">
        <v>347</v>
      </c>
      <c r="G482" s="1">
        <v>20</v>
      </c>
      <c r="H482" s="1" t="s">
        <v>347</v>
      </c>
    </row>
    <row r="483" spans="1:8">
      <c r="A483">
        <v>107</v>
      </c>
      <c r="B483" t="s">
        <v>343</v>
      </c>
      <c r="C483">
        <v>20</v>
      </c>
      <c r="D483" t="s">
        <v>346</v>
      </c>
      <c r="E483" s="1">
        <v>2</v>
      </c>
      <c r="F483" s="1" t="s">
        <v>328</v>
      </c>
      <c r="G483" s="1">
        <v>30</v>
      </c>
      <c r="H483" s="1" t="s">
        <v>328</v>
      </c>
    </row>
    <row r="484" spans="1:8">
      <c r="A484">
        <v>107</v>
      </c>
      <c r="B484" t="s">
        <v>343</v>
      </c>
      <c r="C484">
        <v>20</v>
      </c>
      <c r="D484" t="s">
        <v>346</v>
      </c>
      <c r="E484" s="1">
        <v>2</v>
      </c>
      <c r="F484" s="1" t="s">
        <v>332</v>
      </c>
      <c r="G484" s="1">
        <v>50</v>
      </c>
      <c r="H484" s="1" t="s">
        <v>332</v>
      </c>
    </row>
    <row r="485" spans="1:8">
      <c r="A485">
        <v>107</v>
      </c>
      <c r="B485" t="s">
        <v>343</v>
      </c>
      <c r="C485">
        <v>20</v>
      </c>
      <c r="D485" t="s">
        <v>346</v>
      </c>
      <c r="E485" s="1">
        <v>3</v>
      </c>
      <c r="F485" s="1" t="s">
        <v>348</v>
      </c>
      <c r="G485" s="1">
        <v>20</v>
      </c>
      <c r="H485" s="1" t="s">
        <v>348</v>
      </c>
    </row>
    <row r="486" spans="1:8">
      <c r="A486">
        <v>107</v>
      </c>
      <c r="B486" t="s">
        <v>343</v>
      </c>
      <c r="C486">
        <v>20</v>
      </c>
      <c r="D486" t="s">
        <v>346</v>
      </c>
      <c r="E486" s="1">
        <v>3</v>
      </c>
      <c r="F486" s="1" t="s">
        <v>349</v>
      </c>
      <c r="G486" s="1">
        <v>30</v>
      </c>
      <c r="H486" s="1" t="s">
        <v>349</v>
      </c>
    </row>
    <row r="487" spans="1:8">
      <c r="A487">
        <v>107</v>
      </c>
      <c r="B487" t="s">
        <v>343</v>
      </c>
      <c r="C487">
        <v>20</v>
      </c>
      <c r="D487" t="s">
        <v>346</v>
      </c>
      <c r="E487" s="1">
        <v>3</v>
      </c>
      <c r="F487" s="1" t="s">
        <v>350</v>
      </c>
      <c r="G487" s="1">
        <v>40</v>
      </c>
      <c r="H487" s="1" t="s">
        <v>350</v>
      </c>
    </row>
    <row r="488" spans="1:8">
      <c r="A488">
        <v>107</v>
      </c>
      <c r="B488" t="s">
        <v>343</v>
      </c>
      <c r="C488">
        <v>20</v>
      </c>
      <c r="D488" t="s">
        <v>346</v>
      </c>
      <c r="E488" s="1">
        <v>3</v>
      </c>
      <c r="F488" s="1" t="s">
        <v>351</v>
      </c>
      <c r="G488" s="1">
        <v>50</v>
      </c>
      <c r="H488" s="1" t="s">
        <v>351</v>
      </c>
    </row>
    <row r="489" spans="1:8">
      <c r="A489">
        <v>107</v>
      </c>
      <c r="B489" t="s">
        <v>343</v>
      </c>
      <c r="C489">
        <v>20</v>
      </c>
      <c r="D489" t="s">
        <v>346</v>
      </c>
      <c r="E489" s="1">
        <v>3</v>
      </c>
      <c r="F489" s="1" t="s">
        <v>352</v>
      </c>
      <c r="G489" s="1">
        <v>60</v>
      </c>
      <c r="H489" s="1" t="s">
        <v>352</v>
      </c>
    </row>
    <row r="490" spans="1:8">
      <c r="A490">
        <v>107</v>
      </c>
      <c r="B490" t="s">
        <v>343</v>
      </c>
      <c r="C490">
        <v>20</v>
      </c>
      <c r="D490" t="s">
        <v>346</v>
      </c>
      <c r="E490" s="1">
        <v>3</v>
      </c>
      <c r="F490" s="1" t="s">
        <v>353</v>
      </c>
      <c r="G490" s="1">
        <v>70</v>
      </c>
      <c r="H490" s="1" t="s">
        <v>353</v>
      </c>
    </row>
    <row r="491" spans="1:8">
      <c r="A491">
        <v>107</v>
      </c>
      <c r="B491" t="s">
        <v>343</v>
      </c>
      <c r="C491">
        <v>20</v>
      </c>
      <c r="D491" t="s">
        <v>346</v>
      </c>
      <c r="E491" s="1">
        <v>3</v>
      </c>
      <c r="F491" s="1" t="s">
        <v>354</v>
      </c>
      <c r="G491" s="1">
        <v>80</v>
      </c>
      <c r="H491" s="1" t="s">
        <v>354</v>
      </c>
    </row>
    <row r="492" spans="1:8">
      <c r="A492">
        <v>107</v>
      </c>
      <c r="B492" t="s">
        <v>343</v>
      </c>
      <c r="C492">
        <v>20</v>
      </c>
      <c r="D492" t="s">
        <v>346</v>
      </c>
      <c r="E492" s="1">
        <v>4</v>
      </c>
      <c r="F492" s="1" t="s">
        <v>355</v>
      </c>
      <c r="G492" s="1">
        <v>20</v>
      </c>
      <c r="H492" s="1" t="s">
        <v>355</v>
      </c>
    </row>
    <row r="493" spans="1:8">
      <c r="A493">
        <v>107</v>
      </c>
      <c r="B493" t="s">
        <v>343</v>
      </c>
      <c r="C493">
        <v>20</v>
      </c>
      <c r="D493" t="s">
        <v>346</v>
      </c>
      <c r="E493" s="1">
        <v>4</v>
      </c>
      <c r="F493" s="1" t="s">
        <v>356</v>
      </c>
      <c r="G493" s="1">
        <v>30</v>
      </c>
      <c r="H493" s="1" t="s">
        <v>356</v>
      </c>
    </row>
    <row r="494" spans="1:8">
      <c r="A494">
        <v>107</v>
      </c>
      <c r="B494" t="s">
        <v>343</v>
      </c>
      <c r="C494">
        <v>20</v>
      </c>
      <c r="D494" t="s">
        <v>346</v>
      </c>
      <c r="E494" s="1">
        <v>4</v>
      </c>
      <c r="F494" s="1" t="s">
        <v>357</v>
      </c>
      <c r="G494" s="1">
        <v>40</v>
      </c>
      <c r="H494" s="1" t="s">
        <v>357</v>
      </c>
    </row>
    <row r="495" spans="1:8">
      <c r="A495">
        <v>107</v>
      </c>
      <c r="B495" t="s">
        <v>343</v>
      </c>
      <c r="C495">
        <v>20</v>
      </c>
      <c r="D495" t="s">
        <v>346</v>
      </c>
      <c r="E495" s="1">
        <v>4</v>
      </c>
      <c r="F495" s="1" t="s">
        <v>358</v>
      </c>
      <c r="G495" s="1">
        <v>50</v>
      </c>
      <c r="H495" s="1" t="s">
        <v>358</v>
      </c>
    </row>
    <row r="496" spans="1:8">
      <c r="A496">
        <v>107</v>
      </c>
      <c r="B496" t="s">
        <v>343</v>
      </c>
      <c r="C496">
        <v>20</v>
      </c>
      <c r="D496" t="s">
        <v>346</v>
      </c>
      <c r="E496" s="1">
        <v>4</v>
      </c>
      <c r="F496" s="1" t="s">
        <v>359</v>
      </c>
      <c r="G496" s="1">
        <v>60</v>
      </c>
      <c r="H496" s="1" t="s">
        <v>359</v>
      </c>
    </row>
    <row r="497" spans="1:8">
      <c r="A497">
        <v>107</v>
      </c>
      <c r="B497" t="s">
        <v>343</v>
      </c>
      <c r="C497">
        <v>20</v>
      </c>
      <c r="D497" t="s">
        <v>346</v>
      </c>
      <c r="E497" s="1">
        <v>4</v>
      </c>
      <c r="F497" s="1" t="s">
        <v>360</v>
      </c>
      <c r="G497" s="1">
        <v>70</v>
      </c>
      <c r="H497" s="1" t="s">
        <v>360</v>
      </c>
    </row>
    <row r="498" spans="1:8">
      <c r="A498">
        <v>107</v>
      </c>
      <c r="B498" t="s">
        <v>343</v>
      </c>
      <c r="C498">
        <v>20</v>
      </c>
      <c r="D498" t="s">
        <v>346</v>
      </c>
      <c r="E498" s="1">
        <v>4</v>
      </c>
      <c r="F498" s="1" t="s">
        <v>361</v>
      </c>
      <c r="G498" s="1">
        <v>80</v>
      </c>
      <c r="H498" s="1" t="s">
        <v>361</v>
      </c>
    </row>
    <row r="499" spans="1:8">
      <c r="A499">
        <v>107</v>
      </c>
      <c r="B499" t="s">
        <v>343</v>
      </c>
      <c r="C499">
        <v>20</v>
      </c>
      <c r="D499" t="s">
        <v>346</v>
      </c>
      <c r="E499" s="1">
        <v>5</v>
      </c>
      <c r="F499" s="1" t="s">
        <v>362</v>
      </c>
      <c r="G499" s="1">
        <v>20</v>
      </c>
      <c r="H499" s="1" t="s">
        <v>362</v>
      </c>
    </row>
    <row r="500" spans="1:8">
      <c r="A500">
        <v>107</v>
      </c>
      <c r="B500" t="s">
        <v>343</v>
      </c>
      <c r="C500">
        <v>20</v>
      </c>
      <c r="D500" t="s">
        <v>346</v>
      </c>
      <c r="E500" s="1">
        <v>5</v>
      </c>
      <c r="F500" s="1" t="s">
        <v>363</v>
      </c>
      <c r="G500" s="1">
        <v>30</v>
      </c>
      <c r="H500" s="1" t="s">
        <v>363</v>
      </c>
    </row>
    <row r="501" spans="1:8">
      <c r="A501">
        <v>107</v>
      </c>
      <c r="B501" t="s">
        <v>343</v>
      </c>
      <c r="C501">
        <v>20</v>
      </c>
      <c r="D501" t="s">
        <v>346</v>
      </c>
      <c r="E501" s="1">
        <v>5</v>
      </c>
      <c r="F501" s="1" t="s">
        <v>364</v>
      </c>
      <c r="G501" s="1">
        <v>40</v>
      </c>
      <c r="H501" s="1" t="s">
        <v>364</v>
      </c>
    </row>
    <row r="502" spans="1:8">
      <c r="A502">
        <v>107</v>
      </c>
      <c r="B502" t="s">
        <v>343</v>
      </c>
      <c r="C502">
        <v>20</v>
      </c>
      <c r="D502" t="s">
        <v>346</v>
      </c>
      <c r="E502" s="1">
        <v>5</v>
      </c>
      <c r="F502" s="1" t="s">
        <v>365</v>
      </c>
      <c r="G502" s="1">
        <v>50</v>
      </c>
      <c r="H502" s="1" t="s">
        <v>365</v>
      </c>
    </row>
    <row r="503" spans="1:8">
      <c r="A503">
        <v>107</v>
      </c>
      <c r="B503" t="s">
        <v>343</v>
      </c>
      <c r="C503">
        <v>20</v>
      </c>
      <c r="D503" t="s">
        <v>346</v>
      </c>
      <c r="E503" s="1">
        <v>5</v>
      </c>
      <c r="F503" s="1" t="s">
        <v>366</v>
      </c>
      <c r="G503" s="1">
        <v>60</v>
      </c>
      <c r="H503" s="1" t="s">
        <v>366</v>
      </c>
    </row>
    <row r="504" spans="1:8">
      <c r="A504">
        <v>107</v>
      </c>
      <c r="B504" t="s">
        <v>343</v>
      </c>
      <c r="C504">
        <v>20</v>
      </c>
      <c r="D504" t="s">
        <v>346</v>
      </c>
      <c r="E504" s="1">
        <v>5</v>
      </c>
      <c r="F504" s="1" t="s">
        <v>367</v>
      </c>
      <c r="G504" s="1">
        <v>70</v>
      </c>
      <c r="H504" s="1" t="s">
        <v>367</v>
      </c>
    </row>
    <row r="505" spans="1:8">
      <c r="A505">
        <v>107</v>
      </c>
      <c r="B505" t="s">
        <v>343</v>
      </c>
      <c r="C505">
        <v>20</v>
      </c>
      <c r="D505" t="s">
        <v>346</v>
      </c>
      <c r="E505" s="1">
        <v>5</v>
      </c>
      <c r="F505" s="1" t="s">
        <v>368</v>
      </c>
      <c r="G505" s="1">
        <v>80</v>
      </c>
      <c r="H505" s="1" t="s">
        <v>368</v>
      </c>
    </row>
    <row r="506" spans="1:8">
      <c r="A506">
        <v>107</v>
      </c>
      <c r="B506" t="s">
        <v>343</v>
      </c>
      <c r="C506">
        <v>20</v>
      </c>
      <c r="D506" t="s">
        <v>346</v>
      </c>
      <c r="E506" s="1">
        <v>5</v>
      </c>
      <c r="F506" s="1" t="s">
        <v>369</v>
      </c>
      <c r="G506" s="1">
        <v>90</v>
      </c>
      <c r="H506" s="1" t="s">
        <v>369</v>
      </c>
    </row>
    <row r="507" spans="1:8">
      <c r="A507">
        <v>107</v>
      </c>
      <c r="B507" t="s">
        <v>343</v>
      </c>
      <c r="C507">
        <v>20</v>
      </c>
      <c r="D507" t="s">
        <v>346</v>
      </c>
      <c r="E507" s="1">
        <v>6</v>
      </c>
      <c r="F507" s="1" t="s">
        <v>370</v>
      </c>
      <c r="G507" s="1">
        <v>50</v>
      </c>
      <c r="H507" s="1" t="s">
        <v>370</v>
      </c>
    </row>
    <row r="508" spans="1:8">
      <c r="A508">
        <v>107</v>
      </c>
      <c r="B508" t="s">
        <v>343</v>
      </c>
      <c r="C508">
        <v>20</v>
      </c>
      <c r="D508" t="s">
        <v>346</v>
      </c>
      <c r="E508" s="1">
        <v>6</v>
      </c>
      <c r="F508" s="1" t="s">
        <v>371</v>
      </c>
      <c r="G508" s="1">
        <v>80</v>
      </c>
      <c r="H508" s="1" t="s">
        <v>371</v>
      </c>
    </row>
    <row r="509" spans="1:8">
      <c r="A509">
        <v>107</v>
      </c>
      <c r="B509" t="s">
        <v>343</v>
      </c>
      <c r="C509">
        <v>20</v>
      </c>
      <c r="D509" t="s">
        <v>346</v>
      </c>
      <c r="E509" s="1">
        <v>6</v>
      </c>
      <c r="F509" s="1" t="s">
        <v>372</v>
      </c>
      <c r="H509" s="1" t="s">
        <v>372</v>
      </c>
    </row>
    <row r="510" spans="1:8">
      <c r="A510">
        <v>107</v>
      </c>
      <c r="B510" t="s">
        <v>343</v>
      </c>
      <c r="C510">
        <v>21</v>
      </c>
      <c r="D510" t="s">
        <v>205</v>
      </c>
      <c r="E510" s="1">
        <v>1</v>
      </c>
      <c r="F510" s="1" t="s">
        <v>328</v>
      </c>
      <c r="G510" s="1">
        <v>20</v>
      </c>
      <c r="H510" s="1" t="s">
        <v>328</v>
      </c>
    </row>
    <row r="511" spans="1:8">
      <c r="A511">
        <v>107</v>
      </c>
      <c r="B511" t="s">
        <v>343</v>
      </c>
      <c r="C511">
        <v>21</v>
      </c>
      <c r="D511" t="s">
        <v>205</v>
      </c>
      <c r="E511" s="1">
        <v>1</v>
      </c>
      <c r="F511" s="1" t="s">
        <v>323</v>
      </c>
      <c r="G511" s="1">
        <v>32</v>
      </c>
      <c r="H511" s="1" t="s">
        <v>323</v>
      </c>
    </row>
    <row r="512" spans="1:8">
      <c r="A512">
        <v>107</v>
      </c>
      <c r="B512" t="s">
        <v>343</v>
      </c>
      <c r="C512">
        <v>21</v>
      </c>
      <c r="D512" t="s">
        <v>205</v>
      </c>
      <c r="E512" s="1">
        <v>1</v>
      </c>
      <c r="F512" s="1" t="s">
        <v>332</v>
      </c>
      <c r="G512" s="1">
        <v>40</v>
      </c>
      <c r="H512" s="1" t="s">
        <v>332</v>
      </c>
    </row>
    <row r="513" spans="1:8">
      <c r="A513">
        <v>107</v>
      </c>
      <c r="B513" t="s">
        <v>343</v>
      </c>
      <c r="C513">
        <v>21</v>
      </c>
      <c r="D513" t="s">
        <v>205</v>
      </c>
      <c r="E513" s="1">
        <v>1</v>
      </c>
      <c r="F513" s="1" t="s">
        <v>330</v>
      </c>
      <c r="G513" s="1">
        <v>42</v>
      </c>
      <c r="H513" s="1" t="s">
        <v>330</v>
      </c>
    </row>
    <row r="514" spans="1:8">
      <c r="A514">
        <v>107</v>
      </c>
      <c r="B514" t="s">
        <v>343</v>
      </c>
      <c r="C514">
        <v>21</v>
      </c>
      <c r="D514" t="s">
        <v>205</v>
      </c>
      <c r="E514" s="1">
        <v>1</v>
      </c>
      <c r="F514" s="1" t="s">
        <v>331</v>
      </c>
      <c r="G514" s="1">
        <v>50</v>
      </c>
      <c r="H514" s="1" t="s">
        <v>331</v>
      </c>
    </row>
    <row r="515" spans="1:8">
      <c r="A515">
        <v>107</v>
      </c>
      <c r="B515" t="s">
        <v>343</v>
      </c>
      <c r="C515">
        <v>21</v>
      </c>
      <c r="D515" t="s">
        <v>205</v>
      </c>
      <c r="E515" s="1">
        <v>1</v>
      </c>
      <c r="F515" s="1" t="s">
        <v>288</v>
      </c>
      <c r="G515" s="1">
        <v>62</v>
      </c>
      <c r="H515" s="1" t="s">
        <v>288</v>
      </c>
    </row>
    <row r="516" spans="1:8">
      <c r="A516">
        <v>107</v>
      </c>
      <c r="B516" t="s">
        <v>343</v>
      </c>
      <c r="C516">
        <v>24</v>
      </c>
      <c r="D516" t="s">
        <v>208</v>
      </c>
      <c r="E516" s="1">
        <v>1</v>
      </c>
      <c r="F516" s="1" t="s">
        <v>373</v>
      </c>
      <c r="G516" s="1">
        <v>10</v>
      </c>
      <c r="H516" s="1" t="s">
        <v>373</v>
      </c>
    </row>
    <row r="517" spans="1:8">
      <c r="A517">
        <v>107</v>
      </c>
      <c r="B517" t="s">
        <v>343</v>
      </c>
      <c r="C517">
        <v>24</v>
      </c>
      <c r="D517" t="s">
        <v>208</v>
      </c>
      <c r="E517" s="1">
        <v>1</v>
      </c>
      <c r="F517" s="1" t="s">
        <v>284</v>
      </c>
      <c r="G517" s="1">
        <v>20</v>
      </c>
      <c r="H517" s="1" t="s">
        <v>284</v>
      </c>
    </row>
    <row r="518" spans="1:8">
      <c r="A518">
        <v>107</v>
      </c>
      <c r="B518" t="s">
        <v>343</v>
      </c>
      <c r="C518">
        <v>24</v>
      </c>
      <c r="D518" t="s">
        <v>208</v>
      </c>
      <c r="E518" s="1">
        <v>1</v>
      </c>
      <c r="F518" s="1" t="s">
        <v>347</v>
      </c>
      <c r="G518" s="1">
        <v>30</v>
      </c>
      <c r="H518" s="1" t="s">
        <v>347</v>
      </c>
    </row>
    <row r="519" spans="1:8">
      <c r="A519">
        <v>107</v>
      </c>
      <c r="B519" t="s">
        <v>343</v>
      </c>
      <c r="C519">
        <v>24</v>
      </c>
      <c r="D519" t="s">
        <v>208</v>
      </c>
      <c r="E519" s="1">
        <v>1</v>
      </c>
      <c r="F519" s="1" t="s">
        <v>374</v>
      </c>
      <c r="H519" s="1" t="s">
        <v>374</v>
      </c>
    </row>
    <row r="520" spans="1:8">
      <c r="A520">
        <v>107</v>
      </c>
      <c r="B520" t="s">
        <v>343</v>
      </c>
      <c r="C520">
        <v>24</v>
      </c>
      <c r="D520" t="s">
        <v>208</v>
      </c>
      <c r="E520" s="1">
        <v>42</v>
      </c>
      <c r="F520" s="1" t="s">
        <v>375</v>
      </c>
      <c r="G520" s="1">
        <v>20</v>
      </c>
      <c r="H520" s="1" t="s">
        <v>375</v>
      </c>
    </row>
    <row r="521" spans="1:8">
      <c r="A521">
        <v>107</v>
      </c>
      <c r="B521" t="s">
        <v>343</v>
      </c>
      <c r="C521">
        <v>24</v>
      </c>
      <c r="D521" t="s">
        <v>208</v>
      </c>
      <c r="E521" s="1">
        <v>42</v>
      </c>
      <c r="F521" s="1" t="s">
        <v>376</v>
      </c>
      <c r="G521" s="1">
        <v>30</v>
      </c>
      <c r="H521" s="1" t="s">
        <v>376</v>
      </c>
    </row>
    <row r="522" spans="1:8">
      <c r="A522">
        <v>107</v>
      </c>
      <c r="B522" t="s">
        <v>343</v>
      </c>
      <c r="C522">
        <v>24</v>
      </c>
      <c r="D522" t="s">
        <v>208</v>
      </c>
      <c r="E522" s="1">
        <v>42</v>
      </c>
      <c r="F522" s="1" t="s">
        <v>377</v>
      </c>
      <c r="G522" s="1">
        <v>40</v>
      </c>
      <c r="H522" s="1" t="s">
        <v>377</v>
      </c>
    </row>
    <row r="523" spans="1:8">
      <c r="A523">
        <v>107</v>
      </c>
      <c r="B523" t="s">
        <v>343</v>
      </c>
      <c r="C523">
        <v>24</v>
      </c>
      <c r="D523" t="s">
        <v>208</v>
      </c>
      <c r="E523" s="1">
        <v>42</v>
      </c>
      <c r="F523" s="1" t="s">
        <v>378</v>
      </c>
      <c r="G523" s="1">
        <v>50</v>
      </c>
      <c r="H523" s="1" t="s">
        <v>378</v>
      </c>
    </row>
    <row r="524" spans="1:8">
      <c r="A524">
        <v>107</v>
      </c>
      <c r="B524" t="s">
        <v>343</v>
      </c>
      <c r="C524">
        <v>24</v>
      </c>
      <c r="D524" t="s">
        <v>208</v>
      </c>
      <c r="E524" s="1">
        <v>43</v>
      </c>
      <c r="F524" s="1" t="s">
        <v>379</v>
      </c>
      <c r="G524" s="1">
        <v>20</v>
      </c>
      <c r="H524" s="1" t="s">
        <v>379</v>
      </c>
    </row>
    <row r="525" spans="1:8">
      <c r="A525">
        <v>107</v>
      </c>
      <c r="B525" t="s">
        <v>343</v>
      </c>
      <c r="C525">
        <v>24</v>
      </c>
      <c r="D525" t="s">
        <v>208</v>
      </c>
      <c r="E525" s="1">
        <v>43</v>
      </c>
      <c r="F525" s="1" t="s">
        <v>380</v>
      </c>
      <c r="G525" s="1">
        <v>30</v>
      </c>
      <c r="H525" s="1" t="s">
        <v>380</v>
      </c>
    </row>
    <row r="526" spans="1:8">
      <c r="A526">
        <v>107</v>
      </c>
      <c r="B526" t="s">
        <v>343</v>
      </c>
      <c r="C526">
        <v>24</v>
      </c>
      <c r="D526" t="s">
        <v>208</v>
      </c>
      <c r="E526" s="1">
        <v>43</v>
      </c>
      <c r="F526" s="1" t="s">
        <v>381</v>
      </c>
      <c r="G526" s="1">
        <v>40</v>
      </c>
      <c r="H526" s="1" t="s">
        <v>381</v>
      </c>
    </row>
    <row r="527" spans="1:8">
      <c r="A527">
        <v>107</v>
      </c>
      <c r="B527" t="s">
        <v>343</v>
      </c>
      <c r="C527">
        <v>24</v>
      </c>
      <c r="D527" t="s">
        <v>208</v>
      </c>
      <c r="E527" s="1">
        <v>43</v>
      </c>
      <c r="F527" s="1" t="s">
        <v>382</v>
      </c>
      <c r="G527" s="1">
        <v>50</v>
      </c>
      <c r="H527" s="1" t="s">
        <v>382</v>
      </c>
    </row>
    <row r="528" spans="1:8">
      <c r="A528">
        <v>107</v>
      </c>
      <c r="B528" t="s">
        <v>343</v>
      </c>
      <c r="C528">
        <v>24</v>
      </c>
      <c r="D528" t="s">
        <v>208</v>
      </c>
      <c r="E528" s="1">
        <v>44</v>
      </c>
      <c r="F528" s="1" t="s">
        <v>383</v>
      </c>
      <c r="G528" s="1">
        <v>30</v>
      </c>
      <c r="H528" s="1" t="s">
        <v>383</v>
      </c>
    </row>
    <row r="529" spans="1:8">
      <c r="A529">
        <v>107</v>
      </c>
      <c r="B529" t="s">
        <v>343</v>
      </c>
      <c r="C529">
        <v>24</v>
      </c>
      <c r="D529" t="s">
        <v>208</v>
      </c>
      <c r="E529" s="1">
        <v>44</v>
      </c>
      <c r="F529" s="1" t="s">
        <v>384</v>
      </c>
      <c r="G529" s="1">
        <v>40</v>
      </c>
      <c r="H529" s="1" t="s">
        <v>384</v>
      </c>
    </row>
    <row r="530" spans="1:8">
      <c r="A530">
        <v>107</v>
      </c>
      <c r="B530" t="s">
        <v>343</v>
      </c>
      <c r="C530">
        <v>24</v>
      </c>
      <c r="D530" t="s">
        <v>208</v>
      </c>
      <c r="E530" s="1">
        <v>44</v>
      </c>
      <c r="F530" s="1" t="s">
        <v>385</v>
      </c>
      <c r="G530" s="1">
        <v>50</v>
      </c>
      <c r="H530" s="1" t="s">
        <v>385</v>
      </c>
    </row>
    <row r="531" spans="1:8">
      <c r="A531">
        <v>107</v>
      </c>
      <c r="B531" t="s">
        <v>343</v>
      </c>
      <c r="C531">
        <v>24</v>
      </c>
      <c r="D531" t="s">
        <v>208</v>
      </c>
      <c r="E531" s="1">
        <v>45</v>
      </c>
      <c r="F531" s="1" t="s">
        <v>386</v>
      </c>
      <c r="G531" s="1">
        <v>40</v>
      </c>
      <c r="H531" s="1" t="s">
        <v>386</v>
      </c>
    </row>
    <row r="532" spans="1:8">
      <c r="A532">
        <v>107</v>
      </c>
      <c r="B532" t="s">
        <v>343</v>
      </c>
      <c r="C532">
        <v>24</v>
      </c>
      <c r="D532" t="s">
        <v>208</v>
      </c>
      <c r="E532" s="1">
        <v>46</v>
      </c>
      <c r="F532" s="1" t="s">
        <v>387</v>
      </c>
      <c r="G532" s="1">
        <v>50</v>
      </c>
      <c r="H532" s="1" t="s">
        <v>387</v>
      </c>
    </row>
    <row r="533" spans="1:8">
      <c r="A533">
        <v>107</v>
      </c>
      <c r="B533" t="s">
        <v>343</v>
      </c>
      <c r="C533">
        <v>24</v>
      </c>
      <c r="D533" t="s">
        <v>208</v>
      </c>
      <c r="E533" s="1">
        <v>47</v>
      </c>
      <c r="F533" s="1" t="s">
        <v>388</v>
      </c>
      <c r="G533" s="1">
        <v>50</v>
      </c>
      <c r="H533" s="1" t="s">
        <v>388</v>
      </c>
    </row>
    <row r="534" spans="1:8">
      <c r="A534">
        <v>107</v>
      </c>
      <c r="B534" t="s">
        <v>343</v>
      </c>
      <c r="C534">
        <v>24</v>
      </c>
      <c r="D534" t="s">
        <v>208</v>
      </c>
      <c r="G534" s="1">
        <v>10</v>
      </c>
    </row>
    <row r="535" spans="1:8">
      <c r="A535">
        <v>107</v>
      </c>
      <c r="B535" t="s">
        <v>343</v>
      </c>
      <c r="C535">
        <v>24</v>
      </c>
      <c r="D535" t="s">
        <v>208</v>
      </c>
      <c r="G535" s="1">
        <v>20</v>
      </c>
    </row>
    <row r="536" spans="1:8">
      <c r="A536">
        <v>107</v>
      </c>
      <c r="B536" t="s">
        <v>343</v>
      </c>
      <c r="C536">
        <v>24</v>
      </c>
      <c r="D536" t="s">
        <v>208</v>
      </c>
      <c r="G536" s="1">
        <v>30</v>
      </c>
    </row>
    <row r="537" spans="1:8">
      <c r="A537">
        <v>107</v>
      </c>
      <c r="B537" t="s">
        <v>343</v>
      </c>
      <c r="C537">
        <v>24</v>
      </c>
      <c r="D537" t="s">
        <v>208</v>
      </c>
      <c r="G537" s="1">
        <v>40</v>
      </c>
    </row>
    <row r="538" spans="1:8">
      <c r="A538">
        <v>107</v>
      </c>
      <c r="B538" t="s">
        <v>343</v>
      </c>
      <c r="C538">
        <v>24</v>
      </c>
      <c r="D538" t="s">
        <v>208</v>
      </c>
      <c r="G538" s="1">
        <v>50</v>
      </c>
    </row>
    <row r="539" spans="1:8">
      <c r="A539">
        <v>107</v>
      </c>
      <c r="B539" t="s">
        <v>343</v>
      </c>
      <c r="C539">
        <v>24</v>
      </c>
      <c r="D539" t="s">
        <v>208</v>
      </c>
      <c r="G539" s="1">
        <v>60</v>
      </c>
    </row>
    <row r="540" spans="1:8">
      <c r="A540">
        <v>107</v>
      </c>
      <c r="B540" t="s">
        <v>343</v>
      </c>
      <c r="C540">
        <v>24</v>
      </c>
      <c r="D540" t="s">
        <v>208</v>
      </c>
      <c r="G540" s="1">
        <v>70</v>
      </c>
    </row>
    <row r="541" spans="1:8">
      <c r="A541">
        <v>107</v>
      </c>
      <c r="B541" t="s">
        <v>343</v>
      </c>
      <c r="C541">
        <v>24</v>
      </c>
      <c r="D541" t="s">
        <v>208</v>
      </c>
      <c r="G541" s="1">
        <v>80</v>
      </c>
    </row>
    <row r="542" spans="1:8">
      <c r="A542">
        <v>107</v>
      </c>
      <c r="B542" t="s">
        <v>343</v>
      </c>
      <c r="C542">
        <v>24</v>
      </c>
      <c r="D542" t="s">
        <v>208</v>
      </c>
      <c r="G542" s="1">
        <v>90</v>
      </c>
    </row>
    <row r="543" spans="1:8">
      <c r="A543">
        <v>107</v>
      </c>
      <c r="B543" t="s">
        <v>343</v>
      </c>
      <c r="C543">
        <v>27</v>
      </c>
      <c r="D543" t="s">
        <v>210</v>
      </c>
      <c r="G543" s="1">
        <v>90</v>
      </c>
    </row>
    <row r="544" spans="1:8">
      <c r="A544">
        <v>107</v>
      </c>
      <c r="B544" t="s">
        <v>343</v>
      </c>
      <c r="C544">
        <v>31</v>
      </c>
      <c r="D544" t="s">
        <v>110</v>
      </c>
      <c r="E544" s="1">
        <v>1</v>
      </c>
      <c r="F544" s="1" t="s">
        <v>333</v>
      </c>
      <c r="G544" s="1">
        <v>2</v>
      </c>
      <c r="H544" s="1" t="s">
        <v>333</v>
      </c>
    </row>
    <row r="545" spans="1:8">
      <c r="A545">
        <v>107</v>
      </c>
      <c r="B545" t="s">
        <v>343</v>
      </c>
      <c r="C545">
        <v>31</v>
      </c>
      <c r="D545" t="s">
        <v>110</v>
      </c>
      <c r="E545" s="1">
        <v>1</v>
      </c>
      <c r="F545" s="1">
        <v>9</v>
      </c>
      <c r="G545" s="1">
        <v>10</v>
      </c>
      <c r="H545" s="1">
        <v>9</v>
      </c>
    </row>
    <row r="546" spans="1:8">
      <c r="A546">
        <v>107</v>
      </c>
      <c r="B546" t="s">
        <v>343</v>
      </c>
      <c r="C546">
        <v>31</v>
      </c>
      <c r="D546" t="s">
        <v>110</v>
      </c>
      <c r="E546" s="1">
        <v>1</v>
      </c>
      <c r="F546" s="1" t="s">
        <v>334</v>
      </c>
      <c r="G546" s="1">
        <v>12</v>
      </c>
      <c r="H546" s="1" t="s">
        <v>334</v>
      </c>
    </row>
    <row r="547" spans="1:8">
      <c r="A547">
        <v>107</v>
      </c>
      <c r="B547" t="s">
        <v>343</v>
      </c>
      <c r="C547">
        <v>31</v>
      </c>
      <c r="D547" t="s">
        <v>110</v>
      </c>
      <c r="E547" s="1">
        <v>1</v>
      </c>
      <c r="F547" s="1">
        <v>10</v>
      </c>
      <c r="G547" s="1">
        <v>20</v>
      </c>
      <c r="H547" s="1">
        <v>10</v>
      </c>
    </row>
    <row r="548" spans="1:8">
      <c r="A548">
        <v>107</v>
      </c>
      <c r="B548" t="s">
        <v>343</v>
      </c>
      <c r="C548">
        <v>31</v>
      </c>
      <c r="D548" t="s">
        <v>110</v>
      </c>
      <c r="E548" s="1">
        <v>1</v>
      </c>
      <c r="F548" s="1" t="s">
        <v>335</v>
      </c>
      <c r="G548" s="1">
        <v>22</v>
      </c>
      <c r="H548" s="1" t="s">
        <v>335</v>
      </c>
    </row>
    <row r="549" spans="1:8">
      <c r="A549">
        <v>107</v>
      </c>
      <c r="B549" t="s">
        <v>343</v>
      </c>
      <c r="C549">
        <v>31</v>
      </c>
      <c r="D549" t="s">
        <v>110</v>
      </c>
      <c r="E549" s="1">
        <v>1</v>
      </c>
      <c r="F549" s="1">
        <v>11</v>
      </c>
      <c r="G549" s="1">
        <v>30</v>
      </c>
      <c r="H549" s="1">
        <v>11</v>
      </c>
    </row>
    <row r="550" spans="1:8">
      <c r="A550">
        <v>107</v>
      </c>
      <c r="B550" t="s">
        <v>343</v>
      </c>
      <c r="C550">
        <v>31</v>
      </c>
      <c r="D550" t="s">
        <v>110</v>
      </c>
      <c r="E550" s="1">
        <v>1</v>
      </c>
      <c r="F550" s="1" t="s">
        <v>389</v>
      </c>
      <c r="G550" s="1">
        <v>32</v>
      </c>
      <c r="H550" s="1" t="s">
        <v>389</v>
      </c>
    </row>
    <row r="551" spans="1:8">
      <c r="A551">
        <v>107</v>
      </c>
      <c r="B551" t="s">
        <v>343</v>
      </c>
      <c r="C551">
        <v>31</v>
      </c>
      <c r="D551" t="s">
        <v>110</v>
      </c>
      <c r="E551" s="1">
        <v>1</v>
      </c>
      <c r="F551" s="1">
        <v>12</v>
      </c>
      <c r="G551" s="1">
        <v>40</v>
      </c>
      <c r="H551" s="1">
        <v>12</v>
      </c>
    </row>
    <row r="552" spans="1:8">
      <c r="A552">
        <v>107</v>
      </c>
      <c r="B552" t="s">
        <v>343</v>
      </c>
      <c r="C552">
        <v>31</v>
      </c>
      <c r="D552" t="s">
        <v>110</v>
      </c>
      <c r="E552" s="1">
        <v>1</v>
      </c>
      <c r="F552" s="1" t="s">
        <v>141</v>
      </c>
      <c r="G552" s="1">
        <v>42</v>
      </c>
      <c r="H552" s="1" t="s">
        <v>141</v>
      </c>
    </row>
    <row r="553" spans="1:8">
      <c r="A553">
        <v>107</v>
      </c>
      <c r="B553" t="s">
        <v>343</v>
      </c>
      <c r="C553">
        <v>31</v>
      </c>
      <c r="D553" t="s">
        <v>110</v>
      </c>
      <c r="E553" s="1">
        <v>1</v>
      </c>
      <c r="F553" s="1">
        <v>8</v>
      </c>
      <c r="H553" s="1">
        <v>8</v>
      </c>
    </row>
    <row r="554" spans="1:8">
      <c r="A554">
        <v>107</v>
      </c>
      <c r="B554" t="s">
        <v>343</v>
      </c>
      <c r="C554">
        <v>31</v>
      </c>
      <c r="D554" t="s">
        <v>110</v>
      </c>
      <c r="E554" s="1">
        <v>2</v>
      </c>
      <c r="F554" s="1" t="s">
        <v>390</v>
      </c>
      <c r="G554" s="1">
        <v>40</v>
      </c>
      <c r="H554" s="1" t="s">
        <v>390</v>
      </c>
    </row>
    <row r="555" spans="1:8">
      <c r="A555">
        <v>107</v>
      </c>
      <c r="B555" t="s">
        <v>343</v>
      </c>
      <c r="C555">
        <v>31</v>
      </c>
      <c r="D555" t="s">
        <v>110</v>
      </c>
      <c r="E555" s="1">
        <v>2</v>
      </c>
      <c r="F555" s="1" t="s">
        <v>391</v>
      </c>
      <c r="G555" s="1">
        <v>50</v>
      </c>
      <c r="H555" s="1" t="s">
        <v>391</v>
      </c>
    </row>
    <row r="556" spans="1:8">
      <c r="A556">
        <v>107</v>
      </c>
      <c r="B556" t="s">
        <v>343</v>
      </c>
      <c r="C556">
        <v>31</v>
      </c>
      <c r="D556" t="s">
        <v>110</v>
      </c>
      <c r="E556" s="1">
        <v>2</v>
      </c>
      <c r="F556" s="1" t="s">
        <v>392</v>
      </c>
      <c r="G556" s="1">
        <v>60</v>
      </c>
      <c r="H556" s="1" t="s">
        <v>392</v>
      </c>
    </row>
    <row r="557" spans="1:8">
      <c r="A557">
        <v>107</v>
      </c>
      <c r="B557" t="s">
        <v>343</v>
      </c>
      <c r="C557">
        <v>31</v>
      </c>
      <c r="D557" t="s">
        <v>110</v>
      </c>
      <c r="G557" s="1">
        <v>70</v>
      </c>
    </row>
    <row r="558" spans="1:8">
      <c r="A558">
        <v>107</v>
      </c>
      <c r="B558" t="s">
        <v>343</v>
      </c>
      <c r="C558">
        <v>31</v>
      </c>
      <c r="D558" t="s">
        <v>110</v>
      </c>
      <c r="G558" s="1">
        <v>75</v>
      </c>
    </row>
    <row r="559" spans="1:8">
      <c r="A559">
        <v>107</v>
      </c>
      <c r="B559" t="s">
        <v>343</v>
      </c>
      <c r="C559">
        <v>31</v>
      </c>
      <c r="D559" t="s">
        <v>110</v>
      </c>
      <c r="G559" s="1">
        <v>80</v>
      </c>
    </row>
    <row r="560" spans="1:8">
      <c r="A560">
        <v>107</v>
      </c>
      <c r="B560" t="s">
        <v>343</v>
      </c>
      <c r="C560">
        <v>31</v>
      </c>
      <c r="D560" t="s">
        <v>110</v>
      </c>
      <c r="G560" s="1">
        <v>85</v>
      </c>
    </row>
    <row r="561" spans="1:8">
      <c r="A561">
        <v>107</v>
      </c>
      <c r="B561" t="s">
        <v>343</v>
      </c>
      <c r="C561">
        <v>31</v>
      </c>
      <c r="D561" t="s">
        <v>110</v>
      </c>
      <c r="G561" s="1">
        <v>90</v>
      </c>
    </row>
    <row r="562" spans="1:8">
      <c r="A562">
        <v>107</v>
      </c>
      <c r="B562" t="s">
        <v>343</v>
      </c>
      <c r="C562">
        <v>31</v>
      </c>
      <c r="D562" t="s">
        <v>110</v>
      </c>
      <c r="G562" s="1">
        <v>91</v>
      </c>
    </row>
    <row r="563" spans="1:8">
      <c r="A563">
        <v>107</v>
      </c>
      <c r="B563" t="s">
        <v>343</v>
      </c>
      <c r="C563">
        <v>31</v>
      </c>
      <c r="D563" t="s">
        <v>110</v>
      </c>
      <c r="G563" s="1">
        <v>95</v>
      </c>
    </row>
    <row r="564" spans="1:8">
      <c r="A564">
        <v>107</v>
      </c>
      <c r="B564" t="s">
        <v>343</v>
      </c>
      <c r="C564">
        <v>31</v>
      </c>
      <c r="D564" t="s">
        <v>110</v>
      </c>
      <c r="G564" s="1">
        <v>96</v>
      </c>
    </row>
    <row r="565" spans="1:8">
      <c r="A565">
        <v>107</v>
      </c>
      <c r="B565" t="s">
        <v>343</v>
      </c>
      <c r="C565">
        <v>32</v>
      </c>
      <c r="D565" t="s">
        <v>212</v>
      </c>
      <c r="E565" s="1">
        <v>1</v>
      </c>
      <c r="F565" s="1" t="s">
        <v>333</v>
      </c>
      <c r="G565" s="1">
        <v>2</v>
      </c>
      <c r="H565" s="1" t="s">
        <v>333</v>
      </c>
    </row>
    <row r="566" spans="1:8">
      <c r="A566">
        <v>107</v>
      </c>
      <c r="B566" t="s">
        <v>343</v>
      </c>
      <c r="C566">
        <v>32</v>
      </c>
      <c r="D566" t="s">
        <v>212</v>
      </c>
      <c r="G566" s="1">
        <v>92</v>
      </c>
    </row>
    <row r="567" spans="1:8">
      <c r="A567">
        <v>107</v>
      </c>
      <c r="B567" t="s">
        <v>343</v>
      </c>
      <c r="C567">
        <v>32</v>
      </c>
      <c r="D567" t="s">
        <v>212</v>
      </c>
      <c r="G567" s="1">
        <v>96</v>
      </c>
    </row>
    <row r="568" spans="1:8">
      <c r="A568">
        <v>107</v>
      </c>
      <c r="B568" t="s">
        <v>343</v>
      </c>
      <c r="C568">
        <v>33</v>
      </c>
      <c r="D568" t="s">
        <v>213</v>
      </c>
      <c r="E568" s="1">
        <v>1</v>
      </c>
      <c r="F568" s="1" t="s">
        <v>323</v>
      </c>
      <c r="G568" s="1">
        <v>2</v>
      </c>
      <c r="H568" s="1" t="s">
        <v>323</v>
      </c>
    </row>
    <row r="569" spans="1:8">
      <c r="A569">
        <v>107</v>
      </c>
      <c r="B569" t="s">
        <v>343</v>
      </c>
      <c r="C569">
        <v>33</v>
      </c>
      <c r="D569" t="s">
        <v>213</v>
      </c>
      <c r="E569" s="1">
        <v>1</v>
      </c>
      <c r="F569" s="1" t="s">
        <v>332</v>
      </c>
      <c r="G569" s="1">
        <v>10</v>
      </c>
      <c r="H569" s="1" t="s">
        <v>332</v>
      </c>
    </row>
    <row r="570" spans="1:8">
      <c r="A570">
        <v>107</v>
      </c>
      <c r="B570" t="s">
        <v>343</v>
      </c>
      <c r="C570">
        <v>33</v>
      </c>
      <c r="D570" t="s">
        <v>213</v>
      </c>
      <c r="E570" s="1">
        <v>1</v>
      </c>
      <c r="F570" s="1" t="s">
        <v>330</v>
      </c>
      <c r="G570" s="1">
        <v>12</v>
      </c>
      <c r="H570" s="1" t="s">
        <v>330</v>
      </c>
    </row>
    <row r="571" spans="1:8">
      <c r="A571">
        <v>107</v>
      </c>
      <c r="B571" t="s">
        <v>343</v>
      </c>
      <c r="C571">
        <v>33</v>
      </c>
      <c r="D571" t="s">
        <v>213</v>
      </c>
      <c r="E571" s="1">
        <v>1</v>
      </c>
      <c r="F571" s="1" t="s">
        <v>331</v>
      </c>
      <c r="G571" s="1">
        <v>20</v>
      </c>
      <c r="H571" s="1" t="s">
        <v>331</v>
      </c>
    </row>
    <row r="572" spans="1:8">
      <c r="A572">
        <v>107</v>
      </c>
      <c r="B572" t="s">
        <v>343</v>
      </c>
      <c r="C572">
        <v>33</v>
      </c>
      <c r="D572" t="s">
        <v>213</v>
      </c>
      <c r="E572" s="1">
        <v>1</v>
      </c>
      <c r="F572" s="1" t="s">
        <v>287</v>
      </c>
      <c r="G572" s="1">
        <v>22</v>
      </c>
      <c r="H572" s="1" t="s">
        <v>287</v>
      </c>
    </row>
    <row r="573" spans="1:8">
      <c r="A573">
        <v>107</v>
      </c>
      <c r="B573" t="s">
        <v>343</v>
      </c>
      <c r="C573">
        <v>33</v>
      </c>
      <c r="D573" t="s">
        <v>213</v>
      </c>
      <c r="E573" s="1">
        <v>1</v>
      </c>
      <c r="F573" s="1" t="s">
        <v>288</v>
      </c>
      <c r="G573" s="1">
        <v>32</v>
      </c>
      <c r="H573" s="1" t="s">
        <v>288</v>
      </c>
    </row>
    <row r="574" spans="1:8">
      <c r="A574">
        <v>107</v>
      </c>
      <c r="B574" t="s">
        <v>343</v>
      </c>
      <c r="C574">
        <v>33</v>
      </c>
      <c r="D574" t="s">
        <v>213</v>
      </c>
      <c r="E574" s="1">
        <v>1</v>
      </c>
      <c r="F574" s="1" t="s">
        <v>329</v>
      </c>
      <c r="H574" s="1" t="s">
        <v>329</v>
      </c>
    </row>
    <row r="575" spans="1:8">
      <c r="A575">
        <v>107</v>
      </c>
      <c r="B575" t="s">
        <v>343</v>
      </c>
      <c r="C575">
        <v>33</v>
      </c>
      <c r="D575" t="s">
        <v>213</v>
      </c>
      <c r="G575" s="1">
        <v>32</v>
      </c>
    </row>
    <row r="576" spans="1:8">
      <c r="A576">
        <v>107</v>
      </c>
      <c r="B576" t="s">
        <v>343</v>
      </c>
      <c r="C576">
        <v>33</v>
      </c>
      <c r="D576" t="s">
        <v>213</v>
      </c>
      <c r="G576" s="1">
        <v>42</v>
      </c>
    </row>
    <row r="577" spans="1:8">
      <c r="A577">
        <v>107</v>
      </c>
      <c r="B577" t="s">
        <v>343</v>
      </c>
      <c r="C577">
        <v>33</v>
      </c>
      <c r="D577" t="s">
        <v>213</v>
      </c>
      <c r="G577" s="1">
        <v>50</v>
      </c>
    </row>
    <row r="578" spans="1:8">
      <c r="A578">
        <v>107</v>
      </c>
      <c r="B578" t="s">
        <v>343</v>
      </c>
      <c r="C578">
        <v>33</v>
      </c>
      <c r="D578" t="s">
        <v>213</v>
      </c>
      <c r="G578" s="1">
        <v>52</v>
      </c>
    </row>
    <row r="579" spans="1:8">
      <c r="A579">
        <v>107</v>
      </c>
      <c r="B579" t="s">
        <v>343</v>
      </c>
      <c r="C579">
        <v>33</v>
      </c>
      <c r="D579" t="s">
        <v>213</v>
      </c>
      <c r="G579" s="1">
        <v>60</v>
      </c>
    </row>
    <row r="580" spans="1:8">
      <c r="A580">
        <v>107</v>
      </c>
      <c r="B580" t="s">
        <v>343</v>
      </c>
      <c r="C580">
        <v>33</v>
      </c>
      <c r="D580" t="s">
        <v>213</v>
      </c>
      <c r="G580" s="1">
        <v>62</v>
      </c>
    </row>
    <row r="581" spans="1:8">
      <c r="A581">
        <v>107</v>
      </c>
      <c r="B581" t="s">
        <v>343</v>
      </c>
      <c r="C581">
        <v>33</v>
      </c>
      <c r="D581" t="s">
        <v>213</v>
      </c>
      <c r="G581" s="1">
        <v>70</v>
      </c>
    </row>
    <row r="582" spans="1:8">
      <c r="A582">
        <v>107</v>
      </c>
      <c r="B582" t="s">
        <v>343</v>
      </c>
      <c r="C582">
        <v>33</v>
      </c>
      <c r="D582" t="s">
        <v>213</v>
      </c>
      <c r="G582" s="1">
        <v>72</v>
      </c>
    </row>
    <row r="583" spans="1:8">
      <c r="A583">
        <v>107</v>
      </c>
      <c r="B583" t="s">
        <v>343</v>
      </c>
      <c r="C583">
        <v>33</v>
      </c>
      <c r="D583" t="s">
        <v>213</v>
      </c>
      <c r="G583" s="1">
        <v>80</v>
      </c>
    </row>
    <row r="584" spans="1:8">
      <c r="A584">
        <v>107</v>
      </c>
      <c r="B584" t="s">
        <v>343</v>
      </c>
      <c r="C584">
        <v>33</v>
      </c>
      <c r="D584" t="s">
        <v>213</v>
      </c>
      <c r="G584" s="1">
        <v>82</v>
      </c>
    </row>
    <row r="585" spans="1:8">
      <c r="A585">
        <v>107</v>
      </c>
      <c r="B585" t="s">
        <v>343</v>
      </c>
      <c r="C585">
        <v>33</v>
      </c>
      <c r="D585" t="s">
        <v>213</v>
      </c>
      <c r="G585" s="1">
        <v>90</v>
      </c>
    </row>
    <row r="586" spans="1:8">
      <c r="A586">
        <v>107</v>
      </c>
      <c r="B586" t="s">
        <v>343</v>
      </c>
      <c r="C586">
        <v>33</v>
      </c>
      <c r="D586" t="s">
        <v>213</v>
      </c>
      <c r="G586" s="1">
        <v>92</v>
      </c>
    </row>
    <row r="587" spans="1:8">
      <c r="A587">
        <v>107</v>
      </c>
      <c r="B587" t="s">
        <v>343</v>
      </c>
      <c r="C587">
        <v>34</v>
      </c>
      <c r="D587" t="s">
        <v>393</v>
      </c>
      <c r="E587" s="1">
        <v>1</v>
      </c>
      <c r="F587" s="1" t="s">
        <v>394</v>
      </c>
      <c r="G587" s="1">
        <v>2</v>
      </c>
      <c r="H587" s="1" t="s">
        <v>394</v>
      </c>
    </row>
    <row r="588" spans="1:8">
      <c r="A588">
        <v>107</v>
      </c>
      <c r="B588" t="s">
        <v>343</v>
      </c>
      <c r="C588">
        <v>34</v>
      </c>
      <c r="D588" t="s">
        <v>393</v>
      </c>
      <c r="E588" s="1">
        <v>1</v>
      </c>
      <c r="F588" s="1" t="s">
        <v>328</v>
      </c>
      <c r="G588" s="1">
        <v>10</v>
      </c>
      <c r="H588" s="1" t="s">
        <v>328</v>
      </c>
    </row>
    <row r="589" spans="1:8">
      <c r="A589">
        <v>107</v>
      </c>
      <c r="B589" t="s">
        <v>343</v>
      </c>
      <c r="C589">
        <v>34</v>
      </c>
      <c r="D589" t="s">
        <v>393</v>
      </c>
      <c r="E589" s="1">
        <v>1</v>
      </c>
      <c r="F589" s="1" t="s">
        <v>395</v>
      </c>
      <c r="G589" s="1">
        <v>12</v>
      </c>
      <c r="H589" s="1" t="s">
        <v>395</v>
      </c>
    </row>
    <row r="590" spans="1:8">
      <c r="A590">
        <v>107</v>
      </c>
      <c r="B590" t="s">
        <v>343</v>
      </c>
      <c r="C590">
        <v>34</v>
      </c>
      <c r="D590" t="s">
        <v>393</v>
      </c>
      <c r="E590" s="1">
        <v>1</v>
      </c>
      <c r="F590" s="1" t="s">
        <v>329</v>
      </c>
      <c r="G590" s="1">
        <v>20</v>
      </c>
      <c r="H590" s="1" t="s">
        <v>329</v>
      </c>
    </row>
    <row r="591" spans="1:8">
      <c r="A591">
        <v>107</v>
      </c>
      <c r="B591" t="s">
        <v>343</v>
      </c>
      <c r="C591">
        <v>34</v>
      </c>
      <c r="D591" t="s">
        <v>393</v>
      </c>
      <c r="E591" s="1">
        <v>1</v>
      </c>
      <c r="F591" s="1" t="s">
        <v>323</v>
      </c>
      <c r="G591" s="1">
        <v>22</v>
      </c>
      <c r="H591" s="1" t="s">
        <v>323</v>
      </c>
    </row>
    <row r="592" spans="1:8">
      <c r="A592">
        <v>107</v>
      </c>
      <c r="B592" t="s">
        <v>343</v>
      </c>
      <c r="C592">
        <v>34</v>
      </c>
      <c r="D592" t="s">
        <v>393</v>
      </c>
      <c r="E592" s="1">
        <v>1</v>
      </c>
      <c r="F592" s="1" t="s">
        <v>332</v>
      </c>
      <c r="G592" s="1">
        <v>30</v>
      </c>
      <c r="H592" s="1" t="s">
        <v>332</v>
      </c>
    </row>
    <row r="593" spans="1:8">
      <c r="A593">
        <v>107</v>
      </c>
      <c r="B593" t="s">
        <v>343</v>
      </c>
      <c r="C593">
        <v>34</v>
      </c>
      <c r="D593" t="s">
        <v>393</v>
      </c>
      <c r="E593" s="1">
        <v>1</v>
      </c>
      <c r="F593" s="1" t="s">
        <v>330</v>
      </c>
      <c r="G593" s="1">
        <v>32</v>
      </c>
      <c r="H593" s="1" t="s">
        <v>330</v>
      </c>
    </row>
    <row r="594" spans="1:8">
      <c r="A594">
        <v>107</v>
      </c>
      <c r="B594" t="s">
        <v>343</v>
      </c>
      <c r="C594">
        <v>34</v>
      </c>
      <c r="D594" t="s">
        <v>393</v>
      </c>
      <c r="E594" s="1">
        <v>1</v>
      </c>
      <c r="F594" s="1" t="s">
        <v>331</v>
      </c>
      <c r="G594" s="1">
        <v>40</v>
      </c>
      <c r="H594" s="1" t="s">
        <v>331</v>
      </c>
    </row>
    <row r="595" spans="1:8">
      <c r="A595">
        <v>107</v>
      </c>
      <c r="B595" t="s">
        <v>343</v>
      </c>
      <c r="C595">
        <v>34</v>
      </c>
      <c r="D595" t="s">
        <v>393</v>
      </c>
      <c r="E595" s="1">
        <v>1</v>
      </c>
      <c r="F595" s="1" t="s">
        <v>287</v>
      </c>
      <c r="G595" s="1">
        <v>42</v>
      </c>
      <c r="H595" s="1" t="s">
        <v>287</v>
      </c>
    </row>
    <row r="596" spans="1:8">
      <c r="A596">
        <v>107</v>
      </c>
      <c r="B596" t="s">
        <v>343</v>
      </c>
      <c r="C596">
        <v>34</v>
      </c>
      <c r="D596" t="s">
        <v>393</v>
      </c>
      <c r="E596" s="1">
        <v>1</v>
      </c>
      <c r="F596" s="1" t="s">
        <v>347</v>
      </c>
      <c r="H596" s="1" t="s">
        <v>347</v>
      </c>
    </row>
    <row r="597" spans="1:8">
      <c r="A597">
        <v>107</v>
      </c>
      <c r="B597" t="s">
        <v>343</v>
      </c>
      <c r="C597">
        <v>34</v>
      </c>
      <c r="D597" t="s">
        <v>393</v>
      </c>
      <c r="G597" s="1">
        <v>40</v>
      </c>
    </row>
    <row r="598" spans="1:8">
      <c r="A598">
        <v>107</v>
      </c>
      <c r="B598" t="s">
        <v>343</v>
      </c>
      <c r="C598">
        <v>34</v>
      </c>
      <c r="D598" t="s">
        <v>393</v>
      </c>
      <c r="G598" s="1">
        <v>80</v>
      </c>
    </row>
    <row r="599" spans="1:8">
      <c r="A599">
        <v>107</v>
      </c>
      <c r="B599" t="s">
        <v>343</v>
      </c>
      <c r="C599">
        <v>34</v>
      </c>
      <c r="D599" t="s">
        <v>393</v>
      </c>
      <c r="G599" s="1">
        <v>90</v>
      </c>
    </row>
    <row r="600" spans="1:8">
      <c r="A600">
        <v>107</v>
      </c>
      <c r="B600" t="s">
        <v>343</v>
      </c>
      <c r="C600">
        <v>34</v>
      </c>
      <c r="D600" t="s">
        <v>393</v>
      </c>
      <c r="G600" s="1">
        <v>92</v>
      </c>
    </row>
    <row r="601" spans="1:8">
      <c r="A601">
        <v>107</v>
      </c>
      <c r="B601" t="s">
        <v>343</v>
      </c>
      <c r="C601">
        <v>38</v>
      </c>
      <c r="D601" t="s">
        <v>217</v>
      </c>
      <c r="E601" s="1">
        <v>1</v>
      </c>
      <c r="F601" s="1" t="s">
        <v>396</v>
      </c>
      <c r="G601" s="1">
        <v>20</v>
      </c>
      <c r="H601" s="1" t="s">
        <v>396</v>
      </c>
    </row>
    <row r="602" spans="1:8">
      <c r="A602">
        <v>107</v>
      </c>
      <c r="B602" t="s">
        <v>343</v>
      </c>
      <c r="C602">
        <v>38</v>
      </c>
      <c r="D602" t="s">
        <v>217</v>
      </c>
      <c r="E602" s="1">
        <v>1</v>
      </c>
      <c r="F602" s="1" t="s">
        <v>397</v>
      </c>
      <c r="G602" s="1">
        <v>30</v>
      </c>
      <c r="H602" s="1" t="s">
        <v>397</v>
      </c>
    </row>
    <row r="603" spans="1:8">
      <c r="A603">
        <v>107</v>
      </c>
      <c r="B603" t="s">
        <v>343</v>
      </c>
      <c r="C603">
        <v>38</v>
      </c>
      <c r="D603" t="s">
        <v>217</v>
      </c>
      <c r="E603" s="1">
        <v>1</v>
      </c>
      <c r="F603" s="1" t="s">
        <v>398</v>
      </c>
      <c r="G603" s="1">
        <v>40</v>
      </c>
      <c r="H603" s="1" t="s">
        <v>398</v>
      </c>
    </row>
    <row r="604" spans="1:8">
      <c r="A604">
        <v>107</v>
      </c>
      <c r="B604" t="s">
        <v>343</v>
      </c>
      <c r="C604">
        <v>38</v>
      </c>
      <c r="D604" t="s">
        <v>217</v>
      </c>
      <c r="E604" s="1">
        <v>1</v>
      </c>
      <c r="F604" s="1" t="s">
        <v>399</v>
      </c>
      <c r="G604" s="1">
        <v>50</v>
      </c>
      <c r="H604" s="1" t="s">
        <v>399</v>
      </c>
    </row>
    <row r="605" spans="1:8">
      <c r="A605">
        <v>107</v>
      </c>
      <c r="B605" t="s">
        <v>343</v>
      </c>
      <c r="C605">
        <v>38</v>
      </c>
      <c r="D605" t="s">
        <v>217</v>
      </c>
      <c r="E605" s="1">
        <v>1</v>
      </c>
      <c r="F605" s="1" t="s">
        <v>400</v>
      </c>
      <c r="G605" s="1">
        <v>70</v>
      </c>
      <c r="H605" s="1" t="s">
        <v>400</v>
      </c>
    </row>
    <row r="606" spans="1:8">
      <c r="A606">
        <v>107</v>
      </c>
      <c r="B606" t="s">
        <v>343</v>
      </c>
      <c r="C606">
        <v>38</v>
      </c>
      <c r="D606" t="s">
        <v>217</v>
      </c>
      <c r="E606" s="1">
        <v>2</v>
      </c>
      <c r="F606" s="1" t="s">
        <v>401</v>
      </c>
      <c r="G606" s="1">
        <v>20</v>
      </c>
      <c r="H606" s="1" t="s">
        <v>401</v>
      </c>
    </row>
    <row r="607" spans="1:8">
      <c r="A607">
        <v>107</v>
      </c>
      <c r="B607" t="s">
        <v>343</v>
      </c>
      <c r="C607">
        <v>38</v>
      </c>
      <c r="D607" t="s">
        <v>217</v>
      </c>
      <c r="E607" s="1">
        <v>2</v>
      </c>
      <c r="F607" s="1" t="s">
        <v>402</v>
      </c>
      <c r="G607" s="1">
        <v>30</v>
      </c>
      <c r="H607" s="1" t="s">
        <v>402</v>
      </c>
    </row>
    <row r="608" spans="1:8">
      <c r="A608">
        <v>107</v>
      </c>
      <c r="B608" t="s">
        <v>343</v>
      </c>
      <c r="C608">
        <v>38</v>
      </c>
      <c r="D608" t="s">
        <v>217</v>
      </c>
      <c r="E608" s="1">
        <v>2</v>
      </c>
      <c r="F608" s="1" t="s">
        <v>403</v>
      </c>
      <c r="G608" s="1">
        <v>40</v>
      </c>
      <c r="H608" s="1" t="s">
        <v>403</v>
      </c>
    </row>
    <row r="609" spans="1:8">
      <c r="A609">
        <v>107</v>
      </c>
      <c r="B609" t="s">
        <v>343</v>
      </c>
      <c r="C609">
        <v>38</v>
      </c>
      <c r="D609" t="s">
        <v>217</v>
      </c>
      <c r="E609" s="1">
        <v>2</v>
      </c>
      <c r="F609" s="1" t="s">
        <v>404</v>
      </c>
      <c r="G609" s="1">
        <v>50</v>
      </c>
      <c r="H609" s="1" t="s">
        <v>404</v>
      </c>
    </row>
    <row r="610" spans="1:8">
      <c r="A610">
        <v>107</v>
      </c>
      <c r="B610" t="s">
        <v>343</v>
      </c>
      <c r="C610">
        <v>38</v>
      </c>
      <c r="D610" t="s">
        <v>217</v>
      </c>
      <c r="E610" s="1">
        <v>2</v>
      </c>
      <c r="F610" s="1" t="s">
        <v>405</v>
      </c>
      <c r="G610" s="1">
        <v>60</v>
      </c>
      <c r="H610" s="1" t="s">
        <v>405</v>
      </c>
    </row>
    <row r="611" spans="1:8">
      <c r="A611">
        <v>107</v>
      </c>
      <c r="B611" t="s">
        <v>343</v>
      </c>
      <c r="C611">
        <v>38</v>
      </c>
      <c r="D611" t="s">
        <v>217</v>
      </c>
      <c r="E611" s="1">
        <v>2</v>
      </c>
      <c r="F611" s="1" t="s">
        <v>406</v>
      </c>
      <c r="G611" s="1">
        <v>70</v>
      </c>
      <c r="H611" s="1" t="s">
        <v>406</v>
      </c>
    </row>
    <row r="612" spans="1:8">
      <c r="A612">
        <v>107</v>
      </c>
      <c r="B612" t="s">
        <v>343</v>
      </c>
      <c r="C612">
        <v>38</v>
      </c>
      <c r="D612" t="s">
        <v>217</v>
      </c>
      <c r="E612" s="1">
        <v>2</v>
      </c>
      <c r="F612" s="1" t="s">
        <v>407</v>
      </c>
      <c r="G612" s="1">
        <v>80</v>
      </c>
      <c r="H612" s="1" t="s">
        <v>407</v>
      </c>
    </row>
    <row r="613" spans="1:8">
      <c r="A613">
        <v>107</v>
      </c>
      <c r="B613" t="s">
        <v>343</v>
      </c>
      <c r="C613">
        <v>38</v>
      </c>
      <c r="D613" t="s">
        <v>217</v>
      </c>
      <c r="E613" s="1">
        <v>2</v>
      </c>
      <c r="F613" s="1" t="s">
        <v>408</v>
      </c>
      <c r="G613" s="1">
        <v>90</v>
      </c>
      <c r="H613" s="1" t="s">
        <v>408</v>
      </c>
    </row>
    <row r="614" spans="1:8">
      <c r="A614">
        <v>107</v>
      </c>
      <c r="B614" t="s">
        <v>343</v>
      </c>
      <c r="C614">
        <v>38</v>
      </c>
      <c r="D614" t="s">
        <v>217</v>
      </c>
      <c r="E614" s="1">
        <v>4</v>
      </c>
      <c r="F614" s="1" t="s">
        <v>409</v>
      </c>
      <c r="G614" s="1">
        <v>20</v>
      </c>
      <c r="H614" s="1" t="s">
        <v>409</v>
      </c>
    </row>
    <row r="615" spans="1:8">
      <c r="A615">
        <v>107</v>
      </c>
      <c r="B615" t="s">
        <v>343</v>
      </c>
      <c r="C615">
        <v>38</v>
      </c>
      <c r="D615" t="s">
        <v>217</v>
      </c>
      <c r="E615" s="1">
        <v>4</v>
      </c>
      <c r="F615" s="1" t="s">
        <v>410</v>
      </c>
      <c r="G615" s="1">
        <v>30</v>
      </c>
      <c r="H615" s="1" t="s">
        <v>410</v>
      </c>
    </row>
    <row r="616" spans="1:8">
      <c r="A616">
        <v>107</v>
      </c>
      <c r="B616" t="s">
        <v>343</v>
      </c>
      <c r="C616">
        <v>38</v>
      </c>
      <c r="D616" t="s">
        <v>217</v>
      </c>
      <c r="E616" s="1">
        <v>4</v>
      </c>
      <c r="F616" s="1" t="s">
        <v>411</v>
      </c>
      <c r="G616" s="1">
        <v>40</v>
      </c>
      <c r="H616" s="1" t="s">
        <v>411</v>
      </c>
    </row>
    <row r="617" spans="1:8">
      <c r="A617">
        <v>107</v>
      </c>
      <c r="B617" t="s">
        <v>343</v>
      </c>
      <c r="C617">
        <v>38</v>
      </c>
      <c r="D617" t="s">
        <v>217</v>
      </c>
      <c r="E617" s="1">
        <v>4</v>
      </c>
      <c r="F617" s="1" t="s">
        <v>412</v>
      </c>
      <c r="G617" s="1">
        <v>50</v>
      </c>
      <c r="H617" s="1" t="s">
        <v>412</v>
      </c>
    </row>
    <row r="618" spans="1:8">
      <c r="A618">
        <v>107</v>
      </c>
      <c r="B618" t="s">
        <v>343</v>
      </c>
      <c r="C618">
        <v>38</v>
      </c>
      <c r="D618" t="s">
        <v>217</v>
      </c>
      <c r="E618" s="1">
        <v>4</v>
      </c>
      <c r="F618" s="1" t="s">
        <v>294</v>
      </c>
      <c r="G618" s="1">
        <v>60</v>
      </c>
      <c r="H618" s="1" t="s">
        <v>294</v>
      </c>
    </row>
    <row r="619" spans="1:8">
      <c r="A619">
        <v>107</v>
      </c>
      <c r="B619" t="s">
        <v>343</v>
      </c>
      <c r="C619">
        <v>38</v>
      </c>
      <c r="D619" t="s">
        <v>217</v>
      </c>
      <c r="E619" s="1">
        <v>4</v>
      </c>
      <c r="F619" s="1" t="s">
        <v>413</v>
      </c>
      <c r="G619" s="1">
        <v>70</v>
      </c>
      <c r="H619" s="1" t="s">
        <v>413</v>
      </c>
    </row>
    <row r="620" spans="1:8">
      <c r="A620">
        <v>107</v>
      </c>
      <c r="B620" t="s">
        <v>343</v>
      </c>
      <c r="C620">
        <v>38</v>
      </c>
      <c r="D620" t="s">
        <v>217</v>
      </c>
      <c r="E620" s="1">
        <v>4</v>
      </c>
      <c r="F620" s="1" t="s">
        <v>414</v>
      </c>
      <c r="G620" s="1">
        <v>80</v>
      </c>
      <c r="H620" s="1" t="s">
        <v>414</v>
      </c>
    </row>
    <row r="621" spans="1:8">
      <c r="A621">
        <v>107</v>
      </c>
      <c r="B621" t="s">
        <v>343</v>
      </c>
      <c r="C621">
        <v>38</v>
      </c>
      <c r="D621" t="s">
        <v>217</v>
      </c>
      <c r="E621" s="1">
        <v>4</v>
      </c>
      <c r="F621" s="1" t="s">
        <v>415</v>
      </c>
      <c r="G621" s="1">
        <v>90</v>
      </c>
      <c r="H621" s="1" t="s">
        <v>415</v>
      </c>
    </row>
    <row r="622" spans="1:8">
      <c r="A622">
        <v>107</v>
      </c>
      <c r="B622" t="s">
        <v>343</v>
      </c>
      <c r="C622">
        <v>38</v>
      </c>
      <c r="D622" t="s">
        <v>217</v>
      </c>
      <c r="E622" s="1">
        <v>6</v>
      </c>
      <c r="F622" s="1" t="s">
        <v>416</v>
      </c>
      <c r="G622" s="1">
        <v>30</v>
      </c>
      <c r="H622" s="1" t="s">
        <v>416</v>
      </c>
    </row>
    <row r="623" spans="1:8">
      <c r="A623">
        <v>107</v>
      </c>
      <c r="B623" t="s">
        <v>343</v>
      </c>
      <c r="C623">
        <v>38</v>
      </c>
      <c r="D623" t="s">
        <v>217</v>
      </c>
      <c r="E623" s="1">
        <v>6</v>
      </c>
      <c r="F623" s="1" t="s">
        <v>417</v>
      </c>
      <c r="G623" s="1">
        <v>40</v>
      </c>
      <c r="H623" s="1" t="s">
        <v>417</v>
      </c>
    </row>
    <row r="624" spans="1:8">
      <c r="A624">
        <v>107</v>
      </c>
      <c r="B624" t="s">
        <v>343</v>
      </c>
      <c r="C624">
        <v>38</v>
      </c>
      <c r="D624" t="s">
        <v>217</v>
      </c>
      <c r="E624" s="1">
        <v>6</v>
      </c>
      <c r="F624" s="1" t="s">
        <v>418</v>
      </c>
      <c r="G624" s="1">
        <v>50</v>
      </c>
      <c r="H624" s="1" t="s">
        <v>418</v>
      </c>
    </row>
    <row r="625" spans="1:8">
      <c r="A625">
        <v>107</v>
      </c>
      <c r="B625" t="s">
        <v>343</v>
      </c>
      <c r="C625">
        <v>38</v>
      </c>
      <c r="D625" t="s">
        <v>217</v>
      </c>
      <c r="E625" s="1">
        <v>6</v>
      </c>
      <c r="F625" s="1" t="s">
        <v>419</v>
      </c>
      <c r="G625" s="1">
        <v>60</v>
      </c>
      <c r="H625" s="1" t="s">
        <v>419</v>
      </c>
    </row>
    <row r="626" spans="1:8">
      <c r="A626">
        <v>107</v>
      </c>
      <c r="B626" t="s">
        <v>343</v>
      </c>
      <c r="C626">
        <v>38</v>
      </c>
      <c r="D626" t="s">
        <v>217</v>
      </c>
      <c r="E626" s="1">
        <v>6</v>
      </c>
      <c r="F626" s="1" t="s">
        <v>420</v>
      </c>
      <c r="G626" s="1">
        <v>70</v>
      </c>
      <c r="H626" s="1" t="s">
        <v>420</v>
      </c>
    </row>
    <row r="627" spans="1:8">
      <c r="A627">
        <v>107</v>
      </c>
      <c r="B627" t="s">
        <v>343</v>
      </c>
      <c r="C627">
        <v>38</v>
      </c>
      <c r="D627" t="s">
        <v>217</v>
      </c>
      <c r="E627" s="1">
        <v>6</v>
      </c>
      <c r="F627" s="1" t="s">
        <v>421</v>
      </c>
      <c r="G627" s="1">
        <v>80</v>
      </c>
      <c r="H627" s="1" t="s">
        <v>421</v>
      </c>
    </row>
    <row r="628" spans="1:8">
      <c r="A628">
        <v>107</v>
      </c>
      <c r="B628" t="s">
        <v>343</v>
      </c>
      <c r="C628">
        <v>38</v>
      </c>
      <c r="D628" t="s">
        <v>217</v>
      </c>
      <c r="E628" s="1">
        <v>6</v>
      </c>
      <c r="F628" s="1" t="s">
        <v>422</v>
      </c>
      <c r="G628" s="1">
        <v>90</v>
      </c>
      <c r="H628" s="1" t="s">
        <v>422</v>
      </c>
    </row>
    <row r="629" spans="1:8">
      <c r="A629">
        <v>107</v>
      </c>
      <c r="B629" t="s">
        <v>343</v>
      </c>
      <c r="C629">
        <v>38</v>
      </c>
      <c r="D629" t="s">
        <v>217</v>
      </c>
      <c r="E629" s="1">
        <v>7</v>
      </c>
      <c r="F629" s="1" t="s">
        <v>423</v>
      </c>
      <c r="G629" s="1">
        <v>2</v>
      </c>
      <c r="H629" s="1" t="s">
        <v>423</v>
      </c>
    </row>
    <row r="630" spans="1:8">
      <c r="A630">
        <v>107</v>
      </c>
      <c r="B630" t="s">
        <v>343</v>
      </c>
      <c r="C630">
        <v>38</v>
      </c>
      <c r="D630" t="s">
        <v>217</v>
      </c>
      <c r="E630" s="1">
        <v>7</v>
      </c>
      <c r="F630" s="1" t="s">
        <v>424</v>
      </c>
      <c r="G630" s="1">
        <v>4</v>
      </c>
      <c r="H630" s="1" t="s">
        <v>424</v>
      </c>
    </row>
    <row r="631" spans="1:8">
      <c r="A631">
        <v>107</v>
      </c>
      <c r="B631" t="s">
        <v>343</v>
      </c>
      <c r="C631">
        <v>38</v>
      </c>
      <c r="D631" t="s">
        <v>217</v>
      </c>
      <c r="E631" s="1">
        <v>7</v>
      </c>
      <c r="F631" s="1" t="s">
        <v>425</v>
      </c>
      <c r="H631" s="1" t="s">
        <v>425</v>
      </c>
    </row>
    <row r="632" spans="1:8">
      <c r="A632">
        <v>107</v>
      </c>
      <c r="B632" t="s">
        <v>343</v>
      </c>
      <c r="C632">
        <v>38</v>
      </c>
      <c r="D632" t="s">
        <v>217</v>
      </c>
      <c r="E632" s="1">
        <v>8</v>
      </c>
      <c r="F632" s="1" t="s">
        <v>426</v>
      </c>
      <c r="G632" s="1">
        <v>90</v>
      </c>
      <c r="H632" s="1" t="s">
        <v>426</v>
      </c>
    </row>
    <row r="633" spans="1:8">
      <c r="A633">
        <v>107</v>
      </c>
      <c r="B633" t="s">
        <v>343</v>
      </c>
      <c r="C633">
        <v>38</v>
      </c>
      <c r="D633" t="s">
        <v>217</v>
      </c>
      <c r="E633" s="1">
        <v>9</v>
      </c>
      <c r="F633" s="1" t="s">
        <v>427</v>
      </c>
      <c r="G633" s="1">
        <v>2</v>
      </c>
      <c r="H633" s="1" t="s">
        <v>427</v>
      </c>
    </row>
    <row r="634" spans="1:8">
      <c r="A634">
        <v>107</v>
      </c>
      <c r="B634" t="s">
        <v>343</v>
      </c>
      <c r="C634">
        <v>38</v>
      </c>
      <c r="D634" t="s">
        <v>217</v>
      </c>
      <c r="E634" s="1">
        <v>9</v>
      </c>
      <c r="F634" s="1" t="s">
        <v>428</v>
      </c>
      <c r="G634" s="1">
        <v>4</v>
      </c>
      <c r="H634" s="1" t="s">
        <v>428</v>
      </c>
    </row>
    <row r="635" spans="1:8">
      <c r="A635">
        <v>107</v>
      </c>
      <c r="B635" t="s">
        <v>343</v>
      </c>
      <c r="C635">
        <v>38</v>
      </c>
      <c r="D635" t="s">
        <v>217</v>
      </c>
      <c r="E635" s="1">
        <v>9</v>
      </c>
      <c r="F635" s="1" t="s">
        <v>429</v>
      </c>
      <c r="H635" s="1" t="s">
        <v>429</v>
      </c>
    </row>
    <row r="636" spans="1:8">
      <c r="A636">
        <v>107</v>
      </c>
      <c r="B636" t="s">
        <v>343</v>
      </c>
      <c r="C636">
        <v>39</v>
      </c>
      <c r="D636" t="s">
        <v>218</v>
      </c>
      <c r="E636" s="1">
        <v>1</v>
      </c>
      <c r="F636" s="1" t="s">
        <v>430</v>
      </c>
      <c r="G636" s="1">
        <v>10</v>
      </c>
      <c r="H636" s="1" t="s">
        <v>430</v>
      </c>
    </row>
    <row r="637" spans="1:8">
      <c r="A637">
        <v>107</v>
      </c>
      <c r="B637" t="s">
        <v>343</v>
      </c>
      <c r="C637">
        <v>39</v>
      </c>
      <c r="D637" t="s">
        <v>218</v>
      </c>
      <c r="E637" s="1">
        <v>1</v>
      </c>
      <c r="F637" s="1" t="s">
        <v>396</v>
      </c>
      <c r="G637" s="1">
        <v>20</v>
      </c>
      <c r="H637" s="1" t="s">
        <v>396</v>
      </c>
    </row>
    <row r="638" spans="1:8">
      <c r="A638">
        <v>107</v>
      </c>
      <c r="B638" t="s">
        <v>343</v>
      </c>
      <c r="C638">
        <v>39</v>
      </c>
      <c r="D638" t="s">
        <v>218</v>
      </c>
      <c r="E638" s="1">
        <v>1</v>
      </c>
      <c r="F638" s="1" t="s">
        <v>397</v>
      </c>
      <c r="G638" s="1">
        <v>30</v>
      </c>
      <c r="H638" s="1" t="s">
        <v>397</v>
      </c>
    </row>
    <row r="639" spans="1:8">
      <c r="A639">
        <v>107</v>
      </c>
      <c r="B639" t="s">
        <v>343</v>
      </c>
      <c r="C639">
        <v>39</v>
      </c>
      <c r="D639" t="s">
        <v>218</v>
      </c>
      <c r="E639" s="1">
        <v>1</v>
      </c>
      <c r="F639" s="1" t="s">
        <v>398</v>
      </c>
      <c r="G639" s="1">
        <v>40</v>
      </c>
      <c r="H639" s="1" t="s">
        <v>398</v>
      </c>
    </row>
    <row r="640" spans="1:8">
      <c r="A640">
        <v>107</v>
      </c>
      <c r="B640" t="s">
        <v>343</v>
      </c>
      <c r="C640">
        <v>39</v>
      </c>
      <c r="D640" t="s">
        <v>218</v>
      </c>
      <c r="E640" s="1">
        <v>1</v>
      </c>
      <c r="F640" s="1" t="s">
        <v>399</v>
      </c>
      <c r="G640" s="1">
        <v>50</v>
      </c>
      <c r="H640" s="1" t="s">
        <v>399</v>
      </c>
    </row>
    <row r="641" spans="1:8">
      <c r="A641">
        <v>107</v>
      </c>
      <c r="B641" t="s">
        <v>343</v>
      </c>
      <c r="C641">
        <v>39</v>
      </c>
      <c r="D641" t="s">
        <v>218</v>
      </c>
      <c r="E641" s="1">
        <v>1</v>
      </c>
      <c r="F641" s="1" t="s">
        <v>431</v>
      </c>
      <c r="G641" s="1">
        <v>60</v>
      </c>
      <c r="H641" s="1" t="s">
        <v>431</v>
      </c>
    </row>
    <row r="642" spans="1:8">
      <c r="A642">
        <v>107</v>
      </c>
      <c r="B642" t="s">
        <v>343</v>
      </c>
      <c r="C642">
        <v>39</v>
      </c>
      <c r="D642" t="s">
        <v>218</v>
      </c>
      <c r="E642" s="1">
        <v>1</v>
      </c>
      <c r="F642" s="1" t="s">
        <v>400</v>
      </c>
      <c r="G642" s="1">
        <v>70</v>
      </c>
      <c r="H642" s="1" t="s">
        <v>400</v>
      </c>
    </row>
    <row r="643" spans="1:8">
      <c r="A643">
        <v>107</v>
      </c>
      <c r="B643" t="s">
        <v>343</v>
      </c>
      <c r="C643">
        <v>39</v>
      </c>
      <c r="D643" t="s">
        <v>218</v>
      </c>
      <c r="E643" s="1">
        <v>1</v>
      </c>
      <c r="F643" s="1" t="s">
        <v>432</v>
      </c>
      <c r="G643" s="1">
        <v>80</v>
      </c>
      <c r="H643" s="1" t="s">
        <v>432</v>
      </c>
    </row>
    <row r="644" spans="1:8">
      <c r="A644">
        <v>107</v>
      </c>
      <c r="B644" t="s">
        <v>343</v>
      </c>
      <c r="C644">
        <v>39</v>
      </c>
      <c r="D644" t="s">
        <v>218</v>
      </c>
      <c r="E644" s="1">
        <v>1</v>
      </c>
      <c r="F644" s="1" t="s">
        <v>433</v>
      </c>
      <c r="G644" s="1">
        <v>90</v>
      </c>
      <c r="H644" s="1" t="s">
        <v>433</v>
      </c>
    </row>
    <row r="645" spans="1:8">
      <c r="A645">
        <v>107</v>
      </c>
      <c r="B645" t="s">
        <v>343</v>
      </c>
      <c r="C645">
        <v>39</v>
      </c>
      <c r="D645" t="s">
        <v>218</v>
      </c>
      <c r="E645" s="1">
        <v>2</v>
      </c>
      <c r="F645" s="1" t="s">
        <v>434</v>
      </c>
      <c r="G645" s="1">
        <v>10</v>
      </c>
      <c r="H645" s="1" t="s">
        <v>434</v>
      </c>
    </row>
    <row r="646" spans="1:8">
      <c r="A646">
        <v>107</v>
      </c>
      <c r="B646" t="s">
        <v>343</v>
      </c>
      <c r="C646">
        <v>39</v>
      </c>
      <c r="D646" t="s">
        <v>218</v>
      </c>
      <c r="E646" s="1">
        <v>2</v>
      </c>
      <c r="F646" s="1" t="s">
        <v>401</v>
      </c>
      <c r="G646" s="1">
        <v>20</v>
      </c>
      <c r="H646" s="1" t="s">
        <v>401</v>
      </c>
    </row>
    <row r="647" spans="1:8">
      <c r="A647">
        <v>107</v>
      </c>
      <c r="B647" t="s">
        <v>343</v>
      </c>
      <c r="C647">
        <v>39</v>
      </c>
      <c r="D647" t="s">
        <v>218</v>
      </c>
      <c r="E647" s="1">
        <v>2</v>
      </c>
      <c r="F647" s="1" t="s">
        <v>402</v>
      </c>
      <c r="G647" s="1">
        <v>30</v>
      </c>
      <c r="H647" s="1" t="s">
        <v>402</v>
      </c>
    </row>
    <row r="648" spans="1:8">
      <c r="A648">
        <v>107</v>
      </c>
      <c r="B648" t="s">
        <v>343</v>
      </c>
      <c r="C648">
        <v>39</v>
      </c>
      <c r="D648" t="s">
        <v>218</v>
      </c>
      <c r="E648" s="1">
        <v>2</v>
      </c>
      <c r="F648" s="1" t="s">
        <v>403</v>
      </c>
      <c r="G648" s="1">
        <v>40</v>
      </c>
      <c r="H648" s="1" t="s">
        <v>403</v>
      </c>
    </row>
    <row r="649" spans="1:8">
      <c r="A649">
        <v>107</v>
      </c>
      <c r="B649" t="s">
        <v>343</v>
      </c>
      <c r="C649">
        <v>39</v>
      </c>
      <c r="D649" t="s">
        <v>218</v>
      </c>
      <c r="E649" s="1">
        <v>2</v>
      </c>
      <c r="F649" s="1" t="s">
        <v>404</v>
      </c>
      <c r="G649" s="1">
        <v>50</v>
      </c>
      <c r="H649" s="1" t="s">
        <v>404</v>
      </c>
    </row>
    <row r="650" spans="1:8">
      <c r="A650">
        <v>107</v>
      </c>
      <c r="B650" t="s">
        <v>343</v>
      </c>
      <c r="C650">
        <v>39</v>
      </c>
      <c r="D650" t="s">
        <v>218</v>
      </c>
      <c r="E650" s="1">
        <v>2</v>
      </c>
      <c r="F650" s="1" t="s">
        <v>405</v>
      </c>
      <c r="G650" s="1">
        <v>60</v>
      </c>
      <c r="H650" s="1" t="s">
        <v>405</v>
      </c>
    </row>
    <row r="651" spans="1:8">
      <c r="A651">
        <v>107</v>
      </c>
      <c r="B651" t="s">
        <v>343</v>
      </c>
      <c r="C651">
        <v>39</v>
      </c>
      <c r="D651" t="s">
        <v>218</v>
      </c>
      <c r="E651" s="1">
        <v>2</v>
      </c>
      <c r="F651" s="1" t="s">
        <v>406</v>
      </c>
      <c r="G651" s="1">
        <v>70</v>
      </c>
      <c r="H651" s="1" t="s">
        <v>406</v>
      </c>
    </row>
    <row r="652" spans="1:8">
      <c r="A652">
        <v>107</v>
      </c>
      <c r="B652" t="s">
        <v>343</v>
      </c>
      <c r="C652">
        <v>39</v>
      </c>
      <c r="D652" t="s">
        <v>218</v>
      </c>
      <c r="E652" s="1">
        <v>2</v>
      </c>
      <c r="F652" s="1" t="s">
        <v>407</v>
      </c>
      <c r="G652" s="1">
        <v>80</v>
      </c>
      <c r="H652" s="1" t="s">
        <v>407</v>
      </c>
    </row>
    <row r="653" spans="1:8">
      <c r="A653">
        <v>107</v>
      </c>
      <c r="B653" t="s">
        <v>343</v>
      </c>
      <c r="C653">
        <v>39</v>
      </c>
      <c r="D653" t="s">
        <v>218</v>
      </c>
      <c r="E653" s="1">
        <v>2</v>
      </c>
      <c r="F653" s="1" t="s">
        <v>408</v>
      </c>
      <c r="G653" s="1">
        <v>90</v>
      </c>
      <c r="H653" s="1" t="s">
        <v>408</v>
      </c>
    </row>
    <row r="654" spans="1:8">
      <c r="A654">
        <v>107</v>
      </c>
      <c r="B654" t="s">
        <v>343</v>
      </c>
      <c r="C654">
        <v>39</v>
      </c>
      <c r="D654" t="s">
        <v>218</v>
      </c>
      <c r="E654" s="1">
        <v>3</v>
      </c>
      <c r="F654" s="1" t="s">
        <v>435</v>
      </c>
      <c r="H654" s="1" t="s">
        <v>435</v>
      </c>
    </row>
    <row r="655" spans="1:8">
      <c r="A655">
        <v>107</v>
      </c>
      <c r="B655" t="s">
        <v>343</v>
      </c>
      <c r="C655">
        <v>39</v>
      </c>
      <c r="D655" t="s">
        <v>218</v>
      </c>
      <c r="E655" s="1">
        <v>4</v>
      </c>
      <c r="F655" s="1" t="s">
        <v>409</v>
      </c>
      <c r="G655" s="1">
        <v>20</v>
      </c>
      <c r="H655" s="1" t="s">
        <v>409</v>
      </c>
    </row>
    <row r="656" spans="1:8">
      <c r="A656">
        <v>107</v>
      </c>
      <c r="B656" t="s">
        <v>343</v>
      </c>
      <c r="C656">
        <v>39</v>
      </c>
      <c r="D656" t="s">
        <v>218</v>
      </c>
      <c r="E656" s="1">
        <v>4</v>
      </c>
      <c r="F656" s="1" t="s">
        <v>410</v>
      </c>
      <c r="G656" s="1">
        <v>30</v>
      </c>
      <c r="H656" s="1" t="s">
        <v>410</v>
      </c>
    </row>
    <row r="657" spans="1:8">
      <c r="A657">
        <v>107</v>
      </c>
      <c r="B657" t="s">
        <v>343</v>
      </c>
      <c r="C657">
        <v>39</v>
      </c>
      <c r="D657" t="s">
        <v>218</v>
      </c>
      <c r="E657" s="1">
        <v>4</v>
      </c>
      <c r="F657" s="1" t="s">
        <v>411</v>
      </c>
      <c r="G657" s="1">
        <v>40</v>
      </c>
      <c r="H657" s="1" t="s">
        <v>411</v>
      </c>
    </row>
    <row r="658" spans="1:8">
      <c r="A658">
        <v>107</v>
      </c>
      <c r="B658" t="s">
        <v>343</v>
      </c>
      <c r="C658">
        <v>39</v>
      </c>
      <c r="D658" t="s">
        <v>218</v>
      </c>
      <c r="E658" s="1">
        <v>4</v>
      </c>
      <c r="F658" s="1" t="s">
        <v>412</v>
      </c>
      <c r="G658" s="1">
        <v>50</v>
      </c>
      <c r="H658" s="1" t="s">
        <v>412</v>
      </c>
    </row>
    <row r="659" spans="1:8">
      <c r="A659">
        <v>107</v>
      </c>
      <c r="B659" t="s">
        <v>343</v>
      </c>
      <c r="C659">
        <v>39</v>
      </c>
      <c r="D659" t="s">
        <v>218</v>
      </c>
      <c r="E659" s="1">
        <v>4</v>
      </c>
      <c r="F659" s="1" t="s">
        <v>294</v>
      </c>
      <c r="G659" s="1">
        <v>60</v>
      </c>
      <c r="H659" s="1" t="s">
        <v>294</v>
      </c>
    </row>
    <row r="660" spans="1:8">
      <c r="A660">
        <v>107</v>
      </c>
      <c r="B660" t="s">
        <v>343</v>
      </c>
      <c r="C660">
        <v>39</v>
      </c>
      <c r="D660" t="s">
        <v>218</v>
      </c>
      <c r="E660" s="1">
        <v>4</v>
      </c>
      <c r="F660" s="1" t="s">
        <v>413</v>
      </c>
      <c r="G660" s="1">
        <v>70</v>
      </c>
      <c r="H660" s="1" t="s">
        <v>413</v>
      </c>
    </row>
    <row r="661" spans="1:8">
      <c r="A661">
        <v>107</v>
      </c>
      <c r="B661" t="s">
        <v>343</v>
      </c>
      <c r="C661">
        <v>39</v>
      </c>
      <c r="D661" t="s">
        <v>218</v>
      </c>
      <c r="E661" s="1">
        <v>4</v>
      </c>
      <c r="F661" s="1" t="s">
        <v>414</v>
      </c>
      <c r="G661" s="1">
        <v>80</v>
      </c>
      <c r="H661" s="1" t="s">
        <v>414</v>
      </c>
    </row>
    <row r="662" spans="1:8">
      <c r="A662">
        <v>107</v>
      </c>
      <c r="B662" t="s">
        <v>343</v>
      </c>
      <c r="C662">
        <v>39</v>
      </c>
      <c r="D662" t="s">
        <v>218</v>
      </c>
      <c r="E662" s="1">
        <v>4</v>
      </c>
      <c r="F662" s="1" t="s">
        <v>415</v>
      </c>
      <c r="G662" s="1">
        <v>90</v>
      </c>
      <c r="H662" s="1" t="s">
        <v>415</v>
      </c>
    </row>
    <row r="663" spans="1:8">
      <c r="A663">
        <v>107</v>
      </c>
      <c r="B663" t="s">
        <v>343</v>
      </c>
      <c r="C663">
        <v>39</v>
      </c>
      <c r="D663" t="s">
        <v>218</v>
      </c>
      <c r="E663" s="1">
        <v>5</v>
      </c>
      <c r="F663" s="1" t="s">
        <v>436</v>
      </c>
      <c r="H663" s="1" t="s">
        <v>436</v>
      </c>
    </row>
    <row r="664" spans="1:8">
      <c r="A664">
        <v>107</v>
      </c>
      <c r="B664" t="s">
        <v>343</v>
      </c>
      <c r="C664">
        <v>39</v>
      </c>
      <c r="D664" t="s">
        <v>218</v>
      </c>
      <c r="E664" s="1">
        <v>6</v>
      </c>
      <c r="F664" s="1" t="s">
        <v>437</v>
      </c>
      <c r="G664" s="1">
        <v>20</v>
      </c>
      <c r="H664" s="1" t="s">
        <v>437</v>
      </c>
    </row>
    <row r="665" spans="1:8">
      <c r="A665">
        <v>107</v>
      </c>
      <c r="B665" t="s">
        <v>343</v>
      </c>
      <c r="C665">
        <v>39</v>
      </c>
      <c r="D665" t="s">
        <v>218</v>
      </c>
      <c r="E665" s="1">
        <v>6</v>
      </c>
      <c r="F665" s="1" t="s">
        <v>416</v>
      </c>
      <c r="G665" s="1">
        <v>30</v>
      </c>
      <c r="H665" s="1" t="s">
        <v>416</v>
      </c>
    </row>
    <row r="666" spans="1:8">
      <c r="A666">
        <v>107</v>
      </c>
      <c r="B666" t="s">
        <v>343</v>
      </c>
      <c r="C666">
        <v>39</v>
      </c>
      <c r="D666" t="s">
        <v>218</v>
      </c>
      <c r="E666" s="1">
        <v>6</v>
      </c>
      <c r="F666" s="1" t="s">
        <v>417</v>
      </c>
      <c r="G666" s="1">
        <v>40</v>
      </c>
      <c r="H666" s="1" t="s">
        <v>417</v>
      </c>
    </row>
    <row r="667" spans="1:8">
      <c r="A667">
        <v>107</v>
      </c>
      <c r="B667" t="s">
        <v>343</v>
      </c>
      <c r="C667">
        <v>39</v>
      </c>
      <c r="D667" t="s">
        <v>218</v>
      </c>
      <c r="E667" s="1">
        <v>6</v>
      </c>
      <c r="F667" s="1" t="s">
        <v>418</v>
      </c>
      <c r="G667" s="1">
        <v>50</v>
      </c>
      <c r="H667" s="1" t="s">
        <v>418</v>
      </c>
    </row>
    <row r="668" spans="1:8">
      <c r="A668">
        <v>107</v>
      </c>
      <c r="B668" t="s">
        <v>343</v>
      </c>
      <c r="C668">
        <v>39</v>
      </c>
      <c r="D668" t="s">
        <v>218</v>
      </c>
      <c r="E668" s="1">
        <v>6</v>
      </c>
      <c r="F668" s="1" t="s">
        <v>419</v>
      </c>
      <c r="G668" s="1">
        <v>60</v>
      </c>
      <c r="H668" s="1" t="s">
        <v>419</v>
      </c>
    </row>
    <row r="669" spans="1:8">
      <c r="A669">
        <v>107</v>
      </c>
      <c r="B669" t="s">
        <v>343</v>
      </c>
      <c r="C669">
        <v>39</v>
      </c>
      <c r="D669" t="s">
        <v>218</v>
      </c>
      <c r="E669" s="1">
        <v>6</v>
      </c>
      <c r="F669" s="1" t="s">
        <v>420</v>
      </c>
      <c r="G669" s="1">
        <v>70</v>
      </c>
      <c r="H669" s="1" t="s">
        <v>420</v>
      </c>
    </row>
    <row r="670" spans="1:8">
      <c r="A670">
        <v>107</v>
      </c>
      <c r="B670" t="s">
        <v>343</v>
      </c>
      <c r="C670">
        <v>39</v>
      </c>
      <c r="D670" t="s">
        <v>218</v>
      </c>
      <c r="E670" s="1">
        <v>6</v>
      </c>
      <c r="F670" s="1" t="s">
        <v>421</v>
      </c>
      <c r="G670" s="1">
        <v>80</v>
      </c>
      <c r="H670" s="1" t="s">
        <v>421</v>
      </c>
    </row>
    <row r="671" spans="1:8">
      <c r="A671">
        <v>107</v>
      </c>
      <c r="B671" t="s">
        <v>343</v>
      </c>
      <c r="C671">
        <v>39</v>
      </c>
      <c r="D671" t="s">
        <v>218</v>
      </c>
      <c r="E671" s="1">
        <v>6</v>
      </c>
      <c r="F671" s="1" t="s">
        <v>422</v>
      </c>
      <c r="G671" s="1">
        <v>90</v>
      </c>
      <c r="H671" s="1" t="s">
        <v>422</v>
      </c>
    </row>
    <row r="672" spans="1:8">
      <c r="A672">
        <v>107</v>
      </c>
      <c r="B672" t="s">
        <v>343</v>
      </c>
      <c r="C672">
        <v>39</v>
      </c>
      <c r="D672" t="s">
        <v>218</v>
      </c>
      <c r="E672" s="1">
        <v>7</v>
      </c>
      <c r="F672" s="1" t="s">
        <v>423</v>
      </c>
      <c r="G672" s="1">
        <v>2</v>
      </c>
      <c r="H672" s="1" t="s">
        <v>423</v>
      </c>
    </row>
    <row r="673" spans="1:8">
      <c r="A673">
        <v>107</v>
      </c>
      <c r="B673" t="s">
        <v>343</v>
      </c>
      <c r="C673">
        <v>39</v>
      </c>
      <c r="D673" t="s">
        <v>218</v>
      </c>
      <c r="E673" s="1">
        <v>7</v>
      </c>
      <c r="F673" s="1" t="s">
        <v>425</v>
      </c>
      <c r="H673" s="1" t="s">
        <v>425</v>
      </c>
    </row>
    <row r="674" spans="1:8">
      <c r="A674">
        <v>107</v>
      </c>
      <c r="B674" t="s">
        <v>343</v>
      </c>
      <c r="C674">
        <v>39</v>
      </c>
      <c r="D674" t="s">
        <v>218</v>
      </c>
      <c r="E674" s="1">
        <v>8</v>
      </c>
      <c r="F674" s="1" t="s">
        <v>438</v>
      </c>
      <c r="G674" s="1">
        <v>30</v>
      </c>
      <c r="H674" s="1" t="s">
        <v>438</v>
      </c>
    </row>
    <row r="675" spans="1:8">
      <c r="A675">
        <v>107</v>
      </c>
      <c r="B675" t="s">
        <v>343</v>
      </c>
      <c r="C675">
        <v>39</v>
      </c>
      <c r="D675" t="s">
        <v>218</v>
      </c>
      <c r="E675" s="1">
        <v>8</v>
      </c>
      <c r="F675" s="1" t="s">
        <v>439</v>
      </c>
      <c r="G675" s="1">
        <v>50</v>
      </c>
      <c r="H675" s="1" t="s">
        <v>439</v>
      </c>
    </row>
    <row r="676" spans="1:8">
      <c r="A676">
        <v>107</v>
      </c>
      <c r="B676" t="s">
        <v>343</v>
      </c>
      <c r="C676">
        <v>39</v>
      </c>
      <c r="D676" t="s">
        <v>218</v>
      </c>
      <c r="E676" s="1">
        <v>8</v>
      </c>
      <c r="F676" s="1" t="s">
        <v>440</v>
      </c>
      <c r="G676" s="1">
        <v>70</v>
      </c>
      <c r="H676" s="1" t="s">
        <v>440</v>
      </c>
    </row>
    <row r="677" spans="1:8">
      <c r="A677">
        <v>107</v>
      </c>
      <c r="B677" t="s">
        <v>343</v>
      </c>
      <c r="C677">
        <v>39</v>
      </c>
      <c r="D677" t="s">
        <v>218</v>
      </c>
      <c r="E677" s="1">
        <v>8</v>
      </c>
      <c r="F677" s="1" t="s">
        <v>441</v>
      </c>
      <c r="G677" s="1">
        <v>80</v>
      </c>
      <c r="H677" s="1" t="s">
        <v>441</v>
      </c>
    </row>
    <row r="678" spans="1:8">
      <c r="A678">
        <v>107</v>
      </c>
      <c r="B678" t="s">
        <v>343</v>
      </c>
      <c r="C678">
        <v>39</v>
      </c>
      <c r="D678" t="s">
        <v>218</v>
      </c>
      <c r="E678" s="1">
        <v>8</v>
      </c>
      <c r="F678" s="1" t="s">
        <v>426</v>
      </c>
      <c r="G678" s="1">
        <v>90</v>
      </c>
      <c r="H678" s="1" t="s">
        <v>426</v>
      </c>
    </row>
    <row r="679" spans="1:8">
      <c r="A679">
        <v>107</v>
      </c>
      <c r="B679" t="s">
        <v>343</v>
      </c>
      <c r="C679">
        <v>39</v>
      </c>
      <c r="D679" t="s">
        <v>218</v>
      </c>
      <c r="E679" s="1">
        <v>9</v>
      </c>
      <c r="F679" s="1" t="s">
        <v>429</v>
      </c>
      <c r="H679" s="1" t="s">
        <v>429</v>
      </c>
    </row>
    <row r="680" spans="1:8">
      <c r="A680">
        <v>107</v>
      </c>
      <c r="B680" t="s">
        <v>343</v>
      </c>
      <c r="C680">
        <v>41</v>
      </c>
      <c r="D680" t="s">
        <v>219</v>
      </c>
      <c r="E680" s="1">
        <v>1</v>
      </c>
      <c r="F680" s="1" t="s">
        <v>442</v>
      </c>
      <c r="G680" s="1">
        <v>10</v>
      </c>
      <c r="H680" s="1" t="s">
        <v>442</v>
      </c>
    </row>
    <row r="681" spans="1:8">
      <c r="A681">
        <v>107</v>
      </c>
      <c r="B681" t="s">
        <v>343</v>
      </c>
      <c r="C681">
        <v>41</v>
      </c>
      <c r="D681" t="s">
        <v>219</v>
      </c>
      <c r="E681" s="1">
        <v>1</v>
      </c>
      <c r="F681" s="1" t="s">
        <v>443</v>
      </c>
      <c r="H681" s="1" t="s">
        <v>443</v>
      </c>
    </row>
    <row r="682" spans="1:8">
      <c r="A682">
        <v>107</v>
      </c>
      <c r="B682" t="s">
        <v>343</v>
      </c>
      <c r="C682">
        <v>41</v>
      </c>
      <c r="D682" t="s">
        <v>219</v>
      </c>
      <c r="G682" s="1">
        <v>10</v>
      </c>
    </row>
    <row r="683" spans="1:8">
      <c r="A683">
        <v>107</v>
      </c>
      <c r="B683" t="s">
        <v>343</v>
      </c>
      <c r="C683">
        <v>41</v>
      </c>
      <c r="D683" t="s">
        <v>219</v>
      </c>
      <c r="G683" s="1">
        <v>20</v>
      </c>
    </row>
    <row r="684" spans="1:8">
      <c r="A684">
        <v>107</v>
      </c>
      <c r="B684" t="s">
        <v>343</v>
      </c>
      <c r="C684">
        <v>41</v>
      </c>
      <c r="D684" t="s">
        <v>219</v>
      </c>
      <c r="G684" s="1">
        <v>30</v>
      </c>
    </row>
    <row r="685" spans="1:8">
      <c r="A685">
        <v>107</v>
      </c>
      <c r="B685" t="s">
        <v>343</v>
      </c>
      <c r="C685">
        <v>41</v>
      </c>
      <c r="D685" t="s">
        <v>219</v>
      </c>
      <c r="G685" s="1">
        <v>40</v>
      </c>
    </row>
    <row r="686" spans="1:8">
      <c r="A686">
        <v>107</v>
      </c>
      <c r="B686" t="s">
        <v>343</v>
      </c>
      <c r="C686">
        <v>41</v>
      </c>
      <c r="D686" t="s">
        <v>219</v>
      </c>
      <c r="G686" s="1">
        <v>50</v>
      </c>
    </row>
    <row r="687" spans="1:8">
      <c r="A687">
        <v>107</v>
      </c>
      <c r="B687" t="s">
        <v>343</v>
      </c>
      <c r="C687">
        <v>41</v>
      </c>
      <c r="D687" t="s">
        <v>219</v>
      </c>
      <c r="G687" s="1">
        <v>60</v>
      </c>
    </row>
    <row r="688" spans="1:8">
      <c r="A688">
        <v>107</v>
      </c>
      <c r="B688" t="s">
        <v>343</v>
      </c>
      <c r="C688">
        <v>41</v>
      </c>
      <c r="D688" t="s">
        <v>219</v>
      </c>
      <c r="G688" s="1">
        <v>70</v>
      </c>
    </row>
    <row r="689" spans="1:8">
      <c r="A689">
        <v>107</v>
      </c>
      <c r="B689" t="s">
        <v>343</v>
      </c>
      <c r="C689">
        <v>41</v>
      </c>
      <c r="D689" t="s">
        <v>219</v>
      </c>
      <c r="G689" s="1">
        <v>90</v>
      </c>
    </row>
    <row r="690" spans="1:8">
      <c r="A690">
        <v>107</v>
      </c>
      <c r="B690" t="s">
        <v>343</v>
      </c>
      <c r="C690">
        <v>41</v>
      </c>
      <c r="D690" t="s">
        <v>219</v>
      </c>
      <c r="G690" s="1">
        <v>91</v>
      </c>
    </row>
    <row r="691" spans="1:8">
      <c r="A691">
        <v>107</v>
      </c>
      <c r="B691" t="s">
        <v>343</v>
      </c>
      <c r="C691">
        <v>41</v>
      </c>
      <c r="D691" t="s">
        <v>219</v>
      </c>
      <c r="G691" s="1">
        <v>92</v>
      </c>
    </row>
    <row r="692" spans="1:8">
      <c r="A692">
        <v>107</v>
      </c>
      <c r="B692" t="s">
        <v>343</v>
      </c>
      <c r="C692">
        <v>43</v>
      </c>
      <c r="D692" t="s">
        <v>221</v>
      </c>
      <c r="G692" s="1">
        <v>50</v>
      </c>
    </row>
    <row r="693" spans="1:8">
      <c r="A693">
        <v>107</v>
      </c>
      <c r="B693" t="s">
        <v>343</v>
      </c>
      <c r="C693">
        <v>43</v>
      </c>
      <c r="D693" t="s">
        <v>221</v>
      </c>
      <c r="G693" s="1">
        <v>60</v>
      </c>
    </row>
    <row r="694" spans="1:8">
      <c r="A694">
        <v>107</v>
      </c>
      <c r="B694" t="s">
        <v>343</v>
      </c>
      <c r="C694">
        <v>46</v>
      </c>
      <c r="D694" t="s">
        <v>444</v>
      </c>
      <c r="E694" s="1">
        <v>1</v>
      </c>
      <c r="F694" s="1">
        <v>39</v>
      </c>
      <c r="H694" s="1">
        <v>39</v>
      </c>
    </row>
    <row r="695" spans="1:8">
      <c r="A695">
        <v>107</v>
      </c>
      <c r="B695" t="s">
        <v>343</v>
      </c>
      <c r="C695">
        <v>47</v>
      </c>
      <c r="D695" t="s">
        <v>445</v>
      </c>
      <c r="E695" s="1">
        <v>2</v>
      </c>
      <c r="F695" s="1" t="s">
        <v>446</v>
      </c>
      <c r="G695" s="1">
        <v>30</v>
      </c>
      <c r="H695" s="1" t="s">
        <v>446</v>
      </c>
    </row>
    <row r="696" spans="1:8">
      <c r="A696">
        <v>107</v>
      </c>
      <c r="B696" t="s">
        <v>343</v>
      </c>
      <c r="C696">
        <v>47</v>
      </c>
      <c r="D696" t="s">
        <v>445</v>
      </c>
      <c r="E696" s="1">
        <v>3</v>
      </c>
      <c r="F696" s="1" t="s">
        <v>447</v>
      </c>
      <c r="G696" s="1">
        <v>30</v>
      </c>
      <c r="H696" s="1" t="s">
        <v>447</v>
      </c>
    </row>
    <row r="697" spans="1:8">
      <c r="A697">
        <v>107</v>
      </c>
      <c r="B697" t="s">
        <v>343</v>
      </c>
      <c r="C697">
        <v>47</v>
      </c>
      <c r="D697" t="s">
        <v>445</v>
      </c>
      <c r="E697" s="1">
        <v>3</v>
      </c>
      <c r="F697" s="1" t="s">
        <v>448</v>
      </c>
      <c r="G697" s="1">
        <v>40</v>
      </c>
      <c r="H697" s="1" t="s">
        <v>448</v>
      </c>
    </row>
    <row r="698" spans="1:8">
      <c r="A698">
        <v>107</v>
      </c>
      <c r="B698" t="s">
        <v>343</v>
      </c>
      <c r="C698">
        <v>47</v>
      </c>
      <c r="D698" t="s">
        <v>445</v>
      </c>
      <c r="E698" s="1">
        <v>3</v>
      </c>
      <c r="F698" s="1" t="s">
        <v>449</v>
      </c>
      <c r="G698" s="1">
        <v>50</v>
      </c>
      <c r="H698" s="1" t="s">
        <v>449</v>
      </c>
    </row>
    <row r="699" spans="1:8">
      <c r="A699">
        <v>107</v>
      </c>
      <c r="B699" t="s">
        <v>343</v>
      </c>
      <c r="C699">
        <v>47</v>
      </c>
      <c r="D699" t="s">
        <v>445</v>
      </c>
      <c r="E699" s="1">
        <v>3</v>
      </c>
      <c r="F699" s="1" t="s">
        <v>450</v>
      </c>
      <c r="G699" s="1">
        <v>60</v>
      </c>
      <c r="H699" s="1" t="s">
        <v>450</v>
      </c>
    </row>
    <row r="700" spans="1:8">
      <c r="A700">
        <v>107</v>
      </c>
      <c r="B700" t="s">
        <v>343</v>
      </c>
      <c r="C700">
        <v>47</v>
      </c>
      <c r="D700" t="s">
        <v>445</v>
      </c>
      <c r="E700" s="1">
        <v>3</v>
      </c>
      <c r="F700" s="1" t="s">
        <v>451</v>
      </c>
      <c r="G700" s="1">
        <v>70</v>
      </c>
      <c r="H700" s="1" t="s">
        <v>451</v>
      </c>
    </row>
    <row r="701" spans="1:8">
      <c r="A701">
        <v>107</v>
      </c>
      <c r="B701" t="s">
        <v>343</v>
      </c>
      <c r="C701">
        <v>47</v>
      </c>
      <c r="D701" t="s">
        <v>445</v>
      </c>
      <c r="E701" s="1">
        <v>4</v>
      </c>
      <c r="F701" s="1" t="s">
        <v>452</v>
      </c>
      <c r="G701" s="1">
        <v>20</v>
      </c>
      <c r="H701" s="1" t="s">
        <v>452</v>
      </c>
    </row>
    <row r="702" spans="1:8">
      <c r="A702">
        <v>107</v>
      </c>
      <c r="B702" t="s">
        <v>343</v>
      </c>
      <c r="C702">
        <v>47</v>
      </c>
      <c r="D702" t="s">
        <v>445</v>
      </c>
      <c r="E702" s="1">
        <v>4</v>
      </c>
      <c r="F702" s="1" t="s">
        <v>453</v>
      </c>
      <c r="G702" s="1">
        <v>30</v>
      </c>
      <c r="H702" s="1" t="s">
        <v>453</v>
      </c>
    </row>
    <row r="703" spans="1:8">
      <c r="A703">
        <v>107</v>
      </c>
      <c r="B703" t="s">
        <v>343</v>
      </c>
      <c r="C703">
        <v>47</v>
      </c>
      <c r="D703" t="s">
        <v>445</v>
      </c>
      <c r="E703" s="1">
        <v>4</v>
      </c>
      <c r="F703" s="1" t="s">
        <v>454</v>
      </c>
      <c r="G703" s="1">
        <v>40</v>
      </c>
      <c r="H703" s="1" t="s">
        <v>454</v>
      </c>
    </row>
    <row r="704" spans="1:8">
      <c r="A704">
        <v>107</v>
      </c>
      <c r="B704" t="s">
        <v>343</v>
      </c>
      <c r="C704">
        <v>47</v>
      </c>
      <c r="D704" t="s">
        <v>445</v>
      </c>
      <c r="E704" s="1">
        <v>4</v>
      </c>
      <c r="F704" s="1" t="s">
        <v>455</v>
      </c>
      <c r="G704" s="1">
        <v>50</v>
      </c>
      <c r="H704" s="1" t="s">
        <v>455</v>
      </c>
    </row>
    <row r="705" spans="1:8">
      <c r="A705">
        <v>107</v>
      </c>
      <c r="B705" t="s">
        <v>343</v>
      </c>
      <c r="C705">
        <v>47</v>
      </c>
      <c r="D705" t="s">
        <v>445</v>
      </c>
      <c r="E705" s="1">
        <v>4</v>
      </c>
      <c r="F705" s="1" t="s">
        <v>456</v>
      </c>
      <c r="G705" s="1">
        <v>60</v>
      </c>
      <c r="H705" s="1" t="s">
        <v>456</v>
      </c>
    </row>
    <row r="706" spans="1:8">
      <c r="A706">
        <v>107</v>
      </c>
      <c r="B706" t="s">
        <v>343</v>
      </c>
      <c r="C706">
        <v>47</v>
      </c>
      <c r="D706" t="s">
        <v>445</v>
      </c>
      <c r="E706" s="1">
        <v>4</v>
      </c>
      <c r="F706" s="1" t="s">
        <v>457</v>
      </c>
      <c r="G706" s="1">
        <v>70</v>
      </c>
      <c r="H706" s="1" t="s">
        <v>457</v>
      </c>
    </row>
    <row r="707" spans="1:8">
      <c r="A707">
        <v>107</v>
      </c>
      <c r="B707" t="s">
        <v>343</v>
      </c>
      <c r="C707">
        <v>47</v>
      </c>
      <c r="D707" t="s">
        <v>445</v>
      </c>
      <c r="E707" s="1">
        <v>4</v>
      </c>
      <c r="F707" s="1" t="s">
        <v>458</v>
      </c>
      <c r="G707" s="1">
        <v>80</v>
      </c>
      <c r="H707" s="1" t="s">
        <v>458</v>
      </c>
    </row>
    <row r="708" spans="1:8">
      <c r="A708">
        <v>107</v>
      </c>
      <c r="B708" t="s">
        <v>343</v>
      </c>
      <c r="C708">
        <v>47</v>
      </c>
      <c r="D708" t="s">
        <v>445</v>
      </c>
      <c r="E708" s="1">
        <v>5</v>
      </c>
      <c r="F708" s="1" t="s">
        <v>459</v>
      </c>
      <c r="G708" s="1">
        <v>20</v>
      </c>
      <c r="H708" s="1" t="s">
        <v>459</v>
      </c>
    </row>
    <row r="709" spans="1:8">
      <c r="A709">
        <v>107</v>
      </c>
      <c r="B709" t="s">
        <v>343</v>
      </c>
      <c r="C709">
        <v>47</v>
      </c>
      <c r="D709" t="s">
        <v>445</v>
      </c>
      <c r="E709" s="1">
        <v>5</v>
      </c>
      <c r="F709" s="1" t="s">
        <v>460</v>
      </c>
      <c r="G709" s="1">
        <v>30</v>
      </c>
      <c r="H709" s="1" t="s">
        <v>460</v>
      </c>
    </row>
    <row r="710" spans="1:8">
      <c r="A710">
        <v>107</v>
      </c>
      <c r="B710" t="s">
        <v>343</v>
      </c>
      <c r="C710">
        <v>47</v>
      </c>
      <c r="D710" t="s">
        <v>445</v>
      </c>
      <c r="E710" s="1">
        <v>5</v>
      </c>
      <c r="F710" s="1" t="s">
        <v>461</v>
      </c>
      <c r="G710" s="1">
        <v>40</v>
      </c>
      <c r="H710" s="1" t="s">
        <v>461</v>
      </c>
    </row>
    <row r="711" spans="1:8">
      <c r="A711">
        <v>107</v>
      </c>
      <c r="B711" t="s">
        <v>343</v>
      </c>
      <c r="C711">
        <v>47</v>
      </c>
      <c r="D711" t="s">
        <v>445</v>
      </c>
      <c r="E711" s="1">
        <v>5</v>
      </c>
      <c r="F711" s="1" t="s">
        <v>462</v>
      </c>
      <c r="G711" s="1">
        <v>50</v>
      </c>
      <c r="H711" s="1" t="s">
        <v>462</v>
      </c>
    </row>
    <row r="712" spans="1:8">
      <c r="A712">
        <v>107</v>
      </c>
      <c r="B712" t="s">
        <v>343</v>
      </c>
      <c r="C712">
        <v>47</v>
      </c>
      <c r="D712" t="s">
        <v>445</v>
      </c>
      <c r="E712" s="1">
        <v>5</v>
      </c>
      <c r="F712" s="1" t="s">
        <v>463</v>
      </c>
      <c r="G712" s="1">
        <v>60</v>
      </c>
      <c r="H712" s="1" t="s">
        <v>463</v>
      </c>
    </row>
    <row r="713" spans="1:8">
      <c r="A713">
        <v>107</v>
      </c>
      <c r="B713" t="s">
        <v>343</v>
      </c>
      <c r="C713">
        <v>47</v>
      </c>
      <c r="D713" t="s">
        <v>445</v>
      </c>
      <c r="E713" s="1">
        <v>5</v>
      </c>
      <c r="F713" s="1" t="s">
        <v>464</v>
      </c>
      <c r="G713" s="1">
        <v>70</v>
      </c>
      <c r="H713" s="1" t="s">
        <v>464</v>
      </c>
    </row>
    <row r="714" spans="1:8">
      <c r="A714">
        <v>107</v>
      </c>
      <c r="B714" t="s">
        <v>343</v>
      </c>
      <c r="C714">
        <v>47</v>
      </c>
      <c r="D714" t="s">
        <v>445</v>
      </c>
      <c r="E714" s="1">
        <v>5</v>
      </c>
      <c r="F714" s="1" t="s">
        <v>465</v>
      </c>
      <c r="G714" s="1">
        <v>80</v>
      </c>
      <c r="H714" s="1" t="s">
        <v>465</v>
      </c>
    </row>
    <row r="715" spans="1:8">
      <c r="A715">
        <v>107</v>
      </c>
      <c r="B715" t="s">
        <v>343</v>
      </c>
      <c r="C715">
        <v>47</v>
      </c>
      <c r="D715" t="s">
        <v>445</v>
      </c>
      <c r="E715" s="1">
        <v>5</v>
      </c>
      <c r="F715" s="1" t="s">
        <v>466</v>
      </c>
      <c r="G715" s="1">
        <v>90</v>
      </c>
      <c r="H715" s="1" t="s">
        <v>466</v>
      </c>
    </row>
    <row r="716" spans="1:8">
      <c r="A716">
        <v>107</v>
      </c>
      <c r="B716" t="s">
        <v>343</v>
      </c>
      <c r="C716">
        <v>47</v>
      </c>
      <c r="D716" t="s">
        <v>445</v>
      </c>
      <c r="E716" s="1">
        <v>6</v>
      </c>
      <c r="F716" s="1" t="s">
        <v>467</v>
      </c>
      <c r="G716" s="1">
        <v>50</v>
      </c>
      <c r="H716" s="1" t="s">
        <v>467</v>
      </c>
    </row>
    <row r="717" spans="1:8">
      <c r="A717">
        <v>107</v>
      </c>
      <c r="B717" t="s">
        <v>343</v>
      </c>
      <c r="C717">
        <v>47</v>
      </c>
      <c r="D717" t="s">
        <v>445</v>
      </c>
      <c r="E717" s="1">
        <v>6</v>
      </c>
      <c r="F717" s="1" t="s">
        <v>468</v>
      </c>
      <c r="G717" s="1">
        <v>70</v>
      </c>
      <c r="H717" s="1" t="s">
        <v>468</v>
      </c>
    </row>
    <row r="718" spans="1:8">
      <c r="A718">
        <v>107</v>
      </c>
      <c r="B718" t="s">
        <v>343</v>
      </c>
      <c r="C718">
        <v>47</v>
      </c>
      <c r="D718" t="s">
        <v>445</v>
      </c>
      <c r="E718" s="1">
        <v>6</v>
      </c>
      <c r="F718" s="1" t="s">
        <v>469</v>
      </c>
      <c r="G718" s="1">
        <v>80</v>
      </c>
      <c r="H718" s="1" t="s">
        <v>469</v>
      </c>
    </row>
    <row r="719" spans="1:8">
      <c r="A719">
        <v>107</v>
      </c>
      <c r="B719" t="s">
        <v>343</v>
      </c>
      <c r="C719">
        <v>47</v>
      </c>
      <c r="D719" t="s">
        <v>445</v>
      </c>
      <c r="E719" s="1">
        <v>6</v>
      </c>
      <c r="F719" s="1" t="s">
        <v>470</v>
      </c>
      <c r="G719" s="1">
        <v>90</v>
      </c>
      <c r="H719" s="1" t="s">
        <v>470</v>
      </c>
    </row>
    <row r="720" spans="1:8">
      <c r="A720">
        <v>107</v>
      </c>
      <c r="B720" t="s">
        <v>343</v>
      </c>
      <c r="C720">
        <v>49</v>
      </c>
      <c r="D720" t="s">
        <v>471</v>
      </c>
      <c r="E720" s="1">
        <v>2</v>
      </c>
      <c r="F720" s="1" t="s">
        <v>347</v>
      </c>
      <c r="G720" s="1">
        <v>20</v>
      </c>
      <c r="H720" s="1" t="s">
        <v>347</v>
      </c>
    </row>
    <row r="721" spans="1:8">
      <c r="A721">
        <v>107</v>
      </c>
      <c r="B721" t="s">
        <v>343</v>
      </c>
      <c r="C721">
        <v>49</v>
      </c>
      <c r="D721" t="s">
        <v>471</v>
      </c>
      <c r="E721" s="1">
        <v>2</v>
      </c>
      <c r="F721" s="1" t="s">
        <v>328</v>
      </c>
      <c r="G721" s="1">
        <v>30</v>
      </c>
      <c r="H721" s="1" t="s">
        <v>328</v>
      </c>
    </row>
    <row r="722" spans="1:8">
      <c r="A722">
        <v>107</v>
      </c>
      <c r="B722" t="s">
        <v>343</v>
      </c>
      <c r="C722">
        <v>49</v>
      </c>
      <c r="D722" t="s">
        <v>471</v>
      </c>
      <c r="E722" s="1">
        <v>2</v>
      </c>
      <c r="F722" s="1" t="s">
        <v>329</v>
      </c>
      <c r="G722" s="1">
        <v>40</v>
      </c>
      <c r="H722" s="1" t="s">
        <v>329</v>
      </c>
    </row>
    <row r="723" spans="1:8">
      <c r="A723">
        <v>107</v>
      </c>
      <c r="B723" t="s">
        <v>343</v>
      </c>
      <c r="C723">
        <v>49</v>
      </c>
      <c r="D723" t="s">
        <v>471</v>
      </c>
      <c r="E723" s="1">
        <v>2</v>
      </c>
      <c r="F723" s="1" t="s">
        <v>331</v>
      </c>
      <c r="G723" s="1">
        <v>60</v>
      </c>
      <c r="H723" s="1" t="s">
        <v>331</v>
      </c>
    </row>
    <row r="724" spans="1:8">
      <c r="A724">
        <v>107</v>
      </c>
      <c r="B724" t="s">
        <v>343</v>
      </c>
      <c r="C724">
        <v>49</v>
      </c>
      <c r="D724" t="s">
        <v>471</v>
      </c>
      <c r="E724" s="1">
        <v>3</v>
      </c>
      <c r="F724" s="1" t="s">
        <v>348</v>
      </c>
      <c r="G724" s="1">
        <v>20</v>
      </c>
      <c r="H724" s="1" t="s">
        <v>348</v>
      </c>
    </row>
    <row r="725" spans="1:8">
      <c r="A725">
        <v>107</v>
      </c>
      <c r="B725" t="s">
        <v>343</v>
      </c>
      <c r="C725">
        <v>49</v>
      </c>
      <c r="D725" t="s">
        <v>471</v>
      </c>
      <c r="E725" s="1">
        <v>3</v>
      </c>
      <c r="F725" s="1" t="s">
        <v>349</v>
      </c>
      <c r="G725" s="1">
        <v>30</v>
      </c>
      <c r="H725" s="1" t="s">
        <v>349</v>
      </c>
    </row>
    <row r="726" spans="1:8">
      <c r="A726">
        <v>107</v>
      </c>
      <c r="B726" t="s">
        <v>343</v>
      </c>
      <c r="C726">
        <v>49</v>
      </c>
      <c r="D726" t="s">
        <v>471</v>
      </c>
      <c r="E726" s="1">
        <v>3</v>
      </c>
      <c r="F726" s="1" t="s">
        <v>350</v>
      </c>
      <c r="G726" s="1">
        <v>40</v>
      </c>
      <c r="H726" s="1" t="s">
        <v>350</v>
      </c>
    </row>
    <row r="727" spans="1:8">
      <c r="A727">
        <v>107</v>
      </c>
      <c r="B727" t="s">
        <v>343</v>
      </c>
      <c r="C727">
        <v>49</v>
      </c>
      <c r="D727" t="s">
        <v>471</v>
      </c>
      <c r="E727" s="1">
        <v>3</v>
      </c>
      <c r="F727" s="1" t="s">
        <v>351</v>
      </c>
      <c r="G727" s="1">
        <v>50</v>
      </c>
      <c r="H727" s="1" t="s">
        <v>351</v>
      </c>
    </row>
    <row r="728" spans="1:8">
      <c r="A728">
        <v>107</v>
      </c>
      <c r="B728" t="s">
        <v>343</v>
      </c>
      <c r="C728">
        <v>49</v>
      </c>
      <c r="D728" t="s">
        <v>471</v>
      </c>
      <c r="E728" s="1">
        <v>3</v>
      </c>
      <c r="F728" s="1" t="s">
        <v>352</v>
      </c>
      <c r="G728" s="1">
        <v>60</v>
      </c>
      <c r="H728" s="1" t="s">
        <v>352</v>
      </c>
    </row>
    <row r="729" spans="1:8">
      <c r="A729">
        <v>107</v>
      </c>
      <c r="B729" t="s">
        <v>343</v>
      </c>
      <c r="C729">
        <v>49</v>
      </c>
      <c r="D729" t="s">
        <v>471</v>
      </c>
      <c r="E729" s="1">
        <v>3</v>
      </c>
      <c r="F729" s="1" t="s">
        <v>353</v>
      </c>
      <c r="G729" s="1">
        <v>70</v>
      </c>
      <c r="H729" s="1" t="s">
        <v>353</v>
      </c>
    </row>
    <row r="730" spans="1:8">
      <c r="A730">
        <v>107</v>
      </c>
      <c r="B730" t="s">
        <v>343</v>
      </c>
      <c r="C730">
        <v>49</v>
      </c>
      <c r="D730" t="s">
        <v>471</v>
      </c>
      <c r="E730" s="1">
        <v>3</v>
      </c>
      <c r="F730" s="1" t="s">
        <v>354</v>
      </c>
      <c r="G730" s="1">
        <v>80</v>
      </c>
      <c r="H730" s="1" t="s">
        <v>354</v>
      </c>
    </row>
    <row r="731" spans="1:8">
      <c r="A731">
        <v>107</v>
      </c>
      <c r="B731" t="s">
        <v>343</v>
      </c>
      <c r="C731">
        <v>49</v>
      </c>
      <c r="D731" t="s">
        <v>471</v>
      </c>
      <c r="E731" s="1">
        <v>3</v>
      </c>
      <c r="F731" s="1" t="s">
        <v>472</v>
      </c>
      <c r="G731" s="1">
        <v>90</v>
      </c>
      <c r="H731" s="1" t="s">
        <v>472</v>
      </c>
    </row>
    <row r="732" spans="1:8">
      <c r="A732">
        <v>107</v>
      </c>
      <c r="B732" t="s">
        <v>343</v>
      </c>
      <c r="C732">
        <v>49</v>
      </c>
      <c r="D732" t="s">
        <v>471</v>
      </c>
      <c r="E732" s="1">
        <v>4</v>
      </c>
      <c r="F732" s="1" t="s">
        <v>473</v>
      </c>
      <c r="G732" s="1">
        <v>10</v>
      </c>
      <c r="H732" s="1" t="s">
        <v>473</v>
      </c>
    </row>
    <row r="733" spans="1:8">
      <c r="A733">
        <v>107</v>
      </c>
      <c r="B733" t="s">
        <v>343</v>
      </c>
      <c r="C733">
        <v>49</v>
      </c>
      <c r="D733" t="s">
        <v>471</v>
      </c>
      <c r="E733" s="1">
        <v>4</v>
      </c>
      <c r="F733" s="1" t="s">
        <v>474</v>
      </c>
      <c r="G733" s="1">
        <v>30</v>
      </c>
      <c r="H733" s="1" t="s">
        <v>474</v>
      </c>
    </row>
    <row r="734" spans="1:8">
      <c r="A734">
        <v>107</v>
      </c>
      <c r="B734" t="s">
        <v>343</v>
      </c>
      <c r="C734">
        <v>49</v>
      </c>
      <c r="D734" t="s">
        <v>471</v>
      </c>
      <c r="E734" s="1">
        <v>4</v>
      </c>
      <c r="F734" s="1" t="s">
        <v>475</v>
      </c>
      <c r="G734" s="1">
        <v>40</v>
      </c>
      <c r="H734" s="1" t="s">
        <v>475</v>
      </c>
    </row>
    <row r="735" spans="1:8">
      <c r="A735">
        <v>107</v>
      </c>
      <c r="B735" t="s">
        <v>343</v>
      </c>
      <c r="C735">
        <v>49</v>
      </c>
      <c r="D735" t="s">
        <v>471</v>
      </c>
      <c r="E735" s="1">
        <v>4</v>
      </c>
      <c r="F735" s="1" t="s">
        <v>476</v>
      </c>
      <c r="G735" s="1">
        <v>50</v>
      </c>
      <c r="H735" s="1" t="s">
        <v>476</v>
      </c>
    </row>
    <row r="736" spans="1:8">
      <c r="A736">
        <v>107</v>
      </c>
      <c r="B736" t="s">
        <v>343</v>
      </c>
      <c r="C736">
        <v>49</v>
      </c>
      <c r="D736" t="s">
        <v>471</v>
      </c>
      <c r="E736" s="1">
        <v>4</v>
      </c>
      <c r="F736" s="1" t="s">
        <v>477</v>
      </c>
      <c r="G736" s="1">
        <v>60</v>
      </c>
      <c r="H736" s="1" t="s">
        <v>477</v>
      </c>
    </row>
    <row r="737" spans="1:8">
      <c r="A737">
        <v>107</v>
      </c>
      <c r="B737" t="s">
        <v>343</v>
      </c>
      <c r="C737">
        <v>49</v>
      </c>
      <c r="D737" t="s">
        <v>471</v>
      </c>
      <c r="E737" s="1">
        <v>4</v>
      </c>
      <c r="F737" s="1" t="s">
        <v>478</v>
      </c>
      <c r="G737" s="1">
        <v>70</v>
      </c>
      <c r="H737" s="1" t="s">
        <v>478</v>
      </c>
    </row>
    <row r="738" spans="1:8">
      <c r="A738">
        <v>107</v>
      </c>
      <c r="B738" t="s">
        <v>343</v>
      </c>
      <c r="C738">
        <v>49</v>
      </c>
      <c r="D738" t="s">
        <v>471</v>
      </c>
      <c r="E738" s="1">
        <v>4</v>
      </c>
      <c r="F738" s="1" t="s">
        <v>479</v>
      </c>
      <c r="G738" s="1">
        <v>80</v>
      </c>
      <c r="H738" s="1" t="s">
        <v>479</v>
      </c>
    </row>
    <row r="739" spans="1:8">
      <c r="A739">
        <v>107</v>
      </c>
      <c r="B739" t="s">
        <v>343</v>
      </c>
      <c r="C739">
        <v>49</v>
      </c>
      <c r="D739" t="s">
        <v>471</v>
      </c>
      <c r="E739" s="1">
        <v>4</v>
      </c>
      <c r="F739" s="1" t="s">
        <v>434</v>
      </c>
      <c r="H739" s="1" t="s">
        <v>434</v>
      </c>
    </row>
    <row r="740" spans="1:8">
      <c r="A740">
        <v>107</v>
      </c>
      <c r="B740" t="s">
        <v>343</v>
      </c>
      <c r="C740">
        <v>49</v>
      </c>
      <c r="D740" t="s">
        <v>471</v>
      </c>
      <c r="E740" s="1">
        <v>5</v>
      </c>
      <c r="F740" s="1" t="s">
        <v>480</v>
      </c>
      <c r="G740" s="1">
        <v>20</v>
      </c>
      <c r="H740" s="1" t="s">
        <v>480</v>
      </c>
    </row>
    <row r="741" spans="1:8">
      <c r="A741">
        <v>107</v>
      </c>
      <c r="B741" t="s">
        <v>343</v>
      </c>
      <c r="C741">
        <v>49</v>
      </c>
      <c r="D741" t="s">
        <v>471</v>
      </c>
      <c r="E741" s="1">
        <v>5</v>
      </c>
      <c r="F741" s="1" t="s">
        <v>481</v>
      </c>
      <c r="G741" s="1">
        <v>40</v>
      </c>
      <c r="H741" s="1" t="s">
        <v>481</v>
      </c>
    </row>
    <row r="742" spans="1:8">
      <c r="A742">
        <v>107</v>
      </c>
      <c r="B742" t="s">
        <v>343</v>
      </c>
      <c r="C742">
        <v>49</v>
      </c>
      <c r="D742" t="s">
        <v>471</v>
      </c>
      <c r="E742" s="1">
        <v>5</v>
      </c>
      <c r="F742" s="1" t="s">
        <v>482</v>
      </c>
      <c r="G742" s="1">
        <v>50</v>
      </c>
      <c r="H742" s="1" t="s">
        <v>482</v>
      </c>
    </row>
    <row r="743" spans="1:8">
      <c r="A743">
        <v>107</v>
      </c>
      <c r="B743" t="s">
        <v>343</v>
      </c>
      <c r="C743">
        <v>49</v>
      </c>
      <c r="D743" t="s">
        <v>471</v>
      </c>
      <c r="E743" s="1">
        <v>5</v>
      </c>
      <c r="F743" s="1" t="s">
        <v>483</v>
      </c>
      <c r="G743" s="1">
        <v>60</v>
      </c>
      <c r="H743" s="1" t="s">
        <v>483</v>
      </c>
    </row>
    <row r="744" spans="1:8">
      <c r="A744">
        <v>107</v>
      </c>
      <c r="B744" t="s">
        <v>343</v>
      </c>
      <c r="C744">
        <v>49</v>
      </c>
      <c r="D744" t="s">
        <v>471</v>
      </c>
      <c r="E744" s="1">
        <v>5</v>
      </c>
      <c r="F744" s="1" t="s">
        <v>484</v>
      </c>
      <c r="G744" s="1">
        <v>70</v>
      </c>
      <c r="H744" s="1" t="s">
        <v>484</v>
      </c>
    </row>
    <row r="745" spans="1:8">
      <c r="A745">
        <v>107</v>
      </c>
      <c r="B745" t="s">
        <v>343</v>
      </c>
      <c r="C745">
        <v>49</v>
      </c>
      <c r="D745" t="s">
        <v>471</v>
      </c>
      <c r="E745" s="1">
        <v>5</v>
      </c>
      <c r="F745" s="1" t="s">
        <v>485</v>
      </c>
      <c r="G745" s="1">
        <v>80</v>
      </c>
      <c r="H745" s="1" t="s">
        <v>485</v>
      </c>
    </row>
    <row r="746" spans="1:8">
      <c r="A746">
        <v>107</v>
      </c>
      <c r="B746" t="s">
        <v>343</v>
      </c>
      <c r="C746">
        <v>49</v>
      </c>
      <c r="D746" t="s">
        <v>471</v>
      </c>
      <c r="E746" s="1">
        <v>5</v>
      </c>
      <c r="F746" s="1" t="s">
        <v>486</v>
      </c>
      <c r="G746" s="1">
        <v>90</v>
      </c>
      <c r="H746" s="1" t="s">
        <v>486</v>
      </c>
    </row>
    <row r="747" spans="1:8">
      <c r="A747">
        <v>107</v>
      </c>
      <c r="B747" t="s">
        <v>343</v>
      </c>
      <c r="C747">
        <v>49</v>
      </c>
      <c r="D747" t="s">
        <v>471</v>
      </c>
      <c r="E747" s="1">
        <v>6</v>
      </c>
      <c r="F747" s="1" t="s">
        <v>371</v>
      </c>
      <c r="G747" s="1">
        <v>80</v>
      </c>
      <c r="H747" s="1" t="s">
        <v>371</v>
      </c>
    </row>
    <row r="748" spans="1:8">
      <c r="A748">
        <v>107</v>
      </c>
      <c r="B748" t="s">
        <v>343</v>
      </c>
      <c r="C748">
        <v>57</v>
      </c>
      <c r="D748" t="s">
        <v>183</v>
      </c>
      <c r="G748" s="1">
        <v>60</v>
      </c>
    </row>
    <row r="749" spans="1:8">
      <c r="A749">
        <v>107</v>
      </c>
      <c r="B749" t="s">
        <v>343</v>
      </c>
      <c r="C749">
        <v>58</v>
      </c>
      <c r="D749" t="s">
        <v>226</v>
      </c>
      <c r="E749" s="1">
        <v>1</v>
      </c>
      <c r="F749" s="1" t="s">
        <v>487</v>
      </c>
      <c r="G749" s="1">
        <v>60</v>
      </c>
      <c r="H749" s="1" t="s">
        <v>487</v>
      </c>
    </row>
    <row r="750" spans="1:8">
      <c r="A750">
        <v>107</v>
      </c>
      <c r="B750" t="s">
        <v>343</v>
      </c>
      <c r="C750">
        <v>58</v>
      </c>
      <c r="D750" t="s">
        <v>226</v>
      </c>
      <c r="E750" s="1">
        <v>3</v>
      </c>
      <c r="F750" s="1" t="s">
        <v>319</v>
      </c>
      <c r="G750" s="1">
        <v>60</v>
      </c>
      <c r="H750" s="1" t="s">
        <v>319</v>
      </c>
    </row>
    <row r="751" spans="1:8">
      <c r="A751">
        <v>107</v>
      </c>
      <c r="B751" t="s">
        <v>343</v>
      </c>
      <c r="C751">
        <v>74</v>
      </c>
      <c r="D751" t="s">
        <v>235</v>
      </c>
      <c r="E751" s="1">
        <v>3</v>
      </c>
      <c r="F751" s="1" t="s">
        <v>326</v>
      </c>
      <c r="G751" s="1">
        <v>40</v>
      </c>
      <c r="H751" s="1" t="s">
        <v>326</v>
      </c>
    </row>
    <row r="752" spans="1:8">
      <c r="A752">
        <v>107</v>
      </c>
      <c r="B752" t="s">
        <v>343</v>
      </c>
      <c r="C752">
        <v>74</v>
      </c>
      <c r="D752" t="s">
        <v>235</v>
      </c>
      <c r="E752" s="1">
        <v>3</v>
      </c>
      <c r="F752" s="1" t="s">
        <v>320</v>
      </c>
      <c r="G752" s="1">
        <v>50</v>
      </c>
      <c r="H752" s="1" t="s">
        <v>320</v>
      </c>
    </row>
    <row r="753" spans="1:8">
      <c r="A753">
        <v>107</v>
      </c>
      <c r="B753" t="s">
        <v>343</v>
      </c>
      <c r="C753">
        <v>74</v>
      </c>
      <c r="D753" t="s">
        <v>235</v>
      </c>
      <c r="E753" s="1">
        <v>3</v>
      </c>
      <c r="F753" s="1" t="s">
        <v>321</v>
      </c>
      <c r="G753" s="1">
        <v>60</v>
      </c>
      <c r="H753" s="1" t="s">
        <v>321</v>
      </c>
    </row>
    <row r="754" spans="1:8">
      <c r="A754">
        <v>107</v>
      </c>
      <c r="B754" t="s">
        <v>343</v>
      </c>
      <c r="C754">
        <v>90</v>
      </c>
      <c r="D754" t="s">
        <v>244</v>
      </c>
    </row>
    <row r="755" spans="1:8">
      <c r="A755">
        <v>107</v>
      </c>
      <c r="B755" t="s">
        <v>343</v>
      </c>
    </row>
    <row r="756" spans="1:8">
      <c r="A756">
        <v>108</v>
      </c>
      <c r="B756" t="s">
        <v>488</v>
      </c>
      <c r="C756">
        <v>1</v>
      </c>
      <c r="D756" t="s">
        <v>137</v>
      </c>
      <c r="E756" s="1">
        <v>1</v>
      </c>
      <c r="F756" s="1" t="s">
        <v>144</v>
      </c>
      <c r="G756" s="1">
        <v>62</v>
      </c>
      <c r="H756" s="1" t="s">
        <v>144</v>
      </c>
    </row>
    <row r="757" spans="1:8">
      <c r="A757">
        <v>108</v>
      </c>
      <c r="B757" t="s">
        <v>488</v>
      </c>
      <c r="C757">
        <v>1</v>
      </c>
      <c r="D757" t="s">
        <v>137</v>
      </c>
      <c r="E757" s="1">
        <v>1</v>
      </c>
      <c r="F757" s="1">
        <v>14</v>
      </c>
      <c r="G757" s="1">
        <v>70</v>
      </c>
      <c r="H757" s="1">
        <v>14</v>
      </c>
    </row>
    <row r="758" spans="1:8">
      <c r="A758">
        <v>108</v>
      </c>
      <c r="B758" t="s">
        <v>488</v>
      </c>
      <c r="C758">
        <v>1</v>
      </c>
      <c r="D758" t="s">
        <v>137</v>
      </c>
      <c r="E758" s="1">
        <v>1</v>
      </c>
      <c r="F758" s="1" t="s">
        <v>147</v>
      </c>
      <c r="G758" s="1">
        <v>72</v>
      </c>
      <c r="H758" s="1" t="s">
        <v>147</v>
      </c>
    </row>
    <row r="759" spans="1:8">
      <c r="A759">
        <v>108</v>
      </c>
      <c r="B759" t="s">
        <v>488</v>
      </c>
      <c r="C759">
        <v>1</v>
      </c>
      <c r="D759" t="s">
        <v>137</v>
      </c>
      <c r="E759" s="1">
        <v>1</v>
      </c>
      <c r="F759" s="1">
        <v>15</v>
      </c>
      <c r="G759" s="1">
        <v>80</v>
      </c>
      <c r="H759" s="1">
        <v>15</v>
      </c>
    </row>
    <row r="760" spans="1:8">
      <c r="A760">
        <v>108</v>
      </c>
      <c r="B760" t="s">
        <v>488</v>
      </c>
      <c r="C760">
        <v>1</v>
      </c>
      <c r="D760" t="s">
        <v>137</v>
      </c>
      <c r="E760" s="1">
        <v>1</v>
      </c>
      <c r="F760" s="1" t="s">
        <v>150</v>
      </c>
      <c r="G760" s="1">
        <v>82</v>
      </c>
      <c r="H760" s="1" t="s">
        <v>150</v>
      </c>
    </row>
    <row r="761" spans="1:8">
      <c r="A761">
        <v>108</v>
      </c>
      <c r="B761" t="s">
        <v>488</v>
      </c>
      <c r="C761">
        <v>1</v>
      </c>
      <c r="D761" t="s">
        <v>137</v>
      </c>
      <c r="E761" s="1">
        <v>1</v>
      </c>
      <c r="F761" s="1">
        <v>16</v>
      </c>
      <c r="G761" s="1">
        <v>90</v>
      </c>
      <c r="H761" s="1">
        <v>16</v>
      </c>
    </row>
    <row r="762" spans="1:8">
      <c r="A762">
        <v>108</v>
      </c>
      <c r="B762" t="s">
        <v>488</v>
      </c>
      <c r="C762">
        <v>1</v>
      </c>
      <c r="D762" t="s">
        <v>137</v>
      </c>
      <c r="E762" s="1">
        <v>1</v>
      </c>
      <c r="F762" s="1" t="s">
        <v>153</v>
      </c>
      <c r="G762" s="1">
        <v>92</v>
      </c>
      <c r="H762" s="1" t="s">
        <v>153</v>
      </c>
    </row>
    <row r="763" spans="1:8">
      <c r="A763">
        <v>108</v>
      </c>
      <c r="B763" t="s">
        <v>488</v>
      </c>
      <c r="C763">
        <v>1</v>
      </c>
      <c r="D763" t="s">
        <v>137</v>
      </c>
      <c r="E763" s="1">
        <v>1</v>
      </c>
      <c r="F763" s="1">
        <v>17</v>
      </c>
      <c r="G763" s="1">
        <v>94</v>
      </c>
      <c r="H763" s="1">
        <v>17</v>
      </c>
    </row>
    <row r="764" spans="1:8">
      <c r="A764">
        <v>108</v>
      </c>
      <c r="B764" t="s">
        <v>488</v>
      </c>
      <c r="C764">
        <v>1</v>
      </c>
      <c r="D764" t="s">
        <v>137</v>
      </c>
      <c r="E764" s="1">
        <v>1</v>
      </c>
      <c r="F764" s="1" t="s">
        <v>156</v>
      </c>
      <c r="G764" s="1">
        <v>96</v>
      </c>
      <c r="H764" s="1" t="s">
        <v>156</v>
      </c>
    </row>
    <row r="765" spans="1:8">
      <c r="A765">
        <v>108</v>
      </c>
      <c r="B765" t="s">
        <v>488</v>
      </c>
      <c r="C765">
        <v>1</v>
      </c>
      <c r="D765" t="s">
        <v>137</v>
      </c>
      <c r="E765" s="1">
        <v>2</v>
      </c>
      <c r="F765" s="1" t="s">
        <v>159</v>
      </c>
      <c r="G765" s="1">
        <v>2</v>
      </c>
      <c r="H765" s="1" t="s">
        <v>159</v>
      </c>
    </row>
    <row r="766" spans="1:8">
      <c r="A766">
        <v>108</v>
      </c>
      <c r="B766" t="s">
        <v>488</v>
      </c>
      <c r="C766">
        <v>1</v>
      </c>
      <c r="D766" t="s">
        <v>137</v>
      </c>
      <c r="E766" s="1">
        <v>2</v>
      </c>
      <c r="F766" s="1">
        <v>19</v>
      </c>
      <c r="G766" s="1">
        <v>10</v>
      </c>
      <c r="H766" s="1">
        <v>19</v>
      </c>
    </row>
    <row r="767" spans="1:8">
      <c r="A767">
        <v>108</v>
      </c>
      <c r="B767" t="s">
        <v>488</v>
      </c>
      <c r="C767">
        <v>1</v>
      </c>
      <c r="D767" t="s">
        <v>137</v>
      </c>
      <c r="E767" s="1">
        <v>2</v>
      </c>
      <c r="F767" s="1" t="s">
        <v>162</v>
      </c>
      <c r="G767" s="1">
        <v>12</v>
      </c>
      <c r="H767" s="1" t="s">
        <v>162</v>
      </c>
    </row>
    <row r="768" spans="1:8">
      <c r="A768">
        <v>108</v>
      </c>
      <c r="B768" t="s">
        <v>488</v>
      </c>
      <c r="C768">
        <v>1</v>
      </c>
      <c r="D768" t="s">
        <v>137</v>
      </c>
      <c r="E768" s="1">
        <v>2</v>
      </c>
      <c r="F768" s="1">
        <v>20</v>
      </c>
      <c r="G768" s="1">
        <v>20</v>
      </c>
      <c r="H768" s="1">
        <v>20</v>
      </c>
    </row>
    <row r="769" spans="1:8">
      <c r="A769">
        <v>108</v>
      </c>
      <c r="B769" t="s">
        <v>488</v>
      </c>
      <c r="C769">
        <v>1</v>
      </c>
      <c r="D769" t="s">
        <v>137</v>
      </c>
      <c r="E769" s="1">
        <v>2</v>
      </c>
      <c r="F769" s="1" t="s">
        <v>165</v>
      </c>
      <c r="G769" s="1">
        <v>22</v>
      </c>
      <c r="H769" s="1" t="s">
        <v>165</v>
      </c>
    </row>
    <row r="770" spans="1:8">
      <c r="A770">
        <v>108</v>
      </c>
      <c r="B770" t="s">
        <v>488</v>
      </c>
      <c r="C770">
        <v>1</v>
      </c>
      <c r="D770" t="s">
        <v>137</v>
      </c>
      <c r="E770" s="1">
        <v>2</v>
      </c>
      <c r="F770" s="1">
        <v>21</v>
      </c>
      <c r="G770" s="1">
        <v>30</v>
      </c>
      <c r="H770" s="1">
        <v>21</v>
      </c>
    </row>
    <row r="771" spans="1:8">
      <c r="A771">
        <v>108</v>
      </c>
      <c r="B771" t="s">
        <v>488</v>
      </c>
      <c r="C771">
        <v>1</v>
      </c>
      <c r="D771" t="s">
        <v>137</v>
      </c>
      <c r="E771" s="1">
        <v>2</v>
      </c>
      <c r="F771" s="1" t="s">
        <v>168</v>
      </c>
      <c r="G771" s="1">
        <v>32</v>
      </c>
      <c r="H771" s="1" t="s">
        <v>168</v>
      </c>
    </row>
    <row r="772" spans="1:8">
      <c r="A772">
        <v>108</v>
      </c>
      <c r="B772" t="s">
        <v>488</v>
      </c>
      <c r="C772">
        <v>1</v>
      </c>
      <c r="D772" t="s">
        <v>137</v>
      </c>
      <c r="E772" s="1">
        <v>2</v>
      </c>
      <c r="F772" s="1">
        <v>22</v>
      </c>
      <c r="G772" s="1">
        <v>40</v>
      </c>
      <c r="H772" s="1">
        <v>22</v>
      </c>
    </row>
    <row r="773" spans="1:8">
      <c r="A773">
        <v>108</v>
      </c>
      <c r="B773" t="s">
        <v>488</v>
      </c>
      <c r="C773">
        <v>1</v>
      </c>
      <c r="D773" t="s">
        <v>137</v>
      </c>
      <c r="E773" s="1">
        <v>2</v>
      </c>
      <c r="F773" s="1">
        <v>23</v>
      </c>
      <c r="G773" s="1">
        <v>50</v>
      </c>
      <c r="H773" s="1">
        <v>23</v>
      </c>
    </row>
    <row r="774" spans="1:8">
      <c r="A774">
        <v>108</v>
      </c>
      <c r="B774" t="s">
        <v>488</v>
      </c>
      <c r="C774">
        <v>1</v>
      </c>
      <c r="D774" t="s">
        <v>137</v>
      </c>
      <c r="E774" s="1">
        <v>2</v>
      </c>
      <c r="F774" s="1">
        <v>18</v>
      </c>
      <c r="H774" s="1">
        <v>18</v>
      </c>
    </row>
    <row r="775" spans="1:8">
      <c r="A775">
        <v>108</v>
      </c>
      <c r="B775" t="s">
        <v>488</v>
      </c>
      <c r="C775">
        <v>5</v>
      </c>
      <c r="D775" t="s">
        <v>183</v>
      </c>
      <c r="G775" s="1">
        <v>60</v>
      </c>
    </row>
    <row r="776" spans="1:8">
      <c r="A776">
        <v>108</v>
      </c>
      <c r="B776" t="s">
        <v>488</v>
      </c>
      <c r="C776">
        <v>6</v>
      </c>
      <c r="D776" t="s">
        <v>184</v>
      </c>
      <c r="E776" s="1">
        <v>1</v>
      </c>
      <c r="F776" s="1" t="s">
        <v>290</v>
      </c>
      <c r="G776" s="1">
        <v>10</v>
      </c>
      <c r="H776" s="1" t="s">
        <v>290</v>
      </c>
    </row>
    <row r="777" spans="1:8">
      <c r="A777">
        <v>108</v>
      </c>
      <c r="B777" t="s">
        <v>488</v>
      </c>
      <c r="C777">
        <v>6</v>
      </c>
      <c r="D777" t="s">
        <v>184</v>
      </c>
      <c r="G777" s="1">
        <v>63</v>
      </c>
    </row>
    <row r="778" spans="1:8">
      <c r="A778">
        <v>108</v>
      </c>
      <c r="B778" t="s">
        <v>488</v>
      </c>
      <c r="C778">
        <v>11</v>
      </c>
      <c r="D778" t="s">
        <v>186</v>
      </c>
      <c r="E778" s="1">
        <v>1</v>
      </c>
      <c r="F778" s="1" t="s">
        <v>192</v>
      </c>
      <c r="G778" s="1">
        <v>2</v>
      </c>
      <c r="H778" s="1" t="s">
        <v>192</v>
      </c>
    </row>
    <row r="779" spans="1:8">
      <c r="A779">
        <v>108</v>
      </c>
      <c r="B779" t="s">
        <v>488</v>
      </c>
      <c r="C779">
        <v>11</v>
      </c>
      <c r="D779" t="s">
        <v>186</v>
      </c>
      <c r="E779" s="1">
        <v>1</v>
      </c>
      <c r="F779" s="1">
        <v>40</v>
      </c>
      <c r="G779" s="1">
        <v>10</v>
      </c>
      <c r="H779" s="1">
        <v>40</v>
      </c>
    </row>
    <row r="780" spans="1:8">
      <c r="A780">
        <v>108</v>
      </c>
      <c r="B780" t="s">
        <v>488</v>
      </c>
      <c r="C780">
        <v>11</v>
      </c>
      <c r="D780" t="s">
        <v>186</v>
      </c>
      <c r="E780" s="1">
        <v>1</v>
      </c>
      <c r="F780" s="1" t="s">
        <v>193</v>
      </c>
      <c r="G780" s="1">
        <v>12</v>
      </c>
      <c r="H780" s="1" t="s">
        <v>193</v>
      </c>
    </row>
    <row r="781" spans="1:8">
      <c r="A781">
        <v>108</v>
      </c>
      <c r="B781" t="s">
        <v>488</v>
      </c>
      <c r="C781">
        <v>11</v>
      </c>
      <c r="D781" t="s">
        <v>186</v>
      </c>
      <c r="E781" s="1">
        <v>1</v>
      </c>
      <c r="F781" s="1">
        <v>41</v>
      </c>
      <c r="G781" s="1">
        <v>20</v>
      </c>
      <c r="H781" s="1">
        <v>41</v>
      </c>
    </row>
    <row r="782" spans="1:8">
      <c r="A782">
        <v>108</v>
      </c>
      <c r="B782" t="s">
        <v>488</v>
      </c>
      <c r="C782">
        <v>11</v>
      </c>
      <c r="D782" t="s">
        <v>186</v>
      </c>
      <c r="E782" s="1">
        <v>1</v>
      </c>
      <c r="F782" s="1" t="s">
        <v>194</v>
      </c>
      <c r="G782" s="1">
        <v>22</v>
      </c>
      <c r="H782" s="1" t="s">
        <v>194</v>
      </c>
    </row>
    <row r="783" spans="1:8">
      <c r="A783">
        <v>108</v>
      </c>
      <c r="B783" t="s">
        <v>488</v>
      </c>
      <c r="C783">
        <v>11</v>
      </c>
      <c r="D783" t="s">
        <v>186</v>
      </c>
      <c r="E783" s="1">
        <v>1</v>
      </c>
      <c r="F783" s="1">
        <v>42</v>
      </c>
      <c r="G783" s="1">
        <v>30</v>
      </c>
      <c r="H783" s="1">
        <v>42</v>
      </c>
    </row>
    <row r="784" spans="1:8">
      <c r="A784">
        <v>108</v>
      </c>
      <c r="B784" t="s">
        <v>488</v>
      </c>
      <c r="C784">
        <v>11</v>
      </c>
      <c r="D784" t="s">
        <v>186</v>
      </c>
      <c r="E784" s="1">
        <v>1</v>
      </c>
      <c r="F784" s="1" t="s">
        <v>195</v>
      </c>
      <c r="G784" s="1">
        <v>32</v>
      </c>
      <c r="H784" s="1" t="s">
        <v>195</v>
      </c>
    </row>
    <row r="785" spans="1:8">
      <c r="A785">
        <v>108</v>
      </c>
      <c r="B785" t="s">
        <v>488</v>
      </c>
      <c r="C785">
        <v>11</v>
      </c>
      <c r="D785" t="s">
        <v>186</v>
      </c>
      <c r="E785" s="1">
        <v>1</v>
      </c>
      <c r="F785" s="1">
        <v>43</v>
      </c>
      <c r="G785" s="1">
        <v>40</v>
      </c>
      <c r="H785" s="1">
        <v>43</v>
      </c>
    </row>
    <row r="786" spans="1:8">
      <c r="A786">
        <v>108</v>
      </c>
      <c r="B786" t="s">
        <v>488</v>
      </c>
      <c r="C786">
        <v>11</v>
      </c>
      <c r="D786" t="s">
        <v>186</v>
      </c>
      <c r="E786" s="1">
        <v>1</v>
      </c>
      <c r="F786" s="1" t="s">
        <v>196</v>
      </c>
      <c r="G786" s="1">
        <v>42</v>
      </c>
      <c r="H786" s="1" t="s">
        <v>196</v>
      </c>
    </row>
    <row r="787" spans="1:8">
      <c r="A787">
        <v>108</v>
      </c>
      <c r="B787" t="s">
        <v>488</v>
      </c>
      <c r="C787">
        <v>11</v>
      </c>
      <c r="D787" t="s">
        <v>186</v>
      </c>
      <c r="E787" s="1">
        <v>1</v>
      </c>
      <c r="F787" s="1">
        <v>44</v>
      </c>
      <c r="G787" s="1">
        <v>50</v>
      </c>
      <c r="H787" s="1">
        <v>44</v>
      </c>
    </row>
    <row r="788" spans="1:8">
      <c r="A788">
        <v>108</v>
      </c>
      <c r="B788" t="s">
        <v>488</v>
      </c>
      <c r="C788">
        <v>11</v>
      </c>
      <c r="D788" t="s">
        <v>186</v>
      </c>
      <c r="E788" s="1">
        <v>1</v>
      </c>
      <c r="F788" s="1" t="s">
        <v>197</v>
      </c>
      <c r="G788" s="1">
        <v>52</v>
      </c>
      <c r="H788" s="1" t="s">
        <v>197</v>
      </c>
    </row>
    <row r="789" spans="1:8">
      <c r="A789">
        <v>108</v>
      </c>
      <c r="B789" t="s">
        <v>488</v>
      </c>
      <c r="C789">
        <v>11</v>
      </c>
      <c r="D789" t="s">
        <v>186</v>
      </c>
      <c r="E789" s="1">
        <v>1</v>
      </c>
      <c r="F789" s="1">
        <v>45</v>
      </c>
      <c r="G789" s="1">
        <v>60</v>
      </c>
      <c r="H789" s="1">
        <v>45</v>
      </c>
    </row>
    <row r="790" spans="1:8">
      <c r="A790">
        <v>108</v>
      </c>
      <c r="B790" t="s">
        <v>488</v>
      </c>
      <c r="C790">
        <v>11</v>
      </c>
      <c r="D790" t="s">
        <v>186</v>
      </c>
      <c r="E790" s="1">
        <v>1</v>
      </c>
      <c r="F790" s="1" t="s">
        <v>198</v>
      </c>
      <c r="G790" s="1">
        <v>62</v>
      </c>
      <c r="H790" s="1" t="s">
        <v>198</v>
      </c>
    </row>
    <row r="791" spans="1:8">
      <c r="A791">
        <v>108</v>
      </c>
      <c r="B791" t="s">
        <v>488</v>
      </c>
      <c r="C791">
        <v>11</v>
      </c>
      <c r="D791" t="s">
        <v>186</v>
      </c>
      <c r="E791" s="1">
        <v>1</v>
      </c>
      <c r="F791" s="1" t="s">
        <v>199</v>
      </c>
      <c r="G791" s="1">
        <v>72</v>
      </c>
      <c r="H791" s="1" t="s">
        <v>199</v>
      </c>
    </row>
    <row r="792" spans="1:8">
      <c r="A792">
        <v>108</v>
      </c>
      <c r="B792" t="s">
        <v>488</v>
      </c>
      <c r="C792">
        <v>11</v>
      </c>
      <c r="D792" t="s">
        <v>186</v>
      </c>
      <c r="E792" s="1">
        <v>1</v>
      </c>
      <c r="F792" s="1">
        <v>39</v>
      </c>
      <c r="H792" s="1">
        <v>39</v>
      </c>
    </row>
    <row r="793" spans="1:8">
      <c r="A793">
        <v>108</v>
      </c>
      <c r="B793" t="s">
        <v>488</v>
      </c>
      <c r="C793">
        <v>11</v>
      </c>
      <c r="D793" t="s">
        <v>186</v>
      </c>
      <c r="G793" s="1">
        <v>96</v>
      </c>
    </row>
    <row r="794" spans="1:8">
      <c r="A794">
        <v>108</v>
      </c>
      <c r="B794" t="s">
        <v>488</v>
      </c>
      <c r="C794">
        <v>15</v>
      </c>
      <c r="D794" t="s">
        <v>201</v>
      </c>
      <c r="E794" s="1">
        <v>1</v>
      </c>
      <c r="F794" s="1" t="s">
        <v>489</v>
      </c>
      <c r="G794" s="1">
        <v>70</v>
      </c>
      <c r="H794" s="1" t="s">
        <v>489</v>
      </c>
    </row>
    <row r="795" spans="1:8">
      <c r="A795">
        <v>108</v>
      </c>
      <c r="B795" t="s">
        <v>488</v>
      </c>
      <c r="C795">
        <v>21</v>
      </c>
      <c r="D795" t="s">
        <v>205</v>
      </c>
      <c r="E795" s="1">
        <v>1</v>
      </c>
      <c r="F795" s="1" t="s">
        <v>329</v>
      </c>
      <c r="G795" s="1">
        <v>30</v>
      </c>
      <c r="H795" s="1" t="s">
        <v>329</v>
      </c>
    </row>
    <row r="796" spans="1:8">
      <c r="A796">
        <v>108</v>
      </c>
      <c r="B796" t="s">
        <v>488</v>
      </c>
      <c r="C796">
        <v>21</v>
      </c>
      <c r="D796" t="s">
        <v>205</v>
      </c>
      <c r="E796" s="1">
        <v>1</v>
      </c>
      <c r="F796" s="1" t="s">
        <v>288</v>
      </c>
      <c r="G796" s="1">
        <v>62</v>
      </c>
      <c r="H796" s="1" t="s">
        <v>288</v>
      </c>
    </row>
    <row r="797" spans="1:8">
      <c r="A797">
        <v>108</v>
      </c>
      <c r="B797" t="s">
        <v>488</v>
      </c>
      <c r="C797">
        <v>24</v>
      </c>
      <c r="D797" t="s">
        <v>208</v>
      </c>
      <c r="E797" s="1">
        <v>1</v>
      </c>
      <c r="F797" s="1" t="s">
        <v>374</v>
      </c>
      <c r="H797" s="1" t="s">
        <v>374</v>
      </c>
    </row>
    <row r="798" spans="1:8">
      <c r="A798">
        <v>108</v>
      </c>
      <c r="B798" t="s">
        <v>488</v>
      </c>
      <c r="C798">
        <v>45</v>
      </c>
      <c r="D798" t="s">
        <v>223</v>
      </c>
      <c r="E798" s="1">
        <v>1</v>
      </c>
      <c r="F798" s="1" t="s">
        <v>324</v>
      </c>
      <c r="G798" s="1">
        <v>4</v>
      </c>
      <c r="H798" s="1" t="s">
        <v>325</v>
      </c>
    </row>
    <row r="799" spans="1:8">
      <c r="A799">
        <v>108</v>
      </c>
      <c r="B799" t="s">
        <v>488</v>
      </c>
      <c r="C799">
        <v>45</v>
      </c>
      <c r="D799" t="s">
        <v>223</v>
      </c>
      <c r="E799" s="1">
        <v>1</v>
      </c>
      <c r="F799" s="1" t="s">
        <v>336</v>
      </c>
      <c r="G799" s="1">
        <v>13</v>
      </c>
      <c r="H799" s="1" t="s">
        <v>337</v>
      </c>
    </row>
    <row r="800" spans="1:8">
      <c r="A800">
        <v>108</v>
      </c>
      <c r="B800" t="s">
        <v>488</v>
      </c>
      <c r="C800">
        <v>45</v>
      </c>
      <c r="D800" t="s">
        <v>223</v>
      </c>
      <c r="E800" s="1">
        <v>2</v>
      </c>
      <c r="F800" s="1" t="s">
        <v>490</v>
      </c>
      <c r="G800" s="1">
        <v>21</v>
      </c>
      <c r="H800" s="1" t="s">
        <v>491</v>
      </c>
    </row>
    <row r="801" spans="1:8">
      <c r="A801">
        <v>108</v>
      </c>
      <c r="B801" t="s">
        <v>488</v>
      </c>
      <c r="C801">
        <v>57</v>
      </c>
      <c r="D801" t="s">
        <v>183</v>
      </c>
      <c r="E801" s="1">
        <v>3</v>
      </c>
      <c r="F801" s="1" t="s">
        <v>492</v>
      </c>
      <c r="G801" s="1">
        <v>50</v>
      </c>
      <c r="H801" s="1" t="s">
        <v>492</v>
      </c>
    </row>
    <row r="802" spans="1:8">
      <c r="A802">
        <v>108</v>
      </c>
      <c r="B802" t="s">
        <v>488</v>
      </c>
      <c r="C802">
        <v>59</v>
      </c>
      <c r="D802" t="s">
        <v>227</v>
      </c>
      <c r="G802" s="1">
        <v>23</v>
      </c>
    </row>
    <row r="803" spans="1:8">
      <c r="A803">
        <v>108</v>
      </c>
      <c r="B803" t="s">
        <v>488</v>
      </c>
      <c r="C803">
        <v>60</v>
      </c>
      <c r="D803" t="s">
        <v>493</v>
      </c>
      <c r="E803" s="1">
        <v>1</v>
      </c>
      <c r="F803" s="1">
        <v>10</v>
      </c>
      <c r="H803" s="1">
        <v>10</v>
      </c>
    </row>
    <row r="804" spans="1:8">
      <c r="A804">
        <v>108</v>
      </c>
      <c r="B804" t="s">
        <v>488</v>
      </c>
      <c r="C804">
        <v>60</v>
      </c>
      <c r="D804" t="s">
        <v>493</v>
      </c>
      <c r="G804" s="1">
        <v>60</v>
      </c>
    </row>
    <row r="805" spans="1:8">
      <c r="A805">
        <v>108</v>
      </c>
      <c r="B805" t="s">
        <v>488</v>
      </c>
      <c r="C805">
        <v>83</v>
      </c>
      <c r="D805" t="s">
        <v>240</v>
      </c>
      <c r="G805" s="1">
        <v>10</v>
      </c>
    </row>
    <row r="806" spans="1:8">
      <c r="A806">
        <v>108</v>
      </c>
      <c r="B806" t="s">
        <v>488</v>
      </c>
      <c r="C806">
        <v>83</v>
      </c>
      <c r="D806" t="s">
        <v>240</v>
      </c>
      <c r="G806" s="1">
        <v>14</v>
      </c>
    </row>
    <row r="807" spans="1:8">
      <c r="A807">
        <v>108</v>
      </c>
      <c r="B807" t="s">
        <v>488</v>
      </c>
      <c r="C807">
        <v>83</v>
      </c>
      <c r="D807" t="s">
        <v>240</v>
      </c>
      <c r="G807" s="1">
        <v>20</v>
      </c>
    </row>
    <row r="808" spans="1:8">
      <c r="A808">
        <v>108</v>
      </c>
      <c r="B808" t="s">
        <v>488</v>
      </c>
      <c r="C808">
        <v>83</v>
      </c>
      <c r="D808" t="s">
        <v>240</v>
      </c>
      <c r="G808" s="1">
        <v>30</v>
      </c>
    </row>
    <row r="809" spans="1:8">
      <c r="A809">
        <v>108</v>
      </c>
      <c r="B809" t="s">
        <v>488</v>
      </c>
      <c r="C809">
        <v>83</v>
      </c>
      <c r="D809" t="s">
        <v>240</v>
      </c>
      <c r="G809" s="1">
        <v>32</v>
      </c>
    </row>
    <row r="810" spans="1:8">
      <c r="A810">
        <v>108</v>
      </c>
      <c r="B810" t="s">
        <v>488</v>
      </c>
      <c r="C810">
        <v>83</v>
      </c>
      <c r="D810" t="s">
        <v>240</v>
      </c>
      <c r="G810" s="1">
        <v>40</v>
      </c>
    </row>
    <row r="811" spans="1:8">
      <c r="A811">
        <v>108</v>
      </c>
      <c r="B811" t="s">
        <v>488</v>
      </c>
      <c r="C811">
        <v>83</v>
      </c>
      <c r="D811" t="s">
        <v>240</v>
      </c>
      <c r="G811" s="1">
        <v>50</v>
      </c>
    </row>
    <row r="812" spans="1:8">
      <c r="A812">
        <v>108</v>
      </c>
      <c r="B812" t="s">
        <v>488</v>
      </c>
      <c r="C812">
        <v>84</v>
      </c>
      <c r="D812" t="s">
        <v>241</v>
      </c>
      <c r="G812" s="1">
        <v>10</v>
      </c>
    </row>
    <row r="813" spans="1:8">
      <c r="A813">
        <v>108</v>
      </c>
      <c r="B813" t="s">
        <v>488</v>
      </c>
      <c r="C813">
        <v>84</v>
      </c>
      <c r="D813" t="s">
        <v>241</v>
      </c>
      <c r="G813" s="1">
        <v>20</v>
      </c>
    </row>
    <row r="814" spans="1:8">
      <c r="A814">
        <v>108</v>
      </c>
      <c r="B814" t="s">
        <v>488</v>
      </c>
      <c r="C814">
        <v>84</v>
      </c>
      <c r="D814" t="s">
        <v>241</v>
      </c>
      <c r="G814" s="1">
        <v>21</v>
      </c>
    </row>
    <row r="815" spans="1:8">
      <c r="A815">
        <v>108</v>
      </c>
      <c r="B815" t="s">
        <v>488</v>
      </c>
      <c r="C815">
        <v>84</v>
      </c>
      <c r="D815" t="s">
        <v>241</v>
      </c>
      <c r="G815" s="1">
        <v>30</v>
      </c>
    </row>
    <row r="816" spans="1:8">
      <c r="A816">
        <v>109</v>
      </c>
      <c r="B816" t="s">
        <v>494</v>
      </c>
      <c r="C816">
        <v>1</v>
      </c>
      <c r="D816" t="s">
        <v>137</v>
      </c>
      <c r="E816" s="1">
        <v>1</v>
      </c>
      <c r="F816" s="1" t="s">
        <v>150</v>
      </c>
      <c r="G816" s="1">
        <v>82</v>
      </c>
      <c r="H816" s="1" t="s">
        <v>150</v>
      </c>
    </row>
    <row r="817" spans="1:8">
      <c r="A817">
        <v>109</v>
      </c>
      <c r="B817" t="s">
        <v>494</v>
      </c>
      <c r="C817">
        <v>1</v>
      </c>
      <c r="D817" t="s">
        <v>137</v>
      </c>
      <c r="E817" s="1">
        <v>1</v>
      </c>
      <c r="F817" s="1">
        <v>16</v>
      </c>
      <c r="G817" s="1">
        <v>90</v>
      </c>
      <c r="H817" s="1">
        <v>16</v>
      </c>
    </row>
    <row r="818" spans="1:8">
      <c r="A818">
        <v>109</v>
      </c>
      <c r="B818" t="s">
        <v>494</v>
      </c>
      <c r="C818">
        <v>1</v>
      </c>
      <c r="D818" t="s">
        <v>137</v>
      </c>
      <c r="E818" s="1">
        <v>1</v>
      </c>
      <c r="F818" s="1">
        <v>17</v>
      </c>
      <c r="G818" s="1">
        <v>94</v>
      </c>
      <c r="H818" s="1">
        <v>17</v>
      </c>
    </row>
    <row r="819" spans="1:8">
      <c r="A819">
        <v>109</v>
      </c>
      <c r="B819" t="s">
        <v>494</v>
      </c>
      <c r="C819">
        <v>1</v>
      </c>
      <c r="D819" t="s">
        <v>137</v>
      </c>
      <c r="E819" s="1">
        <v>1</v>
      </c>
      <c r="F819" s="1" t="s">
        <v>156</v>
      </c>
      <c r="G819" s="1">
        <v>96</v>
      </c>
      <c r="H819" s="1" t="s">
        <v>156</v>
      </c>
    </row>
    <row r="820" spans="1:8">
      <c r="A820">
        <v>109</v>
      </c>
      <c r="B820" t="s">
        <v>494</v>
      </c>
      <c r="C820">
        <v>1</v>
      </c>
      <c r="D820" t="s">
        <v>137</v>
      </c>
      <c r="E820" s="1">
        <v>2</v>
      </c>
      <c r="F820" s="1" t="s">
        <v>159</v>
      </c>
      <c r="G820" s="1">
        <v>2</v>
      </c>
      <c r="H820" s="1" t="s">
        <v>159</v>
      </c>
    </row>
    <row r="821" spans="1:8">
      <c r="A821">
        <v>109</v>
      </c>
      <c r="B821" t="s">
        <v>494</v>
      </c>
      <c r="C821">
        <v>1</v>
      </c>
      <c r="D821" t="s">
        <v>137</v>
      </c>
      <c r="E821" s="1">
        <v>2</v>
      </c>
      <c r="F821" s="1">
        <v>19</v>
      </c>
      <c r="G821" s="1">
        <v>10</v>
      </c>
      <c r="H821" s="1">
        <v>19</v>
      </c>
    </row>
    <row r="822" spans="1:8">
      <c r="A822">
        <v>109</v>
      </c>
      <c r="B822" t="s">
        <v>494</v>
      </c>
      <c r="C822">
        <v>1</v>
      </c>
      <c r="D822" t="s">
        <v>137</v>
      </c>
      <c r="E822" s="1">
        <v>2</v>
      </c>
      <c r="F822" s="1" t="s">
        <v>162</v>
      </c>
      <c r="G822" s="1">
        <v>12</v>
      </c>
      <c r="H822" s="1" t="s">
        <v>162</v>
      </c>
    </row>
    <row r="823" spans="1:8">
      <c r="A823">
        <v>109</v>
      </c>
      <c r="B823" t="s">
        <v>494</v>
      </c>
      <c r="C823">
        <v>1</v>
      </c>
      <c r="D823" t="s">
        <v>137</v>
      </c>
      <c r="E823" s="1">
        <v>2</v>
      </c>
      <c r="F823" s="1">
        <v>20</v>
      </c>
      <c r="G823" s="1">
        <v>20</v>
      </c>
      <c r="H823" s="1">
        <v>20</v>
      </c>
    </row>
    <row r="824" spans="1:8">
      <c r="A824">
        <v>109</v>
      </c>
      <c r="B824" t="s">
        <v>494</v>
      </c>
      <c r="C824">
        <v>1</v>
      </c>
      <c r="D824" t="s">
        <v>137</v>
      </c>
      <c r="E824" s="1">
        <v>2</v>
      </c>
      <c r="F824" s="1" t="s">
        <v>165</v>
      </c>
      <c r="G824" s="1">
        <v>22</v>
      </c>
      <c r="H824" s="1" t="s">
        <v>165</v>
      </c>
    </row>
    <row r="825" spans="1:8">
      <c r="A825">
        <v>109</v>
      </c>
      <c r="B825" t="s">
        <v>494</v>
      </c>
      <c r="C825">
        <v>1</v>
      </c>
      <c r="D825" t="s">
        <v>137</v>
      </c>
      <c r="E825" s="1">
        <v>2</v>
      </c>
      <c r="F825" s="1">
        <v>21</v>
      </c>
      <c r="G825" s="1">
        <v>30</v>
      </c>
      <c r="H825" s="1">
        <v>21</v>
      </c>
    </row>
    <row r="826" spans="1:8">
      <c r="A826">
        <v>109</v>
      </c>
      <c r="B826" t="s">
        <v>494</v>
      </c>
      <c r="C826">
        <v>1</v>
      </c>
      <c r="D826" t="s">
        <v>137</v>
      </c>
      <c r="E826" s="1">
        <v>2</v>
      </c>
      <c r="F826" s="1" t="s">
        <v>168</v>
      </c>
      <c r="G826" s="1">
        <v>32</v>
      </c>
      <c r="H826" s="1" t="s">
        <v>168</v>
      </c>
    </row>
    <row r="827" spans="1:8">
      <c r="A827">
        <v>109</v>
      </c>
      <c r="B827" t="s">
        <v>494</v>
      </c>
      <c r="C827">
        <v>1</v>
      </c>
      <c r="D827" t="s">
        <v>137</v>
      </c>
      <c r="E827" s="1">
        <v>2</v>
      </c>
      <c r="F827" s="1">
        <v>22</v>
      </c>
      <c r="G827" s="1">
        <v>40</v>
      </c>
      <c r="H827" s="1">
        <v>22</v>
      </c>
    </row>
    <row r="828" spans="1:8">
      <c r="A828">
        <v>109</v>
      </c>
      <c r="B828" t="s">
        <v>494</v>
      </c>
      <c r="C828">
        <v>1</v>
      </c>
      <c r="D828" t="s">
        <v>137</v>
      </c>
      <c r="E828" s="1">
        <v>2</v>
      </c>
      <c r="F828" s="1">
        <v>18</v>
      </c>
      <c r="H828" s="1">
        <v>18</v>
      </c>
    </row>
    <row r="829" spans="1:8">
      <c r="A829">
        <v>109</v>
      </c>
      <c r="B829" t="s">
        <v>494</v>
      </c>
      <c r="C829">
        <v>6</v>
      </c>
      <c r="D829" t="s">
        <v>184</v>
      </c>
      <c r="G829" s="1">
        <v>63</v>
      </c>
    </row>
    <row r="830" spans="1:8">
      <c r="A830">
        <v>109</v>
      </c>
      <c r="B830" t="s">
        <v>494</v>
      </c>
      <c r="C830">
        <v>9</v>
      </c>
      <c r="D830" t="s">
        <v>185</v>
      </c>
      <c r="E830" s="1">
        <v>1</v>
      </c>
      <c r="F830" s="1" t="s">
        <v>495</v>
      </c>
      <c r="G830" s="1">
        <v>12</v>
      </c>
      <c r="H830" s="1" t="s">
        <v>495</v>
      </c>
    </row>
    <row r="831" spans="1:8">
      <c r="A831">
        <v>109</v>
      </c>
      <c r="B831" t="s">
        <v>494</v>
      </c>
      <c r="C831">
        <v>9</v>
      </c>
      <c r="D831" t="s">
        <v>185</v>
      </c>
      <c r="E831" s="1">
        <v>1</v>
      </c>
      <c r="F831" s="1" t="s">
        <v>496</v>
      </c>
      <c r="G831" s="1">
        <v>22</v>
      </c>
      <c r="H831" s="1" t="s">
        <v>496</v>
      </c>
    </row>
    <row r="832" spans="1:8">
      <c r="A832">
        <v>109</v>
      </c>
      <c r="B832" t="s">
        <v>494</v>
      </c>
      <c r="C832">
        <v>9</v>
      </c>
      <c r="D832" t="s">
        <v>185</v>
      </c>
      <c r="E832" s="1">
        <v>1</v>
      </c>
      <c r="F832" s="1" t="s">
        <v>272</v>
      </c>
      <c r="G832" s="1">
        <v>30</v>
      </c>
      <c r="H832" s="1" t="s">
        <v>272</v>
      </c>
    </row>
    <row r="833" spans="1:8">
      <c r="A833">
        <v>109</v>
      </c>
      <c r="B833" t="s">
        <v>494</v>
      </c>
      <c r="C833">
        <v>9</v>
      </c>
      <c r="D833" t="s">
        <v>185</v>
      </c>
      <c r="E833" s="1">
        <v>1</v>
      </c>
      <c r="F833" s="1" t="s">
        <v>497</v>
      </c>
      <c r="G833" s="1">
        <v>40</v>
      </c>
      <c r="H833" s="1" t="s">
        <v>497</v>
      </c>
    </row>
    <row r="834" spans="1:8">
      <c r="A834">
        <v>109</v>
      </c>
      <c r="B834" t="s">
        <v>494</v>
      </c>
      <c r="C834">
        <v>9</v>
      </c>
      <c r="D834" t="s">
        <v>185</v>
      </c>
      <c r="E834" s="1">
        <v>1</v>
      </c>
      <c r="F834" s="1" t="s">
        <v>273</v>
      </c>
      <c r="G834" s="1">
        <v>42</v>
      </c>
      <c r="H834" s="1" t="s">
        <v>273</v>
      </c>
    </row>
    <row r="835" spans="1:8">
      <c r="A835">
        <v>109</v>
      </c>
      <c r="B835" t="s">
        <v>494</v>
      </c>
      <c r="C835">
        <v>9</v>
      </c>
      <c r="D835" t="s">
        <v>185</v>
      </c>
      <c r="E835" s="1">
        <v>1</v>
      </c>
      <c r="F835" s="1" t="s">
        <v>274</v>
      </c>
      <c r="G835" s="1">
        <v>50</v>
      </c>
      <c r="H835" s="1" t="s">
        <v>274</v>
      </c>
    </row>
    <row r="836" spans="1:8">
      <c r="A836">
        <v>109</v>
      </c>
      <c r="B836" t="s">
        <v>494</v>
      </c>
      <c r="C836">
        <v>9</v>
      </c>
      <c r="D836" t="s">
        <v>185</v>
      </c>
      <c r="E836" s="1">
        <v>1</v>
      </c>
      <c r="F836" s="1" t="s">
        <v>275</v>
      </c>
      <c r="G836" s="1">
        <v>52</v>
      </c>
      <c r="H836" s="1" t="s">
        <v>275</v>
      </c>
    </row>
    <row r="837" spans="1:8">
      <c r="A837">
        <v>109</v>
      </c>
      <c r="B837" t="s">
        <v>494</v>
      </c>
      <c r="C837">
        <v>9</v>
      </c>
      <c r="D837" t="s">
        <v>185</v>
      </c>
      <c r="E837" s="1">
        <v>1</v>
      </c>
      <c r="F837" s="1" t="s">
        <v>498</v>
      </c>
      <c r="G837" s="1">
        <v>54</v>
      </c>
      <c r="H837" s="1" t="s">
        <v>498</v>
      </c>
    </row>
    <row r="838" spans="1:8">
      <c r="A838">
        <v>109</v>
      </c>
      <c r="B838" t="s">
        <v>494</v>
      </c>
      <c r="C838">
        <v>9</v>
      </c>
      <c r="D838" t="s">
        <v>185</v>
      </c>
      <c r="E838" s="1">
        <v>1</v>
      </c>
      <c r="F838" s="1" t="s">
        <v>276</v>
      </c>
      <c r="G838" s="1">
        <v>60</v>
      </c>
      <c r="H838" s="1" t="s">
        <v>276</v>
      </c>
    </row>
    <row r="839" spans="1:8">
      <c r="A839">
        <v>109</v>
      </c>
      <c r="B839" t="s">
        <v>494</v>
      </c>
      <c r="C839">
        <v>9</v>
      </c>
      <c r="D839" t="s">
        <v>185</v>
      </c>
      <c r="E839" s="1">
        <v>1</v>
      </c>
      <c r="F839" s="1" t="s">
        <v>277</v>
      </c>
      <c r="G839" s="1">
        <v>62</v>
      </c>
      <c r="H839" s="1" t="s">
        <v>277</v>
      </c>
    </row>
    <row r="840" spans="1:8">
      <c r="A840">
        <v>109</v>
      </c>
      <c r="B840" t="s">
        <v>494</v>
      </c>
      <c r="C840">
        <v>9</v>
      </c>
      <c r="D840" t="s">
        <v>185</v>
      </c>
      <c r="E840" s="1">
        <v>3</v>
      </c>
      <c r="F840" s="1" t="s">
        <v>499</v>
      </c>
      <c r="G840" s="1">
        <v>2</v>
      </c>
      <c r="H840" s="1" t="s">
        <v>499</v>
      </c>
    </row>
    <row r="841" spans="1:8">
      <c r="A841">
        <v>109</v>
      </c>
      <c r="B841" t="s">
        <v>494</v>
      </c>
      <c r="C841">
        <v>9</v>
      </c>
      <c r="D841" t="s">
        <v>185</v>
      </c>
      <c r="E841" s="1">
        <v>3</v>
      </c>
      <c r="F841" s="1" t="s">
        <v>500</v>
      </c>
      <c r="G841" s="1">
        <v>10</v>
      </c>
      <c r="H841" s="1" t="s">
        <v>500</v>
      </c>
    </row>
    <row r="842" spans="1:8">
      <c r="A842">
        <v>109</v>
      </c>
      <c r="B842" t="s">
        <v>494</v>
      </c>
      <c r="C842">
        <v>9</v>
      </c>
      <c r="D842" t="s">
        <v>185</v>
      </c>
      <c r="E842" s="1">
        <v>3</v>
      </c>
      <c r="F842" s="1" t="s">
        <v>501</v>
      </c>
      <c r="G842" s="1">
        <v>12</v>
      </c>
      <c r="H842" s="1" t="s">
        <v>501</v>
      </c>
    </row>
    <row r="843" spans="1:8">
      <c r="A843">
        <v>109</v>
      </c>
      <c r="B843" t="s">
        <v>494</v>
      </c>
      <c r="C843">
        <v>9</v>
      </c>
      <c r="D843" t="s">
        <v>185</v>
      </c>
      <c r="E843" s="1">
        <v>3</v>
      </c>
      <c r="F843" s="1" t="s">
        <v>502</v>
      </c>
      <c r="G843" s="1">
        <v>20</v>
      </c>
      <c r="H843" s="1" t="s">
        <v>502</v>
      </c>
    </row>
    <row r="844" spans="1:8">
      <c r="A844">
        <v>109</v>
      </c>
      <c r="B844" t="s">
        <v>494</v>
      </c>
      <c r="C844">
        <v>9</v>
      </c>
      <c r="D844" t="s">
        <v>185</v>
      </c>
      <c r="E844" s="1">
        <v>3</v>
      </c>
      <c r="F844" s="1" t="s">
        <v>503</v>
      </c>
      <c r="G844" s="1">
        <v>22</v>
      </c>
      <c r="H844" s="1" t="s">
        <v>503</v>
      </c>
    </row>
    <row r="845" spans="1:8">
      <c r="A845">
        <v>109</v>
      </c>
      <c r="B845" t="s">
        <v>494</v>
      </c>
      <c r="C845">
        <v>9</v>
      </c>
      <c r="D845" t="s">
        <v>185</v>
      </c>
      <c r="E845" s="1">
        <v>3</v>
      </c>
      <c r="F845" s="1" t="s">
        <v>504</v>
      </c>
      <c r="G845" s="1">
        <v>30</v>
      </c>
      <c r="H845" s="1" t="s">
        <v>504</v>
      </c>
    </row>
    <row r="846" spans="1:8">
      <c r="A846">
        <v>109</v>
      </c>
      <c r="B846" t="s">
        <v>494</v>
      </c>
      <c r="C846">
        <v>9</v>
      </c>
      <c r="D846" t="s">
        <v>185</v>
      </c>
      <c r="E846" s="1">
        <v>3</v>
      </c>
      <c r="F846" s="1" t="s">
        <v>278</v>
      </c>
      <c r="G846" s="1">
        <v>32</v>
      </c>
      <c r="H846" s="1" t="s">
        <v>278</v>
      </c>
    </row>
    <row r="847" spans="1:8">
      <c r="A847">
        <v>109</v>
      </c>
      <c r="B847" t="s">
        <v>494</v>
      </c>
      <c r="C847">
        <v>9</v>
      </c>
      <c r="D847" t="s">
        <v>185</v>
      </c>
      <c r="E847" s="1">
        <v>3</v>
      </c>
      <c r="F847" s="1" t="s">
        <v>279</v>
      </c>
      <c r="G847" s="1">
        <v>40</v>
      </c>
      <c r="H847" s="1" t="s">
        <v>279</v>
      </c>
    </row>
    <row r="848" spans="1:8">
      <c r="A848">
        <v>109</v>
      </c>
      <c r="B848" t="s">
        <v>494</v>
      </c>
      <c r="C848">
        <v>9</v>
      </c>
      <c r="D848" t="s">
        <v>185</v>
      </c>
      <c r="E848" s="1">
        <v>3</v>
      </c>
      <c r="F848" s="1" t="s">
        <v>505</v>
      </c>
      <c r="G848" s="1">
        <v>42</v>
      </c>
      <c r="H848" s="1" t="s">
        <v>505</v>
      </c>
    </row>
    <row r="849" spans="1:8">
      <c r="A849">
        <v>109</v>
      </c>
      <c r="B849" t="s">
        <v>494</v>
      </c>
      <c r="C849">
        <v>9</v>
      </c>
      <c r="D849" t="s">
        <v>185</v>
      </c>
      <c r="E849" s="1">
        <v>3</v>
      </c>
      <c r="F849" s="1" t="s">
        <v>280</v>
      </c>
      <c r="G849" s="1">
        <v>50</v>
      </c>
      <c r="H849" s="1" t="s">
        <v>280</v>
      </c>
    </row>
    <row r="850" spans="1:8">
      <c r="A850">
        <v>109</v>
      </c>
      <c r="B850" t="s">
        <v>494</v>
      </c>
      <c r="C850">
        <v>9</v>
      </c>
      <c r="D850" t="s">
        <v>185</v>
      </c>
      <c r="E850" s="1">
        <v>3</v>
      </c>
      <c r="F850" s="1" t="s">
        <v>281</v>
      </c>
      <c r="G850" s="1">
        <v>52</v>
      </c>
      <c r="H850" s="1" t="s">
        <v>281</v>
      </c>
    </row>
    <row r="851" spans="1:8">
      <c r="A851">
        <v>109</v>
      </c>
      <c r="B851" t="s">
        <v>494</v>
      </c>
      <c r="C851">
        <v>9</v>
      </c>
      <c r="D851" t="s">
        <v>185</v>
      </c>
      <c r="E851" s="1">
        <v>3</v>
      </c>
      <c r="F851" s="1" t="s">
        <v>282</v>
      </c>
      <c r="G851" s="1">
        <v>60</v>
      </c>
      <c r="H851" s="1" t="s">
        <v>282</v>
      </c>
    </row>
    <row r="852" spans="1:8">
      <c r="A852">
        <v>109</v>
      </c>
      <c r="B852" t="s">
        <v>494</v>
      </c>
      <c r="C852">
        <v>9</v>
      </c>
      <c r="D852" t="s">
        <v>185</v>
      </c>
      <c r="E852" s="1">
        <v>3</v>
      </c>
      <c r="F852" s="1" t="s">
        <v>283</v>
      </c>
      <c r="G852" s="1">
        <v>62</v>
      </c>
      <c r="H852" s="1" t="s">
        <v>283</v>
      </c>
    </row>
    <row r="853" spans="1:8">
      <c r="A853">
        <v>109</v>
      </c>
      <c r="B853" t="s">
        <v>494</v>
      </c>
      <c r="C853">
        <v>11</v>
      </c>
      <c r="D853" t="s">
        <v>186</v>
      </c>
      <c r="E853" s="1">
        <v>1</v>
      </c>
      <c r="F853" s="1">
        <v>40</v>
      </c>
      <c r="G853" s="1">
        <v>10</v>
      </c>
      <c r="H853" s="1">
        <v>40</v>
      </c>
    </row>
    <row r="854" spans="1:8">
      <c r="A854">
        <v>109</v>
      </c>
      <c r="B854" t="s">
        <v>494</v>
      </c>
      <c r="C854">
        <v>11</v>
      </c>
      <c r="D854" t="s">
        <v>186</v>
      </c>
      <c r="E854" s="1">
        <v>1</v>
      </c>
      <c r="F854" s="1" t="s">
        <v>193</v>
      </c>
      <c r="G854" s="1">
        <v>12</v>
      </c>
      <c r="H854" s="1" t="s">
        <v>193</v>
      </c>
    </row>
    <row r="855" spans="1:8">
      <c r="A855">
        <v>109</v>
      </c>
      <c r="B855" t="s">
        <v>494</v>
      </c>
      <c r="C855">
        <v>11</v>
      </c>
      <c r="D855" t="s">
        <v>186</v>
      </c>
      <c r="E855" s="1">
        <v>1</v>
      </c>
      <c r="F855" s="1" t="s">
        <v>196</v>
      </c>
      <c r="G855" s="1">
        <v>42</v>
      </c>
      <c r="H855" s="1" t="s">
        <v>196</v>
      </c>
    </row>
    <row r="856" spans="1:8">
      <c r="A856">
        <v>109</v>
      </c>
      <c r="B856" t="s">
        <v>494</v>
      </c>
      <c r="C856">
        <v>15</v>
      </c>
      <c r="D856" t="s">
        <v>201</v>
      </c>
      <c r="E856" s="1">
        <v>4</v>
      </c>
      <c r="F856" s="1" t="s">
        <v>286</v>
      </c>
      <c r="G856" s="1">
        <v>70</v>
      </c>
      <c r="H856" s="1" t="s">
        <v>286</v>
      </c>
    </row>
    <row r="857" spans="1:8">
      <c r="A857">
        <v>109</v>
      </c>
      <c r="B857" t="s">
        <v>494</v>
      </c>
      <c r="C857">
        <v>21</v>
      </c>
      <c r="D857" t="s">
        <v>205</v>
      </c>
      <c r="E857" s="1">
        <v>1</v>
      </c>
      <c r="F857" s="1" t="s">
        <v>330</v>
      </c>
      <c r="G857" s="1">
        <v>42</v>
      </c>
      <c r="H857" s="1" t="s">
        <v>330</v>
      </c>
    </row>
    <row r="858" spans="1:8">
      <c r="A858">
        <v>109</v>
      </c>
      <c r="B858" t="s">
        <v>494</v>
      </c>
      <c r="C858">
        <v>21</v>
      </c>
      <c r="D858" t="s">
        <v>205</v>
      </c>
      <c r="E858" s="1">
        <v>1</v>
      </c>
      <c r="F858" s="1" t="s">
        <v>288</v>
      </c>
      <c r="G858" s="1">
        <v>62</v>
      </c>
      <c r="H858" s="1" t="s">
        <v>288</v>
      </c>
    </row>
    <row r="859" spans="1:8">
      <c r="A859">
        <v>109</v>
      </c>
      <c r="B859" t="s">
        <v>494</v>
      </c>
      <c r="C859">
        <v>59</v>
      </c>
      <c r="D859" t="s">
        <v>227</v>
      </c>
      <c r="E859" s="1">
        <v>3</v>
      </c>
      <c r="F859" s="1" t="s">
        <v>295</v>
      </c>
      <c r="G859" s="1">
        <v>23</v>
      </c>
      <c r="H859" s="1" t="s">
        <v>295</v>
      </c>
    </row>
    <row r="860" spans="1:8">
      <c r="A860">
        <v>109</v>
      </c>
      <c r="B860" t="s">
        <v>494</v>
      </c>
      <c r="C860">
        <v>59</v>
      </c>
      <c r="D860" t="s">
        <v>227</v>
      </c>
      <c r="G860" s="1">
        <v>23</v>
      </c>
    </row>
    <row r="861" spans="1:8">
      <c r="A861">
        <v>109</v>
      </c>
      <c r="B861" t="s">
        <v>494</v>
      </c>
      <c r="C861">
        <v>82</v>
      </c>
      <c r="D861" t="s">
        <v>239</v>
      </c>
      <c r="G861" s="1">
        <v>32</v>
      </c>
    </row>
    <row r="862" spans="1:8">
      <c r="A862">
        <v>110</v>
      </c>
      <c r="B862" t="s">
        <v>506</v>
      </c>
      <c r="C862">
        <v>1</v>
      </c>
      <c r="D862" t="s">
        <v>137</v>
      </c>
      <c r="E862" s="1">
        <v>1</v>
      </c>
      <c r="F862" s="1">
        <v>13</v>
      </c>
      <c r="G862" s="1">
        <v>60</v>
      </c>
      <c r="H862" s="1">
        <v>13</v>
      </c>
    </row>
    <row r="863" spans="1:8">
      <c r="A863">
        <v>110</v>
      </c>
      <c r="B863" t="s">
        <v>506</v>
      </c>
      <c r="C863">
        <v>1</v>
      </c>
      <c r="D863" t="s">
        <v>137</v>
      </c>
      <c r="E863" s="1">
        <v>1</v>
      </c>
      <c r="F863" s="1" t="s">
        <v>144</v>
      </c>
      <c r="G863" s="1">
        <v>62</v>
      </c>
      <c r="H863" s="1" t="s">
        <v>144</v>
      </c>
    </row>
    <row r="864" spans="1:8">
      <c r="A864">
        <v>110</v>
      </c>
      <c r="B864" t="s">
        <v>506</v>
      </c>
      <c r="C864">
        <v>1</v>
      </c>
      <c r="D864" t="s">
        <v>137</v>
      </c>
      <c r="E864" s="1">
        <v>1</v>
      </c>
      <c r="F864" s="1">
        <v>14</v>
      </c>
      <c r="G864" s="1">
        <v>70</v>
      </c>
      <c r="H864" s="1">
        <v>14</v>
      </c>
    </row>
    <row r="865" spans="1:8">
      <c r="A865">
        <v>110</v>
      </c>
      <c r="B865" t="s">
        <v>506</v>
      </c>
      <c r="C865">
        <v>1</v>
      </c>
      <c r="D865" t="s">
        <v>137</v>
      </c>
      <c r="E865" s="1">
        <v>1</v>
      </c>
      <c r="F865" s="1" t="s">
        <v>147</v>
      </c>
      <c r="G865" s="1">
        <v>72</v>
      </c>
      <c r="H865" s="1" t="s">
        <v>147</v>
      </c>
    </row>
    <row r="866" spans="1:8">
      <c r="A866">
        <v>110</v>
      </c>
      <c r="B866" t="s">
        <v>506</v>
      </c>
      <c r="C866">
        <v>1</v>
      </c>
      <c r="D866" t="s">
        <v>137</v>
      </c>
      <c r="E866" s="1">
        <v>1</v>
      </c>
      <c r="F866" s="1">
        <v>15</v>
      </c>
      <c r="G866" s="1">
        <v>80</v>
      </c>
      <c r="H866" s="1">
        <v>15</v>
      </c>
    </row>
    <row r="867" spans="1:8">
      <c r="A867">
        <v>110</v>
      </c>
      <c r="B867" t="s">
        <v>506</v>
      </c>
      <c r="C867">
        <v>1</v>
      </c>
      <c r="D867" t="s">
        <v>137</v>
      </c>
      <c r="E867" s="1">
        <v>1</v>
      </c>
      <c r="F867" s="1" t="s">
        <v>150</v>
      </c>
      <c r="G867" s="1">
        <v>82</v>
      </c>
      <c r="H867" s="1" t="s">
        <v>150</v>
      </c>
    </row>
    <row r="868" spans="1:8">
      <c r="A868">
        <v>110</v>
      </c>
      <c r="B868" t="s">
        <v>506</v>
      </c>
      <c r="C868">
        <v>1</v>
      </c>
      <c r="D868" t="s">
        <v>137</v>
      </c>
      <c r="E868" s="1">
        <v>1</v>
      </c>
      <c r="F868" s="1">
        <v>16</v>
      </c>
      <c r="G868" s="1">
        <v>90</v>
      </c>
      <c r="H868" s="1">
        <v>16</v>
      </c>
    </row>
    <row r="869" spans="1:8">
      <c r="A869">
        <v>110</v>
      </c>
      <c r="B869" t="s">
        <v>506</v>
      </c>
      <c r="C869">
        <v>1</v>
      </c>
      <c r="D869" t="s">
        <v>137</v>
      </c>
      <c r="E869" s="1">
        <v>1</v>
      </c>
      <c r="F869" s="1" t="s">
        <v>153</v>
      </c>
      <c r="G869" s="1">
        <v>92</v>
      </c>
      <c r="H869" s="1" t="s">
        <v>153</v>
      </c>
    </row>
    <row r="870" spans="1:8">
      <c r="A870">
        <v>110</v>
      </c>
      <c r="B870" t="s">
        <v>506</v>
      </c>
      <c r="C870">
        <v>1</v>
      </c>
      <c r="D870" t="s">
        <v>137</v>
      </c>
      <c r="E870" s="1">
        <v>1</v>
      </c>
      <c r="F870" s="1">
        <v>17</v>
      </c>
      <c r="G870" s="1">
        <v>94</v>
      </c>
      <c r="H870" s="1">
        <v>17</v>
      </c>
    </row>
    <row r="871" spans="1:8">
      <c r="A871">
        <v>110</v>
      </c>
      <c r="B871" t="s">
        <v>506</v>
      </c>
      <c r="C871">
        <v>1</v>
      </c>
      <c r="D871" t="s">
        <v>137</v>
      </c>
      <c r="E871" s="1">
        <v>1</v>
      </c>
      <c r="F871" s="1" t="s">
        <v>156</v>
      </c>
      <c r="G871" s="1">
        <v>96</v>
      </c>
      <c r="H871" s="1" t="s">
        <v>156</v>
      </c>
    </row>
    <row r="872" spans="1:8">
      <c r="A872">
        <v>110</v>
      </c>
      <c r="B872" t="s">
        <v>506</v>
      </c>
      <c r="C872">
        <v>1</v>
      </c>
      <c r="D872" t="s">
        <v>137</v>
      </c>
      <c r="E872" s="1">
        <v>2</v>
      </c>
      <c r="F872" s="1" t="s">
        <v>159</v>
      </c>
      <c r="G872" s="1">
        <v>2</v>
      </c>
      <c r="H872" s="1" t="s">
        <v>159</v>
      </c>
    </row>
    <row r="873" spans="1:8">
      <c r="A873">
        <v>110</v>
      </c>
      <c r="B873" t="s">
        <v>506</v>
      </c>
      <c r="C873">
        <v>1</v>
      </c>
      <c r="D873" t="s">
        <v>137</v>
      </c>
      <c r="E873" s="1">
        <v>2</v>
      </c>
      <c r="F873" s="1">
        <v>19</v>
      </c>
      <c r="G873" s="1">
        <v>10</v>
      </c>
      <c r="H873" s="1">
        <v>19</v>
      </c>
    </row>
    <row r="874" spans="1:8">
      <c r="A874">
        <v>110</v>
      </c>
      <c r="B874" t="s">
        <v>506</v>
      </c>
      <c r="C874">
        <v>1</v>
      </c>
      <c r="D874" t="s">
        <v>137</v>
      </c>
      <c r="E874" s="1">
        <v>2</v>
      </c>
      <c r="F874" s="1" t="s">
        <v>162</v>
      </c>
      <c r="G874" s="1">
        <v>12</v>
      </c>
      <c r="H874" s="1" t="s">
        <v>162</v>
      </c>
    </row>
    <row r="875" spans="1:8">
      <c r="A875">
        <v>110</v>
      </c>
      <c r="B875" t="s">
        <v>506</v>
      </c>
      <c r="C875">
        <v>1</v>
      </c>
      <c r="D875" t="s">
        <v>137</v>
      </c>
      <c r="E875" s="1">
        <v>2</v>
      </c>
      <c r="F875" s="1">
        <v>20</v>
      </c>
      <c r="G875" s="1">
        <v>20</v>
      </c>
      <c r="H875" s="1">
        <v>20</v>
      </c>
    </row>
    <row r="876" spans="1:8">
      <c r="A876">
        <v>110</v>
      </c>
      <c r="B876" t="s">
        <v>506</v>
      </c>
      <c r="C876">
        <v>1</v>
      </c>
      <c r="D876" t="s">
        <v>137</v>
      </c>
      <c r="E876" s="1">
        <v>2</v>
      </c>
      <c r="F876" s="1" t="s">
        <v>165</v>
      </c>
      <c r="G876" s="1">
        <v>22</v>
      </c>
      <c r="H876" s="1" t="s">
        <v>165</v>
      </c>
    </row>
    <row r="877" spans="1:8">
      <c r="A877">
        <v>110</v>
      </c>
      <c r="B877" t="s">
        <v>506</v>
      </c>
      <c r="C877">
        <v>1</v>
      </c>
      <c r="D877" t="s">
        <v>137</v>
      </c>
      <c r="E877" s="1">
        <v>2</v>
      </c>
      <c r="F877" s="1">
        <v>21</v>
      </c>
      <c r="G877" s="1">
        <v>30</v>
      </c>
      <c r="H877" s="1">
        <v>21</v>
      </c>
    </row>
    <row r="878" spans="1:8">
      <c r="A878">
        <v>110</v>
      </c>
      <c r="B878" t="s">
        <v>506</v>
      </c>
      <c r="C878">
        <v>1</v>
      </c>
      <c r="D878" t="s">
        <v>137</v>
      </c>
      <c r="E878" s="1">
        <v>2</v>
      </c>
      <c r="F878" s="1" t="s">
        <v>168</v>
      </c>
      <c r="G878" s="1">
        <v>32</v>
      </c>
      <c r="H878" s="1" t="s">
        <v>168</v>
      </c>
    </row>
    <row r="879" spans="1:8">
      <c r="A879">
        <v>110</v>
      </c>
      <c r="B879" t="s">
        <v>506</v>
      </c>
      <c r="C879">
        <v>1</v>
      </c>
      <c r="D879" t="s">
        <v>137</v>
      </c>
      <c r="E879" s="1">
        <v>2</v>
      </c>
      <c r="F879" s="1">
        <v>22</v>
      </c>
      <c r="G879" s="1">
        <v>40</v>
      </c>
      <c r="H879" s="1">
        <v>22</v>
      </c>
    </row>
    <row r="880" spans="1:8">
      <c r="A880">
        <v>110</v>
      </c>
      <c r="B880" t="s">
        <v>506</v>
      </c>
      <c r="C880">
        <v>1</v>
      </c>
      <c r="D880" t="s">
        <v>137</v>
      </c>
      <c r="E880" s="1">
        <v>2</v>
      </c>
      <c r="F880" s="1" t="s">
        <v>171</v>
      </c>
      <c r="G880" s="1">
        <v>42</v>
      </c>
      <c r="H880" s="1" t="s">
        <v>171</v>
      </c>
    </row>
    <row r="881" spans="1:8">
      <c r="A881">
        <v>110</v>
      </c>
      <c r="B881" t="s">
        <v>506</v>
      </c>
      <c r="C881">
        <v>1</v>
      </c>
      <c r="D881" t="s">
        <v>137</v>
      </c>
      <c r="E881" s="1">
        <v>2</v>
      </c>
      <c r="F881" s="1">
        <v>23</v>
      </c>
      <c r="G881" s="1">
        <v>50</v>
      </c>
      <c r="H881" s="1">
        <v>23</v>
      </c>
    </row>
    <row r="882" spans="1:8">
      <c r="A882">
        <v>110</v>
      </c>
      <c r="B882" t="s">
        <v>506</v>
      </c>
      <c r="C882">
        <v>1</v>
      </c>
      <c r="D882" t="s">
        <v>137</v>
      </c>
      <c r="E882" s="1">
        <v>2</v>
      </c>
      <c r="F882" s="1" t="s">
        <v>174</v>
      </c>
      <c r="G882" s="1">
        <v>52</v>
      </c>
      <c r="H882" s="1" t="s">
        <v>174</v>
      </c>
    </row>
    <row r="883" spans="1:8">
      <c r="A883">
        <v>110</v>
      </c>
      <c r="B883" t="s">
        <v>506</v>
      </c>
      <c r="C883">
        <v>1</v>
      </c>
      <c r="D883" t="s">
        <v>137</v>
      </c>
      <c r="E883" s="1">
        <v>2</v>
      </c>
      <c r="F883" s="1">
        <v>24</v>
      </c>
      <c r="G883" s="1">
        <v>60</v>
      </c>
      <c r="H883" s="1">
        <v>24</v>
      </c>
    </row>
    <row r="884" spans="1:8">
      <c r="A884">
        <v>110</v>
      </c>
      <c r="B884" t="s">
        <v>506</v>
      </c>
      <c r="C884">
        <v>1</v>
      </c>
      <c r="D884" t="s">
        <v>137</v>
      </c>
      <c r="E884" s="1">
        <v>2</v>
      </c>
      <c r="F884" s="1" t="s">
        <v>177</v>
      </c>
      <c r="G884" s="1">
        <v>62</v>
      </c>
      <c r="H884" s="1" t="s">
        <v>177</v>
      </c>
    </row>
    <row r="885" spans="1:8">
      <c r="A885">
        <v>110</v>
      </c>
      <c r="B885" t="s">
        <v>506</v>
      </c>
      <c r="C885">
        <v>1</v>
      </c>
      <c r="D885" t="s">
        <v>137</v>
      </c>
      <c r="E885" s="1">
        <v>2</v>
      </c>
      <c r="F885" s="1">
        <v>18</v>
      </c>
      <c r="H885" s="1">
        <v>18</v>
      </c>
    </row>
    <row r="886" spans="1:8">
      <c r="A886">
        <v>110</v>
      </c>
      <c r="B886" t="s">
        <v>506</v>
      </c>
      <c r="C886">
        <v>2</v>
      </c>
      <c r="D886" t="s">
        <v>181</v>
      </c>
      <c r="E886" s="1">
        <v>2</v>
      </c>
      <c r="F886" s="1" t="s">
        <v>153</v>
      </c>
      <c r="G886" s="1">
        <v>72</v>
      </c>
      <c r="H886" s="1" t="s">
        <v>153</v>
      </c>
    </row>
    <row r="887" spans="1:8">
      <c r="A887">
        <v>110</v>
      </c>
      <c r="B887" t="s">
        <v>506</v>
      </c>
      <c r="C887">
        <v>6</v>
      </c>
      <c r="D887" t="s">
        <v>184</v>
      </c>
      <c r="E887" s="1">
        <v>1</v>
      </c>
      <c r="F887" s="1" t="s">
        <v>290</v>
      </c>
      <c r="G887" s="1">
        <v>10</v>
      </c>
      <c r="H887" s="1" t="s">
        <v>290</v>
      </c>
    </row>
    <row r="888" spans="1:8">
      <c r="A888">
        <v>110</v>
      </c>
      <c r="B888" t="s">
        <v>506</v>
      </c>
      <c r="C888">
        <v>6</v>
      </c>
      <c r="D888" t="s">
        <v>184</v>
      </c>
      <c r="G888" s="1">
        <v>63</v>
      </c>
    </row>
    <row r="889" spans="1:8">
      <c r="A889">
        <v>110</v>
      </c>
      <c r="B889" t="s">
        <v>506</v>
      </c>
      <c r="C889">
        <v>11</v>
      </c>
      <c r="D889" t="s">
        <v>186</v>
      </c>
      <c r="E889" s="1">
        <v>1</v>
      </c>
      <c r="F889" s="1" t="s">
        <v>192</v>
      </c>
      <c r="G889" s="1">
        <v>2</v>
      </c>
      <c r="H889" s="1" t="s">
        <v>192</v>
      </c>
    </row>
    <row r="890" spans="1:8">
      <c r="A890">
        <v>110</v>
      </c>
      <c r="B890" t="s">
        <v>506</v>
      </c>
      <c r="C890">
        <v>11</v>
      </c>
      <c r="D890" t="s">
        <v>186</v>
      </c>
      <c r="E890" s="1">
        <v>1</v>
      </c>
      <c r="F890" s="1">
        <v>40</v>
      </c>
      <c r="G890" s="1">
        <v>10</v>
      </c>
      <c r="H890" s="1">
        <v>40</v>
      </c>
    </row>
    <row r="891" spans="1:8">
      <c r="A891">
        <v>110</v>
      </c>
      <c r="B891" t="s">
        <v>506</v>
      </c>
      <c r="C891">
        <v>11</v>
      </c>
      <c r="D891" t="s">
        <v>186</v>
      </c>
      <c r="E891" s="1">
        <v>1</v>
      </c>
      <c r="F891" s="1" t="s">
        <v>193</v>
      </c>
      <c r="G891" s="1">
        <v>12</v>
      </c>
      <c r="H891" s="1" t="s">
        <v>193</v>
      </c>
    </row>
    <row r="892" spans="1:8">
      <c r="A892">
        <v>110</v>
      </c>
      <c r="B892" t="s">
        <v>506</v>
      </c>
      <c r="C892">
        <v>11</v>
      </c>
      <c r="D892" t="s">
        <v>186</v>
      </c>
      <c r="E892" s="1">
        <v>1</v>
      </c>
      <c r="F892" s="1">
        <v>41</v>
      </c>
      <c r="G892" s="1">
        <v>20</v>
      </c>
      <c r="H892" s="1">
        <v>41</v>
      </c>
    </row>
    <row r="893" spans="1:8">
      <c r="A893">
        <v>110</v>
      </c>
      <c r="B893" t="s">
        <v>506</v>
      </c>
      <c r="C893">
        <v>11</v>
      </c>
      <c r="D893" t="s">
        <v>186</v>
      </c>
      <c r="E893" s="1">
        <v>1</v>
      </c>
      <c r="F893" s="1" t="s">
        <v>194</v>
      </c>
      <c r="G893" s="1">
        <v>22</v>
      </c>
      <c r="H893" s="1" t="s">
        <v>194</v>
      </c>
    </row>
    <row r="894" spans="1:8">
      <c r="A894">
        <v>110</v>
      </c>
      <c r="B894" t="s">
        <v>506</v>
      </c>
      <c r="C894">
        <v>11</v>
      </c>
      <c r="D894" t="s">
        <v>186</v>
      </c>
      <c r="E894" s="1">
        <v>1</v>
      </c>
      <c r="F894" s="1">
        <v>42</v>
      </c>
      <c r="G894" s="1">
        <v>30</v>
      </c>
      <c r="H894" s="1">
        <v>42</v>
      </c>
    </row>
    <row r="895" spans="1:8">
      <c r="A895">
        <v>110</v>
      </c>
      <c r="B895" t="s">
        <v>506</v>
      </c>
      <c r="C895">
        <v>11</v>
      </c>
      <c r="D895" t="s">
        <v>186</v>
      </c>
      <c r="E895" s="1">
        <v>1</v>
      </c>
      <c r="F895" s="1" t="s">
        <v>195</v>
      </c>
      <c r="G895" s="1">
        <v>32</v>
      </c>
      <c r="H895" s="1" t="s">
        <v>195</v>
      </c>
    </row>
    <row r="896" spans="1:8">
      <c r="A896">
        <v>110</v>
      </c>
      <c r="B896" t="s">
        <v>506</v>
      </c>
      <c r="C896">
        <v>11</v>
      </c>
      <c r="D896" t="s">
        <v>186</v>
      </c>
      <c r="E896" s="1">
        <v>1</v>
      </c>
      <c r="F896" s="1">
        <v>43</v>
      </c>
      <c r="G896" s="1">
        <v>40</v>
      </c>
      <c r="H896" s="1">
        <v>43</v>
      </c>
    </row>
    <row r="897" spans="1:8">
      <c r="A897">
        <v>110</v>
      </c>
      <c r="B897" t="s">
        <v>506</v>
      </c>
      <c r="C897">
        <v>11</v>
      </c>
      <c r="D897" t="s">
        <v>186</v>
      </c>
      <c r="E897" s="1">
        <v>1</v>
      </c>
      <c r="F897" s="1" t="s">
        <v>196</v>
      </c>
      <c r="G897" s="1">
        <v>42</v>
      </c>
      <c r="H897" s="1" t="s">
        <v>196</v>
      </c>
    </row>
    <row r="898" spans="1:8">
      <c r="A898">
        <v>110</v>
      </c>
      <c r="B898" t="s">
        <v>506</v>
      </c>
      <c r="C898">
        <v>11</v>
      </c>
      <c r="D898" t="s">
        <v>186</v>
      </c>
      <c r="E898" s="1">
        <v>1</v>
      </c>
      <c r="F898" s="1">
        <v>44</v>
      </c>
      <c r="G898" s="1">
        <v>50</v>
      </c>
      <c r="H898" s="1">
        <v>44</v>
      </c>
    </row>
    <row r="899" spans="1:8">
      <c r="A899">
        <v>110</v>
      </c>
      <c r="B899" t="s">
        <v>506</v>
      </c>
      <c r="C899">
        <v>11</v>
      </c>
      <c r="D899" t="s">
        <v>186</v>
      </c>
      <c r="E899" s="1">
        <v>1</v>
      </c>
      <c r="F899" s="1" t="s">
        <v>197</v>
      </c>
      <c r="G899" s="1">
        <v>52</v>
      </c>
      <c r="H899" s="1" t="s">
        <v>197</v>
      </c>
    </row>
    <row r="900" spans="1:8">
      <c r="A900">
        <v>110</v>
      </c>
      <c r="B900" t="s">
        <v>506</v>
      </c>
      <c r="C900">
        <v>11</v>
      </c>
      <c r="D900" t="s">
        <v>186</v>
      </c>
      <c r="E900" s="1">
        <v>1</v>
      </c>
      <c r="F900" s="1">
        <v>45</v>
      </c>
      <c r="G900" s="1">
        <v>60</v>
      </c>
      <c r="H900" s="1">
        <v>45</v>
      </c>
    </row>
    <row r="901" spans="1:8">
      <c r="A901">
        <v>110</v>
      </c>
      <c r="B901" t="s">
        <v>506</v>
      </c>
      <c r="C901">
        <v>11</v>
      </c>
      <c r="D901" t="s">
        <v>186</v>
      </c>
      <c r="E901" s="1">
        <v>1</v>
      </c>
      <c r="F901" s="1" t="s">
        <v>198</v>
      </c>
      <c r="G901" s="1">
        <v>62</v>
      </c>
      <c r="H901" s="1" t="s">
        <v>198</v>
      </c>
    </row>
    <row r="902" spans="1:8">
      <c r="A902">
        <v>110</v>
      </c>
      <c r="B902" t="s">
        <v>506</v>
      </c>
      <c r="C902">
        <v>11</v>
      </c>
      <c r="D902" t="s">
        <v>186</v>
      </c>
      <c r="E902" s="1">
        <v>1</v>
      </c>
      <c r="F902" s="1" t="s">
        <v>199</v>
      </c>
      <c r="G902" s="1">
        <v>72</v>
      </c>
      <c r="H902" s="1" t="s">
        <v>199</v>
      </c>
    </row>
    <row r="903" spans="1:8">
      <c r="A903">
        <v>110</v>
      </c>
      <c r="B903" t="s">
        <v>506</v>
      </c>
      <c r="C903">
        <v>11</v>
      </c>
      <c r="D903" t="s">
        <v>186</v>
      </c>
      <c r="E903" s="1">
        <v>1</v>
      </c>
      <c r="F903" s="1">
        <v>39</v>
      </c>
      <c r="H903" s="1">
        <v>39</v>
      </c>
    </row>
    <row r="904" spans="1:8">
      <c r="A904">
        <v>110</v>
      </c>
      <c r="B904" t="s">
        <v>506</v>
      </c>
      <c r="C904">
        <v>11</v>
      </c>
      <c r="D904" t="s">
        <v>186</v>
      </c>
      <c r="G904" s="1">
        <v>82</v>
      </c>
    </row>
    <row r="905" spans="1:8">
      <c r="A905">
        <v>110</v>
      </c>
      <c r="B905" t="s">
        <v>506</v>
      </c>
      <c r="C905">
        <v>11</v>
      </c>
      <c r="D905" t="s">
        <v>186</v>
      </c>
      <c r="G905" s="1">
        <v>95</v>
      </c>
    </row>
    <row r="906" spans="1:8">
      <c r="A906">
        <v>110</v>
      </c>
      <c r="B906" t="s">
        <v>506</v>
      </c>
      <c r="C906">
        <v>11</v>
      </c>
      <c r="D906" t="s">
        <v>186</v>
      </c>
      <c r="G906" s="1">
        <v>96</v>
      </c>
    </row>
    <row r="907" spans="1:8">
      <c r="A907">
        <v>110</v>
      </c>
      <c r="B907" t="s">
        <v>506</v>
      </c>
      <c r="C907">
        <v>12</v>
      </c>
      <c r="D907" t="s">
        <v>107</v>
      </c>
      <c r="E907" s="1">
        <v>1</v>
      </c>
      <c r="F907" s="1">
        <v>42</v>
      </c>
      <c r="G907" s="1">
        <v>30</v>
      </c>
      <c r="H907" s="1">
        <v>42</v>
      </c>
    </row>
    <row r="908" spans="1:8">
      <c r="A908">
        <v>110</v>
      </c>
      <c r="B908" t="s">
        <v>506</v>
      </c>
      <c r="C908">
        <v>12</v>
      </c>
      <c r="D908" t="s">
        <v>107</v>
      </c>
      <c r="E908" s="1">
        <v>1</v>
      </c>
      <c r="F908" s="1" t="s">
        <v>196</v>
      </c>
      <c r="G908" s="1">
        <v>42</v>
      </c>
      <c r="H908" s="1" t="s">
        <v>196</v>
      </c>
    </row>
    <row r="909" spans="1:8">
      <c r="A909">
        <v>110</v>
      </c>
      <c r="B909" t="s">
        <v>506</v>
      </c>
      <c r="C909">
        <v>12</v>
      </c>
      <c r="D909" t="s">
        <v>107</v>
      </c>
      <c r="E909" s="1">
        <v>1</v>
      </c>
      <c r="F909" s="1">
        <v>44</v>
      </c>
      <c r="G909" s="1">
        <v>50</v>
      </c>
      <c r="H909" s="1">
        <v>44</v>
      </c>
    </row>
    <row r="910" spans="1:8">
      <c r="A910">
        <v>110</v>
      </c>
      <c r="B910" t="s">
        <v>506</v>
      </c>
      <c r="C910">
        <v>13</v>
      </c>
      <c r="D910" t="s">
        <v>200</v>
      </c>
      <c r="E910" s="1">
        <v>1</v>
      </c>
      <c r="F910" s="1" t="s">
        <v>192</v>
      </c>
      <c r="G910" s="1">
        <v>2</v>
      </c>
      <c r="H910" s="1" t="s">
        <v>192</v>
      </c>
    </row>
    <row r="911" spans="1:8">
      <c r="A911">
        <v>110</v>
      </c>
      <c r="B911" t="s">
        <v>506</v>
      </c>
      <c r="C911">
        <v>13</v>
      </c>
      <c r="D911" t="s">
        <v>200</v>
      </c>
      <c r="E911" s="1">
        <v>1</v>
      </c>
      <c r="F911" s="1">
        <v>40</v>
      </c>
      <c r="G911" s="1">
        <v>10</v>
      </c>
      <c r="H911" s="1">
        <v>40</v>
      </c>
    </row>
    <row r="912" spans="1:8">
      <c r="A912">
        <v>110</v>
      </c>
      <c r="B912" t="s">
        <v>506</v>
      </c>
      <c r="C912">
        <v>13</v>
      </c>
      <c r="D912" t="s">
        <v>200</v>
      </c>
      <c r="E912" s="1">
        <v>1</v>
      </c>
      <c r="F912" s="1" t="s">
        <v>193</v>
      </c>
      <c r="G912" s="1">
        <v>12</v>
      </c>
      <c r="H912" s="1" t="s">
        <v>193</v>
      </c>
    </row>
    <row r="913" spans="1:8">
      <c r="A913">
        <v>110</v>
      </c>
      <c r="B913" t="s">
        <v>506</v>
      </c>
      <c r="C913">
        <v>13</v>
      </c>
      <c r="D913" t="s">
        <v>200</v>
      </c>
      <c r="E913" s="1">
        <v>1</v>
      </c>
      <c r="F913" s="1">
        <v>41</v>
      </c>
      <c r="G913" s="1">
        <v>20</v>
      </c>
      <c r="H913" s="1">
        <v>41</v>
      </c>
    </row>
    <row r="914" spans="1:8">
      <c r="A914">
        <v>110</v>
      </c>
      <c r="B914" t="s">
        <v>506</v>
      </c>
      <c r="C914">
        <v>13</v>
      </c>
      <c r="D914" t="s">
        <v>200</v>
      </c>
      <c r="E914" s="1">
        <v>1</v>
      </c>
      <c r="F914" s="1" t="s">
        <v>194</v>
      </c>
      <c r="G914" s="1">
        <v>22</v>
      </c>
      <c r="H914" s="1" t="s">
        <v>194</v>
      </c>
    </row>
    <row r="915" spans="1:8">
      <c r="A915">
        <v>110</v>
      </c>
      <c r="B915" t="s">
        <v>506</v>
      </c>
      <c r="C915">
        <v>13</v>
      </c>
      <c r="D915" t="s">
        <v>200</v>
      </c>
      <c r="E915" s="1">
        <v>1</v>
      </c>
      <c r="F915" s="1" t="s">
        <v>195</v>
      </c>
      <c r="G915" s="1">
        <v>32</v>
      </c>
      <c r="H915" s="1" t="s">
        <v>195</v>
      </c>
    </row>
    <row r="916" spans="1:8">
      <c r="A916">
        <v>110</v>
      </c>
      <c r="B916" t="s">
        <v>506</v>
      </c>
      <c r="C916">
        <v>13</v>
      </c>
      <c r="D916" t="s">
        <v>200</v>
      </c>
      <c r="E916" s="1">
        <v>1</v>
      </c>
      <c r="F916" s="1">
        <v>43</v>
      </c>
      <c r="G916" s="1">
        <v>40</v>
      </c>
      <c r="H916" s="1">
        <v>43</v>
      </c>
    </row>
    <row r="917" spans="1:8">
      <c r="A917">
        <v>110</v>
      </c>
      <c r="B917" t="s">
        <v>506</v>
      </c>
      <c r="C917">
        <v>13</v>
      </c>
      <c r="D917" t="s">
        <v>200</v>
      </c>
      <c r="E917" s="1">
        <v>1</v>
      </c>
      <c r="F917" s="1">
        <v>44</v>
      </c>
      <c r="G917" s="1">
        <v>50</v>
      </c>
      <c r="H917" s="1">
        <v>44</v>
      </c>
    </row>
    <row r="918" spans="1:8">
      <c r="A918">
        <v>110</v>
      </c>
      <c r="B918" t="s">
        <v>506</v>
      </c>
      <c r="C918">
        <v>13</v>
      </c>
      <c r="D918" t="s">
        <v>200</v>
      </c>
      <c r="E918" s="1">
        <v>1</v>
      </c>
      <c r="F918" s="1" t="s">
        <v>197</v>
      </c>
      <c r="G918" s="1">
        <v>52</v>
      </c>
      <c r="H918" s="1" t="s">
        <v>197</v>
      </c>
    </row>
    <row r="919" spans="1:8">
      <c r="A919">
        <v>110</v>
      </c>
      <c r="B919" t="s">
        <v>506</v>
      </c>
      <c r="C919">
        <v>13</v>
      </c>
      <c r="D919" t="s">
        <v>200</v>
      </c>
      <c r="E919" s="1">
        <v>1</v>
      </c>
      <c r="F919" s="1" t="s">
        <v>198</v>
      </c>
      <c r="G919" s="1">
        <v>62</v>
      </c>
      <c r="H919" s="1" t="s">
        <v>198</v>
      </c>
    </row>
    <row r="920" spans="1:8">
      <c r="A920">
        <v>110</v>
      </c>
      <c r="B920" t="s">
        <v>506</v>
      </c>
      <c r="C920">
        <v>15</v>
      </c>
      <c r="D920" t="s">
        <v>201</v>
      </c>
      <c r="E920" s="1">
        <v>1</v>
      </c>
      <c r="F920" s="1">
        <v>100</v>
      </c>
      <c r="G920" s="1">
        <v>80</v>
      </c>
      <c r="H920" s="1">
        <v>100</v>
      </c>
    </row>
    <row r="921" spans="1:8">
      <c r="A921">
        <v>110</v>
      </c>
      <c r="B921" t="s">
        <v>506</v>
      </c>
      <c r="C921">
        <v>15</v>
      </c>
      <c r="D921" t="s">
        <v>201</v>
      </c>
      <c r="E921" s="1">
        <v>4</v>
      </c>
      <c r="F921" s="1" t="s">
        <v>286</v>
      </c>
      <c r="G921" s="1">
        <v>70</v>
      </c>
      <c r="H921" s="1" t="s">
        <v>286</v>
      </c>
    </row>
    <row r="922" spans="1:8">
      <c r="A922">
        <v>110</v>
      </c>
      <c r="B922" t="s">
        <v>506</v>
      </c>
      <c r="C922">
        <v>16</v>
      </c>
      <c r="D922" t="s">
        <v>202</v>
      </c>
      <c r="E922" s="1">
        <v>1</v>
      </c>
      <c r="F922" s="1" t="s">
        <v>196</v>
      </c>
      <c r="G922" s="1">
        <v>42</v>
      </c>
      <c r="H922" s="1" t="s">
        <v>196</v>
      </c>
    </row>
    <row r="923" spans="1:8">
      <c r="A923">
        <v>110</v>
      </c>
      <c r="B923" t="s">
        <v>506</v>
      </c>
      <c r="C923">
        <v>16</v>
      </c>
      <c r="D923" t="s">
        <v>202</v>
      </c>
      <c r="E923" s="1">
        <v>1</v>
      </c>
      <c r="F923" s="1">
        <v>44</v>
      </c>
      <c r="G923" s="1">
        <v>50</v>
      </c>
      <c r="H923" s="1">
        <v>44</v>
      </c>
    </row>
    <row r="924" spans="1:8">
      <c r="A924">
        <v>110</v>
      </c>
      <c r="B924" t="s">
        <v>506</v>
      </c>
      <c r="C924">
        <v>16</v>
      </c>
      <c r="D924" t="s">
        <v>202</v>
      </c>
      <c r="E924" s="1">
        <v>1</v>
      </c>
      <c r="F924" s="1" t="s">
        <v>197</v>
      </c>
      <c r="G924" s="1">
        <v>52</v>
      </c>
      <c r="H924" s="1" t="s">
        <v>197</v>
      </c>
    </row>
    <row r="925" spans="1:8">
      <c r="A925">
        <v>110</v>
      </c>
      <c r="B925" t="s">
        <v>506</v>
      </c>
      <c r="C925">
        <v>16</v>
      </c>
      <c r="D925" t="s">
        <v>202</v>
      </c>
      <c r="E925" s="1">
        <v>1</v>
      </c>
      <c r="F925" s="1">
        <v>45</v>
      </c>
      <c r="G925" s="1">
        <v>60</v>
      </c>
      <c r="H925" s="1">
        <v>45</v>
      </c>
    </row>
    <row r="926" spans="1:8">
      <c r="A926">
        <v>110</v>
      </c>
      <c r="B926" t="s">
        <v>506</v>
      </c>
      <c r="C926">
        <v>16</v>
      </c>
      <c r="D926" t="s">
        <v>202</v>
      </c>
      <c r="E926" s="1">
        <v>1</v>
      </c>
      <c r="F926" s="1" t="s">
        <v>198</v>
      </c>
      <c r="G926" s="1">
        <v>62</v>
      </c>
      <c r="H926" s="1" t="s">
        <v>198</v>
      </c>
    </row>
    <row r="927" spans="1:8">
      <c r="A927">
        <v>110</v>
      </c>
      <c r="B927" t="s">
        <v>506</v>
      </c>
      <c r="C927">
        <v>21</v>
      </c>
      <c r="D927" t="s">
        <v>205</v>
      </c>
      <c r="E927" s="1">
        <v>1</v>
      </c>
      <c r="F927" s="1" t="s">
        <v>323</v>
      </c>
      <c r="G927" s="1">
        <v>32</v>
      </c>
      <c r="H927" s="1" t="s">
        <v>323</v>
      </c>
    </row>
    <row r="928" spans="1:8">
      <c r="A928">
        <v>110</v>
      </c>
      <c r="B928" t="s">
        <v>506</v>
      </c>
      <c r="C928">
        <v>21</v>
      </c>
      <c r="D928" t="s">
        <v>205</v>
      </c>
      <c r="E928" s="1">
        <v>1</v>
      </c>
      <c r="F928" s="1" t="s">
        <v>330</v>
      </c>
      <c r="G928" s="1">
        <v>42</v>
      </c>
      <c r="H928" s="1" t="s">
        <v>330</v>
      </c>
    </row>
    <row r="929" spans="1:8">
      <c r="A929">
        <v>110</v>
      </c>
      <c r="B929" t="s">
        <v>506</v>
      </c>
      <c r="C929">
        <v>21</v>
      </c>
      <c r="D929" t="s">
        <v>205</v>
      </c>
      <c r="E929" s="1">
        <v>1</v>
      </c>
      <c r="F929" s="1" t="s">
        <v>287</v>
      </c>
      <c r="G929" s="1">
        <v>52</v>
      </c>
      <c r="H929" s="1" t="s">
        <v>287</v>
      </c>
    </row>
    <row r="930" spans="1:8">
      <c r="A930">
        <v>110</v>
      </c>
      <c r="B930" t="s">
        <v>506</v>
      </c>
      <c r="C930">
        <v>21</v>
      </c>
      <c r="D930" t="s">
        <v>205</v>
      </c>
      <c r="E930" s="1">
        <v>1</v>
      </c>
      <c r="F930" s="1" t="s">
        <v>288</v>
      </c>
      <c r="G930" s="1">
        <v>62</v>
      </c>
      <c r="H930" s="1" t="s">
        <v>288</v>
      </c>
    </row>
    <row r="931" spans="1:8">
      <c r="A931">
        <v>110</v>
      </c>
      <c r="B931" t="s">
        <v>506</v>
      </c>
      <c r="C931">
        <v>21</v>
      </c>
      <c r="D931" t="s">
        <v>205</v>
      </c>
      <c r="E931" s="1">
        <v>1</v>
      </c>
      <c r="F931" s="1" t="s">
        <v>284</v>
      </c>
      <c r="H931" s="1" t="s">
        <v>284</v>
      </c>
    </row>
    <row r="932" spans="1:8">
      <c r="A932">
        <v>110</v>
      </c>
      <c r="B932" t="s">
        <v>506</v>
      </c>
      <c r="C932">
        <v>24</v>
      </c>
      <c r="D932" t="s">
        <v>208</v>
      </c>
      <c r="E932" s="1">
        <v>1</v>
      </c>
      <c r="F932" s="1" t="s">
        <v>374</v>
      </c>
      <c r="H932" s="1" t="s">
        <v>374</v>
      </c>
    </row>
    <row r="933" spans="1:8">
      <c r="A933">
        <v>110</v>
      </c>
      <c r="B933" t="s">
        <v>506</v>
      </c>
      <c r="C933">
        <v>24</v>
      </c>
      <c r="D933" t="s">
        <v>208</v>
      </c>
      <c r="G933" s="1">
        <v>80</v>
      </c>
    </row>
    <row r="934" spans="1:8">
      <c r="A934">
        <v>110</v>
      </c>
      <c r="B934" t="s">
        <v>506</v>
      </c>
      <c r="C934">
        <v>24</v>
      </c>
      <c r="D934" t="s">
        <v>208</v>
      </c>
      <c r="G934" s="1">
        <v>90</v>
      </c>
    </row>
    <row r="935" spans="1:8">
      <c r="A935">
        <v>110</v>
      </c>
      <c r="B935" t="s">
        <v>506</v>
      </c>
      <c r="C935">
        <v>27</v>
      </c>
      <c r="D935" t="s">
        <v>210</v>
      </c>
      <c r="E935" s="1">
        <v>1</v>
      </c>
      <c r="F935" s="1" t="s">
        <v>195</v>
      </c>
      <c r="G935" s="1">
        <v>32</v>
      </c>
      <c r="H935" s="1" t="s">
        <v>195</v>
      </c>
    </row>
    <row r="936" spans="1:8">
      <c r="A936">
        <v>110</v>
      </c>
      <c r="B936" t="s">
        <v>506</v>
      </c>
      <c r="C936">
        <v>27</v>
      </c>
      <c r="D936" t="s">
        <v>210</v>
      </c>
      <c r="E936" s="1">
        <v>1</v>
      </c>
      <c r="F936" s="1">
        <v>43</v>
      </c>
      <c r="G936" s="1">
        <v>40</v>
      </c>
      <c r="H936" s="1">
        <v>43</v>
      </c>
    </row>
    <row r="937" spans="1:8">
      <c r="A937">
        <v>110</v>
      </c>
      <c r="B937" t="s">
        <v>506</v>
      </c>
      <c r="C937">
        <v>27</v>
      </c>
      <c r="D937" t="s">
        <v>210</v>
      </c>
      <c r="E937" s="1">
        <v>1</v>
      </c>
      <c r="F937" s="1" t="s">
        <v>196</v>
      </c>
      <c r="G937" s="1">
        <v>42</v>
      </c>
      <c r="H937" s="1" t="s">
        <v>196</v>
      </c>
    </row>
    <row r="938" spans="1:8">
      <c r="A938">
        <v>110</v>
      </c>
      <c r="B938" t="s">
        <v>506</v>
      </c>
      <c r="C938">
        <v>27</v>
      </c>
      <c r="D938" t="s">
        <v>210</v>
      </c>
      <c r="E938" s="1">
        <v>1</v>
      </c>
      <c r="F938" s="1">
        <v>44</v>
      </c>
      <c r="G938" s="1">
        <v>50</v>
      </c>
      <c r="H938" s="1">
        <v>44</v>
      </c>
    </row>
    <row r="939" spans="1:8">
      <c r="A939">
        <v>110</v>
      </c>
      <c r="B939" t="s">
        <v>506</v>
      </c>
      <c r="C939">
        <v>27</v>
      </c>
      <c r="D939" t="s">
        <v>210</v>
      </c>
      <c r="E939" s="1">
        <v>1</v>
      </c>
      <c r="F939" s="1" t="s">
        <v>197</v>
      </c>
      <c r="G939" s="1">
        <v>52</v>
      </c>
      <c r="H939" s="1" t="s">
        <v>197</v>
      </c>
    </row>
    <row r="940" spans="1:8">
      <c r="A940">
        <v>110</v>
      </c>
      <c r="B940" t="s">
        <v>506</v>
      </c>
      <c r="C940">
        <v>27</v>
      </c>
      <c r="D940" t="s">
        <v>210</v>
      </c>
      <c r="E940" s="1">
        <v>1</v>
      </c>
      <c r="F940" s="1">
        <v>45</v>
      </c>
      <c r="G940" s="1">
        <v>60</v>
      </c>
      <c r="H940" s="1">
        <v>45</v>
      </c>
    </row>
    <row r="941" spans="1:8">
      <c r="A941">
        <v>110</v>
      </c>
      <c r="B941" t="s">
        <v>506</v>
      </c>
      <c r="C941">
        <v>27</v>
      </c>
      <c r="D941" t="s">
        <v>210</v>
      </c>
      <c r="G941" s="1">
        <v>96</v>
      </c>
    </row>
    <row r="942" spans="1:8">
      <c r="A942">
        <v>110</v>
      </c>
      <c r="B942" t="s">
        <v>506</v>
      </c>
      <c r="C942">
        <v>28</v>
      </c>
      <c r="D942" t="s">
        <v>211</v>
      </c>
      <c r="G942" s="1">
        <v>80</v>
      </c>
    </row>
    <row r="943" spans="1:8">
      <c r="A943">
        <v>110</v>
      </c>
      <c r="B943" t="s">
        <v>506</v>
      </c>
      <c r="C943">
        <v>31</v>
      </c>
      <c r="D943" t="s">
        <v>110</v>
      </c>
      <c r="E943" s="1">
        <v>1</v>
      </c>
      <c r="F943" s="1" t="s">
        <v>333</v>
      </c>
      <c r="G943" s="1">
        <v>2</v>
      </c>
      <c r="H943" s="1" t="s">
        <v>333</v>
      </c>
    </row>
    <row r="944" spans="1:8">
      <c r="A944">
        <v>110</v>
      </c>
      <c r="B944" t="s">
        <v>506</v>
      </c>
      <c r="C944">
        <v>31</v>
      </c>
      <c r="D944" t="s">
        <v>110</v>
      </c>
      <c r="E944" s="1">
        <v>1</v>
      </c>
      <c r="F944" s="1">
        <v>9</v>
      </c>
      <c r="G944" s="1">
        <v>10</v>
      </c>
      <c r="H944" s="1">
        <v>9</v>
      </c>
    </row>
    <row r="945" spans="1:8">
      <c r="A945">
        <v>110</v>
      </c>
      <c r="B945" t="s">
        <v>506</v>
      </c>
      <c r="C945">
        <v>31</v>
      </c>
      <c r="D945" t="s">
        <v>110</v>
      </c>
      <c r="E945" s="1">
        <v>1</v>
      </c>
      <c r="F945" s="1" t="s">
        <v>334</v>
      </c>
      <c r="G945" s="1">
        <v>12</v>
      </c>
      <c r="H945" s="1" t="s">
        <v>334</v>
      </c>
    </row>
    <row r="946" spans="1:8">
      <c r="A946">
        <v>110</v>
      </c>
      <c r="B946" t="s">
        <v>506</v>
      </c>
      <c r="C946">
        <v>35</v>
      </c>
      <c r="D946" t="s">
        <v>214</v>
      </c>
      <c r="G946" s="1">
        <v>10</v>
      </c>
    </row>
    <row r="947" spans="1:8">
      <c r="A947">
        <v>110</v>
      </c>
      <c r="B947" t="s">
        <v>506</v>
      </c>
      <c r="C947">
        <v>35</v>
      </c>
      <c r="D947" t="s">
        <v>214</v>
      </c>
      <c r="G947" s="1">
        <v>20</v>
      </c>
    </row>
    <row r="948" spans="1:8">
      <c r="A948">
        <v>110</v>
      </c>
      <c r="B948" t="s">
        <v>506</v>
      </c>
      <c r="C948">
        <v>35</v>
      </c>
      <c r="D948" t="s">
        <v>214</v>
      </c>
      <c r="G948" s="1">
        <v>30</v>
      </c>
    </row>
    <row r="949" spans="1:8">
      <c r="A949">
        <v>110</v>
      </c>
      <c r="B949" t="s">
        <v>506</v>
      </c>
      <c r="C949">
        <v>35</v>
      </c>
      <c r="D949" t="s">
        <v>214</v>
      </c>
      <c r="G949" s="1">
        <v>40</v>
      </c>
    </row>
    <row r="950" spans="1:8">
      <c r="A950">
        <v>110</v>
      </c>
      <c r="B950" t="s">
        <v>506</v>
      </c>
      <c r="C950">
        <v>37</v>
      </c>
      <c r="D950" t="s">
        <v>216</v>
      </c>
      <c r="E950" s="1">
        <v>1</v>
      </c>
      <c r="F950" s="1" t="s">
        <v>507</v>
      </c>
      <c r="G950" s="1">
        <v>10</v>
      </c>
      <c r="H950" s="1" t="s">
        <v>507</v>
      </c>
    </row>
    <row r="951" spans="1:8">
      <c r="A951">
        <v>110</v>
      </c>
      <c r="B951" t="s">
        <v>506</v>
      </c>
      <c r="C951">
        <v>37</v>
      </c>
      <c r="D951" t="s">
        <v>216</v>
      </c>
      <c r="E951" s="1">
        <v>1</v>
      </c>
      <c r="F951" s="1" t="s">
        <v>508</v>
      </c>
      <c r="G951" s="1">
        <v>20</v>
      </c>
      <c r="H951" s="1" t="s">
        <v>508</v>
      </c>
    </row>
    <row r="952" spans="1:8">
      <c r="A952">
        <v>110</v>
      </c>
      <c r="B952" t="s">
        <v>506</v>
      </c>
      <c r="C952">
        <v>37</v>
      </c>
      <c r="D952" t="s">
        <v>216</v>
      </c>
      <c r="E952" s="1">
        <v>1</v>
      </c>
      <c r="F952" s="1" t="s">
        <v>509</v>
      </c>
      <c r="G952" s="1">
        <v>30</v>
      </c>
      <c r="H952" s="1" t="s">
        <v>509</v>
      </c>
    </row>
    <row r="953" spans="1:8">
      <c r="A953">
        <v>110</v>
      </c>
      <c r="B953" t="s">
        <v>506</v>
      </c>
      <c r="C953">
        <v>37</v>
      </c>
      <c r="D953" t="s">
        <v>216</v>
      </c>
      <c r="E953" s="1">
        <v>1</v>
      </c>
      <c r="F953" s="1" t="s">
        <v>510</v>
      </c>
      <c r="G953" s="1">
        <v>40</v>
      </c>
      <c r="H953" s="1" t="s">
        <v>510</v>
      </c>
    </row>
    <row r="954" spans="1:8">
      <c r="A954">
        <v>110</v>
      </c>
      <c r="B954" t="s">
        <v>506</v>
      </c>
      <c r="C954">
        <v>37</v>
      </c>
      <c r="D954" t="s">
        <v>216</v>
      </c>
      <c r="G954" s="1">
        <v>30</v>
      </c>
    </row>
    <row r="955" spans="1:8">
      <c r="A955">
        <v>110</v>
      </c>
      <c r="B955" t="s">
        <v>506</v>
      </c>
      <c r="C955">
        <v>37</v>
      </c>
      <c r="D955" t="s">
        <v>216</v>
      </c>
      <c r="G955" s="1">
        <v>40</v>
      </c>
    </row>
    <row r="956" spans="1:8">
      <c r="A956">
        <v>110</v>
      </c>
      <c r="B956" t="s">
        <v>506</v>
      </c>
      <c r="C956">
        <v>38</v>
      </c>
      <c r="D956" t="s">
        <v>217</v>
      </c>
      <c r="E956" s="1">
        <v>1</v>
      </c>
      <c r="F956" s="1" t="s">
        <v>397</v>
      </c>
      <c r="G956" s="1">
        <v>30</v>
      </c>
      <c r="H956" s="1" t="s">
        <v>397</v>
      </c>
    </row>
    <row r="957" spans="1:8">
      <c r="A957">
        <v>110</v>
      </c>
      <c r="B957" t="s">
        <v>506</v>
      </c>
      <c r="C957">
        <v>38</v>
      </c>
      <c r="D957" t="s">
        <v>217</v>
      </c>
      <c r="E957" s="1">
        <v>2</v>
      </c>
      <c r="F957" s="1" t="s">
        <v>402</v>
      </c>
      <c r="G957" s="1">
        <v>30</v>
      </c>
      <c r="H957" s="1" t="s">
        <v>402</v>
      </c>
    </row>
    <row r="958" spans="1:8">
      <c r="A958">
        <v>110</v>
      </c>
      <c r="B958" t="s">
        <v>506</v>
      </c>
      <c r="C958">
        <v>38</v>
      </c>
      <c r="D958" t="s">
        <v>217</v>
      </c>
      <c r="E958" s="1">
        <v>2</v>
      </c>
      <c r="F958" s="1" t="s">
        <v>403</v>
      </c>
      <c r="G958" s="1">
        <v>40</v>
      </c>
      <c r="H958" s="1" t="s">
        <v>403</v>
      </c>
    </row>
    <row r="959" spans="1:8">
      <c r="A959">
        <v>110</v>
      </c>
      <c r="B959" t="s">
        <v>506</v>
      </c>
      <c r="C959">
        <v>38</v>
      </c>
      <c r="D959" t="s">
        <v>217</v>
      </c>
      <c r="E959" s="1">
        <v>4</v>
      </c>
      <c r="F959" s="1" t="s">
        <v>410</v>
      </c>
      <c r="G959" s="1">
        <v>30</v>
      </c>
      <c r="H959" s="1" t="s">
        <v>410</v>
      </c>
    </row>
    <row r="960" spans="1:8">
      <c r="A960">
        <v>110</v>
      </c>
      <c r="B960" t="s">
        <v>506</v>
      </c>
      <c r="C960">
        <v>41</v>
      </c>
      <c r="D960" t="s">
        <v>219</v>
      </c>
      <c r="E960" s="1">
        <v>1</v>
      </c>
      <c r="F960" s="1" t="s">
        <v>442</v>
      </c>
      <c r="G960" s="1">
        <v>10</v>
      </c>
      <c r="H960" s="1" t="s">
        <v>442</v>
      </c>
    </row>
    <row r="961" spans="1:8">
      <c r="A961">
        <v>110</v>
      </c>
      <c r="B961" t="s">
        <v>506</v>
      </c>
      <c r="C961">
        <v>41</v>
      </c>
      <c r="D961" t="s">
        <v>219</v>
      </c>
      <c r="E961" s="1">
        <v>1</v>
      </c>
      <c r="F961" s="1" t="s">
        <v>511</v>
      </c>
      <c r="G961" s="1">
        <v>20</v>
      </c>
      <c r="H961" s="1" t="s">
        <v>511</v>
      </c>
    </row>
    <row r="962" spans="1:8">
      <c r="A962">
        <v>110</v>
      </c>
      <c r="B962" t="s">
        <v>506</v>
      </c>
      <c r="C962">
        <v>41</v>
      </c>
      <c r="D962" t="s">
        <v>219</v>
      </c>
      <c r="E962" s="1">
        <v>1</v>
      </c>
      <c r="F962" s="1" t="s">
        <v>443</v>
      </c>
      <c r="H962" s="1" t="s">
        <v>443</v>
      </c>
    </row>
    <row r="963" spans="1:8">
      <c r="A963">
        <v>110</v>
      </c>
      <c r="B963" t="s">
        <v>506</v>
      </c>
      <c r="C963">
        <v>41</v>
      </c>
      <c r="D963" t="s">
        <v>219</v>
      </c>
      <c r="G963" s="1">
        <v>10</v>
      </c>
    </row>
    <row r="964" spans="1:8">
      <c r="A964">
        <v>110</v>
      </c>
      <c r="B964" t="s">
        <v>506</v>
      </c>
      <c r="C964">
        <v>41</v>
      </c>
      <c r="D964" t="s">
        <v>219</v>
      </c>
      <c r="G964" s="1">
        <v>20</v>
      </c>
    </row>
    <row r="965" spans="1:8">
      <c r="A965">
        <v>110</v>
      </c>
      <c r="B965" t="s">
        <v>506</v>
      </c>
      <c r="C965">
        <v>41</v>
      </c>
      <c r="D965" t="s">
        <v>219</v>
      </c>
      <c r="G965" s="1">
        <v>30</v>
      </c>
    </row>
    <row r="966" spans="1:8">
      <c r="A966">
        <v>110</v>
      </c>
      <c r="B966" t="s">
        <v>506</v>
      </c>
      <c r="C966">
        <v>41</v>
      </c>
      <c r="D966" t="s">
        <v>219</v>
      </c>
      <c r="G966" s="1">
        <v>50</v>
      </c>
    </row>
    <row r="967" spans="1:8">
      <c r="A967">
        <v>110</v>
      </c>
      <c r="B967" t="s">
        <v>506</v>
      </c>
      <c r="C967">
        <v>41</v>
      </c>
      <c r="D967" t="s">
        <v>219</v>
      </c>
      <c r="G967" s="1">
        <v>70</v>
      </c>
    </row>
    <row r="968" spans="1:8">
      <c r="A968">
        <v>110</v>
      </c>
      <c r="B968" t="s">
        <v>506</v>
      </c>
      <c r="C968">
        <v>41</v>
      </c>
      <c r="D968" t="s">
        <v>219</v>
      </c>
      <c r="G968" s="1">
        <v>80</v>
      </c>
    </row>
    <row r="969" spans="1:8">
      <c r="A969">
        <v>110</v>
      </c>
      <c r="B969" t="s">
        <v>506</v>
      </c>
      <c r="C969">
        <v>41</v>
      </c>
      <c r="D969" t="s">
        <v>219</v>
      </c>
      <c r="G969" s="1">
        <v>90</v>
      </c>
    </row>
    <row r="970" spans="1:8">
      <c r="A970">
        <v>110</v>
      </c>
      <c r="B970" t="s">
        <v>506</v>
      </c>
      <c r="C970">
        <v>41</v>
      </c>
      <c r="D970" t="s">
        <v>219</v>
      </c>
      <c r="G970" s="1">
        <v>91</v>
      </c>
    </row>
    <row r="971" spans="1:8">
      <c r="A971">
        <v>110</v>
      </c>
      <c r="B971" t="s">
        <v>506</v>
      </c>
      <c r="C971">
        <v>41</v>
      </c>
      <c r="D971" t="s">
        <v>219</v>
      </c>
      <c r="G971" s="1">
        <v>97</v>
      </c>
    </row>
    <row r="972" spans="1:8">
      <c r="A972">
        <v>110</v>
      </c>
      <c r="B972" t="s">
        <v>506</v>
      </c>
      <c r="C972">
        <v>42</v>
      </c>
      <c r="D972" t="s">
        <v>220</v>
      </c>
      <c r="E972" s="1">
        <v>2</v>
      </c>
      <c r="F972" s="1" t="s">
        <v>512</v>
      </c>
      <c r="G972" s="1">
        <v>80</v>
      </c>
      <c r="H972" s="1" t="s">
        <v>512</v>
      </c>
    </row>
    <row r="973" spans="1:8">
      <c r="A973">
        <v>110</v>
      </c>
      <c r="B973" t="s">
        <v>506</v>
      </c>
      <c r="C973">
        <v>45</v>
      </c>
      <c r="D973" t="s">
        <v>223</v>
      </c>
      <c r="E973" s="1">
        <v>2</v>
      </c>
      <c r="F973" s="1" t="s">
        <v>490</v>
      </c>
      <c r="G973" s="1">
        <v>23</v>
      </c>
      <c r="H973" s="1" t="s">
        <v>513</v>
      </c>
    </row>
    <row r="974" spans="1:8">
      <c r="A974">
        <v>110</v>
      </c>
      <c r="B974" t="s">
        <v>506</v>
      </c>
      <c r="C974">
        <v>50</v>
      </c>
      <c r="D974" t="s">
        <v>224</v>
      </c>
      <c r="G974" s="1">
        <v>10</v>
      </c>
    </row>
    <row r="975" spans="1:8">
      <c r="A975">
        <v>110</v>
      </c>
      <c r="B975" t="s">
        <v>506</v>
      </c>
      <c r="C975">
        <v>50</v>
      </c>
      <c r="D975" t="s">
        <v>224</v>
      </c>
      <c r="G975" s="1">
        <v>15</v>
      </c>
    </row>
    <row r="976" spans="1:8">
      <c r="A976">
        <v>110</v>
      </c>
      <c r="B976" t="s">
        <v>506</v>
      </c>
      <c r="C976">
        <v>50</v>
      </c>
      <c r="D976" t="s">
        <v>224</v>
      </c>
      <c r="G976" s="1">
        <v>20</v>
      </c>
    </row>
    <row r="977" spans="1:8">
      <c r="A977">
        <v>110</v>
      </c>
      <c r="B977" t="s">
        <v>506</v>
      </c>
      <c r="C977">
        <v>50</v>
      </c>
      <c r="D977" t="s">
        <v>224</v>
      </c>
      <c r="G977" s="1">
        <v>30</v>
      </c>
    </row>
    <row r="978" spans="1:8">
      <c r="A978">
        <v>110</v>
      </c>
      <c r="B978" t="s">
        <v>506</v>
      </c>
      <c r="C978">
        <v>50</v>
      </c>
      <c r="D978" t="s">
        <v>224</v>
      </c>
      <c r="G978" s="1">
        <v>40</v>
      </c>
    </row>
    <row r="979" spans="1:8">
      <c r="A979">
        <v>110</v>
      </c>
      <c r="B979" t="s">
        <v>506</v>
      </c>
      <c r="C979">
        <v>57</v>
      </c>
      <c r="D979" t="s">
        <v>183</v>
      </c>
      <c r="E979" s="1">
        <v>3</v>
      </c>
      <c r="F979" s="1" t="s">
        <v>492</v>
      </c>
      <c r="G979" s="1">
        <v>50</v>
      </c>
      <c r="H979" s="1" t="s">
        <v>492</v>
      </c>
    </row>
    <row r="980" spans="1:8">
      <c r="A980">
        <v>110</v>
      </c>
      <c r="B980" t="s">
        <v>506</v>
      </c>
      <c r="C980">
        <v>57</v>
      </c>
      <c r="D980" t="s">
        <v>183</v>
      </c>
      <c r="E980" s="1">
        <v>3</v>
      </c>
      <c r="F980" s="1" t="s">
        <v>338</v>
      </c>
      <c r="G980" s="1">
        <v>60</v>
      </c>
      <c r="H980" s="1" t="s">
        <v>338</v>
      </c>
    </row>
    <row r="981" spans="1:8">
      <c r="A981">
        <v>110</v>
      </c>
      <c r="B981" t="s">
        <v>506</v>
      </c>
      <c r="C981">
        <v>57</v>
      </c>
      <c r="D981" t="s">
        <v>183</v>
      </c>
      <c r="G981" s="1">
        <v>50</v>
      </c>
    </row>
    <row r="982" spans="1:8">
      <c r="A982">
        <v>110</v>
      </c>
      <c r="B982" t="s">
        <v>506</v>
      </c>
      <c r="C982">
        <v>57</v>
      </c>
      <c r="D982" t="s">
        <v>183</v>
      </c>
      <c r="G982" s="1">
        <v>60</v>
      </c>
    </row>
    <row r="983" spans="1:8">
      <c r="A983">
        <v>110</v>
      </c>
      <c r="B983" t="s">
        <v>506</v>
      </c>
      <c r="C983">
        <v>58</v>
      </c>
      <c r="D983" t="s">
        <v>226</v>
      </c>
      <c r="E983" s="1">
        <v>1</v>
      </c>
      <c r="F983" s="1" t="s">
        <v>487</v>
      </c>
      <c r="G983" s="1">
        <v>60</v>
      </c>
      <c r="H983" s="1" t="s">
        <v>487</v>
      </c>
    </row>
    <row r="984" spans="1:8">
      <c r="A984">
        <v>110</v>
      </c>
      <c r="B984" t="s">
        <v>506</v>
      </c>
      <c r="C984">
        <v>58</v>
      </c>
      <c r="D984" t="s">
        <v>226</v>
      </c>
      <c r="E984" s="1">
        <v>3</v>
      </c>
      <c r="F984" s="1" t="s">
        <v>319</v>
      </c>
      <c r="G984" s="1">
        <v>60</v>
      </c>
      <c r="H984" s="1" t="s">
        <v>319</v>
      </c>
    </row>
    <row r="985" spans="1:8">
      <c r="A985">
        <v>110</v>
      </c>
      <c r="B985" t="s">
        <v>506</v>
      </c>
      <c r="C985">
        <v>59</v>
      </c>
      <c r="D985" t="s">
        <v>227</v>
      </c>
      <c r="E985" s="1">
        <v>3</v>
      </c>
      <c r="F985" s="1" t="s">
        <v>295</v>
      </c>
      <c r="G985" s="1">
        <v>23</v>
      </c>
      <c r="H985" s="1" t="s">
        <v>295</v>
      </c>
    </row>
    <row r="986" spans="1:8">
      <c r="A986">
        <v>110</v>
      </c>
      <c r="B986" t="s">
        <v>506</v>
      </c>
      <c r="C986">
        <v>59</v>
      </c>
      <c r="D986" t="s">
        <v>227</v>
      </c>
      <c r="G986" s="1">
        <v>23</v>
      </c>
    </row>
    <row r="987" spans="1:8">
      <c r="A987">
        <v>110</v>
      </c>
      <c r="B987" t="s">
        <v>506</v>
      </c>
      <c r="C987">
        <v>62</v>
      </c>
      <c r="D987" t="s">
        <v>514</v>
      </c>
      <c r="E987" s="1">
        <v>1</v>
      </c>
      <c r="F987" s="1">
        <v>13</v>
      </c>
      <c r="G987" s="1">
        <v>70</v>
      </c>
      <c r="H987" s="1">
        <v>13</v>
      </c>
    </row>
    <row r="988" spans="1:8">
      <c r="A988">
        <v>110</v>
      </c>
      <c r="B988" t="s">
        <v>506</v>
      </c>
      <c r="C988">
        <v>63</v>
      </c>
      <c r="D988" t="s">
        <v>229</v>
      </c>
      <c r="G988" s="1">
        <v>10</v>
      </c>
    </row>
    <row r="989" spans="1:8">
      <c r="A989">
        <v>110</v>
      </c>
      <c r="B989" t="s">
        <v>506</v>
      </c>
      <c r="C989">
        <v>63</v>
      </c>
      <c r="D989" t="s">
        <v>229</v>
      </c>
      <c r="G989" s="1">
        <v>20</v>
      </c>
    </row>
    <row r="990" spans="1:8">
      <c r="A990">
        <v>110</v>
      </c>
      <c r="B990" t="s">
        <v>506</v>
      </c>
      <c r="C990">
        <v>63</v>
      </c>
      <c r="D990" t="s">
        <v>229</v>
      </c>
      <c r="G990" s="1">
        <v>30</v>
      </c>
    </row>
    <row r="991" spans="1:8">
      <c r="A991">
        <v>110</v>
      </c>
      <c r="B991" t="s">
        <v>506</v>
      </c>
      <c r="C991">
        <v>63</v>
      </c>
      <c r="D991" t="s">
        <v>229</v>
      </c>
      <c r="G991" s="1">
        <v>40</v>
      </c>
    </row>
    <row r="992" spans="1:8">
      <c r="A992">
        <v>110</v>
      </c>
      <c r="B992" t="s">
        <v>506</v>
      </c>
      <c r="C992">
        <v>64</v>
      </c>
      <c r="D992" t="s">
        <v>230</v>
      </c>
      <c r="G992" s="1">
        <v>10</v>
      </c>
    </row>
    <row r="993" spans="1:8">
      <c r="A993">
        <v>110</v>
      </c>
      <c r="B993" t="s">
        <v>506</v>
      </c>
      <c r="C993">
        <v>64</v>
      </c>
      <c r="D993" t="s">
        <v>230</v>
      </c>
      <c r="G993" s="1">
        <v>20</v>
      </c>
    </row>
    <row r="994" spans="1:8">
      <c r="A994">
        <v>110</v>
      </c>
      <c r="B994" t="s">
        <v>506</v>
      </c>
      <c r="C994">
        <v>64</v>
      </c>
      <c r="D994" t="s">
        <v>230</v>
      </c>
      <c r="G994" s="1">
        <v>25</v>
      </c>
    </row>
    <row r="995" spans="1:8">
      <c r="A995">
        <v>110</v>
      </c>
      <c r="B995" t="s">
        <v>506</v>
      </c>
      <c r="C995">
        <v>64</v>
      </c>
      <c r="D995" t="s">
        <v>230</v>
      </c>
      <c r="G995" s="1">
        <v>30</v>
      </c>
    </row>
    <row r="996" spans="1:8">
      <c r="A996">
        <v>110</v>
      </c>
      <c r="B996" t="s">
        <v>506</v>
      </c>
      <c r="C996">
        <v>64</v>
      </c>
      <c r="D996" t="s">
        <v>230</v>
      </c>
      <c r="G996" s="1">
        <v>40</v>
      </c>
    </row>
    <row r="997" spans="1:8">
      <c r="A997">
        <v>110</v>
      </c>
      <c r="B997" t="s">
        <v>506</v>
      </c>
      <c r="C997">
        <v>65</v>
      </c>
      <c r="D997" t="s">
        <v>231</v>
      </c>
      <c r="E997" s="1">
        <v>1</v>
      </c>
      <c r="F997" s="1" t="s">
        <v>515</v>
      </c>
      <c r="G997" s="1">
        <v>30</v>
      </c>
      <c r="H997" s="1" t="s">
        <v>515</v>
      </c>
    </row>
    <row r="998" spans="1:8">
      <c r="A998">
        <v>110</v>
      </c>
      <c r="B998" t="s">
        <v>506</v>
      </c>
      <c r="C998">
        <v>65</v>
      </c>
      <c r="D998" t="s">
        <v>231</v>
      </c>
      <c r="E998" s="1">
        <v>1</v>
      </c>
      <c r="F998" s="1" t="s">
        <v>516</v>
      </c>
      <c r="G998" s="1">
        <v>40</v>
      </c>
      <c r="H998" s="1" t="s">
        <v>516</v>
      </c>
    </row>
    <row r="999" spans="1:8">
      <c r="A999">
        <v>110</v>
      </c>
      <c r="B999" t="s">
        <v>506</v>
      </c>
      <c r="C999">
        <v>67</v>
      </c>
      <c r="D999" t="s">
        <v>232</v>
      </c>
      <c r="G999" s="1">
        <v>20</v>
      </c>
    </row>
    <row r="1000" spans="1:8">
      <c r="A1000">
        <v>110</v>
      </c>
      <c r="B1000" t="s">
        <v>506</v>
      </c>
      <c r="C1000">
        <v>67</v>
      </c>
      <c r="D1000" t="s">
        <v>232</v>
      </c>
      <c r="G1000" s="1">
        <v>40</v>
      </c>
    </row>
    <row r="1001" spans="1:8">
      <c r="A1001">
        <v>110</v>
      </c>
      <c r="B1001" t="s">
        <v>506</v>
      </c>
      <c r="C1001">
        <v>68</v>
      </c>
      <c r="D1001" t="s">
        <v>233</v>
      </c>
      <c r="G1001" s="1">
        <v>30</v>
      </c>
    </row>
    <row r="1002" spans="1:8">
      <c r="A1002">
        <v>110</v>
      </c>
      <c r="B1002" t="s">
        <v>506</v>
      </c>
      <c r="C1002">
        <v>68</v>
      </c>
      <c r="D1002" t="s">
        <v>233</v>
      </c>
      <c r="G1002" s="1">
        <v>40</v>
      </c>
    </row>
    <row r="1003" spans="1:8">
      <c r="A1003">
        <v>110</v>
      </c>
      <c r="B1003" t="s">
        <v>506</v>
      </c>
      <c r="C1003">
        <v>74</v>
      </c>
      <c r="D1003" t="s">
        <v>235</v>
      </c>
      <c r="E1003" s="1">
        <v>3</v>
      </c>
      <c r="F1003" s="1" t="s">
        <v>320</v>
      </c>
      <c r="G1003" s="1">
        <v>50</v>
      </c>
      <c r="H1003" s="1" t="s">
        <v>320</v>
      </c>
    </row>
    <row r="1004" spans="1:8">
      <c r="A1004">
        <v>110</v>
      </c>
      <c r="B1004" t="s">
        <v>506</v>
      </c>
      <c r="C1004">
        <v>74</v>
      </c>
      <c r="D1004" t="s">
        <v>235</v>
      </c>
      <c r="E1004" s="1">
        <v>3</v>
      </c>
      <c r="F1004" s="1" t="s">
        <v>321</v>
      </c>
      <c r="G1004" s="1">
        <v>60</v>
      </c>
      <c r="H1004" s="1" t="s">
        <v>321</v>
      </c>
    </row>
    <row r="1005" spans="1:8">
      <c r="A1005">
        <v>110</v>
      </c>
      <c r="B1005" t="s">
        <v>506</v>
      </c>
      <c r="C1005">
        <v>80</v>
      </c>
      <c r="D1005" t="s">
        <v>238</v>
      </c>
      <c r="E1005" s="1">
        <v>1</v>
      </c>
      <c r="F1005" s="1" t="s">
        <v>284</v>
      </c>
      <c r="G1005" s="1">
        <v>10</v>
      </c>
      <c r="H1005" s="1" t="s">
        <v>284</v>
      </c>
    </row>
    <row r="1006" spans="1:8">
      <c r="A1006">
        <v>110</v>
      </c>
      <c r="B1006" t="s">
        <v>506</v>
      </c>
      <c r="C1006">
        <v>80</v>
      </c>
      <c r="D1006" t="s">
        <v>238</v>
      </c>
      <c r="E1006" s="1">
        <v>1</v>
      </c>
      <c r="F1006" s="1" t="s">
        <v>347</v>
      </c>
      <c r="G1006" s="1">
        <v>20</v>
      </c>
      <c r="H1006" s="1" t="s">
        <v>347</v>
      </c>
    </row>
    <row r="1007" spans="1:8">
      <c r="A1007">
        <v>110</v>
      </c>
      <c r="B1007" t="s">
        <v>506</v>
      </c>
      <c r="C1007">
        <v>80</v>
      </c>
      <c r="D1007" t="s">
        <v>238</v>
      </c>
      <c r="E1007" s="1">
        <v>1</v>
      </c>
      <c r="F1007" s="1" t="s">
        <v>394</v>
      </c>
      <c r="G1007" s="1">
        <v>22</v>
      </c>
      <c r="H1007" s="1" t="s">
        <v>394</v>
      </c>
    </row>
    <row r="1008" spans="1:8">
      <c r="A1008">
        <v>110</v>
      </c>
      <c r="B1008" t="s">
        <v>506</v>
      </c>
      <c r="C1008">
        <v>80</v>
      </c>
      <c r="D1008" t="s">
        <v>238</v>
      </c>
      <c r="E1008" s="1">
        <v>1</v>
      </c>
      <c r="F1008" s="1" t="s">
        <v>328</v>
      </c>
      <c r="G1008" s="1">
        <v>30</v>
      </c>
      <c r="H1008" s="1" t="s">
        <v>328</v>
      </c>
    </row>
    <row r="1009" spans="1:8">
      <c r="A1009">
        <v>110</v>
      </c>
      <c r="B1009" t="s">
        <v>506</v>
      </c>
      <c r="C1009">
        <v>80</v>
      </c>
      <c r="D1009" t="s">
        <v>238</v>
      </c>
      <c r="G1009" s="1">
        <v>80</v>
      </c>
    </row>
    <row r="1010" spans="1:8">
      <c r="A1010">
        <v>111</v>
      </c>
      <c r="B1010" t="s">
        <v>517</v>
      </c>
      <c r="C1010">
        <v>1</v>
      </c>
      <c r="D1010" t="s">
        <v>137</v>
      </c>
      <c r="E1010" s="1">
        <v>1</v>
      </c>
      <c r="F1010" s="1">
        <v>13</v>
      </c>
      <c r="G1010" s="1">
        <v>60</v>
      </c>
      <c r="H1010" s="1">
        <v>13</v>
      </c>
    </row>
    <row r="1011" spans="1:8">
      <c r="A1011">
        <v>111</v>
      </c>
      <c r="B1011" t="s">
        <v>517</v>
      </c>
      <c r="C1011">
        <v>1</v>
      </c>
      <c r="D1011" t="s">
        <v>137</v>
      </c>
      <c r="E1011" s="1">
        <v>1</v>
      </c>
      <c r="F1011" s="1" t="s">
        <v>144</v>
      </c>
      <c r="G1011" s="1">
        <v>62</v>
      </c>
      <c r="H1011" s="1" t="s">
        <v>144</v>
      </c>
    </row>
    <row r="1012" spans="1:8">
      <c r="A1012">
        <v>111</v>
      </c>
      <c r="B1012" t="s">
        <v>517</v>
      </c>
      <c r="C1012">
        <v>1</v>
      </c>
      <c r="D1012" t="s">
        <v>137</v>
      </c>
      <c r="E1012" s="1">
        <v>1</v>
      </c>
      <c r="F1012" s="1">
        <v>14</v>
      </c>
      <c r="G1012" s="1">
        <v>70</v>
      </c>
      <c r="H1012" s="1">
        <v>14</v>
      </c>
    </row>
    <row r="1013" spans="1:8">
      <c r="A1013">
        <v>111</v>
      </c>
      <c r="B1013" t="s">
        <v>517</v>
      </c>
      <c r="C1013">
        <v>1</v>
      </c>
      <c r="D1013" t="s">
        <v>137</v>
      </c>
      <c r="E1013" s="1">
        <v>1</v>
      </c>
      <c r="F1013" s="1" t="s">
        <v>147</v>
      </c>
      <c r="G1013" s="1">
        <v>72</v>
      </c>
      <c r="H1013" s="1" t="s">
        <v>147</v>
      </c>
    </row>
    <row r="1014" spans="1:8">
      <c r="A1014">
        <v>111</v>
      </c>
      <c r="B1014" t="s">
        <v>517</v>
      </c>
      <c r="C1014">
        <v>1</v>
      </c>
      <c r="D1014" t="s">
        <v>137</v>
      </c>
      <c r="E1014" s="1">
        <v>1</v>
      </c>
      <c r="F1014" s="1">
        <v>15</v>
      </c>
      <c r="G1014" s="1">
        <v>80</v>
      </c>
      <c r="H1014" s="1">
        <v>15</v>
      </c>
    </row>
    <row r="1015" spans="1:8">
      <c r="A1015">
        <v>111</v>
      </c>
      <c r="B1015" t="s">
        <v>517</v>
      </c>
      <c r="C1015">
        <v>1</v>
      </c>
      <c r="D1015" t="s">
        <v>137</v>
      </c>
      <c r="E1015" s="1">
        <v>1</v>
      </c>
      <c r="F1015" s="1" t="s">
        <v>150</v>
      </c>
      <c r="G1015" s="1">
        <v>82</v>
      </c>
      <c r="H1015" s="1" t="s">
        <v>150</v>
      </c>
    </row>
    <row r="1016" spans="1:8">
      <c r="A1016">
        <v>111</v>
      </c>
      <c r="B1016" t="s">
        <v>517</v>
      </c>
      <c r="C1016">
        <v>1</v>
      </c>
      <c r="D1016" t="s">
        <v>137</v>
      </c>
      <c r="E1016" s="1">
        <v>1</v>
      </c>
      <c r="F1016" s="1">
        <v>16</v>
      </c>
      <c r="G1016" s="1">
        <v>90</v>
      </c>
      <c r="H1016" s="1">
        <v>16</v>
      </c>
    </row>
    <row r="1017" spans="1:8">
      <c r="A1017">
        <v>111</v>
      </c>
      <c r="B1017" t="s">
        <v>517</v>
      </c>
      <c r="C1017">
        <v>1</v>
      </c>
      <c r="D1017" t="s">
        <v>137</v>
      </c>
      <c r="E1017" s="1">
        <v>1</v>
      </c>
      <c r="F1017" s="1" t="s">
        <v>153</v>
      </c>
      <c r="G1017" s="1">
        <v>92</v>
      </c>
      <c r="H1017" s="1" t="s">
        <v>153</v>
      </c>
    </row>
    <row r="1018" spans="1:8">
      <c r="A1018">
        <v>111</v>
      </c>
      <c r="B1018" t="s">
        <v>517</v>
      </c>
      <c r="C1018">
        <v>1</v>
      </c>
      <c r="D1018" t="s">
        <v>137</v>
      </c>
      <c r="E1018" s="1">
        <v>1</v>
      </c>
      <c r="F1018" s="1">
        <v>17</v>
      </c>
      <c r="G1018" s="1">
        <v>94</v>
      </c>
      <c r="H1018" s="1">
        <v>17</v>
      </c>
    </row>
    <row r="1019" spans="1:8">
      <c r="A1019">
        <v>111</v>
      </c>
      <c r="B1019" t="s">
        <v>517</v>
      </c>
      <c r="C1019">
        <v>1</v>
      </c>
      <c r="D1019" t="s">
        <v>137</v>
      </c>
      <c r="E1019" s="1">
        <v>1</v>
      </c>
      <c r="F1019" s="1" t="s">
        <v>156</v>
      </c>
      <c r="G1019" s="1">
        <v>96</v>
      </c>
      <c r="H1019" s="1" t="s">
        <v>156</v>
      </c>
    </row>
    <row r="1020" spans="1:8">
      <c r="A1020">
        <v>111</v>
      </c>
      <c r="B1020" t="s">
        <v>517</v>
      </c>
      <c r="C1020">
        <v>1</v>
      </c>
      <c r="D1020" t="s">
        <v>137</v>
      </c>
      <c r="E1020" s="1">
        <v>2</v>
      </c>
      <c r="F1020" s="1" t="s">
        <v>159</v>
      </c>
      <c r="G1020" s="1">
        <v>2</v>
      </c>
      <c r="H1020" s="1" t="s">
        <v>159</v>
      </c>
    </row>
    <row r="1021" spans="1:8">
      <c r="A1021">
        <v>111</v>
      </c>
      <c r="B1021" t="s">
        <v>517</v>
      </c>
      <c r="C1021">
        <v>1</v>
      </c>
      <c r="D1021" t="s">
        <v>137</v>
      </c>
      <c r="E1021" s="1">
        <v>2</v>
      </c>
      <c r="F1021" s="1">
        <v>19</v>
      </c>
      <c r="G1021" s="1">
        <v>10</v>
      </c>
      <c r="H1021" s="1">
        <v>19</v>
      </c>
    </row>
    <row r="1022" spans="1:8">
      <c r="A1022">
        <v>111</v>
      </c>
      <c r="B1022" t="s">
        <v>517</v>
      </c>
      <c r="C1022">
        <v>1</v>
      </c>
      <c r="D1022" t="s">
        <v>137</v>
      </c>
      <c r="E1022" s="1">
        <v>2</v>
      </c>
      <c r="F1022" s="1" t="s">
        <v>162</v>
      </c>
      <c r="G1022" s="1">
        <v>12</v>
      </c>
      <c r="H1022" s="1" t="s">
        <v>162</v>
      </c>
    </row>
    <row r="1023" spans="1:8">
      <c r="A1023">
        <v>111</v>
      </c>
      <c r="B1023" t="s">
        <v>517</v>
      </c>
      <c r="C1023">
        <v>1</v>
      </c>
      <c r="D1023" t="s">
        <v>137</v>
      </c>
      <c r="E1023" s="1">
        <v>2</v>
      </c>
      <c r="F1023" s="1">
        <v>20</v>
      </c>
      <c r="G1023" s="1">
        <v>20</v>
      </c>
      <c r="H1023" s="1">
        <v>20</v>
      </c>
    </row>
    <row r="1024" spans="1:8">
      <c r="A1024">
        <v>111</v>
      </c>
      <c r="B1024" t="s">
        <v>517</v>
      </c>
      <c r="C1024">
        <v>1</v>
      </c>
      <c r="D1024" t="s">
        <v>137</v>
      </c>
      <c r="E1024" s="1">
        <v>2</v>
      </c>
      <c r="F1024" s="1" t="s">
        <v>165</v>
      </c>
      <c r="G1024" s="1">
        <v>22</v>
      </c>
      <c r="H1024" s="1" t="s">
        <v>165</v>
      </c>
    </row>
    <row r="1025" spans="1:8">
      <c r="A1025">
        <v>111</v>
      </c>
      <c r="B1025" t="s">
        <v>517</v>
      </c>
      <c r="C1025">
        <v>1</v>
      </c>
      <c r="D1025" t="s">
        <v>137</v>
      </c>
      <c r="E1025" s="1">
        <v>2</v>
      </c>
      <c r="F1025" s="1">
        <v>21</v>
      </c>
      <c r="G1025" s="1">
        <v>30</v>
      </c>
      <c r="H1025" s="1">
        <v>21</v>
      </c>
    </row>
    <row r="1026" spans="1:8">
      <c r="A1026">
        <v>111</v>
      </c>
      <c r="B1026" t="s">
        <v>517</v>
      </c>
      <c r="C1026">
        <v>1</v>
      </c>
      <c r="D1026" t="s">
        <v>137</v>
      </c>
      <c r="E1026" s="1">
        <v>2</v>
      </c>
      <c r="F1026" s="1" t="s">
        <v>168</v>
      </c>
      <c r="G1026" s="1">
        <v>32</v>
      </c>
      <c r="H1026" s="1" t="s">
        <v>168</v>
      </c>
    </row>
    <row r="1027" spans="1:8">
      <c r="A1027">
        <v>111</v>
      </c>
      <c r="B1027" t="s">
        <v>517</v>
      </c>
      <c r="C1027">
        <v>1</v>
      </c>
      <c r="D1027" t="s">
        <v>137</v>
      </c>
      <c r="E1027" s="1">
        <v>2</v>
      </c>
      <c r="F1027" s="1">
        <v>22</v>
      </c>
      <c r="G1027" s="1">
        <v>40</v>
      </c>
      <c r="H1027" s="1">
        <v>22</v>
      </c>
    </row>
    <row r="1028" spans="1:8">
      <c r="A1028">
        <v>111</v>
      </c>
      <c r="B1028" t="s">
        <v>517</v>
      </c>
      <c r="C1028">
        <v>1</v>
      </c>
      <c r="D1028" t="s">
        <v>137</v>
      </c>
      <c r="E1028" s="1">
        <v>2</v>
      </c>
      <c r="F1028" s="1" t="s">
        <v>171</v>
      </c>
      <c r="G1028" s="1">
        <v>42</v>
      </c>
      <c r="H1028" s="1" t="s">
        <v>171</v>
      </c>
    </row>
    <row r="1029" spans="1:8">
      <c r="A1029">
        <v>111</v>
      </c>
      <c r="B1029" t="s">
        <v>517</v>
      </c>
      <c r="C1029">
        <v>1</v>
      </c>
      <c r="D1029" t="s">
        <v>137</v>
      </c>
      <c r="E1029" s="1">
        <v>2</v>
      </c>
      <c r="F1029" s="1">
        <v>23</v>
      </c>
      <c r="G1029" s="1">
        <v>50</v>
      </c>
      <c r="H1029" s="1">
        <v>23</v>
      </c>
    </row>
    <row r="1030" spans="1:8">
      <c r="A1030">
        <v>111</v>
      </c>
      <c r="B1030" t="s">
        <v>517</v>
      </c>
      <c r="C1030">
        <v>1</v>
      </c>
      <c r="D1030" t="s">
        <v>137</v>
      </c>
      <c r="E1030" s="1">
        <v>2</v>
      </c>
      <c r="F1030" s="1" t="s">
        <v>174</v>
      </c>
      <c r="G1030" s="1">
        <v>52</v>
      </c>
      <c r="H1030" s="1" t="s">
        <v>174</v>
      </c>
    </row>
    <row r="1031" spans="1:8">
      <c r="A1031">
        <v>111</v>
      </c>
      <c r="B1031" t="s">
        <v>517</v>
      </c>
      <c r="C1031">
        <v>1</v>
      </c>
      <c r="D1031" t="s">
        <v>137</v>
      </c>
      <c r="E1031" s="1">
        <v>2</v>
      </c>
      <c r="F1031" s="1">
        <v>24</v>
      </c>
      <c r="G1031" s="1">
        <v>60</v>
      </c>
      <c r="H1031" s="1">
        <v>24</v>
      </c>
    </row>
    <row r="1032" spans="1:8">
      <c r="A1032">
        <v>111</v>
      </c>
      <c r="B1032" t="s">
        <v>517</v>
      </c>
      <c r="C1032">
        <v>1</v>
      </c>
      <c r="D1032" t="s">
        <v>137</v>
      </c>
      <c r="E1032" s="1">
        <v>2</v>
      </c>
      <c r="F1032" s="1" t="s">
        <v>180</v>
      </c>
      <c r="G1032" s="1">
        <v>72</v>
      </c>
      <c r="H1032" s="1" t="s">
        <v>180</v>
      </c>
    </row>
    <row r="1033" spans="1:8">
      <c r="A1033">
        <v>111</v>
      </c>
      <c r="B1033" t="s">
        <v>517</v>
      </c>
      <c r="C1033">
        <v>1</v>
      </c>
      <c r="D1033" t="s">
        <v>137</v>
      </c>
      <c r="E1033" s="1">
        <v>2</v>
      </c>
      <c r="F1033" s="1">
        <v>18</v>
      </c>
      <c r="H1033" s="1">
        <v>18</v>
      </c>
    </row>
    <row r="1034" spans="1:8">
      <c r="A1034">
        <v>111</v>
      </c>
      <c r="B1034" t="s">
        <v>517</v>
      </c>
      <c r="C1034">
        <v>5</v>
      </c>
      <c r="D1034" t="s">
        <v>183</v>
      </c>
      <c r="G1034" s="1">
        <v>40</v>
      </c>
    </row>
    <row r="1035" spans="1:8">
      <c r="A1035">
        <v>111</v>
      </c>
      <c r="B1035" t="s">
        <v>517</v>
      </c>
      <c r="C1035">
        <v>5</v>
      </c>
      <c r="D1035" t="s">
        <v>183</v>
      </c>
      <c r="G1035" s="1">
        <v>50</v>
      </c>
    </row>
    <row r="1036" spans="1:8">
      <c r="A1036">
        <v>111</v>
      </c>
      <c r="B1036" t="s">
        <v>517</v>
      </c>
      <c r="C1036">
        <v>5</v>
      </c>
      <c r="D1036" t="s">
        <v>183</v>
      </c>
      <c r="G1036" s="1">
        <v>60</v>
      </c>
    </row>
    <row r="1037" spans="1:8">
      <c r="A1037">
        <v>111</v>
      </c>
      <c r="B1037" t="s">
        <v>517</v>
      </c>
      <c r="C1037">
        <v>6</v>
      </c>
      <c r="D1037" t="s">
        <v>184</v>
      </c>
      <c r="G1037" s="1">
        <v>63</v>
      </c>
    </row>
    <row r="1038" spans="1:8">
      <c r="A1038">
        <v>111</v>
      </c>
      <c r="B1038" t="s">
        <v>517</v>
      </c>
      <c r="C1038">
        <v>11</v>
      </c>
      <c r="D1038" t="s">
        <v>186</v>
      </c>
      <c r="E1038" s="1">
        <v>1</v>
      </c>
      <c r="F1038" s="1" t="s">
        <v>192</v>
      </c>
      <c r="G1038" s="1">
        <v>2</v>
      </c>
      <c r="H1038" s="1" t="s">
        <v>192</v>
      </c>
    </row>
    <row r="1039" spans="1:8">
      <c r="A1039">
        <v>111</v>
      </c>
      <c r="B1039" t="s">
        <v>517</v>
      </c>
      <c r="C1039">
        <v>11</v>
      </c>
      <c r="D1039" t="s">
        <v>186</v>
      </c>
      <c r="E1039" s="1">
        <v>1</v>
      </c>
      <c r="F1039" s="1">
        <v>40</v>
      </c>
      <c r="G1039" s="1">
        <v>10</v>
      </c>
      <c r="H1039" s="1">
        <v>40</v>
      </c>
    </row>
    <row r="1040" spans="1:8">
      <c r="A1040">
        <v>111</v>
      </c>
      <c r="B1040" t="s">
        <v>517</v>
      </c>
      <c r="C1040">
        <v>11</v>
      </c>
      <c r="D1040" t="s">
        <v>186</v>
      </c>
      <c r="E1040" s="1">
        <v>1</v>
      </c>
      <c r="F1040" s="1" t="s">
        <v>193</v>
      </c>
      <c r="G1040" s="1">
        <v>12</v>
      </c>
      <c r="H1040" s="1" t="s">
        <v>193</v>
      </c>
    </row>
    <row r="1041" spans="1:8">
      <c r="A1041">
        <v>111</v>
      </c>
      <c r="B1041" t="s">
        <v>517</v>
      </c>
      <c r="C1041">
        <v>11</v>
      </c>
      <c r="D1041" t="s">
        <v>186</v>
      </c>
      <c r="E1041" s="1">
        <v>1</v>
      </c>
      <c r="F1041" s="1">
        <v>41</v>
      </c>
      <c r="G1041" s="1">
        <v>20</v>
      </c>
      <c r="H1041" s="1">
        <v>41</v>
      </c>
    </row>
    <row r="1042" spans="1:8">
      <c r="A1042">
        <v>111</v>
      </c>
      <c r="B1042" t="s">
        <v>517</v>
      </c>
      <c r="C1042">
        <v>11</v>
      </c>
      <c r="D1042" t="s">
        <v>186</v>
      </c>
      <c r="E1042" s="1">
        <v>1</v>
      </c>
      <c r="F1042" s="1" t="s">
        <v>194</v>
      </c>
      <c r="G1042" s="1">
        <v>22</v>
      </c>
      <c r="H1042" s="1" t="s">
        <v>194</v>
      </c>
    </row>
    <row r="1043" spans="1:8">
      <c r="A1043">
        <v>111</v>
      </c>
      <c r="B1043" t="s">
        <v>517</v>
      </c>
      <c r="C1043">
        <v>11</v>
      </c>
      <c r="D1043" t="s">
        <v>186</v>
      </c>
      <c r="E1043" s="1">
        <v>1</v>
      </c>
      <c r="F1043" s="1">
        <v>42</v>
      </c>
      <c r="G1043" s="1">
        <v>30</v>
      </c>
      <c r="H1043" s="1">
        <v>42</v>
      </c>
    </row>
    <row r="1044" spans="1:8">
      <c r="A1044">
        <v>111</v>
      </c>
      <c r="B1044" t="s">
        <v>517</v>
      </c>
      <c r="C1044">
        <v>11</v>
      </c>
      <c r="D1044" t="s">
        <v>186</v>
      </c>
      <c r="E1044" s="1">
        <v>1</v>
      </c>
      <c r="F1044" s="1" t="s">
        <v>195</v>
      </c>
      <c r="G1044" s="1">
        <v>32</v>
      </c>
      <c r="H1044" s="1" t="s">
        <v>195</v>
      </c>
    </row>
    <row r="1045" spans="1:8">
      <c r="A1045">
        <v>111</v>
      </c>
      <c r="B1045" t="s">
        <v>517</v>
      </c>
      <c r="C1045">
        <v>11</v>
      </c>
      <c r="D1045" t="s">
        <v>186</v>
      </c>
      <c r="E1045" s="1">
        <v>1</v>
      </c>
      <c r="F1045" s="1">
        <v>43</v>
      </c>
      <c r="G1045" s="1">
        <v>40</v>
      </c>
      <c r="H1045" s="1">
        <v>43</v>
      </c>
    </row>
    <row r="1046" spans="1:8">
      <c r="A1046">
        <v>111</v>
      </c>
      <c r="B1046" t="s">
        <v>517</v>
      </c>
      <c r="C1046">
        <v>11</v>
      </c>
      <c r="D1046" t="s">
        <v>186</v>
      </c>
      <c r="E1046" s="1">
        <v>1</v>
      </c>
      <c r="F1046" s="1" t="s">
        <v>196</v>
      </c>
      <c r="G1046" s="1">
        <v>42</v>
      </c>
      <c r="H1046" s="1" t="s">
        <v>196</v>
      </c>
    </row>
    <row r="1047" spans="1:8">
      <c r="A1047">
        <v>111</v>
      </c>
      <c r="B1047" t="s">
        <v>517</v>
      </c>
      <c r="C1047">
        <v>11</v>
      </c>
      <c r="D1047" t="s">
        <v>186</v>
      </c>
      <c r="E1047" s="1">
        <v>1</v>
      </c>
      <c r="F1047" s="1">
        <v>44</v>
      </c>
      <c r="G1047" s="1">
        <v>50</v>
      </c>
      <c r="H1047" s="1">
        <v>44</v>
      </c>
    </row>
    <row r="1048" spans="1:8">
      <c r="A1048">
        <v>111</v>
      </c>
      <c r="B1048" t="s">
        <v>517</v>
      </c>
      <c r="C1048">
        <v>11</v>
      </c>
      <c r="D1048" t="s">
        <v>186</v>
      </c>
      <c r="E1048" s="1">
        <v>1</v>
      </c>
      <c r="F1048" s="1" t="s">
        <v>197</v>
      </c>
      <c r="G1048" s="1">
        <v>52</v>
      </c>
      <c r="H1048" s="1" t="s">
        <v>197</v>
      </c>
    </row>
    <row r="1049" spans="1:8">
      <c r="A1049">
        <v>111</v>
      </c>
      <c r="B1049" t="s">
        <v>517</v>
      </c>
      <c r="C1049">
        <v>11</v>
      </c>
      <c r="D1049" t="s">
        <v>186</v>
      </c>
      <c r="E1049" s="1">
        <v>1</v>
      </c>
      <c r="F1049" s="1">
        <v>45</v>
      </c>
      <c r="G1049" s="1">
        <v>60</v>
      </c>
      <c r="H1049" s="1">
        <v>45</v>
      </c>
    </row>
    <row r="1050" spans="1:8">
      <c r="A1050">
        <v>111</v>
      </c>
      <c r="B1050" t="s">
        <v>517</v>
      </c>
      <c r="C1050">
        <v>11</v>
      </c>
      <c r="D1050" t="s">
        <v>186</v>
      </c>
      <c r="E1050" s="1">
        <v>1</v>
      </c>
      <c r="F1050" s="1" t="s">
        <v>198</v>
      </c>
      <c r="G1050" s="1">
        <v>62</v>
      </c>
      <c r="H1050" s="1" t="s">
        <v>198</v>
      </c>
    </row>
    <row r="1051" spans="1:8">
      <c r="A1051">
        <v>111</v>
      </c>
      <c r="B1051" t="s">
        <v>517</v>
      </c>
      <c r="C1051">
        <v>11</v>
      </c>
      <c r="D1051" t="s">
        <v>186</v>
      </c>
      <c r="E1051" s="1">
        <v>1</v>
      </c>
      <c r="F1051" s="1" t="s">
        <v>199</v>
      </c>
      <c r="G1051" s="1">
        <v>72</v>
      </c>
      <c r="H1051" s="1" t="s">
        <v>199</v>
      </c>
    </row>
    <row r="1052" spans="1:8">
      <c r="A1052">
        <v>111</v>
      </c>
      <c r="B1052" t="s">
        <v>517</v>
      </c>
      <c r="C1052">
        <v>11</v>
      </c>
      <c r="D1052" t="s">
        <v>186</v>
      </c>
      <c r="G1052" s="1">
        <v>96</v>
      </c>
    </row>
    <row r="1053" spans="1:8">
      <c r="A1053">
        <v>111</v>
      </c>
      <c r="B1053" t="s">
        <v>517</v>
      </c>
      <c r="C1053">
        <v>12</v>
      </c>
      <c r="D1053" t="s">
        <v>107</v>
      </c>
      <c r="E1053" s="1">
        <v>1</v>
      </c>
      <c r="F1053" s="1" t="s">
        <v>192</v>
      </c>
      <c r="G1053" s="1">
        <v>2</v>
      </c>
      <c r="H1053" s="1" t="s">
        <v>192</v>
      </c>
    </row>
    <row r="1054" spans="1:8">
      <c r="A1054">
        <v>111</v>
      </c>
      <c r="B1054" t="s">
        <v>517</v>
      </c>
      <c r="C1054">
        <v>12</v>
      </c>
      <c r="D1054" t="s">
        <v>107</v>
      </c>
      <c r="E1054" s="1">
        <v>1</v>
      </c>
      <c r="F1054" s="1">
        <v>40</v>
      </c>
      <c r="G1054" s="1">
        <v>10</v>
      </c>
      <c r="H1054" s="1">
        <v>40</v>
      </c>
    </row>
    <row r="1055" spans="1:8">
      <c r="A1055">
        <v>111</v>
      </c>
      <c r="B1055" t="s">
        <v>517</v>
      </c>
      <c r="C1055">
        <v>12</v>
      </c>
      <c r="D1055" t="s">
        <v>107</v>
      </c>
      <c r="E1055" s="1">
        <v>1</v>
      </c>
      <c r="F1055" s="1" t="s">
        <v>193</v>
      </c>
      <c r="G1055" s="1">
        <v>12</v>
      </c>
      <c r="H1055" s="1" t="s">
        <v>193</v>
      </c>
    </row>
    <row r="1056" spans="1:8">
      <c r="A1056">
        <v>111</v>
      </c>
      <c r="B1056" t="s">
        <v>517</v>
      </c>
      <c r="C1056">
        <v>12</v>
      </c>
      <c r="D1056" t="s">
        <v>107</v>
      </c>
      <c r="E1056" s="1">
        <v>1</v>
      </c>
      <c r="F1056" s="1">
        <v>41</v>
      </c>
      <c r="G1056" s="1">
        <v>20</v>
      </c>
      <c r="H1056" s="1">
        <v>41</v>
      </c>
    </row>
    <row r="1057" spans="1:8">
      <c r="A1057">
        <v>111</v>
      </c>
      <c r="B1057" t="s">
        <v>517</v>
      </c>
      <c r="C1057">
        <v>12</v>
      </c>
      <c r="D1057" t="s">
        <v>107</v>
      </c>
      <c r="E1057" s="1">
        <v>1</v>
      </c>
      <c r="F1057" s="1" t="s">
        <v>194</v>
      </c>
      <c r="G1057" s="1">
        <v>22</v>
      </c>
      <c r="H1057" s="1" t="s">
        <v>194</v>
      </c>
    </row>
    <row r="1058" spans="1:8">
      <c r="A1058">
        <v>111</v>
      </c>
      <c r="B1058" t="s">
        <v>517</v>
      </c>
      <c r="C1058">
        <v>12</v>
      </c>
      <c r="D1058" t="s">
        <v>107</v>
      </c>
      <c r="E1058" s="1">
        <v>1</v>
      </c>
      <c r="F1058" s="1">
        <v>42</v>
      </c>
      <c r="G1058" s="1">
        <v>30</v>
      </c>
      <c r="H1058" s="1">
        <v>42</v>
      </c>
    </row>
    <row r="1059" spans="1:8">
      <c r="A1059">
        <v>111</v>
      </c>
      <c r="B1059" t="s">
        <v>517</v>
      </c>
      <c r="C1059">
        <v>12</v>
      </c>
      <c r="D1059" t="s">
        <v>107</v>
      </c>
      <c r="E1059" s="1">
        <v>1</v>
      </c>
      <c r="F1059" s="1" t="s">
        <v>195</v>
      </c>
      <c r="G1059" s="1">
        <v>32</v>
      </c>
      <c r="H1059" s="1" t="s">
        <v>195</v>
      </c>
    </row>
    <row r="1060" spans="1:8">
      <c r="A1060">
        <v>111</v>
      </c>
      <c r="B1060" t="s">
        <v>517</v>
      </c>
      <c r="C1060">
        <v>12</v>
      </c>
      <c r="D1060" t="s">
        <v>107</v>
      </c>
      <c r="E1060" s="1">
        <v>1</v>
      </c>
      <c r="F1060" s="1">
        <v>43</v>
      </c>
      <c r="G1060" s="1">
        <v>40</v>
      </c>
      <c r="H1060" s="1">
        <v>43</v>
      </c>
    </row>
    <row r="1061" spans="1:8">
      <c r="A1061">
        <v>111</v>
      </c>
      <c r="B1061" t="s">
        <v>517</v>
      </c>
      <c r="C1061">
        <v>12</v>
      </c>
      <c r="D1061" t="s">
        <v>107</v>
      </c>
      <c r="E1061" s="1">
        <v>1</v>
      </c>
      <c r="F1061" s="1" t="s">
        <v>196</v>
      </c>
      <c r="G1061" s="1">
        <v>42</v>
      </c>
      <c r="H1061" s="1" t="s">
        <v>196</v>
      </c>
    </row>
    <row r="1062" spans="1:8">
      <c r="A1062">
        <v>111</v>
      </c>
      <c r="B1062" t="s">
        <v>517</v>
      </c>
      <c r="C1062">
        <v>12</v>
      </c>
      <c r="D1062" t="s">
        <v>107</v>
      </c>
      <c r="E1062" s="1">
        <v>1</v>
      </c>
      <c r="F1062" s="1">
        <v>44</v>
      </c>
      <c r="G1062" s="1">
        <v>50</v>
      </c>
      <c r="H1062" s="1">
        <v>44</v>
      </c>
    </row>
    <row r="1063" spans="1:8">
      <c r="A1063">
        <v>111</v>
      </c>
      <c r="B1063" t="s">
        <v>517</v>
      </c>
      <c r="C1063">
        <v>12</v>
      </c>
      <c r="D1063" t="s">
        <v>107</v>
      </c>
      <c r="E1063" s="1">
        <v>1</v>
      </c>
      <c r="F1063" s="1" t="s">
        <v>197</v>
      </c>
      <c r="G1063" s="1">
        <v>52</v>
      </c>
      <c r="H1063" s="1" t="s">
        <v>197</v>
      </c>
    </row>
    <row r="1064" spans="1:8">
      <c r="A1064">
        <v>111</v>
      </c>
      <c r="B1064" t="s">
        <v>517</v>
      </c>
      <c r="C1064">
        <v>12</v>
      </c>
      <c r="D1064" t="s">
        <v>107</v>
      </c>
      <c r="E1064" s="1">
        <v>1</v>
      </c>
      <c r="F1064" s="1">
        <v>45</v>
      </c>
      <c r="G1064" s="1">
        <v>60</v>
      </c>
      <c r="H1064" s="1">
        <v>45</v>
      </c>
    </row>
    <row r="1065" spans="1:8">
      <c r="A1065">
        <v>111</v>
      </c>
      <c r="B1065" t="s">
        <v>517</v>
      </c>
      <c r="C1065">
        <v>12</v>
      </c>
      <c r="D1065" t="s">
        <v>107</v>
      </c>
      <c r="E1065" s="1">
        <v>1</v>
      </c>
      <c r="F1065" s="1" t="s">
        <v>198</v>
      </c>
      <c r="G1065" s="1">
        <v>62</v>
      </c>
      <c r="H1065" s="1" t="s">
        <v>198</v>
      </c>
    </row>
    <row r="1066" spans="1:8">
      <c r="A1066">
        <v>111</v>
      </c>
      <c r="B1066" t="s">
        <v>517</v>
      </c>
      <c r="C1066">
        <v>12</v>
      </c>
      <c r="D1066" t="s">
        <v>107</v>
      </c>
      <c r="E1066" s="1">
        <v>1</v>
      </c>
      <c r="F1066" s="1" t="s">
        <v>199</v>
      </c>
      <c r="G1066" s="1">
        <v>72</v>
      </c>
      <c r="H1066" s="1" t="s">
        <v>199</v>
      </c>
    </row>
    <row r="1067" spans="1:8">
      <c r="A1067">
        <v>111</v>
      </c>
      <c r="B1067" t="s">
        <v>517</v>
      </c>
      <c r="C1067">
        <v>12</v>
      </c>
      <c r="D1067" t="s">
        <v>107</v>
      </c>
      <c r="E1067" s="1">
        <v>1</v>
      </c>
      <c r="F1067" s="1">
        <v>39</v>
      </c>
      <c r="H1067" s="1">
        <v>39</v>
      </c>
    </row>
    <row r="1068" spans="1:8">
      <c r="A1068">
        <v>111</v>
      </c>
      <c r="B1068" t="s">
        <v>517</v>
      </c>
      <c r="C1068">
        <v>12</v>
      </c>
      <c r="D1068" t="s">
        <v>107</v>
      </c>
      <c r="G1068" s="1">
        <v>95</v>
      </c>
    </row>
    <row r="1069" spans="1:8">
      <c r="A1069">
        <v>111</v>
      </c>
      <c r="B1069" t="s">
        <v>517</v>
      </c>
      <c r="C1069">
        <v>12</v>
      </c>
      <c r="D1069" t="s">
        <v>107</v>
      </c>
      <c r="G1069" s="1">
        <v>96</v>
      </c>
    </row>
    <row r="1070" spans="1:8">
      <c r="A1070">
        <v>111</v>
      </c>
      <c r="B1070" t="s">
        <v>517</v>
      </c>
      <c r="C1070">
        <v>13</v>
      </c>
      <c r="D1070" t="s">
        <v>200</v>
      </c>
      <c r="E1070" s="1">
        <v>1</v>
      </c>
      <c r="F1070" s="1" t="s">
        <v>192</v>
      </c>
      <c r="G1070" s="1">
        <v>2</v>
      </c>
      <c r="H1070" s="1" t="s">
        <v>192</v>
      </c>
    </row>
    <row r="1071" spans="1:8">
      <c r="A1071">
        <v>111</v>
      </c>
      <c r="B1071" t="s">
        <v>517</v>
      </c>
      <c r="C1071">
        <v>13</v>
      </c>
      <c r="D1071" t="s">
        <v>200</v>
      </c>
      <c r="E1071" s="1">
        <v>1</v>
      </c>
      <c r="F1071" s="1">
        <v>40</v>
      </c>
      <c r="G1071" s="1">
        <v>10</v>
      </c>
      <c r="H1071" s="1">
        <v>40</v>
      </c>
    </row>
    <row r="1072" spans="1:8">
      <c r="A1072">
        <v>111</v>
      </c>
      <c r="B1072" t="s">
        <v>517</v>
      </c>
      <c r="C1072">
        <v>13</v>
      </c>
      <c r="D1072" t="s">
        <v>200</v>
      </c>
      <c r="E1072" s="1">
        <v>1</v>
      </c>
      <c r="F1072" s="1" t="s">
        <v>193</v>
      </c>
      <c r="G1072" s="1">
        <v>12</v>
      </c>
      <c r="H1072" s="1" t="s">
        <v>193</v>
      </c>
    </row>
    <row r="1073" spans="1:8">
      <c r="A1073">
        <v>111</v>
      </c>
      <c r="B1073" t="s">
        <v>517</v>
      </c>
      <c r="C1073">
        <v>13</v>
      </c>
      <c r="D1073" t="s">
        <v>200</v>
      </c>
      <c r="E1073" s="1">
        <v>1</v>
      </c>
      <c r="F1073" s="1">
        <v>41</v>
      </c>
      <c r="G1073" s="1">
        <v>20</v>
      </c>
      <c r="H1073" s="1">
        <v>41</v>
      </c>
    </row>
    <row r="1074" spans="1:8">
      <c r="A1074">
        <v>111</v>
      </c>
      <c r="B1074" t="s">
        <v>517</v>
      </c>
      <c r="C1074">
        <v>13</v>
      </c>
      <c r="D1074" t="s">
        <v>200</v>
      </c>
      <c r="E1074" s="1">
        <v>1</v>
      </c>
      <c r="F1074" s="1" t="s">
        <v>194</v>
      </c>
      <c r="G1074" s="1">
        <v>22</v>
      </c>
      <c r="H1074" s="1" t="s">
        <v>194</v>
      </c>
    </row>
    <row r="1075" spans="1:8">
      <c r="A1075">
        <v>111</v>
      </c>
      <c r="B1075" t="s">
        <v>517</v>
      </c>
      <c r="C1075">
        <v>13</v>
      </c>
      <c r="D1075" t="s">
        <v>200</v>
      </c>
      <c r="E1075" s="1">
        <v>1</v>
      </c>
      <c r="F1075" s="1">
        <v>42</v>
      </c>
      <c r="G1075" s="1">
        <v>30</v>
      </c>
      <c r="H1075" s="1">
        <v>42</v>
      </c>
    </row>
    <row r="1076" spans="1:8">
      <c r="A1076">
        <v>111</v>
      </c>
      <c r="B1076" t="s">
        <v>517</v>
      </c>
      <c r="C1076">
        <v>13</v>
      </c>
      <c r="D1076" t="s">
        <v>200</v>
      </c>
      <c r="E1076" s="1">
        <v>1</v>
      </c>
      <c r="F1076" s="1" t="s">
        <v>195</v>
      </c>
      <c r="G1076" s="1">
        <v>32</v>
      </c>
      <c r="H1076" s="1" t="s">
        <v>195</v>
      </c>
    </row>
    <row r="1077" spans="1:8">
      <c r="A1077">
        <v>111</v>
      </c>
      <c r="B1077" t="s">
        <v>517</v>
      </c>
      <c r="C1077">
        <v>13</v>
      </c>
      <c r="D1077" t="s">
        <v>200</v>
      </c>
      <c r="E1077" s="1">
        <v>1</v>
      </c>
      <c r="F1077" s="1">
        <v>43</v>
      </c>
      <c r="G1077" s="1">
        <v>40</v>
      </c>
      <c r="H1077" s="1">
        <v>43</v>
      </c>
    </row>
    <row r="1078" spans="1:8">
      <c r="A1078">
        <v>111</v>
      </c>
      <c r="B1078" t="s">
        <v>517</v>
      </c>
      <c r="C1078">
        <v>13</v>
      </c>
      <c r="D1078" t="s">
        <v>200</v>
      </c>
      <c r="E1078" s="1">
        <v>1</v>
      </c>
      <c r="F1078" s="1" t="s">
        <v>196</v>
      </c>
      <c r="G1078" s="1">
        <v>42</v>
      </c>
      <c r="H1078" s="1" t="s">
        <v>196</v>
      </c>
    </row>
    <row r="1079" spans="1:8">
      <c r="A1079">
        <v>111</v>
      </c>
      <c r="B1079" t="s">
        <v>517</v>
      </c>
      <c r="C1079">
        <v>13</v>
      </c>
      <c r="D1079" t="s">
        <v>200</v>
      </c>
      <c r="E1079" s="1">
        <v>1</v>
      </c>
      <c r="F1079" s="1">
        <v>44</v>
      </c>
      <c r="G1079" s="1">
        <v>50</v>
      </c>
      <c r="H1079" s="1">
        <v>44</v>
      </c>
    </row>
    <row r="1080" spans="1:8">
      <c r="A1080">
        <v>111</v>
      </c>
      <c r="B1080" t="s">
        <v>517</v>
      </c>
      <c r="C1080">
        <v>13</v>
      </c>
      <c r="D1080" t="s">
        <v>200</v>
      </c>
      <c r="E1080" s="1">
        <v>1</v>
      </c>
      <c r="F1080" s="1" t="s">
        <v>197</v>
      </c>
      <c r="G1080" s="1">
        <v>52</v>
      </c>
      <c r="H1080" s="1" t="s">
        <v>197</v>
      </c>
    </row>
    <row r="1081" spans="1:8">
      <c r="A1081">
        <v>111</v>
      </c>
      <c r="B1081" t="s">
        <v>517</v>
      </c>
      <c r="C1081">
        <v>13</v>
      </c>
      <c r="D1081" t="s">
        <v>200</v>
      </c>
      <c r="E1081" s="1">
        <v>1</v>
      </c>
      <c r="F1081" s="1">
        <v>45</v>
      </c>
      <c r="G1081" s="1">
        <v>60</v>
      </c>
      <c r="H1081" s="1">
        <v>45</v>
      </c>
    </row>
    <row r="1082" spans="1:8">
      <c r="A1082">
        <v>111</v>
      </c>
      <c r="B1082" t="s">
        <v>517</v>
      </c>
      <c r="C1082">
        <v>13</v>
      </c>
      <c r="D1082" t="s">
        <v>200</v>
      </c>
      <c r="E1082" s="1">
        <v>1</v>
      </c>
      <c r="F1082" s="1" t="s">
        <v>198</v>
      </c>
      <c r="G1082" s="1">
        <v>62</v>
      </c>
      <c r="H1082" s="1" t="s">
        <v>198</v>
      </c>
    </row>
    <row r="1083" spans="1:8">
      <c r="A1083">
        <v>111</v>
      </c>
      <c r="B1083" t="s">
        <v>517</v>
      </c>
      <c r="C1083">
        <v>13</v>
      </c>
      <c r="D1083" t="s">
        <v>200</v>
      </c>
      <c r="E1083" s="1">
        <v>1</v>
      </c>
      <c r="F1083" s="1" t="s">
        <v>199</v>
      </c>
      <c r="G1083" s="1">
        <v>72</v>
      </c>
      <c r="H1083" s="1" t="s">
        <v>199</v>
      </c>
    </row>
    <row r="1084" spans="1:8">
      <c r="A1084">
        <v>111</v>
      </c>
      <c r="B1084" t="s">
        <v>517</v>
      </c>
      <c r="C1084">
        <v>13</v>
      </c>
      <c r="D1084" t="s">
        <v>200</v>
      </c>
      <c r="E1084" s="1">
        <v>1</v>
      </c>
      <c r="F1084" s="1">
        <v>39</v>
      </c>
      <c r="H1084" s="1">
        <v>39</v>
      </c>
    </row>
    <row r="1085" spans="1:8">
      <c r="A1085">
        <v>111</v>
      </c>
      <c r="B1085" t="s">
        <v>517</v>
      </c>
      <c r="C1085">
        <v>13</v>
      </c>
      <c r="D1085" t="s">
        <v>200</v>
      </c>
      <c r="G1085" s="1">
        <v>80</v>
      </c>
    </row>
    <row r="1086" spans="1:8">
      <c r="A1086">
        <v>111</v>
      </c>
      <c r="B1086" t="s">
        <v>517</v>
      </c>
      <c r="C1086">
        <v>13</v>
      </c>
      <c r="D1086" t="s">
        <v>200</v>
      </c>
      <c r="G1086" s="1">
        <v>95</v>
      </c>
    </row>
    <row r="1087" spans="1:8">
      <c r="A1087">
        <v>111</v>
      </c>
      <c r="B1087" t="s">
        <v>517</v>
      </c>
      <c r="C1087">
        <v>13</v>
      </c>
      <c r="D1087" t="s">
        <v>200</v>
      </c>
      <c r="G1087" s="1">
        <v>96</v>
      </c>
    </row>
    <row r="1088" spans="1:8">
      <c r="A1088">
        <v>111</v>
      </c>
      <c r="B1088" t="s">
        <v>517</v>
      </c>
      <c r="C1088">
        <v>15</v>
      </c>
      <c r="D1088" t="s">
        <v>201</v>
      </c>
      <c r="E1088" s="1">
        <v>1</v>
      </c>
      <c r="F1088" s="1">
        <v>100</v>
      </c>
      <c r="G1088" s="1">
        <v>80</v>
      </c>
      <c r="H1088" s="1">
        <v>100</v>
      </c>
    </row>
    <row r="1089" spans="1:8">
      <c r="A1089">
        <v>111</v>
      </c>
      <c r="B1089" t="s">
        <v>517</v>
      </c>
      <c r="C1089">
        <v>15</v>
      </c>
      <c r="D1089" t="s">
        <v>201</v>
      </c>
      <c r="E1089" s="1">
        <v>4</v>
      </c>
      <c r="F1089" s="1" t="s">
        <v>286</v>
      </c>
      <c r="G1089" s="1">
        <v>70</v>
      </c>
      <c r="H1089" s="1" t="s">
        <v>286</v>
      </c>
    </row>
    <row r="1090" spans="1:8">
      <c r="A1090">
        <v>111</v>
      </c>
      <c r="B1090" t="s">
        <v>517</v>
      </c>
      <c r="C1090">
        <v>21</v>
      </c>
      <c r="D1090" t="s">
        <v>205</v>
      </c>
      <c r="E1090" s="1">
        <v>1</v>
      </c>
      <c r="F1090" s="1" t="s">
        <v>347</v>
      </c>
      <c r="G1090" s="1">
        <v>10</v>
      </c>
      <c r="H1090" s="1" t="s">
        <v>347</v>
      </c>
    </row>
    <row r="1091" spans="1:8">
      <c r="A1091">
        <v>111</v>
      </c>
      <c r="B1091" t="s">
        <v>517</v>
      </c>
      <c r="C1091">
        <v>21</v>
      </c>
      <c r="D1091" t="s">
        <v>205</v>
      </c>
      <c r="E1091" s="1">
        <v>1</v>
      </c>
      <c r="F1091" s="1" t="s">
        <v>395</v>
      </c>
      <c r="G1091" s="1">
        <v>22</v>
      </c>
      <c r="H1091" s="1" t="s">
        <v>395</v>
      </c>
    </row>
    <row r="1092" spans="1:8">
      <c r="A1092">
        <v>111</v>
      </c>
      <c r="B1092" t="s">
        <v>517</v>
      </c>
      <c r="C1092">
        <v>21</v>
      </c>
      <c r="D1092" t="s">
        <v>205</v>
      </c>
      <c r="E1092" s="1">
        <v>1</v>
      </c>
      <c r="F1092" s="1" t="s">
        <v>330</v>
      </c>
      <c r="G1092" s="1">
        <v>42</v>
      </c>
      <c r="H1092" s="1" t="s">
        <v>330</v>
      </c>
    </row>
    <row r="1093" spans="1:8">
      <c r="A1093">
        <v>111</v>
      </c>
      <c r="B1093" t="s">
        <v>517</v>
      </c>
      <c r="C1093">
        <v>21</v>
      </c>
      <c r="D1093" t="s">
        <v>205</v>
      </c>
      <c r="E1093" s="1">
        <v>1</v>
      </c>
      <c r="F1093" s="1" t="s">
        <v>287</v>
      </c>
      <c r="G1093" s="1">
        <v>52</v>
      </c>
      <c r="H1093" s="1" t="s">
        <v>287</v>
      </c>
    </row>
    <row r="1094" spans="1:8">
      <c r="A1094">
        <v>111</v>
      </c>
      <c r="B1094" t="s">
        <v>517</v>
      </c>
      <c r="C1094">
        <v>21</v>
      </c>
      <c r="D1094" t="s">
        <v>205</v>
      </c>
      <c r="E1094" s="1">
        <v>1</v>
      </c>
      <c r="F1094" s="1" t="s">
        <v>288</v>
      </c>
      <c r="G1094" s="1">
        <v>62</v>
      </c>
      <c r="H1094" s="1" t="s">
        <v>288</v>
      </c>
    </row>
    <row r="1095" spans="1:8">
      <c r="A1095">
        <v>111</v>
      </c>
      <c r="B1095" t="s">
        <v>517</v>
      </c>
      <c r="C1095">
        <v>24</v>
      </c>
      <c r="D1095" t="s">
        <v>208</v>
      </c>
      <c r="G1095" s="1">
        <v>80</v>
      </c>
    </row>
    <row r="1096" spans="1:8">
      <c r="A1096">
        <v>111</v>
      </c>
      <c r="B1096" t="s">
        <v>517</v>
      </c>
      <c r="C1096">
        <v>27</v>
      </c>
      <c r="D1096" t="s">
        <v>210</v>
      </c>
      <c r="E1096" s="1">
        <v>1</v>
      </c>
      <c r="F1096" s="1" t="s">
        <v>195</v>
      </c>
      <c r="G1096" s="1">
        <v>32</v>
      </c>
      <c r="H1096" s="1" t="s">
        <v>195</v>
      </c>
    </row>
    <row r="1097" spans="1:8">
      <c r="A1097">
        <v>111</v>
      </c>
      <c r="B1097" t="s">
        <v>517</v>
      </c>
      <c r="C1097">
        <v>27</v>
      </c>
      <c r="D1097" t="s">
        <v>210</v>
      </c>
      <c r="E1097" s="1">
        <v>1</v>
      </c>
      <c r="F1097" s="1">
        <v>43</v>
      </c>
      <c r="G1097" s="1">
        <v>40</v>
      </c>
      <c r="H1097" s="1">
        <v>43</v>
      </c>
    </row>
    <row r="1098" spans="1:8">
      <c r="A1098">
        <v>111</v>
      </c>
      <c r="B1098" t="s">
        <v>517</v>
      </c>
      <c r="C1098">
        <v>31</v>
      </c>
      <c r="D1098" t="s">
        <v>110</v>
      </c>
      <c r="E1098" s="1">
        <v>1</v>
      </c>
      <c r="F1098" s="1" t="s">
        <v>335</v>
      </c>
      <c r="G1098" s="1">
        <v>22</v>
      </c>
      <c r="H1098" s="1" t="s">
        <v>335</v>
      </c>
    </row>
    <row r="1099" spans="1:8">
      <c r="A1099">
        <v>111</v>
      </c>
      <c r="B1099" t="s">
        <v>517</v>
      </c>
      <c r="C1099">
        <v>31</v>
      </c>
      <c r="D1099" t="s">
        <v>110</v>
      </c>
      <c r="G1099" s="1">
        <v>95</v>
      </c>
    </row>
    <row r="1100" spans="1:8">
      <c r="A1100">
        <v>111</v>
      </c>
      <c r="B1100" t="s">
        <v>517</v>
      </c>
      <c r="C1100">
        <v>32</v>
      </c>
      <c r="D1100" t="s">
        <v>212</v>
      </c>
      <c r="E1100" s="1">
        <v>1</v>
      </c>
      <c r="F1100" s="1" t="s">
        <v>333</v>
      </c>
      <c r="G1100" s="1">
        <v>2</v>
      </c>
      <c r="H1100" s="1" t="s">
        <v>333</v>
      </c>
    </row>
    <row r="1101" spans="1:8">
      <c r="A1101">
        <v>111</v>
      </c>
      <c r="B1101" t="s">
        <v>517</v>
      </c>
      <c r="C1101">
        <v>32</v>
      </c>
      <c r="D1101" t="s">
        <v>212</v>
      </c>
      <c r="E1101" s="1">
        <v>1</v>
      </c>
      <c r="F1101" s="1">
        <v>9</v>
      </c>
      <c r="G1101" s="1">
        <v>10</v>
      </c>
      <c r="H1101" s="1">
        <v>9</v>
      </c>
    </row>
    <row r="1102" spans="1:8">
      <c r="A1102">
        <v>111</v>
      </c>
      <c r="B1102" t="s">
        <v>517</v>
      </c>
      <c r="C1102">
        <v>32</v>
      </c>
      <c r="D1102" t="s">
        <v>212</v>
      </c>
      <c r="E1102" s="1">
        <v>1</v>
      </c>
      <c r="F1102" s="1" t="s">
        <v>334</v>
      </c>
      <c r="G1102" s="1">
        <v>12</v>
      </c>
      <c r="H1102" s="1" t="s">
        <v>334</v>
      </c>
    </row>
    <row r="1103" spans="1:8">
      <c r="A1103">
        <v>111</v>
      </c>
      <c r="B1103" t="s">
        <v>517</v>
      </c>
      <c r="C1103">
        <v>32</v>
      </c>
      <c r="D1103" t="s">
        <v>212</v>
      </c>
      <c r="E1103" s="1">
        <v>1</v>
      </c>
      <c r="F1103" s="1">
        <v>10</v>
      </c>
      <c r="G1103" s="1">
        <v>20</v>
      </c>
      <c r="H1103" s="1">
        <v>10</v>
      </c>
    </row>
    <row r="1104" spans="1:8">
      <c r="A1104">
        <v>111</v>
      </c>
      <c r="B1104" t="s">
        <v>517</v>
      </c>
      <c r="C1104">
        <v>32</v>
      </c>
      <c r="D1104" t="s">
        <v>212</v>
      </c>
      <c r="E1104" s="1">
        <v>1</v>
      </c>
      <c r="F1104" s="1" t="s">
        <v>335</v>
      </c>
      <c r="G1104" s="1">
        <v>22</v>
      </c>
      <c r="H1104" s="1" t="s">
        <v>335</v>
      </c>
    </row>
    <row r="1105" spans="1:8">
      <c r="A1105">
        <v>111</v>
      </c>
      <c r="B1105" t="s">
        <v>517</v>
      </c>
      <c r="C1105">
        <v>32</v>
      </c>
      <c r="D1105" t="s">
        <v>212</v>
      </c>
      <c r="E1105" s="1">
        <v>1</v>
      </c>
      <c r="F1105" s="1">
        <v>11</v>
      </c>
      <c r="G1105" s="1">
        <v>30</v>
      </c>
      <c r="H1105" s="1">
        <v>11</v>
      </c>
    </row>
    <row r="1106" spans="1:8">
      <c r="A1106">
        <v>111</v>
      </c>
      <c r="B1106" t="s">
        <v>517</v>
      </c>
      <c r="C1106">
        <v>32</v>
      </c>
      <c r="D1106" t="s">
        <v>212</v>
      </c>
      <c r="E1106" s="1">
        <v>1</v>
      </c>
      <c r="F1106" s="1" t="s">
        <v>389</v>
      </c>
      <c r="G1106" s="1">
        <v>32</v>
      </c>
      <c r="H1106" s="1" t="s">
        <v>389</v>
      </c>
    </row>
    <row r="1107" spans="1:8">
      <c r="A1107">
        <v>111</v>
      </c>
      <c r="B1107" t="s">
        <v>517</v>
      </c>
      <c r="C1107">
        <v>32</v>
      </c>
      <c r="D1107" t="s">
        <v>212</v>
      </c>
      <c r="E1107" s="1">
        <v>1</v>
      </c>
      <c r="F1107" s="1">
        <v>8</v>
      </c>
      <c r="H1107" s="1">
        <v>8</v>
      </c>
    </row>
    <row r="1108" spans="1:8">
      <c r="A1108">
        <v>111</v>
      </c>
      <c r="B1108" t="s">
        <v>517</v>
      </c>
      <c r="C1108">
        <v>32</v>
      </c>
      <c r="D1108" t="s">
        <v>212</v>
      </c>
      <c r="G1108" s="1">
        <v>75</v>
      </c>
    </row>
    <row r="1109" spans="1:8">
      <c r="A1109">
        <v>111</v>
      </c>
      <c r="B1109" t="s">
        <v>517</v>
      </c>
      <c r="C1109">
        <v>32</v>
      </c>
      <c r="D1109" t="s">
        <v>212</v>
      </c>
      <c r="G1109" s="1">
        <v>92</v>
      </c>
    </row>
    <row r="1110" spans="1:8">
      <c r="A1110">
        <v>111</v>
      </c>
      <c r="B1110" t="s">
        <v>517</v>
      </c>
      <c r="C1110">
        <v>32</v>
      </c>
      <c r="D1110" t="s">
        <v>212</v>
      </c>
      <c r="G1110" s="1">
        <v>96</v>
      </c>
    </row>
    <row r="1111" spans="1:8">
      <c r="A1111">
        <v>111</v>
      </c>
      <c r="B1111" t="s">
        <v>517</v>
      </c>
      <c r="C1111">
        <v>33</v>
      </c>
      <c r="D1111" t="s">
        <v>213</v>
      </c>
      <c r="E1111" s="1">
        <v>1</v>
      </c>
      <c r="F1111" s="1" t="s">
        <v>323</v>
      </c>
      <c r="G1111" s="1">
        <v>2</v>
      </c>
      <c r="H1111" s="1" t="s">
        <v>323</v>
      </c>
    </row>
    <row r="1112" spans="1:8">
      <c r="A1112">
        <v>111</v>
      </c>
      <c r="B1112" t="s">
        <v>517</v>
      </c>
      <c r="C1112">
        <v>33</v>
      </c>
      <c r="D1112" t="s">
        <v>213</v>
      </c>
      <c r="E1112" s="1">
        <v>1</v>
      </c>
      <c r="F1112" s="1" t="s">
        <v>332</v>
      </c>
      <c r="G1112" s="1">
        <v>10</v>
      </c>
      <c r="H1112" s="1" t="s">
        <v>332</v>
      </c>
    </row>
    <row r="1113" spans="1:8">
      <c r="A1113">
        <v>111</v>
      </c>
      <c r="B1113" t="s">
        <v>517</v>
      </c>
      <c r="C1113">
        <v>33</v>
      </c>
      <c r="D1113" t="s">
        <v>213</v>
      </c>
      <c r="E1113" s="1">
        <v>1</v>
      </c>
      <c r="F1113" s="1" t="s">
        <v>330</v>
      </c>
      <c r="G1113" s="1">
        <v>12</v>
      </c>
      <c r="H1113" s="1" t="s">
        <v>330</v>
      </c>
    </row>
    <row r="1114" spans="1:8">
      <c r="A1114">
        <v>111</v>
      </c>
      <c r="B1114" t="s">
        <v>517</v>
      </c>
      <c r="C1114">
        <v>33</v>
      </c>
      <c r="D1114" t="s">
        <v>213</v>
      </c>
      <c r="E1114" s="1">
        <v>1</v>
      </c>
      <c r="F1114" s="1" t="s">
        <v>331</v>
      </c>
      <c r="G1114" s="1">
        <v>20</v>
      </c>
      <c r="H1114" s="1" t="s">
        <v>331</v>
      </c>
    </row>
    <row r="1115" spans="1:8">
      <c r="A1115">
        <v>111</v>
      </c>
      <c r="B1115" t="s">
        <v>517</v>
      </c>
      <c r="C1115">
        <v>33</v>
      </c>
      <c r="D1115" t="s">
        <v>213</v>
      </c>
      <c r="E1115" s="1">
        <v>1</v>
      </c>
      <c r="F1115" s="1" t="s">
        <v>287</v>
      </c>
      <c r="G1115" s="1">
        <v>22</v>
      </c>
      <c r="H1115" s="1" t="s">
        <v>287</v>
      </c>
    </row>
    <row r="1116" spans="1:8">
      <c r="A1116">
        <v>111</v>
      </c>
      <c r="B1116" t="s">
        <v>517</v>
      </c>
      <c r="C1116">
        <v>33</v>
      </c>
      <c r="D1116" t="s">
        <v>213</v>
      </c>
      <c r="E1116" s="1">
        <v>1</v>
      </c>
      <c r="F1116" s="1" t="s">
        <v>329</v>
      </c>
      <c r="H1116" s="1" t="s">
        <v>329</v>
      </c>
    </row>
    <row r="1117" spans="1:8">
      <c r="A1117">
        <v>111</v>
      </c>
      <c r="B1117" t="s">
        <v>517</v>
      </c>
      <c r="C1117">
        <v>33</v>
      </c>
      <c r="D1117" t="s">
        <v>213</v>
      </c>
      <c r="G1117" s="1">
        <v>60</v>
      </c>
    </row>
    <row r="1118" spans="1:8">
      <c r="A1118">
        <v>111</v>
      </c>
      <c r="B1118" t="s">
        <v>517</v>
      </c>
      <c r="C1118">
        <v>33</v>
      </c>
      <c r="D1118" t="s">
        <v>213</v>
      </c>
      <c r="G1118" s="1">
        <v>62</v>
      </c>
    </row>
    <row r="1119" spans="1:8">
      <c r="A1119">
        <v>111</v>
      </c>
      <c r="B1119" t="s">
        <v>517</v>
      </c>
      <c r="C1119">
        <v>33</v>
      </c>
      <c r="D1119" t="s">
        <v>213</v>
      </c>
      <c r="G1119" s="1">
        <v>70</v>
      </c>
    </row>
    <row r="1120" spans="1:8">
      <c r="A1120">
        <v>111</v>
      </c>
      <c r="B1120" t="s">
        <v>517</v>
      </c>
      <c r="C1120">
        <v>33</v>
      </c>
      <c r="D1120" t="s">
        <v>213</v>
      </c>
      <c r="G1120" s="1">
        <v>80</v>
      </c>
    </row>
    <row r="1121" spans="1:8">
      <c r="A1121">
        <v>111</v>
      </c>
      <c r="B1121" t="s">
        <v>517</v>
      </c>
      <c r="C1121">
        <v>33</v>
      </c>
      <c r="D1121" t="s">
        <v>213</v>
      </c>
      <c r="G1121" s="1">
        <v>82</v>
      </c>
    </row>
    <row r="1122" spans="1:8">
      <c r="A1122">
        <v>111</v>
      </c>
      <c r="B1122" t="s">
        <v>517</v>
      </c>
      <c r="C1122">
        <v>33</v>
      </c>
      <c r="D1122" t="s">
        <v>213</v>
      </c>
      <c r="G1122" s="1">
        <v>90</v>
      </c>
    </row>
    <row r="1123" spans="1:8">
      <c r="A1123">
        <v>111</v>
      </c>
      <c r="B1123" t="s">
        <v>517</v>
      </c>
      <c r="C1123">
        <v>33</v>
      </c>
      <c r="D1123" t="s">
        <v>213</v>
      </c>
      <c r="G1123" s="1">
        <v>92</v>
      </c>
    </row>
    <row r="1124" spans="1:8">
      <c r="A1124">
        <v>111</v>
      </c>
      <c r="B1124" t="s">
        <v>517</v>
      </c>
      <c r="C1124">
        <v>41</v>
      </c>
      <c r="D1124" t="s">
        <v>219</v>
      </c>
      <c r="E1124" s="1">
        <v>1</v>
      </c>
      <c r="F1124" s="1" t="s">
        <v>511</v>
      </c>
      <c r="G1124" s="1">
        <v>20</v>
      </c>
      <c r="H1124" s="1" t="s">
        <v>511</v>
      </c>
    </row>
    <row r="1125" spans="1:8">
      <c r="A1125">
        <v>111</v>
      </c>
      <c r="B1125" t="s">
        <v>517</v>
      </c>
      <c r="C1125">
        <v>42</v>
      </c>
      <c r="D1125" t="s">
        <v>220</v>
      </c>
      <c r="E1125" s="1">
        <v>2</v>
      </c>
      <c r="F1125" s="1" t="s">
        <v>512</v>
      </c>
      <c r="G1125" s="1">
        <v>80</v>
      </c>
      <c r="H1125" s="1" t="s">
        <v>512</v>
      </c>
    </row>
    <row r="1126" spans="1:8">
      <c r="A1126">
        <v>111</v>
      </c>
      <c r="B1126" t="s">
        <v>517</v>
      </c>
      <c r="C1126">
        <v>43</v>
      </c>
      <c r="D1126" t="s">
        <v>221</v>
      </c>
      <c r="G1126" s="1">
        <v>22</v>
      </c>
    </row>
    <row r="1127" spans="1:8">
      <c r="A1127">
        <v>111</v>
      </c>
      <c r="B1127" t="s">
        <v>517</v>
      </c>
      <c r="C1127">
        <v>43</v>
      </c>
      <c r="D1127" t="s">
        <v>221</v>
      </c>
      <c r="G1127" s="1">
        <v>30</v>
      </c>
    </row>
    <row r="1128" spans="1:8">
      <c r="A1128">
        <v>111</v>
      </c>
      <c r="B1128" t="s">
        <v>517</v>
      </c>
      <c r="C1128">
        <v>43</v>
      </c>
      <c r="D1128" t="s">
        <v>221</v>
      </c>
      <c r="G1128" s="1">
        <v>40</v>
      </c>
    </row>
    <row r="1129" spans="1:8">
      <c r="A1129">
        <v>111</v>
      </c>
      <c r="B1129" t="s">
        <v>517</v>
      </c>
      <c r="C1129">
        <v>43</v>
      </c>
      <c r="D1129" t="s">
        <v>221</v>
      </c>
      <c r="G1129" s="1">
        <v>50</v>
      </c>
    </row>
    <row r="1130" spans="1:8">
      <c r="A1130">
        <v>111</v>
      </c>
      <c r="B1130" t="s">
        <v>517</v>
      </c>
      <c r="C1130">
        <v>43</v>
      </c>
      <c r="D1130" t="s">
        <v>221</v>
      </c>
      <c r="G1130" s="1">
        <v>60</v>
      </c>
    </row>
    <row r="1131" spans="1:8">
      <c r="A1131">
        <v>111</v>
      </c>
      <c r="B1131" t="s">
        <v>517</v>
      </c>
      <c r="C1131">
        <v>57</v>
      </c>
      <c r="D1131" t="s">
        <v>183</v>
      </c>
      <c r="E1131" s="1">
        <v>3</v>
      </c>
      <c r="F1131" s="1" t="s">
        <v>492</v>
      </c>
      <c r="G1131" s="1">
        <v>50</v>
      </c>
      <c r="H1131" s="1" t="s">
        <v>492</v>
      </c>
    </row>
    <row r="1132" spans="1:8">
      <c r="A1132">
        <v>111</v>
      </c>
      <c r="B1132" t="s">
        <v>517</v>
      </c>
      <c r="C1132">
        <v>57</v>
      </c>
      <c r="D1132" t="s">
        <v>183</v>
      </c>
      <c r="E1132" s="1">
        <v>3</v>
      </c>
      <c r="F1132" s="1" t="s">
        <v>338</v>
      </c>
      <c r="G1132" s="1">
        <v>60</v>
      </c>
      <c r="H1132" s="1" t="s">
        <v>338</v>
      </c>
    </row>
    <row r="1133" spans="1:8">
      <c r="A1133">
        <v>111</v>
      </c>
      <c r="B1133" t="s">
        <v>517</v>
      </c>
      <c r="C1133">
        <v>57</v>
      </c>
      <c r="D1133" t="s">
        <v>183</v>
      </c>
      <c r="G1133" s="1">
        <v>50</v>
      </c>
    </row>
    <row r="1134" spans="1:8">
      <c r="A1134">
        <v>111</v>
      </c>
      <c r="B1134" t="s">
        <v>517</v>
      </c>
      <c r="C1134">
        <v>57</v>
      </c>
      <c r="D1134" t="s">
        <v>183</v>
      </c>
      <c r="G1134" s="1">
        <v>60</v>
      </c>
    </row>
    <row r="1135" spans="1:8">
      <c r="A1135">
        <v>111</v>
      </c>
      <c r="B1135" t="s">
        <v>517</v>
      </c>
      <c r="C1135">
        <v>58</v>
      </c>
      <c r="D1135" t="s">
        <v>226</v>
      </c>
      <c r="E1135" s="1">
        <v>2</v>
      </c>
      <c r="F1135" s="1" t="s">
        <v>518</v>
      </c>
      <c r="G1135" s="1">
        <v>40</v>
      </c>
      <c r="H1135" s="1" t="s">
        <v>518</v>
      </c>
    </row>
    <row r="1136" spans="1:8">
      <c r="A1136">
        <v>111</v>
      </c>
      <c r="B1136" t="s">
        <v>517</v>
      </c>
      <c r="C1136">
        <v>59</v>
      </c>
      <c r="D1136" t="s">
        <v>227</v>
      </c>
      <c r="E1136" s="1">
        <v>3</v>
      </c>
      <c r="F1136" s="1" t="s">
        <v>295</v>
      </c>
      <c r="G1136" s="1">
        <v>23</v>
      </c>
      <c r="H1136" s="1" t="s">
        <v>295</v>
      </c>
    </row>
    <row r="1137" spans="1:8">
      <c r="A1137">
        <v>111</v>
      </c>
      <c r="B1137" t="s">
        <v>517</v>
      </c>
      <c r="C1137">
        <v>62</v>
      </c>
      <c r="D1137" t="s">
        <v>514</v>
      </c>
      <c r="E1137" s="1">
        <v>1</v>
      </c>
      <c r="F1137" s="1">
        <v>8</v>
      </c>
      <c r="G1137" s="1">
        <v>20</v>
      </c>
      <c r="H1137" s="1">
        <v>8</v>
      </c>
    </row>
    <row r="1138" spans="1:8">
      <c r="A1138">
        <v>111</v>
      </c>
      <c r="B1138" t="s">
        <v>517</v>
      </c>
      <c r="C1138">
        <v>62</v>
      </c>
      <c r="D1138" t="s">
        <v>514</v>
      </c>
      <c r="E1138" s="1">
        <v>1</v>
      </c>
      <c r="F1138" s="1" t="s">
        <v>334</v>
      </c>
      <c r="G1138" s="1">
        <v>32</v>
      </c>
      <c r="H1138" s="1" t="s">
        <v>334</v>
      </c>
    </row>
    <row r="1139" spans="1:8">
      <c r="A1139">
        <v>111</v>
      </c>
      <c r="B1139" t="s">
        <v>517</v>
      </c>
      <c r="C1139">
        <v>62</v>
      </c>
      <c r="D1139" t="s">
        <v>514</v>
      </c>
      <c r="E1139" s="1">
        <v>1</v>
      </c>
      <c r="F1139" s="1">
        <v>11</v>
      </c>
      <c r="G1139" s="1">
        <v>50</v>
      </c>
      <c r="H1139" s="1">
        <v>11</v>
      </c>
    </row>
    <row r="1140" spans="1:8">
      <c r="A1140">
        <v>111</v>
      </c>
      <c r="B1140" t="s">
        <v>517</v>
      </c>
      <c r="C1140">
        <v>62</v>
      </c>
      <c r="D1140" t="s">
        <v>514</v>
      </c>
      <c r="E1140" s="1">
        <v>1</v>
      </c>
      <c r="F1140" s="1" t="s">
        <v>389</v>
      </c>
      <c r="G1140" s="1">
        <v>52</v>
      </c>
      <c r="H1140" s="1" t="s">
        <v>389</v>
      </c>
    </row>
    <row r="1141" spans="1:8">
      <c r="A1141">
        <v>111</v>
      </c>
      <c r="B1141" t="s">
        <v>517</v>
      </c>
      <c r="C1141">
        <v>62</v>
      </c>
      <c r="D1141" t="s">
        <v>514</v>
      </c>
      <c r="E1141" s="1">
        <v>1</v>
      </c>
      <c r="F1141" s="1">
        <v>12</v>
      </c>
      <c r="G1141" s="1">
        <v>60</v>
      </c>
      <c r="H1141" s="1">
        <v>12</v>
      </c>
    </row>
    <row r="1142" spans="1:8">
      <c r="A1142">
        <v>111</v>
      </c>
      <c r="B1142" t="s">
        <v>517</v>
      </c>
      <c r="C1142">
        <v>62</v>
      </c>
      <c r="D1142" t="s">
        <v>514</v>
      </c>
      <c r="E1142" s="1">
        <v>1</v>
      </c>
      <c r="F1142" s="1" t="s">
        <v>141</v>
      </c>
      <c r="G1142" s="1">
        <v>62</v>
      </c>
      <c r="H1142" s="1" t="s">
        <v>141</v>
      </c>
    </row>
    <row r="1143" spans="1:8">
      <c r="A1143">
        <v>111</v>
      </c>
      <c r="B1143" t="s">
        <v>517</v>
      </c>
      <c r="C1143">
        <v>62</v>
      </c>
      <c r="D1143" t="s">
        <v>514</v>
      </c>
      <c r="E1143" s="1">
        <v>1</v>
      </c>
      <c r="F1143" s="1">
        <v>13</v>
      </c>
      <c r="G1143" s="1">
        <v>70</v>
      </c>
      <c r="H1143" s="1">
        <v>13</v>
      </c>
    </row>
    <row r="1144" spans="1:8">
      <c r="A1144">
        <v>111</v>
      </c>
      <c r="B1144" t="s">
        <v>517</v>
      </c>
      <c r="C1144">
        <v>62</v>
      </c>
      <c r="D1144" t="s">
        <v>514</v>
      </c>
      <c r="E1144" s="1">
        <v>1</v>
      </c>
      <c r="F1144" s="1" t="s">
        <v>144</v>
      </c>
      <c r="G1144" s="1">
        <v>72</v>
      </c>
      <c r="H1144" s="1" t="s">
        <v>144</v>
      </c>
    </row>
    <row r="1145" spans="1:8">
      <c r="A1145">
        <v>111</v>
      </c>
      <c r="B1145" t="s">
        <v>517</v>
      </c>
      <c r="C1145">
        <v>62</v>
      </c>
      <c r="D1145" t="s">
        <v>514</v>
      </c>
      <c r="E1145" s="1">
        <v>1</v>
      </c>
      <c r="F1145" s="1">
        <v>14</v>
      </c>
      <c r="G1145" s="1">
        <v>80</v>
      </c>
      <c r="H1145" s="1">
        <v>14</v>
      </c>
    </row>
    <row r="1146" spans="1:8">
      <c r="A1146">
        <v>111</v>
      </c>
      <c r="B1146" t="s">
        <v>517</v>
      </c>
      <c r="C1146">
        <v>62</v>
      </c>
      <c r="D1146" t="s">
        <v>514</v>
      </c>
      <c r="E1146" s="1">
        <v>1</v>
      </c>
      <c r="F1146" s="1" t="s">
        <v>147</v>
      </c>
      <c r="G1146" s="1">
        <v>82</v>
      </c>
      <c r="H1146" s="1" t="s">
        <v>147</v>
      </c>
    </row>
    <row r="1147" spans="1:8">
      <c r="A1147">
        <v>111</v>
      </c>
      <c r="B1147" t="s">
        <v>517</v>
      </c>
      <c r="C1147">
        <v>62</v>
      </c>
      <c r="D1147" t="s">
        <v>514</v>
      </c>
      <c r="E1147" s="1">
        <v>1</v>
      </c>
      <c r="F1147" s="1">
        <v>15</v>
      </c>
      <c r="G1147" s="1">
        <v>90</v>
      </c>
      <c r="H1147" s="1">
        <v>15</v>
      </c>
    </row>
    <row r="1148" spans="1:8">
      <c r="A1148">
        <v>111</v>
      </c>
      <c r="B1148" t="s">
        <v>517</v>
      </c>
      <c r="C1148">
        <v>74</v>
      </c>
      <c r="D1148" t="s">
        <v>235</v>
      </c>
      <c r="E1148" s="1">
        <v>3</v>
      </c>
      <c r="F1148" s="1" t="s">
        <v>320</v>
      </c>
      <c r="G1148" s="1">
        <v>50</v>
      </c>
      <c r="H1148" s="1" t="s">
        <v>320</v>
      </c>
    </row>
    <row r="1149" spans="1:8">
      <c r="A1149">
        <v>111</v>
      </c>
      <c r="B1149" t="s">
        <v>517</v>
      </c>
      <c r="C1149">
        <v>74</v>
      </c>
      <c r="D1149" t="s">
        <v>235</v>
      </c>
      <c r="E1149" s="1">
        <v>3</v>
      </c>
      <c r="F1149" s="1" t="s">
        <v>321</v>
      </c>
      <c r="G1149" s="1">
        <v>60</v>
      </c>
      <c r="H1149" s="1" t="s">
        <v>321</v>
      </c>
    </row>
    <row r="1150" spans="1:8">
      <c r="A1150">
        <v>112</v>
      </c>
      <c r="B1150" t="s">
        <v>519</v>
      </c>
      <c r="C1150">
        <v>1</v>
      </c>
      <c r="D1150" t="s">
        <v>137</v>
      </c>
      <c r="E1150" s="1">
        <v>2</v>
      </c>
      <c r="F1150" s="1" t="s">
        <v>165</v>
      </c>
      <c r="G1150" s="1">
        <v>22</v>
      </c>
      <c r="H1150" s="1" t="s">
        <v>165</v>
      </c>
    </row>
    <row r="1151" spans="1:8">
      <c r="A1151">
        <v>112</v>
      </c>
      <c r="B1151" t="s">
        <v>519</v>
      </c>
      <c r="C1151">
        <v>6</v>
      </c>
      <c r="D1151" t="s">
        <v>184</v>
      </c>
      <c r="G1151" s="1">
        <v>63</v>
      </c>
    </row>
    <row r="1152" spans="1:8">
      <c r="A1152">
        <v>112</v>
      </c>
      <c r="B1152" t="s">
        <v>519</v>
      </c>
      <c r="C1152">
        <v>11</v>
      </c>
      <c r="D1152" t="s">
        <v>186</v>
      </c>
      <c r="E1152" s="1">
        <v>1</v>
      </c>
      <c r="F1152" s="1" t="s">
        <v>194</v>
      </c>
      <c r="G1152" s="1">
        <v>22</v>
      </c>
      <c r="H1152" s="1" t="s">
        <v>194</v>
      </c>
    </row>
    <row r="1153" spans="1:8">
      <c r="A1153">
        <v>112</v>
      </c>
      <c r="B1153" t="s">
        <v>519</v>
      </c>
      <c r="C1153">
        <v>11</v>
      </c>
      <c r="D1153" t="s">
        <v>186</v>
      </c>
      <c r="E1153" s="1">
        <v>1</v>
      </c>
      <c r="F1153" s="1">
        <v>42</v>
      </c>
      <c r="G1153" s="1">
        <v>30</v>
      </c>
      <c r="H1153" s="1">
        <v>42</v>
      </c>
    </row>
    <row r="1154" spans="1:8">
      <c r="A1154">
        <v>112</v>
      </c>
      <c r="B1154" t="s">
        <v>519</v>
      </c>
      <c r="C1154">
        <v>11</v>
      </c>
      <c r="D1154" t="s">
        <v>186</v>
      </c>
      <c r="E1154" s="1">
        <v>1</v>
      </c>
      <c r="F1154" s="1">
        <v>43</v>
      </c>
      <c r="G1154" s="1">
        <v>40</v>
      </c>
      <c r="H1154" s="1">
        <v>43</v>
      </c>
    </row>
    <row r="1155" spans="1:8">
      <c r="A1155">
        <v>112</v>
      </c>
      <c r="B1155" t="s">
        <v>519</v>
      </c>
      <c r="C1155">
        <v>11</v>
      </c>
      <c r="D1155" t="s">
        <v>186</v>
      </c>
      <c r="E1155" s="1">
        <v>1</v>
      </c>
      <c r="F1155" s="1">
        <v>45</v>
      </c>
      <c r="G1155" s="1">
        <v>60</v>
      </c>
      <c r="H1155" s="1">
        <v>45</v>
      </c>
    </row>
    <row r="1156" spans="1:8">
      <c r="A1156">
        <v>112</v>
      </c>
      <c r="B1156" t="s">
        <v>519</v>
      </c>
      <c r="C1156">
        <v>12</v>
      </c>
      <c r="D1156" t="s">
        <v>107</v>
      </c>
      <c r="E1156" s="1">
        <v>1</v>
      </c>
      <c r="F1156" s="1">
        <v>41</v>
      </c>
      <c r="G1156" s="1">
        <v>20</v>
      </c>
      <c r="H1156" s="1">
        <v>41</v>
      </c>
    </row>
    <row r="1157" spans="1:8">
      <c r="A1157">
        <v>112</v>
      </c>
      <c r="B1157" t="s">
        <v>519</v>
      </c>
      <c r="C1157">
        <v>12</v>
      </c>
      <c r="D1157" t="s">
        <v>107</v>
      </c>
      <c r="E1157" s="1">
        <v>1</v>
      </c>
      <c r="F1157" s="1" t="s">
        <v>195</v>
      </c>
      <c r="G1157" s="1">
        <v>32</v>
      </c>
      <c r="H1157" s="1" t="s">
        <v>195</v>
      </c>
    </row>
    <row r="1158" spans="1:8">
      <c r="A1158">
        <v>112</v>
      </c>
      <c r="B1158" t="s">
        <v>519</v>
      </c>
      <c r="C1158">
        <v>12</v>
      </c>
      <c r="D1158" t="s">
        <v>107</v>
      </c>
      <c r="E1158" s="1">
        <v>1</v>
      </c>
      <c r="F1158" s="1">
        <v>43</v>
      </c>
      <c r="G1158" s="1">
        <v>40</v>
      </c>
      <c r="H1158" s="1">
        <v>43</v>
      </c>
    </row>
    <row r="1159" spans="1:8">
      <c r="A1159">
        <v>112</v>
      </c>
      <c r="B1159" t="s">
        <v>519</v>
      </c>
      <c r="C1159">
        <v>12</v>
      </c>
      <c r="D1159" t="s">
        <v>107</v>
      </c>
      <c r="E1159" s="1">
        <v>1</v>
      </c>
      <c r="F1159" s="1" t="s">
        <v>196</v>
      </c>
      <c r="G1159" s="1">
        <v>42</v>
      </c>
      <c r="H1159" s="1" t="s">
        <v>196</v>
      </c>
    </row>
    <row r="1160" spans="1:8">
      <c r="A1160">
        <v>112</v>
      </c>
      <c r="B1160" t="s">
        <v>519</v>
      </c>
      <c r="C1160">
        <v>12</v>
      </c>
      <c r="D1160" t="s">
        <v>107</v>
      </c>
      <c r="E1160" s="1">
        <v>1</v>
      </c>
      <c r="F1160" s="1">
        <v>44</v>
      </c>
      <c r="G1160" s="1">
        <v>50</v>
      </c>
      <c r="H1160" s="1">
        <v>44</v>
      </c>
    </row>
    <row r="1161" spans="1:8">
      <c r="A1161">
        <v>112</v>
      </c>
      <c r="B1161" t="s">
        <v>519</v>
      </c>
      <c r="C1161">
        <v>13</v>
      </c>
      <c r="D1161" t="s">
        <v>200</v>
      </c>
      <c r="E1161" s="1">
        <v>1</v>
      </c>
      <c r="F1161" s="1">
        <v>40</v>
      </c>
      <c r="G1161" s="1">
        <v>10</v>
      </c>
      <c r="H1161" s="1">
        <v>40</v>
      </c>
    </row>
    <row r="1162" spans="1:8">
      <c r="A1162">
        <v>113</v>
      </c>
      <c r="B1162" t="s">
        <v>520</v>
      </c>
      <c r="C1162">
        <v>1</v>
      </c>
      <c r="D1162" t="s">
        <v>137</v>
      </c>
      <c r="E1162" s="1">
        <v>1</v>
      </c>
      <c r="F1162" s="1">
        <v>14</v>
      </c>
      <c r="G1162" s="1">
        <v>70</v>
      </c>
      <c r="H1162" s="1">
        <v>14</v>
      </c>
    </row>
    <row r="1163" spans="1:8">
      <c r="A1163">
        <v>113</v>
      </c>
      <c r="B1163" t="s">
        <v>520</v>
      </c>
      <c r="C1163">
        <v>1</v>
      </c>
      <c r="D1163" t="s">
        <v>137</v>
      </c>
      <c r="E1163" s="1">
        <v>1</v>
      </c>
      <c r="F1163" s="1" t="s">
        <v>147</v>
      </c>
      <c r="G1163" s="1">
        <v>72</v>
      </c>
      <c r="H1163" s="1" t="s">
        <v>147</v>
      </c>
    </row>
    <row r="1164" spans="1:8">
      <c r="A1164">
        <v>113</v>
      </c>
      <c r="B1164" t="s">
        <v>520</v>
      </c>
      <c r="C1164">
        <v>1</v>
      </c>
      <c r="D1164" t="s">
        <v>137</v>
      </c>
      <c r="E1164" s="1">
        <v>1</v>
      </c>
      <c r="F1164" s="1">
        <v>15</v>
      </c>
      <c r="G1164" s="1">
        <v>80</v>
      </c>
      <c r="H1164" s="1">
        <v>15</v>
      </c>
    </row>
    <row r="1165" spans="1:8">
      <c r="A1165">
        <v>113</v>
      </c>
      <c r="B1165" t="s">
        <v>520</v>
      </c>
      <c r="C1165">
        <v>1</v>
      </c>
      <c r="D1165" t="s">
        <v>137</v>
      </c>
      <c r="E1165" s="1">
        <v>1</v>
      </c>
      <c r="F1165" s="1" t="s">
        <v>150</v>
      </c>
      <c r="G1165" s="1">
        <v>82</v>
      </c>
      <c r="H1165" s="1" t="s">
        <v>150</v>
      </c>
    </row>
    <row r="1166" spans="1:8">
      <c r="A1166">
        <v>113</v>
      </c>
      <c r="B1166" t="s">
        <v>520</v>
      </c>
      <c r="C1166">
        <v>1</v>
      </c>
      <c r="D1166" t="s">
        <v>137</v>
      </c>
      <c r="E1166" s="1">
        <v>1</v>
      </c>
      <c r="F1166" s="1">
        <v>16</v>
      </c>
      <c r="G1166" s="1">
        <v>90</v>
      </c>
      <c r="H1166" s="1">
        <v>16</v>
      </c>
    </row>
    <row r="1167" spans="1:8">
      <c r="A1167">
        <v>113</v>
      </c>
      <c r="B1167" t="s">
        <v>520</v>
      </c>
      <c r="C1167">
        <v>1</v>
      </c>
      <c r="D1167" t="s">
        <v>137</v>
      </c>
      <c r="E1167" s="1">
        <v>1</v>
      </c>
      <c r="F1167" s="1" t="s">
        <v>153</v>
      </c>
      <c r="G1167" s="1">
        <v>92</v>
      </c>
      <c r="H1167" s="1" t="s">
        <v>153</v>
      </c>
    </row>
    <row r="1168" spans="1:8">
      <c r="A1168">
        <v>113</v>
      </c>
      <c r="B1168" t="s">
        <v>520</v>
      </c>
      <c r="C1168">
        <v>1</v>
      </c>
      <c r="D1168" t="s">
        <v>137</v>
      </c>
      <c r="E1168" s="1">
        <v>1</v>
      </c>
      <c r="F1168" s="1">
        <v>17</v>
      </c>
      <c r="G1168" s="1">
        <v>94</v>
      </c>
      <c r="H1168" s="1">
        <v>17</v>
      </c>
    </row>
    <row r="1169" spans="1:8">
      <c r="A1169">
        <v>113</v>
      </c>
      <c r="B1169" t="s">
        <v>520</v>
      </c>
      <c r="C1169">
        <v>1</v>
      </c>
      <c r="D1169" t="s">
        <v>137</v>
      </c>
      <c r="E1169" s="1">
        <v>1</v>
      </c>
      <c r="F1169" s="1" t="s">
        <v>156</v>
      </c>
      <c r="G1169" s="1">
        <v>96</v>
      </c>
      <c r="H1169" s="1" t="s">
        <v>156</v>
      </c>
    </row>
    <row r="1170" spans="1:8">
      <c r="A1170">
        <v>113</v>
      </c>
      <c r="B1170" t="s">
        <v>520</v>
      </c>
      <c r="C1170">
        <v>1</v>
      </c>
      <c r="D1170" t="s">
        <v>137</v>
      </c>
      <c r="E1170" s="1">
        <v>2</v>
      </c>
      <c r="F1170" s="1" t="s">
        <v>159</v>
      </c>
      <c r="G1170" s="1">
        <v>2</v>
      </c>
      <c r="H1170" s="1" t="s">
        <v>159</v>
      </c>
    </row>
    <row r="1171" spans="1:8">
      <c r="A1171">
        <v>113</v>
      </c>
      <c r="B1171" t="s">
        <v>520</v>
      </c>
      <c r="C1171">
        <v>1</v>
      </c>
      <c r="D1171" t="s">
        <v>137</v>
      </c>
      <c r="E1171" s="1">
        <v>2</v>
      </c>
      <c r="F1171" s="1">
        <v>19</v>
      </c>
      <c r="G1171" s="1">
        <v>10</v>
      </c>
      <c r="H1171" s="1">
        <v>19</v>
      </c>
    </row>
    <row r="1172" spans="1:8">
      <c r="A1172">
        <v>113</v>
      </c>
      <c r="B1172" t="s">
        <v>520</v>
      </c>
      <c r="C1172">
        <v>1</v>
      </c>
      <c r="D1172" t="s">
        <v>137</v>
      </c>
      <c r="E1172" s="1">
        <v>2</v>
      </c>
      <c r="F1172" s="1" t="s">
        <v>162</v>
      </c>
      <c r="G1172" s="1">
        <v>12</v>
      </c>
      <c r="H1172" s="1" t="s">
        <v>162</v>
      </c>
    </row>
    <row r="1173" spans="1:8">
      <c r="A1173">
        <v>113</v>
      </c>
      <c r="B1173" t="s">
        <v>520</v>
      </c>
      <c r="C1173">
        <v>1</v>
      </c>
      <c r="D1173" t="s">
        <v>137</v>
      </c>
      <c r="E1173" s="1">
        <v>2</v>
      </c>
      <c r="F1173" s="1">
        <v>20</v>
      </c>
      <c r="G1173" s="1">
        <v>20</v>
      </c>
      <c r="H1173" s="1">
        <v>20</v>
      </c>
    </row>
    <row r="1174" spans="1:8">
      <c r="A1174">
        <v>113</v>
      </c>
      <c r="B1174" t="s">
        <v>520</v>
      </c>
      <c r="C1174">
        <v>1</v>
      </c>
      <c r="D1174" t="s">
        <v>137</v>
      </c>
      <c r="E1174" s="1">
        <v>2</v>
      </c>
      <c r="F1174" s="1" t="s">
        <v>165</v>
      </c>
      <c r="G1174" s="1">
        <v>22</v>
      </c>
      <c r="H1174" s="1" t="s">
        <v>165</v>
      </c>
    </row>
    <row r="1175" spans="1:8">
      <c r="A1175">
        <v>113</v>
      </c>
      <c r="B1175" t="s">
        <v>520</v>
      </c>
      <c r="C1175">
        <v>1</v>
      </c>
      <c r="D1175" t="s">
        <v>137</v>
      </c>
      <c r="E1175" s="1">
        <v>2</v>
      </c>
      <c r="F1175" s="1">
        <v>21</v>
      </c>
      <c r="G1175" s="1">
        <v>30</v>
      </c>
      <c r="H1175" s="1">
        <v>21</v>
      </c>
    </row>
    <row r="1176" spans="1:8">
      <c r="A1176">
        <v>113</v>
      </c>
      <c r="B1176" t="s">
        <v>520</v>
      </c>
      <c r="C1176">
        <v>1</v>
      </c>
      <c r="D1176" t="s">
        <v>137</v>
      </c>
      <c r="E1176" s="1">
        <v>2</v>
      </c>
      <c r="F1176" s="1" t="s">
        <v>168</v>
      </c>
      <c r="G1176" s="1">
        <v>32</v>
      </c>
      <c r="H1176" s="1" t="s">
        <v>168</v>
      </c>
    </row>
    <row r="1177" spans="1:8">
      <c r="A1177">
        <v>113</v>
      </c>
      <c r="B1177" t="s">
        <v>520</v>
      </c>
      <c r="C1177">
        <v>1</v>
      </c>
      <c r="D1177" t="s">
        <v>137</v>
      </c>
      <c r="E1177" s="1">
        <v>2</v>
      </c>
      <c r="F1177" s="1">
        <v>22</v>
      </c>
      <c r="G1177" s="1">
        <v>40</v>
      </c>
      <c r="H1177" s="1">
        <v>22</v>
      </c>
    </row>
    <row r="1178" spans="1:8">
      <c r="A1178">
        <v>113</v>
      </c>
      <c r="B1178" t="s">
        <v>520</v>
      </c>
      <c r="C1178">
        <v>1</v>
      </c>
      <c r="D1178" t="s">
        <v>137</v>
      </c>
      <c r="E1178" s="1">
        <v>2</v>
      </c>
      <c r="F1178" s="1" t="s">
        <v>171</v>
      </c>
      <c r="G1178" s="1">
        <v>42</v>
      </c>
      <c r="H1178" s="1" t="s">
        <v>171</v>
      </c>
    </row>
    <row r="1179" spans="1:8">
      <c r="A1179">
        <v>113</v>
      </c>
      <c r="B1179" t="s">
        <v>520</v>
      </c>
      <c r="C1179">
        <v>1</v>
      </c>
      <c r="D1179" t="s">
        <v>137</v>
      </c>
      <c r="E1179" s="1">
        <v>2</v>
      </c>
      <c r="F1179" s="1">
        <v>23</v>
      </c>
      <c r="G1179" s="1">
        <v>50</v>
      </c>
      <c r="H1179" s="1">
        <v>23</v>
      </c>
    </row>
    <row r="1180" spans="1:8">
      <c r="A1180">
        <v>113</v>
      </c>
      <c r="B1180" t="s">
        <v>520</v>
      </c>
      <c r="C1180">
        <v>1</v>
      </c>
      <c r="D1180" t="s">
        <v>137</v>
      </c>
      <c r="E1180" s="1">
        <v>2</v>
      </c>
      <c r="F1180" s="1" t="s">
        <v>174</v>
      </c>
      <c r="G1180" s="1">
        <v>52</v>
      </c>
      <c r="H1180" s="1" t="s">
        <v>174</v>
      </c>
    </row>
    <row r="1181" spans="1:8">
      <c r="A1181">
        <v>113</v>
      </c>
      <c r="B1181" t="s">
        <v>520</v>
      </c>
      <c r="C1181">
        <v>1</v>
      </c>
      <c r="D1181" t="s">
        <v>137</v>
      </c>
      <c r="E1181" s="1">
        <v>2</v>
      </c>
      <c r="F1181" s="1">
        <v>24</v>
      </c>
      <c r="G1181" s="1">
        <v>60</v>
      </c>
      <c r="H1181" s="1">
        <v>24</v>
      </c>
    </row>
    <row r="1182" spans="1:8">
      <c r="A1182">
        <v>113</v>
      </c>
      <c r="B1182" t="s">
        <v>520</v>
      </c>
      <c r="C1182">
        <v>1</v>
      </c>
      <c r="D1182" t="s">
        <v>137</v>
      </c>
      <c r="E1182" s="1">
        <v>2</v>
      </c>
      <c r="F1182" s="1" t="s">
        <v>177</v>
      </c>
      <c r="G1182" s="1">
        <v>62</v>
      </c>
      <c r="H1182" s="1" t="s">
        <v>177</v>
      </c>
    </row>
    <row r="1183" spans="1:8">
      <c r="A1183">
        <v>113</v>
      </c>
      <c r="B1183" t="s">
        <v>520</v>
      </c>
      <c r="C1183">
        <v>1</v>
      </c>
      <c r="D1183" t="s">
        <v>137</v>
      </c>
      <c r="E1183" s="1">
        <v>2</v>
      </c>
      <c r="F1183" s="1" t="s">
        <v>180</v>
      </c>
      <c r="G1183" s="1">
        <v>72</v>
      </c>
      <c r="H1183" s="1" t="s">
        <v>180</v>
      </c>
    </row>
    <row r="1184" spans="1:8">
      <c r="A1184">
        <v>113</v>
      </c>
      <c r="B1184" t="s">
        <v>520</v>
      </c>
      <c r="C1184">
        <v>1</v>
      </c>
      <c r="D1184" t="s">
        <v>137</v>
      </c>
      <c r="E1184" s="1">
        <v>2</v>
      </c>
      <c r="F1184" s="1">
        <v>18</v>
      </c>
      <c r="H1184" s="1">
        <v>18</v>
      </c>
    </row>
    <row r="1185" spans="1:8">
      <c r="A1185">
        <v>113</v>
      </c>
      <c r="B1185" t="s">
        <v>520</v>
      </c>
      <c r="C1185">
        <v>5</v>
      </c>
      <c r="D1185" t="s">
        <v>183</v>
      </c>
      <c r="G1185" s="1">
        <v>50</v>
      </c>
    </row>
    <row r="1186" spans="1:8">
      <c r="A1186">
        <v>113</v>
      </c>
      <c r="B1186" t="s">
        <v>520</v>
      </c>
      <c r="C1186">
        <v>5</v>
      </c>
      <c r="D1186" t="s">
        <v>183</v>
      </c>
      <c r="G1186" s="1">
        <v>60</v>
      </c>
    </row>
    <row r="1187" spans="1:8">
      <c r="A1187">
        <v>113</v>
      </c>
      <c r="B1187" t="s">
        <v>520</v>
      </c>
      <c r="C1187">
        <v>6</v>
      </c>
      <c r="D1187" t="s">
        <v>184</v>
      </c>
      <c r="G1187" s="1">
        <v>63</v>
      </c>
    </row>
    <row r="1188" spans="1:8">
      <c r="A1188">
        <v>113</v>
      </c>
      <c r="B1188" t="s">
        <v>520</v>
      </c>
      <c r="C1188">
        <v>11</v>
      </c>
      <c r="D1188" t="s">
        <v>186</v>
      </c>
      <c r="E1188" s="1">
        <v>1</v>
      </c>
      <c r="F1188" s="1" t="s">
        <v>192</v>
      </c>
      <c r="G1188" s="1">
        <v>2</v>
      </c>
      <c r="H1188" s="1" t="s">
        <v>192</v>
      </c>
    </row>
    <row r="1189" spans="1:8">
      <c r="A1189">
        <v>113</v>
      </c>
      <c r="B1189" t="s">
        <v>520</v>
      </c>
      <c r="C1189">
        <v>11</v>
      </c>
      <c r="D1189" t="s">
        <v>186</v>
      </c>
      <c r="E1189" s="1">
        <v>1</v>
      </c>
      <c r="F1189" s="1">
        <v>40</v>
      </c>
      <c r="G1189" s="1">
        <v>10</v>
      </c>
      <c r="H1189" s="1">
        <v>40</v>
      </c>
    </row>
    <row r="1190" spans="1:8">
      <c r="A1190">
        <v>113</v>
      </c>
      <c r="B1190" t="s">
        <v>520</v>
      </c>
      <c r="C1190">
        <v>11</v>
      </c>
      <c r="D1190" t="s">
        <v>186</v>
      </c>
      <c r="E1190" s="1">
        <v>1</v>
      </c>
      <c r="F1190" s="1" t="s">
        <v>193</v>
      </c>
      <c r="G1190" s="1">
        <v>12</v>
      </c>
      <c r="H1190" s="1" t="s">
        <v>193</v>
      </c>
    </row>
    <row r="1191" spans="1:8">
      <c r="A1191">
        <v>113</v>
      </c>
      <c r="B1191" t="s">
        <v>520</v>
      </c>
      <c r="C1191">
        <v>11</v>
      </c>
      <c r="D1191" t="s">
        <v>186</v>
      </c>
      <c r="E1191" s="1">
        <v>1</v>
      </c>
      <c r="F1191" s="1">
        <v>41</v>
      </c>
      <c r="G1191" s="1">
        <v>20</v>
      </c>
      <c r="H1191" s="1">
        <v>41</v>
      </c>
    </row>
    <row r="1192" spans="1:8">
      <c r="A1192">
        <v>113</v>
      </c>
      <c r="B1192" t="s">
        <v>520</v>
      </c>
      <c r="C1192">
        <v>11</v>
      </c>
      <c r="D1192" t="s">
        <v>186</v>
      </c>
      <c r="E1192" s="1">
        <v>1</v>
      </c>
      <c r="F1192" s="1" t="s">
        <v>194</v>
      </c>
      <c r="G1192" s="1">
        <v>22</v>
      </c>
      <c r="H1192" s="1" t="s">
        <v>194</v>
      </c>
    </row>
    <row r="1193" spans="1:8">
      <c r="A1193">
        <v>113</v>
      </c>
      <c r="B1193" t="s">
        <v>520</v>
      </c>
      <c r="C1193">
        <v>11</v>
      </c>
      <c r="D1193" t="s">
        <v>186</v>
      </c>
      <c r="E1193" s="1">
        <v>1</v>
      </c>
      <c r="F1193" s="1">
        <v>42</v>
      </c>
      <c r="G1193" s="1">
        <v>30</v>
      </c>
      <c r="H1193" s="1">
        <v>42</v>
      </c>
    </row>
    <row r="1194" spans="1:8">
      <c r="A1194">
        <v>113</v>
      </c>
      <c r="B1194" t="s">
        <v>520</v>
      </c>
      <c r="C1194">
        <v>11</v>
      </c>
      <c r="D1194" t="s">
        <v>186</v>
      </c>
      <c r="E1194" s="1">
        <v>1</v>
      </c>
      <c r="F1194" s="1" t="s">
        <v>195</v>
      </c>
      <c r="G1194" s="1">
        <v>32</v>
      </c>
      <c r="H1194" s="1" t="s">
        <v>195</v>
      </c>
    </row>
    <row r="1195" spans="1:8">
      <c r="A1195">
        <v>113</v>
      </c>
      <c r="B1195" t="s">
        <v>520</v>
      </c>
      <c r="C1195">
        <v>11</v>
      </c>
      <c r="D1195" t="s">
        <v>186</v>
      </c>
      <c r="E1195" s="1">
        <v>1</v>
      </c>
      <c r="F1195" s="1">
        <v>43</v>
      </c>
      <c r="G1195" s="1">
        <v>40</v>
      </c>
      <c r="H1195" s="1">
        <v>43</v>
      </c>
    </row>
    <row r="1196" spans="1:8">
      <c r="A1196">
        <v>113</v>
      </c>
      <c r="B1196" t="s">
        <v>520</v>
      </c>
      <c r="C1196">
        <v>11</v>
      </c>
      <c r="D1196" t="s">
        <v>186</v>
      </c>
      <c r="E1196" s="1">
        <v>1</v>
      </c>
      <c r="F1196" s="1" t="s">
        <v>196</v>
      </c>
      <c r="G1196" s="1">
        <v>42</v>
      </c>
      <c r="H1196" s="1" t="s">
        <v>196</v>
      </c>
    </row>
    <row r="1197" spans="1:8">
      <c r="A1197">
        <v>113</v>
      </c>
      <c r="B1197" t="s">
        <v>520</v>
      </c>
      <c r="C1197">
        <v>11</v>
      </c>
      <c r="D1197" t="s">
        <v>186</v>
      </c>
      <c r="E1197" s="1">
        <v>1</v>
      </c>
      <c r="F1197" s="1">
        <v>44</v>
      </c>
      <c r="G1197" s="1">
        <v>50</v>
      </c>
      <c r="H1197" s="1">
        <v>44</v>
      </c>
    </row>
    <row r="1198" spans="1:8">
      <c r="A1198">
        <v>113</v>
      </c>
      <c r="B1198" t="s">
        <v>520</v>
      </c>
      <c r="C1198">
        <v>11</v>
      </c>
      <c r="D1198" t="s">
        <v>186</v>
      </c>
      <c r="E1198" s="1">
        <v>1</v>
      </c>
      <c r="F1198" s="1" t="s">
        <v>197</v>
      </c>
      <c r="G1198" s="1">
        <v>52</v>
      </c>
      <c r="H1198" s="1" t="s">
        <v>197</v>
      </c>
    </row>
    <row r="1199" spans="1:8">
      <c r="A1199">
        <v>113</v>
      </c>
      <c r="B1199" t="s">
        <v>520</v>
      </c>
      <c r="C1199">
        <v>11</v>
      </c>
      <c r="D1199" t="s">
        <v>186</v>
      </c>
      <c r="E1199" s="1">
        <v>1</v>
      </c>
      <c r="F1199" s="1">
        <v>45</v>
      </c>
      <c r="G1199" s="1">
        <v>60</v>
      </c>
      <c r="H1199" s="1">
        <v>45</v>
      </c>
    </row>
    <row r="1200" spans="1:8">
      <c r="A1200">
        <v>113</v>
      </c>
      <c r="B1200" t="s">
        <v>520</v>
      </c>
      <c r="C1200">
        <v>11</v>
      </c>
      <c r="D1200" t="s">
        <v>186</v>
      </c>
      <c r="E1200" s="1">
        <v>1</v>
      </c>
      <c r="F1200" s="1" t="s">
        <v>198</v>
      </c>
      <c r="G1200" s="1">
        <v>62</v>
      </c>
      <c r="H1200" s="1" t="s">
        <v>198</v>
      </c>
    </row>
    <row r="1201" spans="1:8">
      <c r="A1201">
        <v>113</v>
      </c>
      <c r="B1201" t="s">
        <v>520</v>
      </c>
      <c r="C1201">
        <v>11</v>
      </c>
      <c r="D1201" t="s">
        <v>186</v>
      </c>
      <c r="E1201" s="1">
        <v>1</v>
      </c>
      <c r="F1201" s="1" t="s">
        <v>199</v>
      </c>
      <c r="G1201" s="1">
        <v>72</v>
      </c>
      <c r="H1201" s="1" t="s">
        <v>199</v>
      </c>
    </row>
    <row r="1202" spans="1:8">
      <c r="A1202">
        <v>113</v>
      </c>
      <c r="B1202" t="s">
        <v>520</v>
      </c>
      <c r="C1202">
        <v>11</v>
      </c>
      <c r="D1202" t="s">
        <v>186</v>
      </c>
      <c r="E1202" s="1">
        <v>1</v>
      </c>
      <c r="F1202" s="1">
        <v>39</v>
      </c>
      <c r="H1202" s="1">
        <v>39</v>
      </c>
    </row>
    <row r="1203" spans="1:8">
      <c r="A1203">
        <v>113</v>
      </c>
      <c r="B1203" t="s">
        <v>520</v>
      </c>
      <c r="C1203">
        <v>11</v>
      </c>
      <c r="D1203" t="s">
        <v>186</v>
      </c>
      <c r="G1203" s="1">
        <v>92</v>
      </c>
    </row>
    <row r="1204" spans="1:8">
      <c r="A1204">
        <v>113</v>
      </c>
      <c r="B1204" t="s">
        <v>520</v>
      </c>
      <c r="C1204">
        <v>11</v>
      </c>
      <c r="D1204" t="s">
        <v>186</v>
      </c>
      <c r="G1204" s="1">
        <v>96</v>
      </c>
    </row>
    <row r="1205" spans="1:8">
      <c r="A1205">
        <v>113</v>
      </c>
      <c r="B1205" t="s">
        <v>520</v>
      </c>
      <c r="C1205">
        <v>12</v>
      </c>
      <c r="D1205" t="s">
        <v>107</v>
      </c>
      <c r="E1205" s="1">
        <v>1</v>
      </c>
      <c r="F1205" s="1">
        <v>40</v>
      </c>
      <c r="G1205" s="1">
        <v>10</v>
      </c>
      <c r="H1205" s="1">
        <v>40</v>
      </c>
    </row>
    <row r="1206" spans="1:8">
      <c r="A1206">
        <v>113</v>
      </c>
      <c r="B1206" t="s">
        <v>520</v>
      </c>
      <c r="C1206">
        <v>12</v>
      </c>
      <c r="D1206" t="s">
        <v>107</v>
      </c>
      <c r="E1206" s="1">
        <v>1</v>
      </c>
      <c r="F1206" s="1" t="s">
        <v>193</v>
      </c>
      <c r="G1206" s="1">
        <v>12</v>
      </c>
      <c r="H1206" s="1" t="s">
        <v>193</v>
      </c>
    </row>
    <row r="1207" spans="1:8">
      <c r="A1207">
        <v>113</v>
      </c>
      <c r="B1207" t="s">
        <v>520</v>
      </c>
      <c r="C1207">
        <v>12</v>
      </c>
      <c r="D1207" t="s">
        <v>107</v>
      </c>
      <c r="E1207" s="1">
        <v>1</v>
      </c>
      <c r="F1207" s="1">
        <v>41</v>
      </c>
      <c r="G1207" s="1">
        <v>20</v>
      </c>
      <c r="H1207" s="1">
        <v>41</v>
      </c>
    </row>
    <row r="1208" spans="1:8">
      <c r="A1208">
        <v>113</v>
      </c>
      <c r="B1208" t="s">
        <v>520</v>
      </c>
      <c r="C1208">
        <v>12</v>
      </c>
      <c r="D1208" t="s">
        <v>107</v>
      </c>
      <c r="E1208" s="1">
        <v>1</v>
      </c>
      <c r="F1208" s="1" t="s">
        <v>194</v>
      </c>
      <c r="G1208" s="1">
        <v>22</v>
      </c>
      <c r="H1208" s="1" t="s">
        <v>194</v>
      </c>
    </row>
    <row r="1209" spans="1:8">
      <c r="A1209">
        <v>113</v>
      </c>
      <c r="B1209" t="s">
        <v>520</v>
      </c>
      <c r="C1209">
        <v>12</v>
      </c>
      <c r="D1209" t="s">
        <v>107</v>
      </c>
      <c r="E1209" s="1">
        <v>1</v>
      </c>
      <c r="F1209" s="1">
        <v>42</v>
      </c>
      <c r="G1209" s="1">
        <v>30</v>
      </c>
      <c r="H1209" s="1">
        <v>42</v>
      </c>
    </row>
    <row r="1210" spans="1:8">
      <c r="A1210">
        <v>113</v>
      </c>
      <c r="B1210" t="s">
        <v>520</v>
      </c>
      <c r="C1210">
        <v>12</v>
      </c>
      <c r="D1210" t="s">
        <v>107</v>
      </c>
      <c r="E1210" s="1">
        <v>1</v>
      </c>
      <c r="F1210" s="1" t="s">
        <v>195</v>
      </c>
      <c r="G1210" s="1">
        <v>32</v>
      </c>
      <c r="H1210" s="1" t="s">
        <v>195</v>
      </c>
    </row>
    <row r="1211" spans="1:8">
      <c r="A1211">
        <v>113</v>
      </c>
      <c r="B1211" t="s">
        <v>520</v>
      </c>
      <c r="C1211">
        <v>12</v>
      </c>
      <c r="D1211" t="s">
        <v>107</v>
      </c>
      <c r="E1211" s="1">
        <v>1</v>
      </c>
      <c r="F1211" s="1">
        <v>43</v>
      </c>
      <c r="G1211" s="1">
        <v>40</v>
      </c>
      <c r="H1211" s="1">
        <v>43</v>
      </c>
    </row>
    <row r="1212" spans="1:8">
      <c r="A1212">
        <v>113</v>
      </c>
      <c r="B1212" t="s">
        <v>520</v>
      </c>
      <c r="C1212">
        <v>12</v>
      </c>
      <c r="D1212" t="s">
        <v>107</v>
      </c>
      <c r="E1212" s="1">
        <v>1</v>
      </c>
      <c r="F1212" s="1" t="s">
        <v>196</v>
      </c>
      <c r="G1212" s="1">
        <v>42</v>
      </c>
      <c r="H1212" s="1" t="s">
        <v>196</v>
      </c>
    </row>
    <row r="1213" spans="1:8">
      <c r="A1213">
        <v>113</v>
      </c>
      <c r="B1213" t="s">
        <v>520</v>
      </c>
      <c r="C1213">
        <v>12</v>
      </c>
      <c r="D1213" t="s">
        <v>107</v>
      </c>
      <c r="E1213" s="1">
        <v>1</v>
      </c>
      <c r="F1213" s="1">
        <v>44</v>
      </c>
      <c r="G1213" s="1">
        <v>50</v>
      </c>
      <c r="H1213" s="1">
        <v>44</v>
      </c>
    </row>
    <row r="1214" spans="1:8">
      <c r="A1214">
        <v>113</v>
      </c>
      <c r="B1214" t="s">
        <v>520</v>
      </c>
      <c r="C1214">
        <v>12</v>
      </c>
      <c r="D1214" t="s">
        <v>107</v>
      </c>
      <c r="E1214" s="1">
        <v>1</v>
      </c>
      <c r="F1214" s="1" t="s">
        <v>197</v>
      </c>
      <c r="G1214" s="1">
        <v>52</v>
      </c>
      <c r="H1214" s="1" t="s">
        <v>197</v>
      </c>
    </row>
    <row r="1215" spans="1:8">
      <c r="A1215">
        <v>113</v>
      </c>
      <c r="B1215" t="s">
        <v>520</v>
      </c>
      <c r="C1215">
        <v>12</v>
      </c>
      <c r="D1215" t="s">
        <v>107</v>
      </c>
      <c r="E1215" s="1">
        <v>1</v>
      </c>
      <c r="F1215" s="1">
        <v>45</v>
      </c>
      <c r="G1215" s="1">
        <v>60</v>
      </c>
      <c r="H1215" s="1">
        <v>45</v>
      </c>
    </row>
    <row r="1216" spans="1:8">
      <c r="A1216">
        <v>113</v>
      </c>
      <c r="B1216" t="s">
        <v>520</v>
      </c>
      <c r="C1216">
        <v>12</v>
      </c>
      <c r="D1216" t="s">
        <v>107</v>
      </c>
      <c r="E1216" s="1">
        <v>1</v>
      </c>
      <c r="F1216" s="1" t="s">
        <v>198</v>
      </c>
      <c r="G1216" s="1">
        <v>62</v>
      </c>
      <c r="H1216" s="1" t="s">
        <v>198</v>
      </c>
    </row>
    <row r="1217" spans="1:8">
      <c r="A1217">
        <v>113</v>
      </c>
      <c r="B1217" t="s">
        <v>520</v>
      </c>
      <c r="C1217">
        <v>12</v>
      </c>
      <c r="D1217" t="s">
        <v>107</v>
      </c>
      <c r="E1217" s="1">
        <v>1</v>
      </c>
      <c r="F1217" s="1" t="s">
        <v>199</v>
      </c>
      <c r="G1217" s="1">
        <v>72</v>
      </c>
      <c r="H1217" s="1" t="s">
        <v>199</v>
      </c>
    </row>
    <row r="1218" spans="1:8">
      <c r="A1218">
        <v>113</v>
      </c>
      <c r="B1218" t="s">
        <v>520</v>
      </c>
      <c r="C1218">
        <v>13</v>
      </c>
      <c r="D1218" t="s">
        <v>200</v>
      </c>
      <c r="E1218" s="1">
        <v>1</v>
      </c>
      <c r="F1218" s="1" t="s">
        <v>192</v>
      </c>
      <c r="G1218" s="1">
        <v>2</v>
      </c>
      <c r="H1218" s="1" t="s">
        <v>192</v>
      </c>
    </row>
    <row r="1219" spans="1:8">
      <c r="A1219">
        <v>113</v>
      </c>
      <c r="B1219" t="s">
        <v>520</v>
      </c>
      <c r="C1219">
        <v>13</v>
      </c>
      <c r="D1219" t="s">
        <v>200</v>
      </c>
      <c r="E1219" s="1">
        <v>1</v>
      </c>
      <c r="F1219" s="1" t="s">
        <v>193</v>
      </c>
      <c r="G1219" s="1">
        <v>12</v>
      </c>
      <c r="H1219" s="1" t="s">
        <v>193</v>
      </c>
    </row>
    <row r="1220" spans="1:8">
      <c r="A1220">
        <v>113</v>
      </c>
      <c r="B1220" t="s">
        <v>520</v>
      </c>
      <c r="C1220">
        <v>13</v>
      </c>
      <c r="D1220" t="s">
        <v>200</v>
      </c>
      <c r="E1220" s="1">
        <v>1</v>
      </c>
      <c r="F1220" s="1">
        <v>41</v>
      </c>
      <c r="G1220" s="1">
        <v>20</v>
      </c>
      <c r="H1220" s="1">
        <v>41</v>
      </c>
    </row>
    <row r="1221" spans="1:8">
      <c r="A1221">
        <v>113</v>
      </c>
      <c r="B1221" t="s">
        <v>520</v>
      </c>
      <c r="C1221">
        <v>13</v>
      </c>
      <c r="D1221" t="s">
        <v>200</v>
      </c>
      <c r="E1221" s="1">
        <v>1</v>
      </c>
      <c r="F1221" s="1" t="s">
        <v>194</v>
      </c>
      <c r="G1221" s="1">
        <v>22</v>
      </c>
      <c r="H1221" s="1" t="s">
        <v>194</v>
      </c>
    </row>
    <row r="1222" spans="1:8">
      <c r="A1222">
        <v>113</v>
      </c>
      <c r="B1222" t="s">
        <v>520</v>
      </c>
      <c r="C1222">
        <v>13</v>
      </c>
      <c r="D1222" t="s">
        <v>200</v>
      </c>
      <c r="E1222" s="1">
        <v>1</v>
      </c>
      <c r="F1222" s="1">
        <v>42</v>
      </c>
      <c r="G1222" s="1">
        <v>30</v>
      </c>
      <c r="H1222" s="1">
        <v>42</v>
      </c>
    </row>
    <row r="1223" spans="1:8">
      <c r="A1223">
        <v>113</v>
      </c>
      <c r="B1223" t="s">
        <v>520</v>
      </c>
      <c r="C1223">
        <v>13</v>
      </c>
      <c r="D1223" t="s">
        <v>200</v>
      </c>
      <c r="E1223" s="1">
        <v>1</v>
      </c>
      <c r="F1223" s="1" t="s">
        <v>195</v>
      </c>
      <c r="G1223" s="1">
        <v>32</v>
      </c>
      <c r="H1223" s="1" t="s">
        <v>195</v>
      </c>
    </row>
    <row r="1224" spans="1:8">
      <c r="A1224">
        <v>113</v>
      </c>
      <c r="B1224" t="s">
        <v>520</v>
      </c>
      <c r="C1224">
        <v>13</v>
      </c>
      <c r="D1224" t="s">
        <v>200</v>
      </c>
      <c r="E1224" s="1">
        <v>1</v>
      </c>
      <c r="F1224" s="1" t="s">
        <v>197</v>
      </c>
      <c r="G1224" s="1">
        <v>52</v>
      </c>
      <c r="H1224" s="1" t="s">
        <v>197</v>
      </c>
    </row>
    <row r="1225" spans="1:8">
      <c r="A1225">
        <v>113</v>
      </c>
      <c r="B1225" t="s">
        <v>520</v>
      </c>
      <c r="C1225">
        <v>13</v>
      </c>
      <c r="D1225" t="s">
        <v>200</v>
      </c>
      <c r="E1225" s="1">
        <v>1</v>
      </c>
      <c r="F1225" s="1">
        <v>45</v>
      </c>
      <c r="G1225" s="1">
        <v>60</v>
      </c>
      <c r="H1225" s="1">
        <v>45</v>
      </c>
    </row>
    <row r="1226" spans="1:8">
      <c r="A1226">
        <v>113</v>
      </c>
      <c r="B1226" t="s">
        <v>520</v>
      </c>
      <c r="C1226">
        <v>13</v>
      </c>
      <c r="D1226" t="s">
        <v>200</v>
      </c>
      <c r="G1226" s="1">
        <v>96</v>
      </c>
    </row>
    <row r="1227" spans="1:8">
      <c r="A1227">
        <v>113</v>
      </c>
      <c r="B1227" t="s">
        <v>520</v>
      </c>
      <c r="C1227">
        <v>21</v>
      </c>
      <c r="D1227" t="s">
        <v>205</v>
      </c>
      <c r="E1227" s="1">
        <v>1</v>
      </c>
      <c r="F1227" s="1" t="s">
        <v>394</v>
      </c>
      <c r="G1227" s="1">
        <v>12</v>
      </c>
      <c r="H1227" s="1" t="s">
        <v>394</v>
      </c>
    </row>
    <row r="1228" spans="1:8">
      <c r="A1228">
        <v>113</v>
      </c>
      <c r="B1228" t="s">
        <v>520</v>
      </c>
      <c r="C1228">
        <v>21</v>
      </c>
      <c r="D1228" t="s">
        <v>205</v>
      </c>
      <c r="E1228" s="1">
        <v>1</v>
      </c>
      <c r="F1228" s="1" t="s">
        <v>395</v>
      </c>
      <c r="G1228" s="1">
        <v>22</v>
      </c>
      <c r="H1228" s="1" t="s">
        <v>395</v>
      </c>
    </row>
    <row r="1229" spans="1:8">
      <c r="A1229">
        <v>113</v>
      </c>
      <c r="B1229" t="s">
        <v>520</v>
      </c>
      <c r="C1229">
        <v>21</v>
      </c>
      <c r="D1229" t="s">
        <v>205</v>
      </c>
      <c r="E1229" s="1">
        <v>1</v>
      </c>
      <c r="F1229" s="1" t="s">
        <v>329</v>
      </c>
      <c r="G1229" s="1">
        <v>30</v>
      </c>
      <c r="H1229" s="1" t="s">
        <v>329</v>
      </c>
    </row>
    <row r="1230" spans="1:8">
      <c r="A1230">
        <v>113</v>
      </c>
      <c r="B1230" t="s">
        <v>520</v>
      </c>
      <c r="C1230">
        <v>21</v>
      </c>
      <c r="D1230" t="s">
        <v>205</v>
      </c>
      <c r="E1230" s="1">
        <v>1</v>
      </c>
      <c r="F1230" s="1" t="s">
        <v>323</v>
      </c>
      <c r="G1230" s="1">
        <v>32</v>
      </c>
      <c r="H1230" s="1" t="s">
        <v>323</v>
      </c>
    </row>
    <row r="1231" spans="1:8">
      <c r="A1231">
        <v>113</v>
      </c>
      <c r="B1231" t="s">
        <v>520</v>
      </c>
      <c r="C1231">
        <v>21</v>
      </c>
      <c r="D1231" t="s">
        <v>205</v>
      </c>
      <c r="E1231" s="1">
        <v>1</v>
      </c>
      <c r="F1231" s="1" t="s">
        <v>332</v>
      </c>
      <c r="G1231" s="1">
        <v>40</v>
      </c>
      <c r="H1231" s="1" t="s">
        <v>332</v>
      </c>
    </row>
    <row r="1232" spans="1:8">
      <c r="A1232">
        <v>113</v>
      </c>
      <c r="B1232" t="s">
        <v>520</v>
      </c>
      <c r="C1232">
        <v>21</v>
      </c>
      <c r="D1232" t="s">
        <v>205</v>
      </c>
      <c r="E1232" s="1">
        <v>1</v>
      </c>
      <c r="F1232" s="1" t="s">
        <v>330</v>
      </c>
      <c r="G1232" s="1">
        <v>42</v>
      </c>
      <c r="H1232" s="1" t="s">
        <v>330</v>
      </c>
    </row>
    <row r="1233" spans="1:8">
      <c r="A1233">
        <v>113</v>
      </c>
      <c r="B1233" t="s">
        <v>520</v>
      </c>
      <c r="C1233">
        <v>21</v>
      </c>
      <c r="D1233" t="s">
        <v>205</v>
      </c>
      <c r="E1233" s="1">
        <v>1</v>
      </c>
      <c r="F1233" s="1" t="s">
        <v>331</v>
      </c>
      <c r="G1233" s="1">
        <v>50</v>
      </c>
      <c r="H1233" s="1" t="s">
        <v>331</v>
      </c>
    </row>
    <row r="1234" spans="1:8">
      <c r="A1234">
        <v>113</v>
      </c>
      <c r="B1234" t="s">
        <v>520</v>
      </c>
      <c r="C1234">
        <v>21</v>
      </c>
      <c r="D1234" t="s">
        <v>205</v>
      </c>
      <c r="E1234" s="1">
        <v>1</v>
      </c>
      <c r="F1234" s="1" t="s">
        <v>287</v>
      </c>
      <c r="G1234" s="1">
        <v>52</v>
      </c>
      <c r="H1234" s="1" t="s">
        <v>287</v>
      </c>
    </row>
    <row r="1235" spans="1:8">
      <c r="A1235">
        <v>113</v>
      </c>
      <c r="B1235" t="s">
        <v>520</v>
      </c>
      <c r="C1235">
        <v>21</v>
      </c>
      <c r="D1235" t="s">
        <v>205</v>
      </c>
      <c r="E1235" s="1">
        <v>1</v>
      </c>
      <c r="F1235" s="1" t="s">
        <v>288</v>
      </c>
      <c r="G1235" s="1">
        <v>62</v>
      </c>
      <c r="H1235" s="1" t="s">
        <v>288</v>
      </c>
    </row>
    <row r="1236" spans="1:8">
      <c r="A1236">
        <v>113</v>
      </c>
      <c r="B1236" t="s">
        <v>520</v>
      </c>
      <c r="C1236">
        <v>24</v>
      </c>
      <c r="D1236" t="s">
        <v>208</v>
      </c>
      <c r="G1236" s="1">
        <v>80</v>
      </c>
    </row>
    <row r="1237" spans="1:8">
      <c r="A1237">
        <v>113</v>
      </c>
      <c r="B1237" t="s">
        <v>520</v>
      </c>
      <c r="C1237">
        <v>24</v>
      </c>
      <c r="D1237" t="s">
        <v>208</v>
      </c>
      <c r="G1237" s="1">
        <v>90</v>
      </c>
    </row>
    <row r="1238" spans="1:8">
      <c r="A1238">
        <v>113</v>
      </c>
      <c r="B1238" t="s">
        <v>520</v>
      </c>
      <c r="C1238">
        <v>27</v>
      </c>
      <c r="D1238" t="s">
        <v>210</v>
      </c>
      <c r="E1238" s="1">
        <v>1</v>
      </c>
      <c r="F1238" s="1" t="s">
        <v>196</v>
      </c>
      <c r="G1238" s="1">
        <v>42</v>
      </c>
      <c r="H1238" s="1" t="s">
        <v>196</v>
      </c>
    </row>
    <row r="1239" spans="1:8">
      <c r="A1239">
        <v>113</v>
      </c>
      <c r="B1239" t="s">
        <v>520</v>
      </c>
      <c r="C1239">
        <v>27</v>
      </c>
      <c r="D1239" t="s">
        <v>210</v>
      </c>
      <c r="E1239" s="1">
        <v>1</v>
      </c>
      <c r="F1239" s="1">
        <v>44</v>
      </c>
      <c r="G1239" s="1">
        <v>50</v>
      </c>
      <c r="H1239" s="1">
        <v>44</v>
      </c>
    </row>
    <row r="1240" spans="1:8">
      <c r="A1240">
        <v>113</v>
      </c>
      <c r="B1240" t="s">
        <v>520</v>
      </c>
      <c r="C1240">
        <v>27</v>
      </c>
      <c r="D1240" t="s">
        <v>210</v>
      </c>
      <c r="E1240" s="1">
        <v>1</v>
      </c>
      <c r="F1240" s="1" t="s">
        <v>199</v>
      </c>
      <c r="G1240" s="1">
        <v>72</v>
      </c>
      <c r="H1240" s="1" t="s">
        <v>199</v>
      </c>
    </row>
    <row r="1241" spans="1:8">
      <c r="A1241">
        <v>113</v>
      </c>
      <c r="B1241" t="s">
        <v>520</v>
      </c>
      <c r="C1241">
        <v>41</v>
      </c>
      <c r="D1241" t="s">
        <v>219</v>
      </c>
      <c r="E1241" s="1">
        <v>1</v>
      </c>
      <c r="F1241" s="1" t="s">
        <v>442</v>
      </c>
      <c r="G1241" s="1">
        <v>10</v>
      </c>
      <c r="H1241" s="1" t="s">
        <v>442</v>
      </c>
    </row>
    <row r="1242" spans="1:8">
      <c r="A1242">
        <v>113</v>
      </c>
      <c r="B1242" t="s">
        <v>520</v>
      </c>
      <c r="C1242">
        <v>41</v>
      </c>
      <c r="D1242" t="s">
        <v>219</v>
      </c>
      <c r="E1242" s="1">
        <v>1</v>
      </c>
      <c r="F1242" s="1" t="s">
        <v>511</v>
      </c>
      <c r="G1242" s="1">
        <v>20</v>
      </c>
      <c r="H1242" s="1" t="s">
        <v>511</v>
      </c>
    </row>
    <row r="1243" spans="1:8">
      <c r="A1243">
        <v>113</v>
      </c>
      <c r="B1243" t="s">
        <v>520</v>
      </c>
      <c r="C1243">
        <v>41</v>
      </c>
      <c r="D1243" t="s">
        <v>219</v>
      </c>
      <c r="E1243" s="1">
        <v>1</v>
      </c>
      <c r="F1243" s="1" t="s">
        <v>443</v>
      </c>
      <c r="H1243" s="1" t="s">
        <v>443</v>
      </c>
    </row>
    <row r="1244" spans="1:8">
      <c r="A1244">
        <v>113</v>
      </c>
      <c r="B1244" t="s">
        <v>520</v>
      </c>
      <c r="C1244">
        <v>41</v>
      </c>
      <c r="D1244" t="s">
        <v>219</v>
      </c>
      <c r="G1244" s="1">
        <v>20</v>
      </c>
    </row>
    <row r="1245" spans="1:8">
      <c r="A1245">
        <v>113</v>
      </c>
      <c r="B1245" t="s">
        <v>520</v>
      </c>
      <c r="C1245">
        <v>41</v>
      </c>
      <c r="D1245" t="s">
        <v>219</v>
      </c>
      <c r="G1245" s="1">
        <v>30</v>
      </c>
    </row>
    <row r="1246" spans="1:8">
      <c r="A1246">
        <v>113</v>
      </c>
      <c r="B1246" t="s">
        <v>520</v>
      </c>
      <c r="C1246">
        <v>41</v>
      </c>
      <c r="D1246" t="s">
        <v>219</v>
      </c>
      <c r="G1246" s="1">
        <v>90</v>
      </c>
    </row>
    <row r="1247" spans="1:8">
      <c r="A1247">
        <v>113</v>
      </c>
      <c r="B1247" t="s">
        <v>520</v>
      </c>
      <c r="C1247">
        <v>41</v>
      </c>
      <c r="D1247" t="s">
        <v>219</v>
      </c>
      <c r="G1247" s="1">
        <v>91</v>
      </c>
    </row>
    <row r="1248" spans="1:8">
      <c r="A1248">
        <v>113</v>
      </c>
      <c r="B1248" t="s">
        <v>520</v>
      </c>
      <c r="C1248">
        <v>42</v>
      </c>
      <c r="D1248" t="s">
        <v>220</v>
      </c>
      <c r="E1248" s="1">
        <v>2</v>
      </c>
      <c r="F1248" s="1" t="s">
        <v>512</v>
      </c>
      <c r="G1248" s="1">
        <v>80</v>
      </c>
      <c r="H1248" s="1" t="s">
        <v>512</v>
      </c>
    </row>
    <row r="1249" spans="1:8">
      <c r="A1249">
        <v>113</v>
      </c>
      <c r="B1249" t="s">
        <v>520</v>
      </c>
      <c r="C1249">
        <v>43</v>
      </c>
      <c r="D1249" t="s">
        <v>221</v>
      </c>
      <c r="G1249" s="1">
        <v>22</v>
      </c>
    </row>
    <row r="1250" spans="1:8">
      <c r="A1250">
        <v>113</v>
      </c>
      <c r="B1250" t="s">
        <v>520</v>
      </c>
      <c r="C1250">
        <v>43</v>
      </c>
      <c r="D1250" t="s">
        <v>221</v>
      </c>
      <c r="G1250" s="1">
        <v>40</v>
      </c>
    </row>
    <row r="1251" spans="1:8">
      <c r="A1251">
        <v>113</v>
      </c>
      <c r="B1251" t="s">
        <v>520</v>
      </c>
      <c r="C1251">
        <v>43</v>
      </c>
      <c r="D1251" t="s">
        <v>221</v>
      </c>
      <c r="G1251" s="1">
        <v>50</v>
      </c>
    </row>
    <row r="1252" spans="1:8">
      <c r="A1252">
        <v>113</v>
      </c>
      <c r="B1252" t="s">
        <v>520</v>
      </c>
      <c r="C1252">
        <v>43</v>
      </c>
      <c r="D1252" t="s">
        <v>221</v>
      </c>
      <c r="G1252" s="1">
        <v>60</v>
      </c>
    </row>
    <row r="1253" spans="1:8">
      <c r="A1253">
        <v>113</v>
      </c>
      <c r="B1253" t="s">
        <v>520</v>
      </c>
      <c r="C1253">
        <v>50</v>
      </c>
      <c r="D1253" t="s">
        <v>224</v>
      </c>
      <c r="G1253" s="1">
        <v>20</v>
      </c>
    </row>
    <row r="1254" spans="1:8">
      <c r="A1254">
        <v>113</v>
      </c>
      <c r="B1254" t="s">
        <v>520</v>
      </c>
      <c r="C1254">
        <v>57</v>
      </c>
      <c r="D1254" t="s">
        <v>183</v>
      </c>
      <c r="E1254" s="1">
        <v>3</v>
      </c>
      <c r="F1254" s="1" t="s">
        <v>338</v>
      </c>
      <c r="G1254" s="1">
        <v>60</v>
      </c>
      <c r="H1254" s="1" t="s">
        <v>338</v>
      </c>
    </row>
    <row r="1255" spans="1:8">
      <c r="A1255">
        <v>113</v>
      </c>
      <c r="B1255" t="s">
        <v>520</v>
      </c>
      <c r="C1255">
        <v>57</v>
      </c>
      <c r="D1255" t="s">
        <v>183</v>
      </c>
      <c r="G1255" s="1">
        <v>50</v>
      </c>
    </row>
    <row r="1256" spans="1:8">
      <c r="A1256">
        <v>113</v>
      </c>
      <c r="B1256" t="s">
        <v>520</v>
      </c>
      <c r="C1256">
        <v>57</v>
      </c>
      <c r="D1256" t="s">
        <v>183</v>
      </c>
      <c r="G1256" s="1">
        <v>60</v>
      </c>
    </row>
    <row r="1257" spans="1:8">
      <c r="A1257">
        <v>113</v>
      </c>
      <c r="B1257" t="s">
        <v>520</v>
      </c>
      <c r="C1257">
        <v>58</v>
      </c>
      <c r="D1257" t="s">
        <v>226</v>
      </c>
      <c r="E1257" s="1">
        <v>1</v>
      </c>
      <c r="F1257" s="1" t="s">
        <v>521</v>
      </c>
      <c r="G1257" s="1">
        <v>30</v>
      </c>
      <c r="H1257" s="1" t="s">
        <v>521</v>
      </c>
    </row>
    <row r="1258" spans="1:8">
      <c r="A1258">
        <v>113</v>
      </c>
      <c r="B1258" t="s">
        <v>520</v>
      </c>
      <c r="C1258">
        <v>58</v>
      </c>
      <c r="D1258" t="s">
        <v>226</v>
      </c>
      <c r="E1258" s="1">
        <v>2</v>
      </c>
      <c r="F1258" s="1" t="s">
        <v>518</v>
      </c>
      <c r="G1258" s="1">
        <v>40</v>
      </c>
      <c r="H1258" s="1" t="s">
        <v>518</v>
      </c>
    </row>
    <row r="1259" spans="1:8">
      <c r="A1259">
        <v>113</v>
      </c>
      <c r="B1259" t="s">
        <v>520</v>
      </c>
      <c r="C1259">
        <v>58</v>
      </c>
      <c r="D1259" t="s">
        <v>226</v>
      </c>
      <c r="E1259" s="1">
        <v>3</v>
      </c>
      <c r="F1259" s="1" t="s">
        <v>522</v>
      </c>
      <c r="G1259" s="1">
        <v>10</v>
      </c>
      <c r="H1259" s="1" t="s">
        <v>522</v>
      </c>
    </row>
    <row r="1260" spans="1:8">
      <c r="A1260">
        <v>113</v>
      </c>
      <c r="B1260" t="s">
        <v>520</v>
      </c>
      <c r="C1260">
        <v>58</v>
      </c>
      <c r="D1260" t="s">
        <v>226</v>
      </c>
      <c r="G1260" s="1">
        <v>30</v>
      </c>
    </row>
    <row r="1261" spans="1:8">
      <c r="A1261">
        <v>113</v>
      </c>
      <c r="B1261" t="s">
        <v>520</v>
      </c>
      <c r="C1261">
        <v>59</v>
      </c>
      <c r="D1261" t="s">
        <v>227</v>
      </c>
      <c r="E1261" s="1">
        <v>3</v>
      </c>
      <c r="F1261" s="1" t="s">
        <v>295</v>
      </c>
      <c r="G1261" s="1">
        <v>23</v>
      </c>
      <c r="H1261" s="1" t="s">
        <v>295</v>
      </c>
    </row>
    <row r="1262" spans="1:8">
      <c r="A1262">
        <v>113</v>
      </c>
      <c r="B1262" t="s">
        <v>520</v>
      </c>
      <c r="C1262">
        <v>59</v>
      </c>
      <c r="D1262" t="s">
        <v>227</v>
      </c>
      <c r="G1262" s="1">
        <v>23</v>
      </c>
    </row>
    <row r="1263" spans="1:8">
      <c r="A1263">
        <v>113</v>
      </c>
      <c r="B1263" t="s">
        <v>520</v>
      </c>
      <c r="C1263">
        <v>64</v>
      </c>
      <c r="D1263" t="s">
        <v>230</v>
      </c>
      <c r="G1263" s="1">
        <v>25</v>
      </c>
    </row>
    <row r="1264" spans="1:8">
      <c r="A1264">
        <v>113</v>
      </c>
      <c r="B1264" t="s">
        <v>520</v>
      </c>
      <c r="C1264">
        <v>64</v>
      </c>
      <c r="D1264" t="s">
        <v>230</v>
      </c>
      <c r="G1264" s="1">
        <v>30</v>
      </c>
    </row>
    <row r="1265" spans="1:8">
      <c r="A1265">
        <v>113</v>
      </c>
      <c r="B1265" t="s">
        <v>520</v>
      </c>
      <c r="C1265">
        <v>64</v>
      </c>
      <c r="D1265" t="s">
        <v>230</v>
      </c>
      <c r="G1265" s="1">
        <v>35</v>
      </c>
    </row>
    <row r="1266" spans="1:8">
      <c r="A1266">
        <v>113</v>
      </c>
      <c r="B1266" t="s">
        <v>520</v>
      </c>
      <c r="C1266">
        <v>68</v>
      </c>
      <c r="D1266" t="s">
        <v>233</v>
      </c>
      <c r="G1266" s="1">
        <v>35</v>
      </c>
    </row>
    <row r="1267" spans="1:8">
      <c r="A1267">
        <v>113</v>
      </c>
      <c r="B1267" t="s">
        <v>520</v>
      </c>
      <c r="C1267">
        <v>74</v>
      </c>
      <c r="D1267" t="s">
        <v>235</v>
      </c>
      <c r="E1267" s="1">
        <v>3</v>
      </c>
      <c r="F1267" s="1" t="s">
        <v>320</v>
      </c>
      <c r="G1267" s="1">
        <v>50</v>
      </c>
      <c r="H1267" s="1" t="s">
        <v>320</v>
      </c>
    </row>
    <row r="1268" spans="1:8">
      <c r="A1268">
        <v>113</v>
      </c>
      <c r="B1268" t="s">
        <v>520</v>
      </c>
      <c r="C1268">
        <v>74</v>
      </c>
      <c r="D1268" t="s">
        <v>235</v>
      </c>
      <c r="E1268" s="1">
        <v>3</v>
      </c>
      <c r="F1268" s="1" t="s">
        <v>321</v>
      </c>
      <c r="G1268" s="1">
        <v>60</v>
      </c>
      <c r="H1268" s="1" t="s">
        <v>321</v>
      </c>
    </row>
    <row r="1269" spans="1:8">
      <c r="A1269">
        <v>115</v>
      </c>
      <c r="B1269" t="s">
        <v>523</v>
      </c>
      <c r="C1269">
        <v>45</v>
      </c>
      <c r="D1269" t="s">
        <v>223</v>
      </c>
      <c r="E1269" s="1">
        <v>2</v>
      </c>
      <c r="F1269" s="1" t="s">
        <v>524</v>
      </c>
      <c r="G1269" s="1">
        <v>24</v>
      </c>
      <c r="H1269" s="1" t="s">
        <v>524</v>
      </c>
    </row>
    <row r="1270" spans="1:8">
      <c r="A1270">
        <v>116</v>
      </c>
      <c r="B1270" t="s">
        <v>525</v>
      </c>
      <c r="C1270">
        <v>1</v>
      </c>
      <c r="D1270" t="s">
        <v>137</v>
      </c>
      <c r="E1270" s="1">
        <v>1</v>
      </c>
      <c r="F1270" s="1" t="s">
        <v>147</v>
      </c>
      <c r="G1270" s="1">
        <v>72</v>
      </c>
      <c r="H1270" s="1" t="s">
        <v>147</v>
      </c>
    </row>
    <row r="1271" spans="1:8">
      <c r="A1271">
        <v>116</v>
      </c>
      <c r="B1271" t="s">
        <v>525</v>
      </c>
      <c r="C1271">
        <v>1</v>
      </c>
      <c r="D1271" t="s">
        <v>137</v>
      </c>
      <c r="E1271" s="1">
        <v>1</v>
      </c>
      <c r="F1271" s="1">
        <v>15</v>
      </c>
      <c r="G1271" s="1">
        <v>80</v>
      </c>
      <c r="H1271" s="1">
        <v>15</v>
      </c>
    </row>
    <row r="1272" spans="1:8">
      <c r="A1272">
        <v>116</v>
      </c>
      <c r="B1272" t="s">
        <v>525</v>
      </c>
      <c r="C1272">
        <v>1</v>
      </c>
      <c r="D1272" t="s">
        <v>137</v>
      </c>
      <c r="E1272" s="1">
        <v>1</v>
      </c>
      <c r="F1272" s="1" t="s">
        <v>150</v>
      </c>
      <c r="G1272" s="1">
        <v>82</v>
      </c>
      <c r="H1272" s="1" t="s">
        <v>150</v>
      </c>
    </row>
    <row r="1273" spans="1:8">
      <c r="A1273">
        <v>116</v>
      </c>
      <c r="B1273" t="s">
        <v>525</v>
      </c>
      <c r="C1273">
        <v>1</v>
      </c>
      <c r="D1273" t="s">
        <v>137</v>
      </c>
      <c r="E1273" s="1">
        <v>1</v>
      </c>
      <c r="F1273" s="1">
        <v>16</v>
      </c>
      <c r="G1273" s="1">
        <v>90</v>
      </c>
      <c r="H1273" s="1">
        <v>16</v>
      </c>
    </row>
    <row r="1274" spans="1:8">
      <c r="A1274">
        <v>116</v>
      </c>
      <c r="B1274" t="s">
        <v>525</v>
      </c>
      <c r="C1274">
        <v>1</v>
      </c>
      <c r="D1274" t="s">
        <v>137</v>
      </c>
      <c r="E1274" s="1">
        <v>1</v>
      </c>
      <c r="F1274" s="1" t="s">
        <v>153</v>
      </c>
      <c r="G1274" s="1">
        <v>92</v>
      </c>
      <c r="H1274" s="1" t="s">
        <v>153</v>
      </c>
    </row>
    <row r="1275" spans="1:8">
      <c r="A1275">
        <v>116</v>
      </c>
      <c r="B1275" t="s">
        <v>525</v>
      </c>
      <c r="C1275">
        <v>1</v>
      </c>
      <c r="D1275" t="s">
        <v>137</v>
      </c>
      <c r="E1275" s="1">
        <v>1</v>
      </c>
      <c r="F1275" s="1">
        <v>17</v>
      </c>
      <c r="G1275" s="1">
        <v>94</v>
      </c>
      <c r="H1275" s="1">
        <v>17</v>
      </c>
    </row>
    <row r="1276" spans="1:8">
      <c r="A1276">
        <v>116</v>
      </c>
      <c r="B1276" t="s">
        <v>525</v>
      </c>
      <c r="C1276">
        <v>1</v>
      </c>
      <c r="D1276" t="s">
        <v>137</v>
      </c>
      <c r="E1276" s="1">
        <v>1</v>
      </c>
      <c r="F1276" s="1" t="s">
        <v>156</v>
      </c>
      <c r="G1276" s="1">
        <v>96</v>
      </c>
      <c r="H1276" s="1" t="s">
        <v>156</v>
      </c>
    </row>
    <row r="1277" spans="1:8">
      <c r="A1277">
        <v>116</v>
      </c>
      <c r="B1277" t="s">
        <v>525</v>
      </c>
      <c r="C1277">
        <v>1</v>
      </c>
      <c r="D1277" t="s">
        <v>137</v>
      </c>
      <c r="E1277" s="1">
        <v>2</v>
      </c>
      <c r="F1277" s="1" t="s">
        <v>159</v>
      </c>
      <c r="G1277" s="1">
        <v>2</v>
      </c>
      <c r="H1277" s="1" t="s">
        <v>159</v>
      </c>
    </row>
    <row r="1278" spans="1:8">
      <c r="A1278">
        <v>116</v>
      </c>
      <c r="B1278" t="s">
        <v>525</v>
      </c>
      <c r="C1278">
        <v>1</v>
      </c>
      <c r="D1278" t="s">
        <v>137</v>
      </c>
      <c r="E1278" s="1">
        <v>2</v>
      </c>
      <c r="F1278" s="1">
        <v>19</v>
      </c>
      <c r="G1278" s="1">
        <v>10</v>
      </c>
      <c r="H1278" s="1">
        <v>19</v>
      </c>
    </row>
    <row r="1279" spans="1:8">
      <c r="A1279">
        <v>116</v>
      </c>
      <c r="B1279" t="s">
        <v>525</v>
      </c>
      <c r="C1279">
        <v>1</v>
      </c>
      <c r="D1279" t="s">
        <v>137</v>
      </c>
      <c r="E1279" s="1">
        <v>2</v>
      </c>
      <c r="F1279" s="1" t="s">
        <v>162</v>
      </c>
      <c r="G1279" s="1">
        <v>12</v>
      </c>
      <c r="H1279" s="1" t="s">
        <v>162</v>
      </c>
    </row>
    <row r="1280" spans="1:8">
      <c r="A1280">
        <v>116</v>
      </c>
      <c r="B1280" t="s">
        <v>525</v>
      </c>
      <c r="C1280">
        <v>1</v>
      </c>
      <c r="D1280" t="s">
        <v>137</v>
      </c>
      <c r="E1280" s="1">
        <v>2</v>
      </c>
      <c r="F1280" s="1">
        <v>20</v>
      </c>
      <c r="G1280" s="1">
        <v>20</v>
      </c>
      <c r="H1280" s="1">
        <v>20</v>
      </c>
    </row>
    <row r="1281" spans="1:8">
      <c r="A1281">
        <v>116</v>
      </c>
      <c r="B1281" t="s">
        <v>525</v>
      </c>
      <c r="C1281">
        <v>1</v>
      </c>
      <c r="D1281" t="s">
        <v>137</v>
      </c>
      <c r="E1281" s="1">
        <v>2</v>
      </c>
      <c r="F1281" s="1" t="s">
        <v>165</v>
      </c>
      <c r="G1281" s="1">
        <v>22</v>
      </c>
      <c r="H1281" s="1" t="s">
        <v>165</v>
      </c>
    </row>
    <row r="1282" spans="1:8">
      <c r="A1282">
        <v>116</v>
      </c>
      <c r="B1282" t="s">
        <v>525</v>
      </c>
      <c r="C1282">
        <v>1</v>
      </c>
      <c r="D1282" t="s">
        <v>137</v>
      </c>
      <c r="E1282" s="1">
        <v>2</v>
      </c>
      <c r="F1282" s="1">
        <v>21</v>
      </c>
      <c r="G1282" s="1">
        <v>30</v>
      </c>
      <c r="H1282" s="1">
        <v>21</v>
      </c>
    </row>
    <row r="1283" spans="1:8">
      <c r="A1283">
        <v>116</v>
      </c>
      <c r="B1283" t="s">
        <v>525</v>
      </c>
      <c r="C1283">
        <v>1</v>
      </c>
      <c r="D1283" t="s">
        <v>137</v>
      </c>
      <c r="E1283" s="1">
        <v>2</v>
      </c>
      <c r="F1283" s="1" t="s">
        <v>168</v>
      </c>
      <c r="G1283" s="1">
        <v>32</v>
      </c>
      <c r="H1283" s="1" t="s">
        <v>168</v>
      </c>
    </row>
    <row r="1284" spans="1:8">
      <c r="A1284">
        <v>116</v>
      </c>
      <c r="B1284" t="s">
        <v>525</v>
      </c>
      <c r="C1284">
        <v>1</v>
      </c>
      <c r="D1284" t="s">
        <v>137</v>
      </c>
      <c r="E1284" s="1">
        <v>2</v>
      </c>
      <c r="F1284" s="1">
        <v>22</v>
      </c>
      <c r="G1284" s="1">
        <v>40</v>
      </c>
      <c r="H1284" s="1">
        <v>22</v>
      </c>
    </row>
    <row r="1285" spans="1:8">
      <c r="A1285">
        <v>116</v>
      </c>
      <c r="B1285" t="s">
        <v>525</v>
      </c>
      <c r="C1285">
        <v>1</v>
      </c>
      <c r="D1285" t="s">
        <v>137</v>
      </c>
      <c r="E1285" s="1">
        <v>2</v>
      </c>
      <c r="F1285" s="1" t="s">
        <v>171</v>
      </c>
      <c r="G1285" s="1">
        <v>42</v>
      </c>
      <c r="H1285" s="1" t="s">
        <v>171</v>
      </c>
    </row>
    <row r="1286" spans="1:8">
      <c r="A1286">
        <v>116</v>
      </c>
      <c r="B1286" t="s">
        <v>525</v>
      </c>
      <c r="C1286">
        <v>1</v>
      </c>
      <c r="D1286" t="s">
        <v>137</v>
      </c>
      <c r="E1286" s="1">
        <v>2</v>
      </c>
      <c r="F1286" s="1">
        <v>23</v>
      </c>
      <c r="G1286" s="1">
        <v>50</v>
      </c>
      <c r="H1286" s="1">
        <v>23</v>
      </c>
    </row>
    <row r="1287" spans="1:8">
      <c r="A1287">
        <v>116</v>
      </c>
      <c r="B1287" t="s">
        <v>525</v>
      </c>
      <c r="C1287">
        <v>1</v>
      </c>
      <c r="D1287" t="s">
        <v>137</v>
      </c>
      <c r="E1287" s="1">
        <v>2</v>
      </c>
      <c r="F1287" s="1" t="s">
        <v>174</v>
      </c>
      <c r="G1287" s="1">
        <v>52</v>
      </c>
      <c r="H1287" s="1" t="s">
        <v>174</v>
      </c>
    </row>
    <row r="1288" spans="1:8">
      <c r="A1288">
        <v>116</v>
      </c>
      <c r="B1288" t="s">
        <v>525</v>
      </c>
      <c r="C1288">
        <v>1</v>
      </c>
      <c r="D1288" t="s">
        <v>137</v>
      </c>
      <c r="E1288" s="1">
        <v>2</v>
      </c>
      <c r="F1288" s="1">
        <v>24</v>
      </c>
      <c r="G1288" s="1">
        <v>60</v>
      </c>
      <c r="H1288" s="1">
        <v>24</v>
      </c>
    </row>
    <row r="1289" spans="1:8">
      <c r="A1289">
        <v>116</v>
      </c>
      <c r="B1289" t="s">
        <v>525</v>
      </c>
      <c r="C1289">
        <v>1</v>
      </c>
      <c r="D1289" t="s">
        <v>137</v>
      </c>
      <c r="E1289" s="1">
        <v>2</v>
      </c>
      <c r="F1289" s="1" t="s">
        <v>177</v>
      </c>
      <c r="G1289" s="1">
        <v>62</v>
      </c>
      <c r="H1289" s="1" t="s">
        <v>177</v>
      </c>
    </row>
    <row r="1290" spans="1:8">
      <c r="A1290">
        <v>116</v>
      </c>
      <c r="B1290" t="s">
        <v>525</v>
      </c>
      <c r="C1290">
        <v>1</v>
      </c>
      <c r="D1290" t="s">
        <v>137</v>
      </c>
      <c r="E1290" s="1">
        <v>2</v>
      </c>
      <c r="F1290" s="1" t="s">
        <v>180</v>
      </c>
      <c r="G1290" s="1">
        <v>72</v>
      </c>
      <c r="H1290" s="1" t="s">
        <v>180</v>
      </c>
    </row>
    <row r="1291" spans="1:8">
      <c r="A1291">
        <v>116</v>
      </c>
      <c r="B1291" t="s">
        <v>525</v>
      </c>
      <c r="C1291">
        <v>1</v>
      </c>
      <c r="D1291" t="s">
        <v>137</v>
      </c>
      <c r="E1291" s="1">
        <v>2</v>
      </c>
      <c r="F1291" s="1">
        <v>18</v>
      </c>
      <c r="H1291" s="1">
        <v>18</v>
      </c>
    </row>
    <row r="1292" spans="1:8">
      <c r="A1292">
        <v>116</v>
      </c>
      <c r="B1292" t="s">
        <v>525</v>
      </c>
      <c r="C1292">
        <v>5</v>
      </c>
      <c r="D1292" t="s">
        <v>183</v>
      </c>
      <c r="G1292" s="1">
        <v>50</v>
      </c>
    </row>
    <row r="1293" spans="1:8">
      <c r="A1293">
        <v>116</v>
      </c>
      <c r="B1293" t="s">
        <v>525</v>
      </c>
      <c r="C1293">
        <v>5</v>
      </c>
      <c r="D1293" t="s">
        <v>183</v>
      </c>
      <c r="G1293" s="1">
        <v>60</v>
      </c>
    </row>
    <row r="1294" spans="1:8">
      <c r="A1294">
        <v>116</v>
      </c>
      <c r="B1294" t="s">
        <v>525</v>
      </c>
      <c r="C1294">
        <v>11</v>
      </c>
      <c r="D1294" t="s">
        <v>186</v>
      </c>
      <c r="E1294" s="1">
        <v>1</v>
      </c>
      <c r="F1294" s="1" t="s">
        <v>192</v>
      </c>
      <c r="G1294" s="1">
        <v>2</v>
      </c>
      <c r="H1294" s="1" t="s">
        <v>192</v>
      </c>
    </row>
    <row r="1295" spans="1:8">
      <c r="A1295">
        <v>116</v>
      </c>
      <c r="B1295" t="s">
        <v>525</v>
      </c>
      <c r="C1295">
        <v>11</v>
      </c>
      <c r="D1295" t="s">
        <v>186</v>
      </c>
      <c r="E1295" s="1">
        <v>1</v>
      </c>
      <c r="F1295" s="1">
        <v>40</v>
      </c>
      <c r="G1295" s="1">
        <v>10</v>
      </c>
      <c r="H1295" s="1">
        <v>40</v>
      </c>
    </row>
    <row r="1296" spans="1:8">
      <c r="A1296">
        <v>116</v>
      </c>
      <c r="B1296" t="s">
        <v>525</v>
      </c>
      <c r="C1296">
        <v>11</v>
      </c>
      <c r="D1296" t="s">
        <v>186</v>
      </c>
      <c r="E1296" s="1">
        <v>1</v>
      </c>
      <c r="F1296" s="1" t="s">
        <v>193</v>
      </c>
      <c r="G1296" s="1">
        <v>12</v>
      </c>
      <c r="H1296" s="1" t="s">
        <v>193</v>
      </c>
    </row>
    <row r="1297" spans="1:8">
      <c r="A1297">
        <v>116</v>
      </c>
      <c r="B1297" t="s">
        <v>525</v>
      </c>
      <c r="C1297">
        <v>11</v>
      </c>
      <c r="D1297" t="s">
        <v>186</v>
      </c>
      <c r="E1297" s="1">
        <v>1</v>
      </c>
      <c r="F1297" s="1">
        <v>41</v>
      </c>
      <c r="G1297" s="1">
        <v>20</v>
      </c>
      <c r="H1297" s="1">
        <v>41</v>
      </c>
    </row>
    <row r="1298" spans="1:8">
      <c r="A1298">
        <v>116</v>
      </c>
      <c r="B1298" t="s">
        <v>525</v>
      </c>
      <c r="C1298">
        <v>11</v>
      </c>
      <c r="D1298" t="s">
        <v>186</v>
      </c>
      <c r="E1298" s="1">
        <v>1</v>
      </c>
      <c r="F1298" s="1" t="s">
        <v>194</v>
      </c>
      <c r="G1298" s="1">
        <v>22</v>
      </c>
      <c r="H1298" s="1" t="s">
        <v>194</v>
      </c>
    </row>
    <row r="1299" spans="1:8">
      <c r="A1299">
        <v>116</v>
      </c>
      <c r="B1299" t="s">
        <v>525</v>
      </c>
      <c r="C1299">
        <v>11</v>
      </c>
      <c r="D1299" t="s">
        <v>186</v>
      </c>
      <c r="E1299" s="1">
        <v>1</v>
      </c>
      <c r="F1299" s="1">
        <v>42</v>
      </c>
      <c r="G1299" s="1">
        <v>30</v>
      </c>
      <c r="H1299" s="1">
        <v>42</v>
      </c>
    </row>
    <row r="1300" spans="1:8">
      <c r="A1300">
        <v>116</v>
      </c>
      <c r="B1300" t="s">
        <v>525</v>
      </c>
      <c r="C1300">
        <v>11</v>
      </c>
      <c r="D1300" t="s">
        <v>186</v>
      </c>
      <c r="E1300" s="1">
        <v>1</v>
      </c>
      <c r="F1300" s="1" t="s">
        <v>195</v>
      </c>
      <c r="G1300" s="1">
        <v>32</v>
      </c>
      <c r="H1300" s="1" t="s">
        <v>195</v>
      </c>
    </row>
    <row r="1301" spans="1:8">
      <c r="A1301">
        <v>116</v>
      </c>
      <c r="B1301" t="s">
        <v>525</v>
      </c>
      <c r="C1301">
        <v>11</v>
      </c>
      <c r="D1301" t="s">
        <v>186</v>
      </c>
      <c r="E1301" s="1">
        <v>1</v>
      </c>
      <c r="F1301" s="1">
        <v>43</v>
      </c>
      <c r="G1301" s="1">
        <v>40</v>
      </c>
      <c r="H1301" s="1">
        <v>43</v>
      </c>
    </row>
    <row r="1302" spans="1:8">
      <c r="A1302">
        <v>116</v>
      </c>
      <c r="B1302" t="s">
        <v>525</v>
      </c>
      <c r="C1302">
        <v>11</v>
      </c>
      <c r="D1302" t="s">
        <v>186</v>
      </c>
      <c r="E1302" s="1">
        <v>1</v>
      </c>
      <c r="F1302" s="1" t="s">
        <v>196</v>
      </c>
      <c r="G1302" s="1">
        <v>42</v>
      </c>
      <c r="H1302" s="1" t="s">
        <v>196</v>
      </c>
    </row>
    <row r="1303" spans="1:8">
      <c r="A1303">
        <v>116</v>
      </c>
      <c r="B1303" t="s">
        <v>525</v>
      </c>
      <c r="C1303">
        <v>11</v>
      </c>
      <c r="D1303" t="s">
        <v>186</v>
      </c>
      <c r="E1303" s="1">
        <v>1</v>
      </c>
      <c r="F1303" s="1">
        <v>44</v>
      </c>
      <c r="G1303" s="1">
        <v>50</v>
      </c>
      <c r="H1303" s="1">
        <v>44</v>
      </c>
    </row>
    <row r="1304" spans="1:8">
      <c r="A1304">
        <v>116</v>
      </c>
      <c r="B1304" t="s">
        <v>525</v>
      </c>
      <c r="C1304">
        <v>11</v>
      </c>
      <c r="D1304" t="s">
        <v>186</v>
      </c>
      <c r="E1304" s="1">
        <v>1</v>
      </c>
      <c r="F1304" s="1" t="s">
        <v>197</v>
      </c>
      <c r="G1304" s="1">
        <v>52</v>
      </c>
      <c r="H1304" s="1" t="s">
        <v>197</v>
      </c>
    </row>
    <row r="1305" spans="1:8">
      <c r="A1305">
        <v>116</v>
      </c>
      <c r="B1305" t="s">
        <v>525</v>
      </c>
      <c r="C1305">
        <v>11</v>
      </c>
      <c r="D1305" t="s">
        <v>186</v>
      </c>
      <c r="E1305" s="1">
        <v>1</v>
      </c>
      <c r="F1305" s="1">
        <v>45</v>
      </c>
      <c r="G1305" s="1">
        <v>60</v>
      </c>
      <c r="H1305" s="1">
        <v>45</v>
      </c>
    </row>
    <row r="1306" spans="1:8">
      <c r="A1306">
        <v>116</v>
      </c>
      <c r="B1306" t="s">
        <v>525</v>
      </c>
      <c r="C1306">
        <v>11</v>
      </c>
      <c r="D1306" t="s">
        <v>186</v>
      </c>
      <c r="E1306" s="1">
        <v>1</v>
      </c>
      <c r="F1306" s="1" t="s">
        <v>198</v>
      </c>
      <c r="G1306" s="1">
        <v>62</v>
      </c>
      <c r="H1306" s="1" t="s">
        <v>198</v>
      </c>
    </row>
    <row r="1307" spans="1:8">
      <c r="A1307">
        <v>116</v>
      </c>
      <c r="B1307" t="s">
        <v>525</v>
      </c>
      <c r="C1307">
        <v>11</v>
      </c>
      <c r="D1307" t="s">
        <v>186</v>
      </c>
      <c r="E1307" s="1">
        <v>1</v>
      </c>
      <c r="F1307" s="1" t="s">
        <v>199</v>
      </c>
      <c r="G1307" s="1">
        <v>72</v>
      </c>
      <c r="H1307" s="1" t="s">
        <v>199</v>
      </c>
    </row>
    <row r="1308" spans="1:8">
      <c r="A1308">
        <v>116</v>
      </c>
      <c r="B1308" t="s">
        <v>525</v>
      </c>
      <c r="C1308">
        <v>11</v>
      </c>
      <c r="D1308" t="s">
        <v>186</v>
      </c>
      <c r="E1308" s="1">
        <v>1</v>
      </c>
      <c r="F1308" s="1">
        <v>39</v>
      </c>
      <c r="H1308" s="1">
        <v>39</v>
      </c>
    </row>
    <row r="1309" spans="1:8">
      <c r="A1309">
        <v>116</v>
      </c>
      <c r="B1309" t="s">
        <v>525</v>
      </c>
      <c r="C1309">
        <v>11</v>
      </c>
      <c r="D1309" t="s">
        <v>186</v>
      </c>
      <c r="G1309" s="1">
        <v>96</v>
      </c>
    </row>
    <row r="1310" spans="1:8">
      <c r="A1310">
        <v>116</v>
      </c>
      <c r="B1310" t="s">
        <v>525</v>
      </c>
      <c r="C1310">
        <v>12</v>
      </c>
      <c r="D1310" t="s">
        <v>107</v>
      </c>
      <c r="E1310" s="1">
        <v>1</v>
      </c>
      <c r="F1310" s="1">
        <v>42</v>
      </c>
      <c r="G1310" s="1">
        <v>30</v>
      </c>
      <c r="H1310" s="1">
        <v>42</v>
      </c>
    </row>
    <row r="1311" spans="1:8">
      <c r="A1311">
        <v>116</v>
      </c>
      <c r="B1311" t="s">
        <v>525</v>
      </c>
      <c r="C1311">
        <v>12</v>
      </c>
      <c r="D1311" t="s">
        <v>107</v>
      </c>
      <c r="E1311" s="1">
        <v>1</v>
      </c>
      <c r="F1311" s="1" t="s">
        <v>195</v>
      </c>
      <c r="G1311" s="1">
        <v>32</v>
      </c>
      <c r="H1311" s="1" t="s">
        <v>195</v>
      </c>
    </row>
    <row r="1312" spans="1:8">
      <c r="A1312">
        <v>116</v>
      </c>
      <c r="B1312" t="s">
        <v>525</v>
      </c>
      <c r="C1312">
        <v>12</v>
      </c>
      <c r="D1312" t="s">
        <v>107</v>
      </c>
      <c r="E1312" s="1">
        <v>1</v>
      </c>
      <c r="F1312" s="1">
        <v>43</v>
      </c>
      <c r="G1312" s="1">
        <v>40</v>
      </c>
      <c r="H1312" s="1">
        <v>43</v>
      </c>
    </row>
    <row r="1313" spans="1:8">
      <c r="A1313">
        <v>116</v>
      </c>
      <c r="B1313" t="s">
        <v>525</v>
      </c>
      <c r="C1313">
        <v>12</v>
      </c>
      <c r="D1313" t="s">
        <v>107</v>
      </c>
      <c r="E1313" s="1">
        <v>1</v>
      </c>
      <c r="F1313" s="1" t="s">
        <v>196</v>
      </c>
      <c r="G1313" s="1">
        <v>42</v>
      </c>
      <c r="H1313" s="1" t="s">
        <v>196</v>
      </c>
    </row>
    <row r="1314" spans="1:8">
      <c r="A1314">
        <v>116</v>
      </c>
      <c r="B1314" t="s">
        <v>525</v>
      </c>
      <c r="C1314">
        <v>12</v>
      </c>
      <c r="D1314" t="s">
        <v>107</v>
      </c>
      <c r="E1314" s="1">
        <v>1</v>
      </c>
      <c r="F1314" s="1">
        <v>44</v>
      </c>
      <c r="G1314" s="1">
        <v>50</v>
      </c>
      <c r="H1314" s="1">
        <v>44</v>
      </c>
    </row>
    <row r="1315" spans="1:8">
      <c r="A1315">
        <v>116</v>
      </c>
      <c r="B1315" t="s">
        <v>525</v>
      </c>
      <c r="C1315">
        <v>12</v>
      </c>
      <c r="D1315" t="s">
        <v>107</v>
      </c>
      <c r="E1315" s="1">
        <v>1</v>
      </c>
      <c r="F1315" s="1" t="s">
        <v>197</v>
      </c>
      <c r="G1315" s="1">
        <v>52</v>
      </c>
      <c r="H1315" s="1" t="s">
        <v>197</v>
      </c>
    </row>
    <row r="1316" spans="1:8">
      <c r="A1316">
        <v>116</v>
      </c>
      <c r="B1316" t="s">
        <v>525</v>
      </c>
      <c r="C1316">
        <v>12</v>
      </c>
      <c r="D1316" t="s">
        <v>107</v>
      </c>
      <c r="E1316" s="1">
        <v>1</v>
      </c>
      <c r="F1316" s="1" t="s">
        <v>198</v>
      </c>
      <c r="G1316" s="1">
        <v>62</v>
      </c>
      <c r="H1316" s="1" t="s">
        <v>198</v>
      </c>
    </row>
    <row r="1317" spans="1:8">
      <c r="A1317">
        <v>116</v>
      </c>
      <c r="B1317" t="s">
        <v>525</v>
      </c>
      <c r="C1317">
        <v>13</v>
      </c>
      <c r="D1317" t="s">
        <v>200</v>
      </c>
      <c r="E1317" s="1">
        <v>1</v>
      </c>
      <c r="F1317" s="1" t="s">
        <v>194</v>
      </c>
      <c r="G1317" s="1">
        <v>22</v>
      </c>
      <c r="H1317" s="1" t="s">
        <v>194</v>
      </c>
    </row>
    <row r="1318" spans="1:8">
      <c r="A1318">
        <v>116</v>
      </c>
      <c r="B1318" t="s">
        <v>525</v>
      </c>
      <c r="C1318">
        <v>13</v>
      </c>
      <c r="D1318" t="s">
        <v>200</v>
      </c>
      <c r="E1318" s="1">
        <v>1</v>
      </c>
      <c r="F1318" s="1">
        <v>42</v>
      </c>
      <c r="G1318" s="1">
        <v>30</v>
      </c>
      <c r="H1318" s="1">
        <v>42</v>
      </c>
    </row>
    <row r="1319" spans="1:8">
      <c r="A1319">
        <v>116</v>
      </c>
      <c r="B1319" t="s">
        <v>525</v>
      </c>
      <c r="C1319">
        <v>13</v>
      </c>
      <c r="D1319" t="s">
        <v>200</v>
      </c>
      <c r="E1319" s="1">
        <v>1</v>
      </c>
      <c r="F1319" s="1" t="s">
        <v>195</v>
      </c>
      <c r="G1319" s="1">
        <v>32</v>
      </c>
      <c r="H1319" s="1" t="s">
        <v>195</v>
      </c>
    </row>
    <row r="1320" spans="1:8">
      <c r="A1320">
        <v>116</v>
      </c>
      <c r="B1320" t="s">
        <v>525</v>
      </c>
      <c r="C1320">
        <v>13</v>
      </c>
      <c r="D1320" t="s">
        <v>200</v>
      </c>
      <c r="E1320" s="1">
        <v>1</v>
      </c>
      <c r="F1320" s="1" t="s">
        <v>196</v>
      </c>
      <c r="G1320" s="1">
        <v>42</v>
      </c>
      <c r="H1320" s="1" t="s">
        <v>196</v>
      </c>
    </row>
    <row r="1321" spans="1:8">
      <c r="A1321">
        <v>116</v>
      </c>
      <c r="B1321" t="s">
        <v>525</v>
      </c>
      <c r="C1321">
        <v>13</v>
      </c>
      <c r="D1321" t="s">
        <v>200</v>
      </c>
      <c r="E1321" s="1">
        <v>1</v>
      </c>
      <c r="F1321" s="1">
        <v>44</v>
      </c>
      <c r="G1321" s="1">
        <v>50</v>
      </c>
      <c r="H1321" s="1">
        <v>44</v>
      </c>
    </row>
    <row r="1322" spans="1:8">
      <c r="A1322">
        <v>116</v>
      </c>
      <c r="B1322" t="s">
        <v>525</v>
      </c>
      <c r="C1322">
        <v>13</v>
      </c>
      <c r="D1322" t="s">
        <v>200</v>
      </c>
      <c r="E1322" s="1">
        <v>1</v>
      </c>
      <c r="F1322" s="1" t="s">
        <v>197</v>
      </c>
      <c r="G1322" s="1">
        <v>52</v>
      </c>
      <c r="H1322" s="1" t="s">
        <v>197</v>
      </c>
    </row>
    <row r="1323" spans="1:8">
      <c r="A1323">
        <v>116</v>
      </c>
      <c r="B1323" t="s">
        <v>525</v>
      </c>
      <c r="C1323">
        <v>15</v>
      </c>
      <c r="D1323" t="s">
        <v>201</v>
      </c>
      <c r="E1323" s="1">
        <v>1</v>
      </c>
      <c r="F1323" s="1" t="s">
        <v>489</v>
      </c>
      <c r="G1323" s="1">
        <v>70</v>
      </c>
      <c r="H1323" s="1" t="s">
        <v>489</v>
      </c>
    </row>
    <row r="1324" spans="1:8">
      <c r="A1324">
        <v>116</v>
      </c>
      <c r="B1324" t="s">
        <v>525</v>
      </c>
      <c r="C1324">
        <v>15</v>
      </c>
      <c r="D1324" t="s">
        <v>201</v>
      </c>
      <c r="E1324" s="1">
        <v>4</v>
      </c>
      <c r="F1324" s="1" t="s">
        <v>286</v>
      </c>
      <c r="G1324" s="1">
        <v>70</v>
      </c>
      <c r="H1324" s="1" t="s">
        <v>286</v>
      </c>
    </row>
    <row r="1325" spans="1:8">
      <c r="A1325">
        <v>116</v>
      </c>
      <c r="B1325" t="s">
        <v>525</v>
      </c>
      <c r="C1325">
        <v>21</v>
      </c>
      <c r="D1325" t="s">
        <v>205</v>
      </c>
      <c r="E1325" s="1">
        <v>1</v>
      </c>
      <c r="F1325" s="1" t="s">
        <v>347</v>
      </c>
      <c r="G1325" s="1">
        <v>10</v>
      </c>
      <c r="H1325" s="1" t="s">
        <v>347</v>
      </c>
    </row>
    <row r="1326" spans="1:8">
      <c r="A1326">
        <v>116</v>
      </c>
      <c r="B1326" t="s">
        <v>525</v>
      </c>
      <c r="C1326">
        <v>21</v>
      </c>
      <c r="D1326" t="s">
        <v>205</v>
      </c>
      <c r="E1326" s="1">
        <v>1</v>
      </c>
      <c r="F1326" s="1" t="s">
        <v>328</v>
      </c>
      <c r="G1326" s="1">
        <v>20</v>
      </c>
      <c r="H1326" s="1" t="s">
        <v>328</v>
      </c>
    </row>
    <row r="1327" spans="1:8">
      <c r="A1327">
        <v>116</v>
      </c>
      <c r="B1327" t="s">
        <v>525</v>
      </c>
      <c r="C1327">
        <v>21</v>
      </c>
      <c r="D1327" t="s">
        <v>205</v>
      </c>
      <c r="E1327" s="1">
        <v>1</v>
      </c>
      <c r="F1327" s="1" t="s">
        <v>395</v>
      </c>
      <c r="G1327" s="1">
        <v>22</v>
      </c>
      <c r="H1327" s="1" t="s">
        <v>395</v>
      </c>
    </row>
    <row r="1328" spans="1:8">
      <c r="A1328">
        <v>116</v>
      </c>
      <c r="B1328" t="s">
        <v>525</v>
      </c>
      <c r="C1328">
        <v>21</v>
      </c>
      <c r="D1328" t="s">
        <v>205</v>
      </c>
      <c r="E1328" s="1">
        <v>1</v>
      </c>
      <c r="F1328" s="1" t="s">
        <v>329</v>
      </c>
      <c r="G1328" s="1">
        <v>30</v>
      </c>
      <c r="H1328" s="1" t="s">
        <v>329</v>
      </c>
    </row>
    <row r="1329" spans="1:8">
      <c r="A1329">
        <v>116</v>
      </c>
      <c r="B1329" t="s">
        <v>525</v>
      </c>
      <c r="C1329">
        <v>21</v>
      </c>
      <c r="D1329" t="s">
        <v>205</v>
      </c>
      <c r="E1329" s="1">
        <v>1</v>
      </c>
      <c r="F1329" s="1" t="s">
        <v>323</v>
      </c>
      <c r="G1329" s="1">
        <v>32</v>
      </c>
      <c r="H1329" s="1" t="s">
        <v>323</v>
      </c>
    </row>
    <row r="1330" spans="1:8">
      <c r="A1330">
        <v>116</v>
      </c>
      <c r="B1330" t="s">
        <v>525</v>
      </c>
      <c r="C1330">
        <v>21</v>
      </c>
      <c r="D1330" t="s">
        <v>205</v>
      </c>
      <c r="E1330" s="1">
        <v>1</v>
      </c>
      <c r="F1330" s="1" t="s">
        <v>332</v>
      </c>
      <c r="G1330" s="1">
        <v>40</v>
      </c>
      <c r="H1330" s="1" t="s">
        <v>332</v>
      </c>
    </row>
    <row r="1331" spans="1:8">
      <c r="A1331">
        <v>116</v>
      </c>
      <c r="B1331" t="s">
        <v>525</v>
      </c>
      <c r="C1331">
        <v>21</v>
      </c>
      <c r="D1331" t="s">
        <v>205</v>
      </c>
      <c r="E1331" s="1">
        <v>1</v>
      </c>
      <c r="F1331" s="1" t="s">
        <v>330</v>
      </c>
      <c r="G1331" s="1">
        <v>42</v>
      </c>
      <c r="H1331" s="1" t="s">
        <v>330</v>
      </c>
    </row>
    <row r="1332" spans="1:8">
      <c r="A1332">
        <v>116</v>
      </c>
      <c r="B1332" t="s">
        <v>525</v>
      </c>
      <c r="C1332">
        <v>21</v>
      </c>
      <c r="D1332" t="s">
        <v>205</v>
      </c>
      <c r="E1332" s="1">
        <v>1</v>
      </c>
      <c r="F1332" s="1" t="s">
        <v>331</v>
      </c>
      <c r="G1332" s="1">
        <v>50</v>
      </c>
      <c r="H1332" s="1" t="s">
        <v>331</v>
      </c>
    </row>
    <row r="1333" spans="1:8">
      <c r="A1333">
        <v>116</v>
      </c>
      <c r="B1333" t="s">
        <v>525</v>
      </c>
      <c r="C1333">
        <v>21</v>
      </c>
      <c r="D1333" t="s">
        <v>205</v>
      </c>
      <c r="E1333" s="1">
        <v>1</v>
      </c>
      <c r="F1333" s="1" t="s">
        <v>287</v>
      </c>
      <c r="G1333" s="1">
        <v>52</v>
      </c>
      <c r="H1333" s="1" t="s">
        <v>287</v>
      </c>
    </row>
    <row r="1334" spans="1:8">
      <c r="A1334">
        <v>116</v>
      </c>
      <c r="B1334" t="s">
        <v>525</v>
      </c>
      <c r="C1334">
        <v>21</v>
      </c>
      <c r="D1334" t="s">
        <v>205</v>
      </c>
      <c r="E1334" s="1">
        <v>1</v>
      </c>
      <c r="F1334" s="1" t="s">
        <v>288</v>
      </c>
      <c r="G1334" s="1">
        <v>62</v>
      </c>
      <c r="H1334" s="1" t="s">
        <v>288</v>
      </c>
    </row>
    <row r="1335" spans="1:8">
      <c r="A1335">
        <v>116</v>
      </c>
      <c r="B1335" t="s">
        <v>525</v>
      </c>
      <c r="C1335">
        <v>21</v>
      </c>
      <c r="D1335" t="s">
        <v>205</v>
      </c>
      <c r="E1335" s="1">
        <v>1</v>
      </c>
      <c r="F1335" s="1" t="s">
        <v>284</v>
      </c>
      <c r="H1335" s="1" t="s">
        <v>284</v>
      </c>
    </row>
    <row r="1336" spans="1:8">
      <c r="A1336">
        <v>116</v>
      </c>
      <c r="B1336" t="s">
        <v>525</v>
      </c>
      <c r="C1336">
        <v>21</v>
      </c>
      <c r="D1336" t="s">
        <v>205</v>
      </c>
      <c r="G1336" s="1">
        <v>90</v>
      </c>
    </row>
    <row r="1337" spans="1:8">
      <c r="A1337">
        <v>116</v>
      </c>
      <c r="B1337" t="s">
        <v>525</v>
      </c>
      <c r="C1337">
        <v>22</v>
      </c>
      <c r="D1337" t="s">
        <v>206</v>
      </c>
      <c r="E1337" s="1">
        <v>1</v>
      </c>
      <c r="F1337" s="1" t="s">
        <v>347</v>
      </c>
      <c r="G1337" s="1">
        <v>10</v>
      </c>
      <c r="H1337" s="1" t="s">
        <v>347</v>
      </c>
    </row>
    <row r="1338" spans="1:8">
      <c r="A1338">
        <v>116</v>
      </c>
      <c r="B1338" t="s">
        <v>525</v>
      </c>
      <c r="C1338">
        <v>22</v>
      </c>
      <c r="D1338" t="s">
        <v>206</v>
      </c>
      <c r="E1338" s="1">
        <v>1</v>
      </c>
      <c r="F1338" s="1" t="s">
        <v>328</v>
      </c>
      <c r="G1338" s="1">
        <v>20</v>
      </c>
      <c r="H1338" s="1" t="s">
        <v>328</v>
      </c>
    </row>
    <row r="1339" spans="1:8">
      <c r="A1339">
        <v>116</v>
      </c>
      <c r="B1339" t="s">
        <v>525</v>
      </c>
      <c r="C1339">
        <v>22</v>
      </c>
      <c r="D1339" t="s">
        <v>206</v>
      </c>
      <c r="E1339" s="1">
        <v>1</v>
      </c>
      <c r="F1339" s="1" t="s">
        <v>329</v>
      </c>
      <c r="G1339" s="1">
        <v>30</v>
      </c>
      <c r="H1339" s="1" t="s">
        <v>329</v>
      </c>
    </row>
    <row r="1340" spans="1:8">
      <c r="A1340">
        <v>116</v>
      </c>
      <c r="B1340" t="s">
        <v>525</v>
      </c>
      <c r="C1340">
        <v>22</v>
      </c>
      <c r="D1340" t="s">
        <v>206</v>
      </c>
      <c r="E1340" s="1">
        <v>1</v>
      </c>
      <c r="F1340" s="1" t="s">
        <v>323</v>
      </c>
      <c r="G1340" s="1">
        <v>32</v>
      </c>
      <c r="H1340" s="1" t="s">
        <v>323</v>
      </c>
    </row>
    <row r="1341" spans="1:8">
      <c r="A1341">
        <v>116</v>
      </c>
      <c r="B1341" t="s">
        <v>525</v>
      </c>
      <c r="C1341">
        <v>22</v>
      </c>
      <c r="D1341" t="s">
        <v>206</v>
      </c>
      <c r="E1341" s="1">
        <v>1</v>
      </c>
      <c r="F1341" s="1" t="s">
        <v>332</v>
      </c>
      <c r="G1341" s="1">
        <v>40</v>
      </c>
      <c r="H1341" s="1" t="s">
        <v>332</v>
      </c>
    </row>
    <row r="1342" spans="1:8">
      <c r="A1342">
        <v>116</v>
      </c>
      <c r="B1342" t="s">
        <v>525</v>
      </c>
      <c r="C1342">
        <v>22</v>
      </c>
      <c r="D1342" t="s">
        <v>206</v>
      </c>
      <c r="E1342" s="1">
        <v>1</v>
      </c>
      <c r="F1342" s="1" t="s">
        <v>330</v>
      </c>
      <c r="G1342" s="1">
        <v>42</v>
      </c>
      <c r="H1342" s="1" t="s">
        <v>330</v>
      </c>
    </row>
    <row r="1343" spans="1:8">
      <c r="A1343">
        <v>116</v>
      </c>
      <c r="B1343" t="s">
        <v>525</v>
      </c>
      <c r="C1343">
        <v>22</v>
      </c>
      <c r="D1343" t="s">
        <v>206</v>
      </c>
      <c r="E1343" s="1">
        <v>1</v>
      </c>
      <c r="F1343" s="1" t="s">
        <v>331</v>
      </c>
      <c r="G1343" s="1">
        <v>50</v>
      </c>
      <c r="H1343" s="1" t="s">
        <v>331</v>
      </c>
    </row>
    <row r="1344" spans="1:8">
      <c r="A1344">
        <v>116</v>
      </c>
      <c r="B1344" t="s">
        <v>525</v>
      </c>
      <c r="C1344">
        <v>22</v>
      </c>
      <c r="D1344" t="s">
        <v>206</v>
      </c>
      <c r="E1344" s="1">
        <v>1</v>
      </c>
      <c r="F1344" s="1" t="s">
        <v>287</v>
      </c>
      <c r="G1344" s="1">
        <v>52</v>
      </c>
      <c r="H1344" s="1" t="s">
        <v>287</v>
      </c>
    </row>
    <row r="1345" spans="1:8">
      <c r="A1345">
        <v>116</v>
      </c>
      <c r="B1345" t="s">
        <v>525</v>
      </c>
      <c r="C1345">
        <v>22</v>
      </c>
      <c r="D1345" t="s">
        <v>206</v>
      </c>
      <c r="E1345" s="1">
        <v>1</v>
      </c>
      <c r="F1345" s="1" t="s">
        <v>288</v>
      </c>
      <c r="G1345" s="1">
        <v>62</v>
      </c>
      <c r="H1345" s="1" t="s">
        <v>288</v>
      </c>
    </row>
    <row r="1346" spans="1:8">
      <c r="A1346">
        <v>116</v>
      </c>
      <c r="B1346" t="s">
        <v>525</v>
      </c>
      <c r="C1346">
        <v>22</v>
      </c>
      <c r="D1346" t="s">
        <v>206</v>
      </c>
      <c r="E1346" s="1">
        <v>1</v>
      </c>
      <c r="F1346" s="1" t="s">
        <v>284</v>
      </c>
      <c r="H1346" s="1" t="s">
        <v>284</v>
      </c>
    </row>
    <row r="1347" spans="1:8">
      <c r="A1347">
        <v>116</v>
      </c>
      <c r="B1347" t="s">
        <v>525</v>
      </c>
      <c r="C1347">
        <v>25</v>
      </c>
      <c r="D1347" t="s">
        <v>209</v>
      </c>
      <c r="E1347" s="1">
        <v>1</v>
      </c>
      <c r="F1347" s="1" t="s">
        <v>287</v>
      </c>
      <c r="G1347" s="1">
        <v>52</v>
      </c>
      <c r="H1347" s="1" t="s">
        <v>287</v>
      </c>
    </row>
    <row r="1348" spans="1:8">
      <c r="A1348">
        <v>116</v>
      </c>
      <c r="B1348" t="s">
        <v>525</v>
      </c>
      <c r="C1348">
        <v>25</v>
      </c>
      <c r="D1348" t="s">
        <v>209</v>
      </c>
      <c r="E1348" s="1">
        <v>1</v>
      </c>
      <c r="F1348" s="1" t="s">
        <v>288</v>
      </c>
      <c r="G1348" s="1">
        <v>62</v>
      </c>
      <c r="H1348" s="1" t="s">
        <v>288</v>
      </c>
    </row>
    <row r="1349" spans="1:8">
      <c r="A1349">
        <v>116</v>
      </c>
      <c r="B1349" t="s">
        <v>525</v>
      </c>
      <c r="C1349">
        <v>42</v>
      </c>
      <c r="D1349" t="s">
        <v>220</v>
      </c>
      <c r="E1349" s="1">
        <v>1</v>
      </c>
      <c r="F1349" s="1" t="s">
        <v>526</v>
      </c>
      <c r="G1349" s="1">
        <v>60</v>
      </c>
      <c r="H1349" s="1" t="s">
        <v>526</v>
      </c>
    </row>
    <row r="1350" spans="1:8">
      <c r="A1350">
        <v>116</v>
      </c>
      <c r="B1350" t="s">
        <v>525</v>
      </c>
      <c r="C1350">
        <v>42</v>
      </c>
      <c r="D1350" t="s">
        <v>220</v>
      </c>
      <c r="E1350" s="1">
        <v>2</v>
      </c>
      <c r="F1350" s="1" t="s">
        <v>512</v>
      </c>
      <c r="G1350" s="1">
        <v>80</v>
      </c>
      <c r="H1350" s="1" t="s">
        <v>512</v>
      </c>
    </row>
    <row r="1351" spans="1:8">
      <c r="A1351">
        <v>116</v>
      </c>
      <c r="B1351" t="s">
        <v>525</v>
      </c>
      <c r="C1351">
        <v>57</v>
      </c>
      <c r="D1351" t="s">
        <v>183</v>
      </c>
      <c r="E1351" s="1">
        <v>3</v>
      </c>
      <c r="F1351" s="1" t="s">
        <v>492</v>
      </c>
      <c r="G1351" s="1">
        <v>50</v>
      </c>
      <c r="H1351" s="1" t="s">
        <v>492</v>
      </c>
    </row>
    <row r="1352" spans="1:8">
      <c r="A1352">
        <v>116</v>
      </c>
      <c r="B1352" t="s">
        <v>525</v>
      </c>
      <c r="C1352">
        <v>57</v>
      </c>
      <c r="D1352" t="s">
        <v>183</v>
      </c>
      <c r="E1352" s="1">
        <v>3</v>
      </c>
      <c r="F1352" s="1" t="s">
        <v>338</v>
      </c>
      <c r="G1352" s="1">
        <v>60</v>
      </c>
      <c r="H1352" s="1" t="s">
        <v>338</v>
      </c>
    </row>
    <row r="1353" spans="1:8">
      <c r="A1353">
        <v>116</v>
      </c>
      <c r="B1353" t="s">
        <v>525</v>
      </c>
      <c r="C1353">
        <v>57</v>
      </c>
      <c r="D1353" t="s">
        <v>183</v>
      </c>
      <c r="G1353" s="1">
        <v>50</v>
      </c>
    </row>
    <row r="1354" spans="1:8">
      <c r="A1354">
        <v>116</v>
      </c>
      <c r="B1354" t="s">
        <v>525</v>
      </c>
      <c r="C1354">
        <v>57</v>
      </c>
      <c r="D1354" t="s">
        <v>183</v>
      </c>
      <c r="G1354" s="1">
        <v>60</v>
      </c>
    </row>
    <row r="1355" spans="1:8">
      <c r="A1355">
        <v>116</v>
      </c>
      <c r="B1355" t="s">
        <v>525</v>
      </c>
      <c r="C1355">
        <v>74</v>
      </c>
      <c r="D1355" t="s">
        <v>235</v>
      </c>
      <c r="E1355" s="1">
        <v>3</v>
      </c>
      <c r="F1355" s="1" t="s">
        <v>320</v>
      </c>
      <c r="G1355" s="1">
        <v>50</v>
      </c>
      <c r="H1355" s="1" t="s">
        <v>320</v>
      </c>
    </row>
    <row r="1356" spans="1:8">
      <c r="A1356">
        <v>116</v>
      </c>
      <c r="B1356" t="s">
        <v>525</v>
      </c>
      <c r="C1356">
        <v>74</v>
      </c>
      <c r="D1356" t="s">
        <v>235</v>
      </c>
      <c r="E1356" s="1">
        <v>3</v>
      </c>
      <c r="F1356" s="1" t="s">
        <v>321</v>
      </c>
      <c r="G1356" s="1">
        <v>60</v>
      </c>
      <c r="H1356" s="1" t="s">
        <v>321</v>
      </c>
    </row>
    <row r="1357" spans="1:8">
      <c r="A1357">
        <v>116</v>
      </c>
      <c r="B1357" t="s">
        <v>525</v>
      </c>
      <c r="C1357">
        <v>82</v>
      </c>
      <c r="D1357" t="s">
        <v>239</v>
      </c>
      <c r="G1357" s="1">
        <v>10</v>
      </c>
    </row>
    <row r="1358" spans="1:8">
      <c r="A1358">
        <v>116</v>
      </c>
      <c r="B1358" t="s">
        <v>525</v>
      </c>
      <c r="C1358">
        <v>82</v>
      </c>
      <c r="D1358" t="s">
        <v>239</v>
      </c>
      <c r="G1358" s="1">
        <v>18</v>
      </c>
    </row>
    <row r="1359" spans="1:8">
      <c r="A1359">
        <v>116</v>
      </c>
      <c r="B1359" t="s">
        <v>525</v>
      </c>
      <c r="C1359">
        <v>82</v>
      </c>
      <c r="D1359" t="s">
        <v>239</v>
      </c>
      <c r="G1359" s="1">
        <v>30</v>
      </c>
    </row>
    <row r="1360" spans="1:8">
      <c r="A1360">
        <v>116</v>
      </c>
      <c r="B1360" t="s">
        <v>525</v>
      </c>
      <c r="C1360">
        <v>82</v>
      </c>
      <c r="D1360" t="s">
        <v>239</v>
      </c>
      <c r="G1360" s="1">
        <v>32</v>
      </c>
    </row>
    <row r="1361" spans="1:8">
      <c r="A1361">
        <v>116</v>
      </c>
      <c r="B1361" t="s">
        <v>525</v>
      </c>
      <c r="C1361">
        <v>82</v>
      </c>
      <c r="D1361" t="s">
        <v>239</v>
      </c>
      <c r="G1361" s="1">
        <v>38</v>
      </c>
    </row>
    <row r="1362" spans="1:8">
      <c r="A1362">
        <v>116</v>
      </c>
      <c r="B1362" t="s">
        <v>525</v>
      </c>
      <c r="C1362">
        <v>82</v>
      </c>
      <c r="D1362" t="s">
        <v>239</v>
      </c>
      <c r="G1362" s="1">
        <v>42</v>
      </c>
    </row>
    <row r="1363" spans="1:8">
      <c r="A1363">
        <v>116</v>
      </c>
      <c r="B1363" t="s">
        <v>525</v>
      </c>
      <c r="C1363">
        <v>82</v>
      </c>
      <c r="D1363" t="s">
        <v>239</v>
      </c>
      <c r="G1363" s="1">
        <v>50</v>
      </c>
    </row>
    <row r="1364" spans="1:8">
      <c r="A1364">
        <v>116</v>
      </c>
      <c r="B1364" t="s">
        <v>525</v>
      </c>
      <c r="C1364">
        <v>84</v>
      </c>
      <c r="D1364" t="s">
        <v>241</v>
      </c>
      <c r="G1364" s="1">
        <v>20</v>
      </c>
    </row>
    <row r="1365" spans="1:8">
      <c r="A1365">
        <v>116</v>
      </c>
      <c r="B1365" t="s">
        <v>525</v>
      </c>
      <c r="C1365">
        <v>84</v>
      </c>
      <c r="D1365" t="s">
        <v>241</v>
      </c>
      <c r="G1365" s="1">
        <v>21</v>
      </c>
    </row>
    <row r="1366" spans="1:8">
      <c r="A1366">
        <v>116</v>
      </c>
      <c r="B1366" t="s">
        <v>525</v>
      </c>
      <c r="C1366">
        <v>85</v>
      </c>
      <c r="D1366" t="s">
        <v>242</v>
      </c>
      <c r="G1366" s="1">
        <v>10</v>
      </c>
    </row>
    <row r="1367" spans="1:8">
      <c r="A1367">
        <v>116</v>
      </c>
      <c r="B1367" t="s">
        <v>525</v>
      </c>
      <c r="C1367">
        <v>85</v>
      </c>
      <c r="D1367" t="s">
        <v>242</v>
      </c>
      <c r="G1367" s="1">
        <v>14</v>
      </c>
    </row>
    <row r="1368" spans="1:8">
      <c r="A1368">
        <v>116</v>
      </c>
      <c r="B1368" t="s">
        <v>525</v>
      </c>
    </row>
    <row r="1369" spans="1:8">
      <c r="A1369">
        <v>118</v>
      </c>
      <c r="B1369" t="s">
        <v>527</v>
      </c>
      <c r="C1369">
        <v>1</v>
      </c>
      <c r="D1369" t="s">
        <v>137</v>
      </c>
      <c r="E1369" s="1">
        <v>1</v>
      </c>
      <c r="F1369" s="1">
        <v>13</v>
      </c>
      <c r="G1369" s="1">
        <v>60</v>
      </c>
      <c r="H1369" s="1">
        <v>13</v>
      </c>
    </row>
    <row r="1370" spans="1:8">
      <c r="A1370">
        <v>118</v>
      </c>
      <c r="B1370" t="s">
        <v>527</v>
      </c>
      <c r="C1370">
        <v>1</v>
      </c>
      <c r="D1370" t="s">
        <v>137</v>
      </c>
      <c r="E1370" s="1">
        <v>1</v>
      </c>
      <c r="F1370" s="1" t="s">
        <v>144</v>
      </c>
      <c r="G1370" s="1">
        <v>62</v>
      </c>
      <c r="H1370" s="1" t="s">
        <v>144</v>
      </c>
    </row>
    <row r="1371" spans="1:8">
      <c r="A1371">
        <v>118</v>
      </c>
      <c r="B1371" t="s">
        <v>527</v>
      </c>
      <c r="C1371">
        <v>1</v>
      </c>
      <c r="D1371" t="s">
        <v>137</v>
      </c>
      <c r="E1371" s="1">
        <v>1</v>
      </c>
      <c r="F1371" s="1">
        <v>14</v>
      </c>
      <c r="G1371" s="1">
        <v>70</v>
      </c>
      <c r="H1371" s="1">
        <v>14</v>
      </c>
    </row>
    <row r="1372" spans="1:8">
      <c r="A1372">
        <v>118</v>
      </c>
      <c r="B1372" t="s">
        <v>527</v>
      </c>
      <c r="C1372">
        <v>1</v>
      </c>
      <c r="D1372" t="s">
        <v>137</v>
      </c>
      <c r="E1372" s="1">
        <v>1</v>
      </c>
      <c r="F1372" s="1" t="s">
        <v>147</v>
      </c>
      <c r="G1372" s="1">
        <v>72</v>
      </c>
      <c r="H1372" s="1" t="s">
        <v>147</v>
      </c>
    </row>
    <row r="1373" spans="1:8">
      <c r="A1373">
        <v>118</v>
      </c>
      <c r="B1373" t="s">
        <v>527</v>
      </c>
      <c r="C1373">
        <v>1</v>
      </c>
      <c r="D1373" t="s">
        <v>137</v>
      </c>
      <c r="E1373" s="1">
        <v>1</v>
      </c>
      <c r="F1373" s="1">
        <v>15</v>
      </c>
      <c r="G1373" s="1">
        <v>80</v>
      </c>
      <c r="H1373" s="1">
        <v>15</v>
      </c>
    </row>
    <row r="1374" spans="1:8">
      <c r="A1374">
        <v>118</v>
      </c>
      <c r="B1374" t="s">
        <v>527</v>
      </c>
      <c r="C1374">
        <v>1</v>
      </c>
      <c r="D1374" t="s">
        <v>137</v>
      </c>
      <c r="E1374" s="1">
        <v>1</v>
      </c>
      <c r="F1374" s="1" t="s">
        <v>150</v>
      </c>
      <c r="G1374" s="1">
        <v>82</v>
      </c>
      <c r="H1374" s="1" t="s">
        <v>150</v>
      </c>
    </row>
    <row r="1375" spans="1:8">
      <c r="A1375">
        <v>118</v>
      </c>
      <c r="B1375" t="s">
        <v>527</v>
      </c>
      <c r="C1375">
        <v>1</v>
      </c>
      <c r="D1375" t="s">
        <v>137</v>
      </c>
      <c r="E1375" s="1">
        <v>1</v>
      </c>
      <c r="F1375" s="1">
        <v>16</v>
      </c>
      <c r="G1375" s="1">
        <v>90</v>
      </c>
      <c r="H1375" s="1">
        <v>16</v>
      </c>
    </row>
    <row r="1376" spans="1:8">
      <c r="A1376">
        <v>118</v>
      </c>
      <c r="B1376" t="s">
        <v>527</v>
      </c>
      <c r="C1376">
        <v>1</v>
      </c>
      <c r="D1376" t="s">
        <v>137</v>
      </c>
      <c r="E1376" s="1">
        <v>1</v>
      </c>
      <c r="F1376" s="1" t="s">
        <v>153</v>
      </c>
      <c r="G1376" s="1">
        <v>92</v>
      </c>
      <c r="H1376" s="1" t="s">
        <v>153</v>
      </c>
    </row>
    <row r="1377" spans="1:8">
      <c r="A1377">
        <v>118</v>
      </c>
      <c r="B1377" t="s">
        <v>527</v>
      </c>
      <c r="C1377">
        <v>1</v>
      </c>
      <c r="D1377" t="s">
        <v>137</v>
      </c>
      <c r="E1377" s="1">
        <v>1</v>
      </c>
      <c r="F1377" s="1">
        <v>17</v>
      </c>
      <c r="G1377" s="1">
        <v>94</v>
      </c>
      <c r="H1377" s="1">
        <v>17</v>
      </c>
    </row>
    <row r="1378" spans="1:8">
      <c r="A1378">
        <v>118</v>
      </c>
      <c r="B1378" t="s">
        <v>527</v>
      </c>
      <c r="C1378">
        <v>1</v>
      </c>
      <c r="D1378" t="s">
        <v>137</v>
      </c>
      <c r="E1378" s="1">
        <v>1</v>
      </c>
      <c r="F1378" s="1" t="s">
        <v>156</v>
      </c>
      <c r="G1378" s="1">
        <v>96</v>
      </c>
      <c r="H1378" s="1" t="s">
        <v>156</v>
      </c>
    </row>
    <row r="1379" spans="1:8">
      <c r="A1379">
        <v>118</v>
      </c>
      <c r="B1379" t="s">
        <v>527</v>
      </c>
      <c r="C1379">
        <v>1</v>
      </c>
      <c r="D1379" t="s">
        <v>137</v>
      </c>
      <c r="E1379" s="1">
        <v>2</v>
      </c>
      <c r="F1379" s="1" t="s">
        <v>159</v>
      </c>
      <c r="G1379" s="1">
        <v>2</v>
      </c>
      <c r="H1379" s="1" t="s">
        <v>159</v>
      </c>
    </row>
    <row r="1380" spans="1:8">
      <c r="A1380">
        <v>118</v>
      </c>
      <c r="B1380" t="s">
        <v>527</v>
      </c>
      <c r="C1380">
        <v>1</v>
      </c>
      <c r="D1380" t="s">
        <v>137</v>
      </c>
      <c r="E1380" s="1">
        <v>2</v>
      </c>
      <c r="F1380" s="1">
        <v>19</v>
      </c>
      <c r="G1380" s="1">
        <v>10</v>
      </c>
      <c r="H1380" s="1">
        <v>19</v>
      </c>
    </row>
    <row r="1381" spans="1:8">
      <c r="A1381">
        <v>118</v>
      </c>
      <c r="B1381" t="s">
        <v>527</v>
      </c>
      <c r="C1381">
        <v>1</v>
      </c>
      <c r="D1381" t="s">
        <v>137</v>
      </c>
      <c r="E1381" s="1">
        <v>2</v>
      </c>
      <c r="F1381" s="1" t="s">
        <v>162</v>
      </c>
      <c r="G1381" s="1">
        <v>12</v>
      </c>
      <c r="H1381" s="1" t="s">
        <v>162</v>
      </c>
    </row>
    <row r="1382" spans="1:8">
      <c r="A1382">
        <v>118</v>
      </c>
      <c r="B1382" t="s">
        <v>527</v>
      </c>
      <c r="C1382">
        <v>1</v>
      </c>
      <c r="D1382" t="s">
        <v>137</v>
      </c>
      <c r="E1382" s="1">
        <v>2</v>
      </c>
      <c r="F1382" s="1">
        <v>20</v>
      </c>
      <c r="G1382" s="1">
        <v>20</v>
      </c>
      <c r="H1382" s="1">
        <v>20</v>
      </c>
    </row>
    <row r="1383" spans="1:8">
      <c r="A1383">
        <v>118</v>
      </c>
      <c r="B1383" t="s">
        <v>527</v>
      </c>
      <c r="C1383">
        <v>1</v>
      </c>
      <c r="D1383" t="s">
        <v>137</v>
      </c>
      <c r="E1383" s="1">
        <v>2</v>
      </c>
      <c r="F1383" s="1" t="s">
        <v>165</v>
      </c>
      <c r="G1383" s="1">
        <v>22</v>
      </c>
      <c r="H1383" s="1" t="s">
        <v>165</v>
      </c>
    </row>
    <row r="1384" spans="1:8">
      <c r="A1384">
        <v>118</v>
      </c>
      <c r="B1384" t="s">
        <v>527</v>
      </c>
      <c r="C1384">
        <v>1</v>
      </c>
      <c r="D1384" t="s">
        <v>137</v>
      </c>
      <c r="E1384" s="1">
        <v>2</v>
      </c>
      <c r="F1384" s="1">
        <v>21</v>
      </c>
      <c r="G1384" s="1">
        <v>30</v>
      </c>
      <c r="H1384" s="1">
        <v>21</v>
      </c>
    </row>
    <row r="1385" spans="1:8">
      <c r="A1385">
        <v>118</v>
      </c>
      <c r="B1385" t="s">
        <v>527</v>
      </c>
      <c r="C1385">
        <v>1</v>
      </c>
      <c r="D1385" t="s">
        <v>137</v>
      </c>
      <c r="E1385" s="1">
        <v>2</v>
      </c>
      <c r="F1385" s="1" t="s">
        <v>168</v>
      </c>
      <c r="G1385" s="1">
        <v>32</v>
      </c>
      <c r="H1385" s="1" t="s">
        <v>168</v>
      </c>
    </row>
    <row r="1386" spans="1:8">
      <c r="A1386">
        <v>118</v>
      </c>
      <c r="B1386" t="s">
        <v>527</v>
      </c>
      <c r="C1386">
        <v>1</v>
      </c>
      <c r="D1386" t="s">
        <v>137</v>
      </c>
      <c r="E1386" s="1">
        <v>2</v>
      </c>
      <c r="F1386" s="1">
        <v>22</v>
      </c>
      <c r="G1386" s="1">
        <v>40</v>
      </c>
      <c r="H1386" s="1">
        <v>22</v>
      </c>
    </row>
    <row r="1387" spans="1:8">
      <c r="A1387">
        <v>118</v>
      </c>
      <c r="B1387" t="s">
        <v>527</v>
      </c>
      <c r="C1387">
        <v>1</v>
      </c>
      <c r="D1387" t="s">
        <v>137</v>
      </c>
      <c r="E1387" s="1">
        <v>2</v>
      </c>
      <c r="F1387" s="1" t="s">
        <v>171</v>
      </c>
      <c r="G1387" s="1">
        <v>42</v>
      </c>
      <c r="H1387" s="1" t="s">
        <v>171</v>
      </c>
    </row>
    <row r="1388" spans="1:8">
      <c r="A1388">
        <v>118</v>
      </c>
      <c r="B1388" t="s">
        <v>527</v>
      </c>
      <c r="C1388">
        <v>1</v>
      </c>
      <c r="D1388" t="s">
        <v>137</v>
      </c>
      <c r="E1388" s="1">
        <v>2</v>
      </c>
      <c r="F1388" s="1">
        <v>23</v>
      </c>
      <c r="G1388" s="1">
        <v>50</v>
      </c>
      <c r="H1388" s="1">
        <v>23</v>
      </c>
    </row>
    <row r="1389" spans="1:8">
      <c r="A1389">
        <v>118</v>
      </c>
      <c r="B1389" t="s">
        <v>527</v>
      </c>
      <c r="C1389">
        <v>1</v>
      </c>
      <c r="D1389" t="s">
        <v>137</v>
      </c>
      <c r="E1389" s="1">
        <v>2</v>
      </c>
      <c r="F1389" s="1" t="s">
        <v>174</v>
      </c>
      <c r="G1389" s="1">
        <v>52</v>
      </c>
      <c r="H1389" s="1" t="s">
        <v>174</v>
      </c>
    </row>
    <row r="1390" spans="1:8">
      <c r="A1390">
        <v>118</v>
      </c>
      <c r="B1390" t="s">
        <v>527</v>
      </c>
      <c r="C1390">
        <v>1</v>
      </c>
      <c r="D1390" t="s">
        <v>137</v>
      </c>
      <c r="E1390" s="1">
        <v>2</v>
      </c>
      <c r="F1390" s="1">
        <v>24</v>
      </c>
      <c r="G1390" s="1">
        <v>60</v>
      </c>
      <c r="H1390" s="1">
        <v>24</v>
      </c>
    </row>
    <row r="1391" spans="1:8">
      <c r="A1391">
        <v>118</v>
      </c>
      <c r="B1391" t="s">
        <v>527</v>
      </c>
      <c r="C1391">
        <v>1</v>
      </c>
      <c r="D1391" t="s">
        <v>137</v>
      </c>
      <c r="E1391" s="1">
        <v>2</v>
      </c>
      <c r="F1391" s="1" t="s">
        <v>177</v>
      </c>
      <c r="G1391" s="1">
        <v>62</v>
      </c>
      <c r="H1391" s="1" t="s">
        <v>177</v>
      </c>
    </row>
    <row r="1392" spans="1:8">
      <c r="A1392">
        <v>118</v>
      </c>
      <c r="B1392" t="s">
        <v>527</v>
      </c>
      <c r="C1392">
        <v>1</v>
      </c>
      <c r="D1392" t="s">
        <v>137</v>
      </c>
      <c r="E1392" s="1">
        <v>2</v>
      </c>
      <c r="F1392" s="1">
        <v>18</v>
      </c>
      <c r="H1392" s="1">
        <v>18</v>
      </c>
    </row>
    <row r="1393" spans="1:8">
      <c r="A1393">
        <v>118</v>
      </c>
      <c r="B1393" t="s">
        <v>527</v>
      </c>
      <c r="C1393">
        <v>5</v>
      </c>
      <c r="D1393" t="s">
        <v>183</v>
      </c>
      <c r="G1393" s="1">
        <v>60</v>
      </c>
    </row>
    <row r="1394" spans="1:8">
      <c r="A1394">
        <v>118</v>
      </c>
      <c r="B1394" t="s">
        <v>527</v>
      </c>
      <c r="C1394">
        <v>11</v>
      </c>
      <c r="D1394" t="s">
        <v>186</v>
      </c>
      <c r="E1394" s="1">
        <v>1</v>
      </c>
      <c r="F1394" s="1" t="s">
        <v>192</v>
      </c>
      <c r="G1394" s="1">
        <v>2</v>
      </c>
      <c r="H1394" s="1" t="s">
        <v>192</v>
      </c>
    </row>
    <row r="1395" spans="1:8">
      <c r="A1395">
        <v>118</v>
      </c>
      <c r="B1395" t="s">
        <v>527</v>
      </c>
      <c r="C1395">
        <v>11</v>
      </c>
      <c r="D1395" t="s">
        <v>186</v>
      </c>
      <c r="E1395" s="1">
        <v>1</v>
      </c>
      <c r="F1395" s="1">
        <v>40</v>
      </c>
      <c r="G1395" s="1">
        <v>10</v>
      </c>
      <c r="H1395" s="1">
        <v>40</v>
      </c>
    </row>
    <row r="1396" spans="1:8">
      <c r="A1396">
        <v>118</v>
      </c>
      <c r="B1396" t="s">
        <v>527</v>
      </c>
      <c r="C1396">
        <v>11</v>
      </c>
      <c r="D1396" t="s">
        <v>186</v>
      </c>
      <c r="E1396" s="1">
        <v>1</v>
      </c>
      <c r="F1396" s="1" t="s">
        <v>193</v>
      </c>
      <c r="G1396" s="1">
        <v>12</v>
      </c>
      <c r="H1396" s="1" t="s">
        <v>193</v>
      </c>
    </row>
    <row r="1397" spans="1:8">
      <c r="A1397">
        <v>118</v>
      </c>
      <c r="B1397" t="s">
        <v>527</v>
      </c>
      <c r="C1397">
        <v>11</v>
      </c>
      <c r="D1397" t="s">
        <v>186</v>
      </c>
      <c r="E1397" s="1">
        <v>1</v>
      </c>
      <c r="F1397" s="1">
        <v>41</v>
      </c>
      <c r="G1397" s="1">
        <v>20</v>
      </c>
      <c r="H1397" s="1">
        <v>41</v>
      </c>
    </row>
    <row r="1398" spans="1:8">
      <c r="A1398">
        <v>118</v>
      </c>
      <c r="B1398" t="s">
        <v>527</v>
      </c>
      <c r="C1398">
        <v>11</v>
      </c>
      <c r="D1398" t="s">
        <v>186</v>
      </c>
      <c r="E1398" s="1">
        <v>1</v>
      </c>
      <c r="F1398" s="1" t="s">
        <v>194</v>
      </c>
      <c r="G1398" s="1">
        <v>22</v>
      </c>
      <c r="H1398" s="1" t="s">
        <v>194</v>
      </c>
    </row>
    <row r="1399" spans="1:8">
      <c r="A1399">
        <v>118</v>
      </c>
      <c r="B1399" t="s">
        <v>527</v>
      </c>
      <c r="C1399">
        <v>11</v>
      </c>
      <c r="D1399" t="s">
        <v>186</v>
      </c>
      <c r="E1399" s="1">
        <v>1</v>
      </c>
      <c r="F1399" s="1">
        <v>42</v>
      </c>
      <c r="G1399" s="1">
        <v>30</v>
      </c>
      <c r="H1399" s="1">
        <v>42</v>
      </c>
    </row>
    <row r="1400" spans="1:8">
      <c r="A1400">
        <v>118</v>
      </c>
      <c r="B1400" t="s">
        <v>527</v>
      </c>
      <c r="C1400">
        <v>11</v>
      </c>
      <c r="D1400" t="s">
        <v>186</v>
      </c>
      <c r="E1400" s="1">
        <v>1</v>
      </c>
      <c r="F1400" s="1" t="s">
        <v>195</v>
      </c>
      <c r="G1400" s="1">
        <v>32</v>
      </c>
      <c r="H1400" s="1" t="s">
        <v>195</v>
      </c>
    </row>
    <row r="1401" spans="1:8">
      <c r="A1401">
        <v>118</v>
      </c>
      <c r="B1401" t="s">
        <v>527</v>
      </c>
      <c r="C1401">
        <v>11</v>
      </c>
      <c r="D1401" t="s">
        <v>186</v>
      </c>
      <c r="E1401" s="1">
        <v>1</v>
      </c>
      <c r="F1401" s="1">
        <v>43</v>
      </c>
      <c r="G1401" s="1">
        <v>40</v>
      </c>
      <c r="H1401" s="1">
        <v>43</v>
      </c>
    </row>
    <row r="1402" spans="1:8">
      <c r="A1402">
        <v>118</v>
      </c>
      <c r="B1402" t="s">
        <v>527</v>
      </c>
      <c r="C1402">
        <v>11</v>
      </c>
      <c r="D1402" t="s">
        <v>186</v>
      </c>
      <c r="E1402" s="1">
        <v>1</v>
      </c>
      <c r="F1402" s="1" t="s">
        <v>196</v>
      </c>
      <c r="G1402" s="1">
        <v>42</v>
      </c>
      <c r="H1402" s="1" t="s">
        <v>196</v>
      </c>
    </row>
    <row r="1403" spans="1:8">
      <c r="A1403">
        <v>118</v>
      </c>
      <c r="B1403" t="s">
        <v>527</v>
      </c>
      <c r="C1403">
        <v>11</v>
      </c>
      <c r="D1403" t="s">
        <v>186</v>
      </c>
      <c r="E1403" s="1">
        <v>1</v>
      </c>
      <c r="F1403" s="1">
        <v>44</v>
      </c>
      <c r="G1403" s="1">
        <v>50</v>
      </c>
      <c r="H1403" s="1">
        <v>44</v>
      </c>
    </row>
    <row r="1404" spans="1:8">
      <c r="A1404">
        <v>118</v>
      </c>
      <c r="B1404" t="s">
        <v>527</v>
      </c>
      <c r="C1404">
        <v>11</v>
      </c>
      <c r="D1404" t="s">
        <v>186</v>
      </c>
      <c r="E1404" s="1">
        <v>1</v>
      </c>
      <c r="F1404" s="1" t="s">
        <v>197</v>
      </c>
      <c r="G1404" s="1">
        <v>52</v>
      </c>
      <c r="H1404" s="1" t="s">
        <v>197</v>
      </c>
    </row>
    <row r="1405" spans="1:8">
      <c r="A1405">
        <v>118</v>
      </c>
      <c r="B1405" t="s">
        <v>527</v>
      </c>
      <c r="C1405">
        <v>11</v>
      </c>
      <c r="D1405" t="s">
        <v>186</v>
      </c>
      <c r="E1405" s="1">
        <v>1</v>
      </c>
      <c r="F1405" s="1">
        <v>45</v>
      </c>
      <c r="G1405" s="1">
        <v>60</v>
      </c>
      <c r="H1405" s="1">
        <v>45</v>
      </c>
    </row>
    <row r="1406" spans="1:8">
      <c r="A1406">
        <v>118</v>
      </c>
      <c r="B1406" t="s">
        <v>527</v>
      </c>
      <c r="C1406">
        <v>11</v>
      </c>
      <c r="D1406" t="s">
        <v>186</v>
      </c>
      <c r="E1406" s="1">
        <v>1</v>
      </c>
      <c r="F1406" s="1" t="s">
        <v>198</v>
      </c>
      <c r="G1406" s="1">
        <v>62</v>
      </c>
      <c r="H1406" s="1" t="s">
        <v>198</v>
      </c>
    </row>
    <row r="1407" spans="1:8">
      <c r="A1407">
        <v>118</v>
      </c>
      <c r="B1407" t="s">
        <v>527</v>
      </c>
      <c r="C1407">
        <v>11</v>
      </c>
      <c r="D1407" t="s">
        <v>186</v>
      </c>
      <c r="E1407" s="1">
        <v>1</v>
      </c>
      <c r="F1407" s="1" t="s">
        <v>199</v>
      </c>
      <c r="G1407" s="1">
        <v>72</v>
      </c>
      <c r="H1407" s="1" t="s">
        <v>199</v>
      </c>
    </row>
    <row r="1408" spans="1:8">
      <c r="A1408">
        <v>118</v>
      </c>
      <c r="B1408" t="s">
        <v>527</v>
      </c>
      <c r="C1408">
        <v>11</v>
      </c>
      <c r="D1408" t="s">
        <v>186</v>
      </c>
      <c r="G1408" s="1">
        <v>95</v>
      </c>
    </row>
    <row r="1409" spans="1:8">
      <c r="A1409">
        <v>118</v>
      </c>
      <c r="B1409" t="s">
        <v>527</v>
      </c>
      <c r="C1409">
        <v>11</v>
      </c>
      <c r="D1409" t="s">
        <v>186</v>
      </c>
      <c r="G1409" s="1">
        <v>96</v>
      </c>
    </row>
    <row r="1410" spans="1:8">
      <c r="A1410">
        <v>118</v>
      </c>
      <c r="B1410" t="s">
        <v>527</v>
      </c>
      <c r="C1410">
        <v>12</v>
      </c>
      <c r="D1410" t="s">
        <v>107</v>
      </c>
      <c r="E1410" s="1">
        <v>1</v>
      </c>
      <c r="F1410" s="1" t="s">
        <v>192</v>
      </c>
      <c r="G1410" s="1">
        <v>2</v>
      </c>
      <c r="H1410" s="1" t="s">
        <v>192</v>
      </c>
    </row>
    <row r="1411" spans="1:8">
      <c r="A1411">
        <v>118</v>
      </c>
      <c r="B1411" t="s">
        <v>527</v>
      </c>
      <c r="C1411">
        <v>12</v>
      </c>
      <c r="D1411" t="s">
        <v>107</v>
      </c>
      <c r="E1411" s="1">
        <v>1</v>
      </c>
      <c r="F1411" s="1">
        <v>40</v>
      </c>
      <c r="G1411" s="1">
        <v>10</v>
      </c>
      <c r="H1411" s="1">
        <v>40</v>
      </c>
    </row>
    <row r="1412" spans="1:8">
      <c r="A1412">
        <v>118</v>
      </c>
      <c r="B1412" t="s">
        <v>527</v>
      </c>
      <c r="C1412">
        <v>12</v>
      </c>
      <c r="D1412" t="s">
        <v>107</v>
      </c>
      <c r="E1412" s="1">
        <v>1</v>
      </c>
      <c r="F1412" s="1" t="s">
        <v>193</v>
      </c>
      <c r="G1412" s="1">
        <v>12</v>
      </c>
      <c r="H1412" s="1" t="s">
        <v>193</v>
      </c>
    </row>
    <row r="1413" spans="1:8">
      <c r="A1413">
        <v>118</v>
      </c>
      <c r="B1413" t="s">
        <v>527</v>
      </c>
      <c r="C1413">
        <v>12</v>
      </c>
      <c r="D1413" t="s">
        <v>107</v>
      </c>
      <c r="E1413" s="1">
        <v>1</v>
      </c>
      <c r="F1413" s="1">
        <v>41</v>
      </c>
      <c r="G1413" s="1">
        <v>20</v>
      </c>
      <c r="H1413" s="1">
        <v>41</v>
      </c>
    </row>
    <row r="1414" spans="1:8">
      <c r="A1414">
        <v>118</v>
      </c>
      <c r="B1414" t="s">
        <v>527</v>
      </c>
      <c r="C1414">
        <v>12</v>
      </c>
      <c r="D1414" t="s">
        <v>107</v>
      </c>
      <c r="E1414" s="1">
        <v>1</v>
      </c>
      <c r="F1414" s="1" t="s">
        <v>194</v>
      </c>
      <c r="G1414" s="1">
        <v>22</v>
      </c>
      <c r="H1414" s="1" t="s">
        <v>194</v>
      </c>
    </row>
    <row r="1415" spans="1:8">
      <c r="A1415">
        <v>118</v>
      </c>
      <c r="B1415" t="s">
        <v>527</v>
      </c>
      <c r="C1415">
        <v>12</v>
      </c>
      <c r="D1415" t="s">
        <v>107</v>
      </c>
      <c r="E1415" s="1">
        <v>1</v>
      </c>
      <c r="F1415" s="1">
        <v>42</v>
      </c>
      <c r="G1415" s="1">
        <v>30</v>
      </c>
      <c r="H1415" s="1">
        <v>42</v>
      </c>
    </row>
    <row r="1416" spans="1:8">
      <c r="A1416">
        <v>118</v>
      </c>
      <c r="B1416" t="s">
        <v>527</v>
      </c>
      <c r="C1416">
        <v>12</v>
      </c>
      <c r="D1416" t="s">
        <v>107</v>
      </c>
      <c r="E1416" s="1">
        <v>1</v>
      </c>
      <c r="F1416" s="1" t="s">
        <v>195</v>
      </c>
      <c r="G1416" s="1">
        <v>32</v>
      </c>
      <c r="H1416" s="1" t="s">
        <v>195</v>
      </c>
    </row>
    <row r="1417" spans="1:8">
      <c r="A1417">
        <v>118</v>
      </c>
      <c r="B1417" t="s">
        <v>527</v>
      </c>
      <c r="C1417">
        <v>12</v>
      </c>
      <c r="D1417" t="s">
        <v>107</v>
      </c>
      <c r="E1417" s="1">
        <v>1</v>
      </c>
      <c r="F1417" s="1">
        <v>43</v>
      </c>
      <c r="G1417" s="1">
        <v>40</v>
      </c>
      <c r="H1417" s="1">
        <v>43</v>
      </c>
    </row>
    <row r="1418" spans="1:8">
      <c r="A1418">
        <v>118</v>
      </c>
      <c r="B1418" t="s">
        <v>527</v>
      </c>
      <c r="C1418">
        <v>12</v>
      </c>
      <c r="D1418" t="s">
        <v>107</v>
      </c>
      <c r="E1418" s="1">
        <v>1</v>
      </c>
      <c r="F1418" s="1" t="s">
        <v>196</v>
      </c>
      <c r="G1418" s="1">
        <v>42</v>
      </c>
      <c r="H1418" s="1" t="s">
        <v>196</v>
      </c>
    </row>
    <row r="1419" spans="1:8">
      <c r="A1419">
        <v>118</v>
      </c>
      <c r="B1419" t="s">
        <v>527</v>
      </c>
      <c r="C1419">
        <v>12</v>
      </c>
      <c r="D1419" t="s">
        <v>107</v>
      </c>
      <c r="E1419" s="1">
        <v>1</v>
      </c>
      <c r="F1419" s="1" t="s">
        <v>197</v>
      </c>
      <c r="G1419" s="1">
        <v>52</v>
      </c>
      <c r="H1419" s="1" t="s">
        <v>197</v>
      </c>
    </row>
    <row r="1420" spans="1:8">
      <c r="A1420">
        <v>118</v>
      </c>
      <c r="B1420" t="s">
        <v>527</v>
      </c>
      <c r="C1420">
        <v>12</v>
      </c>
      <c r="D1420" t="s">
        <v>107</v>
      </c>
      <c r="E1420" s="1">
        <v>1</v>
      </c>
      <c r="F1420" s="1">
        <v>45</v>
      </c>
      <c r="G1420" s="1">
        <v>60</v>
      </c>
      <c r="H1420" s="1">
        <v>45</v>
      </c>
    </row>
    <row r="1421" spans="1:8">
      <c r="A1421">
        <v>118</v>
      </c>
      <c r="B1421" t="s">
        <v>527</v>
      </c>
      <c r="C1421">
        <v>12</v>
      </c>
      <c r="D1421" t="s">
        <v>107</v>
      </c>
      <c r="E1421" s="1">
        <v>1</v>
      </c>
      <c r="F1421" s="1" t="s">
        <v>199</v>
      </c>
      <c r="G1421" s="1">
        <v>72</v>
      </c>
      <c r="H1421" s="1" t="s">
        <v>199</v>
      </c>
    </row>
    <row r="1422" spans="1:8">
      <c r="A1422">
        <v>118</v>
      </c>
      <c r="B1422" t="s">
        <v>527</v>
      </c>
      <c r="C1422">
        <v>13</v>
      </c>
      <c r="D1422" t="s">
        <v>200</v>
      </c>
      <c r="E1422" s="1">
        <v>1</v>
      </c>
      <c r="F1422" s="1" t="s">
        <v>192</v>
      </c>
      <c r="G1422" s="1">
        <v>2</v>
      </c>
      <c r="H1422" s="1" t="s">
        <v>192</v>
      </c>
    </row>
    <row r="1423" spans="1:8">
      <c r="A1423">
        <v>118</v>
      </c>
      <c r="B1423" t="s">
        <v>527</v>
      </c>
      <c r="C1423">
        <v>13</v>
      </c>
      <c r="D1423" t="s">
        <v>200</v>
      </c>
      <c r="E1423" s="1">
        <v>1</v>
      </c>
      <c r="F1423" s="1" t="s">
        <v>193</v>
      </c>
      <c r="G1423" s="1">
        <v>12</v>
      </c>
      <c r="H1423" s="1" t="s">
        <v>193</v>
      </c>
    </row>
    <row r="1424" spans="1:8">
      <c r="A1424">
        <v>118</v>
      </c>
      <c r="B1424" t="s">
        <v>527</v>
      </c>
      <c r="C1424">
        <v>13</v>
      </c>
      <c r="D1424" t="s">
        <v>200</v>
      </c>
      <c r="E1424" s="1">
        <v>1</v>
      </c>
      <c r="F1424" s="1">
        <v>41</v>
      </c>
      <c r="G1424" s="1">
        <v>20</v>
      </c>
      <c r="H1424" s="1">
        <v>41</v>
      </c>
    </row>
    <row r="1425" spans="1:8">
      <c r="A1425">
        <v>118</v>
      </c>
      <c r="B1425" t="s">
        <v>527</v>
      </c>
      <c r="C1425">
        <v>13</v>
      </c>
      <c r="D1425" t="s">
        <v>200</v>
      </c>
      <c r="E1425" s="1">
        <v>1</v>
      </c>
      <c r="F1425" s="1" t="s">
        <v>194</v>
      </c>
      <c r="G1425" s="1">
        <v>22</v>
      </c>
      <c r="H1425" s="1" t="s">
        <v>194</v>
      </c>
    </row>
    <row r="1426" spans="1:8">
      <c r="A1426">
        <v>118</v>
      </c>
      <c r="B1426" t="s">
        <v>527</v>
      </c>
      <c r="C1426">
        <v>13</v>
      </c>
      <c r="D1426" t="s">
        <v>200</v>
      </c>
      <c r="E1426" s="1">
        <v>1</v>
      </c>
      <c r="F1426" s="1">
        <v>42</v>
      </c>
      <c r="G1426" s="1">
        <v>30</v>
      </c>
      <c r="H1426" s="1">
        <v>42</v>
      </c>
    </row>
    <row r="1427" spans="1:8">
      <c r="A1427">
        <v>118</v>
      </c>
      <c r="B1427" t="s">
        <v>527</v>
      </c>
      <c r="C1427">
        <v>13</v>
      </c>
      <c r="D1427" t="s">
        <v>200</v>
      </c>
      <c r="E1427" s="1">
        <v>1</v>
      </c>
      <c r="F1427" s="1" t="s">
        <v>195</v>
      </c>
      <c r="G1427" s="1">
        <v>32</v>
      </c>
      <c r="H1427" s="1" t="s">
        <v>195</v>
      </c>
    </row>
    <row r="1428" spans="1:8">
      <c r="A1428">
        <v>118</v>
      </c>
      <c r="B1428" t="s">
        <v>527</v>
      </c>
      <c r="C1428">
        <v>13</v>
      </c>
      <c r="D1428" t="s">
        <v>200</v>
      </c>
      <c r="E1428" s="1">
        <v>1</v>
      </c>
      <c r="F1428" s="1">
        <v>43</v>
      </c>
      <c r="G1428" s="1">
        <v>40</v>
      </c>
      <c r="H1428" s="1">
        <v>43</v>
      </c>
    </row>
    <row r="1429" spans="1:8">
      <c r="A1429">
        <v>118</v>
      </c>
      <c r="B1429" t="s">
        <v>527</v>
      </c>
      <c r="C1429">
        <v>13</v>
      </c>
      <c r="D1429" t="s">
        <v>200</v>
      </c>
      <c r="E1429" s="1">
        <v>1</v>
      </c>
      <c r="F1429" s="1">
        <v>44</v>
      </c>
      <c r="G1429" s="1">
        <v>50</v>
      </c>
      <c r="H1429" s="1">
        <v>44</v>
      </c>
    </row>
    <row r="1430" spans="1:8">
      <c r="A1430">
        <v>118</v>
      </c>
      <c r="B1430" t="s">
        <v>527</v>
      </c>
      <c r="C1430">
        <v>13</v>
      </c>
      <c r="D1430" t="s">
        <v>200</v>
      </c>
      <c r="E1430" s="1">
        <v>1</v>
      </c>
      <c r="F1430" s="1" t="s">
        <v>197</v>
      </c>
      <c r="G1430" s="1">
        <v>52</v>
      </c>
      <c r="H1430" s="1" t="s">
        <v>197</v>
      </c>
    </row>
    <row r="1431" spans="1:8">
      <c r="A1431">
        <v>118</v>
      </c>
      <c r="B1431" t="s">
        <v>527</v>
      </c>
      <c r="C1431">
        <v>13</v>
      </c>
      <c r="D1431" t="s">
        <v>200</v>
      </c>
      <c r="E1431" s="1">
        <v>1</v>
      </c>
      <c r="F1431" s="1" t="s">
        <v>199</v>
      </c>
      <c r="G1431" s="1">
        <v>72</v>
      </c>
      <c r="H1431" s="1" t="s">
        <v>199</v>
      </c>
    </row>
    <row r="1432" spans="1:8">
      <c r="A1432">
        <v>118</v>
      </c>
      <c r="B1432" t="s">
        <v>527</v>
      </c>
      <c r="C1432">
        <v>13</v>
      </c>
      <c r="D1432" t="s">
        <v>200</v>
      </c>
      <c r="E1432" s="1">
        <v>1</v>
      </c>
      <c r="F1432" s="1">
        <v>39</v>
      </c>
      <c r="H1432" s="1">
        <v>39</v>
      </c>
    </row>
    <row r="1433" spans="1:8">
      <c r="A1433">
        <v>118</v>
      </c>
      <c r="B1433" t="s">
        <v>527</v>
      </c>
      <c r="C1433">
        <v>13</v>
      </c>
      <c r="D1433" t="s">
        <v>200</v>
      </c>
      <c r="G1433" s="1">
        <v>95</v>
      </c>
    </row>
    <row r="1434" spans="1:8">
      <c r="A1434">
        <v>118</v>
      </c>
      <c r="B1434" t="s">
        <v>527</v>
      </c>
      <c r="C1434">
        <v>15</v>
      </c>
      <c r="D1434" t="s">
        <v>201</v>
      </c>
      <c r="E1434" s="1">
        <v>4</v>
      </c>
      <c r="F1434" s="1" t="s">
        <v>286</v>
      </c>
      <c r="G1434" s="1">
        <v>70</v>
      </c>
      <c r="H1434" s="1" t="s">
        <v>286</v>
      </c>
    </row>
    <row r="1435" spans="1:8">
      <c r="A1435">
        <v>118</v>
      </c>
      <c r="B1435" t="s">
        <v>527</v>
      </c>
      <c r="C1435">
        <v>16</v>
      </c>
      <c r="D1435" t="s">
        <v>202</v>
      </c>
      <c r="E1435" s="1">
        <v>1</v>
      </c>
      <c r="F1435" s="1" t="s">
        <v>194</v>
      </c>
      <c r="G1435" s="1">
        <v>22</v>
      </c>
      <c r="H1435" s="1" t="s">
        <v>194</v>
      </c>
    </row>
    <row r="1436" spans="1:8">
      <c r="A1436">
        <v>118</v>
      </c>
      <c r="B1436" t="s">
        <v>527</v>
      </c>
      <c r="C1436">
        <v>16</v>
      </c>
      <c r="D1436" t="s">
        <v>202</v>
      </c>
      <c r="E1436" s="1">
        <v>1</v>
      </c>
      <c r="F1436" s="1" t="s">
        <v>195</v>
      </c>
      <c r="G1436" s="1">
        <v>32</v>
      </c>
      <c r="H1436" s="1" t="s">
        <v>195</v>
      </c>
    </row>
    <row r="1437" spans="1:8">
      <c r="A1437">
        <v>118</v>
      </c>
      <c r="B1437" t="s">
        <v>527</v>
      </c>
      <c r="C1437">
        <v>16</v>
      </c>
      <c r="D1437" t="s">
        <v>202</v>
      </c>
      <c r="E1437" s="1">
        <v>1</v>
      </c>
      <c r="F1437" s="1">
        <v>46</v>
      </c>
      <c r="G1437" s="1">
        <v>72</v>
      </c>
      <c r="H1437" s="1">
        <v>46</v>
      </c>
    </row>
    <row r="1438" spans="1:8">
      <c r="A1438">
        <v>118</v>
      </c>
      <c r="B1438" t="s">
        <v>527</v>
      </c>
      <c r="C1438">
        <v>21</v>
      </c>
      <c r="D1438" t="s">
        <v>205</v>
      </c>
      <c r="E1438" s="1">
        <v>1</v>
      </c>
      <c r="F1438" s="1" t="s">
        <v>347</v>
      </c>
      <c r="G1438" s="1">
        <v>10</v>
      </c>
      <c r="H1438" s="1" t="s">
        <v>347</v>
      </c>
    </row>
    <row r="1439" spans="1:8">
      <c r="A1439">
        <v>118</v>
      </c>
      <c r="B1439" t="s">
        <v>527</v>
      </c>
      <c r="C1439">
        <v>21</v>
      </c>
      <c r="D1439" t="s">
        <v>205</v>
      </c>
      <c r="E1439" s="1">
        <v>1</v>
      </c>
      <c r="F1439" s="1" t="s">
        <v>395</v>
      </c>
      <c r="G1439" s="1">
        <v>22</v>
      </c>
      <c r="H1439" s="1" t="s">
        <v>395</v>
      </c>
    </row>
    <row r="1440" spans="1:8">
      <c r="A1440">
        <v>118</v>
      </c>
      <c r="B1440" t="s">
        <v>527</v>
      </c>
      <c r="C1440">
        <v>21</v>
      </c>
      <c r="D1440" t="s">
        <v>205</v>
      </c>
      <c r="E1440" s="1">
        <v>1</v>
      </c>
      <c r="F1440" s="1" t="s">
        <v>329</v>
      </c>
      <c r="G1440" s="1">
        <v>30</v>
      </c>
      <c r="H1440" s="1" t="s">
        <v>329</v>
      </c>
    </row>
    <row r="1441" spans="1:8">
      <c r="A1441">
        <v>118</v>
      </c>
      <c r="B1441" t="s">
        <v>527</v>
      </c>
      <c r="C1441">
        <v>21</v>
      </c>
      <c r="D1441" t="s">
        <v>205</v>
      </c>
      <c r="E1441" s="1">
        <v>1</v>
      </c>
      <c r="F1441" s="1" t="s">
        <v>332</v>
      </c>
      <c r="G1441" s="1">
        <v>40</v>
      </c>
      <c r="H1441" s="1" t="s">
        <v>332</v>
      </c>
    </row>
    <row r="1442" spans="1:8">
      <c r="A1442">
        <v>118</v>
      </c>
      <c r="B1442" t="s">
        <v>527</v>
      </c>
      <c r="C1442">
        <v>21</v>
      </c>
      <c r="D1442" t="s">
        <v>205</v>
      </c>
      <c r="E1442" s="1">
        <v>1</v>
      </c>
      <c r="F1442" s="1" t="s">
        <v>330</v>
      </c>
      <c r="G1442" s="1">
        <v>42</v>
      </c>
      <c r="H1442" s="1" t="s">
        <v>330</v>
      </c>
    </row>
    <row r="1443" spans="1:8">
      <c r="A1443">
        <v>118</v>
      </c>
      <c r="B1443" t="s">
        <v>527</v>
      </c>
      <c r="C1443">
        <v>21</v>
      </c>
      <c r="D1443" t="s">
        <v>205</v>
      </c>
      <c r="E1443" s="1">
        <v>1</v>
      </c>
      <c r="F1443" s="1" t="s">
        <v>288</v>
      </c>
      <c r="G1443" s="1">
        <v>62</v>
      </c>
      <c r="H1443" s="1" t="s">
        <v>288</v>
      </c>
    </row>
    <row r="1444" spans="1:8">
      <c r="A1444">
        <v>118</v>
      </c>
      <c r="B1444" t="s">
        <v>527</v>
      </c>
      <c r="C1444">
        <v>21</v>
      </c>
      <c r="D1444" t="s">
        <v>205</v>
      </c>
      <c r="G1444" s="1">
        <v>82</v>
      </c>
    </row>
    <row r="1445" spans="1:8">
      <c r="A1445">
        <v>118</v>
      </c>
      <c r="B1445" t="s">
        <v>527</v>
      </c>
      <c r="C1445">
        <v>24</v>
      </c>
      <c r="D1445" t="s">
        <v>208</v>
      </c>
      <c r="E1445" s="1">
        <v>1</v>
      </c>
      <c r="F1445" s="1" t="s">
        <v>373</v>
      </c>
      <c r="G1445" s="1">
        <v>10</v>
      </c>
      <c r="H1445" s="1" t="s">
        <v>373</v>
      </c>
    </row>
    <row r="1446" spans="1:8">
      <c r="A1446">
        <v>118</v>
      </c>
      <c r="B1446" t="s">
        <v>527</v>
      </c>
      <c r="C1446">
        <v>24</v>
      </c>
      <c r="D1446" t="s">
        <v>208</v>
      </c>
      <c r="E1446" s="1">
        <v>1</v>
      </c>
      <c r="F1446" s="1" t="s">
        <v>284</v>
      </c>
      <c r="G1446" s="1">
        <v>20</v>
      </c>
      <c r="H1446" s="1" t="s">
        <v>284</v>
      </c>
    </row>
    <row r="1447" spans="1:8">
      <c r="A1447">
        <v>118</v>
      </c>
      <c r="B1447" t="s">
        <v>527</v>
      </c>
      <c r="C1447">
        <v>24</v>
      </c>
      <c r="D1447" t="s">
        <v>208</v>
      </c>
      <c r="E1447" s="1">
        <v>1</v>
      </c>
      <c r="F1447" s="1" t="s">
        <v>347</v>
      </c>
      <c r="G1447" s="1">
        <v>30</v>
      </c>
      <c r="H1447" s="1" t="s">
        <v>347</v>
      </c>
    </row>
    <row r="1448" spans="1:8">
      <c r="A1448">
        <v>118</v>
      </c>
      <c r="B1448" t="s">
        <v>527</v>
      </c>
      <c r="C1448">
        <v>24</v>
      </c>
      <c r="D1448" t="s">
        <v>208</v>
      </c>
      <c r="E1448" s="1">
        <v>1</v>
      </c>
      <c r="F1448" s="1" t="s">
        <v>374</v>
      </c>
      <c r="H1448" s="1" t="s">
        <v>374</v>
      </c>
    </row>
    <row r="1449" spans="1:8">
      <c r="A1449">
        <v>118</v>
      </c>
      <c r="B1449" t="s">
        <v>527</v>
      </c>
      <c r="C1449">
        <v>24</v>
      </c>
      <c r="D1449" t="s">
        <v>208</v>
      </c>
      <c r="E1449" s="1">
        <v>42</v>
      </c>
      <c r="F1449" s="1" t="s">
        <v>375</v>
      </c>
      <c r="G1449" s="1">
        <v>20</v>
      </c>
      <c r="H1449" s="1" t="s">
        <v>375</v>
      </c>
    </row>
    <row r="1450" spans="1:8">
      <c r="A1450">
        <v>118</v>
      </c>
      <c r="B1450" t="s">
        <v>527</v>
      </c>
      <c r="C1450">
        <v>24</v>
      </c>
      <c r="D1450" t="s">
        <v>208</v>
      </c>
      <c r="E1450" s="1">
        <v>42</v>
      </c>
      <c r="F1450" s="1" t="s">
        <v>376</v>
      </c>
      <c r="G1450" s="1">
        <v>30</v>
      </c>
      <c r="H1450" s="1" t="s">
        <v>376</v>
      </c>
    </row>
    <row r="1451" spans="1:8">
      <c r="A1451">
        <v>118</v>
      </c>
      <c r="B1451" t="s">
        <v>527</v>
      </c>
      <c r="C1451">
        <v>24</v>
      </c>
      <c r="D1451" t="s">
        <v>208</v>
      </c>
      <c r="E1451" s="1">
        <v>42</v>
      </c>
      <c r="F1451" s="1" t="s">
        <v>378</v>
      </c>
      <c r="G1451" s="1">
        <v>50</v>
      </c>
      <c r="H1451" s="1" t="s">
        <v>378</v>
      </c>
    </row>
    <row r="1452" spans="1:8">
      <c r="A1452">
        <v>118</v>
      </c>
      <c r="B1452" t="s">
        <v>527</v>
      </c>
      <c r="C1452">
        <v>24</v>
      </c>
      <c r="D1452" t="s">
        <v>208</v>
      </c>
      <c r="E1452" s="1">
        <v>44</v>
      </c>
      <c r="F1452" s="1" t="s">
        <v>528</v>
      </c>
      <c r="G1452" s="1">
        <v>20</v>
      </c>
      <c r="H1452" s="1" t="s">
        <v>528</v>
      </c>
    </row>
    <row r="1453" spans="1:8">
      <c r="A1453">
        <v>118</v>
      </c>
      <c r="B1453" t="s">
        <v>527</v>
      </c>
      <c r="C1453">
        <v>24</v>
      </c>
      <c r="D1453" t="s">
        <v>208</v>
      </c>
      <c r="E1453" s="1">
        <v>45</v>
      </c>
      <c r="F1453" s="1" t="s">
        <v>529</v>
      </c>
      <c r="G1453" s="1">
        <v>20</v>
      </c>
      <c r="H1453" s="1" t="s">
        <v>529</v>
      </c>
    </row>
    <row r="1454" spans="1:8">
      <c r="A1454">
        <v>118</v>
      </c>
      <c r="B1454" t="s">
        <v>527</v>
      </c>
      <c r="C1454">
        <v>24</v>
      </c>
      <c r="D1454" t="s">
        <v>208</v>
      </c>
      <c r="E1454" s="1">
        <v>45</v>
      </c>
      <c r="F1454" s="1" t="s">
        <v>530</v>
      </c>
      <c r="G1454" s="1">
        <v>30</v>
      </c>
      <c r="H1454" s="1" t="s">
        <v>530</v>
      </c>
    </row>
    <row r="1455" spans="1:8">
      <c r="A1455">
        <v>118</v>
      </c>
      <c r="B1455" t="s">
        <v>527</v>
      </c>
      <c r="C1455">
        <v>24</v>
      </c>
      <c r="D1455" t="s">
        <v>208</v>
      </c>
      <c r="E1455" s="1">
        <v>45</v>
      </c>
      <c r="F1455" s="1" t="s">
        <v>386</v>
      </c>
      <c r="G1455" s="1">
        <v>40</v>
      </c>
      <c r="H1455" s="1" t="s">
        <v>386</v>
      </c>
    </row>
    <row r="1456" spans="1:8">
      <c r="A1456">
        <v>118</v>
      </c>
      <c r="B1456" t="s">
        <v>527</v>
      </c>
      <c r="C1456">
        <v>24</v>
      </c>
      <c r="D1456" t="s">
        <v>208</v>
      </c>
      <c r="E1456" s="1">
        <v>45</v>
      </c>
      <c r="F1456" s="1" t="s">
        <v>531</v>
      </c>
      <c r="G1456" s="1">
        <v>50</v>
      </c>
      <c r="H1456" s="1" t="s">
        <v>531</v>
      </c>
    </row>
    <row r="1457" spans="1:8">
      <c r="A1457">
        <v>118</v>
      </c>
      <c r="B1457" t="s">
        <v>527</v>
      </c>
      <c r="C1457">
        <v>24</v>
      </c>
      <c r="D1457" t="s">
        <v>208</v>
      </c>
      <c r="E1457" s="1">
        <v>46</v>
      </c>
      <c r="F1457" s="1" t="s">
        <v>532</v>
      </c>
      <c r="G1457" s="1">
        <v>30</v>
      </c>
      <c r="H1457" s="1" t="s">
        <v>532</v>
      </c>
    </row>
    <row r="1458" spans="1:8">
      <c r="A1458">
        <v>118</v>
      </c>
      <c r="B1458" t="s">
        <v>527</v>
      </c>
      <c r="C1458">
        <v>24</v>
      </c>
      <c r="D1458" t="s">
        <v>208</v>
      </c>
      <c r="E1458" s="1">
        <v>46</v>
      </c>
      <c r="F1458" s="1" t="s">
        <v>533</v>
      </c>
      <c r="G1458" s="1">
        <v>40</v>
      </c>
      <c r="H1458" s="1" t="s">
        <v>533</v>
      </c>
    </row>
    <row r="1459" spans="1:8">
      <c r="A1459">
        <v>118</v>
      </c>
      <c r="B1459" t="s">
        <v>527</v>
      </c>
      <c r="C1459">
        <v>24</v>
      </c>
      <c r="D1459" t="s">
        <v>208</v>
      </c>
      <c r="E1459" s="1">
        <v>46</v>
      </c>
      <c r="F1459" s="1" t="s">
        <v>387</v>
      </c>
      <c r="G1459" s="1">
        <v>50</v>
      </c>
      <c r="H1459" s="1" t="s">
        <v>387</v>
      </c>
    </row>
    <row r="1460" spans="1:8">
      <c r="A1460">
        <v>118</v>
      </c>
      <c r="B1460" t="s">
        <v>527</v>
      </c>
      <c r="C1460">
        <v>24</v>
      </c>
      <c r="D1460" t="s">
        <v>208</v>
      </c>
      <c r="E1460" s="1">
        <v>47</v>
      </c>
      <c r="F1460" s="1" t="s">
        <v>388</v>
      </c>
      <c r="G1460" s="1">
        <v>50</v>
      </c>
      <c r="H1460" s="1" t="s">
        <v>388</v>
      </c>
    </row>
    <row r="1461" spans="1:8">
      <c r="A1461">
        <v>118</v>
      </c>
      <c r="B1461" t="s">
        <v>527</v>
      </c>
      <c r="C1461">
        <v>24</v>
      </c>
      <c r="D1461" t="s">
        <v>208</v>
      </c>
      <c r="E1461" s="1">
        <v>48</v>
      </c>
      <c r="F1461" s="1" t="s">
        <v>534</v>
      </c>
      <c r="G1461" s="1">
        <v>50</v>
      </c>
      <c r="H1461" s="1" t="s">
        <v>534</v>
      </c>
    </row>
    <row r="1462" spans="1:8">
      <c r="A1462">
        <v>118</v>
      </c>
      <c r="B1462" t="s">
        <v>527</v>
      </c>
      <c r="C1462">
        <v>24</v>
      </c>
      <c r="D1462" t="s">
        <v>208</v>
      </c>
      <c r="G1462" s="1">
        <v>30</v>
      </c>
    </row>
    <row r="1463" spans="1:8">
      <c r="A1463">
        <v>118</v>
      </c>
      <c r="B1463" t="s">
        <v>527</v>
      </c>
      <c r="C1463">
        <v>24</v>
      </c>
      <c r="D1463" t="s">
        <v>208</v>
      </c>
      <c r="G1463" s="1">
        <v>40</v>
      </c>
    </row>
    <row r="1464" spans="1:8">
      <c r="A1464">
        <v>118</v>
      </c>
      <c r="B1464" t="s">
        <v>527</v>
      </c>
      <c r="C1464">
        <v>24</v>
      </c>
      <c r="D1464" t="s">
        <v>208</v>
      </c>
      <c r="G1464" s="1">
        <v>50</v>
      </c>
    </row>
    <row r="1465" spans="1:8">
      <c r="A1465">
        <v>118</v>
      </c>
      <c r="B1465" t="s">
        <v>527</v>
      </c>
      <c r="C1465">
        <v>24</v>
      </c>
      <c r="D1465" t="s">
        <v>208</v>
      </c>
      <c r="G1465" s="1">
        <v>60</v>
      </c>
    </row>
    <row r="1466" spans="1:8">
      <c r="A1466">
        <v>118</v>
      </c>
      <c r="B1466" t="s">
        <v>527</v>
      </c>
      <c r="C1466">
        <v>24</v>
      </c>
      <c r="D1466" t="s">
        <v>208</v>
      </c>
      <c r="G1466" s="1">
        <v>70</v>
      </c>
    </row>
    <row r="1467" spans="1:8">
      <c r="A1467">
        <v>118</v>
      </c>
      <c r="B1467" t="s">
        <v>527</v>
      </c>
      <c r="C1467">
        <v>24</v>
      </c>
      <c r="D1467" t="s">
        <v>208</v>
      </c>
      <c r="G1467" s="1">
        <v>80</v>
      </c>
    </row>
    <row r="1468" spans="1:8">
      <c r="A1468">
        <v>118</v>
      </c>
      <c r="B1468" t="s">
        <v>527</v>
      </c>
      <c r="C1468">
        <v>24</v>
      </c>
      <c r="D1468" t="s">
        <v>208</v>
      </c>
      <c r="G1468" s="1">
        <v>90</v>
      </c>
    </row>
    <row r="1469" spans="1:8">
      <c r="A1469">
        <v>118</v>
      </c>
      <c r="B1469" t="s">
        <v>527</v>
      </c>
      <c r="C1469">
        <v>27</v>
      </c>
      <c r="D1469" t="s">
        <v>210</v>
      </c>
      <c r="E1469" s="1">
        <v>1</v>
      </c>
      <c r="F1469" s="1">
        <v>40</v>
      </c>
      <c r="G1469" s="1">
        <v>10</v>
      </c>
      <c r="H1469" s="1">
        <v>40</v>
      </c>
    </row>
    <row r="1470" spans="1:8">
      <c r="A1470">
        <v>118</v>
      </c>
      <c r="B1470" t="s">
        <v>527</v>
      </c>
      <c r="C1470">
        <v>27</v>
      </c>
      <c r="D1470" t="s">
        <v>210</v>
      </c>
      <c r="E1470" s="1">
        <v>1</v>
      </c>
      <c r="F1470" s="1">
        <v>41</v>
      </c>
      <c r="G1470" s="1">
        <v>20</v>
      </c>
      <c r="H1470" s="1">
        <v>41</v>
      </c>
    </row>
    <row r="1471" spans="1:8">
      <c r="A1471">
        <v>118</v>
      </c>
      <c r="B1471" t="s">
        <v>527</v>
      </c>
      <c r="C1471">
        <v>31</v>
      </c>
      <c r="D1471" t="s">
        <v>110</v>
      </c>
      <c r="E1471" s="1">
        <v>1</v>
      </c>
      <c r="F1471" s="1" t="s">
        <v>334</v>
      </c>
      <c r="G1471" s="1">
        <v>12</v>
      </c>
      <c r="H1471" s="1" t="s">
        <v>334</v>
      </c>
    </row>
    <row r="1472" spans="1:8">
      <c r="A1472">
        <v>118</v>
      </c>
      <c r="B1472" t="s">
        <v>527</v>
      </c>
      <c r="C1472">
        <v>31</v>
      </c>
      <c r="D1472" t="s">
        <v>110</v>
      </c>
      <c r="E1472" s="1">
        <v>1</v>
      </c>
      <c r="F1472" s="1" t="s">
        <v>335</v>
      </c>
      <c r="G1472" s="1">
        <v>22</v>
      </c>
      <c r="H1472" s="1" t="s">
        <v>335</v>
      </c>
    </row>
    <row r="1473" spans="1:8">
      <c r="A1473">
        <v>118</v>
      </c>
      <c r="B1473" t="s">
        <v>527</v>
      </c>
      <c r="C1473">
        <v>31</v>
      </c>
      <c r="D1473" t="s">
        <v>110</v>
      </c>
      <c r="E1473" s="1">
        <v>1</v>
      </c>
      <c r="F1473" s="1">
        <v>8</v>
      </c>
      <c r="H1473" s="1">
        <v>8</v>
      </c>
    </row>
    <row r="1474" spans="1:8">
      <c r="A1474">
        <v>118</v>
      </c>
      <c r="B1474" t="s">
        <v>527</v>
      </c>
      <c r="C1474">
        <v>31</v>
      </c>
      <c r="D1474" t="s">
        <v>110</v>
      </c>
      <c r="G1474" s="1">
        <v>90</v>
      </c>
    </row>
    <row r="1475" spans="1:8">
      <c r="A1475">
        <v>118</v>
      </c>
      <c r="B1475" t="s">
        <v>527</v>
      </c>
      <c r="C1475">
        <v>31</v>
      </c>
      <c r="D1475" t="s">
        <v>110</v>
      </c>
      <c r="G1475" s="1">
        <v>91</v>
      </c>
    </row>
    <row r="1476" spans="1:8">
      <c r="A1476">
        <v>118</v>
      </c>
      <c r="B1476" t="s">
        <v>527</v>
      </c>
      <c r="C1476">
        <v>31</v>
      </c>
      <c r="D1476" t="s">
        <v>110</v>
      </c>
      <c r="G1476" s="1">
        <v>95</v>
      </c>
    </row>
    <row r="1477" spans="1:8">
      <c r="A1477">
        <v>118</v>
      </c>
      <c r="B1477" t="s">
        <v>527</v>
      </c>
      <c r="C1477">
        <v>38</v>
      </c>
      <c r="D1477" t="s">
        <v>217</v>
      </c>
      <c r="E1477" s="1">
        <v>7</v>
      </c>
      <c r="F1477" s="1" t="s">
        <v>423</v>
      </c>
      <c r="G1477" s="1">
        <v>2</v>
      </c>
      <c r="H1477" s="1" t="s">
        <v>423</v>
      </c>
    </row>
    <row r="1478" spans="1:8">
      <c r="A1478">
        <v>118</v>
      </c>
      <c r="B1478" t="s">
        <v>527</v>
      </c>
      <c r="C1478">
        <v>38</v>
      </c>
      <c r="D1478" t="s">
        <v>217</v>
      </c>
      <c r="E1478" s="1">
        <v>7</v>
      </c>
      <c r="F1478" s="1" t="s">
        <v>425</v>
      </c>
      <c r="H1478" s="1" t="s">
        <v>425</v>
      </c>
    </row>
    <row r="1479" spans="1:8">
      <c r="A1479">
        <v>118</v>
      </c>
      <c r="B1479" t="s">
        <v>527</v>
      </c>
      <c r="C1479">
        <v>38</v>
      </c>
      <c r="D1479" t="s">
        <v>217</v>
      </c>
      <c r="E1479" s="1">
        <v>8</v>
      </c>
      <c r="F1479" s="1" t="s">
        <v>441</v>
      </c>
      <c r="G1479" s="1">
        <v>80</v>
      </c>
      <c r="H1479" s="1" t="s">
        <v>441</v>
      </c>
    </row>
    <row r="1480" spans="1:8">
      <c r="A1480">
        <v>118</v>
      </c>
      <c r="B1480" t="s">
        <v>527</v>
      </c>
      <c r="C1480">
        <v>39</v>
      </c>
      <c r="D1480" t="s">
        <v>218</v>
      </c>
      <c r="E1480" s="1">
        <v>1</v>
      </c>
      <c r="F1480" s="1" t="s">
        <v>430</v>
      </c>
      <c r="G1480" s="1">
        <v>10</v>
      </c>
      <c r="H1480" s="1" t="s">
        <v>430</v>
      </c>
    </row>
    <row r="1481" spans="1:8">
      <c r="A1481">
        <v>118</v>
      </c>
      <c r="B1481" t="s">
        <v>527</v>
      </c>
      <c r="C1481">
        <v>39</v>
      </c>
      <c r="D1481" t="s">
        <v>218</v>
      </c>
      <c r="E1481" s="1">
        <v>1</v>
      </c>
      <c r="F1481" s="1" t="s">
        <v>396</v>
      </c>
      <c r="G1481" s="1">
        <v>20</v>
      </c>
      <c r="H1481" s="1" t="s">
        <v>396</v>
      </c>
    </row>
    <row r="1482" spans="1:8">
      <c r="A1482">
        <v>118</v>
      </c>
      <c r="B1482" t="s">
        <v>527</v>
      </c>
      <c r="C1482">
        <v>39</v>
      </c>
      <c r="D1482" t="s">
        <v>218</v>
      </c>
      <c r="E1482" s="1">
        <v>1</v>
      </c>
      <c r="F1482" s="1" t="s">
        <v>397</v>
      </c>
      <c r="G1482" s="1">
        <v>30</v>
      </c>
      <c r="H1482" s="1" t="s">
        <v>397</v>
      </c>
    </row>
    <row r="1483" spans="1:8">
      <c r="A1483">
        <v>118</v>
      </c>
      <c r="B1483" t="s">
        <v>527</v>
      </c>
      <c r="C1483">
        <v>39</v>
      </c>
      <c r="D1483" t="s">
        <v>218</v>
      </c>
      <c r="E1483" s="1">
        <v>1</v>
      </c>
      <c r="F1483" s="1" t="s">
        <v>398</v>
      </c>
      <c r="G1483" s="1">
        <v>40</v>
      </c>
      <c r="H1483" s="1" t="s">
        <v>398</v>
      </c>
    </row>
    <row r="1484" spans="1:8">
      <c r="A1484">
        <v>118</v>
      </c>
      <c r="B1484" t="s">
        <v>527</v>
      </c>
      <c r="C1484">
        <v>39</v>
      </c>
      <c r="D1484" t="s">
        <v>218</v>
      </c>
      <c r="E1484" s="1">
        <v>1</v>
      </c>
      <c r="F1484" s="1" t="s">
        <v>399</v>
      </c>
      <c r="G1484" s="1">
        <v>50</v>
      </c>
      <c r="H1484" s="1" t="s">
        <v>399</v>
      </c>
    </row>
    <row r="1485" spans="1:8">
      <c r="A1485">
        <v>118</v>
      </c>
      <c r="B1485" t="s">
        <v>527</v>
      </c>
      <c r="C1485">
        <v>39</v>
      </c>
      <c r="D1485" t="s">
        <v>218</v>
      </c>
      <c r="E1485" s="1">
        <v>1</v>
      </c>
      <c r="F1485" s="1" t="s">
        <v>431</v>
      </c>
      <c r="G1485" s="1">
        <v>60</v>
      </c>
      <c r="H1485" s="1" t="s">
        <v>431</v>
      </c>
    </row>
    <row r="1486" spans="1:8">
      <c r="A1486">
        <v>118</v>
      </c>
      <c r="B1486" t="s">
        <v>527</v>
      </c>
      <c r="C1486">
        <v>39</v>
      </c>
      <c r="D1486" t="s">
        <v>218</v>
      </c>
      <c r="E1486" s="1">
        <v>2</v>
      </c>
      <c r="F1486" s="1" t="s">
        <v>402</v>
      </c>
      <c r="G1486" s="1">
        <v>30</v>
      </c>
      <c r="H1486" s="1" t="s">
        <v>402</v>
      </c>
    </row>
    <row r="1487" spans="1:8">
      <c r="A1487">
        <v>118</v>
      </c>
      <c r="B1487" t="s">
        <v>527</v>
      </c>
      <c r="C1487">
        <v>39</v>
      </c>
      <c r="D1487" t="s">
        <v>218</v>
      </c>
      <c r="E1487" s="1">
        <v>2</v>
      </c>
      <c r="F1487" s="1" t="s">
        <v>403</v>
      </c>
      <c r="G1487" s="1">
        <v>40</v>
      </c>
      <c r="H1487" s="1" t="s">
        <v>403</v>
      </c>
    </row>
    <row r="1488" spans="1:8">
      <c r="A1488">
        <v>118</v>
      </c>
      <c r="B1488" t="s">
        <v>527</v>
      </c>
      <c r="C1488">
        <v>39</v>
      </c>
      <c r="D1488" t="s">
        <v>218</v>
      </c>
      <c r="E1488" s="1">
        <v>2</v>
      </c>
      <c r="F1488" s="1" t="s">
        <v>404</v>
      </c>
      <c r="G1488" s="1">
        <v>50</v>
      </c>
      <c r="H1488" s="1" t="s">
        <v>404</v>
      </c>
    </row>
    <row r="1489" spans="1:8">
      <c r="A1489">
        <v>118</v>
      </c>
      <c r="B1489" t="s">
        <v>527</v>
      </c>
      <c r="C1489">
        <v>39</v>
      </c>
      <c r="D1489" t="s">
        <v>218</v>
      </c>
      <c r="E1489" s="1">
        <v>4</v>
      </c>
      <c r="F1489" s="1" t="s">
        <v>410</v>
      </c>
      <c r="G1489" s="1">
        <v>30</v>
      </c>
      <c r="H1489" s="1" t="s">
        <v>410</v>
      </c>
    </row>
    <row r="1490" spans="1:8">
      <c r="A1490">
        <v>118</v>
      </c>
      <c r="B1490" t="s">
        <v>527</v>
      </c>
      <c r="C1490">
        <v>39</v>
      </c>
      <c r="D1490" t="s">
        <v>218</v>
      </c>
      <c r="E1490" s="1">
        <v>4</v>
      </c>
      <c r="F1490" s="1" t="s">
        <v>412</v>
      </c>
      <c r="G1490" s="1">
        <v>50</v>
      </c>
      <c r="H1490" s="1" t="s">
        <v>412</v>
      </c>
    </row>
    <row r="1491" spans="1:8">
      <c r="A1491">
        <v>118</v>
      </c>
      <c r="B1491" t="s">
        <v>527</v>
      </c>
      <c r="C1491">
        <v>39</v>
      </c>
      <c r="D1491" t="s">
        <v>218</v>
      </c>
      <c r="E1491" s="1">
        <v>4</v>
      </c>
      <c r="F1491" s="1" t="s">
        <v>294</v>
      </c>
      <c r="G1491" s="1">
        <v>60</v>
      </c>
      <c r="H1491" s="1" t="s">
        <v>294</v>
      </c>
    </row>
    <row r="1492" spans="1:8">
      <c r="A1492">
        <v>118</v>
      </c>
      <c r="B1492" t="s">
        <v>527</v>
      </c>
      <c r="C1492">
        <v>39</v>
      </c>
      <c r="D1492" t="s">
        <v>218</v>
      </c>
      <c r="E1492" s="1">
        <v>4</v>
      </c>
      <c r="F1492" s="1" t="s">
        <v>413</v>
      </c>
      <c r="G1492" s="1">
        <v>70</v>
      </c>
      <c r="H1492" s="1" t="s">
        <v>413</v>
      </c>
    </row>
    <row r="1493" spans="1:8">
      <c r="A1493">
        <v>118</v>
      </c>
      <c r="B1493" t="s">
        <v>527</v>
      </c>
      <c r="C1493">
        <v>39</v>
      </c>
      <c r="D1493" t="s">
        <v>218</v>
      </c>
      <c r="E1493" s="1">
        <v>6</v>
      </c>
      <c r="F1493" s="1" t="s">
        <v>416</v>
      </c>
      <c r="G1493" s="1">
        <v>30</v>
      </c>
      <c r="H1493" s="1" t="s">
        <v>416</v>
      </c>
    </row>
    <row r="1494" spans="1:8">
      <c r="A1494">
        <v>118</v>
      </c>
      <c r="B1494" t="s">
        <v>527</v>
      </c>
      <c r="C1494">
        <v>41</v>
      </c>
      <c r="D1494" t="s">
        <v>219</v>
      </c>
      <c r="E1494" s="1">
        <v>1</v>
      </c>
      <c r="F1494" s="1" t="s">
        <v>442</v>
      </c>
      <c r="G1494" s="1">
        <v>10</v>
      </c>
      <c r="H1494" s="1" t="s">
        <v>442</v>
      </c>
    </row>
    <row r="1495" spans="1:8">
      <c r="A1495">
        <v>118</v>
      </c>
      <c r="B1495" t="s">
        <v>527</v>
      </c>
      <c r="C1495">
        <v>41</v>
      </c>
      <c r="D1495" t="s">
        <v>219</v>
      </c>
      <c r="E1495" s="1">
        <v>1</v>
      </c>
      <c r="F1495" s="1" t="s">
        <v>511</v>
      </c>
      <c r="G1495" s="1">
        <v>20</v>
      </c>
      <c r="H1495" s="1" t="s">
        <v>511</v>
      </c>
    </row>
    <row r="1496" spans="1:8">
      <c r="A1496">
        <v>118</v>
      </c>
      <c r="B1496" t="s">
        <v>527</v>
      </c>
      <c r="C1496">
        <v>41</v>
      </c>
      <c r="D1496" t="s">
        <v>219</v>
      </c>
      <c r="E1496" s="1">
        <v>1</v>
      </c>
      <c r="F1496" s="1" t="s">
        <v>443</v>
      </c>
      <c r="H1496" s="1" t="s">
        <v>443</v>
      </c>
    </row>
    <row r="1497" spans="1:8">
      <c r="A1497">
        <v>118</v>
      </c>
      <c r="B1497" t="s">
        <v>527</v>
      </c>
      <c r="C1497">
        <v>41</v>
      </c>
      <c r="D1497" t="s">
        <v>219</v>
      </c>
      <c r="G1497" s="1">
        <v>10</v>
      </c>
    </row>
    <row r="1498" spans="1:8">
      <c r="A1498">
        <v>118</v>
      </c>
      <c r="B1498" t="s">
        <v>527</v>
      </c>
      <c r="C1498">
        <v>41</v>
      </c>
      <c r="D1498" t="s">
        <v>219</v>
      </c>
      <c r="G1498" s="1">
        <v>20</v>
      </c>
    </row>
    <row r="1499" spans="1:8">
      <c r="A1499">
        <v>118</v>
      </c>
      <c r="B1499" t="s">
        <v>527</v>
      </c>
      <c r="C1499">
        <v>41</v>
      </c>
      <c r="D1499" t="s">
        <v>219</v>
      </c>
      <c r="G1499" s="1">
        <v>30</v>
      </c>
    </row>
    <row r="1500" spans="1:8">
      <c r="A1500">
        <v>118</v>
      </c>
      <c r="B1500" t="s">
        <v>527</v>
      </c>
      <c r="C1500">
        <v>41</v>
      </c>
      <c r="D1500" t="s">
        <v>219</v>
      </c>
      <c r="G1500" s="1">
        <v>60</v>
      </c>
    </row>
    <row r="1501" spans="1:8">
      <c r="A1501">
        <v>118</v>
      </c>
      <c r="B1501" t="s">
        <v>527</v>
      </c>
      <c r="C1501">
        <v>41</v>
      </c>
      <c r="D1501" t="s">
        <v>219</v>
      </c>
      <c r="G1501" s="1">
        <v>90</v>
      </c>
    </row>
    <row r="1502" spans="1:8">
      <c r="A1502">
        <v>118</v>
      </c>
      <c r="B1502" t="s">
        <v>527</v>
      </c>
      <c r="C1502">
        <v>41</v>
      </c>
      <c r="D1502" t="s">
        <v>219</v>
      </c>
      <c r="G1502" s="1">
        <v>91</v>
      </c>
    </row>
    <row r="1503" spans="1:8">
      <c r="A1503">
        <v>118</v>
      </c>
      <c r="B1503" t="s">
        <v>527</v>
      </c>
      <c r="C1503">
        <v>41</v>
      </c>
      <c r="D1503" t="s">
        <v>219</v>
      </c>
      <c r="G1503" s="1">
        <v>97</v>
      </c>
    </row>
    <row r="1504" spans="1:8">
      <c r="A1504">
        <v>118</v>
      </c>
      <c r="B1504" t="s">
        <v>527</v>
      </c>
      <c r="C1504">
        <v>42</v>
      </c>
      <c r="D1504" t="s">
        <v>220</v>
      </c>
      <c r="E1504" s="1">
        <v>2</v>
      </c>
      <c r="F1504" s="1" t="s">
        <v>512</v>
      </c>
      <c r="G1504" s="1">
        <v>80</v>
      </c>
      <c r="H1504" s="1" t="s">
        <v>512</v>
      </c>
    </row>
    <row r="1505" spans="1:8">
      <c r="A1505">
        <v>118</v>
      </c>
      <c r="B1505" t="s">
        <v>527</v>
      </c>
      <c r="C1505">
        <v>45</v>
      </c>
      <c r="D1505" t="s">
        <v>223</v>
      </c>
      <c r="E1505" s="1">
        <v>1</v>
      </c>
      <c r="F1505" s="1" t="s">
        <v>336</v>
      </c>
      <c r="G1505" s="1">
        <v>13</v>
      </c>
      <c r="H1505" s="1" t="s">
        <v>337</v>
      </c>
    </row>
    <row r="1506" spans="1:8">
      <c r="A1506">
        <v>118</v>
      </c>
      <c r="B1506" t="s">
        <v>527</v>
      </c>
      <c r="C1506">
        <v>45</v>
      </c>
      <c r="D1506" t="s">
        <v>223</v>
      </c>
      <c r="E1506" s="1">
        <v>2</v>
      </c>
      <c r="F1506" s="1" t="s">
        <v>524</v>
      </c>
      <c r="G1506" s="1">
        <v>24</v>
      </c>
      <c r="H1506" s="1" t="s">
        <v>524</v>
      </c>
    </row>
    <row r="1507" spans="1:8">
      <c r="A1507">
        <v>118</v>
      </c>
      <c r="B1507" t="s">
        <v>527</v>
      </c>
      <c r="C1507">
        <v>47</v>
      </c>
      <c r="D1507" t="s">
        <v>445</v>
      </c>
      <c r="E1507" s="1">
        <v>2</v>
      </c>
      <c r="F1507" s="1" t="s">
        <v>535</v>
      </c>
      <c r="G1507" s="1">
        <v>20</v>
      </c>
      <c r="H1507" s="1" t="s">
        <v>535</v>
      </c>
    </row>
    <row r="1508" spans="1:8">
      <c r="A1508">
        <v>118</v>
      </c>
      <c r="B1508" t="s">
        <v>527</v>
      </c>
      <c r="C1508">
        <v>47</v>
      </c>
      <c r="D1508" t="s">
        <v>445</v>
      </c>
      <c r="E1508" s="1">
        <v>4</v>
      </c>
      <c r="F1508" s="1" t="s">
        <v>457</v>
      </c>
      <c r="G1508" s="1">
        <v>70</v>
      </c>
      <c r="H1508" s="1" t="s">
        <v>457</v>
      </c>
    </row>
    <row r="1509" spans="1:8">
      <c r="A1509">
        <v>118</v>
      </c>
      <c r="B1509" t="s">
        <v>527</v>
      </c>
      <c r="C1509">
        <v>50</v>
      </c>
      <c r="D1509" t="s">
        <v>224</v>
      </c>
      <c r="G1509" s="1">
        <v>10</v>
      </c>
    </row>
    <row r="1510" spans="1:8">
      <c r="A1510">
        <v>118</v>
      </c>
      <c r="B1510" t="s">
        <v>527</v>
      </c>
      <c r="C1510">
        <v>57</v>
      </c>
      <c r="D1510" t="s">
        <v>183</v>
      </c>
      <c r="G1510" s="1">
        <v>60</v>
      </c>
    </row>
    <row r="1511" spans="1:8">
      <c r="A1511">
        <v>118</v>
      </c>
      <c r="B1511" t="s">
        <v>527</v>
      </c>
      <c r="C1511">
        <v>58</v>
      </c>
      <c r="D1511" t="s">
        <v>226</v>
      </c>
      <c r="E1511" s="1">
        <v>1</v>
      </c>
      <c r="F1511" s="1" t="s">
        <v>536</v>
      </c>
      <c r="G1511" s="1">
        <v>10</v>
      </c>
      <c r="H1511" s="1" t="s">
        <v>536</v>
      </c>
    </row>
    <row r="1512" spans="1:8">
      <c r="A1512">
        <v>118</v>
      </c>
      <c r="B1512" t="s">
        <v>527</v>
      </c>
      <c r="C1512">
        <v>58</v>
      </c>
      <c r="D1512" t="s">
        <v>226</v>
      </c>
      <c r="E1512" s="1">
        <v>1</v>
      </c>
      <c r="F1512" s="1" t="s">
        <v>537</v>
      </c>
      <c r="G1512" s="1">
        <v>40</v>
      </c>
      <c r="H1512" s="1" t="s">
        <v>537</v>
      </c>
    </row>
    <row r="1513" spans="1:8">
      <c r="A1513">
        <v>118</v>
      </c>
      <c r="B1513" t="s">
        <v>527</v>
      </c>
      <c r="C1513">
        <v>59</v>
      </c>
      <c r="D1513" t="s">
        <v>227</v>
      </c>
      <c r="E1513" s="1">
        <v>3</v>
      </c>
      <c r="F1513" s="1" t="s">
        <v>295</v>
      </c>
      <c r="G1513" s="1">
        <v>23</v>
      </c>
      <c r="H1513" s="1" t="s">
        <v>295</v>
      </c>
    </row>
    <row r="1514" spans="1:8">
      <c r="A1514">
        <v>118</v>
      </c>
      <c r="B1514" t="s">
        <v>527</v>
      </c>
      <c r="C1514">
        <v>62</v>
      </c>
      <c r="D1514" t="s">
        <v>514</v>
      </c>
      <c r="E1514" s="1">
        <v>1</v>
      </c>
      <c r="F1514" s="1" t="s">
        <v>141</v>
      </c>
      <c r="G1514" s="1">
        <v>62</v>
      </c>
      <c r="H1514" s="1" t="s">
        <v>141</v>
      </c>
    </row>
    <row r="1515" spans="1:8">
      <c r="A1515">
        <v>118</v>
      </c>
      <c r="B1515" t="s">
        <v>527</v>
      </c>
      <c r="C1515">
        <v>64</v>
      </c>
      <c r="D1515" t="s">
        <v>230</v>
      </c>
      <c r="G1515" s="1">
        <v>10</v>
      </c>
    </row>
    <row r="1516" spans="1:8">
      <c r="A1516">
        <v>118</v>
      </c>
      <c r="B1516" t="s">
        <v>527</v>
      </c>
      <c r="C1516">
        <v>64</v>
      </c>
      <c r="D1516" t="s">
        <v>230</v>
      </c>
      <c r="G1516" s="1">
        <v>30</v>
      </c>
    </row>
    <row r="1517" spans="1:8">
      <c r="A1517">
        <v>118</v>
      </c>
      <c r="B1517" t="s">
        <v>527</v>
      </c>
      <c r="C1517">
        <v>64</v>
      </c>
      <c r="D1517" t="s">
        <v>230</v>
      </c>
      <c r="G1517" s="1">
        <v>35</v>
      </c>
    </row>
    <row r="1518" spans="1:8">
      <c r="A1518">
        <v>118</v>
      </c>
      <c r="B1518" t="s">
        <v>527</v>
      </c>
      <c r="C1518">
        <v>74</v>
      </c>
      <c r="D1518" t="s">
        <v>235</v>
      </c>
      <c r="E1518" s="1">
        <v>3</v>
      </c>
      <c r="F1518" s="1" t="s">
        <v>320</v>
      </c>
      <c r="G1518" s="1">
        <v>50</v>
      </c>
      <c r="H1518" s="1" t="s">
        <v>320</v>
      </c>
    </row>
    <row r="1519" spans="1:8">
      <c r="A1519">
        <v>118</v>
      </c>
      <c r="B1519" t="s">
        <v>527</v>
      </c>
      <c r="C1519">
        <v>74</v>
      </c>
      <c r="D1519" t="s">
        <v>235</v>
      </c>
      <c r="E1519" s="1">
        <v>3</v>
      </c>
      <c r="F1519" s="1" t="s">
        <v>321</v>
      </c>
      <c r="G1519" s="1">
        <v>60</v>
      </c>
      <c r="H1519" s="1" t="s">
        <v>321</v>
      </c>
    </row>
    <row r="1520" spans="1:8">
      <c r="A1520">
        <v>118</v>
      </c>
      <c r="B1520" t="s">
        <v>527</v>
      </c>
    </row>
    <row r="1521" spans="1:8">
      <c r="A1521">
        <v>119</v>
      </c>
      <c r="B1521" t="s">
        <v>538</v>
      </c>
      <c r="C1521">
        <v>1</v>
      </c>
      <c r="D1521" t="s">
        <v>137</v>
      </c>
      <c r="E1521" s="1">
        <v>1</v>
      </c>
      <c r="F1521" s="1">
        <v>17</v>
      </c>
      <c r="G1521" s="1">
        <v>94</v>
      </c>
      <c r="H1521" s="1">
        <v>17</v>
      </c>
    </row>
    <row r="1522" spans="1:8">
      <c r="A1522">
        <v>119</v>
      </c>
      <c r="B1522" t="s">
        <v>538</v>
      </c>
      <c r="C1522">
        <v>1</v>
      </c>
      <c r="D1522" t="s">
        <v>137</v>
      </c>
      <c r="E1522" s="1">
        <v>2</v>
      </c>
      <c r="F1522" s="1" t="s">
        <v>159</v>
      </c>
      <c r="G1522" s="1">
        <v>2</v>
      </c>
      <c r="H1522" s="1" t="s">
        <v>159</v>
      </c>
    </row>
    <row r="1523" spans="1:8">
      <c r="A1523">
        <v>119</v>
      </c>
      <c r="B1523" t="s">
        <v>538</v>
      </c>
      <c r="C1523">
        <v>1</v>
      </c>
      <c r="D1523" t="s">
        <v>137</v>
      </c>
      <c r="E1523" s="1">
        <v>2</v>
      </c>
      <c r="F1523" s="1">
        <v>19</v>
      </c>
      <c r="G1523" s="1">
        <v>10</v>
      </c>
      <c r="H1523" s="1">
        <v>19</v>
      </c>
    </row>
    <row r="1524" spans="1:8">
      <c r="A1524">
        <v>119</v>
      </c>
      <c r="B1524" t="s">
        <v>538</v>
      </c>
      <c r="C1524">
        <v>1</v>
      </c>
      <c r="D1524" t="s">
        <v>137</v>
      </c>
      <c r="E1524" s="1">
        <v>2</v>
      </c>
      <c r="F1524" s="1" t="s">
        <v>162</v>
      </c>
      <c r="G1524" s="1">
        <v>12</v>
      </c>
      <c r="H1524" s="1" t="s">
        <v>162</v>
      </c>
    </row>
    <row r="1525" spans="1:8">
      <c r="A1525">
        <v>119</v>
      </c>
      <c r="B1525" t="s">
        <v>538</v>
      </c>
      <c r="C1525">
        <v>1</v>
      </c>
      <c r="D1525" t="s">
        <v>137</v>
      </c>
      <c r="E1525" s="1">
        <v>2</v>
      </c>
      <c r="F1525" s="1">
        <v>20</v>
      </c>
      <c r="G1525" s="1">
        <v>20</v>
      </c>
      <c r="H1525" s="1">
        <v>20</v>
      </c>
    </row>
    <row r="1526" spans="1:8">
      <c r="A1526">
        <v>119</v>
      </c>
      <c r="B1526" t="s">
        <v>538</v>
      </c>
      <c r="C1526">
        <v>1</v>
      </c>
      <c r="D1526" t="s">
        <v>137</v>
      </c>
      <c r="E1526" s="1">
        <v>2</v>
      </c>
      <c r="F1526" s="1" t="s">
        <v>165</v>
      </c>
      <c r="G1526" s="1">
        <v>22</v>
      </c>
      <c r="H1526" s="1" t="s">
        <v>165</v>
      </c>
    </row>
    <row r="1527" spans="1:8">
      <c r="A1527">
        <v>119</v>
      </c>
      <c r="B1527" t="s">
        <v>538</v>
      </c>
      <c r="C1527">
        <v>1</v>
      </c>
      <c r="D1527" t="s">
        <v>137</v>
      </c>
      <c r="E1527" s="1">
        <v>2</v>
      </c>
      <c r="F1527" s="1">
        <v>21</v>
      </c>
      <c r="G1527" s="1">
        <v>30</v>
      </c>
      <c r="H1527" s="1">
        <v>21</v>
      </c>
    </row>
    <row r="1528" spans="1:8">
      <c r="A1528">
        <v>119</v>
      </c>
      <c r="B1528" t="s">
        <v>538</v>
      </c>
      <c r="C1528">
        <v>1</v>
      </c>
      <c r="D1528" t="s">
        <v>137</v>
      </c>
      <c r="E1528" s="1">
        <v>2</v>
      </c>
      <c r="F1528" s="1" t="s">
        <v>168</v>
      </c>
      <c r="G1528" s="1">
        <v>32</v>
      </c>
      <c r="H1528" s="1" t="s">
        <v>168</v>
      </c>
    </row>
    <row r="1529" spans="1:8">
      <c r="A1529">
        <v>119</v>
      </c>
      <c r="B1529" t="s">
        <v>538</v>
      </c>
      <c r="C1529">
        <v>1</v>
      </c>
      <c r="D1529" t="s">
        <v>137</v>
      </c>
      <c r="E1529" s="1">
        <v>2</v>
      </c>
      <c r="F1529" s="1">
        <v>22</v>
      </c>
      <c r="G1529" s="1">
        <v>40</v>
      </c>
      <c r="H1529" s="1">
        <v>22</v>
      </c>
    </row>
    <row r="1530" spans="1:8">
      <c r="A1530">
        <v>119</v>
      </c>
      <c r="B1530" t="s">
        <v>538</v>
      </c>
      <c r="C1530">
        <v>1</v>
      </c>
      <c r="D1530" t="s">
        <v>137</v>
      </c>
      <c r="E1530" s="1">
        <v>2</v>
      </c>
      <c r="F1530" s="1" t="s">
        <v>171</v>
      </c>
      <c r="G1530" s="1">
        <v>42</v>
      </c>
      <c r="H1530" s="1" t="s">
        <v>171</v>
      </c>
    </row>
    <row r="1531" spans="1:8">
      <c r="A1531">
        <v>119</v>
      </c>
      <c r="B1531" t="s">
        <v>538</v>
      </c>
      <c r="C1531">
        <v>1</v>
      </c>
      <c r="D1531" t="s">
        <v>137</v>
      </c>
      <c r="E1531" s="1">
        <v>2</v>
      </c>
      <c r="F1531" s="1">
        <v>23</v>
      </c>
      <c r="G1531" s="1">
        <v>50</v>
      </c>
      <c r="H1531" s="1">
        <v>23</v>
      </c>
    </row>
    <row r="1532" spans="1:8">
      <c r="A1532">
        <v>119</v>
      </c>
      <c r="B1532" t="s">
        <v>538</v>
      </c>
      <c r="C1532">
        <v>1</v>
      </c>
      <c r="D1532" t="s">
        <v>137</v>
      </c>
      <c r="E1532" s="1">
        <v>2</v>
      </c>
      <c r="F1532" s="1" t="s">
        <v>174</v>
      </c>
      <c r="G1532" s="1">
        <v>52</v>
      </c>
      <c r="H1532" s="1" t="s">
        <v>174</v>
      </c>
    </row>
    <row r="1533" spans="1:8">
      <c r="A1533">
        <v>119</v>
      </c>
      <c r="B1533" t="s">
        <v>538</v>
      </c>
      <c r="C1533">
        <v>1</v>
      </c>
      <c r="D1533" t="s">
        <v>137</v>
      </c>
      <c r="E1533" s="1">
        <v>2</v>
      </c>
      <c r="F1533" s="1">
        <v>24</v>
      </c>
      <c r="G1533" s="1">
        <v>60</v>
      </c>
      <c r="H1533" s="1">
        <v>24</v>
      </c>
    </row>
    <row r="1534" spans="1:8">
      <c r="A1534">
        <v>119</v>
      </c>
      <c r="B1534" t="s">
        <v>538</v>
      </c>
      <c r="C1534">
        <v>1</v>
      </c>
      <c r="D1534" t="s">
        <v>137</v>
      </c>
      <c r="E1534" s="1">
        <v>2</v>
      </c>
      <c r="F1534" s="1" t="s">
        <v>180</v>
      </c>
      <c r="G1534" s="1">
        <v>72</v>
      </c>
      <c r="H1534" s="1" t="s">
        <v>180</v>
      </c>
    </row>
    <row r="1535" spans="1:8">
      <c r="A1535">
        <v>119</v>
      </c>
      <c r="B1535" t="s">
        <v>538</v>
      </c>
      <c r="C1535">
        <v>11</v>
      </c>
      <c r="D1535" t="s">
        <v>186</v>
      </c>
      <c r="E1535" s="1">
        <v>1</v>
      </c>
      <c r="F1535" s="1" t="s">
        <v>192</v>
      </c>
      <c r="G1535" s="1">
        <v>2</v>
      </c>
      <c r="H1535" s="1" t="s">
        <v>192</v>
      </c>
    </row>
    <row r="1536" spans="1:8">
      <c r="A1536">
        <v>119</v>
      </c>
      <c r="B1536" t="s">
        <v>538</v>
      </c>
      <c r="C1536">
        <v>11</v>
      </c>
      <c r="D1536" t="s">
        <v>186</v>
      </c>
      <c r="E1536" s="1">
        <v>1</v>
      </c>
      <c r="F1536" s="1" t="s">
        <v>193</v>
      </c>
      <c r="G1536" s="1">
        <v>12</v>
      </c>
      <c r="H1536" s="1" t="s">
        <v>193</v>
      </c>
    </row>
    <row r="1537" spans="1:8">
      <c r="A1537">
        <v>119</v>
      </c>
      <c r="B1537" t="s">
        <v>538</v>
      </c>
      <c r="C1537">
        <v>11</v>
      </c>
      <c r="D1537" t="s">
        <v>186</v>
      </c>
      <c r="E1537" s="1">
        <v>1</v>
      </c>
      <c r="F1537" s="1">
        <v>41</v>
      </c>
      <c r="G1537" s="1">
        <v>20</v>
      </c>
      <c r="H1537" s="1">
        <v>41</v>
      </c>
    </row>
    <row r="1538" spans="1:8">
      <c r="A1538">
        <v>119</v>
      </c>
      <c r="B1538" t="s">
        <v>538</v>
      </c>
      <c r="C1538">
        <v>11</v>
      </c>
      <c r="D1538" t="s">
        <v>186</v>
      </c>
      <c r="E1538" s="1">
        <v>1</v>
      </c>
      <c r="F1538" s="1" t="s">
        <v>194</v>
      </c>
      <c r="G1538" s="1">
        <v>22</v>
      </c>
      <c r="H1538" s="1" t="s">
        <v>194</v>
      </c>
    </row>
    <row r="1539" spans="1:8">
      <c r="A1539">
        <v>119</v>
      </c>
      <c r="B1539" t="s">
        <v>538</v>
      </c>
      <c r="C1539">
        <v>11</v>
      </c>
      <c r="D1539" t="s">
        <v>186</v>
      </c>
      <c r="E1539" s="1">
        <v>1</v>
      </c>
      <c r="F1539" s="1">
        <v>42</v>
      </c>
      <c r="G1539" s="1">
        <v>30</v>
      </c>
      <c r="H1539" s="1">
        <v>42</v>
      </c>
    </row>
    <row r="1540" spans="1:8">
      <c r="A1540">
        <v>119</v>
      </c>
      <c r="B1540" t="s">
        <v>538</v>
      </c>
      <c r="C1540">
        <v>11</v>
      </c>
      <c r="D1540" t="s">
        <v>186</v>
      </c>
      <c r="E1540" s="1">
        <v>1</v>
      </c>
      <c r="F1540" s="1" t="s">
        <v>195</v>
      </c>
      <c r="G1540" s="1">
        <v>32</v>
      </c>
      <c r="H1540" s="1" t="s">
        <v>195</v>
      </c>
    </row>
    <row r="1541" spans="1:8">
      <c r="A1541">
        <v>119</v>
      </c>
      <c r="B1541" t="s">
        <v>538</v>
      </c>
      <c r="C1541">
        <v>11</v>
      </c>
      <c r="D1541" t="s">
        <v>186</v>
      </c>
      <c r="E1541" s="1">
        <v>1</v>
      </c>
      <c r="F1541" s="1">
        <v>43</v>
      </c>
      <c r="G1541" s="1">
        <v>40</v>
      </c>
      <c r="H1541" s="1">
        <v>43</v>
      </c>
    </row>
    <row r="1542" spans="1:8">
      <c r="A1542">
        <v>119</v>
      </c>
      <c r="B1542" t="s">
        <v>538</v>
      </c>
      <c r="C1542">
        <v>11</v>
      </c>
      <c r="D1542" t="s">
        <v>186</v>
      </c>
      <c r="E1542" s="1">
        <v>1</v>
      </c>
      <c r="F1542" s="1" t="s">
        <v>196</v>
      </c>
      <c r="G1542" s="1">
        <v>42</v>
      </c>
      <c r="H1542" s="1" t="s">
        <v>196</v>
      </c>
    </row>
    <row r="1543" spans="1:8">
      <c r="A1543">
        <v>119</v>
      </c>
      <c r="B1543" t="s">
        <v>538</v>
      </c>
      <c r="C1543">
        <v>11</v>
      </c>
      <c r="D1543" t="s">
        <v>186</v>
      </c>
      <c r="E1543" s="1">
        <v>1</v>
      </c>
      <c r="F1543" s="1">
        <v>44</v>
      </c>
      <c r="G1543" s="1">
        <v>50</v>
      </c>
      <c r="H1543" s="1">
        <v>44</v>
      </c>
    </row>
    <row r="1544" spans="1:8">
      <c r="A1544">
        <v>119</v>
      </c>
      <c r="B1544" t="s">
        <v>538</v>
      </c>
      <c r="C1544">
        <v>11</v>
      </c>
      <c r="D1544" t="s">
        <v>186</v>
      </c>
      <c r="E1544" s="1">
        <v>1</v>
      </c>
      <c r="F1544" s="1" t="s">
        <v>197</v>
      </c>
      <c r="G1544" s="1">
        <v>52</v>
      </c>
      <c r="H1544" s="1" t="s">
        <v>197</v>
      </c>
    </row>
    <row r="1545" spans="1:8">
      <c r="A1545">
        <v>119</v>
      </c>
      <c r="B1545" t="s">
        <v>538</v>
      </c>
      <c r="C1545">
        <v>11</v>
      </c>
      <c r="D1545" t="s">
        <v>186</v>
      </c>
      <c r="E1545" s="1">
        <v>1</v>
      </c>
      <c r="F1545" s="1">
        <v>45</v>
      </c>
      <c r="G1545" s="1">
        <v>60</v>
      </c>
      <c r="H1545" s="1">
        <v>45</v>
      </c>
    </row>
    <row r="1546" spans="1:8">
      <c r="A1546">
        <v>119</v>
      </c>
      <c r="B1546" t="s">
        <v>538</v>
      </c>
      <c r="C1546">
        <v>11</v>
      </c>
      <c r="D1546" t="s">
        <v>186</v>
      </c>
      <c r="E1546" s="1">
        <v>1</v>
      </c>
      <c r="F1546" s="1" t="s">
        <v>198</v>
      </c>
      <c r="G1546" s="1">
        <v>62</v>
      </c>
      <c r="H1546" s="1" t="s">
        <v>198</v>
      </c>
    </row>
    <row r="1547" spans="1:8">
      <c r="A1547">
        <v>119</v>
      </c>
      <c r="B1547" t="s">
        <v>538</v>
      </c>
      <c r="C1547">
        <v>13</v>
      </c>
      <c r="D1547" t="s">
        <v>200</v>
      </c>
      <c r="E1547" s="1">
        <v>1</v>
      </c>
      <c r="F1547" s="1">
        <v>43</v>
      </c>
      <c r="G1547" s="1">
        <v>40</v>
      </c>
      <c r="H1547" s="1">
        <v>43</v>
      </c>
    </row>
    <row r="1548" spans="1:8">
      <c r="A1548">
        <v>119</v>
      </c>
      <c r="B1548" t="s">
        <v>538</v>
      </c>
      <c r="C1548">
        <v>21</v>
      </c>
      <c r="D1548" t="s">
        <v>205</v>
      </c>
      <c r="E1548" s="1">
        <v>1</v>
      </c>
      <c r="F1548" s="1" t="s">
        <v>287</v>
      </c>
      <c r="G1548" s="1">
        <v>52</v>
      </c>
      <c r="H1548" s="1" t="s">
        <v>287</v>
      </c>
    </row>
    <row r="1549" spans="1:8">
      <c r="A1549">
        <v>119</v>
      </c>
      <c r="B1549" t="s">
        <v>538</v>
      </c>
      <c r="C1549">
        <v>42</v>
      </c>
      <c r="D1549" t="s">
        <v>220</v>
      </c>
      <c r="E1549" s="1">
        <v>1</v>
      </c>
      <c r="F1549" s="1" t="s">
        <v>526</v>
      </c>
      <c r="G1549" s="1">
        <v>60</v>
      </c>
      <c r="H1549" s="1" t="s">
        <v>526</v>
      </c>
    </row>
    <row r="1550" spans="1:8">
      <c r="A1550">
        <v>119</v>
      </c>
      <c r="B1550" t="s">
        <v>538</v>
      </c>
      <c r="C1550">
        <v>52</v>
      </c>
      <c r="D1550" t="s">
        <v>539</v>
      </c>
      <c r="E1550" s="1">
        <v>90</v>
      </c>
      <c r="F1550" s="1">
        <v>60</v>
      </c>
      <c r="G1550" s="1">
        <v>60</v>
      </c>
      <c r="H1550" s="1">
        <v>60</v>
      </c>
    </row>
    <row r="1551" spans="1:8">
      <c r="A1551">
        <v>119</v>
      </c>
      <c r="B1551" t="s">
        <v>538</v>
      </c>
      <c r="C1551">
        <v>57</v>
      </c>
      <c r="D1551" t="s">
        <v>183</v>
      </c>
      <c r="G1551" s="1">
        <v>60</v>
      </c>
    </row>
    <row r="1552" spans="1:8">
      <c r="A1552">
        <v>120</v>
      </c>
      <c r="B1552" t="s">
        <v>540</v>
      </c>
      <c r="C1552">
        <v>1</v>
      </c>
      <c r="D1552" t="s">
        <v>137</v>
      </c>
      <c r="E1552" s="1">
        <v>1</v>
      </c>
      <c r="F1552" s="1">
        <v>14</v>
      </c>
      <c r="G1552" s="1">
        <v>70</v>
      </c>
      <c r="H1552" s="1">
        <v>14</v>
      </c>
    </row>
    <row r="1553" spans="1:8">
      <c r="A1553">
        <v>120</v>
      </c>
      <c r="B1553" t="s">
        <v>540</v>
      </c>
      <c r="C1553">
        <v>1</v>
      </c>
      <c r="D1553" t="s">
        <v>137</v>
      </c>
      <c r="E1553" s="1">
        <v>1</v>
      </c>
      <c r="F1553" s="1" t="s">
        <v>147</v>
      </c>
      <c r="G1553" s="1">
        <v>72</v>
      </c>
      <c r="H1553" s="1" t="s">
        <v>147</v>
      </c>
    </row>
    <row r="1554" spans="1:8">
      <c r="A1554">
        <v>120</v>
      </c>
      <c r="B1554" t="s">
        <v>540</v>
      </c>
      <c r="C1554">
        <v>1</v>
      </c>
      <c r="D1554" t="s">
        <v>137</v>
      </c>
      <c r="E1554" s="1">
        <v>1</v>
      </c>
      <c r="F1554" s="1">
        <v>15</v>
      </c>
      <c r="G1554" s="1">
        <v>80</v>
      </c>
      <c r="H1554" s="1">
        <v>15</v>
      </c>
    </row>
    <row r="1555" spans="1:8">
      <c r="A1555">
        <v>120</v>
      </c>
      <c r="B1555" t="s">
        <v>540</v>
      </c>
      <c r="C1555">
        <v>1</v>
      </c>
      <c r="D1555" t="s">
        <v>137</v>
      </c>
      <c r="E1555" s="1">
        <v>1</v>
      </c>
      <c r="F1555" s="1" t="s">
        <v>150</v>
      </c>
      <c r="G1555" s="1">
        <v>82</v>
      </c>
      <c r="H1555" s="1" t="s">
        <v>150</v>
      </c>
    </row>
    <row r="1556" spans="1:8">
      <c r="A1556">
        <v>120</v>
      </c>
      <c r="B1556" t="s">
        <v>540</v>
      </c>
      <c r="C1556">
        <v>1</v>
      </c>
      <c r="D1556" t="s">
        <v>137</v>
      </c>
      <c r="E1556" s="1">
        <v>1</v>
      </c>
      <c r="F1556" s="1">
        <v>16</v>
      </c>
      <c r="G1556" s="1">
        <v>90</v>
      </c>
      <c r="H1556" s="1">
        <v>16</v>
      </c>
    </row>
    <row r="1557" spans="1:8">
      <c r="A1557">
        <v>120</v>
      </c>
      <c r="B1557" t="s">
        <v>540</v>
      </c>
      <c r="C1557">
        <v>1</v>
      </c>
      <c r="D1557" t="s">
        <v>137</v>
      </c>
      <c r="E1557" s="1">
        <v>1</v>
      </c>
      <c r="F1557" s="1" t="s">
        <v>153</v>
      </c>
      <c r="G1557" s="1">
        <v>92</v>
      </c>
      <c r="H1557" s="1" t="s">
        <v>153</v>
      </c>
    </row>
    <row r="1558" spans="1:8">
      <c r="A1558">
        <v>120</v>
      </c>
      <c r="B1558" t="s">
        <v>540</v>
      </c>
      <c r="C1558">
        <v>1</v>
      </c>
      <c r="D1558" t="s">
        <v>137</v>
      </c>
      <c r="E1558" s="1">
        <v>1</v>
      </c>
      <c r="F1558" s="1">
        <v>17</v>
      </c>
      <c r="G1558" s="1">
        <v>94</v>
      </c>
      <c r="H1558" s="1">
        <v>17</v>
      </c>
    </row>
    <row r="1559" spans="1:8">
      <c r="A1559">
        <v>120</v>
      </c>
      <c r="B1559" t="s">
        <v>540</v>
      </c>
      <c r="C1559">
        <v>1</v>
      </c>
      <c r="D1559" t="s">
        <v>137</v>
      </c>
      <c r="E1559" s="1">
        <v>1</v>
      </c>
      <c r="F1559" s="1" t="s">
        <v>156</v>
      </c>
      <c r="G1559" s="1">
        <v>96</v>
      </c>
      <c r="H1559" s="1" t="s">
        <v>156</v>
      </c>
    </row>
    <row r="1560" spans="1:8">
      <c r="A1560">
        <v>120</v>
      </c>
      <c r="B1560" t="s">
        <v>540</v>
      </c>
      <c r="C1560">
        <v>1</v>
      </c>
      <c r="D1560" t="s">
        <v>137</v>
      </c>
      <c r="E1560" s="1">
        <v>2</v>
      </c>
      <c r="F1560" s="1" t="s">
        <v>159</v>
      </c>
      <c r="G1560" s="1">
        <v>2</v>
      </c>
      <c r="H1560" s="1" t="s">
        <v>159</v>
      </c>
    </row>
    <row r="1561" spans="1:8">
      <c r="A1561">
        <v>120</v>
      </c>
      <c r="B1561" t="s">
        <v>540</v>
      </c>
      <c r="C1561">
        <v>1</v>
      </c>
      <c r="D1561" t="s">
        <v>137</v>
      </c>
      <c r="E1561" s="1">
        <v>2</v>
      </c>
      <c r="F1561" s="1">
        <v>19</v>
      </c>
      <c r="G1561" s="1">
        <v>10</v>
      </c>
      <c r="H1561" s="1">
        <v>19</v>
      </c>
    </row>
    <row r="1562" spans="1:8">
      <c r="A1562">
        <v>120</v>
      </c>
      <c r="B1562" t="s">
        <v>540</v>
      </c>
      <c r="C1562">
        <v>1</v>
      </c>
      <c r="D1562" t="s">
        <v>137</v>
      </c>
      <c r="E1562" s="1">
        <v>2</v>
      </c>
      <c r="F1562" s="1" t="s">
        <v>162</v>
      </c>
      <c r="G1562" s="1">
        <v>12</v>
      </c>
      <c r="H1562" s="1" t="s">
        <v>162</v>
      </c>
    </row>
    <row r="1563" spans="1:8">
      <c r="A1563">
        <v>120</v>
      </c>
      <c r="B1563" t="s">
        <v>540</v>
      </c>
      <c r="C1563">
        <v>1</v>
      </c>
      <c r="D1563" t="s">
        <v>137</v>
      </c>
      <c r="E1563" s="1">
        <v>2</v>
      </c>
      <c r="F1563" s="1">
        <v>20</v>
      </c>
      <c r="G1563" s="1">
        <v>20</v>
      </c>
      <c r="H1563" s="1">
        <v>20</v>
      </c>
    </row>
    <row r="1564" spans="1:8">
      <c r="A1564">
        <v>120</v>
      </c>
      <c r="B1564" t="s">
        <v>540</v>
      </c>
      <c r="C1564">
        <v>1</v>
      </c>
      <c r="D1564" t="s">
        <v>137</v>
      </c>
      <c r="E1564" s="1">
        <v>2</v>
      </c>
      <c r="F1564" s="1" t="s">
        <v>165</v>
      </c>
      <c r="G1564" s="1">
        <v>22</v>
      </c>
      <c r="H1564" s="1" t="s">
        <v>165</v>
      </c>
    </row>
    <row r="1565" spans="1:8">
      <c r="A1565">
        <v>120</v>
      </c>
      <c r="B1565" t="s">
        <v>540</v>
      </c>
      <c r="C1565">
        <v>1</v>
      </c>
      <c r="D1565" t="s">
        <v>137</v>
      </c>
      <c r="E1565" s="1">
        <v>2</v>
      </c>
      <c r="F1565" s="1">
        <v>21</v>
      </c>
      <c r="G1565" s="1">
        <v>30</v>
      </c>
      <c r="H1565" s="1">
        <v>21</v>
      </c>
    </row>
    <row r="1566" spans="1:8">
      <c r="A1566">
        <v>120</v>
      </c>
      <c r="B1566" t="s">
        <v>540</v>
      </c>
      <c r="C1566">
        <v>1</v>
      </c>
      <c r="D1566" t="s">
        <v>137</v>
      </c>
      <c r="E1566" s="1">
        <v>2</v>
      </c>
      <c r="F1566" s="1" t="s">
        <v>168</v>
      </c>
      <c r="G1566" s="1">
        <v>32</v>
      </c>
      <c r="H1566" s="1" t="s">
        <v>168</v>
      </c>
    </row>
    <row r="1567" spans="1:8">
      <c r="A1567">
        <v>120</v>
      </c>
      <c r="B1567" t="s">
        <v>540</v>
      </c>
      <c r="C1567">
        <v>1</v>
      </c>
      <c r="D1567" t="s">
        <v>137</v>
      </c>
      <c r="E1567" s="1">
        <v>2</v>
      </c>
      <c r="F1567" s="1">
        <v>22</v>
      </c>
      <c r="G1567" s="1">
        <v>40</v>
      </c>
      <c r="H1567" s="1">
        <v>22</v>
      </c>
    </row>
    <row r="1568" spans="1:8">
      <c r="A1568">
        <v>120</v>
      </c>
      <c r="B1568" t="s">
        <v>540</v>
      </c>
      <c r="C1568">
        <v>1</v>
      </c>
      <c r="D1568" t="s">
        <v>137</v>
      </c>
      <c r="E1568" s="1">
        <v>2</v>
      </c>
      <c r="F1568" s="1" t="s">
        <v>171</v>
      </c>
      <c r="G1568" s="1">
        <v>42</v>
      </c>
      <c r="H1568" s="1" t="s">
        <v>171</v>
      </c>
    </row>
    <row r="1569" spans="1:8">
      <c r="A1569">
        <v>120</v>
      </c>
      <c r="B1569" t="s">
        <v>540</v>
      </c>
      <c r="C1569">
        <v>1</v>
      </c>
      <c r="D1569" t="s">
        <v>137</v>
      </c>
      <c r="E1569" s="1">
        <v>2</v>
      </c>
      <c r="F1569" s="1">
        <v>23</v>
      </c>
      <c r="G1569" s="1">
        <v>50</v>
      </c>
      <c r="H1569" s="1">
        <v>23</v>
      </c>
    </row>
    <row r="1570" spans="1:8">
      <c r="A1570">
        <v>120</v>
      </c>
      <c r="B1570" t="s">
        <v>540</v>
      </c>
      <c r="C1570">
        <v>1</v>
      </c>
      <c r="D1570" t="s">
        <v>137</v>
      </c>
      <c r="E1570" s="1">
        <v>2</v>
      </c>
      <c r="F1570" s="1" t="s">
        <v>174</v>
      </c>
      <c r="G1570" s="1">
        <v>52</v>
      </c>
      <c r="H1570" s="1" t="s">
        <v>174</v>
      </c>
    </row>
    <row r="1571" spans="1:8">
      <c r="A1571">
        <v>120</v>
      </c>
      <c r="B1571" t="s">
        <v>540</v>
      </c>
      <c r="C1571">
        <v>1</v>
      </c>
      <c r="D1571" t="s">
        <v>137</v>
      </c>
      <c r="E1571" s="1">
        <v>2</v>
      </c>
      <c r="F1571" s="1" t="s">
        <v>177</v>
      </c>
      <c r="G1571" s="1">
        <v>62</v>
      </c>
      <c r="H1571" s="1" t="s">
        <v>177</v>
      </c>
    </row>
    <row r="1572" spans="1:8">
      <c r="A1572">
        <v>120</v>
      </c>
      <c r="B1572" t="s">
        <v>540</v>
      </c>
      <c r="C1572">
        <v>1</v>
      </c>
      <c r="D1572" t="s">
        <v>137</v>
      </c>
      <c r="E1572" s="1">
        <v>2</v>
      </c>
      <c r="F1572" s="1">
        <v>18</v>
      </c>
      <c r="H1572" s="1">
        <v>18</v>
      </c>
    </row>
    <row r="1573" spans="1:8">
      <c r="A1573">
        <v>120</v>
      </c>
      <c r="B1573" t="s">
        <v>540</v>
      </c>
      <c r="C1573">
        <v>5</v>
      </c>
      <c r="D1573" t="s">
        <v>183</v>
      </c>
      <c r="G1573" s="1">
        <v>60</v>
      </c>
    </row>
    <row r="1574" spans="1:8">
      <c r="A1574">
        <v>120</v>
      </c>
      <c r="B1574" t="s">
        <v>540</v>
      </c>
      <c r="C1574">
        <v>5</v>
      </c>
      <c r="D1574" t="s">
        <v>183</v>
      </c>
      <c r="G1574" s="1">
        <v>80</v>
      </c>
    </row>
    <row r="1575" spans="1:8">
      <c r="A1575">
        <v>120</v>
      </c>
      <c r="B1575" t="s">
        <v>540</v>
      </c>
      <c r="C1575">
        <v>6</v>
      </c>
      <c r="D1575" t="s">
        <v>184</v>
      </c>
      <c r="G1575" s="1">
        <v>23</v>
      </c>
    </row>
    <row r="1576" spans="1:8">
      <c r="A1576">
        <v>120</v>
      </c>
      <c r="B1576" t="s">
        <v>540</v>
      </c>
      <c r="C1576">
        <v>6</v>
      </c>
      <c r="D1576" t="s">
        <v>184</v>
      </c>
      <c r="G1576" s="1">
        <v>63</v>
      </c>
    </row>
    <row r="1577" spans="1:8">
      <c r="A1577">
        <v>120</v>
      </c>
      <c r="B1577" t="s">
        <v>540</v>
      </c>
      <c r="C1577">
        <v>11</v>
      </c>
      <c r="D1577" t="s">
        <v>186</v>
      </c>
      <c r="E1577" s="1">
        <v>1</v>
      </c>
      <c r="F1577" s="1" t="s">
        <v>192</v>
      </c>
      <c r="G1577" s="1">
        <v>2</v>
      </c>
      <c r="H1577" s="1" t="s">
        <v>192</v>
      </c>
    </row>
    <row r="1578" spans="1:8">
      <c r="A1578">
        <v>120</v>
      </c>
      <c r="B1578" t="s">
        <v>540</v>
      </c>
      <c r="C1578">
        <v>11</v>
      </c>
      <c r="D1578" t="s">
        <v>186</v>
      </c>
      <c r="E1578" s="1">
        <v>1</v>
      </c>
      <c r="F1578" s="1">
        <v>40</v>
      </c>
      <c r="G1578" s="1">
        <v>10</v>
      </c>
      <c r="H1578" s="1">
        <v>40</v>
      </c>
    </row>
    <row r="1579" spans="1:8">
      <c r="A1579">
        <v>120</v>
      </c>
      <c r="B1579" t="s">
        <v>540</v>
      </c>
      <c r="C1579">
        <v>11</v>
      </c>
      <c r="D1579" t="s">
        <v>186</v>
      </c>
      <c r="E1579" s="1">
        <v>1</v>
      </c>
      <c r="F1579" s="1" t="s">
        <v>193</v>
      </c>
      <c r="G1579" s="1">
        <v>12</v>
      </c>
      <c r="H1579" s="1" t="s">
        <v>193</v>
      </c>
    </row>
    <row r="1580" spans="1:8">
      <c r="A1580">
        <v>120</v>
      </c>
      <c r="B1580" t="s">
        <v>540</v>
      </c>
      <c r="C1580">
        <v>11</v>
      </c>
      <c r="D1580" t="s">
        <v>186</v>
      </c>
      <c r="E1580" s="1">
        <v>1</v>
      </c>
      <c r="F1580" s="1">
        <v>41</v>
      </c>
      <c r="G1580" s="1">
        <v>20</v>
      </c>
      <c r="H1580" s="1">
        <v>41</v>
      </c>
    </row>
    <row r="1581" spans="1:8">
      <c r="A1581">
        <v>120</v>
      </c>
      <c r="B1581" t="s">
        <v>540</v>
      </c>
      <c r="C1581">
        <v>11</v>
      </c>
      <c r="D1581" t="s">
        <v>186</v>
      </c>
      <c r="E1581" s="1">
        <v>1</v>
      </c>
      <c r="F1581" s="1" t="s">
        <v>194</v>
      </c>
      <c r="G1581" s="1">
        <v>22</v>
      </c>
      <c r="H1581" s="1" t="s">
        <v>194</v>
      </c>
    </row>
    <row r="1582" spans="1:8">
      <c r="A1582">
        <v>120</v>
      </c>
      <c r="B1582" t="s">
        <v>540</v>
      </c>
      <c r="C1582">
        <v>11</v>
      </c>
      <c r="D1582" t="s">
        <v>186</v>
      </c>
      <c r="E1582" s="1">
        <v>1</v>
      </c>
      <c r="F1582" s="1">
        <v>42</v>
      </c>
      <c r="G1582" s="1">
        <v>30</v>
      </c>
      <c r="H1582" s="1">
        <v>42</v>
      </c>
    </row>
    <row r="1583" spans="1:8">
      <c r="A1583">
        <v>120</v>
      </c>
      <c r="B1583" t="s">
        <v>540</v>
      </c>
      <c r="C1583">
        <v>11</v>
      </c>
      <c r="D1583" t="s">
        <v>186</v>
      </c>
      <c r="E1583" s="1">
        <v>1</v>
      </c>
      <c r="F1583" s="1" t="s">
        <v>195</v>
      </c>
      <c r="G1583" s="1">
        <v>32</v>
      </c>
      <c r="H1583" s="1" t="s">
        <v>195</v>
      </c>
    </row>
    <row r="1584" spans="1:8">
      <c r="A1584">
        <v>120</v>
      </c>
      <c r="B1584" t="s">
        <v>540</v>
      </c>
      <c r="C1584">
        <v>11</v>
      </c>
      <c r="D1584" t="s">
        <v>186</v>
      </c>
      <c r="E1584" s="1">
        <v>1</v>
      </c>
      <c r="F1584" s="1">
        <v>43</v>
      </c>
      <c r="G1584" s="1">
        <v>40</v>
      </c>
      <c r="H1584" s="1">
        <v>43</v>
      </c>
    </row>
    <row r="1585" spans="1:8">
      <c r="A1585">
        <v>120</v>
      </c>
      <c r="B1585" t="s">
        <v>540</v>
      </c>
      <c r="C1585">
        <v>11</v>
      </c>
      <c r="D1585" t="s">
        <v>186</v>
      </c>
      <c r="E1585" s="1">
        <v>1</v>
      </c>
      <c r="F1585" s="1" t="s">
        <v>196</v>
      </c>
      <c r="G1585" s="1">
        <v>42</v>
      </c>
      <c r="H1585" s="1" t="s">
        <v>196</v>
      </c>
    </row>
    <row r="1586" spans="1:8">
      <c r="A1586">
        <v>120</v>
      </c>
      <c r="B1586" t="s">
        <v>540</v>
      </c>
      <c r="C1586">
        <v>11</v>
      </c>
      <c r="D1586" t="s">
        <v>186</v>
      </c>
      <c r="E1586" s="1">
        <v>1</v>
      </c>
      <c r="F1586" s="1">
        <v>44</v>
      </c>
      <c r="G1586" s="1">
        <v>50</v>
      </c>
      <c r="H1586" s="1">
        <v>44</v>
      </c>
    </row>
    <row r="1587" spans="1:8">
      <c r="A1587">
        <v>120</v>
      </c>
      <c r="B1587" t="s">
        <v>540</v>
      </c>
      <c r="C1587">
        <v>11</v>
      </c>
      <c r="D1587" t="s">
        <v>186</v>
      </c>
      <c r="E1587" s="1">
        <v>1</v>
      </c>
      <c r="F1587" s="1" t="s">
        <v>197</v>
      </c>
      <c r="G1587" s="1">
        <v>52</v>
      </c>
      <c r="H1587" s="1" t="s">
        <v>197</v>
      </c>
    </row>
    <row r="1588" spans="1:8">
      <c r="A1588">
        <v>120</v>
      </c>
      <c r="B1588" t="s">
        <v>540</v>
      </c>
      <c r="C1588">
        <v>11</v>
      </c>
      <c r="D1588" t="s">
        <v>186</v>
      </c>
      <c r="E1588" s="1">
        <v>1</v>
      </c>
      <c r="F1588" s="1">
        <v>45</v>
      </c>
      <c r="G1588" s="1">
        <v>60</v>
      </c>
      <c r="H1588" s="1">
        <v>45</v>
      </c>
    </row>
    <row r="1589" spans="1:8">
      <c r="A1589">
        <v>120</v>
      </c>
      <c r="B1589" t="s">
        <v>540</v>
      </c>
      <c r="C1589">
        <v>11</v>
      </c>
      <c r="D1589" t="s">
        <v>186</v>
      </c>
      <c r="E1589" s="1">
        <v>1</v>
      </c>
      <c r="F1589" s="1" t="s">
        <v>198</v>
      </c>
      <c r="G1589" s="1">
        <v>62</v>
      </c>
      <c r="H1589" s="1" t="s">
        <v>198</v>
      </c>
    </row>
    <row r="1590" spans="1:8">
      <c r="A1590">
        <v>120</v>
      </c>
      <c r="B1590" t="s">
        <v>540</v>
      </c>
      <c r="C1590">
        <v>11</v>
      </c>
      <c r="D1590" t="s">
        <v>186</v>
      </c>
      <c r="E1590" s="1">
        <v>1</v>
      </c>
      <c r="F1590" s="1" t="s">
        <v>199</v>
      </c>
      <c r="G1590" s="1">
        <v>72</v>
      </c>
      <c r="H1590" s="1" t="s">
        <v>199</v>
      </c>
    </row>
    <row r="1591" spans="1:8">
      <c r="A1591">
        <v>120</v>
      </c>
      <c r="B1591" t="s">
        <v>540</v>
      </c>
      <c r="C1591">
        <v>11</v>
      </c>
      <c r="D1591" t="s">
        <v>186</v>
      </c>
      <c r="E1591" s="1">
        <v>1</v>
      </c>
      <c r="F1591" s="1">
        <v>39</v>
      </c>
      <c r="H1591" s="1">
        <v>39</v>
      </c>
    </row>
    <row r="1592" spans="1:8">
      <c r="A1592">
        <v>120</v>
      </c>
      <c r="B1592" t="s">
        <v>540</v>
      </c>
      <c r="C1592">
        <v>11</v>
      </c>
      <c r="D1592" t="s">
        <v>186</v>
      </c>
      <c r="G1592" s="1">
        <v>82</v>
      </c>
    </row>
    <row r="1593" spans="1:8">
      <c r="A1593">
        <v>120</v>
      </c>
      <c r="B1593" t="s">
        <v>540</v>
      </c>
      <c r="C1593">
        <v>11</v>
      </c>
      <c r="D1593" t="s">
        <v>186</v>
      </c>
      <c r="G1593" s="1">
        <v>90</v>
      </c>
    </row>
    <row r="1594" spans="1:8">
      <c r="A1594">
        <v>120</v>
      </c>
      <c r="B1594" t="s">
        <v>540</v>
      </c>
      <c r="C1594">
        <v>12</v>
      </c>
      <c r="D1594" t="s">
        <v>107</v>
      </c>
      <c r="E1594" s="1">
        <v>1</v>
      </c>
      <c r="F1594" s="1">
        <v>40</v>
      </c>
      <c r="G1594" s="1">
        <v>10</v>
      </c>
      <c r="H1594" s="1">
        <v>40</v>
      </c>
    </row>
    <row r="1595" spans="1:8">
      <c r="A1595">
        <v>120</v>
      </c>
      <c r="B1595" t="s">
        <v>540</v>
      </c>
      <c r="C1595">
        <v>12</v>
      </c>
      <c r="D1595" t="s">
        <v>107</v>
      </c>
      <c r="E1595" s="1">
        <v>1</v>
      </c>
      <c r="F1595" s="1" t="s">
        <v>193</v>
      </c>
      <c r="G1595" s="1">
        <v>12</v>
      </c>
      <c r="H1595" s="1" t="s">
        <v>193</v>
      </c>
    </row>
    <row r="1596" spans="1:8">
      <c r="A1596">
        <v>120</v>
      </c>
      <c r="B1596" t="s">
        <v>540</v>
      </c>
      <c r="C1596">
        <v>12</v>
      </c>
      <c r="D1596" t="s">
        <v>107</v>
      </c>
      <c r="E1596" s="1">
        <v>1</v>
      </c>
      <c r="F1596" s="1">
        <v>41</v>
      </c>
      <c r="G1596" s="1">
        <v>20</v>
      </c>
      <c r="H1596" s="1">
        <v>41</v>
      </c>
    </row>
    <row r="1597" spans="1:8">
      <c r="A1597">
        <v>120</v>
      </c>
      <c r="B1597" t="s">
        <v>540</v>
      </c>
      <c r="C1597">
        <v>12</v>
      </c>
      <c r="D1597" t="s">
        <v>107</v>
      </c>
      <c r="E1597" s="1">
        <v>1</v>
      </c>
      <c r="F1597" s="1" t="s">
        <v>194</v>
      </c>
      <c r="G1597" s="1">
        <v>22</v>
      </c>
      <c r="H1597" s="1" t="s">
        <v>194</v>
      </c>
    </row>
    <row r="1598" spans="1:8">
      <c r="A1598">
        <v>120</v>
      </c>
      <c r="B1598" t="s">
        <v>540</v>
      </c>
      <c r="C1598">
        <v>12</v>
      </c>
      <c r="D1598" t="s">
        <v>107</v>
      </c>
      <c r="E1598" s="1">
        <v>1</v>
      </c>
      <c r="F1598" s="1">
        <v>42</v>
      </c>
      <c r="G1598" s="1">
        <v>30</v>
      </c>
      <c r="H1598" s="1">
        <v>42</v>
      </c>
    </row>
    <row r="1599" spans="1:8">
      <c r="A1599">
        <v>120</v>
      </c>
      <c r="B1599" t="s">
        <v>540</v>
      </c>
      <c r="C1599">
        <v>12</v>
      </c>
      <c r="D1599" t="s">
        <v>107</v>
      </c>
      <c r="E1599" s="1">
        <v>1</v>
      </c>
      <c r="F1599" s="1" t="s">
        <v>195</v>
      </c>
      <c r="G1599" s="1">
        <v>32</v>
      </c>
      <c r="H1599" s="1" t="s">
        <v>195</v>
      </c>
    </row>
    <row r="1600" spans="1:8">
      <c r="A1600">
        <v>120</v>
      </c>
      <c r="B1600" t="s">
        <v>540</v>
      </c>
      <c r="C1600">
        <v>12</v>
      </c>
      <c r="D1600" t="s">
        <v>107</v>
      </c>
      <c r="E1600" s="1">
        <v>1</v>
      </c>
      <c r="F1600" s="1" t="s">
        <v>196</v>
      </c>
      <c r="G1600" s="1">
        <v>42</v>
      </c>
      <c r="H1600" s="1" t="s">
        <v>196</v>
      </c>
    </row>
    <row r="1601" spans="1:8">
      <c r="A1601">
        <v>120</v>
      </c>
      <c r="B1601" t="s">
        <v>540</v>
      </c>
      <c r="C1601">
        <v>12</v>
      </c>
      <c r="D1601" t="s">
        <v>107</v>
      </c>
      <c r="E1601" s="1">
        <v>1</v>
      </c>
      <c r="F1601" s="1">
        <v>44</v>
      </c>
      <c r="G1601" s="1">
        <v>50</v>
      </c>
      <c r="H1601" s="1">
        <v>44</v>
      </c>
    </row>
    <row r="1602" spans="1:8">
      <c r="A1602">
        <v>120</v>
      </c>
      <c r="B1602" t="s">
        <v>540</v>
      </c>
      <c r="C1602">
        <v>12</v>
      </c>
      <c r="D1602" t="s">
        <v>107</v>
      </c>
      <c r="E1602" s="1">
        <v>1</v>
      </c>
      <c r="F1602" s="1" t="s">
        <v>197</v>
      </c>
      <c r="G1602" s="1">
        <v>52</v>
      </c>
      <c r="H1602" s="1" t="s">
        <v>197</v>
      </c>
    </row>
    <row r="1603" spans="1:8">
      <c r="A1603">
        <v>120</v>
      </c>
      <c r="B1603" t="s">
        <v>540</v>
      </c>
      <c r="C1603">
        <v>12</v>
      </c>
      <c r="D1603" t="s">
        <v>107</v>
      </c>
      <c r="E1603" s="1">
        <v>1</v>
      </c>
      <c r="F1603" s="1" t="s">
        <v>198</v>
      </c>
      <c r="G1603" s="1">
        <v>62</v>
      </c>
      <c r="H1603" s="1" t="s">
        <v>198</v>
      </c>
    </row>
    <row r="1604" spans="1:8">
      <c r="A1604">
        <v>120</v>
      </c>
      <c r="B1604" t="s">
        <v>540</v>
      </c>
      <c r="C1604">
        <v>12</v>
      </c>
      <c r="D1604" t="s">
        <v>107</v>
      </c>
      <c r="E1604" s="1">
        <v>1</v>
      </c>
      <c r="F1604" s="1" t="s">
        <v>199</v>
      </c>
      <c r="G1604" s="1">
        <v>72</v>
      </c>
      <c r="H1604" s="1" t="s">
        <v>199</v>
      </c>
    </row>
    <row r="1605" spans="1:8">
      <c r="A1605">
        <v>120</v>
      </c>
      <c r="B1605" t="s">
        <v>540</v>
      </c>
      <c r="C1605">
        <v>13</v>
      </c>
      <c r="D1605" t="s">
        <v>200</v>
      </c>
      <c r="E1605" s="1">
        <v>1</v>
      </c>
      <c r="F1605" s="1" t="s">
        <v>193</v>
      </c>
      <c r="G1605" s="1">
        <v>12</v>
      </c>
      <c r="H1605" s="1" t="s">
        <v>193</v>
      </c>
    </row>
    <row r="1606" spans="1:8">
      <c r="A1606">
        <v>120</v>
      </c>
      <c r="B1606" t="s">
        <v>540</v>
      </c>
      <c r="C1606">
        <v>13</v>
      </c>
      <c r="D1606" t="s">
        <v>200</v>
      </c>
      <c r="E1606" s="1">
        <v>1</v>
      </c>
      <c r="F1606" s="1">
        <v>41</v>
      </c>
      <c r="G1606" s="1">
        <v>20</v>
      </c>
      <c r="H1606" s="1">
        <v>41</v>
      </c>
    </row>
    <row r="1607" spans="1:8">
      <c r="A1607">
        <v>120</v>
      </c>
      <c r="B1607" t="s">
        <v>540</v>
      </c>
      <c r="C1607">
        <v>13</v>
      </c>
      <c r="D1607" t="s">
        <v>200</v>
      </c>
      <c r="E1607" s="1">
        <v>1</v>
      </c>
      <c r="F1607" s="1" t="s">
        <v>194</v>
      </c>
      <c r="G1607" s="1">
        <v>22</v>
      </c>
      <c r="H1607" s="1" t="s">
        <v>194</v>
      </c>
    </row>
    <row r="1608" spans="1:8">
      <c r="A1608">
        <v>120</v>
      </c>
      <c r="B1608" t="s">
        <v>540</v>
      </c>
      <c r="C1608">
        <v>13</v>
      </c>
      <c r="D1608" t="s">
        <v>200</v>
      </c>
      <c r="E1608" s="1">
        <v>1</v>
      </c>
      <c r="F1608" s="1" t="s">
        <v>195</v>
      </c>
      <c r="G1608" s="1">
        <v>32</v>
      </c>
      <c r="H1608" s="1" t="s">
        <v>195</v>
      </c>
    </row>
    <row r="1609" spans="1:8">
      <c r="A1609">
        <v>120</v>
      </c>
      <c r="B1609" t="s">
        <v>540</v>
      </c>
      <c r="C1609">
        <v>13</v>
      </c>
      <c r="D1609" t="s">
        <v>200</v>
      </c>
      <c r="E1609" s="1">
        <v>1</v>
      </c>
      <c r="F1609" s="1" t="s">
        <v>196</v>
      </c>
      <c r="G1609" s="1">
        <v>42</v>
      </c>
      <c r="H1609" s="1" t="s">
        <v>196</v>
      </c>
    </row>
    <row r="1610" spans="1:8">
      <c r="A1610">
        <v>120</v>
      </c>
      <c r="B1610" t="s">
        <v>540</v>
      </c>
      <c r="C1610">
        <v>13</v>
      </c>
      <c r="D1610" t="s">
        <v>200</v>
      </c>
      <c r="E1610" s="1">
        <v>1</v>
      </c>
      <c r="F1610" s="1">
        <v>44</v>
      </c>
      <c r="G1610" s="1">
        <v>50</v>
      </c>
      <c r="H1610" s="1">
        <v>44</v>
      </c>
    </row>
    <row r="1611" spans="1:8">
      <c r="A1611">
        <v>120</v>
      </c>
      <c r="B1611" t="s">
        <v>540</v>
      </c>
      <c r="C1611">
        <v>13</v>
      </c>
      <c r="D1611" t="s">
        <v>200</v>
      </c>
      <c r="E1611" s="1">
        <v>1</v>
      </c>
      <c r="F1611" s="1">
        <v>39</v>
      </c>
      <c r="H1611" s="1">
        <v>39</v>
      </c>
    </row>
    <row r="1612" spans="1:8">
      <c r="A1612">
        <v>120</v>
      </c>
      <c r="B1612" t="s">
        <v>540</v>
      </c>
      <c r="C1612">
        <v>13</v>
      </c>
      <c r="D1612" t="s">
        <v>200</v>
      </c>
      <c r="G1612" s="1">
        <v>96</v>
      </c>
    </row>
    <row r="1613" spans="1:8">
      <c r="A1613">
        <v>120</v>
      </c>
      <c r="B1613" t="s">
        <v>540</v>
      </c>
      <c r="C1613">
        <v>21</v>
      </c>
      <c r="D1613" t="s">
        <v>205</v>
      </c>
      <c r="E1613" s="1">
        <v>1</v>
      </c>
      <c r="F1613" s="1" t="s">
        <v>541</v>
      </c>
      <c r="G1613" s="1">
        <v>2</v>
      </c>
      <c r="H1613" s="1" t="s">
        <v>541</v>
      </c>
    </row>
    <row r="1614" spans="1:8">
      <c r="A1614">
        <v>120</v>
      </c>
      <c r="B1614" t="s">
        <v>540</v>
      </c>
      <c r="C1614">
        <v>21</v>
      </c>
      <c r="D1614" t="s">
        <v>205</v>
      </c>
      <c r="E1614" s="1">
        <v>1</v>
      </c>
      <c r="F1614" s="1" t="s">
        <v>394</v>
      </c>
      <c r="G1614" s="1">
        <v>12</v>
      </c>
      <c r="H1614" s="1" t="s">
        <v>394</v>
      </c>
    </row>
    <row r="1615" spans="1:8">
      <c r="A1615">
        <v>120</v>
      </c>
      <c r="B1615" t="s">
        <v>540</v>
      </c>
      <c r="C1615">
        <v>21</v>
      </c>
      <c r="D1615" t="s">
        <v>205</v>
      </c>
      <c r="E1615" s="1">
        <v>1</v>
      </c>
      <c r="F1615" s="1" t="s">
        <v>330</v>
      </c>
      <c r="G1615" s="1">
        <v>42</v>
      </c>
      <c r="H1615" s="1" t="s">
        <v>330</v>
      </c>
    </row>
    <row r="1616" spans="1:8">
      <c r="A1616">
        <v>120</v>
      </c>
      <c r="B1616" t="s">
        <v>540</v>
      </c>
      <c r="C1616">
        <v>21</v>
      </c>
      <c r="D1616" t="s">
        <v>205</v>
      </c>
      <c r="E1616" s="1">
        <v>1</v>
      </c>
      <c r="F1616" s="1" t="s">
        <v>331</v>
      </c>
      <c r="G1616" s="1">
        <v>50</v>
      </c>
      <c r="H1616" s="1" t="s">
        <v>331</v>
      </c>
    </row>
    <row r="1617" spans="1:8">
      <c r="A1617">
        <v>120</v>
      </c>
      <c r="B1617" t="s">
        <v>540</v>
      </c>
      <c r="C1617">
        <v>21</v>
      </c>
      <c r="D1617" t="s">
        <v>205</v>
      </c>
      <c r="E1617" s="1">
        <v>1</v>
      </c>
      <c r="F1617" s="1" t="s">
        <v>287</v>
      </c>
      <c r="G1617" s="1">
        <v>52</v>
      </c>
      <c r="H1617" s="1" t="s">
        <v>287</v>
      </c>
    </row>
    <row r="1618" spans="1:8">
      <c r="A1618">
        <v>120</v>
      </c>
      <c r="B1618" t="s">
        <v>540</v>
      </c>
      <c r="C1618">
        <v>21</v>
      </c>
      <c r="D1618" t="s">
        <v>205</v>
      </c>
      <c r="E1618" s="1">
        <v>1</v>
      </c>
      <c r="F1618" s="1" t="s">
        <v>288</v>
      </c>
      <c r="G1618" s="1">
        <v>62</v>
      </c>
      <c r="H1618" s="1" t="s">
        <v>288</v>
      </c>
    </row>
    <row r="1619" spans="1:8">
      <c r="A1619">
        <v>120</v>
      </c>
      <c r="B1619" t="s">
        <v>540</v>
      </c>
      <c r="C1619">
        <v>27</v>
      </c>
      <c r="D1619" t="s">
        <v>210</v>
      </c>
      <c r="E1619" s="1">
        <v>1</v>
      </c>
      <c r="F1619" s="1" t="s">
        <v>196</v>
      </c>
      <c r="G1619" s="1">
        <v>42</v>
      </c>
      <c r="H1619" s="1" t="s">
        <v>196</v>
      </c>
    </row>
    <row r="1620" spans="1:8">
      <c r="A1620">
        <v>120</v>
      </c>
      <c r="B1620" t="s">
        <v>540</v>
      </c>
      <c r="C1620">
        <v>27</v>
      </c>
      <c r="D1620" t="s">
        <v>210</v>
      </c>
      <c r="E1620" s="1">
        <v>1</v>
      </c>
      <c r="F1620" s="1">
        <v>45</v>
      </c>
      <c r="G1620" s="1">
        <v>60</v>
      </c>
      <c r="H1620" s="1">
        <v>45</v>
      </c>
    </row>
    <row r="1621" spans="1:8">
      <c r="A1621">
        <v>120</v>
      </c>
      <c r="B1621" t="s">
        <v>540</v>
      </c>
      <c r="C1621">
        <v>45</v>
      </c>
      <c r="D1621" t="s">
        <v>223</v>
      </c>
      <c r="E1621" s="1">
        <v>1</v>
      </c>
      <c r="F1621" s="1" t="s">
        <v>336</v>
      </c>
      <c r="G1621" s="1">
        <v>13</v>
      </c>
      <c r="H1621" s="1" t="s">
        <v>337</v>
      </c>
    </row>
    <row r="1622" spans="1:8">
      <c r="A1622">
        <v>120</v>
      </c>
      <c r="B1622" t="s">
        <v>540</v>
      </c>
      <c r="C1622">
        <v>45</v>
      </c>
      <c r="D1622" t="s">
        <v>223</v>
      </c>
      <c r="E1622" s="1">
        <v>1</v>
      </c>
      <c r="F1622" s="1" t="s">
        <v>324</v>
      </c>
      <c r="G1622" s="1">
        <v>14</v>
      </c>
      <c r="H1622" s="1" t="s">
        <v>325</v>
      </c>
    </row>
    <row r="1623" spans="1:8">
      <c r="A1623">
        <v>120</v>
      </c>
      <c r="B1623" t="s">
        <v>540</v>
      </c>
      <c r="C1623">
        <v>45</v>
      </c>
      <c r="D1623" t="s">
        <v>223</v>
      </c>
      <c r="E1623" s="1">
        <v>1</v>
      </c>
      <c r="F1623" s="1" t="s">
        <v>542</v>
      </c>
      <c r="G1623" s="1">
        <v>64</v>
      </c>
      <c r="H1623" s="1" t="s">
        <v>543</v>
      </c>
    </row>
    <row r="1624" spans="1:8">
      <c r="A1624">
        <v>120</v>
      </c>
      <c r="B1624" t="s">
        <v>540</v>
      </c>
      <c r="C1624">
        <v>45</v>
      </c>
      <c r="D1624" t="s">
        <v>223</v>
      </c>
      <c r="E1624" s="1">
        <v>2</v>
      </c>
      <c r="F1624" s="1" t="s">
        <v>524</v>
      </c>
      <c r="G1624" s="1">
        <v>24</v>
      </c>
      <c r="H1624" s="1" t="s">
        <v>524</v>
      </c>
    </row>
    <row r="1625" spans="1:8">
      <c r="A1625">
        <v>120</v>
      </c>
      <c r="B1625" t="s">
        <v>540</v>
      </c>
      <c r="C1625">
        <v>56</v>
      </c>
      <c r="D1625" t="s">
        <v>544</v>
      </c>
      <c r="G1625" s="1">
        <v>30</v>
      </c>
    </row>
    <row r="1626" spans="1:8">
      <c r="A1626">
        <v>120</v>
      </c>
      <c r="B1626" t="s">
        <v>540</v>
      </c>
      <c r="C1626">
        <v>56</v>
      </c>
      <c r="D1626" t="s">
        <v>544</v>
      </c>
      <c r="G1626" s="1">
        <v>40</v>
      </c>
    </row>
    <row r="1627" spans="1:8">
      <c r="A1627">
        <v>120</v>
      </c>
      <c r="B1627" t="s">
        <v>540</v>
      </c>
      <c r="C1627">
        <v>56</v>
      </c>
      <c r="D1627" t="s">
        <v>544</v>
      </c>
      <c r="G1627" s="1">
        <v>50</v>
      </c>
    </row>
    <row r="1628" spans="1:8">
      <c r="A1628">
        <v>120</v>
      </c>
      <c r="B1628" t="s">
        <v>540</v>
      </c>
      <c r="C1628">
        <v>56</v>
      </c>
      <c r="D1628" t="s">
        <v>544</v>
      </c>
      <c r="G1628" s="1">
        <v>60</v>
      </c>
    </row>
    <row r="1629" spans="1:8">
      <c r="A1629">
        <v>120</v>
      </c>
      <c r="B1629" t="s">
        <v>540</v>
      </c>
      <c r="C1629">
        <v>56</v>
      </c>
      <c r="D1629" t="s">
        <v>544</v>
      </c>
      <c r="G1629" s="1">
        <v>70</v>
      </c>
    </row>
    <row r="1630" spans="1:8">
      <c r="A1630">
        <v>120</v>
      </c>
      <c r="B1630" t="s">
        <v>540</v>
      </c>
      <c r="C1630">
        <v>56</v>
      </c>
      <c r="D1630" t="s">
        <v>544</v>
      </c>
      <c r="G1630" s="1">
        <v>80</v>
      </c>
    </row>
    <row r="1631" spans="1:8">
      <c r="A1631">
        <v>120</v>
      </c>
      <c r="B1631" t="s">
        <v>540</v>
      </c>
      <c r="C1631">
        <v>56</v>
      </c>
      <c r="D1631" t="s">
        <v>544</v>
      </c>
      <c r="G1631" s="1">
        <v>90</v>
      </c>
    </row>
    <row r="1632" spans="1:8">
      <c r="A1632">
        <v>120</v>
      </c>
      <c r="B1632" t="s">
        <v>540</v>
      </c>
      <c r="C1632">
        <v>57</v>
      </c>
      <c r="D1632" t="s">
        <v>183</v>
      </c>
      <c r="E1632" s="1">
        <v>3</v>
      </c>
      <c r="F1632" s="1" t="s">
        <v>338</v>
      </c>
      <c r="G1632" s="1">
        <v>60</v>
      </c>
      <c r="H1632" s="1" t="s">
        <v>338</v>
      </c>
    </row>
    <row r="1633" spans="1:8">
      <c r="A1633">
        <v>120</v>
      </c>
      <c r="B1633" t="s">
        <v>540</v>
      </c>
      <c r="C1633">
        <v>57</v>
      </c>
      <c r="D1633" t="s">
        <v>183</v>
      </c>
      <c r="G1633" s="1">
        <v>50</v>
      </c>
    </row>
    <row r="1634" spans="1:8">
      <c r="A1634">
        <v>120</v>
      </c>
      <c r="B1634" t="s">
        <v>540</v>
      </c>
      <c r="C1634">
        <v>59</v>
      </c>
      <c r="D1634" t="s">
        <v>227</v>
      </c>
      <c r="E1634" s="1">
        <v>3</v>
      </c>
      <c r="F1634" s="1" t="s">
        <v>295</v>
      </c>
      <c r="G1634" s="1">
        <v>23</v>
      </c>
      <c r="H1634" s="1" t="s">
        <v>295</v>
      </c>
    </row>
    <row r="1635" spans="1:8">
      <c r="A1635">
        <v>120</v>
      </c>
      <c r="B1635" t="s">
        <v>540</v>
      </c>
      <c r="C1635">
        <v>74</v>
      </c>
      <c r="D1635" t="s">
        <v>235</v>
      </c>
      <c r="E1635" s="1">
        <v>3</v>
      </c>
      <c r="F1635" s="1" t="s">
        <v>320</v>
      </c>
      <c r="G1635" s="1">
        <v>50</v>
      </c>
      <c r="H1635" s="1" t="s">
        <v>320</v>
      </c>
    </row>
    <row r="1636" spans="1:8">
      <c r="A1636">
        <v>120</v>
      </c>
      <c r="B1636" t="s">
        <v>540</v>
      </c>
      <c r="C1636">
        <v>74</v>
      </c>
      <c r="D1636" t="s">
        <v>235</v>
      </c>
      <c r="E1636" s="1">
        <v>3</v>
      </c>
      <c r="F1636" s="1" t="s">
        <v>321</v>
      </c>
      <c r="G1636" s="1">
        <v>60</v>
      </c>
      <c r="H1636" s="1" t="s">
        <v>321</v>
      </c>
    </row>
    <row r="1637" spans="1:8">
      <c r="A1637">
        <v>120</v>
      </c>
      <c r="B1637" t="s">
        <v>540</v>
      </c>
      <c r="C1637">
        <v>87</v>
      </c>
      <c r="D1637" t="s">
        <v>545</v>
      </c>
      <c r="E1637" s="1">
        <v>1</v>
      </c>
      <c r="F1637" s="1" t="s">
        <v>546</v>
      </c>
      <c r="G1637" s="1">
        <v>24</v>
      </c>
      <c r="H1637" s="1" t="s">
        <v>546</v>
      </c>
    </row>
    <row r="1638" spans="1:8">
      <c r="A1638">
        <v>120</v>
      </c>
      <c r="B1638" t="s">
        <v>540</v>
      </c>
    </row>
    <row r="1639" spans="1:8">
      <c r="A1639">
        <v>121</v>
      </c>
      <c r="B1639" t="s">
        <v>547</v>
      </c>
      <c r="C1639">
        <v>1</v>
      </c>
      <c r="D1639" t="s">
        <v>137</v>
      </c>
      <c r="E1639" s="1">
        <v>1</v>
      </c>
      <c r="F1639" s="1">
        <v>15</v>
      </c>
      <c r="G1639" s="1">
        <v>80</v>
      </c>
      <c r="H1639" s="1">
        <v>15</v>
      </c>
    </row>
    <row r="1640" spans="1:8">
      <c r="A1640">
        <v>121</v>
      </c>
      <c r="B1640" t="s">
        <v>547</v>
      </c>
      <c r="C1640">
        <v>1</v>
      </c>
      <c r="D1640" t="s">
        <v>137</v>
      </c>
      <c r="E1640" s="1">
        <v>1</v>
      </c>
      <c r="F1640" s="1" t="s">
        <v>153</v>
      </c>
      <c r="G1640" s="1">
        <v>92</v>
      </c>
      <c r="H1640" s="1" t="s">
        <v>153</v>
      </c>
    </row>
    <row r="1641" spans="1:8">
      <c r="A1641">
        <v>121</v>
      </c>
      <c r="B1641" t="s">
        <v>547</v>
      </c>
      <c r="C1641">
        <v>1</v>
      </c>
      <c r="D1641" t="s">
        <v>137</v>
      </c>
      <c r="E1641" s="1">
        <v>1</v>
      </c>
      <c r="F1641" s="1" t="s">
        <v>156</v>
      </c>
      <c r="G1641" s="1">
        <v>96</v>
      </c>
      <c r="H1641" s="1" t="s">
        <v>156</v>
      </c>
    </row>
    <row r="1642" spans="1:8">
      <c r="A1642">
        <v>121</v>
      </c>
      <c r="B1642" t="s">
        <v>547</v>
      </c>
      <c r="C1642">
        <v>1</v>
      </c>
      <c r="D1642" t="s">
        <v>137</v>
      </c>
      <c r="E1642" s="1">
        <v>2</v>
      </c>
      <c r="F1642" s="1" t="s">
        <v>159</v>
      </c>
      <c r="G1642" s="1">
        <v>2</v>
      </c>
      <c r="H1642" s="1" t="s">
        <v>159</v>
      </c>
    </row>
    <row r="1643" spans="1:8">
      <c r="A1643">
        <v>121</v>
      </c>
      <c r="B1643" t="s">
        <v>547</v>
      </c>
      <c r="C1643">
        <v>1</v>
      </c>
      <c r="D1643" t="s">
        <v>137</v>
      </c>
      <c r="E1643" s="1">
        <v>2</v>
      </c>
      <c r="F1643" s="1">
        <v>19</v>
      </c>
      <c r="G1643" s="1">
        <v>10</v>
      </c>
      <c r="H1643" s="1">
        <v>19</v>
      </c>
    </row>
    <row r="1644" spans="1:8">
      <c r="A1644">
        <v>121</v>
      </c>
      <c r="B1644" t="s">
        <v>547</v>
      </c>
      <c r="C1644">
        <v>1</v>
      </c>
      <c r="D1644" t="s">
        <v>137</v>
      </c>
      <c r="E1644" s="1">
        <v>2</v>
      </c>
      <c r="F1644" s="1" t="s">
        <v>162</v>
      </c>
      <c r="G1644" s="1">
        <v>12</v>
      </c>
      <c r="H1644" s="1" t="s">
        <v>162</v>
      </c>
    </row>
    <row r="1645" spans="1:8">
      <c r="A1645">
        <v>121</v>
      </c>
      <c r="B1645" t="s">
        <v>547</v>
      </c>
      <c r="C1645">
        <v>1</v>
      </c>
      <c r="D1645" t="s">
        <v>137</v>
      </c>
      <c r="E1645" s="1">
        <v>2</v>
      </c>
      <c r="F1645" s="1">
        <v>20</v>
      </c>
      <c r="G1645" s="1">
        <v>20</v>
      </c>
      <c r="H1645" s="1">
        <v>20</v>
      </c>
    </row>
    <row r="1646" spans="1:8">
      <c r="A1646">
        <v>121</v>
      </c>
      <c r="B1646" t="s">
        <v>547</v>
      </c>
      <c r="C1646">
        <v>1</v>
      </c>
      <c r="D1646" t="s">
        <v>137</v>
      </c>
      <c r="E1646" s="1">
        <v>2</v>
      </c>
      <c r="F1646" s="1" t="s">
        <v>165</v>
      </c>
      <c r="G1646" s="1">
        <v>22</v>
      </c>
      <c r="H1646" s="1" t="s">
        <v>165</v>
      </c>
    </row>
    <row r="1647" spans="1:8">
      <c r="A1647">
        <v>121</v>
      </c>
      <c r="B1647" t="s">
        <v>547</v>
      </c>
      <c r="C1647">
        <v>1</v>
      </c>
      <c r="D1647" t="s">
        <v>137</v>
      </c>
      <c r="E1647" s="1">
        <v>2</v>
      </c>
      <c r="F1647" s="1">
        <v>21</v>
      </c>
      <c r="G1647" s="1">
        <v>30</v>
      </c>
      <c r="H1647" s="1">
        <v>21</v>
      </c>
    </row>
    <row r="1648" spans="1:8">
      <c r="A1648">
        <v>121</v>
      </c>
      <c r="B1648" t="s">
        <v>547</v>
      </c>
      <c r="C1648">
        <v>1</v>
      </c>
      <c r="D1648" t="s">
        <v>137</v>
      </c>
      <c r="E1648" s="1">
        <v>2</v>
      </c>
      <c r="F1648" s="1" t="s">
        <v>168</v>
      </c>
      <c r="G1648" s="1">
        <v>32</v>
      </c>
      <c r="H1648" s="1" t="s">
        <v>168</v>
      </c>
    </row>
    <row r="1649" spans="1:8">
      <c r="A1649">
        <v>121</v>
      </c>
      <c r="B1649" t="s">
        <v>547</v>
      </c>
      <c r="C1649">
        <v>1</v>
      </c>
      <c r="D1649" t="s">
        <v>137</v>
      </c>
      <c r="E1649" s="1">
        <v>2</v>
      </c>
      <c r="F1649" s="1" t="s">
        <v>171</v>
      </c>
      <c r="G1649" s="1">
        <v>42</v>
      </c>
      <c r="H1649" s="1" t="s">
        <v>171</v>
      </c>
    </row>
    <row r="1650" spans="1:8">
      <c r="A1650">
        <v>121</v>
      </c>
      <c r="B1650" t="s">
        <v>547</v>
      </c>
      <c r="C1650">
        <v>1</v>
      </c>
      <c r="D1650" t="s">
        <v>137</v>
      </c>
      <c r="E1650" s="1">
        <v>2</v>
      </c>
      <c r="F1650" s="1" t="s">
        <v>174</v>
      </c>
      <c r="G1650" s="1">
        <v>52</v>
      </c>
      <c r="H1650" s="1" t="s">
        <v>174</v>
      </c>
    </row>
    <row r="1651" spans="1:8">
      <c r="A1651">
        <v>121</v>
      </c>
      <c r="B1651" t="s">
        <v>547</v>
      </c>
      <c r="C1651">
        <v>1</v>
      </c>
      <c r="D1651" t="s">
        <v>137</v>
      </c>
      <c r="E1651" s="1">
        <v>2</v>
      </c>
      <c r="F1651" s="1">
        <v>18</v>
      </c>
      <c r="H1651" s="1">
        <v>18</v>
      </c>
    </row>
    <row r="1652" spans="1:8">
      <c r="A1652">
        <v>121</v>
      </c>
      <c r="B1652" t="s">
        <v>547</v>
      </c>
      <c r="C1652">
        <v>6</v>
      </c>
      <c r="D1652" t="s">
        <v>184</v>
      </c>
      <c r="G1652" s="1">
        <v>63</v>
      </c>
    </row>
    <row r="1653" spans="1:8">
      <c r="A1653">
        <v>121</v>
      </c>
      <c r="B1653" t="s">
        <v>547</v>
      </c>
      <c r="C1653">
        <v>18</v>
      </c>
      <c r="D1653" t="s">
        <v>204</v>
      </c>
      <c r="E1653" s="1">
        <v>1</v>
      </c>
      <c r="F1653" s="1" t="s">
        <v>192</v>
      </c>
      <c r="G1653" s="1">
        <v>2</v>
      </c>
      <c r="H1653" s="1" t="s">
        <v>192</v>
      </c>
    </row>
    <row r="1654" spans="1:8">
      <c r="A1654">
        <v>121</v>
      </c>
      <c r="B1654" t="s">
        <v>547</v>
      </c>
      <c r="C1654">
        <v>18</v>
      </c>
      <c r="D1654" t="s">
        <v>204</v>
      </c>
      <c r="E1654" s="1">
        <v>1</v>
      </c>
      <c r="F1654" s="1">
        <v>40</v>
      </c>
      <c r="G1654" s="1">
        <v>10</v>
      </c>
      <c r="H1654" s="1">
        <v>40</v>
      </c>
    </row>
    <row r="1655" spans="1:8">
      <c r="A1655">
        <v>121</v>
      </c>
      <c r="B1655" t="s">
        <v>547</v>
      </c>
      <c r="C1655">
        <v>18</v>
      </c>
      <c r="D1655" t="s">
        <v>204</v>
      </c>
      <c r="E1655" s="1">
        <v>1</v>
      </c>
      <c r="F1655" s="1" t="s">
        <v>193</v>
      </c>
      <c r="G1655" s="1">
        <v>12</v>
      </c>
      <c r="H1655" s="1" t="s">
        <v>193</v>
      </c>
    </row>
    <row r="1656" spans="1:8">
      <c r="A1656">
        <v>121</v>
      </c>
      <c r="B1656" t="s">
        <v>547</v>
      </c>
      <c r="C1656">
        <v>18</v>
      </c>
      <c r="D1656" t="s">
        <v>204</v>
      </c>
      <c r="E1656" s="1">
        <v>1</v>
      </c>
      <c r="F1656" s="1">
        <v>41</v>
      </c>
      <c r="G1656" s="1">
        <v>20</v>
      </c>
      <c r="H1656" s="1">
        <v>41</v>
      </c>
    </row>
    <row r="1657" spans="1:8">
      <c r="A1657">
        <v>121</v>
      </c>
      <c r="B1657" t="s">
        <v>547</v>
      </c>
      <c r="C1657">
        <v>18</v>
      </c>
      <c r="D1657" t="s">
        <v>204</v>
      </c>
      <c r="E1657" s="1">
        <v>1</v>
      </c>
      <c r="F1657" s="1" t="s">
        <v>194</v>
      </c>
      <c r="G1657" s="1">
        <v>22</v>
      </c>
      <c r="H1657" s="1" t="s">
        <v>194</v>
      </c>
    </row>
    <row r="1658" spans="1:8">
      <c r="A1658">
        <v>121</v>
      </c>
      <c r="B1658" t="s">
        <v>547</v>
      </c>
      <c r="C1658">
        <v>18</v>
      </c>
      <c r="D1658" t="s">
        <v>204</v>
      </c>
      <c r="E1658" s="1">
        <v>1</v>
      </c>
      <c r="F1658" s="1">
        <v>42</v>
      </c>
      <c r="G1658" s="1">
        <v>30</v>
      </c>
      <c r="H1658" s="1">
        <v>42</v>
      </c>
    </row>
    <row r="1659" spans="1:8">
      <c r="A1659">
        <v>121</v>
      </c>
      <c r="B1659" t="s">
        <v>547</v>
      </c>
      <c r="C1659">
        <v>18</v>
      </c>
      <c r="D1659" t="s">
        <v>204</v>
      </c>
      <c r="E1659" s="1">
        <v>1</v>
      </c>
      <c r="F1659" s="1" t="s">
        <v>195</v>
      </c>
      <c r="G1659" s="1">
        <v>32</v>
      </c>
      <c r="H1659" s="1" t="s">
        <v>195</v>
      </c>
    </row>
    <row r="1660" spans="1:8">
      <c r="A1660">
        <v>121</v>
      </c>
      <c r="B1660" t="s">
        <v>547</v>
      </c>
      <c r="C1660">
        <v>18</v>
      </c>
      <c r="D1660" t="s">
        <v>204</v>
      </c>
      <c r="E1660" s="1">
        <v>1</v>
      </c>
      <c r="F1660" s="1">
        <v>43</v>
      </c>
      <c r="G1660" s="1">
        <v>40</v>
      </c>
      <c r="H1660" s="1">
        <v>43</v>
      </c>
    </row>
    <row r="1661" spans="1:8">
      <c r="A1661">
        <v>121</v>
      </c>
      <c r="B1661" t="s">
        <v>547</v>
      </c>
      <c r="C1661">
        <v>18</v>
      </c>
      <c r="D1661" t="s">
        <v>204</v>
      </c>
      <c r="E1661" s="1">
        <v>1</v>
      </c>
      <c r="F1661" s="1" t="s">
        <v>196</v>
      </c>
      <c r="G1661" s="1">
        <v>42</v>
      </c>
      <c r="H1661" s="1" t="s">
        <v>196</v>
      </c>
    </row>
    <row r="1662" spans="1:8">
      <c r="A1662">
        <v>121</v>
      </c>
      <c r="B1662" t="s">
        <v>547</v>
      </c>
      <c r="C1662">
        <v>18</v>
      </c>
      <c r="D1662" t="s">
        <v>204</v>
      </c>
      <c r="E1662" s="1">
        <v>1</v>
      </c>
      <c r="F1662" s="1">
        <v>44</v>
      </c>
      <c r="G1662" s="1">
        <v>50</v>
      </c>
      <c r="H1662" s="1">
        <v>44</v>
      </c>
    </row>
    <row r="1663" spans="1:8">
      <c r="A1663">
        <v>121</v>
      </c>
      <c r="B1663" t="s">
        <v>547</v>
      </c>
      <c r="C1663">
        <v>18</v>
      </c>
      <c r="D1663" t="s">
        <v>204</v>
      </c>
      <c r="E1663" s="1">
        <v>1</v>
      </c>
      <c r="F1663" s="1" t="s">
        <v>197</v>
      </c>
      <c r="G1663" s="1">
        <v>52</v>
      </c>
      <c r="H1663" s="1" t="s">
        <v>197</v>
      </c>
    </row>
    <row r="1664" spans="1:8">
      <c r="A1664">
        <v>121</v>
      </c>
      <c r="B1664" t="s">
        <v>547</v>
      </c>
      <c r="C1664">
        <v>18</v>
      </c>
      <c r="D1664" t="s">
        <v>204</v>
      </c>
      <c r="E1664" s="1">
        <v>1</v>
      </c>
      <c r="F1664" s="1">
        <v>45</v>
      </c>
      <c r="G1664" s="1">
        <v>60</v>
      </c>
      <c r="H1664" s="1">
        <v>45</v>
      </c>
    </row>
    <row r="1665" spans="1:8">
      <c r="A1665">
        <v>121</v>
      </c>
      <c r="B1665" t="s">
        <v>547</v>
      </c>
      <c r="C1665">
        <v>18</v>
      </c>
      <c r="D1665" t="s">
        <v>204</v>
      </c>
      <c r="E1665" s="1">
        <v>1</v>
      </c>
      <c r="F1665" s="1" t="s">
        <v>198</v>
      </c>
      <c r="G1665" s="1">
        <v>62</v>
      </c>
      <c r="H1665" s="1" t="s">
        <v>198</v>
      </c>
    </row>
    <row r="1666" spans="1:8">
      <c r="A1666">
        <v>121</v>
      </c>
      <c r="B1666" t="s">
        <v>547</v>
      </c>
      <c r="C1666">
        <v>18</v>
      </c>
      <c r="D1666" t="s">
        <v>204</v>
      </c>
      <c r="E1666" s="1">
        <v>1</v>
      </c>
      <c r="F1666" s="1">
        <v>46</v>
      </c>
      <c r="G1666" s="1">
        <v>70</v>
      </c>
      <c r="H1666" s="1">
        <v>46</v>
      </c>
    </row>
    <row r="1667" spans="1:8">
      <c r="A1667">
        <v>121</v>
      </c>
      <c r="B1667" t="s">
        <v>547</v>
      </c>
      <c r="C1667">
        <v>18</v>
      </c>
      <c r="D1667" t="s">
        <v>204</v>
      </c>
      <c r="E1667" s="1">
        <v>1</v>
      </c>
      <c r="F1667" s="1" t="s">
        <v>199</v>
      </c>
      <c r="G1667" s="1">
        <v>72</v>
      </c>
      <c r="H1667" s="1" t="s">
        <v>199</v>
      </c>
    </row>
    <row r="1668" spans="1:8">
      <c r="A1668">
        <v>121</v>
      </c>
      <c r="B1668" t="s">
        <v>547</v>
      </c>
      <c r="C1668">
        <v>18</v>
      </c>
      <c r="D1668" t="s">
        <v>204</v>
      </c>
      <c r="E1668" s="1">
        <v>1</v>
      </c>
      <c r="F1668" s="1">
        <v>39</v>
      </c>
      <c r="H1668" s="1">
        <v>39</v>
      </c>
    </row>
    <row r="1669" spans="1:8">
      <c r="A1669">
        <v>121</v>
      </c>
      <c r="B1669" t="s">
        <v>547</v>
      </c>
      <c r="C1669">
        <v>18</v>
      </c>
      <c r="D1669" t="s">
        <v>204</v>
      </c>
      <c r="G1669" s="1">
        <v>90</v>
      </c>
    </row>
    <row r="1670" spans="1:8">
      <c r="A1670">
        <v>121</v>
      </c>
      <c r="B1670" t="s">
        <v>547</v>
      </c>
      <c r="C1670">
        <v>18</v>
      </c>
      <c r="D1670" t="s">
        <v>204</v>
      </c>
      <c r="G1670" s="1">
        <v>92</v>
      </c>
    </row>
    <row r="1671" spans="1:8">
      <c r="A1671">
        <v>121</v>
      </c>
      <c r="B1671" t="s">
        <v>547</v>
      </c>
      <c r="C1671">
        <v>21</v>
      </c>
      <c r="D1671" t="s">
        <v>205</v>
      </c>
      <c r="E1671" s="1">
        <v>1</v>
      </c>
      <c r="F1671" s="1" t="s">
        <v>284</v>
      </c>
      <c r="H1671" s="1" t="s">
        <v>284</v>
      </c>
    </row>
    <row r="1672" spans="1:8">
      <c r="A1672">
        <v>121</v>
      </c>
      <c r="B1672" t="s">
        <v>547</v>
      </c>
      <c r="C1672">
        <v>82</v>
      </c>
      <c r="D1672" t="s">
        <v>239</v>
      </c>
      <c r="G1672" s="1">
        <v>32</v>
      </c>
    </row>
    <row r="1673" spans="1:8">
      <c r="A1673">
        <v>121</v>
      </c>
      <c r="B1673" t="s">
        <v>547</v>
      </c>
      <c r="C1673">
        <v>82</v>
      </c>
      <c r="D1673" t="s">
        <v>239</v>
      </c>
      <c r="G1673" s="1">
        <v>38</v>
      </c>
    </row>
    <row r="1674" spans="1:8">
      <c r="A1674">
        <v>122</v>
      </c>
      <c r="B1674" t="s">
        <v>548</v>
      </c>
      <c r="C1674">
        <v>1</v>
      </c>
      <c r="D1674" t="s">
        <v>137</v>
      </c>
      <c r="E1674" s="1">
        <v>1</v>
      </c>
      <c r="F1674" s="1" t="s">
        <v>144</v>
      </c>
      <c r="G1674" s="1">
        <v>62</v>
      </c>
      <c r="H1674" s="1" t="s">
        <v>144</v>
      </c>
    </row>
    <row r="1675" spans="1:8">
      <c r="A1675">
        <v>122</v>
      </c>
      <c r="B1675" t="s">
        <v>548</v>
      </c>
      <c r="C1675">
        <v>1</v>
      </c>
      <c r="D1675" t="s">
        <v>137</v>
      </c>
      <c r="E1675" s="1">
        <v>1</v>
      </c>
      <c r="F1675" s="1">
        <v>14</v>
      </c>
      <c r="G1675" s="1">
        <v>70</v>
      </c>
      <c r="H1675" s="1">
        <v>14</v>
      </c>
    </row>
    <row r="1676" spans="1:8">
      <c r="A1676">
        <v>122</v>
      </c>
      <c r="B1676" t="s">
        <v>548</v>
      </c>
      <c r="C1676">
        <v>1</v>
      </c>
      <c r="D1676" t="s">
        <v>137</v>
      </c>
      <c r="E1676" s="1">
        <v>1</v>
      </c>
      <c r="F1676" s="1" t="s">
        <v>147</v>
      </c>
      <c r="G1676" s="1">
        <v>72</v>
      </c>
      <c r="H1676" s="1" t="s">
        <v>147</v>
      </c>
    </row>
    <row r="1677" spans="1:8">
      <c r="A1677">
        <v>122</v>
      </c>
      <c r="B1677" t="s">
        <v>548</v>
      </c>
      <c r="C1677">
        <v>1</v>
      </c>
      <c r="D1677" t="s">
        <v>137</v>
      </c>
      <c r="E1677" s="1">
        <v>1</v>
      </c>
      <c r="F1677" s="1">
        <v>15</v>
      </c>
      <c r="G1677" s="1">
        <v>80</v>
      </c>
      <c r="H1677" s="1">
        <v>15</v>
      </c>
    </row>
    <row r="1678" spans="1:8">
      <c r="A1678">
        <v>122</v>
      </c>
      <c r="B1678" t="s">
        <v>548</v>
      </c>
      <c r="C1678">
        <v>1</v>
      </c>
      <c r="D1678" t="s">
        <v>137</v>
      </c>
      <c r="E1678" s="1">
        <v>1</v>
      </c>
      <c r="F1678" s="1" t="s">
        <v>150</v>
      </c>
      <c r="G1678" s="1">
        <v>82</v>
      </c>
      <c r="H1678" s="1" t="s">
        <v>150</v>
      </c>
    </row>
    <row r="1679" spans="1:8">
      <c r="A1679">
        <v>122</v>
      </c>
      <c r="B1679" t="s">
        <v>548</v>
      </c>
      <c r="C1679">
        <v>1</v>
      </c>
      <c r="D1679" t="s">
        <v>137</v>
      </c>
      <c r="E1679" s="1">
        <v>1</v>
      </c>
      <c r="F1679" s="1">
        <v>16</v>
      </c>
      <c r="G1679" s="1">
        <v>90</v>
      </c>
      <c r="H1679" s="1">
        <v>16</v>
      </c>
    </row>
    <row r="1680" spans="1:8">
      <c r="A1680">
        <v>122</v>
      </c>
      <c r="B1680" t="s">
        <v>548</v>
      </c>
      <c r="C1680">
        <v>1</v>
      </c>
      <c r="D1680" t="s">
        <v>137</v>
      </c>
      <c r="E1680" s="1">
        <v>1</v>
      </c>
      <c r="F1680" s="1" t="s">
        <v>153</v>
      </c>
      <c r="G1680" s="1">
        <v>92</v>
      </c>
      <c r="H1680" s="1" t="s">
        <v>153</v>
      </c>
    </row>
    <row r="1681" spans="1:8">
      <c r="A1681">
        <v>122</v>
      </c>
      <c r="B1681" t="s">
        <v>548</v>
      </c>
      <c r="C1681">
        <v>1</v>
      </c>
      <c r="D1681" t="s">
        <v>137</v>
      </c>
      <c r="E1681" s="1">
        <v>1</v>
      </c>
      <c r="F1681" s="1">
        <v>17</v>
      </c>
      <c r="G1681" s="1">
        <v>94</v>
      </c>
      <c r="H1681" s="1">
        <v>17</v>
      </c>
    </row>
    <row r="1682" spans="1:8">
      <c r="A1682">
        <v>122</v>
      </c>
      <c r="B1682" t="s">
        <v>548</v>
      </c>
      <c r="C1682">
        <v>1</v>
      </c>
      <c r="D1682" t="s">
        <v>137</v>
      </c>
      <c r="E1682" s="1">
        <v>1</v>
      </c>
      <c r="F1682" s="1" t="s">
        <v>156</v>
      </c>
      <c r="G1682" s="1">
        <v>96</v>
      </c>
      <c r="H1682" s="1" t="s">
        <v>156</v>
      </c>
    </row>
    <row r="1683" spans="1:8">
      <c r="A1683">
        <v>122</v>
      </c>
      <c r="B1683" t="s">
        <v>548</v>
      </c>
      <c r="C1683">
        <v>1</v>
      </c>
      <c r="D1683" t="s">
        <v>137</v>
      </c>
      <c r="E1683" s="1">
        <v>2</v>
      </c>
      <c r="F1683" s="1" t="s">
        <v>159</v>
      </c>
      <c r="G1683" s="1">
        <v>2</v>
      </c>
      <c r="H1683" s="1" t="s">
        <v>159</v>
      </c>
    </row>
    <row r="1684" spans="1:8">
      <c r="A1684">
        <v>122</v>
      </c>
      <c r="B1684" t="s">
        <v>548</v>
      </c>
      <c r="C1684">
        <v>1</v>
      </c>
      <c r="D1684" t="s">
        <v>137</v>
      </c>
      <c r="E1684" s="1">
        <v>2</v>
      </c>
      <c r="F1684" s="1">
        <v>19</v>
      </c>
      <c r="G1684" s="1">
        <v>10</v>
      </c>
      <c r="H1684" s="1">
        <v>19</v>
      </c>
    </row>
    <row r="1685" spans="1:8">
      <c r="A1685">
        <v>122</v>
      </c>
      <c r="B1685" t="s">
        <v>548</v>
      </c>
      <c r="C1685">
        <v>1</v>
      </c>
      <c r="D1685" t="s">
        <v>137</v>
      </c>
      <c r="E1685" s="1">
        <v>2</v>
      </c>
      <c r="F1685" s="1" t="s">
        <v>162</v>
      </c>
      <c r="G1685" s="1">
        <v>12</v>
      </c>
      <c r="H1685" s="1" t="s">
        <v>162</v>
      </c>
    </row>
    <row r="1686" spans="1:8">
      <c r="A1686">
        <v>122</v>
      </c>
      <c r="B1686" t="s">
        <v>548</v>
      </c>
      <c r="C1686">
        <v>1</v>
      </c>
      <c r="D1686" t="s">
        <v>137</v>
      </c>
      <c r="E1686" s="1">
        <v>2</v>
      </c>
      <c r="F1686" s="1">
        <v>20</v>
      </c>
      <c r="G1686" s="1">
        <v>20</v>
      </c>
      <c r="H1686" s="1">
        <v>20</v>
      </c>
    </row>
    <row r="1687" spans="1:8">
      <c r="A1687">
        <v>122</v>
      </c>
      <c r="B1687" t="s">
        <v>548</v>
      </c>
      <c r="C1687">
        <v>1</v>
      </c>
      <c r="D1687" t="s">
        <v>137</v>
      </c>
      <c r="E1687" s="1">
        <v>2</v>
      </c>
      <c r="F1687" s="1" t="s">
        <v>165</v>
      </c>
      <c r="G1687" s="1">
        <v>22</v>
      </c>
      <c r="H1687" s="1" t="s">
        <v>165</v>
      </c>
    </row>
    <row r="1688" spans="1:8">
      <c r="A1688">
        <v>122</v>
      </c>
      <c r="B1688" t="s">
        <v>548</v>
      </c>
      <c r="C1688">
        <v>1</v>
      </c>
      <c r="D1688" t="s">
        <v>137</v>
      </c>
      <c r="E1688" s="1">
        <v>2</v>
      </c>
      <c r="F1688" s="1">
        <v>21</v>
      </c>
      <c r="G1688" s="1">
        <v>30</v>
      </c>
      <c r="H1688" s="1">
        <v>21</v>
      </c>
    </row>
    <row r="1689" spans="1:8">
      <c r="A1689">
        <v>122</v>
      </c>
      <c r="B1689" t="s">
        <v>548</v>
      </c>
      <c r="C1689">
        <v>1</v>
      </c>
      <c r="D1689" t="s">
        <v>137</v>
      </c>
      <c r="E1689" s="1">
        <v>2</v>
      </c>
      <c r="F1689" s="1" t="s">
        <v>168</v>
      </c>
      <c r="G1689" s="1">
        <v>32</v>
      </c>
      <c r="H1689" s="1" t="s">
        <v>168</v>
      </c>
    </row>
    <row r="1690" spans="1:8">
      <c r="A1690">
        <v>122</v>
      </c>
      <c r="B1690" t="s">
        <v>548</v>
      </c>
      <c r="C1690">
        <v>1</v>
      </c>
      <c r="D1690" t="s">
        <v>137</v>
      </c>
      <c r="E1690" s="1">
        <v>2</v>
      </c>
      <c r="F1690" s="1">
        <v>22</v>
      </c>
      <c r="G1690" s="1">
        <v>40</v>
      </c>
      <c r="H1690" s="1">
        <v>22</v>
      </c>
    </row>
    <row r="1691" spans="1:8">
      <c r="A1691">
        <v>122</v>
      </c>
      <c r="B1691" t="s">
        <v>548</v>
      </c>
      <c r="C1691">
        <v>1</v>
      </c>
      <c r="D1691" t="s">
        <v>137</v>
      </c>
      <c r="E1691" s="1">
        <v>2</v>
      </c>
      <c r="F1691" s="1" t="s">
        <v>171</v>
      </c>
      <c r="G1691" s="1">
        <v>42</v>
      </c>
      <c r="H1691" s="1" t="s">
        <v>171</v>
      </c>
    </row>
    <row r="1692" spans="1:8">
      <c r="A1692">
        <v>122</v>
      </c>
      <c r="B1692" t="s">
        <v>548</v>
      </c>
      <c r="C1692">
        <v>1</v>
      </c>
      <c r="D1692" t="s">
        <v>137</v>
      </c>
      <c r="E1692" s="1">
        <v>2</v>
      </c>
      <c r="F1692" s="1">
        <v>23</v>
      </c>
      <c r="G1692" s="1">
        <v>50</v>
      </c>
      <c r="H1692" s="1">
        <v>23</v>
      </c>
    </row>
    <row r="1693" spans="1:8">
      <c r="A1693">
        <v>122</v>
      </c>
      <c r="B1693" t="s">
        <v>548</v>
      </c>
      <c r="C1693">
        <v>1</v>
      </c>
      <c r="D1693" t="s">
        <v>137</v>
      </c>
      <c r="E1693" s="1">
        <v>2</v>
      </c>
      <c r="F1693" s="1" t="s">
        <v>174</v>
      </c>
      <c r="G1693" s="1">
        <v>52</v>
      </c>
      <c r="H1693" s="1" t="s">
        <v>174</v>
      </c>
    </row>
    <row r="1694" spans="1:8">
      <c r="A1694">
        <v>122</v>
      </c>
      <c r="B1694" t="s">
        <v>548</v>
      </c>
      <c r="C1694">
        <v>1</v>
      </c>
      <c r="D1694" t="s">
        <v>137</v>
      </c>
      <c r="E1694" s="1">
        <v>2</v>
      </c>
      <c r="F1694" s="1">
        <v>24</v>
      </c>
      <c r="G1694" s="1">
        <v>60</v>
      </c>
      <c r="H1694" s="1">
        <v>24</v>
      </c>
    </row>
    <row r="1695" spans="1:8">
      <c r="A1695">
        <v>122</v>
      </c>
      <c r="B1695" t="s">
        <v>548</v>
      </c>
      <c r="C1695">
        <v>1</v>
      </c>
      <c r="D1695" t="s">
        <v>137</v>
      </c>
      <c r="E1695" s="1">
        <v>2</v>
      </c>
      <c r="F1695" s="1" t="s">
        <v>177</v>
      </c>
      <c r="G1695" s="1">
        <v>62</v>
      </c>
      <c r="H1695" s="1" t="s">
        <v>177</v>
      </c>
    </row>
    <row r="1696" spans="1:8">
      <c r="A1696">
        <v>122</v>
      </c>
      <c r="B1696" t="s">
        <v>548</v>
      </c>
      <c r="C1696">
        <v>1</v>
      </c>
      <c r="D1696" t="s">
        <v>137</v>
      </c>
      <c r="E1696" s="1">
        <v>2</v>
      </c>
      <c r="F1696" s="1" t="s">
        <v>180</v>
      </c>
      <c r="G1696" s="1">
        <v>72</v>
      </c>
      <c r="H1696" s="1" t="s">
        <v>180</v>
      </c>
    </row>
    <row r="1697" spans="1:8">
      <c r="A1697">
        <v>122</v>
      </c>
      <c r="B1697" t="s">
        <v>548</v>
      </c>
      <c r="C1697">
        <v>1</v>
      </c>
      <c r="D1697" t="s">
        <v>137</v>
      </c>
      <c r="E1697" s="1">
        <v>2</v>
      </c>
      <c r="F1697" s="1">
        <v>18</v>
      </c>
      <c r="H1697" s="1">
        <v>18</v>
      </c>
    </row>
    <row r="1698" spans="1:8">
      <c r="A1698">
        <v>122</v>
      </c>
      <c r="B1698" t="s">
        <v>548</v>
      </c>
      <c r="C1698">
        <v>5</v>
      </c>
      <c r="D1698" t="s">
        <v>183</v>
      </c>
      <c r="G1698" s="1">
        <v>50</v>
      </c>
    </row>
    <row r="1699" spans="1:8">
      <c r="A1699">
        <v>122</v>
      </c>
      <c r="B1699" t="s">
        <v>548</v>
      </c>
      <c r="C1699">
        <v>5</v>
      </c>
      <c r="D1699" t="s">
        <v>183</v>
      </c>
      <c r="G1699" s="1">
        <v>60</v>
      </c>
    </row>
    <row r="1700" spans="1:8">
      <c r="A1700">
        <v>122</v>
      </c>
      <c r="B1700" t="s">
        <v>548</v>
      </c>
      <c r="C1700">
        <v>6</v>
      </c>
      <c r="D1700" t="s">
        <v>184</v>
      </c>
      <c r="E1700" s="1">
        <v>1</v>
      </c>
      <c r="F1700" s="1" t="s">
        <v>290</v>
      </c>
      <c r="G1700" s="1">
        <v>10</v>
      </c>
      <c r="H1700" s="1" t="s">
        <v>290</v>
      </c>
    </row>
    <row r="1701" spans="1:8">
      <c r="A1701">
        <v>122</v>
      </c>
      <c r="B1701" t="s">
        <v>548</v>
      </c>
      <c r="C1701">
        <v>6</v>
      </c>
      <c r="D1701" t="s">
        <v>184</v>
      </c>
      <c r="G1701" s="1">
        <v>23</v>
      </c>
    </row>
    <row r="1702" spans="1:8">
      <c r="A1702">
        <v>122</v>
      </c>
      <c r="B1702" t="s">
        <v>548</v>
      </c>
      <c r="C1702">
        <v>6</v>
      </c>
      <c r="D1702" t="s">
        <v>184</v>
      </c>
      <c r="G1702" s="1">
        <v>63</v>
      </c>
    </row>
    <row r="1703" spans="1:8">
      <c r="A1703">
        <v>122</v>
      </c>
      <c r="B1703" t="s">
        <v>548</v>
      </c>
      <c r="C1703">
        <v>11</v>
      </c>
      <c r="D1703" t="s">
        <v>186</v>
      </c>
      <c r="E1703" s="1">
        <v>1</v>
      </c>
      <c r="F1703" s="1" t="s">
        <v>192</v>
      </c>
      <c r="G1703" s="1">
        <v>2</v>
      </c>
      <c r="H1703" s="1" t="s">
        <v>192</v>
      </c>
    </row>
    <row r="1704" spans="1:8">
      <c r="A1704">
        <v>122</v>
      </c>
      <c r="B1704" t="s">
        <v>548</v>
      </c>
      <c r="C1704">
        <v>11</v>
      </c>
      <c r="D1704" t="s">
        <v>186</v>
      </c>
      <c r="E1704" s="1">
        <v>1</v>
      </c>
      <c r="F1704" s="1" t="s">
        <v>193</v>
      </c>
      <c r="G1704" s="1">
        <v>12</v>
      </c>
      <c r="H1704" s="1" t="s">
        <v>193</v>
      </c>
    </row>
    <row r="1705" spans="1:8">
      <c r="A1705">
        <v>122</v>
      </c>
      <c r="B1705" t="s">
        <v>548</v>
      </c>
      <c r="C1705">
        <v>11</v>
      </c>
      <c r="D1705" t="s">
        <v>186</v>
      </c>
      <c r="E1705" s="1">
        <v>1</v>
      </c>
      <c r="F1705" s="1">
        <v>41</v>
      </c>
      <c r="G1705" s="1">
        <v>20</v>
      </c>
      <c r="H1705" s="1">
        <v>41</v>
      </c>
    </row>
    <row r="1706" spans="1:8">
      <c r="A1706">
        <v>122</v>
      </c>
      <c r="B1706" t="s">
        <v>548</v>
      </c>
      <c r="C1706">
        <v>11</v>
      </c>
      <c r="D1706" t="s">
        <v>186</v>
      </c>
      <c r="E1706" s="1">
        <v>1</v>
      </c>
      <c r="F1706" s="1" t="s">
        <v>194</v>
      </c>
      <c r="G1706" s="1">
        <v>22</v>
      </c>
      <c r="H1706" s="1" t="s">
        <v>194</v>
      </c>
    </row>
    <row r="1707" spans="1:8">
      <c r="A1707">
        <v>122</v>
      </c>
      <c r="B1707" t="s">
        <v>548</v>
      </c>
      <c r="C1707">
        <v>11</v>
      </c>
      <c r="D1707" t="s">
        <v>186</v>
      </c>
      <c r="E1707" s="1">
        <v>1</v>
      </c>
      <c r="F1707" s="1">
        <v>42</v>
      </c>
      <c r="G1707" s="1">
        <v>30</v>
      </c>
      <c r="H1707" s="1">
        <v>42</v>
      </c>
    </row>
    <row r="1708" spans="1:8">
      <c r="A1708">
        <v>122</v>
      </c>
      <c r="B1708" t="s">
        <v>548</v>
      </c>
      <c r="C1708">
        <v>11</v>
      </c>
      <c r="D1708" t="s">
        <v>186</v>
      </c>
      <c r="E1708" s="1">
        <v>1</v>
      </c>
      <c r="F1708" s="1" t="s">
        <v>195</v>
      </c>
      <c r="G1708" s="1">
        <v>32</v>
      </c>
      <c r="H1708" s="1" t="s">
        <v>195</v>
      </c>
    </row>
    <row r="1709" spans="1:8">
      <c r="A1709">
        <v>122</v>
      </c>
      <c r="B1709" t="s">
        <v>548</v>
      </c>
      <c r="C1709">
        <v>11</v>
      </c>
      <c r="D1709" t="s">
        <v>186</v>
      </c>
      <c r="E1709" s="1">
        <v>1</v>
      </c>
      <c r="F1709" s="1">
        <v>43</v>
      </c>
      <c r="G1709" s="1">
        <v>40</v>
      </c>
      <c r="H1709" s="1">
        <v>43</v>
      </c>
    </row>
    <row r="1710" spans="1:8">
      <c r="A1710">
        <v>122</v>
      </c>
      <c r="B1710" t="s">
        <v>548</v>
      </c>
      <c r="C1710">
        <v>11</v>
      </c>
      <c r="D1710" t="s">
        <v>186</v>
      </c>
      <c r="E1710" s="1">
        <v>1</v>
      </c>
      <c r="F1710" s="1" t="s">
        <v>196</v>
      </c>
      <c r="G1710" s="1">
        <v>42</v>
      </c>
      <c r="H1710" s="1" t="s">
        <v>196</v>
      </c>
    </row>
    <row r="1711" spans="1:8">
      <c r="A1711">
        <v>122</v>
      </c>
      <c r="B1711" t="s">
        <v>548</v>
      </c>
      <c r="C1711">
        <v>11</v>
      </c>
      <c r="D1711" t="s">
        <v>186</v>
      </c>
      <c r="E1711" s="1">
        <v>1</v>
      </c>
      <c r="F1711" s="1">
        <v>44</v>
      </c>
      <c r="G1711" s="1">
        <v>50</v>
      </c>
      <c r="H1711" s="1">
        <v>44</v>
      </c>
    </row>
    <row r="1712" spans="1:8">
      <c r="A1712">
        <v>122</v>
      </c>
      <c r="B1712" t="s">
        <v>548</v>
      </c>
      <c r="C1712">
        <v>11</v>
      </c>
      <c r="D1712" t="s">
        <v>186</v>
      </c>
      <c r="E1712" s="1">
        <v>1</v>
      </c>
      <c r="F1712" s="1" t="s">
        <v>197</v>
      </c>
      <c r="G1712" s="1">
        <v>52</v>
      </c>
      <c r="H1712" s="1" t="s">
        <v>197</v>
      </c>
    </row>
    <row r="1713" spans="1:8">
      <c r="A1713">
        <v>122</v>
      </c>
      <c r="B1713" t="s">
        <v>548</v>
      </c>
      <c r="C1713">
        <v>11</v>
      </c>
      <c r="D1713" t="s">
        <v>186</v>
      </c>
      <c r="E1713" s="1">
        <v>1</v>
      </c>
      <c r="F1713" s="1">
        <v>45</v>
      </c>
      <c r="G1713" s="1">
        <v>60</v>
      </c>
      <c r="H1713" s="1">
        <v>45</v>
      </c>
    </row>
    <row r="1714" spans="1:8">
      <c r="A1714">
        <v>122</v>
      </c>
      <c r="B1714" t="s">
        <v>548</v>
      </c>
      <c r="C1714">
        <v>11</v>
      </c>
      <c r="D1714" t="s">
        <v>186</v>
      </c>
      <c r="E1714" s="1">
        <v>1</v>
      </c>
      <c r="F1714" s="1" t="s">
        <v>198</v>
      </c>
      <c r="G1714" s="1">
        <v>62</v>
      </c>
      <c r="H1714" s="1" t="s">
        <v>198</v>
      </c>
    </row>
    <row r="1715" spans="1:8">
      <c r="A1715">
        <v>122</v>
      </c>
      <c r="B1715" t="s">
        <v>548</v>
      </c>
      <c r="C1715">
        <v>11</v>
      </c>
      <c r="D1715" t="s">
        <v>186</v>
      </c>
      <c r="E1715" s="1">
        <v>1</v>
      </c>
      <c r="F1715" s="1" t="s">
        <v>199</v>
      </c>
      <c r="G1715" s="1">
        <v>72</v>
      </c>
      <c r="H1715" s="1" t="s">
        <v>199</v>
      </c>
    </row>
    <row r="1716" spans="1:8">
      <c r="A1716">
        <v>122</v>
      </c>
      <c r="B1716" t="s">
        <v>548</v>
      </c>
      <c r="C1716">
        <v>11</v>
      </c>
      <c r="D1716" t="s">
        <v>186</v>
      </c>
      <c r="G1716" s="1">
        <v>90</v>
      </c>
    </row>
    <row r="1717" spans="1:8">
      <c r="A1717">
        <v>122</v>
      </c>
      <c r="B1717" t="s">
        <v>548</v>
      </c>
      <c r="C1717">
        <v>12</v>
      </c>
      <c r="D1717" t="s">
        <v>107</v>
      </c>
      <c r="E1717" s="1">
        <v>1</v>
      </c>
      <c r="F1717" s="1" t="s">
        <v>192</v>
      </c>
      <c r="G1717" s="1">
        <v>2</v>
      </c>
      <c r="H1717" s="1" t="s">
        <v>192</v>
      </c>
    </row>
    <row r="1718" spans="1:8">
      <c r="A1718">
        <v>122</v>
      </c>
      <c r="B1718" t="s">
        <v>548</v>
      </c>
      <c r="C1718">
        <v>12</v>
      </c>
      <c r="D1718" t="s">
        <v>107</v>
      </c>
      <c r="E1718" s="1">
        <v>1</v>
      </c>
      <c r="F1718" s="1" t="s">
        <v>193</v>
      </c>
      <c r="G1718" s="1">
        <v>12</v>
      </c>
      <c r="H1718" s="1" t="s">
        <v>193</v>
      </c>
    </row>
    <row r="1719" spans="1:8">
      <c r="A1719">
        <v>122</v>
      </c>
      <c r="B1719" t="s">
        <v>548</v>
      </c>
      <c r="C1719">
        <v>12</v>
      </c>
      <c r="D1719" t="s">
        <v>107</v>
      </c>
      <c r="E1719" s="1">
        <v>1</v>
      </c>
      <c r="F1719" s="1" t="s">
        <v>194</v>
      </c>
      <c r="G1719" s="1">
        <v>22</v>
      </c>
      <c r="H1719" s="1" t="s">
        <v>194</v>
      </c>
    </row>
    <row r="1720" spans="1:8">
      <c r="A1720">
        <v>122</v>
      </c>
      <c r="B1720" t="s">
        <v>548</v>
      </c>
      <c r="C1720">
        <v>12</v>
      </c>
      <c r="D1720" t="s">
        <v>107</v>
      </c>
      <c r="E1720" s="1">
        <v>1</v>
      </c>
      <c r="F1720" s="1">
        <v>42</v>
      </c>
      <c r="G1720" s="1">
        <v>30</v>
      </c>
      <c r="H1720" s="1">
        <v>42</v>
      </c>
    </row>
    <row r="1721" spans="1:8">
      <c r="A1721">
        <v>122</v>
      </c>
      <c r="B1721" t="s">
        <v>548</v>
      </c>
      <c r="C1721">
        <v>12</v>
      </c>
      <c r="D1721" t="s">
        <v>107</v>
      </c>
      <c r="E1721" s="1">
        <v>1</v>
      </c>
      <c r="F1721" s="1" t="s">
        <v>195</v>
      </c>
      <c r="G1721" s="1">
        <v>32</v>
      </c>
      <c r="H1721" s="1" t="s">
        <v>195</v>
      </c>
    </row>
    <row r="1722" spans="1:8">
      <c r="A1722">
        <v>122</v>
      </c>
      <c r="B1722" t="s">
        <v>548</v>
      </c>
      <c r="C1722">
        <v>12</v>
      </c>
      <c r="D1722" t="s">
        <v>107</v>
      </c>
      <c r="E1722" s="1">
        <v>1</v>
      </c>
      <c r="F1722" s="1">
        <v>43</v>
      </c>
      <c r="G1722" s="1">
        <v>40</v>
      </c>
      <c r="H1722" s="1">
        <v>43</v>
      </c>
    </row>
    <row r="1723" spans="1:8">
      <c r="A1723">
        <v>122</v>
      </c>
      <c r="B1723" t="s">
        <v>548</v>
      </c>
      <c r="C1723">
        <v>12</v>
      </c>
      <c r="D1723" t="s">
        <v>107</v>
      </c>
      <c r="E1723" s="1">
        <v>1</v>
      </c>
      <c r="F1723" s="1" t="s">
        <v>196</v>
      </c>
      <c r="G1723" s="1">
        <v>42</v>
      </c>
      <c r="H1723" s="1" t="s">
        <v>196</v>
      </c>
    </row>
    <row r="1724" spans="1:8">
      <c r="A1724">
        <v>122</v>
      </c>
      <c r="B1724" t="s">
        <v>548</v>
      </c>
      <c r="C1724">
        <v>12</v>
      </c>
      <c r="D1724" t="s">
        <v>107</v>
      </c>
      <c r="E1724" s="1">
        <v>1</v>
      </c>
      <c r="F1724" s="1">
        <v>44</v>
      </c>
      <c r="G1724" s="1">
        <v>50</v>
      </c>
      <c r="H1724" s="1">
        <v>44</v>
      </c>
    </row>
    <row r="1725" spans="1:8">
      <c r="A1725">
        <v>122</v>
      </c>
      <c r="B1725" t="s">
        <v>548</v>
      </c>
      <c r="C1725">
        <v>12</v>
      </c>
      <c r="D1725" t="s">
        <v>107</v>
      </c>
      <c r="E1725" s="1">
        <v>1</v>
      </c>
      <c r="F1725" s="1" t="s">
        <v>197</v>
      </c>
      <c r="G1725" s="1">
        <v>52</v>
      </c>
      <c r="H1725" s="1" t="s">
        <v>197</v>
      </c>
    </row>
    <row r="1726" spans="1:8">
      <c r="A1726">
        <v>122</v>
      </c>
      <c r="B1726" t="s">
        <v>548</v>
      </c>
      <c r="C1726">
        <v>12</v>
      </c>
      <c r="D1726" t="s">
        <v>107</v>
      </c>
      <c r="E1726" s="1">
        <v>1</v>
      </c>
      <c r="F1726" s="1">
        <v>45</v>
      </c>
      <c r="G1726" s="1">
        <v>60</v>
      </c>
      <c r="H1726" s="1">
        <v>45</v>
      </c>
    </row>
    <row r="1727" spans="1:8">
      <c r="A1727">
        <v>122</v>
      </c>
      <c r="B1727" t="s">
        <v>548</v>
      </c>
      <c r="C1727">
        <v>12</v>
      </c>
      <c r="D1727" t="s">
        <v>107</v>
      </c>
      <c r="E1727" s="1">
        <v>1</v>
      </c>
      <c r="F1727" s="1" t="s">
        <v>198</v>
      </c>
      <c r="G1727" s="1">
        <v>62</v>
      </c>
      <c r="H1727" s="1" t="s">
        <v>198</v>
      </c>
    </row>
    <row r="1728" spans="1:8">
      <c r="A1728">
        <v>122</v>
      </c>
      <c r="B1728" t="s">
        <v>548</v>
      </c>
      <c r="C1728">
        <v>12</v>
      </c>
      <c r="D1728" t="s">
        <v>107</v>
      </c>
      <c r="E1728" s="1">
        <v>1</v>
      </c>
      <c r="F1728" s="1" t="s">
        <v>199</v>
      </c>
      <c r="G1728" s="1">
        <v>72</v>
      </c>
      <c r="H1728" s="1" t="s">
        <v>199</v>
      </c>
    </row>
    <row r="1729" spans="1:8">
      <c r="A1729">
        <v>122</v>
      </c>
      <c r="B1729" t="s">
        <v>548</v>
      </c>
      <c r="C1729">
        <v>13</v>
      </c>
      <c r="D1729" t="s">
        <v>200</v>
      </c>
      <c r="E1729" s="1">
        <v>1</v>
      </c>
      <c r="F1729" s="1" t="s">
        <v>192</v>
      </c>
      <c r="G1729" s="1">
        <v>2</v>
      </c>
      <c r="H1729" s="1" t="s">
        <v>192</v>
      </c>
    </row>
    <row r="1730" spans="1:8">
      <c r="A1730">
        <v>122</v>
      </c>
      <c r="B1730" t="s">
        <v>548</v>
      </c>
      <c r="C1730">
        <v>13</v>
      </c>
      <c r="D1730" t="s">
        <v>200</v>
      </c>
      <c r="E1730" s="1">
        <v>1</v>
      </c>
      <c r="F1730" s="1">
        <v>40</v>
      </c>
      <c r="G1730" s="1">
        <v>10</v>
      </c>
      <c r="H1730" s="1">
        <v>40</v>
      </c>
    </row>
    <row r="1731" spans="1:8">
      <c r="A1731">
        <v>122</v>
      </c>
      <c r="B1731" t="s">
        <v>548</v>
      </c>
      <c r="C1731">
        <v>13</v>
      </c>
      <c r="D1731" t="s">
        <v>200</v>
      </c>
      <c r="E1731" s="1">
        <v>1</v>
      </c>
      <c r="F1731" s="1" t="s">
        <v>193</v>
      </c>
      <c r="G1731" s="1">
        <v>12</v>
      </c>
      <c r="H1731" s="1" t="s">
        <v>193</v>
      </c>
    </row>
    <row r="1732" spans="1:8">
      <c r="A1732">
        <v>122</v>
      </c>
      <c r="B1732" t="s">
        <v>548</v>
      </c>
      <c r="C1732">
        <v>13</v>
      </c>
      <c r="D1732" t="s">
        <v>200</v>
      </c>
      <c r="E1732" s="1">
        <v>1</v>
      </c>
      <c r="F1732" s="1">
        <v>41</v>
      </c>
      <c r="G1732" s="1">
        <v>20</v>
      </c>
      <c r="H1732" s="1">
        <v>41</v>
      </c>
    </row>
    <row r="1733" spans="1:8">
      <c r="A1733">
        <v>122</v>
      </c>
      <c r="B1733" t="s">
        <v>548</v>
      </c>
      <c r="C1733">
        <v>13</v>
      </c>
      <c r="D1733" t="s">
        <v>200</v>
      </c>
      <c r="E1733" s="1">
        <v>1</v>
      </c>
      <c r="F1733" s="1" t="s">
        <v>194</v>
      </c>
      <c r="G1733" s="1">
        <v>22</v>
      </c>
      <c r="H1733" s="1" t="s">
        <v>194</v>
      </c>
    </row>
    <row r="1734" spans="1:8">
      <c r="A1734">
        <v>122</v>
      </c>
      <c r="B1734" t="s">
        <v>548</v>
      </c>
      <c r="C1734">
        <v>13</v>
      </c>
      <c r="D1734" t="s">
        <v>200</v>
      </c>
      <c r="E1734" s="1">
        <v>1</v>
      </c>
      <c r="F1734" s="1">
        <v>42</v>
      </c>
      <c r="G1734" s="1">
        <v>30</v>
      </c>
      <c r="H1734" s="1">
        <v>42</v>
      </c>
    </row>
    <row r="1735" spans="1:8">
      <c r="A1735">
        <v>122</v>
      </c>
      <c r="B1735" t="s">
        <v>548</v>
      </c>
      <c r="C1735">
        <v>13</v>
      </c>
      <c r="D1735" t="s">
        <v>200</v>
      </c>
      <c r="E1735" s="1">
        <v>1</v>
      </c>
      <c r="F1735" s="1" t="s">
        <v>195</v>
      </c>
      <c r="G1735" s="1">
        <v>32</v>
      </c>
      <c r="H1735" s="1" t="s">
        <v>195</v>
      </c>
    </row>
    <row r="1736" spans="1:8">
      <c r="A1736">
        <v>122</v>
      </c>
      <c r="B1736" t="s">
        <v>548</v>
      </c>
      <c r="C1736">
        <v>13</v>
      </c>
      <c r="D1736" t="s">
        <v>200</v>
      </c>
      <c r="E1736" s="1">
        <v>1</v>
      </c>
      <c r="F1736" s="1">
        <v>43</v>
      </c>
      <c r="G1736" s="1">
        <v>40</v>
      </c>
      <c r="H1736" s="1">
        <v>43</v>
      </c>
    </row>
    <row r="1737" spans="1:8">
      <c r="A1737">
        <v>122</v>
      </c>
      <c r="B1737" t="s">
        <v>548</v>
      </c>
      <c r="C1737">
        <v>13</v>
      </c>
      <c r="D1737" t="s">
        <v>200</v>
      </c>
      <c r="E1737" s="1">
        <v>1</v>
      </c>
      <c r="F1737" s="1" t="s">
        <v>196</v>
      </c>
      <c r="G1737" s="1">
        <v>42</v>
      </c>
      <c r="H1737" s="1" t="s">
        <v>196</v>
      </c>
    </row>
    <row r="1738" spans="1:8">
      <c r="A1738">
        <v>122</v>
      </c>
      <c r="B1738" t="s">
        <v>548</v>
      </c>
      <c r="C1738">
        <v>13</v>
      </c>
      <c r="D1738" t="s">
        <v>200</v>
      </c>
      <c r="E1738" s="1">
        <v>1</v>
      </c>
      <c r="F1738" s="1">
        <v>44</v>
      </c>
      <c r="G1738" s="1">
        <v>50</v>
      </c>
      <c r="H1738" s="1">
        <v>44</v>
      </c>
    </row>
    <row r="1739" spans="1:8">
      <c r="A1739">
        <v>122</v>
      </c>
      <c r="B1739" t="s">
        <v>548</v>
      </c>
      <c r="C1739">
        <v>13</v>
      </c>
      <c r="D1739" t="s">
        <v>200</v>
      </c>
      <c r="E1739" s="1">
        <v>1</v>
      </c>
      <c r="F1739" s="1" t="s">
        <v>197</v>
      </c>
      <c r="G1739" s="1">
        <v>52</v>
      </c>
      <c r="H1739" s="1" t="s">
        <v>197</v>
      </c>
    </row>
    <row r="1740" spans="1:8">
      <c r="A1740">
        <v>122</v>
      </c>
      <c r="B1740" t="s">
        <v>548</v>
      </c>
      <c r="C1740">
        <v>13</v>
      </c>
      <c r="D1740" t="s">
        <v>200</v>
      </c>
      <c r="E1740" s="1">
        <v>1</v>
      </c>
      <c r="F1740" s="1">
        <v>45</v>
      </c>
      <c r="G1740" s="1">
        <v>60</v>
      </c>
      <c r="H1740" s="1">
        <v>45</v>
      </c>
    </row>
    <row r="1741" spans="1:8">
      <c r="A1741">
        <v>122</v>
      </c>
      <c r="B1741" t="s">
        <v>548</v>
      </c>
      <c r="C1741">
        <v>13</v>
      </c>
      <c r="D1741" t="s">
        <v>200</v>
      </c>
      <c r="E1741" s="1">
        <v>1</v>
      </c>
      <c r="F1741" s="1" t="s">
        <v>198</v>
      </c>
      <c r="G1741" s="1">
        <v>62</v>
      </c>
      <c r="H1741" s="1" t="s">
        <v>198</v>
      </c>
    </row>
    <row r="1742" spans="1:8">
      <c r="A1742">
        <v>122</v>
      </c>
      <c r="B1742" t="s">
        <v>548</v>
      </c>
      <c r="C1742">
        <v>13</v>
      </c>
      <c r="D1742" t="s">
        <v>200</v>
      </c>
      <c r="E1742" s="1">
        <v>1</v>
      </c>
      <c r="F1742" s="1" t="s">
        <v>199</v>
      </c>
      <c r="G1742" s="1">
        <v>72</v>
      </c>
      <c r="H1742" s="1" t="s">
        <v>199</v>
      </c>
    </row>
    <row r="1743" spans="1:8">
      <c r="A1743">
        <v>122</v>
      </c>
      <c r="B1743" t="s">
        <v>548</v>
      </c>
      <c r="C1743">
        <v>13</v>
      </c>
      <c r="D1743" t="s">
        <v>200</v>
      </c>
      <c r="E1743" s="1">
        <v>1</v>
      </c>
      <c r="F1743" s="1">
        <v>39</v>
      </c>
      <c r="H1743" s="1">
        <v>39</v>
      </c>
    </row>
    <row r="1744" spans="1:8">
      <c r="A1744">
        <v>122</v>
      </c>
      <c r="B1744" t="s">
        <v>548</v>
      </c>
      <c r="C1744">
        <v>13</v>
      </c>
      <c r="D1744" t="s">
        <v>200</v>
      </c>
      <c r="G1744" s="1">
        <v>90</v>
      </c>
    </row>
    <row r="1745" spans="1:8">
      <c r="A1745">
        <v>122</v>
      </c>
      <c r="B1745" t="s">
        <v>548</v>
      </c>
      <c r="C1745">
        <v>13</v>
      </c>
      <c r="D1745" t="s">
        <v>200</v>
      </c>
      <c r="G1745" s="1">
        <v>96</v>
      </c>
    </row>
    <row r="1746" spans="1:8">
      <c r="A1746">
        <v>122</v>
      </c>
      <c r="B1746" t="s">
        <v>548</v>
      </c>
      <c r="C1746">
        <v>15</v>
      </c>
      <c r="D1746" t="s">
        <v>201</v>
      </c>
      <c r="E1746" s="1">
        <v>1</v>
      </c>
      <c r="F1746" s="1" t="s">
        <v>489</v>
      </c>
      <c r="G1746" s="1">
        <v>70</v>
      </c>
      <c r="H1746" s="1" t="s">
        <v>489</v>
      </c>
    </row>
    <row r="1747" spans="1:8">
      <c r="A1747">
        <v>122</v>
      </c>
      <c r="B1747" t="s">
        <v>548</v>
      </c>
      <c r="C1747">
        <v>21</v>
      </c>
      <c r="D1747" t="s">
        <v>205</v>
      </c>
      <c r="E1747" s="1">
        <v>1</v>
      </c>
      <c r="F1747" s="1" t="s">
        <v>394</v>
      </c>
      <c r="G1747" s="1">
        <v>12</v>
      </c>
      <c r="H1747" s="1" t="s">
        <v>394</v>
      </c>
    </row>
    <row r="1748" spans="1:8">
      <c r="A1748">
        <v>122</v>
      </c>
      <c r="B1748" t="s">
        <v>548</v>
      </c>
      <c r="C1748">
        <v>21</v>
      </c>
      <c r="D1748" t="s">
        <v>205</v>
      </c>
      <c r="E1748" s="1">
        <v>1</v>
      </c>
      <c r="F1748" s="1" t="s">
        <v>328</v>
      </c>
      <c r="G1748" s="1">
        <v>20</v>
      </c>
      <c r="H1748" s="1" t="s">
        <v>328</v>
      </c>
    </row>
    <row r="1749" spans="1:8">
      <c r="A1749">
        <v>122</v>
      </c>
      <c r="B1749" t="s">
        <v>548</v>
      </c>
      <c r="C1749">
        <v>21</v>
      </c>
      <c r="D1749" t="s">
        <v>205</v>
      </c>
      <c r="E1749" s="1">
        <v>1</v>
      </c>
      <c r="F1749" s="1" t="s">
        <v>395</v>
      </c>
      <c r="G1749" s="1">
        <v>22</v>
      </c>
      <c r="H1749" s="1" t="s">
        <v>395</v>
      </c>
    </row>
    <row r="1750" spans="1:8">
      <c r="A1750">
        <v>122</v>
      </c>
      <c r="B1750" t="s">
        <v>548</v>
      </c>
      <c r="C1750">
        <v>21</v>
      </c>
      <c r="D1750" t="s">
        <v>205</v>
      </c>
      <c r="E1750" s="1">
        <v>1</v>
      </c>
      <c r="F1750" s="1" t="s">
        <v>329</v>
      </c>
      <c r="G1750" s="1">
        <v>30</v>
      </c>
      <c r="H1750" s="1" t="s">
        <v>329</v>
      </c>
    </row>
    <row r="1751" spans="1:8">
      <c r="A1751">
        <v>122</v>
      </c>
      <c r="B1751" t="s">
        <v>548</v>
      </c>
      <c r="C1751">
        <v>21</v>
      </c>
      <c r="D1751" t="s">
        <v>205</v>
      </c>
      <c r="E1751" s="1">
        <v>1</v>
      </c>
      <c r="F1751" s="1" t="s">
        <v>323</v>
      </c>
      <c r="G1751" s="1">
        <v>32</v>
      </c>
      <c r="H1751" s="1" t="s">
        <v>323</v>
      </c>
    </row>
    <row r="1752" spans="1:8">
      <c r="A1752">
        <v>122</v>
      </c>
      <c r="B1752" t="s">
        <v>548</v>
      </c>
      <c r="C1752">
        <v>21</v>
      </c>
      <c r="D1752" t="s">
        <v>205</v>
      </c>
      <c r="E1752" s="1">
        <v>1</v>
      </c>
      <c r="F1752" s="1" t="s">
        <v>330</v>
      </c>
      <c r="G1752" s="1">
        <v>42</v>
      </c>
      <c r="H1752" s="1" t="s">
        <v>330</v>
      </c>
    </row>
    <row r="1753" spans="1:8">
      <c r="A1753">
        <v>122</v>
      </c>
      <c r="B1753" t="s">
        <v>548</v>
      </c>
      <c r="C1753">
        <v>21</v>
      </c>
      <c r="D1753" t="s">
        <v>205</v>
      </c>
      <c r="E1753" s="1">
        <v>1</v>
      </c>
      <c r="F1753" s="1" t="s">
        <v>288</v>
      </c>
      <c r="G1753" s="1">
        <v>62</v>
      </c>
      <c r="H1753" s="1" t="s">
        <v>288</v>
      </c>
    </row>
    <row r="1754" spans="1:8">
      <c r="A1754">
        <v>122</v>
      </c>
      <c r="B1754" t="s">
        <v>548</v>
      </c>
      <c r="C1754">
        <v>21</v>
      </c>
      <c r="D1754" t="s">
        <v>205</v>
      </c>
      <c r="G1754" s="1">
        <v>82</v>
      </c>
    </row>
    <row r="1755" spans="1:8">
      <c r="A1755">
        <v>122</v>
      </c>
      <c r="B1755" t="s">
        <v>548</v>
      </c>
      <c r="C1755">
        <v>27</v>
      </c>
      <c r="D1755" t="s">
        <v>210</v>
      </c>
      <c r="E1755" s="1">
        <v>1</v>
      </c>
      <c r="F1755" s="1" t="s">
        <v>197</v>
      </c>
      <c r="G1755" s="1">
        <v>52</v>
      </c>
      <c r="H1755" s="1" t="s">
        <v>197</v>
      </c>
    </row>
    <row r="1756" spans="1:8">
      <c r="A1756">
        <v>122</v>
      </c>
      <c r="B1756" t="s">
        <v>548</v>
      </c>
      <c r="C1756">
        <v>31</v>
      </c>
      <c r="D1756" t="s">
        <v>110</v>
      </c>
      <c r="E1756" s="1">
        <v>1</v>
      </c>
      <c r="F1756" s="1" t="s">
        <v>334</v>
      </c>
      <c r="G1756" s="1">
        <v>12</v>
      </c>
      <c r="H1756" s="1" t="s">
        <v>334</v>
      </c>
    </row>
    <row r="1757" spans="1:8">
      <c r="A1757">
        <v>122</v>
      </c>
      <c r="B1757" t="s">
        <v>548</v>
      </c>
      <c r="C1757">
        <v>38</v>
      </c>
      <c r="D1757" t="s">
        <v>217</v>
      </c>
      <c r="E1757" s="1">
        <v>1</v>
      </c>
      <c r="F1757" s="1" t="s">
        <v>396</v>
      </c>
      <c r="G1757" s="1">
        <v>20</v>
      </c>
      <c r="H1757" s="1" t="s">
        <v>396</v>
      </c>
    </row>
    <row r="1758" spans="1:8">
      <c r="A1758">
        <v>122</v>
      </c>
      <c r="B1758" t="s">
        <v>548</v>
      </c>
      <c r="C1758">
        <v>39</v>
      </c>
      <c r="D1758" t="s">
        <v>218</v>
      </c>
      <c r="E1758" s="1">
        <v>1</v>
      </c>
      <c r="F1758" s="1" t="s">
        <v>396</v>
      </c>
      <c r="G1758" s="1">
        <v>20</v>
      </c>
      <c r="H1758" s="1" t="s">
        <v>396</v>
      </c>
    </row>
    <row r="1759" spans="1:8">
      <c r="A1759">
        <v>122</v>
      </c>
      <c r="B1759" t="s">
        <v>548</v>
      </c>
      <c r="C1759">
        <v>57</v>
      </c>
      <c r="D1759" t="s">
        <v>183</v>
      </c>
      <c r="E1759" s="1">
        <v>3</v>
      </c>
      <c r="F1759" s="1" t="s">
        <v>492</v>
      </c>
      <c r="G1759" s="1">
        <v>50</v>
      </c>
      <c r="H1759" s="1" t="s">
        <v>492</v>
      </c>
    </row>
    <row r="1760" spans="1:8">
      <c r="A1760">
        <v>122</v>
      </c>
      <c r="B1760" t="s">
        <v>548</v>
      </c>
      <c r="C1760">
        <v>57</v>
      </c>
      <c r="D1760" t="s">
        <v>183</v>
      </c>
      <c r="G1760" s="1">
        <v>50</v>
      </c>
    </row>
    <row r="1761" spans="1:8">
      <c r="A1761">
        <v>122</v>
      </c>
      <c r="B1761" t="s">
        <v>548</v>
      </c>
      <c r="C1761">
        <v>57</v>
      </c>
      <c r="D1761" t="s">
        <v>183</v>
      </c>
      <c r="G1761" s="1">
        <v>60</v>
      </c>
    </row>
    <row r="1762" spans="1:8">
      <c r="A1762">
        <v>122</v>
      </c>
      <c r="B1762" t="s">
        <v>548</v>
      </c>
      <c r="C1762">
        <v>59</v>
      </c>
      <c r="D1762" t="s">
        <v>227</v>
      </c>
      <c r="E1762" s="1">
        <v>3</v>
      </c>
      <c r="F1762" s="1" t="s">
        <v>295</v>
      </c>
      <c r="G1762" s="1">
        <v>23</v>
      </c>
      <c r="H1762" s="1" t="s">
        <v>295</v>
      </c>
    </row>
    <row r="1763" spans="1:8">
      <c r="A1763">
        <v>122</v>
      </c>
      <c r="B1763" t="s">
        <v>548</v>
      </c>
      <c r="C1763">
        <v>59</v>
      </c>
      <c r="D1763" t="s">
        <v>227</v>
      </c>
      <c r="G1763" s="1">
        <v>23</v>
      </c>
    </row>
    <row r="1764" spans="1:8">
      <c r="A1764">
        <v>122</v>
      </c>
      <c r="B1764" t="s">
        <v>548</v>
      </c>
      <c r="C1764">
        <v>61</v>
      </c>
      <c r="D1764" t="s">
        <v>228</v>
      </c>
      <c r="G1764" s="1">
        <v>10</v>
      </c>
    </row>
    <row r="1765" spans="1:8">
      <c r="A1765">
        <v>122</v>
      </c>
      <c r="B1765" t="s">
        <v>548</v>
      </c>
      <c r="C1765">
        <v>61</v>
      </c>
      <c r="D1765" t="s">
        <v>228</v>
      </c>
      <c r="G1765" s="1">
        <v>20</v>
      </c>
    </row>
    <row r="1766" spans="1:8">
      <c r="A1766">
        <v>122</v>
      </c>
      <c r="B1766" t="s">
        <v>548</v>
      </c>
      <c r="C1766">
        <v>61</v>
      </c>
      <c r="D1766" t="s">
        <v>228</v>
      </c>
      <c r="G1766" s="1">
        <v>28</v>
      </c>
    </row>
    <row r="1767" spans="1:8">
      <c r="A1767">
        <v>122</v>
      </c>
      <c r="B1767" t="s">
        <v>548</v>
      </c>
      <c r="C1767">
        <v>61</v>
      </c>
      <c r="D1767" t="s">
        <v>228</v>
      </c>
      <c r="G1767" s="1">
        <v>29</v>
      </c>
    </row>
    <row r="1768" spans="1:8">
      <c r="A1768">
        <v>122</v>
      </c>
      <c r="B1768" t="s">
        <v>548</v>
      </c>
      <c r="C1768">
        <v>61</v>
      </c>
      <c r="D1768" t="s">
        <v>228</v>
      </c>
      <c r="G1768" s="1">
        <v>30</v>
      </c>
    </row>
    <row r="1769" spans="1:8">
      <c r="A1769">
        <v>122</v>
      </c>
      <c r="B1769" t="s">
        <v>548</v>
      </c>
      <c r="C1769">
        <v>62</v>
      </c>
      <c r="D1769" t="s">
        <v>514</v>
      </c>
      <c r="E1769" s="1">
        <v>1</v>
      </c>
      <c r="F1769" s="1" t="s">
        <v>334</v>
      </c>
      <c r="G1769" s="1">
        <v>32</v>
      </c>
      <c r="H1769" s="1" t="s">
        <v>334</v>
      </c>
    </row>
    <row r="1770" spans="1:8">
      <c r="A1770">
        <v>122</v>
      </c>
      <c r="B1770" t="s">
        <v>548</v>
      </c>
      <c r="C1770">
        <v>62</v>
      </c>
      <c r="D1770" t="s">
        <v>514</v>
      </c>
      <c r="E1770" s="1">
        <v>1</v>
      </c>
      <c r="F1770" s="1">
        <v>10</v>
      </c>
      <c r="G1770" s="1">
        <v>40</v>
      </c>
      <c r="H1770" s="1">
        <v>10</v>
      </c>
    </row>
    <row r="1771" spans="1:8">
      <c r="A1771">
        <v>122</v>
      </c>
      <c r="B1771" t="s">
        <v>548</v>
      </c>
      <c r="C1771">
        <v>62</v>
      </c>
      <c r="D1771" t="s">
        <v>514</v>
      </c>
      <c r="E1771" s="1">
        <v>1</v>
      </c>
      <c r="F1771" s="1" t="s">
        <v>335</v>
      </c>
      <c r="G1771" s="1">
        <v>42</v>
      </c>
      <c r="H1771" s="1" t="s">
        <v>335</v>
      </c>
    </row>
    <row r="1772" spans="1:8">
      <c r="A1772">
        <v>122</v>
      </c>
      <c r="B1772" t="s">
        <v>548</v>
      </c>
      <c r="C1772">
        <v>62</v>
      </c>
      <c r="D1772" t="s">
        <v>514</v>
      </c>
      <c r="E1772" s="1">
        <v>1</v>
      </c>
      <c r="F1772" s="1">
        <v>11</v>
      </c>
      <c r="G1772" s="1">
        <v>50</v>
      </c>
      <c r="H1772" s="1">
        <v>11</v>
      </c>
    </row>
    <row r="1773" spans="1:8">
      <c r="A1773">
        <v>122</v>
      </c>
      <c r="B1773" t="s">
        <v>548</v>
      </c>
      <c r="C1773">
        <v>62</v>
      </c>
      <c r="D1773" t="s">
        <v>514</v>
      </c>
      <c r="E1773" s="1">
        <v>1</v>
      </c>
      <c r="F1773" s="1" t="s">
        <v>389</v>
      </c>
      <c r="G1773" s="1">
        <v>52</v>
      </c>
      <c r="H1773" s="1" t="s">
        <v>389</v>
      </c>
    </row>
    <row r="1774" spans="1:8">
      <c r="A1774">
        <v>122</v>
      </c>
      <c r="B1774" t="s">
        <v>548</v>
      </c>
      <c r="C1774">
        <v>62</v>
      </c>
      <c r="D1774" t="s">
        <v>514</v>
      </c>
      <c r="E1774" s="1">
        <v>1</v>
      </c>
      <c r="F1774" s="1">
        <v>12</v>
      </c>
      <c r="G1774" s="1">
        <v>60</v>
      </c>
      <c r="H1774" s="1">
        <v>12</v>
      </c>
    </row>
    <row r="1775" spans="1:8">
      <c r="A1775">
        <v>122</v>
      </c>
      <c r="B1775" t="s">
        <v>548</v>
      </c>
      <c r="C1775">
        <v>62</v>
      </c>
      <c r="D1775" t="s">
        <v>514</v>
      </c>
      <c r="E1775" s="1">
        <v>1</v>
      </c>
      <c r="F1775" s="1" t="s">
        <v>141</v>
      </c>
      <c r="G1775" s="1">
        <v>62</v>
      </c>
      <c r="H1775" s="1" t="s">
        <v>141</v>
      </c>
    </row>
    <row r="1776" spans="1:8">
      <c r="A1776">
        <v>122</v>
      </c>
      <c r="B1776" t="s">
        <v>548</v>
      </c>
      <c r="C1776">
        <v>62</v>
      </c>
      <c r="D1776" t="s">
        <v>514</v>
      </c>
      <c r="E1776" s="1">
        <v>1</v>
      </c>
      <c r="F1776" s="1">
        <v>13</v>
      </c>
      <c r="G1776" s="1">
        <v>70</v>
      </c>
      <c r="H1776" s="1">
        <v>13</v>
      </c>
    </row>
    <row r="1777" spans="1:8">
      <c r="A1777">
        <v>122</v>
      </c>
      <c r="B1777" t="s">
        <v>548</v>
      </c>
      <c r="C1777">
        <v>62</v>
      </c>
      <c r="D1777" t="s">
        <v>514</v>
      </c>
      <c r="E1777" s="1">
        <v>1</v>
      </c>
      <c r="F1777" s="1" t="s">
        <v>144</v>
      </c>
      <c r="G1777" s="1">
        <v>72</v>
      </c>
      <c r="H1777" s="1" t="s">
        <v>144</v>
      </c>
    </row>
    <row r="1778" spans="1:8">
      <c r="A1778">
        <v>122</v>
      </c>
      <c r="B1778" t="s">
        <v>548</v>
      </c>
      <c r="C1778">
        <v>62</v>
      </c>
      <c r="D1778" t="s">
        <v>514</v>
      </c>
      <c r="E1778" s="1">
        <v>1</v>
      </c>
      <c r="F1778" s="1">
        <v>14</v>
      </c>
      <c r="G1778" s="1">
        <v>80</v>
      </c>
      <c r="H1778" s="1">
        <v>14</v>
      </c>
    </row>
    <row r="1779" spans="1:8">
      <c r="A1779">
        <v>122</v>
      </c>
      <c r="B1779" t="s">
        <v>548</v>
      </c>
      <c r="C1779">
        <v>62</v>
      </c>
      <c r="D1779" t="s">
        <v>514</v>
      </c>
      <c r="E1779" s="1">
        <v>1</v>
      </c>
      <c r="F1779" s="1" t="s">
        <v>147</v>
      </c>
      <c r="G1779" s="1">
        <v>82</v>
      </c>
      <c r="H1779" s="1" t="s">
        <v>147</v>
      </c>
    </row>
    <row r="1780" spans="1:8">
      <c r="A1780">
        <v>122</v>
      </c>
      <c r="B1780" t="s">
        <v>548</v>
      </c>
      <c r="C1780">
        <v>62</v>
      </c>
      <c r="D1780" t="s">
        <v>514</v>
      </c>
      <c r="E1780" s="1">
        <v>1</v>
      </c>
      <c r="F1780" s="1">
        <v>15</v>
      </c>
      <c r="G1780" s="1">
        <v>90</v>
      </c>
      <c r="H1780" s="1">
        <v>15</v>
      </c>
    </row>
    <row r="1781" spans="1:8">
      <c r="A1781">
        <v>122</v>
      </c>
      <c r="B1781" t="s">
        <v>548</v>
      </c>
      <c r="C1781">
        <v>62</v>
      </c>
      <c r="D1781" t="s">
        <v>514</v>
      </c>
      <c r="E1781" s="1">
        <v>1</v>
      </c>
      <c r="F1781" s="1" t="s">
        <v>150</v>
      </c>
      <c r="G1781" s="1">
        <v>92</v>
      </c>
      <c r="H1781" s="1" t="s">
        <v>150</v>
      </c>
    </row>
    <row r="1782" spans="1:8">
      <c r="A1782">
        <v>122</v>
      </c>
      <c r="B1782" t="s">
        <v>548</v>
      </c>
      <c r="C1782">
        <v>62</v>
      </c>
      <c r="D1782" t="s">
        <v>514</v>
      </c>
      <c r="E1782" s="1">
        <v>2</v>
      </c>
      <c r="F1782" s="1" t="s">
        <v>153</v>
      </c>
      <c r="G1782" s="1">
        <v>2</v>
      </c>
      <c r="H1782" s="1" t="s">
        <v>153</v>
      </c>
    </row>
    <row r="1783" spans="1:8">
      <c r="A1783">
        <v>122</v>
      </c>
      <c r="B1783" t="s">
        <v>548</v>
      </c>
      <c r="C1783">
        <v>62</v>
      </c>
      <c r="D1783" t="s">
        <v>514</v>
      </c>
      <c r="E1783" s="1">
        <v>2</v>
      </c>
      <c r="F1783" s="1">
        <v>16</v>
      </c>
      <c r="H1783" s="1">
        <v>16</v>
      </c>
    </row>
    <row r="1784" spans="1:8">
      <c r="A1784">
        <v>122</v>
      </c>
      <c r="B1784" t="s">
        <v>548</v>
      </c>
      <c r="C1784">
        <v>74</v>
      </c>
      <c r="D1784" t="s">
        <v>235</v>
      </c>
      <c r="E1784" s="1">
        <v>3</v>
      </c>
      <c r="F1784" s="1" t="s">
        <v>320</v>
      </c>
      <c r="G1784" s="1">
        <v>50</v>
      </c>
      <c r="H1784" s="1" t="s">
        <v>320</v>
      </c>
    </row>
    <row r="1785" spans="1:8">
      <c r="A1785">
        <v>122</v>
      </c>
      <c r="B1785" t="s">
        <v>548</v>
      </c>
      <c r="C1785">
        <v>74</v>
      </c>
      <c r="D1785" t="s">
        <v>235</v>
      </c>
      <c r="E1785" s="1">
        <v>3</v>
      </c>
      <c r="F1785" s="1" t="s">
        <v>321</v>
      </c>
      <c r="G1785" s="1">
        <v>60</v>
      </c>
      <c r="H1785" s="1" t="s">
        <v>321</v>
      </c>
    </row>
    <row r="1786" spans="1:8">
      <c r="A1786">
        <v>122</v>
      </c>
      <c r="B1786" t="s">
        <v>548</v>
      </c>
      <c r="C1786">
        <v>82</v>
      </c>
      <c r="D1786" t="s">
        <v>239</v>
      </c>
      <c r="G1786" s="1">
        <v>32</v>
      </c>
    </row>
    <row r="1787" spans="1:8">
      <c r="A1787">
        <v>123</v>
      </c>
      <c r="B1787" t="s">
        <v>549</v>
      </c>
      <c r="C1787">
        <v>1</v>
      </c>
      <c r="D1787" t="s">
        <v>137</v>
      </c>
      <c r="E1787" s="1">
        <v>2</v>
      </c>
      <c r="F1787" s="1" t="s">
        <v>177</v>
      </c>
      <c r="G1787" s="1">
        <v>62</v>
      </c>
      <c r="H1787" s="1" t="s">
        <v>177</v>
      </c>
    </row>
    <row r="1788" spans="1:8">
      <c r="A1788">
        <v>125</v>
      </c>
      <c r="B1788" t="s">
        <v>520</v>
      </c>
      <c r="C1788">
        <v>21</v>
      </c>
      <c r="D1788" t="s">
        <v>205</v>
      </c>
      <c r="E1788" s="1">
        <v>1</v>
      </c>
      <c r="F1788" s="1" t="s">
        <v>330</v>
      </c>
      <c r="G1788" s="1">
        <v>42</v>
      </c>
      <c r="H1788" s="1" t="s">
        <v>330</v>
      </c>
    </row>
    <row r="1789" spans="1:8">
      <c r="A1789">
        <v>126</v>
      </c>
      <c r="B1789" t="s">
        <v>550</v>
      </c>
      <c r="C1789">
        <v>1</v>
      </c>
      <c r="D1789" t="s">
        <v>137</v>
      </c>
      <c r="E1789" s="1">
        <v>1</v>
      </c>
      <c r="F1789" s="1">
        <v>14</v>
      </c>
      <c r="G1789" s="1">
        <v>70</v>
      </c>
      <c r="H1789" s="1">
        <v>14</v>
      </c>
    </row>
    <row r="1790" spans="1:8">
      <c r="A1790">
        <v>126</v>
      </c>
      <c r="B1790" t="s">
        <v>550</v>
      </c>
      <c r="C1790">
        <v>1</v>
      </c>
      <c r="D1790" t="s">
        <v>137</v>
      </c>
      <c r="E1790" s="1">
        <v>1</v>
      </c>
      <c r="F1790" s="1" t="s">
        <v>147</v>
      </c>
      <c r="G1790" s="1">
        <v>72</v>
      </c>
      <c r="H1790" s="1" t="s">
        <v>147</v>
      </c>
    </row>
    <row r="1791" spans="1:8">
      <c r="A1791">
        <v>126</v>
      </c>
      <c r="B1791" t="s">
        <v>550</v>
      </c>
      <c r="C1791">
        <v>1</v>
      </c>
      <c r="D1791" t="s">
        <v>137</v>
      </c>
      <c r="E1791" s="1">
        <v>1</v>
      </c>
      <c r="F1791" s="1">
        <v>15</v>
      </c>
      <c r="G1791" s="1">
        <v>80</v>
      </c>
      <c r="H1791" s="1">
        <v>15</v>
      </c>
    </row>
    <row r="1792" spans="1:8">
      <c r="A1792">
        <v>126</v>
      </c>
      <c r="B1792" t="s">
        <v>550</v>
      </c>
      <c r="C1792">
        <v>1</v>
      </c>
      <c r="D1792" t="s">
        <v>137</v>
      </c>
      <c r="E1792" s="1">
        <v>1</v>
      </c>
      <c r="F1792" s="1" t="s">
        <v>150</v>
      </c>
      <c r="G1792" s="1">
        <v>82</v>
      </c>
      <c r="H1792" s="1" t="s">
        <v>150</v>
      </c>
    </row>
    <row r="1793" spans="1:8">
      <c r="A1793">
        <v>126</v>
      </c>
      <c r="B1793" t="s">
        <v>550</v>
      </c>
      <c r="C1793">
        <v>1</v>
      </c>
      <c r="D1793" t="s">
        <v>137</v>
      </c>
      <c r="E1793" s="1">
        <v>1</v>
      </c>
      <c r="F1793" s="1">
        <v>16</v>
      </c>
      <c r="G1793" s="1">
        <v>90</v>
      </c>
      <c r="H1793" s="1">
        <v>16</v>
      </c>
    </row>
    <row r="1794" spans="1:8">
      <c r="A1794">
        <v>126</v>
      </c>
      <c r="B1794" t="s">
        <v>550</v>
      </c>
      <c r="C1794">
        <v>1</v>
      </c>
      <c r="D1794" t="s">
        <v>137</v>
      </c>
      <c r="E1794" s="1">
        <v>1</v>
      </c>
      <c r="F1794" s="1" t="s">
        <v>153</v>
      </c>
      <c r="G1794" s="1">
        <v>92</v>
      </c>
      <c r="H1794" s="1" t="s">
        <v>153</v>
      </c>
    </row>
    <row r="1795" spans="1:8">
      <c r="A1795">
        <v>126</v>
      </c>
      <c r="B1795" t="s">
        <v>550</v>
      </c>
      <c r="C1795">
        <v>1</v>
      </c>
      <c r="D1795" t="s">
        <v>137</v>
      </c>
      <c r="E1795" s="1">
        <v>1</v>
      </c>
      <c r="F1795" s="1">
        <v>17</v>
      </c>
      <c r="G1795" s="1">
        <v>94</v>
      </c>
      <c r="H1795" s="1">
        <v>17</v>
      </c>
    </row>
    <row r="1796" spans="1:8">
      <c r="A1796">
        <v>126</v>
      </c>
      <c r="B1796" t="s">
        <v>550</v>
      </c>
      <c r="C1796">
        <v>1</v>
      </c>
      <c r="D1796" t="s">
        <v>137</v>
      </c>
      <c r="E1796" s="1">
        <v>1</v>
      </c>
      <c r="F1796" s="1" t="s">
        <v>156</v>
      </c>
      <c r="G1796" s="1">
        <v>96</v>
      </c>
      <c r="H1796" s="1" t="s">
        <v>156</v>
      </c>
    </row>
    <row r="1797" spans="1:8">
      <c r="A1797">
        <v>126</v>
      </c>
      <c r="B1797" t="s">
        <v>550</v>
      </c>
      <c r="C1797">
        <v>1</v>
      </c>
      <c r="D1797" t="s">
        <v>137</v>
      </c>
      <c r="E1797" s="1">
        <v>2</v>
      </c>
      <c r="F1797" s="1" t="s">
        <v>159</v>
      </c>
      <c r="G1797" s="1">
        <v>2</v>
      </c>
      <c r="H1797" s="1" t="s">
        <v>159</v>
      </c>
    </row>
    <row r="1798" spans="1:8">
      <c r="A1798">
        <v>126</v>
      </c>
      <c r="B1798" t="s">
        <v>550</v>
      </c>
      <c r="C1798">
        <v>1</v>
      </c>
      <c r="D1798" t="s">
        <v>137</v>
      </c>
      <c r="E1798" s="1">
        <v>2</v>
      </c>
      <c r="F1798" s="1">
        <v>19</v>
      </c>
      <c r="G1798" s="1">
        <v>10</v>
      </c>
      <c r="H1798" s="1">
        <v>19</v>
      </c>
    </row>
    <row r="1799" spans="1:8">
      <c r="A1799">
        <v>126</v>
      </c>
      <c r="B1799" t="s">
        <v>550</v>
      </c>
      <c r="C1799">
        <v>1</v>
      </c>
      <c r="D1799" t="s">
        <v>137</v>
      </c>
      <c r="E1799" s="1">
        <v>2</v>
      </c>
      <c r="F1799" s="1" t="s">
        <v>162</v>
      </c>
      <c r="G1799" s="1">
        <v>12</v>
      </c>
      <c r="H1799" s="1" t="s">
        <v>162</v>
      </c>
    </row>
    <row r="1800" spans="1:8">
      <c r="A1800">
        <v>126</v>
      </c>
      <c r="B1800" t="s">
        <v>550</v>
      </c>
      <c r="C1800">
        <v>1</v>
      </c>
      <c r="D1800" t="s">
        <v>137</v>
      </c>
      <c r="E1800" s="1">
        <v>2</v>
      </c>
      <c r="F1800" s="1">
        <v>20</v>
      </c>
      <c r="G1800" s="1">
        <v>20</v>
      </c>
      <c r="H1800" s="1">
        <v>20</v>
      </c>
    </row>
    <row r="1801" spans="1:8">
      <c r="A1801">
        <v>126</v>
      </c>
      <c r="B1801" t="s">
        <v>550</v>
      </c>
      <c r="C1801">
        <v>1</v>
      </c>
      <c r="D1801" t="s">
        <v>137</v>
      </c>
      <c r="E1801" s="1">
        <v>2</v>
      </c>
      <c r="F1801" s="1" t="s">
        <v>165</v>
      </c>
      <c r="G1801" s="1">
        <v>22</v>
      </c>
      <c r="H1801" s="1" t="s">
        <v>165</v>
      </c>
    </row>
    <row r="1802" spans="1:8">
      <c r="A1802">
        <v>126</v>
      </c>
      <c r="B1802" t="s">
        <v>550</v>
      </c>
      <c r="C1802">
        <v>1</v>
      </c>
      <c r="D1802" t="s">
        <v>137</v>
      </c>
      <c r="E1802" s="1">
        <v>2</v>
      </c>
      <c r="F1802" s="1">
        <v>21</v>
      </c>
      <c r="G1802" s="1">
        <v>30</v>
      </c>
      <c r="H1802" s="1">
        <v>21</v>
      </c>
    </row>
    <row r="1803" spans="1:8">
      <c r="A1803">
        <v>126</v>
      </c>
      <c r="B1803" t="s">
        <v>550</v>
      </c>
      <c r="C1803">
        <v>1</v>
      </c>
      <c r="D1803" t="s">
        <v>137</v>
      </c>
      <c r="E1803" s="1">
        <v>2</v>
      </c>
      <c r="F1803" s="1" t="s">
        <v>168</v>
      </c>
      <c r="G1803" s="1">
        <v>32</v>
      </c>
      <c r="H1803" s="1" t="s">
        <v>168</v>
      </c>
    </row>
    <row r="1804" spans="1:8">
      <c r="A1804">
        <v>126</v>
      </c>
      <c r="B1804" t="s">
        <v>550</v>
      </c>
      <c r="C1804">
        <v>1</v>
      </c>
      <c r="D1804" t="s">
        <v>137</v>
      </c>
      <c r="E1804" s="1">
        <v>2</v>
      </c>
      <c r="F1804" s="1">
        <v>22</v>
      </c>
      <c r="G1804" s="1">
        <v>40</v>
      </c>
      <c r="H1804" s="1">
        <v>22</v>
      </c>
    </row>
    <row r="1805" spans="1:8">
      <c r="A1805">
        <v>126</v>
      </c>
      <c r="B1805" t="s">
        <v>550</v>
      </c>
      <c r="C1805">
        <v>1</v>
      </c>
      <c r="D1805" t="s">
        <v>137</v>
      </c>
      <c r="E1805" s="1">
        <v>2</v>
      </c>
      <c r="F1805" s="1" t="s">
        <v>171</v>
      </c>
      <c r="G1805" s="1">
        <v>42</v>
      </c>
      <c r="H1805" s="1" t="s">
        <v>171</v>
      </c>
    </row>
    <row r="1806" spans="1:8">
      <c r="A1806">
        <v>126</v>
      </c>
      <c r="B1806" t="s">
        <v>550</v>
      </c>
      <c r="C1806">
        <v>1</v>
      </c>
      <c r="D1806" t="s">
        <v>137</v>
      </c>
      <c r="E1806" s="1">
        <v>2</v>
      </c>
      <c r="F1806" s="1">
        <v>23</v>
      </c>
      <c r="G1806" s="1">
        <v>50</v>
      </c>
      <c r="H1806" s="1">
        <v>23</v>
      </c>
    </row>
    <row r="1807" spans="1:8">
      <c r="A1807">
        <v>126</v>
      </c>
      <c r="B1807" t="s">
        <v>550</v>
      </c>
      <c r="C1807">
        <v>1</v>
      </c>
      <c r="D1807" t="s">
        <v>137</v>
      </c>
      <c r="E1807" s="1">
        <v>2</v>
      </c>
      <c r="F1807" s="1" t="s">
        <v>174</v>
      </c>
      <c r="G1807" s="1">
        <v>52</v>
      </c>
      <c r="H1807" s="1" t="s">
        <v>174</v>
      </c>
    </row>
    <row r="1808" spans="1:8">
      <c r="A1808">
        <v>126</v>
      </c>
      <c r="B1808" t="s">
        <v>550</v>
      </c>
      <c r="C1808">
        <v>1</v>
      </c>
      <c r="D1808" t="s">
        <v>137</v>
      </c>
      <c r="E1808" s="1">
        <v>2</v>
      </c>
      <c r="F1808" s="1">
        <v>24</v>
      </c>
      <c r="G1808" s="1">
        <v>60</v>
      </c>
      <c r="H1808" s="1">
        <v>24</v>
      </c>
    </row>
    <row r="1809" spans="1:8">
      <c r="A1809">
        <v>126</v>
      </c>
      <c r="B1809" t="s">
        <v>550</v>
      </c>
      <c r="C1809">
        <v>1</v>
      </c>
      <c r="D1809" t="s">
        <v>137</v>
      </c>
      <c r="E1809" s="1">
        <v>2</v>
      </c>
      <c r="F1809" s="1" t="s">
        <v>177</v>
      </c>
      <c r="G1809" s="1">
        <v>62</v>
      </c>
      <c r="H1809" s="1" t="s">
        <v>177</v>
      </c>
    </row>
    <row r="1810" spans="1:8">
      <c r="A1810">
        <v>126</v>
      </c>
      <c r="B1810" t="s">
        <v>550</v>
      </c>
      <c r="C1810">
        <v>1</v>
      </c>
      <c r="D1810" t="s">
        <v>137</v>
      </c>
      <c r="E1810" s="1">
        <v>2</v>
      </c>
      <c r="F1810" s="1">
        <v>25</v>
      </c>
      <c r="G1810" s="1">
        <v>70</v>
      </c>
      <c r="H1810" s="1">
        <v>25</v>
      </c>
    </row>
    <row r="1811" spans="1:8">
      <c r="A1811">
        <v>126</v>
      </c>
      <c r="B1811" t="s">
        <v>550</v>
      </c>
      <c r="C1811">
        <v>1</v>
      </c>
      <c r="D1811" t="s">
        <v>137</v>
      </c>
      <c r="E1811" s="1">
        <v>2</v>
      </c>
      <c r="F1811" s="1" t="s">
        <v>180</v>
      </c>
      <c r="G1811" s="1">
        <v>72</v>
      </c>
      <c r="H1811" s="1" t="s">
        <v>180</v>
      </c>
    </row>
    <row r="1812" spans="1:8">
      <c r="A1812">
        <v>126</v>
      </c>
      <c r="B1812" t="s">
        <v>550</v>
      </c>
      <c r="C1812">
        <v>1</v>
      </c>
      <c r="D1812" t="s">
        <v>137</v>
      </c>
      <c r="E1812" s="1">
        <v>2</v>
      </c>
      <c r="F1812" s="1">
        <v>18</v>
      </c>
      <c r="H1812" s="1">
        <v>18</v>
      </c>
    </row>
    <row r="1813" spans="1:8">
      <c r="A1813">
        <v>126</v>
      </c>
      <c r="B1813" t="s">
        <v>550</v>
      </c>
      <c r="C1813">
        <v>4</v>
      </c>
      <c r="D1813" t="s">
        <v>182</v>
      </c>
      <c r="E1813" s="1">
        <v>3</v>
      </c>
      <c r="F1813" s="1" t="s">
        <v>551</v>
      </c>
      <c r="G1813" s="1">
        <v>50</v>
      </c>
      <c r="H1813" s="1" t="s">
        <v>551</v>
      </c>
    </row>
    <row r="1814" spans="1:8">
      <c r="A1814">
        <v>126</v>
      </c>
      <c r="B1814" t="s">
        <v>550</v>
      </c>
      <c r="C1814">
        <v>4</v>
      </c>
      <c r="D1814" t="s">
        <v>182</v>
      </c>
      <c r="G1814" s="1">
        <v>50</v>
      </c>
    </row>
    <row r="1815" spans="1:8">
      <c r="A1815">
        <v>126</v>
      </c>
      <c r="B1815" t="s">
        <v>550</v>
      </c>
      <c r="C1815">
        <v>5</v>
      </c>
      <c r="D1815" t="s">
        <v>183</v>
      </c>
      <c r="G1815" s="1">
        <v>60</v>
      </c>
    </row>
    <row r="1816" spans="1:8">
      <c r="A1816">
        <v>126</v>
      </c>
      <c r="B1816" t="s">
        <v>550</v>
      </c>
      <c r="C1816">
        <v>11</v>
      </c>
      <c r="D1816" t="s">
        <v>186</v>
      </c>
      <c r="E1816" s="1">
        <v>1</v>
      </c>
      <c r="F1816" s="1" t="s">
        <v>192</v>
      </c>
      <c r="G1816" s="1">
        <v>2</v>
      </c>
      <c r="H1816" s="1" t="s">
        <v>192</v>
      </c>
    </row>
    <row r="1817" spans="1:8">
      <c r="A1817">
        <v>126</v>
      </c>
      <c r="B1817" t="s">
        <v>550</v>
      </c>
      <c r="C1817">
        <v>11</v>
      </c>
      <c r="D1817" t="s">
        <v>186</v>
      </c>
      <c r="E1817" s="1">
        <v>1</v>
      </c>
      <c r="F1817" s="1">
        <v>40</v>
      </c>
      <c r="G1817" s="1">
        <v>10</v>
      </c>
      <c r="H1817" s="1">
        <v>40</v>
      </c>
    </row>
    <row r="1818" spans="1:8">
      <c r="A1818">
        <v>126</v>
      </c>
      <c r="B1818" t="s">
        <v>550</v>
      </c>
      <c r="C1818">
        <v>11</v>
      </c>
      <c r="D1818" t="s">
        <v>186</v>
      </c>
      <c r="E1818" s="1">
        <v>1</v>
      </c>
      <c r="F1818" s="1" t="s">
        <v>193</v>
      </c>
      <c r="G1818" s="1">
        <v>12</v>
      </c>
      <c r="H1818" s="1" t="s">
        <v>193</v>
      </c>
    </row>
    <row r="1819" spans="1:8">
      <c r="A1819">
        <v>126</v>
      </c>
      <c r="B1819" t="s">
        <v>550</v>
      </c>
      <c r="C1819">
        <v>11</v>
      </c>
      <c r="D1819" t="s">
        <v>186</v>
      </c>
      <c r="E1819" s="1">
        <v>1</v>
      </c>
      <c r="F1819" s="1">
        <v>41</v>
      </c>
      <c r="G1819" s="1">
        <v>20</v>
      </c>
      <c r="H1819" s="1">
        <v>41</v>
      </c>
    </row>
    <row r="1820" spans="1:8">
      <c r="A1820">
        <v>126</v>
      </c>
      <c r="B1820" t="s">
        <v>550</v>
      </c>
      <c r="C1820">
        <v>11</v>
      </c>
      <c r="D1820" t="s">
        <v>186</v>
      </c>
      <c r="E1820" s="1">
        <v>1</v>
      </c>
      <c r="F1820" s="1" t="s">
        <v>194</v>
      </c>
      <c r="G1820" s="1">
        <v>22</v>
      </c>
      <c r="H1820" s="1" t="s">
        <v>194</v>
      </c>
    </row>
    <row r="1821" spans="1:8">
      <c r="A1821">
        <v>126</v>
      </c>
      <c r="B1821" t="s">
        <v>550</v>
      </c>
      <c r="C1821">
        <v>11</v>
      </c>
      <c r="D1821" t="s">
        <v>186</v>
      </c>
      <c r="E1821" s="1">
        <v>1</v>
      </c>
      <c r="F1821" s="1">
        <v>42</v>
      </c>
      <c r="G1821" s="1">
        <v>30</v>
      </c>
      <c r="H1821" s="1">
        <v>42</v>
      </c>
    </row>
    <row r="1822" spans="1:8">
      <c r="A1822">
        <v>126</v>
      </c>
      <c r="B1822" t="s">
        <v>550</v>
      </c>
      <c r="C1822">
        <v>11</v>
      </c>
      <c r="D1822" t="s">
        <v>186</v>
      </c>
      <c r="E1822" s="1">
        <v>1</v>
      </c>
      <c r="F1822" s="1" t="s">
        <v>195</v>
      </c>
      <c r="G1822" s="1">
        <v>32</v>
      </c>
      <c r="H1822" s="1" t="s">
        <v>195</v>
      </c>
    </row>
    <row r="1823" spans="1:8">
      <c r="A1823">
        <v>126</v>
      </c>
      <c r="B1823" t="s">
        <v>550</v>
      </c>
      <c r="C1823">
        <v>11</v>
      </c>
      <c r="D1823" t="s">
        <v>186</v>
      </c>
      <c r="E1823" s="1">
        <v>1</v>
      </c>
      <c r="F1823" s="1">
        <v>43</v>
      </c>
      <c r="G1823" s="1">
        <v>40</v>
      </c>
      <c r="H1823" s="1">
        <v>43</v>
      </c>
    </row>
    <row r="1824" spans="1:8">
      <c r="A1824">
        <v>126</v>
      </c>
      <c r="B1824" t="s">
        <v>550</v>
      </c>
      <c r="C1824">
        <v>11</v>
      </c>
      <c r="D1824" t="s">
        <v>186</v>
      </c>
      <c r="E1824" s="1">
        <v>1</v>
      </c>
      <c r="F1824" s="1" t="s">
        <v>196</v>
      </c>
      <c r="G1824" s="1">
        <v>42</v>
      </c>
      <c r="H1824" s="1" t="s">
        <v>196</v>
      </c>
    </row>
    <row r="1825" spans="1:8">
      <c r="A1825">
        <v>126</v>
      </c>
      <c r="B1825" t="s">
        <v>550</v>
      </c>
      <c r="C1825">
        <v>11</v>
      </c>
      <c r="D1825" t="s">
        <v>186</v>
      </c>
      <c r="E1825" s="1">
        <v>1</v>
      </c>
      <c r="F1825" s="1">
        <v>44</v>
      </c>
      <c r="G1825" s="1">
        <v>50</v>
      </c>
      <c r="H1825" s="1">
        <v>44</v>
      </c>
    </row>
    <row r="1826" spans="1:8">
      <c r="A1826">
        <v>126</v>
      </c>
      <c r="B1826" t="s">
        <v>550</v>
      </c>
      <c r="C1826">
        <v>11</v>
      </c>
      <c r="D1826" t="s">
        <v>186</v>
      </c>
      <c r="E1826" s="1">
        <v>1</v>
      </c>
      <c r="F1826" s="1" t="s">
        <v>197</v>
      </c>
      <c r="G1826" s="1">
        <v>52</v>
      </c>
      <c r="H1826" s="1" t="s">
        <v>197</v>
      </c>
    </row>
    <row r="1827" spans="1:8">
      <c r="A1827">
        <v>126</v>
      </c>
      <c r="B1827" t="s">
        <v>550</v>
      </c>
      <c r="C1827">
        <v>11</v>
      </c>
      <c r="D1827" t="s">
        <v>186</v>
      </c>
      <c r="E1827" s="1">
        <v>1</v>
      </c>
      <c r="F1827" s="1">
        <v>45</v>
      </c>
      <c r="G1827" s="1">
        <v>60</v>
      </c>
      <c r="H1827" s="1">
        <v>45</v>
      </c>
    </row>
    <row r="1828" spans="1:8">
      <c r="A1828">
        <v>126</v>
      </c>
      <c r="B1828" t="s">
        <v>550</v>
      </c>
      <c r="C1828">
        <v>11</v>
      </c>
      <c r="D1828" t="s">
        <v>186</v>
      </c>
      <c r="E1828" s="1">
        <v>1</v>
      </c>
      <c r="F1828" s="1" t="s">
        <v>198</v>
      </c>
      <c r="G1828" s="1">
        <v>62</v>
      </c>
      <c r="H1828" s="1" t="s">
        <v>198</v>
      </c>
    </row>
    <row r="1829" spans="1:8">
      <c r="A1829">
        <v>126</v>
      </c>
      <c r="B1829" t="s">
        <v>550</v>
      </c>
      <c r="C1829">
        <v>11</v>
      </c>
      <c r="D1829" t="s">
        <v>186</v>
      </c>
      <c r="E1829" s="1">
        <v>1</v>
      </c>
      <c r="F1829" s="1" t="s">
        <v>199</v>
      </c>
      <c r="G1829" s="1">
        <v>72</v>
      </c>
      <c r="H1829" s="1" t="s">
        <v>199</v>
      </c>
    </row>
    <row r="1830" spans="1:8">
      <c r="A1830">
        <v>126</v>
      </c>
      <c r="B1830" t="s">
        <v>550</v>
      </c>
      <c r="C1830">
        <v>11</v>
      </c>
      <c r="D1830" t="s">
        <v>186</v>
      </c>
      <c r="G1830" s="1">
        <v>96</v>
      </c>
    </row>
    <row r="1831" spans="1:8">
      <c r="A1831">
        <v>126</v>
      </c>
      <c r="B1831" t="s">
        <v>550</v>
      </c>
      <c r="C1831">
        <v>12</v>
      </c>
      <c r="D1831" t="s">
        <v>107</v>
      </c>
      <c r="E1831" s="1">
        <v>1</v>
      </c>
      <c r="F1831" s="1">
        <v>42</v>
      </c>
      <c r="G1831" s="1">
        <v>30</v>
      </c>
      <c r="H1831" s="1">
        <v>42</v>
      </c>
    </row>
    <row r="1832" spans="1:8">
      <c r="A1832">
        <v>126</v>
      </c>
      <c r="B1832" t="s">
        <v>550</v>
      </c>
      <c r="C1832">
        <v>13</v>
      </c>
      <c r="D1832" t="s">
        <v>200</v>
      </c>
      <c r="E1832" s="1">
        <v>1</v>
      </c>
      <c r="F1832" s="1" t="s">
        <v>194</v>
      </c>
      <c r="G1832" s="1">
        <v>22</v>
      </c>
      <c r="H1832" s="1" t="s">
        <v>194</v>
      </c>
    </row>
    <row r="1833" spans="1:8">
      <c r="A1833">
        <v>126</v>
      </c>
      <c r="B1833" t="s">
        <v>550</v>
      </c>
      <c r="C1833">
        <v>13</v>
      </c>
      <c r="D1833" t="s">
        <v>200</v>
      </c>
      <c r="E1833" s="1">
        <v>1</v>
      </c>
      <c r="F1833" s="1" t="s">
        <v>195</v>
      </c>
      <c r="G1833" s="1">
        <v>32</v>
      </c>
      <c r="H1833" s="1" t="s">
        <v>195</v>
      </c>
    </row>
    <row r="1834" spans="1:8">
      <c r="A1834">
        <v>126</v>
      </c>
      <c r="B1834" t="s">
        <v>550</v>
      </c>
      <c r="C1834">
        <v>13</v>
      </c>
      <c r="D1834" t="s">
        <v>200</v>
      </c>
      <c r="E1834" s="1">
        <v>1</v>
      </c>
      <c r="F1834" s="1" t="s">
        <v>199</v>
      </c>
      <c r="G1834" s="1">
        <v>72</v>
      </c>
      <c r="H1834" s="1" t="s">
        <v>199</v>
      </c>
    </row>
    <row r="1835" spans="1:8">
      <c r="A1835">
        <v>126</v>
      </c>
      <c r="B1835" t="s">
        <v>550</v>
      </c>
      <c r="C1835">
        <v>15</v>
      </c>
      <c r="D1835" t="s">
        <v>201</v>
      </c>
      <c r="E1835" s="1">
        <v>1</v>
      </c>
      <c r="F1835" s="1" t="s">
        <v>489</v>
      </c>
      <c r="G1835" s="1">
        <v>70</v>
      </c>
      <c r="H1835" s="1" t="s">
        <v>489</v>
      </c>
    </row>
    <row r="1836" spans="1:8">
      <c r="A1836">
        <v>126</v>
      </c>
      <c r="B1836" t="s">
        <v>550</v>
      </c>
      <c r="C1836">
        <v>15</v>
      </c>
      <c r="D1836" t="s">
        <v>201</v>
      </c>
      <c r="E1836" s="1">
        <v>4</v>
      </c>
      <c r="F1836" s="1" t="s">
        <v>286</v>
      </c>
      <c r="G1836" s="1">
        <v>70</v>
      </c>
      <c r="H1836" s="1" t="s">
        <v>286</v>
      </c>
    </row>
    <row r="1837" spans="1:8">
      <c r="A1837">
        <v>126</v>
      </c>
      <c r="B1837" t="s">
        <v>550</v>
      </c>
      <c r="C1837">
        <v>21</v>
      </c>
      <c r="D1837" t="s">
        <v>205</v>
      </c>
      <c r="E1837" s="1">
        <v>1</v>
      </c>
      <c r="F1837" s="1" t="s">
        <v>347</v>
      </c>
      <c r="G1837" s="1">
        <v>10</v>
      </c>
      <c r="H1837" s="1" t="s">
        <v>347</v>
      </c>
    </row>
    <row r="1838" spans="1:8">
      <c r="A1838">
        <v>126</v>
      </c>
      <c r="B1838" t="s">
        <v>550</v>
      </c>
      <c r="C1838">
        <v>21</v>
      </c>
      <c r="D1838" t="s">
        <v>205</v>
      </c>
      <c r="E1838" s="1">
        <v>1</v>
      </c>
      <c r="F1838" s="1" t="s">
        <v>394</v>
      </c>
      <c r="G1838" s="1">
        <v>12</v>
      </c>
      <c r="H1838" s="1" t="s">
        <v>394</v>
      </c>
    </row>
    <row r="1839" spans="1:8">
      <c r="A1839">
        <v>126</v>
      </c>
      <c r="B1839" t="s">
        <v>550</v>
      </c>
      <c r="C1839">
        <v>21</v>
      </c>
      <c r="D1839" t="s">
        <v>205</v>
      </c>
      <c r="E1839" s="1">
        <v>1</v>
      </c>
      <c r="F1839" s="1" t="s">
        <v>328</v>
      </c>
      <c r="G1839" s="1">
        <v>20</v>
      </c>
      <c r="H1839" s="1" t="s">
        <v>328</v>
      </c>
    </row>
    <row r="1840" spans="1:8">
      <c r="A1840">
        <v>126</v>
      </c>
      <c r="B1840" t="s">
        <v>550</v>
      </c>
      <c r="C1840">
        <v>21</v>
      </c>
      <c r="D1840" t="s">
        <v>205</v>
      </c>
      <c r="E1840" s="1">
        <v>1</v>
      </c>
      <c r="F1840" s="1" t="s">
        <v>329</v>
      </c>
      <c r="G1840" s="1">
        <v>30</v>
      </c>
      <c r="H1840" s="1" t="s">
        <v>329</v>
      </c>
    </row>
    <row r="1841" spans="1:8">
      <c r="A1841">
        <v>126</v>
      </c>
      <c r="B1841" t="s">
        <v>550</v>
      </c>
      <c r="C1841">
        <v>21</v>
      </c>
      <c r="D1841" t="s">
        <v>205</v>
      </c>
      <c r="E1841" s="1">
        <v>1</v>
      </c>
      <c r="F1841" s="1" t="s">
        <v>323</v>
      </c>
      <c r="G1841" s="1">
        <v>32</v>
      </c>
      <c r="H1841" s="1" t="s">
        <v>323</v>
      </c>
    </row>
    <row r="1842" spans="1:8">
      <c r="A1842">
        <v>126</v>
      </c>
      <c r="B1842" t="s">
        <v>550</v>
      </c>
      <c r="C1842">
        <v>21</v>
      </c>
      <c r="D1842" t="s">
        <v>205</v>
      </c>
      <c r="E1842" s="1">
        <v>1</v>
      </c>
      <c r="F1842" s="1" t="s">
        <v>332</v>
      </c>
      <c r="G1842" s="1">
        <v>40</v>
      </c>
      <c r="H1842" s="1" t="s">
        <v>332</v>
      </c>
    </row>
    <row r="1843" spans="1:8">
      <c r="A1843">
        <v>126</v>
      </c>
      <c r="B1843" t="s">
        <v>550</v>
      </c>
      <c r="C1843">
        <v>21</v>
      </c>
      <c r="D1843" t="s">
        <v>205</v>
      </c>
      <c r="E1843" s="1">
        <v>1</v>
      </c>
      <c r="F1843" s="1" t="s">
        <v>330</v>
      </c>
      <c r="G1843" s="1">
        <v>42</v>
      </c>
      <c r="H1843" s="1" t="s">
        <v>330</v>
      </c>
    </row>
    <row r="1844" spans="1:8">
      <c r="A1844">
        <v>126</v>
      </c>
      <c r="B1844" t="s">
        <v>550</v>
      </c>
      <c r="C1844">
        <v>21</v>
      </c>
      <c r="D1844" t="s">
        <v>205</v>
      </c>
      <c r="E1844" s="1">
        <v>1</v>
      </c>
      <c r="F1844" s="1" t="s">
        <v>287</v>
      </c>
      <c r="G1844" s="1">
        <v>52</v>
      </c>
      <c r="H1844" s="1" t="s">
        <v>287</v>
      </c>
    </row>
    <row r="1845" spans="1:8">
      <c r="A1845">
        <v>126</v>
      </c>
      <c r="B1845" t="s">
        <v>550</v>
      </c>
      <c r="C1845">
        <v>21</v>
      </c>
      <c r="D1845" t="s">
        <v>205</v>
      </c>
      <c r="E1845" s="1">
        <v>1</v>
      </c>
      <c r="F1845" s="1" t="s">
        <v>288</v>
      </c>
      <c r="G1845" s="1">
        <v>62</v>
      </c>
      <c r="H1845" s="1" t="s">
        <v>288</v>
      </c>
    </row>
    <row r="1846" spans="1:8">
      <c r="A1846">
        <v>126</v>
      </c>
      <c r="B1846" t="s">
        <v>550</v>
      </c>
      <c r="C1846">
        <v>22</v>
      </c>
      <c r="D1846" t="s">
        <v>206</v>
      </c>
      <c r="E1846" s="1">
        <v>1</v>
      </c>
      <c r="F1846" s="1" t="s">
        <v>347</v>
      </c>
      <c r="G1846" s="1">
        <v>10</v>
      </c>
      <c r="H1846" s="1" t="s">
        <v>347</v>
      </c>
    </row>
    <row r="1847" spans="1:8">
      <c r="A1847">
        <v>126</v>
      </c>
      <c r="B1847" t="s">
        <v>550</v>
      </c>
      <c r="C1847">
        <v>22</v>
      </c>
      <c r="D1847" t="s">
        <v>206</v>
      </c>
      <c r="E1847" s="1">
        <v>1</v>
      </c>
      <c r="F1847" s="1" t="s">
        <v>329</v>
      </c>
      <c r="G1847" s="1">
        <v>30</v>
      </c>
      <c r="H1847" s="1" t="s">
        <v>329</v>
      </c>
    </row>
    <row r="1848" spans="1:8">
      <c r="A1848">
        <v>126</v>
      </c>
      <c r="B1848" t="s">
        <v>550</v>
      </c>
      <c r="C1848">
        <v>22</v>
      </c>
      <c r="D1848" t="s">
        <v>206</v>
      </c>
      <c r="E1848" s="1">
        <v>1</v>
      </c>
      <c r="F1848" s="1" t="s">
        <v>332</v>
      </c>
      <c r="G1848" s="1">
        <v>40</v>
      </c>
      <c r="H1848" s="1" t="s">
        <v>332</v>
      </c>
    </row>
    <row r="1849" spans="1:8">
      <c r="A1849">
        <v>126</v>
      </c>
      <c r="B1849" t="s">
        <v>550</v>
      </c>
      <c r="C1849">
        <v>22</v>
      </c>
      <c r="D1849" t="s">
        <v>206</v>
      </c>
      <c r="E1849" s="1">
        <v>1</v>
      </c>
      <c r="F1849" s="1" t="s">
        <v>330</v>
      </c>
      <c r="G1849" s="1">
        <v>42</v>
      </c>
      <c r="H1849" s="1" t="s">
        <v>330</v>
      </c>
    </row>
    <row r="1850" spans="1:8">
      <c r="A1850">
        <v>126</v>
      </c>
      <c r="B1850" t="s">
        <v>550</v>
      </c>
      <c r="C1850">
        <v>22</v>
      </c>
      <c r="D1850" t="s">
        <v>206</v>
      </c>
      <c r="E1850" s="1">
        <v>1</v>
      </c>
      <c r="F1850" s="1" t="s">
        <v>284</v>
      </c>
      <c r="H1850" s="1" t="s">
        <v>284</v>
      </c>
    </row>
    <row r="1851" spans="1:8">
      <c r="A1851">
        <v>126</v>
      </c>
      <c r="B1851" t="s">
        <v>550</v>
      </c>
      <c r="C1851">
        <v>57</v>
      </c>
      <c r="D1851" t="s">
        <v>183</v>
      </c>
      <c r="E1851" s="1">
        <v>3</v>
      </c>
      <c r="F1851" s="1" t="s">
        <v>338</v>
      </c>
      <c r="G1851" s="1">
        <v>60</v>
      </c>
      <c r="H1851" s="1" t="s">
        <v>338</v>
      </c>
    </row>
    <row r="1852" spans="1:8">
      <c r="A1852">
        <v>126</v>
      </c>
      <c r="B1852" t="s">
        <v>550</v>
      </c>
      <c r="C1852">
        <v>57</v>
      </c>
      <c r="D1852" t="s">
        <v>183</v>
      </c>
      <c r="G1852" s="1">
        <v>50</v>
      </c>
    </row>
    <row r="1853" spans="1:8">
      <c r="A1853">
        <v>126</v>
      </c>
      <c r="B1853" t="s">
        <v>550</v>
      </c>
      <c r="C1853">
        <v>57</v>
      </c>
      <c r="D1853" t="s">
        <v>183</v>
      </c>
      <c r="G1853" s="1">
        <v>60</v>
      </c>
    </row>
    <row r="1854" spans="1:8">
      <c r="A1854">
        <v>126</v>
      </c>
      <c r="B1854" t="s">
        <v>550</v>
      </c>
      <c r="C1854">
        <v>58</v>
      </c>
      <c r="D1854" t="s">
        <v>226</v>
      </c>
      <c r="E1854" s="1">
        <v>1</v>
      </c>
      <c r="F1854" s="1" t="s">
        <v>537</v>
      </c>
      <c r="G1854" s="1">
        <v>40</v>
      </c>
      <c r="H1854" s="1" t="s">
        <v>537</v>
      </c>
    </row>
    <row r="1855" spans="1:8">
      <c r="A1855">
        <v>126</v>
      </c>
      <c r="B1855" t="s">
        <v>550</v>
      </c>
      <c r="C1855">
        <v>58</v>
      </c>
      <c r="D1855" t="s">
        <v>226</v>
      </c>
      <c r="E1855" s="1">
        <v>3</v>
      </c>
      <c r="F1855" s="1" t="s">
        <v>319</v>
      </c>
      <c r="G1855" s="1">
        <v>60</v>
      </c>
      <c r="H1855" s="1" t="s">
        <v>319</v>
      </c>
    </row>
    <row r="1856" spans="1:8">
      <c r="A1856">
        <v>126</v>
      </c>
      <c r="B1856" t="s">
        <v>550</v>
      </c>
      <c r="C1856">
        <v>59</v>
      </c>
      <c r="D1856" t="s">
        <v>227</v>
      </c>
      <c r="E1856" s="1">
        <v>3</v>
      </c>
      <c r="F1856" s="1" t="s">
        <v>295</v>
      </c>
      <c r="G1856" s="1">
        <v>23</v>
      </c>
      <c r="H1856" s="1" t="s">
        <v>295</v>
      </c>
    </row>
    <row r="1857" spans="1:8">
      <c r="A1857">
        <v>126</v>
      </c>
      <c r="B1857" t="s">
        <v>550</v>
      </c>
      <c r="C1857">
        <v>74</v>
      </c>
      <c r="D1857" t="s">
        <v>235</v>
      </c>
      <c r="E1857" s="1">
        <v>3</v>
      </c>
      <c r="F1857" s="1" t="s">
        <v>320</v>
      </c>
      <c r="G1857" s="1">
        <v>50</v>
      </c>
      <c r="H1857" s="1" t="s">
        <v>320</v>
      </c>
    </row>
    <row r="1858" spans="1:8">
      <c r="A1858">
        <v>126</v>
      </c>
      <c r="B1858" t="s">
        <v>550</v>
      </c>
      <c r="C1858">
        <v>74</v>
      </c>
      <c r="D1858" t="s">
        <v>235</v>
      </c>
      <c r="E1858" s="1">
        <v>3</v>
      </c>
      <c r="F1858" s="1" t="s">
        <v>321</v>
      </c>
      <c r="G1858" s="1">
        <v>60</v>
      </c>
      <c r="H1858" s="1" t="s">
        <v>321</v>
      </c>
    </row>
    <row r="1859" spans="1:8">
      <c r="A1859">
        <v>126</v>
      </c>
      <c r="B1859" t="s">
        <v>550</v>
      </c>
      <c r="C1859">
        <v>82</v>
      </c>
      <c r="D1859" t="s">
        <v>239</v>
      </c>
      <c r="G1859" s="1">
        <v>10</v>
      </c>
    </row>
    <row r="1860" spans="1:8">
      <c r="A1860">
        <v>126</v>
      </c>
      <c r="B1860" t="s">
        <v>550</v>
      </c>
      <c r="C1860">
        <v>82</v>
      </c>
      <c r="D1860" t="s">
        <v>239</v>
      </c>
      <c r="G1860" s="1">
        <v>14</v>
      </c>
    </row>
    <row r="1861" spans="1:8">
      <c r="A1861">
        <v>126</v>
      </c>
      <c r="B1861" t="s">
        <v>550</v>
      </c>
      <c r="C1861">
        <v>82</v>
      </c>
      <c r="D1861" t="s">
        <v>239</v>
      </c>
      <c r="G1861" s="1">
        <v>18</v>
      </c>
    </row>
    <row r="1862" spans="1:8">
      <c r="A1862">
        <v>126</v>
      </c>
      <c r="B1862" t="s">
        <v>550</v>
      </c>
      <c r="C1862">
        <v>82</v>
      </c>
      <c r="D1862" t="s">
        <v>239</v>
      </c>
      <c r="G1862" s="1">
        <v>20</v>
      </c>
    </row>
    <row r="1863" spans="1:8">
      <c r="A1863">
        <v>126</v>
      </c>
      <c r="B1863" t="s">
        <v>550</v>
      </c>
      <c r="C1863">
        <v>82</v>
      </c>
      <c r="D1863" t="s">
        <v>239</v>
      </c>
      <c r="G1863" s="1">
        <v>30</v>
      </c>
    </row>
    <row r="1864" spans="1:8">
      <c r="A1864">
        <v>126</v>
      </c>
      <c r="B1864" t="s">
        <v>550</v>
      </c>
      <c r="C1864">
        <v>82</v>
      </c>
      <c r="D1864" t="s">
        <v>239</v>
      </c>
      <c r="G1864" s="1">
        <v>32</v>
      </c>
    </row>
    <row r="1865" spans="1:8">
      <c r="A1865">
        <v>126</v>
      </c>
      <c r="B1865" t="s">
        <v>550</v>
      </c>
      <c r="C1865">
        <v>82</v>
      </c>
      <c r="D1865" t="s">
        <v>239</v>
      </c>
      <c r="G1865" s="1">
        <v>34</v>
      </c>
    </row>
    <row r="1866" spans="1:8">
      <c r="A1866">
        <v>126</v>
      </c>
      <c r="B1866" t="s">
        <v>550</v>
      </c>
      <c r="C1866">
        <v>82</v>
      </c>
      <c r="D1866" t="s">
        <v>239</v>
      </c>
      <c r="G1866" s="1">
        <v>38</v>
      </c>
    </row>
    <row r="1867" spans="1:8">
      <c r="A1867">
        <v>126</v>
      </c>
      <c r="B1867" t="s">
        <v>550</v>
      </c>
      <c r="C1867">
        <v>82</v>
      </c>
      <c r="D1867" t="s">
        <v>239</v>
      </c>
      <c r="G1867" s="1">
        <v>40</v>
      </c>
    </row>
    <row r="1868" spans="1:8">
      <c r="A1868">
        <v>126</v>
      </c>
      <c r="B1868" t="s">
        <v>550</v>
      </c>
      <c r="C1868">
        <v>82</v>
      </c>
      <c r="D1868" t="s">
        <v>239</v>
      </c>
      <c r="G1868" s="1">
        <v>42</v>
      </c>
    </row>
    <row r="1869" spans="1:8">
      <c r="A1869">
        <v>126</v>
      </c>
      <c r="B1869" t="s">
        <v>550</v>
      </c>
      <c r="C1869">
        <v>82</v>
      </c>
      <c r="D1869" t="s">
        <v>239</v>
      </c>
      <c r="G1869" s="1">
        <v>50</v>
      </c>
    </row>
    <row r="1870" spans="1:8">
      <c r="A1870">
        <v>126</v>
      </c>
      <c r="B1870" t="s">
        <v>550</v>
      </c>
      <c r="C1870">
        <v>82</v>
      </c>
      <c r="D1870" t="s">
        <v>239</v>
      </c>
      <c r="G1870" s="1">
        <v>58</v>
      </c>
    </row>
    <row r="1871" spans="1:8">
      <c r="A1871">
        <v>126</v>
      </c>
      <c r="B1871" t="s">
        <v>550</v>
      </c>
      <c r="C1871">
        <v>82</v>
      </c>
      <c r="D1871" t="s">
        <v>239</v>
      </c>
      <c r="G1871" s="1">
        <v>60</v>
      </c>
    </row>
    <row r="1872" spans="1:8">
      <c r="A1872">
        <v>126</v>
      </c>
      <c r="B1872" t="s">
        <v>550</v>
      </c>
      <c r="C1872">
        <v>85</v>
      </c>
      <c r="D1872" t="s">
        <v>242</v>
      </c>
      <c r="G1872" s="1">
        <v>10</v>
      </c>
    </row>
    <row r="1873" spans="1:8">
      <c r="A1873">
        <v>126</v>
      </c>
      <c r="B1873" t="s">
        <v>550</v>
      </c>
      <c r="C1873">
        <v>85</v>
      </c>
      <c r="D1873" t="s">
        <v>242</v>
      </c>
      <c r="G1873" s="1">
        <v>14</v>
      </c>
    </row>
    <row r="1874" spans="1:8">
      <c r="A1874">
        <v>126</v>
      </c>
      <c r="B1874" t="s">
        <v>550</v>
      </c>
      <c r="C1874">
        <v>85</v>
      </c>
      <c r="D1874" t="s">
        <v>242</v>
      </c>
      <c r="G1874" s="1">
        <v>18</v>
      </c>
    </row>
    <row r="1875" spans="1:8">
      <c r="A1875">
        <v>126</v>
      </c>
      <c r="B1875" t="s">
        <v>550</v>
      </c>
      <c r="C1875">
        <v>85</v>
      </c>
      <c r="D1875" t="s">
        <v>242</v>
      </c>
      <c r="G1875" s="1">
        <v>20</v>
      </c>
    </row>
    <row r="1876" spans="1:8">
      <c r="A1876">
        <v>126</v>
      </c>
      <c r="B1876" t="s">
        <v>550</v>
      </c>
      <c r="C1876">
        <v>85</v>
      </c>
      <c r="D1876" t="s">
        <v>242</v>
      </c>
      <c r="G1876" s="1">
        <v>30</v>
      </c>
    </row>
    <row r="1877" spans="1:8">
      <c r="A1877">
        <v>126</v>
      </c>
      <c r="B1877" t="s">
        <v>550</v>
      </c>
      <c r="C1877">
        <v>85</v>
      </c>
      <c r="D1877" t="s">
        <v>242</v>
      </c>
      <c r="G1877" s="1">
        <v>40</v>
      </c>
    </row>
    <row r="1878" spans="1:8">
      <c r="A1878">
        <v>127</v>
      </c>
      <c r="B1878" t="s">
        <v>552</v>
      </c>
      <c r="C1878">
        <v>1</v>
      </c>
      <c r="D1878" t="s">
        <v>137</v>
      </c>
      <c r="E1878" s="1">
        <v>2</v>
      </c>
      <c r="F1878" s="1" t="s">
        <v>162</v>
      </c>
      <c r="G1878" s="1">
        <v>12</v>
      </c>
      <c r="H1878" s="1" t="s">
        <v>162</v>
      </c>
    </row>
    <row r="1879" spans="1:8">
      <c r="A1879">
        <v>127</v>
      </c>
      <c r="B1879" t="s">
        <v>552</v>
      </c>
      <c r="C1879">
        <v>1</v>
      </c>
      <c r="D1879" t="s">
        <v>137</v>
      </c>
      <c r="E1879" s="1">
        <v>2</v>
      </c>
      <c r="F1879" s="1">
        <v>20</v>
      </c>
      <c r="G1879" s="1">
        <v>20</v>
      </c>
      <c r="H1879" s="1">
        <v>20</v>
      </c>
    </row>
    <row r="1880" spans="1:8">
      <c r="A1880">
        <v>127</v>
      </c>
      <c r="B1880" t="s">
        <v>552</v>
      </c>
      <c r="C1880">
        <v>1</v>
      </c>
      <c r="D1880" t="s">
        <v>137</v>
      </c>
      <c r="E1880" s="1">
        <v>2</v>
      </c>
      <c r="F1880" s="1" t="s">
        <v>165</v>
      </c>
      <c r="G1880" s="1">
        <v>22</v>
      </c>
      <c r="H1880" s="1" t="s">
        <v>165</v>
      </c>
    </row>
    <row r="1881" spans="1:8">
      <c r="A1881">
        <v>127</v>
      </c>
      <c r="B1881" t="s">
        <v>552</v>
      </c>
      <c r="C1881">
        <v>1</v>
      </c>
      <c r="D1881" t="s">
        <v>137</v>
      </c>
      <c r="E1881" s="1">
        <v>2</v>
      </c>
      <c r="F1881" s="1">
        <v>21</v>
      </c>
      <c r="G1881" s="1">
        <v>30</v>
      </c>
      <c r="H1881" s="1">
        <v>21</v>
      </c>
    </row>
    <row r="1882" spans="1:8">
      <c r="A1882">
        <v>127</v>
      </c>
      <c r="B1882" t="s">
        <v>552</v>
      </c>
      <c r="C1882">
        <v>1</v>
      </c>
      <c r="D1882" t="s">
        <v>137</v>
      </c>
      <c r="E1882" s="1">
        <v>2</v>
      </c>
      <c r="F1882" s="1" t="s">
        <v>168</v>
      </c>
      <c r="G1882" s="1">
        <v>32</v>
      </c>
      <c r="H1882" s="1" t="s">
        <v>168</v>
      </c>
    </row>
    <row r="1883" spans="1:8">
      <c r="A1883">
        <v>127</v>
      </c>
      <c r="B1883" t="s">
        <v>552</v>
      </c>
      <c r="C1883">
        <v>1</v>
      </c>
      <c r="D1883" t="s">
        <v>137</v>
      </c>
      <c r="E1883" s="1">
        <v>2</v>
      </c>
      <c r="F1883" s="1">
        <v>22</v>
      </c>
      <c r="G1883" s="1">
        <v>40</v>
      </c>
      <c r="H1883" s="1">
        <v>22</v>
      </c>
    </row>
    <row r="1884" spans="1:8">
      <c r="A1884">
        <v>127</v>
      </c>
      <c r="B1884" t="s">
        <v>552</v>
      </c>
      <c r="C1884">
        <v>1</v>
      </c>
      <c r="D1884" t="s">
        <v>137</v>
      </c>
      <c r="E1884" s="1">
        <v>2</v>
      </c>
      <c r="F1884" s="1" t="s">
        <v>171</v>
      </c>
      <c r="G1884" s="1">
        <v>42</v>
      </c>
      <c r="H1884" s="1" t="s">
        <v>171</v>
      </c>
    </row>
    <row r="1885" spans="1:8">
      <c r="A1885">
        <v>127</v>
      </c>
      <c r="B1885" t="s">
        <v>552</v>
      </c>
      <c r="C1885">
        <v>1</v>
      </c>
      <c r="D1885" t="s">
        <v>137</v>
      </c>
      <c r="E1885" s="1">
        <v>2</v>
      </c>
      <c r="F1885" s="1">
        <v>23</v>
      </c>
      <c r="G1885" s="1">
        <v>50</v>
      </c>
      <c r="H1885" s="1">
        <v>23</v>
      </c>
    </row>
    <row r="1886" spans="1:8">
      <c r="A1886">
        <v>127</v>
      </c>
      <c r="B1886" t="s">
        <v>552</v>
      </c>
      <c r="C1886">
        <v>1</v>
      </c>
      <c r="D1886" t="s">
        <v>137</v>
      </c>
      <c r="E1886" s="1">
        <v>2</v>
      </c>
      <c r="F1886" s="1">
        <v>24</v>
      </c>
      <c r="G1886" s="1">
        <v>60</v>
      </c>
      <c r="H1886" s="1">
        <v>24</v>
      </c>
    </row>
    <row r="1887" spans="1:8">
      <c r="A1887">
        <v>127</v>
      </c>
      <c r="B1887" t="s">
        <v>552</v>
      </c>
      <c r="C1887">
        <v>1</v>
      </c>
      <c r="D1887" t="s">
        <v>137</v>
      </c>
      <c r="E1887" s="1">
        <v>2</v>
      </c>
      <c r="F1887" s="1" t="s">
        <v>177</v>
      </c>
      <c r="G1887" s="1">
        <v>62</v>
      </c>
      <c r="H1887" s="1" t="s">
        <v>177</v>
      </c>
    </row>
    <row r="1888" spans="1:8">
      <c r="A1888">
        <v>127</v>
      </c>
      <c r="B1888" t="s">
        <v>552</v>
      </c>
      <c r="C1888">
        <v>11</v>
      </c>
      <c r="D1888" t="s">
        <v>186</v>
      </c>
      <c r="E1888" s="1">
        <v>1</v>
      </c>
      <c r="F1888" s="1" t="s">
        <v>192</v>
      </c>
      <c r="G1888" s="1">
        <v>2</v>
      </c>
      <c r="H1888" s="1" t="s">
        <v>192</v>
      </c>
    </row>
    <row r="1889" spans="1:8">
      <c r="A1889">
        <v>127</v>
      </c>
      <c r="B1889" t="s">
        <v>552</v>
      </c>
      <c r="C1889">
        <v>11</v>
      </c>
      <c r="D1889" t="s">
        <v>186</v>
      </c>
      <c r="E1889" s="1">
        <v>1</v>
      </c>
      <c r="F1889" s="1" t="s">
        <v>194</v>
      </c>
      <c r="G1889" s="1">
        <v>22</v>
      </c>
      <c r="H1889" s="1" t="s">
        <v>194</v>
      </c>
    </row>
    <row r="1890" spans="1:8">
      <c r="A1890">
        <v>127</v>
      </c>
      <c r="B1890" t="s">
        <v>552</v>
      </c>
      <c r="C1890">
        <v>11</v>
      </c>
      <c r="D1890" t="s">
        <v>186</v>
      </c>
      <c r="E1890" s="1">
        <v>1</v>
      </c>
      <c r="F1890" s="1" t="s">
        <v>195</v>
      </c>
      <c r="G1890" s="1">
        <v>32</v>
      </c>
      <c r="H1890" s="1" t="s">
        <v>195</v>
      </c>
    </row>
    <row r="1891" spans="1:8">
      <c r="A1891">
        <v>127</v>
      </c>
      <c r="B1891" t="s">
        <v>552</v>
      </c>
      <c r="C1891">
        <v>11</v>
      </c>
      <c r="D1891" t="s">
        <v>186</v>
      </c>
      <c r="E1891" s="1">
        <v>1</v>
      </c>
      <c r="F1891" s="1">
        <v>43</v>
      </c>
      <c r="G1891" s="1">
        <v>40</v>
      </c>
      <c r="H1891" s="1">
        <v>43</v>
      </c>
    </row>
    <row r="1892" spans="1:8">
      <c r="A1892">
        <v>127</v>
      </c>
      <c r="B1892" t="s">
        <v>552</v>
      </c>
      <c r="C1892">
        <v>11</v>
      </c>
      <c r="D1892" t="s">
        <v>186</v>
      </c>
      <c r="E1892" s="1">
        <v>1</v>
      </c>
      <c r="F1892" s="1" t="s">
        <v>197</v>
      </c>
      <c r="G1892" s="1">
        <v>52</v>
      </c>
      <c r="H1892" s="1" t="s">
        <v>197</v>
      </c>
    </row>
    <row r="1893" spans="1:8">
      <c r="A1893">
        <v>127</v>
      </c>
      <c r="B1893" t="s">
        <v>552</v>
      </c>
      <c r="C1893">
        <v>11</v>
      </c>
      <c r="D1893" t="s">
        <v>186</v>
      </c>
      <c r="E1893" s="1">
        <v>1</v>
      </c>
      <c r="F1893" s="1" t="s">
        <v>198</v>
      </c>
      <c r="G1893" s="1">
        <v>62</v>
      </c>
      <c r="H1893" s="1" t="s">
        <v>198</v>
      </c>
    </row>
    <row r="1894" spans="1:8">
      <c r="A1894">
        <v>127</v>
      </c>
      <c r="B1894" t="s">
        <v>552</v>
      </c>
      <c r="C1894">
        <v>42</v>
      </c>
      <c r="D1894" t="s">
        <v>220</v>
      </c>
      <c r="E1894" s="1">
        <v>2</v>
      </c>
      <c r="F1894" s="1" t="s">
        <v>553</v>
      </c>
      <c r="G1894" s="1">
        <v>60</v>
      </c>
      <c r="H1894" s="1" t="s">
        <v>553</v>
      </c>
    </row>
    <row r="1895" spans="1:8">
      <c r="A1895">
        <v>127</v>
      </c>
      <c r="B1895" t="s">
        <v>552</v>
      </c>
      <c r="C1895">
        <v>58</v>
      </c>
      <c r="D1895" t="s">
        <v>226</v>
      </c>
      <c r="E1895" s="1">
        <v>2</v>
      </c>
      <c r="F1895" s="1" t="s">
        <v>318</v>
      </c>
      <c r="G1895" s="1">
        <v>60</v>
      </c>
      <c r="H1895" s="1" t="s">
        <v>318</v>
      </c>
    </row>
    <row r="1896" spans="1:8">
      <c r="A1896">
        <v>127</v>
      </c>
      <c r="B1896" t="s">
        <v>552</v>
      </c>
      <c r="C1896">
        <v>74</v>
      </c>
      <c r="D1896" t="s">
        <v>235</v>
      </c>
      <c r="E1896" s="1">
        <v>3</v>
      </c>
      <c r="F1896" s="1" t="s">
        <v>320</v>
      </c>
      <c r="G1896" s="1">
        <v>50</v>
      </c>
      <c r="H1896" s="1" t="s">
        <v>320</v>
      </c>
    </row>
    <row r="1897" spans="1:8">
      <c r="A1897">
        <v>135</v>
      </c>
      <c r="B1897" t="s">
        <v>554</v>
      </c>
      <c r="C1897">
        <v>1</v>
      </c>
      <c r="D1897" t="s">
        <v>137</v>
      </c>
      <c r="E1897" s="1">
        <v>1</v>
      </c>
      <c r="F1897" s="1" t="s">
        <v>147</v>
      </c>
      <c r="G1897" s="1">
        <v>72</v>
      </c>
      <c r="H1897" s="1" t="s">
        <v>147</v>
      </c>
    </row>
    <row r="1898" spans="1:8">
      <c r="A1898">
        <v>135</v>
      </c>
      <c r="B1898" t="s">
        <v>554</v>
      </c>
      <c r="C1898">
        <v>1</v>
      </c>
      <c r="D1898" t="s">
        <v>137</v>
      </c>
      <c r="E1898" s="1">
        <v>1</v>
      </c>
      <c r="F1898" s="1" t="s">
        <v>150</v>
      </c>
      <c r="G1898" s="1">
        <v>82</v>
      </c>
      <c r="H1898" s="1" t="s">
        <v>150</v>
      </c>
    </row>
    <row r="1899" spans="1:8">
      <c r="A1899">
        <v>135</v>
      </c>
      <c r="B1899" t="s">
        <v>554</v>
      </c>
      <c r="C1899">
        <v>1</v>
      </c>
      <c r="D1899" t="s">
        <v>137</v>
      </c>
      <c r="E1899" s="1">
        <v>1</v>
      </c>
      <c r="F1899" s="1" t="s">
        <v>153</v>
      </c>
      <c r="G1899" s="1">
        <v>92</v>
      </c>
      <c r="H1899" s="1" t="s">
        <v>153</v>
      </c>
    </row>
    <row r="1900" spans="1:8">
      <c r="A1900">
        <v>135</v>
      </c>
      <c r="B1900" t="s">
        <v>554</v>
      </c>
      <c r="C1900">
        <v>1</v>
      </c>
      <c r="D1900" t="s">
        <v>137</v>
      </c>
      <c r="E1900" s="1">
        <v>1</v>
      </c>
      <c r="F1900" s="1" t="s">
        <v>156</v>
      </c>
      <c r="G1900" s="1">
        <v>96</v>
      </c>
      <c r="H1900" s="1" t="s">
        <v>156</v>
      </c>
    </row>
    <row r="1901" spans="1:8">
      <c r="A1901">
        <v>135</v>
      </c>
      <c r="B1901" t="s">
        <v>554</v>
      </c>
      <c r="C1901">
        <v>1</v>
      </c>
      <c r="D1901" t="s">
        <v>137</v>
      </c>
      <c r="E1901" s="1">
        <v>2</v>
      </c>
      <c r="F1901" s="1" t="s">
        <v>159</v>
      </c>
      <c r="G1901" s="1">
        <v>2</v>
      </c>
      <c r="H1901" s="1" t="s">
        <v>159</v>
      </c>
    </row>
    <row r="1902" spans="1:8">
      <c r="A1902">
        <v>135</v>
      </c>
      <c r="B1902" t="s">
        <v>554</v>
      </c>
      <c r="C1902">
        <v>1</v>
      </c>
      <c r="D1902" t="s">
        <v>137</v>
      </c>
      <c r="E1902" s="1">
        <v>2</v>
      </c>
      <c r="F1902" s="1">
        <v>19</v>
      </c>
      <c r="G1902" s="1">
        <v>10</v>
      </c>
      <c r="H1902" s="1">
        <v>19</v>
      </c>
    </row>
    <row r="1903" spans="1:8">
      <c r="A1903">
        <v>135</v>
      </c>
      <c r="B1903" t="s">
        <v>554</v>
      </c>
      <c r="C1903">
        <v>1</v>
      </c>
      <c r="D1903" t="s">
        <v>137</v>
      </c>
      <c r="E1903" s="1">
        <v>2</v>
      </c>
      <c r="F1903" s="1" t="s">
        <v>162</v>
      </c>
      <c r="G1903" s="1">
        <v>12</v>
      </c>
      <c r="H1903" s="1" t="s">
        <v>162</v>
      </c>
    </row>
    <row r="1904" spans="1:8">
      <c r="A1904">
        <v>135</v>
      </c>
      <c r="B1904" t="s">
        <v>554</v>
      </c>
      <c r="C1904">
        <v>1</v>
      </c>
      <c r="D1904" t="s">
        <v>137</v>
      </c>
      <c r="E1904" s="1">
        <v>2</v>
      </c>
      <c r="F1904" s="1" t="s">
        <v>165</v>
      </c>
      <c r="G1904" s="1">
        <v>22</v>
      </c>
      <c r="H1904" s="1" t="s">
        <v>165</v>
      </c>
    </row>
    <row r="1905" spans="1:8">
      <c r="A1905">
        <v>135</v>
      </c>
      <c r="B1905" t="s">
        <v>554</v>
      </c>
      <c r="C1905">
        <v>1</v>
      </c>
      <c r="D1905" t="s">
        <v>137</v>
      </c>
      <c r="E1905" s="1">
        <v>2</v>
      </c>
      <c r="F1905" s="1" t="s">
        <v>168</v>
      </c>
      <c r="G1905" s="1">
        <v>32</v>
      </c>
      <c r="H1905" s="1" t="s">
        <v>168</v>
      </c>
    </row>
    <row r="1906" spans="1:8">
      <c r="A1906">
        <v>135</v>
      </c>
      <c r="B1906" t="s">
        <v>554</v>
      </c>
      <c r="C1906">
        <v>1</v>
      </c>
      <c r="D1906" t="s">
        <v>137</v>
      </c>
      <c r="E1906" s="1">
        <v>2</v>
      </c>
      <c r="F1906" s="1">
        <v>22</v>
      </c>
      <c r="G1906" s="1">
        <v>40</v>
      </c>
      <c r="H1906" s="1">
        <v>22</v>
      </c>
    </row>
    <row r="1907" spans="1:8">
      <c r="A1907">
        <v>135</v>
      </c>
      <c r="B1907" t="s">
        <v>554</v>
      </c>
      <c r="C1907">
        <v>1</v>
      </c>
      <c r="D1907" t="s">
        <v>137</v>
      </c>
      <c r="E1907" s="1">
        <v>2</v>
      </c>
      <c r="F1907" s="1" t="s">
        <v>171</v>
      </c>
      <c r="G1907" s="1">
        <v>42</v>
      </c>
      <c r="H1907" s="1" t="s">
        <v>171</v>
      </c>
    </row>
    <row r="1908" spans="1:8">
      <c r="A1908">
        <v>135</v>
      </c>
      <c r="B1908" t="s">
        <v>554</v>
      </c>
      <c r="C1908">
        <v>1</v>
      </c>
      <c r="D1908" t="s">
        <v>137</v>
      </c>
      <c r="E1908" s="1">
        <v>2</v>
      </c>
      <c r="F1908" s="1">
        <v>24</v>
      </c>
      <c r="G1908" s="1">
        <v>60</v>
      </c>
      <c r="H1908" s="1">
        <v>24</v>
      </c>
    </row>
    <row r="1909" spans="1:8">
      <c r="A1909">
        <v>135</v>
      </c>
      <c r="B1909" t="s">
        <v>554</v>
      </c>
      <c r="C1909">
        <v>1</v>
      </c>
      <c r="D1909" t="s">
        <v>137</v>
      </c>
      <c r="E1909" s="1">
        <v>2</v>
      </c>
      <c r="F1909" s="1">
        <v>18</v>
      </c>
      <c r="H1909" s="1">
        <v>18</v>
      </c>
    </row>
    <row r="1910" spans="1:8">
      <c r="A1910">
        <v>135</v>
      </c>
      <c r="B1910" t="s">
        <v>554</v>
      </c>
      <c r="C1910">
        <v>2</v>
      </c>
      <c r="D1910" t="s">
        <v>181</v>
      </c>
      <c r="E1910" s="1">
        <v>1</v>
      </c>
      <c r="F1910" s="1">
        <v>4</v>
      </c>
      <c r="G1910" s="1">
        <v>60</v>
      </c>
      <c r="H1910" s="1">
        <v>4</v>
      </c>
    </row>
    <row r="1911" spans="1:8">
      <c r="A1911">
        <v>135</v>
      </c>
      <c r="B1911" t="s">
        <v>554</v>
      </c>
      <c r="C1911">
        <v>2</v>
      </c>
      <c r="D1911" t="s">
        <v>181</v>
      </c>
      <c r="E1911" s="1">
        <v>1</v>
      </c>
      <c r="F1911" s="1">
        <v>4</v>
      </c>
      <c r="G1911" s="1">
        <v>62</v>
      </c>
      <c r="H1911" s="1">
        <v>4</v>
      </c>
    </row>
    <row r="1912" spans="1:8">
      <c r="A1912">
        <v>135</v>
      </c>
      <c r="B1912" t="s">
        <v>554</v>
      </c>
      <c r="C1912">
        <v>2</v>
      </c>
      <c r="D1912" t="s">
        <v>181</v>
      </c>
      <c r="E1912" s="1">
        <v>1</v>
      </c>
      <c r="F1912" s="1">
        <v>5</v>
      </c>
      <c r="G1912" s="1">
        <v>70</v>
      </c>
      <c r="H1912" s="1">
        <v>5</v>
      </c>
    </row>
    <row r="1913" spans="1:8">
      <c r="A1913">
        <v>135</v>
      </c>
      <c r="B1913" t="s">
        <v>554</v>
      </c>
      <c r="C1913">
        <v>2</v>
      </c>
      <c r="D1913" t="s">
        <v>181</v>
      </c>
      <c r="E1913" s="1">
        <v>1</v>
      </c>
      <c r="F1913" s="1">
        <v>5</v>
      </c>
      <c r="G1913" s="1">
        <v>72</v>
      </c>
      <c r="H1913" s="1">
        <v>5</v>
      </c>
    </row>
    <row r="1914" spans="1:8">
      <c r="A1914">
        <v>135</v>
      </c>
      <c r="B1914" t="s">
        <v>554</v>
      </c>
      <c r="C1914">
        <v>2</v>
      </c>
      <c r="D1914" t="s">
        <v>181</v>
      </c>
      <c r="E1914" s="1">
        <v>1</v>
      </c>
      <c r="F1914" s="1">
        <v>6</v>
      </c>
      <c r="G1914" s="1">
        <v>80</v>
      </c>
      <c r="H1914" s="1">
        <v>6</v>
      </c>
    </row>
    <row r="1915" spans="1:8">
      <c r="A1915">
        <v>135</v>
      </c>
      <c r="B1915" t="s">
        <v>554</v>
      </c>
      <c r="C1915">
        <v>2</v>
      </c>
      <c r="D1915" t="s">
        <v>181</v>
      </c>
      <c r="E1915" s="1">
        <v>1</v>
      </c>
      <c r="F1915" s="1">
        <v>6</v>
      </c>
      <c r="G1915" s="1">
        <v>82</v>
      </c>
      <c r="H1915" s="1">
        <v>6</v>
      </c>
    </row>
    <row r="1916" spans="1:8">
      <c r="A1916">
        <v>135</v>
      </c>
      <c r="B1916" t="s">
        <v>554</v>
      </c>
      <c r="C1916">
        <v>2</v>
      </c>
      <c r="D1916" t="s">
        <v>181</v>
      </c>
      <c r="E1916" s="1">
        <v>1</v>
      </c>
      <c r="F1916" s="1">
        <v>7</v>
      </c>
      <c r="G1916" s="1">
        <v>90</v>
      </c>
      <c r="H1916" s="1">
        <v>7</v>
      </c>
    </row>
    <row r="1917" spans="1:8">
      <c r="A1917">
        <v>135</v>
      </c>
      <c r="B1917" t="s">
        <v>554</v>
      </c>
      <c r="C1917">
        <v>2</v>
      </c>
      <c r="D1917" t="s">
        <v>181</v>
      </c>
      <c r="E1917" s="1">
        <v>1</v>
      </c>
      <c r="F1917" s="1">
        <v>7</v>
      </c>
      <c r="G1917" s="1">
        <v>92</v>
      </c>
      <c r="H1917" s="1">
        <v>7</v>
      </c>
    </row>
    <row r="1918" spans="1:8">
      <c r="A1918">
        <v>135</v>
      </c>
      <c r="B1918" t="s">
        <v>554</v>
      </c>
      <c r="C1918">
        <v>2</v>
      </c>
      <c r="D1918" t="s">
        <v>181</v>
      </c>
      <c r="E1918" s="1">
        <v>1</v>
      </c>
      <c r="F1918" s="1">
        <v>8</v>
      </c>
      <c r="G1918" s="1">
        <v>94</v>
      </c>
      <c r="H1918" s="1">
        <v>8</v>
      </c>
    </row>
    <row r="1919" spans="1:8">
      <c r="A1919">
        <v>135</v>
      </c>
      <c r="B1919" t="s">
        <v>554</v>
      </c>
      <c r="C1919">
        <v>2</v>
      </c>
      <c r="D1919" t="s">
        <v>181</v>
      </c>
      <c r="E1919" s="1">
        <v>1</v>
      </c>
      <c r="F1919" s="1" t="s">
        <v>333</v>
      </c>
      <c r="G1919" s="1">
        <v>96</v>
      </c>
      <c r="H1919" s="1" t="s">
        <v>333</v>
      </c>
    </row>
    <row r="1920" spans="1:8">
      <c r="A1920">
        <v>135</v>
      </c>
      <c r="B1920" t="s">
        <v>554</v>
      </c>
      <c r="C1920">
        <v>2</v>
      </c>
      <c r="D1920" t="s">
        <v>181</v>
      </c>
      <c r="E1920" s="1">
        <v>2</v>
      </c>
      <c r="F1920" s="1">
        <v>9</v>
      </c>
      <c r="G1920" s="1">
        <v>2</v>
      </c>
      <c r="H1920" s="1">
        <v>9</v>
      </c>
    </row>
    <row r="1921" spans="1:8">
      <c r="A1921">
        <v>135</v>
      </c>
      <c r="B1921" t="s">
        <v>554</v>
      </c>
      <c r="C1921">
        <v>2</v>
      </c>
      <c r="D1921" t="s">
        <v>181</v>
      </c>
      <c r="E1921" s="1">
        <v>2</v>
      </c>
      <c r="F1921" s="1">
        <v>10</v>
      </c>
      <c r="G1921" s="1">
        <v>10</v>
      </c>
      <c r="H1921" s="1">
        <v>10</v>
      </c>
    </row>
    <row r="1922" spans="1:8">
      <c r="A1922">
        <v>135</v>
      </c>
      <c r="B1922" t="s">
        <v>554</v>
      </c>
      <c r="C1922">
        <v>2</v>
      </c>
      <c r="D1922" t="s">
        <v>181</v>
      </c>
      <c r="E1922" s="1">
        <v>2</v>
      </c>
      <c r="F1922" s="1">
        <v>10</v>
      </c>
      <c r="G1922" s="1">
        <v>12</v>
      </c>
      <c r="H1922" s="1">
        <v>10</v>
      </c>
    </row>
    <row r="1923" spans="1:8">
      <c r="A1923">
        <v>135</v>
      </c>
      <c r="B1923" t="s">
        <v>554</v>
      </c>
      <c r="C1923">
        <v>2</v>
      </c>
      <c r="D1923" t="s">
        <v>181</v>
      </c>
      <c r="E1923" s="1">
        <v>2</v>
      </c>
      <c r="F1923" s="1">
        <v>11</v>
      </c>
      <c r="G1923" s="1">
        <v>20</v>
      </c>
      <c r="H1923" s="1">
        <v>11</v>
      </c>
    </row>
    <row r="1924" spans="1:8">
      <c r="A1924">
        <v>135</v>
      </c>
      <c r="B1924" t="s">
        <v>554</v>
      </c>
      <c r="C1924">
        <v>2</v>
      </c>
      <c r="D1924" t="s">
        <v>181</v>
      </c>
      <c r="E1924" s="1">
        <v>2</v>
      </c>
      <c r="F1924" s="1" t="s">
        <v>389</v>
      </c>
      <c r="G1924" s="1">
        <v>22</v>
      </c>
      <c r="H1924" s="1" t="s">
        <v>389</v>
      </c>
    </row>
    <row r="1925" spans="1:8">
      <c r="A1925">
        <v>135</v>
      </c>
      <c r="B1925" t="s">
        <v>554</v>
      </c>
      <c r="C1925">
        <v>2</v>
      </c>
      <c r="D1925" t="s">
        <v>181</v>
      </c>
      <c r="E1925" s="1">
        <v>2</v>
      </c>
      <c r="F1925" s="1">
        <v>12</v>
      </c>
      <c r="G1925" s="1">
        <v>30</v>
      </c>
      <c r="H1925" s="1">
        <v>12</v>
      </c>
    </row>
    <row r="1926" spans="1:8">
      <c r="A1926">
        <v>135</v>
      </c>
      <c r="B1926" t="s">
        <v>554</v>
      </c>
      <c r="C1926">
        <v>2</v>
      </c>
      <c r="D1926" t="s">
        <v>181</v>
      </c>
      <c r="E1926" s="1">
        <v>2</v>
      </c>
      <c r="F1926" s="1">
        <v>12</v>
      </c>
      <c r="G1926" s="1">
        <v>32</v>
      </c>
      <c r="H1926" s="1">
        <v>12</v>
      </c>
    </row>
    <row r="1927" spans="1:8">
      <c r="A1927">
        <v>135</v>
      </c>
      <c r="B1927" t="s">
        <v>554</v>
      </c>
      <c r="C1927">
        <v>2</v>
      </c>
      <c r="D1927" t="s">
        <v>181</v>
      </c>
      <c r="E1927" s="1">
        <v>2</v>
      </c>
      <c r="F1927" s="1">
        <v>13</v>
      </c>
      <c r="G1927" s="1">
        <v>40</v>
      </c>
      <c r="H1927" s="1">
        <v>13</v>
      </c>
    </row>
    <row r="1928" spans="1:8">
      <c r="A1928">
        <v>135</v>
      </c>
      <c r="B1928" t="s">
        <v>554</v>
      </c>
      <c r="C1928">
        <v>2</v>
      </c>
      <c r="D1928" t="s">
        <v>181</v>
      </c>
      <c r="E1928" s="1">
        <v>2</v>
      </c>
      <c r="F1928" s="1">
        <v>13</v>
      </c>
      <c r="G1928" s="1">
        <v>42</v>
      </c>
      <c r="H1928" s="1">
        <v>13</v>
      </c>
    </row>
    <row r="1929" spans="1:8">
      <c r="A1929">
        <v>135</v>
      </c>
      <c r="B1929" t="s">
        <v>554</v>
      </c>
      <c r="C1929">
        <v>2</v>
      </c>
      <c r="D1929" t="s">
        <v>181</v>
      </c>
      <c r="E1929" s="1">
        <v>2</v>
      </c>
      <c r="F1929" s="1">
        <v>14</v>
      </c>
      <c r="G1929" s="1">
        <v>50</v>
      </c>
      <c r="H1929" s="1">
        <v>14</v>
      </c>
    </row>
    <row r="1930" spans="1:8">
      <c r="A1930">
        <v>135</v>
      </c>
      <c r="B1930" t="s">
        <v>554</v>
      </c>
      <c r="C1930">
        <v>2</v>
      </c>
      <c r="D1930" t="s">
        <v>181</v>
      </c>
      <c r="E1930" s="1">
        <v>2</v>
      </c>
      <c r="F1930" s="1" t="s">
        <v>147</v>
      </c>
      <c r="G1930" s="1">
        <v>52</v>
      </c>
      <c r="H1930" s="1" t="s">
        <v>147</v>
      </c>
    </row>
    <row r="1931" spans="1:8">
      <c r="A1931">
        <v>135</v>
      </c>
      <c r="B1931" t="s">
        <v>554</v>
      </c>
      <c r="C1931">
        <v>2</v>
      </c>
      <c r="D1931" t="s">
        <v>181</v>
      </c>
      <c r="E1931" s="1">
        <v>2</v>
      </c>
      <c r="F1931" s="1">
        <v>15</v>
      </c>
      <c r="G1931" s="1">
        <v>60</v>
      </c>
      <c r="H1931" s="1">
        <v>15</v>
      </c>
    </row>
    <row r="1932" spans="1:8">
      <c r="A1932">
        <v>135</v>
      </c>
      <c r="B1932" t="s">
        <v>554</v>
      </c>
      <c r="C1932">
        <v>2</v>
      </c>
      <c r="D1932" t="s">
        <v>181</v>
      </c>
      <c r="E1932" s="1">
        <v>2</v>
      </c>
      <c r="F1932" s="1" t="s">
        <v>150</v>
      </c>
      <c r="G1932" s="1">
        <v>62</v>
      </c>
      <c r="H1932" s="1" t="s">
        <v>150</v>
      </c>
    </row>
    <row r="1933" spans="1:8">
      <c r="A1933">
        <v>135</v>
      </c>
      <c r="B1933" t="s">
        <v>554</v>
      </c>
      <c r="C1933">
        <v>2</v>
      </c>
      <c r="D1933" t="s">
        <v>181</v>
      </c>
      <c r="E1933" s="1">
        <v>2</v>
      </c>
      <c r="F1933" s="1" t="s">
        <v>153</v>
      </c>
      <c r="G1933" s="1">
        <v>72</v>
      </c>
      <c r="H1933" s="1" t="s">
        <v>153</v>
      </c>
    </row>
    <row r="1934" spans="1:8">
      <c r="A1934">
        <v>135</v>
      </c>
      <c r="B1934" t="s">
        <v>554</v>
      </c>
      <c r="C1934">
        <v>2</v>
      </c>
      <c r="D1934" t="s">
        <v>181</v>
      </c>
      <c r="E1934" s="1">
        <v>2</v>
      </c>
      <c r="F1934" s="1">
        <v>9</v>
      </c>
      <c r="H1934" s="1">
        <v>9</v>
      </c>
    </row>
    <row r="1935" spans="1:8">
      <c r="A1935">
        <v>135</v>
      </c>
      <c r="B1935" t="s">
        <v>554</v>
      </c>
      <c r="C1935">
        <v>11</v>
      </c>
      <c r="D1935" t="s">
        <v>186</v>
      </c>
      <c r="E1935" s="1">
        <v>1</v>
      </c>
      <c r="F1935" s="1" t="s">
        <v>192</v>
      </c>
      <c r="G1935" s="1">
        <v>2</v>
      </c>
      <c r="H1935" s="1" t="s">
        <v>192</v>
      </c>
    </row>
    <row r="1936" spans="1:8">
      <c r="A1936">
        <v>135</v>
      </c>
      <c r="B1936" t="s">
        <v>554</v>
      </c>
      <c r="C1936">
        <v>11</v>
      </c>
      <c r="D1936" t="s">
        <v>186</v>
      </c>
      <c r="E1936" s="1">
        <v>1</v>
      </c>
      <c r="F1936" s="1" t="s">
        <v>194</v>
      </c>
      <c r="G1936" s="1">
        <v>22</v>
      </c>
      <c r="H1936" s="1" t="s">
        <v>194</v>
      </c>
    </row>
    <row r="1937" spans="1:8">
      <c r="A1937">
        <v>135</v>
      </c>
      <c r="B1937" t="s">
        <v>554</v>
      </c>
      <c r="C1937">
        <v>11</v>
      </c>
      <c r="D1937" t="s">
        <v>186</v>
      </c>
      <c r="E1937" s="1">
        <v>1</v>
      </c>
      <c r="F1937" s="1">
        <v>43</v>
      </c>
      <c r="G1937" s="1">
        <v>40</v>
      </c>
      <c r="H1937" s="1">
        <v>43</v>
      </c>
    </row>
    <row r="1938" spans="1:8">
      <c r="A1938">
        <v>135</v>
      </c>
      <c r="B1938" t="s">
        <v>554</v>
      </c>
      <c r="C1938">
        <v>11</v>
      </c>
      <c r="D1938" t="s">
        <v>186</v>
      </c>
      <c r="E1938" s="1">
        <v>1</v>
      </c>
      <c r="F1938" s="1" t="s">
        <v>196</v>
      </c>
      <c r="G1938" s="1">
        <v>42</v>
      </c>
      <c r="H1938" s="1" t="s">
        <v>196</v>
      </c>
    </row>
    <row r="1939" spans="1:8">
      <c r="A1939">
        <v>135</v>
      </c>
      <c r="B1939" t="s">
        <v>554</v>
      </c>
      <c r="C1939">
        <v>11</v>
      </c>
      <c r="D1939" t="s">
        <v>186</v>
      </c>
      <c r="E1939" s="1">
        <v>1</v>
      </c>
      <c r="F1939" s="1">
        <v>44</v>
      </c>
      <c r="G1939" s="1">
        <v>50</v>
      </c>
      <c r="H1939" s="1">
        <v>44</v>
      </c>
    </row>
    <row r="1940" spans="1:8">
      <c r="A1940">
        <v>135</v>
      </c>
      <c r="B1940" t="s">
        <v>554</v>
      </c>
      <c r="C1940">
        <v>11</v>
      </c>
      <c r="D1940" t="s">
        <v>186</v>
      </c>
      <c r="E1940" s="1">
        <v>1</v>
      </c>
      <c r="F1940" s="1" t="s">
        <v>197</v>
      </c>
      <c r="G1940" s="1">
        <v>52</v>
      </c>
      <c r="H1940" s="1" t="s">
        <v>197</v>
      </c>
    </row>
    <row r="1941" spans="1:8">
      <c r="A1941">
        <v>135</v>
      </c>
      <c r="B1941" t="s">
        <v>554</v>
      </c>
      <c r="C1941">
        <v>11</v>
      </c>
      <c r="D1941" t="s">
        <v>186</v>
      </c>
      <c r="E1941" s="1">
        <v>1</v>
      </c>
      <c r="F1941" s="1">
        <v>45</v>
      </c>
      <c r="G1941" s="1">
        <v>60</v>
      </c>
      <c r="H1941" s="1">
        <v>45</v>
      </c>
    </row>
    <row r="1942" spans="1:8">
      <c r="A1942">
        <v>135</v>
      </c>
      <c r="B1942" t="s">
        <v>554</v>
      </c>
      <c r="C1942">
        <v>11</v>
      </c>
      <c r="D1942" t="s">
        <v>186</v>
      </c>
      <c r="E1942" s="1">
        <v>1</v>
      </c>
      <c r="F1942" s="1" t="s">
        <v>198</v>
      </c>
      <c r="G1942" s="1">
        <v>62</v>
      </c>
      <c r="H1942" s="1" t="s">
        <v>198</v>
      </c>
    </row>
    <row r="1943" spans="1:8">
      <c r="A1943">
        <v>135</v>
      </c>
      <c r="B1943" t="s">
        <v>554</v>
      </c>
      <c r="C1943">
        <v>11</v>
      </c>
      <c r="D1943" t="s">
        <v>186</v>
      </c>
      <c r="E1943" s="1">
        <v>1</v>
      </c>
      <c r="F1943" s="1" t="s">
        <v>199</v>
      </c>
      <c r="G1943" s="1">
        <v>72</v>
      </c>
      <c r="H1943" s="1" t="s">
        <v>199</v>
      </c>
    </row>
    <row r="1944" spans="1:8">
      <c r="A1944">
        <v>135</v>
      </c>
      <c r="B1944" t="s">
        <v>554</v>
      </c>
      <c r="C1944">
        <v>12</v>
      </c>
      <c r="D1944" t="s">
        <v>107</v>
      </c>
      <c r="E1944" s="1">
        <v>1</v>
      </c>
      <c r="F1944" s="1" t="s">
        <v>195</v>
      </c>
      <c r="G1944" s="1">
        <v>32</v>
      </c>
      <c r="H1944" s="1" t="s">
        <v>195</v>
      </c>
    </row>
    <row r="1945" spans="1:8">
      <c r="A1945">
        <v>135</v>
      </c>
      <c r="B1945" t="s">
        <v>554</v>
      </c>
      <c r="C1945">
        <v>12</v>
      </c>
      <c r="D1945" t="s">
        <v>107</v>
      </c>
      <c r="E1945" s="1">
        <v>1</v>
      </c>
      <c r="F1945" s="1">
        <v>44</v>
      </c>
      <c r="G1945" s="1">
        <v>50</v>
      </c>
      <c r="H1945" s="1">
        <v>44</v>
      </c>
    </row>
    <row r="1946" spans="1:8">
      <c r="A1946">
        <v>135</v>
      </c>
      <c r="B1946" t="s">
        <v>554</v>
      </c>
      <c r="C1946">
        <v>12</v>
      </c>
      <c r="D1946" t="s">
        <v>107</v>
      </c>
      <c r="E1946" s="1">
        <v>1</v>
      </c>
      <c r="F1946" s="1" t="s">
        <v>198</v>
      </c>
      <c r="G1946" s="1">
        <v>62</v>
      </c>
      <c r="H1946" s="1" t="s">
        <v>198</v>
      </c>
    </row>
    <row r="1947" spans="1:8">
      <c r="A1947">
        <v>135</v>
      </c>
      <c r="B1947" t="s">
        <v>554</v>
      </c>
      <c r="C1947">
        <v>13</v>
      </c>
      <c r="D1947" t="s">
        <v>200</v>
      </c>
      <c r="E1947" s="1">
        <v>1</v>
      </c>
      <c r="F1947" s="1" t="s">
        <v>194</v>
      </c>
      <c r="G1947" s="1">
        <v>22</v>
      </c>
      <c r="H1947" s="1" t="s">
        <v>194</v>
      </c>
    </row>
    <row r="1948" spans="1:8">
      <c r="A1948">
        <v>135</v>
      </c>
      <c r="B1948" t="s">
        <v>554</v>
      </c>
      <c r="C1948">
        <v>13</v>
      </c>
      <c r="D1948" t="s">
        <v>200</v>
      </c>
      <c r="E1948" s="1">
        <v>1</v>
      </c>
      <c r="F1948" s="1" t="s">
        <v>196</v>
      </c>
      <c r="G1948" s="1">
        <v>42</v>
      </c>
      <c r="H1948" s="1" t="s">
        <v>196</v>
      </c>
    </row>
    <row r="1949" spans="1:8">
      <c r="A1949">
        <v>135</v>
      </c>
      <c r="B1949" t="s">
        <v>554</v>
      </c>
      <c r="C1949">
        <v>36</v>
      </c>
      <c r="D1949" t="s">
        <v>215</v>
      </c>
      <c r="E1949" s="1">
        <v>21</v>
      </c>
      <c r="F1949" s="1">
        <v>7</v>
      </c>
      <c r="G1949" s="1">
        <v>92</v>
      </c>
      <c r="H1949" s="1">
        <v>7</v>
      </c>
    </row>
    <row r="1950" spans="1:8">
      <c r="A1950">
        <v>135</v>
      </c>
      <c r="B1950" t="s">
        <v>554</v>
      </c>
      <c r="C1950">
        <v>36</v>
      </c>
      <c r="D1950" t="s">
        <v>215</v>
      </c>
      <c r="E1950" s="1">
        <v>21</v>
      </c>
      <c r="F1950" s="1">
        <v>8</v>
      </c>
      <c r="G1950" s="1">
        <v>94</v>
      </c>
      <c r="H1950" s="1">
        <v>8</v>
      </c>
    </row>
    <row r="1951" spans="1:8">
      <c r="A1951">
        <v>135</v>
      </c>
      <c r="B1951" t="s">
        <v>554</v>
      </c>
      <c r="C1951">
        <v>36</v>
      </c>
      <c r="D1951" t="s">
        <v>215</v>
      </c>
      <c r="E1951" s="1">
        <v>22</v>
      </c>
      <c r="F1951" s="1">
        <v>9</v>
      </c>
      <c r="G1951" s="1">
        <v>2</v>
      </c>
      <c r="H1951" s="1">
        <v>9</v>
      </c>
    </row>
    <row r="1952" spans="1:8">
      <c r="A1952">
        <v>135</v>
      </c>
      <c r="B1952" t="s">
        <v>554</v>
      </c>
      <c r="C1952">
        <v>36</v>
      </c>
      <c r="D1952" t="s">
        <v>215</v>
      </c>
      <c r="E1952" s="1">
        <v>22</v>
      </c>
      <c r="F1952" s="1">
        <v>10</v>
      </c>
      <c r="G1952" s="1">
        <v>10</v>
      </c>
      <c r="H1952" s="1">
        <v>10</v>
      </c>
    </row>
    <row r="1953" spans="1:8">
      <c r="A1953">
        <v>135</v>
      </c>
      <c r="B1953" t="s">
        <v>554</v>
      </c>
      <c r="C1953">
        <v>36</v>
      </c>
      <c r="D1953" t="s">
        <v>215</v>
      </c>
      <c r="E1953" s="1">
        <v>22</v>
      </c>
      <c r="F1953" s="1">
        <v>10</v>
      </c>
      <c r="G1953" s="1">
        <v>12</v>
      </c>
      <c r="H1953" s="1">
        <v>10</v>
      </c>
    </row>
    <row r="1954" spans="1:8">
      <c r="A1954">
        <v>135</v>
      </c>
      <c r="B1954" t="s">
        <v>554</v>
      </c>
      <c r="C1954">
        <v>36</v>
      </c>
      <c r="D1954" t="s">
        <v>215</v>
      </c>
      <c r="E1954" s="1">
        <v>22</v>
      </c>
      <c r="F1954" s="1">
        <v>11</v>
      </c>
      <c r="G1954" s="1">
        <v>20</v>
      </c>
      <c r="H1954" s="1">
        <v>11</v>
      </c>
    </row>
    <row r="1955" spans="1:8">
      <c r="A1955">
        <v>135</v>
      </c>
      <c r="B1955" t="s">
        <v>554</v>
      </c>
      <c r="C1955">
        <v>36</v>
      </c>
      <c r="D1955" t="s">
        <v>215</v>
      </c>
      <c r="E1955" s="1">
        <v>22</v>
      </c>
      <c r="F1955" s="1">
        <v>11</v>
      </c>
      <c r="G1955" s="1">
        <v>22</v>
      </c>
      <c r="H1955" s="1">
        <v>11</v>
      </c>
    </row>
    <row r="1956" spans="1:8">
      <c r="A1956">
        <v>135</v>
      </c>
      <c r="B1956" t="s">
        <v>554</v>
      </c>
      <c r="C1956">
        <v>36</v>
      </c>
      <c r="D1956" t="s">
        <v>215</v>
      </c>
      <c r="E1956" s="1">
        <v>22</v>
      </c>
      <c r="F1956" s="1">
        <v>12</v>
      </c>
      <c r="G1956" s="1">
        <v>30</v>
      </c>
      <c r="H1956" s="1">
        <v>12</v>
      </c>
    </row>
    <row r="1957" spans="1:8">
      <c r="A1957">
        <v>135</v>
      </c>
      <c r="B1957" t="s">
        <v>554</v>
      </c>
      <c r="C1957">
        <v>36</v>
      </c>
      <c r="D1957" t="s">
        <v>215</v>
      </c>
      <c r="E1957" s="1">
        <v>22</v>
      </c>
      <c r="F1957" s="1">
        <v>12</v>
      </c>
      <c r="G1957" s="1">
        <v>32</v>
      </c>
      <c r="H1957" s="1">
        <v>12</v>
      </c>
    </row>
    <row r="1958" spans="1:8">
      <c r="A1958">
        <v>135</v>
      </c>
      <c r="B1958" t="s">
        <v>554</v>
      </c>
      <c r="C1958">
        <v>36</v>
      </c>
      <c r="D1958" t="s">
        <v>215</v>
      </c>
      <c r="E1958" s="1">
        <v>22</v>
      </c>
      <c r="F1958" s="1">
        <v>13</v>
      </c>
      <c r="G1958" s="1">
        <v>40</v>
      </c>
      <c r="H1958" s="1">
        <v>13</v>
      </c>
    </row>
    <row r="1959" spans="1:8">
      <c r="A1959">
        <v>135</v>
      </c>
      <c r="B1959" t="s">
        <v>554</v>
      </c>
      <c r="C1959">
        <v>36</v>
      </c>
      <c r="D1959" t="s">
        <v>215</v>
      </c>
      <c r="E1959" s="1">
        <v>22</v>
      </c>
      <c r="F1959" s="1">
        <v>13</v>
      </c>
      <c r="G1959" s="1">
        <v>42</v>
      </c>
      <c r="H1959" s="1">
        <v>13</v>
      </c>
    </row>
    <row r="1960" spans="1:8">
      <c r="A1960">
        <v>135</v>
      </c>
      <c r="B1960" t="s">
        <v>554</v>
      </c>
      <c r="C1960">
        <v>36</v>
      </c>
      <c r="D1960" t="s">
        <v>215</v>
      </c>
      <c r="E1960" s="1">
        <v>22</v>
      </c>
      <c r="F1960" s="1">
        <v>14</v>
      </c>
      <c r="G1960" s="1">
        <v>50</v>
      </c>
      <c r="H1960" s="1">
        <v>14</v>
      </c>
    </row>
    <row r="1961" spans="1:8">
      <c r="A1961">
        <v>135</v>
      </c>
      <c r="B1961" t="s">
        <v>554</v>
      </c>
      <c r="C1961">
        <v>36</v>
      </c>
      <c r="D1961" t="s">
        <v>215</v>
      </c>
      <c r="E1961" s="1">
        <v>22</v>
      </c>
      <c r="F1961" s="1">
        <v>14</v>
      </c>
      <c r="G1961" s="1">
        <v>52</v>
      </c>
      <c r="H1961" s="1">
        <v>14</v>
      </c>
    </row>
    <row r="1962" spans="1:8">
      <c r="A1962">
        <v>135</v>
      </c>
      <c r="B1962" t="s">
        <v>554</v>
      </c>
      <c r="C1962">
        <v>36</v>
      </c>
      <c r="D1962" t="s">
        <v>215</v>
      </c>
      <c r="E1962" s="1">
        <v>22</v>
      </c>
      <c r="F1962" s="1">
        <v>15</v>
      </c>
      <c r="G1962" s="1">
        <v>60</v>
      </c>
      <c r="H1962" s="1">
        <v>15</v>
      </c>
    </row>
    <row r="1963" spans="1:8">
      <c r="A1963">
        <v>135</v>
      </c>
      <c r="B1963" t="s">
        <v>554</v>
      </c>
      <c r="C1963">
        <v>36</v>
      </c>
      <c r="D1963" t="s">
        <v>215</v>
      </c>
      <c r="E1963" s="1">
        <v>22</v>
      </c>
      <c r="F1963" s="1">
        <v>15</v>
      </c>
      <c r="G1963" s="1">
        <v>62</v>
      </c>
      <c r="H1963" s="1">
        <v>15</v>
      </c>
    </row>
    <row r="1964" spans="1:8">
      <c r="A1964">
        <v>135</v>
      </c>
      <c r="B1964" t="s">
        <v>554</v>
      </c>
      <c r="C1964">
        <v>36</v>
      </c>
      <c r="D1964" t="s">
        <v>215</v>
      </c>
      <c r="E1964" s="1">
        <v>22</v>
      </c>
      <c r="F1964" s="1">
        <v>9</v>
      </c>
      <c r="H1964" s="1">
        <v>9</v>
      </c>
    </row>
    <row r="1965" spans="1:8">
      <c r="A1965">
        <v>135</v>
      </c>
      <c r="B1965" t="s">
        <v>554</v>
      </c>
      <c r="C1965">
        <v>44</v>
      </c>
      <c r="D1965" t="s">
        <v>222</v>
      </c>
      <c r="E1965" s="1">
        <v>1</v>
      </c>
      <c r="F1965" s="17">
        <v>1</v>
      </c>
      <c r="H1965" s="17">
        <v>1</v>
      </c>
    </row>
    <row r="1966" spans="1:8">
      <c r="A1966">
        <v>135</v>
      </c>
      <c r="B1966" t="s">
        <v>554</v>
      </c>
      <c r="C1966">
        <v>44</v>
      </c>
      <c r="D1966" t="s">
        <v>222</v>
      </c>
      <c r="E1966" s="1">
        <v>9</v>
      </c>
      <c r="F1966" s="1" t="s">
        <v>555</v>
      </c>
      <c r="G1966" s="1">
        <v>77</v>
      </c>
      <c r="H1966" s="1" t="s">
        <v>555</v>
      </c>
    </row>
    <row r="1967" spans="1:8">
      <c r="A1967">
        <v>135</v>
      </c>
      <c r="B1967" t="s">
        <v>554</v>
      </c>
      <c r="C1967">
        <v>44</v>
      </c>
      <c r="D1967" t="s">
        <v>222</v>
      </c>
      <c r="E1967" s="1">
        <v>9</v>
      </c>
      <c r="F1967" s="1" t="s">
        <v>556</v>
      </c>
      <c r="G1967" s="1">
        <v>90</v>
      </c>
      <c r="H1967" s="1" t="s">
        <v>556</v>
      </c>
    </row>
    <row r="1968" spans="1:8">
      <c r="A1968">
        <v>135</v>
      </c>
      <c r="B1968" t="s">
        <v>554</v>
      </c>
      <c r="C1968">
        <v>44</v>
      </c>
      <c r="D1968" t="s">
        <v>222</v>
      </c>
      <c r="E1968" s="1">
        <v>9</v>
      </c>
      <c r="F1968" s="17">
        <v>1</v>
      </c>
      <c r="H1968" s="17">
        <v>1</v>
      </c>
    </row>
    <row r="1969" spans="1:8">
      <c r="A1969">
        <v>135</v>
      </c>
      <c r="B1969" t="s">
        <v>554</v>
      </c>
      <c r="C1969">
        <v>44</v>
      </c>
      <c r="D1969" t="s">
        <v>222</v>
      </c>
      <c r="E1969" s="1">
        <v>67</v>
      </c>
      <c r="F1969" s="1" t="s">
        <v>557</v>
      </c>
      <c r="G1969" s="1">
        <v>85</v>
      </c>
      <c r="H1969" s="1" t="s">
        <v>557</v>
      </c>
    </row>
    <row r="1970" spans="1:8">
      <c r="A1970">
        <v>135</v>
      </c>
      <c r="B1970" t="s">
        <v>554</v>
      </c>
      <c r="C1970">
        <v>44</v>
      </c>
      <c r="D1970" t="s">
        <v>222</v>
      </c>
      <c r="G1970" s="1">
        <v>65</v>
      </c>
    </row>
    <row r="1971" spans="1:8">
      <c r="A1971">
        <v>135</v>
      </c>
      <c r="B1971" t="s">
        <v>554</v>
      </c>
      <c r="C1971">
        <v>45</v>
      </c>
      <c r="D1971" t="s">
        <v>223</v>
      </c>
      <c r="E1971" s="1">
        <v>2</v>
      </c>
      <c r="F1971" s="1" t="s">
        <v>490</v>
      </c>
      <c r="G1971" s="1">
        <v>22</v>
      </c>
      <c r="H1971" s="1" t="s">
        <v>558</v>
      </c>
    </row>
    <row r="1972" spans="1:8">
      <c r="A1972">
        <v>135</v>
      </c>
      <c r="B1972" t="s">
        <v>554</v>
      </c>
      <c r="C1972">
        <v>74</v>
      </c>
      <c r="D1972" t="s">
        <v>235</v>
      </c>
      <c r="E1972" s="1">
        <v>3</v>
      </c>
      <c r="F1972" s="1" t="s">
        <v>326</v>
      </c>
      <c r="G1972" s="1">
        <v>40</v>
      </c>
      <c r="H1972" s="1" t="s">
        <v>326</v>
      </c>
    </row>
    <row r="1973" spans="1:8">
      <c r="A1973">
        <v>135</v>
      </c>
      <c r="B1973" t="s">
        <v>554</v>
      </c>
      <c r="C1973">
        <v>74</v>
      </c>
      <c r="D1973" t="s">
        <v>235</v>
      </c>
      <c r="E1973" s="1">
        <v>3</v>
      </c>
      <c r="F1973" s="1" t="s">
        <v>320</v>
      </c>
      <c r="G1973" s="1">
        <v>50</v>
      </c>
      <c r="H1973" s="1" t="s">
        <v>320</v>
      </c>
    </row>
    <row r="1974" spans="1:8">
      <c r="A1974">
        <v>135</v>
      </c>
      <c r="B1974" t="s">
        <v>554</v>
      </c>
      <c r="C1974">
        <v>79</v>
      </c>
      <c r="D1974" t="s">
        <v>559</v>
      </c>
      <c r="G1974" s="1">
        <v>90</v>
      </c>
    </row>
    <row r="1975" spans="1:8">
      <c r="A1975">
        <v>135</v>
      </c>
      <c r="B1975" t="s">
        <v>554</v>
      </c>
      <c r="C1975">
        <v>90</v>
      </c>
      <c r="D1975" t="s">
        <v>244</v>
      </c>
      <c r="G1975" s="1">
        <v>1</v>
      </c>
    </row>
    <row r="1976" spans="1:8">
      <c r="A1976">
        <v>135</v>
      </c>
      <c r="B1976" t="s">
        <v>554</v>
      </c>
      <c r="C1976">
        <v>90</v>
      </c>
      <c r="D1976" t="s">
        <v>244</v>
      </c>
    </row>
    <row r="1977" spans="1:8">
      <c r="A1977">
        <v>136</v>
      </c>
      <c r="B1977" t="s">
        <v>560</v>
      </c>
      <c r="C1977">
        <v>1</v>
      </c>
      <c r="D1977" t="s">
        <v>137</v>
      </c>
      <c r="E1977" s="1">
        <v>1</v>
      </c>
      <c r="F1977" s="1">
        <v>14</v>
      </c>
      <c r="G1977" s="1">
        <v>70</v>
      </c>
      <c r="H1977" s="1">
        <v>14</v>
      </c>
    </row>
    <row r="1978" spans="1:8">
      <c r="A1978">
        <v>136</v>
      </c>
      <c r="B1978" t="s">
        <v>560</v>
      </c>
      <c r="C1978">
        <v>1</v>
      </c>
      <c r="D1978" t="s">
        <v>137</v>
      </c>
      <c r="E1978" s="1">
        <v>1</v>
      </c>
      <c r="F1978" s="1">
        <v>15</v>
      </c>
      <c r="G1978" s="1">
        <v>80</v>
      </c>
      <c r="H1978" s="1">
        <v>15</v>
      </c>
    </row>
    <row r="1979" spans="1:8">
      <c r="A1979">
        <v>136</v>
      </c>
      <c r="B1979" t="s">
        <v>560</v>
      </c>
      <c r="C1979">
        <v>1</v>
      </c>
      <c r="D1979" t="s">
        <v>137</v>
      </c>
      <c r="E1979" s="1">
        <v>1</v>
      </c>
      <c r="F1979" s="1" t="s">
        <v>150</v>
      </c>
      <c r="G1979" s="1">
        <v>82</v>
      </c>
      <c r="H1979" s="1" t="s">
        <v>150</v>
      </c>
    </row>
    <row r="1980" spans="1:8">
      <c r="A1980">
        <v>136</v>
      </c>
      <c r="B1980" t="s">
        <v>560</v>
      </c>
      <c r="C1980">
        <v>1</v>
      </c>
      <c r="D1980" t="s">
        <v>137</v>
      </c>
      <c r="E1980" s="1">
        <v>1</v>
      </c>
      <c r="F1980" s="1">
        <v>16</v>
      </c>
      <c r="G1980" s="1">
        <v>90</v>
      </c>
      <c r="H1980" s="1">
        <v>16</v>
      </c>
    </row>
    <row r="1981" spans="1:8">
      <c r="A1981">
        <v>136</v>
      </c>
      <c r="B1981" t="s">
        <v>560</v>
      </c>
      <c r="C1981">
        <v>1</v>
      </c>
      <c r="D1981" t="s">
        <v>137</v>
      </c>
      <c r="E1981" s="1">
        <v>1</v>
      </c>
      <c r="F1981" s="1" t="s">
        <v>153</v>
      </c>
      <c r="G1981" s="1">
        <v>92</v>
      </c>
      <c r="H1981" s="1" t="s">
        <v>153</v>
      </c>
    </row>
    <row r="1982" spans="1:8">
      <c r="A1982">
        <v>136</v>
      </c>
      <c r="B1982" t="s">
        <v>560</v>
      </c>
      <c r="C1982">
        <v>1</v>
      </c>
      <c r="D1982" t="s">
        <v>137</v>
      </c>
      <c r="E1982" s="1">
        <v>1</v>
      </c>
      <c r="F1982" s="1">
        <v>17</v>
      </c>
      <c r="G1982" s="1">
        <v>94</v>
      </c>
      <c r="H1982" s="1">
        <v>17</v>
      </c>
    </row>
    <row r="1983" spans="1:8">
      <c r="A1983">
        <v>136</v>
      </c>
      <c r="B1983" t="s">
        <v>560</v>
      </c>
      <c r="C1983">
        <v>1</v>
      </c>
      <c r="D1983" t="s">
        <v>137</v>
      </c>
      <c r="E1983" s="1">
        <v>1</v>
      </c>
      <c r="F1983" s="1" t="s">
        <v>156</v>
      </c>
      <c r="G1983" s="1">
        <v>96</v>
      </c>
      <c r="H1983" s="1" t="s">
        <v>156</v>
      </c>
    </row>
    <row r="1984" spans="1:8">
      <c r="A1984">
        <v>136</v>
      </c>
      <c r="B1984" t="s">
        <v>560</v>
      </c>
      <c r="C1984">
        <v>1</v>
      </c>
      <c r="D1984" t="s">
        <v>137</v>
      </c>
      <c r="E1984" s="1">
        <v>2</v>
      </c>
      <c r="F1984" s="1" t="s">
        <v>159</v>
      </c>
      <c r="G1984" s="1">
        <v>2</v>
      </c>
      <c r="H1984" s="1" t="s">
        <v>159</v>
      </c>
    </row>
    <row r="1985" spans="1:8">
      <c r="A1985">
        <v>136</v>
      </c>
      <c r="B1985" t="s">
        <v>560</v>
      </c>
      <c r="C1985">
        <v>1</v>
      </c>
      <c r="D1985" t="s">
        <v>137</v>
      </c>
      <c r="E1985" s="1">
        <v>2</v>
      </c>
      <c r="F1985" s="1">
        <v>19</v>
      </c>
      <c r="G1985" s="1">
        <v>10</v>
      </c>
      <c r="H1985" s="1">
        <v>19</v>
      </c>
    </row>
    <row r="1986" spans="1:8">
      <c r="A1986">
        <v>136</v>
      </c>
      <c r="B1986" t="s">
        <v>560</v>
      </c>
      <c r="C1986">
        <v>1</v>
      </c>
      <c r="D1986" t="s">
        <v>137</v>
      </c>
      <c r="E1986" s="1">
        <v>2</v>
      </c>
      <c r="F1986" s="1" t="s">
        <v>162</v>
      </c>
      <c r="G1986" s="1">
        <v>12</v>
      </c>
      <c r="H1986" s="1" t="s">
        <v>162</v>
      </c>
    </row>
    <row r="1987" spans="1:8">
      <c r="A1987">
        <v>136</v>
      </c>
      <c r="B1987" t="s">
        <v>560</v>
      </c>
      <c r="C1987">
        <v>1</v>
      </c>
      <c r="D1987" t="s">
        <v>137</v>
      </c>
      <c r="E1987" s="1">
        <v>2</v>
      </c>
      <c r="F1987" s="1">
        <v>20</v>
      </c>
      <c r="G1987" s="1">
        <v>20</v>
      </c>
      <c r="H1987" s="1">
        <v>20</v>
      </c>
    </row>
    <row r="1988" spans="1:8">
      <c r="A1988">
        <v>136</v>
      </c>
      <c r="B1988" t="s">
        <v>560</v>
      </c>
      <c r="C1988">
        <v>1</v>
      </c>
      <c r="D1988" t="s">
        <v>137</v>
      </c>
      <c r="E1988" s="1">
        <v>2</v>
      </c>
      <c r="F1988" s="1" t="s">
        <v>165</v>
      </c>
      <c r="G1988" s="1">
        <v>22</v>
      </c>
      <c r="H1988" s="1" t="s">
        <v>165</v>
      </c>
    </row>
    <row r="1989" spans="1:8">
      <c r="A1989">
        <v>136</v>
      </c>
      <c r="B1989" t="s">
        <v>560</v>
      </c>
      <c r="C1989">
        <v>1</v>
      </c>
      <c r="D1989" t="s">
        <v>137</v>
      </c>
      <c r="E1989" s="1">
        <v>2</v>
      </c>
      <c r="F1989" s="1">
        <v>21</v>
      </c>
      <c r="G1989" s="1">
        <v>30</v>
      </c>
      <c r="H1989" s="1">
        <v>21</v>
      </c>
    </row>
    <row r="1990" spans="1:8">
      <c r="A1990">
        <v>136</v>
      </c>
      <c r="B1990" t="s">
        <v>560</v>
      </c>
      <c r="C1990">
        <v>1</v>
      </c>
      <c r="D1990" t="s">
        <v>137</v>
      </c>
      <c r="E1990" s="1">
        <v>2</v>
      </c>
      <c r="F1990" s="1" t="s">
        <v>168</v>
      </c>
      <c r="G1990" s="1">
        <v>32</v>
      </c>
      <c r="H1990" s="1" t="s">
        <v>168</v>
      </c>
    </row>
    <row r="1991" spans="1:8">
      <c r="A1991">
        <v>136</v>
      </c>
      <c r="B1991" t="s">
        <v>560</v>
      </c>
      <c r="C1991">
        <v>1</v>
      </c>
      <c r="D1991" t="s">
        <v>137</v>
      </c>
      <c r="E1991" s="1">
        <v>2</v>
      </c>
      <c r="F1991" s="1">
        <v>22</v>
      </c>
      <c r="G1991" s="1">
        <v>40</v>
      </c>
      <c r="H1991" s="1">
        <v>22</v>
      </c>
    </row>
    <row r="1992" spans="1:8">
      <c r="A1992">
        <v>136</v>
      </c>
      <c r="B1992" t="s">
        <v>560</v>
      </c>
      <c r="C1992">
        <v>1</v>
      </c>
      <c r="D1992" t="s">
        <v>137</v>
      </c>
      <c r="E1992" s="1">
        <v>2</v>
      </c>
      <c r="F1992" s="1" t="s">
        <v>171</v>
      </c>
      <c r="G1992" s="1">
        <v>42</v>
      </c>
      <c r="H1992" s="1" t="s">
        <v>171</v>
      </c>
    </row>
    <row r="1993" spans="1:8">
      <c r="A1993">
        <v>136</v>
      </c>
      <c r="B1993" t="s">
        <v>560</v>
      </c>
      <c r="C1993">
        <v>1</v>
      </c>
      <c r="D1993" t="s">
        <v>137</v>
      </c>
      <c r="E1993" s="1">
        <v>2</v>
      </c>
      <c r="F1993" s="1">
        <v>23</v>
      </c>
      <c r="G1993" s="1">
        <v>50</v>
      </c>
      <c r="H1993" s="1">
        <v>23</v>
      </c>
    </row>
    <row r="1994" spans="1:8">
      <c r="A1994">
        <v>136</v>
      </c>
      <c r="B1994" t="s">
        <v>560</v>
      </c>
      <c r="C1994">
        <v>1</v>
      </c>
      <c r="D1994" t="s">
        <v>137</v>
      </c>
      <c r="E1994" s="1">
        <v>2</v>
      </c>
      <c r="F1994" s="1" t="s">
        <v>174</v>
      </c>
      <c r="G1994" s="1">
        <v>52</v>
      </c>
      <c r="H1994" s="1" t="s">
        <v>174</v>
      </c>
    </row>
    <row r="1995" spans="1:8">
      <c r="A1995">
        <v>136</v>
      </c>
      <c r="B1995" t="s">
        <v>560</v>
      </c>
      <c r="C1995">
        <v>1</v>
      </c>
      <c r="D1995" t="s">
        <v>137</v>
      </c>
      <c r="E1995" s="1">
        <v>2</v>
      </c>
      <c r="F1995" s="1">
        <v>24</v>
      </c>
      <c r="G1995" s="1">
        <v>60</v>
      </c>
      <c r="H1995" s="1">
        <v>24</v>
      </c>
    </row>
    <row r="1996" spans="1:8">
      <c r="A1996">
        <v>136</v>
      </c>
      <c r="B1996" t="s">
        <v>560</v>
      </c>
      <c r="C1996">
        <v>1</v>
      </c>
      <c r="D1996" t="s">
        <v>137</v>
      </c>
      <c r="E1996" s="1">
        <v>2</v>
      </c>
      <c r="F1996" s="1" t="s">
        <v>177</v>
      </c>
      <c r="G1996" s="1">
        <v>62</v>
      </c>
      <c r="H1996" s="1" t="s">
        <v>177</v>
      </c>
    </row>
    <row r="1997" spans="1:8">
      <c r="A1997">
        <v>136</v>
      </c>
      <c r="B1997" t="s">
        <v>560</v>
      </c>
      <c r="C1997">
        <v>1</v>
      </c>
      <c r="D1997" t="s">
        <v>137</v>
      </c>
      <c r="E1997" s="1">
        <v>2</v>
      </c>
      <c r="F1997" s="1" t="s">
        <v>180</v>
      </c>
      <c r="G1997" s="1">
        <v>72</v>
      </c>
      <c r="H1997" s="1" t="s">
        <v>180</v>
      </c>
    </row>
    <row r="1998" spans="1:8">
      <c r="A1998">
        <v>136</v>
      </c>
      <c r="B1998" t="s">
        <v>560</v>
      </c>
      <c r="C1998">
        <v>1</v>
      </c>
      <c r="D1998" t="s">
        <v>137</v>
      </c>
      <c r="E1998" s="1">
        <v>2</v>
      </c>
      <c r="F1998" s="1">
        <v>18</v>
      </c>
      <c r="H1998" s="1">
        <v>18</v>
      </c>
    </row>
    <row r="1999" spans="1:8">
      <c r="A1999">
        <v>136</v>
      </c>
      <c r="B1999" t="s">
        <v>560</v>
      </c>
      <c r="C1999">
        <v>5</v>
      </c>
      <c r="D1999" t="s">
        <v>183</v>
      </c>
      <c r="G1999" s="1">
        <v>50</v>
      </c>
    </row>
    <row r="2000" spans="1:8">
      <c r="A2000">
        <v>136</v>
      </c>
      <c r="B2000" t="s">
        <v>560</v>
      </c>
      <c r="C2000">
        <v>5</v>
      </c>
      <c r="D2000" t="s">
        <v>183</v>
      </c>
      <c r="G2000" s="1">
        <v>60</v>
      </c>
    </row>
    <row r="2001" spans="1:8">
      <c r="A2001">
        <v>136</v>
      </c>
      <c r="B2001" t="s">
        <v>560</v>
      </c>
      <c r="C2001">
        <v>6</v>
      </c>
      <c r="D2001" t="s">
        <v>184</v>
      </c>
      <c r="G2001" s="1">
        <v>63</v>
      </c>
    </row>
    <row r="2002" spans="1:8">
      <c r="A2002">
        <v>136</v>
      </c>
      <c r="B2002" t="s">
        <v>560</v>
      </c>
      <c r="C2002">
        <v>11</v>
      </c>
      <c r="D2002" t="s">
        <v>186</v>
      </c>
      <c r="E2002" s="1">
        <v>1</v>
      </c>
      <c r="F2002" s="1" t="s">
        <v>192</v>
      </c>
      <c r="G2002" s="1">
        <v>2</v>
      </c>
      <c r="H2002" s="1" t="s">
        <v>192</v>
      </c>
    </row>
    <row r="2003" spans="1:8">
      <c r="A2003">
        <v>136</v>
      </c>
      <c r="B2003" t="s">
        <v>560</v>
      </c>
      <c r="C2003">
        <v>11</v>
      </c>
      <c r="D2003" t="s">
        <v>186</v>
      </c>
      <c r="E2003" s="1">
        <v>1</v>
      </c>
      <c r="F2003" s="1">
        <v>40</v>
      </c>
      <c r="G2003" s="1">
        <v>10</v>
      </c>
      <c r="H2003" s="1">
        <v>40</v>
      </c>
    </row>
    <row r="2004" spans="1:8">
      <c r="A2004">
        <v>136</v>
      </c>
      <c r="B2004" t="s">
        <v>560</v>
      </c>
      <c r="C2004">
        <v>11</v>
      </c>
      <c r="D2004" t="s">
        <v>186</v>
      </c>
      <c r="E2004" s="1">
        <v>1</v>
      </c>
      <c r="F2004" s="1" t="s">
        <v>193</v>
      </c>
      <c r="G2004" s="1">
        <v>12</v>
      </c>
      <c r="H2004" s="1" t="s">
        <v>193</v>
      </c>
    </row>
    <row r="2005" spans="1:8">
      <c r="A2005">
        <v>136</v>
      </c>
      <c r="B2005" t="s">
        <v>560</v>
      </c>
      <c r="C2005">
        <v>11</v>
      </c>
      <c r="D2005" t="s">
        <v>186</v>
      </c>
      <c r="E2005" s="1">
        <v>1</v>
      </c>
      <c r="F2005" s="1">
        <v>41</v>
      </c>
      <c r="G2005" s="1">
        <v>20</v>
      </c>
      <c r="H2005" s="1">
        <v>41</v>
      </c>
    </row>
    <row r="2006" spans="1:8">
      <c r="A2006">
        <v>136</v>
      </c>
      <c r="B2006" t="s">
        <v>560</v>
      </c>
      <c r="C2006">
        <v>11</v>
      </c>
      <c r="D2006" t="s">
        <v>186</v>
      </c>
      <c r="E2006" s="1">
        <v>1</v>
      </c>
      <c r="F2006" s="1" t="s">
        <v>194</v>
      </c>
      <c r="G2006" s="1">
        <v>22</v>
      </c>
      <c r="H2006" s="1" t="s">
        <v>194</v>
      </c>
    </row>
    <row r="2007" spans="1:8">
      <c r="A2007">
        <v>136</v>
      </c>
      <c r="B2007" t="s">
        <v>560</v>
      </c>
      <c r="C2007">
        <v>11</v>
      </c>
      <c r="D2007" t="s">
        <v>186</v>
      </c>
      <c r="E2007" s="1">
        <v>1</v>
      </c>
      <c r="F2007" s="1">
        <v>42</v>
      </c>
      <c r="G2007" s="1">
        <v>30</v>
      </c>
      <c r="H2007" s="1">
        <v>42</v>
      </c>
    </row>
    <row r="2008" spans="1:8">
      <c r="A2008">
        <v>136</v>
      </c>
      <c r="B2008" t="s">
        <v>560</v>
      </c>
      <c r="C2008">
        <v>11</v>
      </c>
      <c r="D2008" t="s">
        <v>186</v>
      </c>
      <c r="E2008" s="1">
        <v>1</v>
      </c>
      <c r="F2008" s="1" t="s">
        <v>195</v>
      </c>
      <c r="G2008" s="1">
        <v>32</v>
      </c>
      <c r="H2008" s="1" t="s">
        <v>195</v>
      </c>
    </row>
    <row r="2009" spans="1:8">
      <c r="A2009">
        <v>136</v>
      </c>
      <c r="B2009" t="s">
        <v>560</v>
      </c>
      <c r="C2009">
        <v>11</v>
      </c>
      <c r="D2009" t="s">
        <v>186</v>
      </c>
      <c r="E2009" s="1">
        <v>1</v>
      </c>
      <c r="F2009" s="1">
        <v>43</v>
      </c>
      <c r="G2009" s="1">
        <v>40</v>
      </c>
      <c r="H2009" s="1">
        <v>43</v>
      </c>
    </row>
    <row r="2010" spans="1:8">
      <c r="A2010">
        <v>136</v>
      </c>
      <c r="B2010" t="s">
        <v>560</v>
      </c>
      <c r="C2010">
        <v>11</v>
      </c>
      <c r="D2010" t="s">
        <v>186</v>
      </c>
      <c r="E2010" s="1">
        <v>1</v>
      </c>
      <c r="F2010" s="1" t="s">
        <v>196</v>
      </c>
      <c r="G2010" s="1">
        <v>42</v>
      </c>
      <c r="H2010" s="1" t="s">
        <v>196</v>
      </c>
    </row>
    <row r="2011" spans="1:8">
      <c r="A2011">
        <v>136</v>
      </c>
      <c r="B2011" t="s">
        <v>560</v>
      </c>
      <c r="C2011">
        <v>11</v>
      </c>
      <c r="D2011" t="s">
        <v>186</v>
      </c>
      <c r="E2011" s="1">
        <v>1</v>
      </c>
      <c r="F2011" s="1">
        <v>44</v>
      </c>
      <c r="G2011" s="1">
        <v>50</v>
      </c>
      <c r="H2011" s="1">
        <v>44</v>
      </c>
    </row>
    <row r="2012" spans="1:8">
      <c r="A2012">
        <v>136</v>
      </c>
      <c r="B2012" t="s">
        <v>560</v>
      </c>
      <c r="C2012">
        <v>11</v>
      </c>
      <c r="D2012" t="s">
        <v>186</v>
      </c>
      <c r="E2012" s="1">
        <v>1</v>
      </c>
      <c r="F2012" s="1" t="s">
        <v>197</v>
      </c>
      <c r="G2012" s="1">
        <v>52</v>
      </c>
      <c r="H2012" s="1" t="s">
        <v>197</v>
      </c>
    </row>
    <row r="2013" spans="1:8">
      <c r="A2013">
        <v>136</v>
      </c>
      <c r="B2013" t="s">
        <v>560</v>
      </c>
      <c r="C2013">
        <v>11</v>
      </c>
      <c r="D2013" t="s">
        <v>186</v>
      </c>
      <c r="E2013" s="1">
        <v>1</v>
      </c>
      <c r="F2013" s="1">
        <v>45</v>
      </c>
      <c r="G2013" s="1">
        <v>60</v>
      </c>
      <c r="H2013" s="1">
        <v>45</v>
      </c>
    </row>
    <row r="2014" spans="1:8">
      <c r="A2014">
        <v>136</v>
      </c>
      <c r="B2014" t="s">
        <v>560</v>
      </c>
      <c r="C2014">
        <v>11</v>
      </c>
      <c r="D2014" t="s">
        <v>186</v>
      </c>
      <c r="E2014" s="1">
        <v>1</v>
      </c>
      <c r="F2014" s="1" t="s">
        <v>198</v>
      </c>
      <c r="G2014" s="1">
        <v>62</v>
      </c>
      <c r="H2014" s="1" t="s">
        <v>198</v>
      </c>
    </row>
    <row r="2015" spans="1:8">
      <c r="A2015">
        <v>136</v>
      </c>
      <c r="B2015" t="s">
        <v>560</v>
      </c>
      <c r="C2015">
        <v>11</v>
      </c>
      <c r="D2015" t="s">
        <v>186</v>
      </c>
      <c r="E2015" s="1">
        <v>1</v>
      </c>
      <c r="F2015" s="1" t="s">
        <v>199</v>
      </c>
      <c r="G2015" s="1">
        <v>72</v>
      </c>
      <c r="H2015" s="1" t="s">
        <v>199</v>
      </c>
    </row>
    <row r="2016" spans="1:8">
      <c r="A2016">
        <v>136</v>
      </c>
      <c r="B2016" t="s">
        <v>560</v>
      </c>
      <c r="C2016">
        <v>11</v>
      </c>
      <c r="D2016" t="s">
        <v>186</v>
      </c>
      <c r="G2016" s="1">
        <v>92</v>
      </c>
    </row>
    <row r="2017" spans="1:8">
      <c r="A2017">
        <v>136</v>
      </c>
      <c r="B2017" t="s">
        <v>560</v>
      </c>
      <c r="C2017">
        <v>11</v>
      </c>
      <c r="D2017" t="s">
        <v>186</v>
      </c>
      <c r="G2017" s="1">
        <v>96</v>
      </c>
    </row>
    <row r="2018" spans="1:8">
      <c r="A2018">
        <v>136</v>
      </c>
      <c r="B2018" t="s">
        <v>560</v>
      </c>
      <c r="C2018">
        <v>12</v>
      </c>
      <c r="D2018" t="s">
        <v>107</v>
      </c>
      <c r="E2018" s="1">
        <v>1</v>
      </c>
      <c r="F2018" s="1">
        <v>40</v>
      </c>
      <c r="G2018" s="1">
        <v>10</v>
      </c>
      <c r="H2018" s="1">
        <v>40</v>
      </c>
    </row>
    <row r="2019" spans="1:8">
      <c r="A2019">
        <v>136</v>
      </c>
      <c r="B2019" t="s">
        <v>560</v>
      </c>
      <c r="C2019">
        <v>12</v>
      </c>
      <c r="D2019" t="s">
        <v>107</v>
      </c>
      <c r="E2019" s="1">
        <v>1</v>
      </c>
      <c r="F2019" s="1" t="s">
        <v>193</v>
      </c>
      <c r="G2019" s="1">
        <v>12</v>
      </c>
      <c r="H2019" s="1" t="s">
        <v>193</v>
      </c>
    </row>
    <row r="2020" spans="1:8">
      <c r="A2020">
        <v>136</v>
      </c>
      <c r="B2020" t="s">
        <v>560</v>
      </c>
      <c r="C2020">
        <v>12</v>
      </c>
      <c r="D2020" t="s">
        <v>107</v>
      </c>
      <c r="E2020" s="1">
        <v>1</v>
      </c>
      <c r="F2020" s="1">
        <v>41</v>
      </c>
      <c r="G2020" s="1">
        <v>20</v>
      </c>
      <c r="H2020" s="1">
        <v>41</v>
      </c>
    </row>
    <row r="2021" spans="1:8">
      <c r="A2021">
        <v>136</v>
      </c>
      <c r="B2021" t="s">
        <v>560</v>
      </c>
      <c r="C2021">
        <v>12</v>
      </c>
      <c r="D2021" t="s">
        <v>107</v>
      </c>
      <c r="E2021" s="1">
        <v>1</v>
      </c>
      <c r="F2021" s="1" t="s">
        <v>194</v>
      </c>
      <c r="G2021" s="1">
        <v>22</v>
      </c>
      <c r="H2021" s="1" t="s">
        <v>194</v>
      </c>
    </row>
    <row r="2022" spans="1:8">
      <c r="A2022">
        <v>136</v>
      </c>
      <c r="B2022" t="s">
        <v>560</v>
      </c>
      <c r="C2022">
        <v>12</v>
      </c>
      <c r="D2022" t="s">
        <v>107</v>
      </c>
      <c r="E2022" s="1">
        <v>1</v>
      </c>
      <c r="F2022" s="1">
        <v>42</v>
      </c>
      <c r="G2022" s="1">
        <v>30</v>
      </c>
      <c r="H2022" s="1">
        <v>42</v>
      </c>
    </row>
    <row r="2023" spans="1:8">
      <c r="A2023">
        <v>136</v>
      </c>
      <c r="B2023" t="s">
        <v>560</v>
      </c>
      <c r="C2023">
        <v>12</v>
      </c>
      <c r="D2023" t="s">
        <v>107</v>
      </c>
      <c r="E2023" s="1">
        <v>1</v>
      </c>
      <c r="F2023" s="1" t="s">
        <v>195</v>
      </c>
      <c r="G2023" s="1">
        <v>32</v>
      </c>
      <c r="H2023" s="1" t="s">
        <v>195</v>
      </c>
    </row>
    <row r="2024" spans="1:8">
      <c r="A2024">
        <v>136</v>
      </c>
      <c r="B2024" t="s">
        <v>560</v>
      </c>
      <c r="C2024">
        <v>12</v>
      </c>
      <c r="D2024" t="s">
        <v>107</v>
      </c>
      <c r="E2024" s="1">
        <v>1</v>
      </c>
      <c r="F2024" s="1">
        <v>43</v>
      </c>
      <c r="G2024" s="1">
        <v>40</v>
      </c>
      <c r="H2024" s="1">
        <v>43</v>
      </c>
    </row>
    <row r="2025" spans="1:8">
      <c r="A2025">
        <v>136</v>
      </c>
      <c r="B2025" t="s">
        <v>560</v>
      </c>
      <c r="C2025">
        <v>12</v>
      </c>
      <c r="D2025" t="s">
        <v>107</v>
      </c>
      <c r="E2025" s="1">
        <v>1</v>
      </c>
      <c r="F2025" s="1" t="s">
        <v>196</v>
      </c>
      <c r="G2025" s="1">
        <v>42</v>
      </c>
      <c r="H2025" s="1" t="s">
        <v>196</v>
      </c>
    </row>
    <row r="2026" spans="1:8">
      <c r="A2026">
        <v>136</v>
      </c>
      <c r="B2026" t="s">
        <v>560</v>
      </c>
      <c r="C2026">
        <v>12</v>
      </c>
      <c r="D2026" t="s">
        <v>107</v>
      </c>
      <c r="E2026" s="1">
        <v>1</v>
      </c>
      <c r="F2026" s="1">
        <v>44</v>
      </c>
      <c r="G2026" s="1">
        <v>50</v>
      </c>
      <c r="H2026" s="1">
        <v>44</v>
      </c>
    </row>
    <row r="2027" spans="1:8">
      <c r="A2027">
        <v>136</v>
      </c>
      <c r="B2027" t="s">
        <v>560</v>
      </c>
      <c r="C2027">
        <v>12</v>
      </c>
      <c r="D2027" t="s">
        <v>107</v>
      </c>
      <c r="E2027" s="1">
        <v>1</v>
      </c>
      <c r="F2027" s="1" t="s">
        <v>197</v>
      </c>
      <c r="G2027" s="1">
        <v>52</v>
      </c>
      <c r="H2027" s="1" t="s">
        <v>197</v>
      </c>
    </row>
    <row r="2028" spans="1:8">
      <c r="A2028">
        <v>136</v>
      </c>
      <c r="B2028" t="s">
        <v>560</v>
      </c>
      <c r="C2028">
        <v>12</v>
      </c>
      <c r="D2028" t="s">
        <v>107</v>
      </c>
      <c r="E2028" s="1">
        <v>1</v>
      </c>
      <c r="F2028" s="1">
        <v>45</v>
      </c>
      <c r="G2028" s="1">
        <v>60</v>
      </c>
      <c r="H2028" s="1">
        <v>45</v>
      </c>
    </row>
    <row r="2029" spans="1:8">
      <c r="A2029">
        <v>136</v>
      </c>
      <c r="B2029" t="s">
        <v>560</v>
      </c>
      <c r="C2029">
        <v>12</v>
      </c>
      <c r="D2029" t="s">
        <v>107</v>
      </c>
      <c r="E2029" s="1">
        <v>1</v>
      </c>
      <c r="F2029" s="1" t="s">
        <v>198</v>
      </c>
      <c r="G2029" s="1">
        <v>62</v>
      </c>
      <c r="H2029" s="1" t="s">
        <v>198</v>
      </c>
    </row>
    <row r="2030" spans="1:8">
      <c r="A2030">
        <v>136</v>
      </c>
      <c r="B2030" t="s">
        <v>560</v>
      </c>
      <c r="C2030">
        <v>12</v>
      </c>
      <c r="D2030" t="s">
        <v>107</v>
      </c>
      <c r="E2030" s="1">
        <v>1</v>
      </c>
      <c r="F2030" s="1" t="s">
        <v>199</v>
      </c>
      <c r="G2030" s="1">
        <v>72</v>
      </c>
      <c r="H2030" s="1" t="s">
        <v>199</v>
      </c>
    </row>
    <row r="2031" spans="1:8">
      <c r="A2031">
        <v>136</v>
      </c>
      <c r="B2031" t="s">
        <v>560</v>
      </c>
      <c r="C2031">
        <v>12</v>
      </c>
      <c r="D2031" t="s">
        <v>107</v>
      </c>
      <c r="E2031" s="1">
        <v>1</v>
      </c>
      <c r="F2031" s="1">
        <v>39</v>
      </c>
      <c r="H2031" s="1">
        <v>39</v>
      </c>
    </row>
    <row r="2032" spans="1:8">
      <c r="A2032">
        <v>136</v>
      </c>
      <c r="B2032" t="s">
        <v>560</v>
      </c>
      <c r="C2032">
        <v>13</v>
      </c>
      <c r="D2032" t="s">
        <v>200</v>
      </c>
      <c r="E2032" s="1">
        <v>1</v>
      </c>
      <c r="F2032" s="1" t="s">
        <v>192</v>
      </c>
      <c r="G2032" s="1">
        <v>2</v>
      </c>
      <c r="H2032" s="1" t="s">
        <v>192</v>
      </c>
    </row>
    <row r="2033" spans="1:8">
      <c r="A2033">
        <v>136</v>
      </c>
      <c r="B2033" t="s">
        <v>560</v>
      </c>
      <c r="C2033">
        <v>13</v>
      </c>
      <c r="D2033" t="s">
        <v>200</v>
      </c>
      <c r="E2033" s="1">
        <v>1</v>
      </c>
      <c r="F2033" s="1">
        <v>40</v>
      </c>
      <c r="G2033" s="1">
        <v>10</v>
      </c>
      <c r="H2033" s="1">
        <v>40</v>
      </c>
    </row>
    <row r="2034" spans="1:8">
      <c r="A2034">
        <v>136</v>
      </c>
      <c r="B2034" t="s">
        <v>560</v>
      </c>
      <c r="C2034">
        <v>13</v>
      </c>
      <c r="D2034" t="s">
        <v>200</v>
      </c>
      <c r="E2034" s="1">
        <v>1</v>
      </c>
      <c r="F2034" s="1" t="s">
        <v>193</v>
      </c>
      <c r="G2034" s="1">
        <v>12</v>
      </c>
      <c r="H2034" s="1" t="s">
        <v>193</v>
      </c>
    </row>
    <row r="2035" spans="1:8">
      <c r="A2035">
        <v>136</v>
      </c>
      <c r="B2035" t="s">
        <v>560</v>
      </c>
      <c r="C2035">
        <v>13</v>
      </c>
      <c r="D2035" t="s">
        <v>200</v>
      </c>
      <c r="E2035" s="1">
        <v>1</v>
      </c>
      <c r="F2035" s="1">
        <v>41</v>
      </c>
      <c r="G2035" s="1">
        <v>20</v>
      </c>
      <c r="H2035" s="1">
        <v>41</v>
      </c>
    </row>
    <row r="2036" spans="1:8">
      <c r="A2036">
        <v>136</v>
      </c>
      <c r="B2036" t="s">
        <v>560</v>
      </c>
      <c r="C2036">
        <v>13</v>
      </c>
      <c r="D2036" t="s">
        <v>200</v>
      </c>
      <c r="E2036" s="1">
        <v>1</v>
      </c>
      <c r="F2036" s="1" t="s">
        <v>194</v>
      </c>
      <c r="G2036" s="1">
        <v>22</v>
      </c>
      <c r="H2036" s="1" t="s">
        <v>194</v>
      </c>
    </row>
    <row r="2037" spans="1:8">
      <c r="A2037">
        <v>136</v>
      </c>
      <c r="B2037" t="s">
        <v>560</v>
      </c>
      <c r="C2037">
        <v>13</v>
      </c>
      <c r="D2037" t="s">
        <v>200</v>
      </c>
      <c r="E2037" s="1">
        <v>1</v>
      </c>
      <c r="F2037" s="1">
        <v>42</v>
      </c>
      <c r="G2037" s="1">
        <v>30</v>
      </c>
      <c r="H2037" s="1">
        <v>42</v>
      </c>
    </row>
    <row r="2038" spans="1:8">
      <c r="A2038">
        <v>136</v>
      </c>
      <c r="B2038" t="s">
        <v>560</v>
      </c>
      <c r="C2038">
        <v>13</v>
      </c>
      <c r="D2038" t="s">
        <v>200</v>
      </c>
      <c r="E2038" s="1">
        <v>1</v>
      </c>
      <c r="F2038" s="1" t="s">
        <v>195</v>
      </c>
      <c r="G2038" s="1">
        <v>32</v>
      </c>
      <c r="H2038" s="1" t="s">
        <v>195</v>
      </c>
    </row>
    <row r="2039" spans="1:8">
      <c r="A2039">
        <v>136</v>
      </c>
      <c r="B2039" t="s">
        <v>560</v>
      </c>
      <c r="C2039">
        <v>13</v>
      </c>
      <c r="D2039" t="s">
        <v>200</v>
      </c>
      <c r="E2039" s="1">
        <v>1</v>
      </c>
      <c r="F2039" s="1">
        <v>43</v>
      </c>
      <c r="G2039" s="1">
        <v>40</v>
      </c>
      <c r="H2039" s="1">
        <v>43</v>
      </c>
    </row>
    <row r="2040" spans="1:8">
      <c r="A2040">
        <v>136</v>
      </c>
      <c r="B2040" t="s">
        <v>560</v>
      </c>
      <c r="C2040">
        <v>13</v>
      </c>
      <c r="D2040" t="s">
        <v>200</v>
      </c>
      <c r="E2040" s="1">
        <v>1</v>
      </c>
      <c r="F2040" s="1" t="s">
        <v>196</v>
      </c>
      <c r="G2040" s="1">
        <v>42</v>
      </c>
      <c r="H2040" s="1" t="s">
        <v>196</v>
      </c>
    </row>
    <row r="2041" spans="1:8">
      <c r="A2041">
        <v>136</v>
      </c>
      <c r="B2041" t="s">
        <v>560</v>
      </c>
      <c r="C2041">
        <v>13</v>
      </c>
      <c r="D2041" t="s">
        <v>200</v>
      </c>
      <c r="E2041" s="1">
        <v>1</v>
      </c>
      <c r="F2041" s="1">
        <v>44</v>
      </c>
      <c r="G2041" s="1">
        <v>50</v>
      </c>
      <c r="H2041" s="1">
        <v>44</v>
      </c>
    </row>
    <row r="2042" spans="1:8">
      <c r="A2042">
        <v>136</v>
      </c>
      <c r="B2042" t="s">
        <v>560</v>
      </c>
      <c r="C2042">
        <v>13</v>
      </c>
      <c r="D2042" t="s">
        <v>200</v>
      </c>
      <c r="E2042" s="1">
        <v>1</v>
      </c>
      <c r="F2042" s="1" t="s">
        <v>197</v>
      </c>
      <c r="G2042" s="1">
        <v>52</v>
      </c>
      <c r="H2042" s="1" t="s">
        <v>197</v>
      </c>
    </row>
    <row r="2043" spans="1:8">
      <c r="A2043">
        <v>136</v>
      </c>
      <c r="B2043" t="s">
        <v>560</v>
      </c>
      <c r="C2043">
        <v>13</v>
      </c>
      <c r="D2043" t="s">
        <v>200</v>
      </c>
      <c r="E2043" s="1">
        <v>1</v>
      </c>
      <c r="F2043" s="1">
        <v>45</v>
      </c>
      <c r="G2043" s="1">
        <v>60</v>
      </c>
      <c r="H2043" s="1">
        <v>45</v>
      </c>
    </row>
    <row r="2044" spans="1:8">
      <c r="A2044">
        <v>136</v>
      </c>
      <c r="B2044" t="s">
        <v>560</v>
      </c>
      <c r="C2044">
        <v>13</v>
      </c>
      <c r="D2044" t="s">
        <v>200</v>
      </c>
      <c r="E2044" s="1">
        <v>1</v>
      </c>
      <c r="F2044" s="1" t="s">
        <v>198</v>
      </c>
      <c r="G2044" s="1">
        <v>62</v>
      </c>
      <c r="H2044" s="1" t="s">
        <v>198</v>
      </c>
    </row>
    <row r="2045" spans="1:8">
      <c r="A2045">
        <v>136</v>
      </c>
      <c r="B2045" t="s">
        <v>560</v>
      </c>
      <c r="C2045">
        <v>13</v>
      </c>
      <c r="D2045" t="s">
        <v>200</v>
      </c>
      <c r="E2045" s="1">
        <v>1</v>
      </c>
      <c r="F2045" s="1">
        <v>39</v>
      </c>
      <c r="H2045" s="1">
        <v>39</v>
      </c>
    </row>
    <row r="2046" spans="1:8">
      <c r="A2046">
        <v>136</v>
      </c>
      <c r="B2046" t="s">
        <v>560</v>
      </c>
      <c r="C2046">
        <v>13</v>
      </c>
      <c r="D2046" t="s">
        <v>200</v>
      </c>
      <c r="G2046" s="1">
        <v>96</v>
      </c>
    </row>
    <row r="2047" spans="1:8">
      <c r="A2047">
        <v>136</v>
      </c>
      <c r="B2047" t="s">
        <v>560</v>
      </c>
      <c r="C2047">
        <v>15</v>
      </c>
      <c r="D2047" t="s">
        <v>201</v>
      </c>
      <c r="E2047" s="1">
        <v>1</v>
      </c>
      <c r="F2047" s="1">
        <v>100</v>
      </c>
      <c r="G2047" s="1">
        <v>80</v>
      </c>
      <c r="H2047" s="1">
        <v>100</v>
      </c>
    </row>
    <row r="2048" spans="1:8">
      <c r="A2048">
        <v>136</v>
      </c>
      <c r="B2048" t="s">
        <v>560</v>
      </c>
      <c r="C2048">
        <v>21</v>
      </c>
      <c r="D2048" t="s">
        <v>205</v>
      </c>
      <c r="E2048" s="1">
        <v>1</v>
      </c>
      <c r="F2048" s="1" t="s">
        <v>329</v>
      </c>
      <c r="G2048" s="1">
        <v>30</v>
      </c>
      <c r="H2048" s="1" t="s">
        <v>329</v>
      </c>
    </row>
    <row r="2049" spans="1:8">
      <c r="A2049">
        <v>136</v>
      </c>
      <c r="B2049" t="s">
        <v>560</v>
      </c>
      <c r="C2049">
        <v>21</v>
      </c>
      <c r="D2049" t="s">
        <v>205</v>
      </c>
      <c r="E2049" s="1">
        <v>1</v>
      </c>
      <c r="F2049" s="1" t="s">
        <v>323</v>
      </c>
      <c r="G2049" s="1">
        <v>32</v>
      </c>
      <c r="H2049" s="1" t="s">
        <v>323</v>
      </c>
    </row>
    <row r="2050" spans="1:8">
      <c r="A2050">
        <v>136</v>
      </c>
      <c r="B2050" t="s">
        <v>560</v>
      </c>
      <c r="C2050">
        <v>21</v>
      </c>
      <c r="D2050" t="s">
        <v>205</v>
      </c>
      <c r="E2050" s="1">
        <v>1</v>
      </c>
      <c r="F2050" s="1" t="s">
        <v>330</v>
      </c>
      <c r="G2050" s="1">
        <v>42</v>
      </c>
      <c r="H2050" s="1" t="s">
        <v>330</v>
      </c>
    </row>
    <row r="2051" spans="1:8">
      <c r="A2051">
        <v>136</v>
      </c>
      <c r="B2051" t="s">
        <v>560</v>
      </c>
      <c r="C2051">
        <v>21</v>
      </c>
      <c r="D2051" t="s">
        <v>205</v>
      </c>
      <c r="E2051" s="1">
        <v>1</v>
      </c>
      <c r="F2051" s="1" t="s">
        <v>331</v>
      </c>
      <c r="G2051" s="1">
        <v>50</v>
      </c>
      <c r="H2051" s="1" t="s">
        <v>331</v>
      </c>
    </row>
    <row r="2052" spans="1:8">
      <c r="A2052">
        <v>136</v>
      </c>
      <c r="B2052" t="s">
        <v>560</v>
      </c>
      <c r="C2052">
        <v>21</v>
      </c>
      <c r="D2052" t="s">
        <v>205</v>
      </c>
      <c r="E2052" s="1">
        <v>1</v>
      </c>
      <c r="F2052" s="1" t="s">
        <v>288</v>
      </c>
      <c r="G2052" s="1">
        <v>62</v>
      </c>
      <c r="H2052" s="1" t="s">
        <v>288</v>
      </c>
    </row>
    <row r="2053" spans="1:8">
      <c r="A2053">
        <v>136</v>
      </c>
      <c r="B2053" t="s">
        <v>560</v>
      </c>
      <c r="C2053">
        <v>27</v>
      </c>
      <c r="D2053" t="s">
        <v>210</v>
      </c>
      <c r="E2053" s="1">
        <v>1</v>
      </c>
      <c r="F2053" s="1">
        <v>41</v>
      </c>
      <c r="G2053" s="1">
        <v>20</v>
      </c>
      <c r="H2053" s="1">
        <v>41</v>
      </c>
    </row>
    <row r="2054" spans="1:8">
      <c r="A2054">
        <v>136</v>
      </c>
      <c r="B2054" t="s">
        <v>560</v>
      </c>
      <c r="C2054">
        <v>45</v>
      </c>
      <c r="D2054" t="s">
        <v>223</v>
      </c>
      <c r="E2054" s="1">
        <v>1</v>
      </c>
      <c r="F2054" s="1" t="s">
        <v>336</v>
      </c>
      <c r="G2054" s="1">
        <v>13</v>
      </c>
      <c r="H2054" s="1" t="s">
        <v>337</v>
      </c>
    </row>
    <row r="2055" spans="1:8">
      <c r="A2055">
        <v>136</v>
      </c>
      <c r="B2055" t="s">
        <v>560</v>
      </c>
      <c r="C2055">
        <v>45</v>
      </c>
      <c r="D2055" t="s">
        <v>223</v>
      </c>
      <c r="E2055" s="1">
        <v>1</v>
      </c>
      <c r="F2055" s="1" t="s">
        <v>324</v>
      </c>
      <c r="G2055" s="1">
        <v>14</v>
      </c>
      <c r="H2055" s="1" t="s">
        <v>325</v>
      </c>
    </row>
    <row r="2056" spans="1:8">
      <c r="A2056">
        <v>136</v>
      </c>
      <c r="B2056" t="s">
        <v>560</v>
      </c>
      <c r="C2056">
        <v>57</v>
      </c>
      <c r="D2056" t="s">
        <v>183</v>
      </c>
      <c r="E2056" s="1">
        <v>3</v>
      </c>
      <c r="F2056" s="1" t="s">
        <v>338</v>
      </c>
      <c r="G2056" s="1">
        <v>60</v>
      </c>
      <c r="H2056" s="1" t="s">
        <v>338</v>
      </c>
    </row>
    <row r="2057" spans="1:8">
      <c r="A2057">
        <v>136</v>
      </c>
      <c r="B2057" t="s">
        <v>560</v>
      </c>
      <c r="C2057">
        <v>57</v>
      </c>
      <c r="D2057" t="s">
        <v>183</v>
      </c>
      <c r="G2057" s="1">
        <v>50</v>
      </c>
    </row>
    <row r="2058" spans="1:8">
      <c r="A2058">
        <v>136</v>
      </c>
      <c r="B2058" t="s">
        <v>560</v>
      </c>
      <c r="C2058">
        <v>57</v>
      </c>
      <c r="D2058" t="s">
        <v>183</v>
      </c>
      <c r="G2058" s="1">
        <v>60</v>
      </c>
    </row>
    <row r="2059" spans="1:8">
      <c r="A2059">
        <v>136</v>
      </c>
      <c r="B2059" t="s">
        <v>560</v>
      </c>
      <c r="C2059">
        <v>58</v>
      </c>
      <c r="D2059" t="s">
        <v>226</v>
      </c>
      <c r="E2059" s="1">
        <v>2</v>
      </c>
      <c r="F2059" s="1" t="s">
        <v>561</v>
      </c>
      <c r="G2059" s="1">
        <v>50</v>
      </c>
      <c r="H2059" s="1" t="s">
        <v>561</v>
      </c>
    </row>
    <row r="2060" spans="1:8">
      <c r="A2060">
        <v>136</v>
      </c>
      <c r="B2060" t="s">
        <v>560</v>
      </c>
      <c r="C2060">
        <v>59</v>
      </c>
      <c r="D2060" t="s">
        <v>227</v>
      </c>
      <c r="E2060" s="1">
        <v>3</v>
      </c>
      <c r="F2060" s="1" t="s">
        <v>295</v>
      </c>
      <c r="G2060" s="1">
        <v>23</v>
      </c>
      <c r="H2060" s="1" t="s">
        <v>295</v>
      </c>
    </row>
    <row r="2061" spans="1:8">
      <c r="A2061">
        <v>136</v>
      </c>
      <c r="B2061" t="s">
        <v>560</v>
      </c>
      <c r="C2061">
        <v>62</v>
      </c>
      <c r="D2061" t="s">
        <v>514</v>
      </c>
      <c r="E2061" s="1">
        <v>1</v>
      </c>
      <c r="F2061" s="1" t="s">
        <v>141</v>
      </c>
      <c r="G2061" s="1">
        <v>62</v>
      </c>
      <c r="H2061" s="1" t="s">
        <v>141</v>
      </c>
    </row>
    <row r="2062" spans="1:8">
      <c r="A2062">
        <v>136</v>
      </c>
      <c r="B2062" t="s">
        <v>560</v>
      </c>
      <c r="C2062">
        <v>74</v>
      </c>
      <c r="D2062" t="s">
        <v>235</v>
      </c>
      <c r="E2062" s="1">
        <v>3</v>
      </c>
      <c r="F2062" s="1" t="s">
        <v>320</v>
      </c>
      <c r="G2062" s="1">
        <v>50</v>
      </c>
      <c r="H2062" s="1" t="s">
        <v>320</v>
      </c>
    </row>
    <row r="2063" spans="1:8">
      <c r="A2063">
        <v>136</v>
      </c>
      <c r="B2063" t="s">
        <v>560</v>
      </c>
      <c r="C2063">
        <v>74</v>
      </c>
      <c r="D2063" t="s">
        <v>235</v>
      </c>
      <c r="E2063" s="1">
        <v>3</v>
      </c>
      <c r="F2063" s="1" t="s">
        <v>321</v>
      </c>
      <c r="G2063" s="1">
        <v>60</v>
      </c>
      <c r="H2063" s="1" t="s">
        <v>321</v>
      </c>
    </row>
    <row r="2064" spans="1:8">
      <c r="A2064">
        <v>138</v>
      </c>
      <c r="B2064" t="s">
        <v>562</v>
      </c>
      <c r="C2064">
        <v>1</v>
      </c>
      <c r="D2064" t="s">
        <v>137</v>
      </c>
      <c r="E2064" s="1">
        <v>1</v>
      </c>
      <c r="F2064" s="1" t="s">
        <v>144</v>
      </c>
      <c r="G2064" s="1">
        <v>62</v>
      </c>
      <c r="H2064" s="1" t="s">
        <v>144</v>
      </c>
    </row>
    <row r="2065" spans="1:8">
      <c r="A2065">
        <v>138</v>
      </c>
      <c r="B2065" t="s">
        <v>562</v>
      </c>
      <c r="C2065">
        <v>1</v>
      </c>
      <c r="D2065" t="s">
        <v>137</v>
      </c>
      <c r="E2065" s="1">
        <v>1</v>
      </c>
      <c r="F2065" s="1">
        <v>14</v>
      </c>
      <c r="G2065" s="1">
        <v>70</v>
      </c>
      <c r="H2065" s="1">
        <v>14</v>
      </c>
    </row>
    <row r="2066" spans="1:8">
      <c r="A2066">
        <v>138</v>
      </c>
      <c r="B2066" t="s">
        <v>562</v>
      </c>
      <c r="C2066">
        <v>1</v>
      </c>
      <c r="D2066" t="s">
        <v>137</v>
      </c>
      <c r="E2066" s="1">
        <v>1</v>
      </c>
      <c r="F2066" s="1" t="s">
        <v>147</v>
      </c>
      <c r="G2066" s="1">
        <v>72</v>
      </c>
      <c r="H2066" s="1" t="s">
        <v>147</v>
      </c>
    </row>
    <row r="2067" spans="1:8">
      <c r="A2067">
        <v>138</v>
      </c>
      <c r="B2067" t="s">
        <v>562</v>
      </c>
      <c r="C2067">
        <v>1</v>
      </c>
      <c r="D2067" t="s">
        <v>137</v>
      </c>
      <c r="E2067" s="1">
        <v>1</v>
      </c>
      <c r="F2067" s="1">
        <v>15</v>
      </c>
      <c r="G2067" s="1">
        <v>80</v>
      </c>
      <c r="H2067" s="1">
        <v>15</v>
      </c>
    </row>
    <row r="2068" spans="1:8">
      <c r="A2068">
        <v>138</v>
      </c>
      <c r="B2068" t="s">
        <v>562</v>
      </c>
      <c r="C2068">
        <v>1</v>
      </c>
      <c r="D2068" t="s">
        <v>137</v>
      </c>
      <c r="E2068" s="1">
        <v>1</v>
      </c>
      <c r="F2068" s="1" t="s">
        <v>150</v>
      </c>
      <c r="G2068" s="1">
        <v>82</v>
      </c>
      <c r="H2068" s="1" t="s">
        <v>150</v>
      </c>
    </row>
    <row r="2069" spans="1:8">
      <c r="A2069">
        <v>138</v>
      </c>
      <c r="B2069" t="s">
        <v>562</v>
      </c>
      <c r="C2069">
        <v>1</v>
      </c>
      <c r="D2069" t="s">
        <v>137</v>
      </c>
      <c r="E2069" s="1">
        <v>1</v>
      </c>
      <c r="F2069" s="1">
        <v>16</v>
      </c>
      <c r="G2069" s="1">
        <v>90</v>
      </c>
      <c r="H2069" s="1">
        <v>16</v>
      </c>
    </row>
    <row r="2070" spans="1:8">
      <c r="A2070">
        <v>138</v>
      </c>
      <c r="B2070" t="s">
        <v>562</v>
      </c>
      <c r="C2070">
        <v>1</v>
      </c>
      <c r="D2070" t="s">
        <v>137</v>
      </c>
      <c r="E2070" s="1">
        <v>1</v>
      </c>
      <c r="F2070" s="1" t="s">
        <v>153</v>
      </c>
      <c r="G2070" s="1">
        <v>92</v>
      </c>
      <c r="H2070" s="1" t="s">
        <v>153</v>
      </c>
    </row>
    <row r="2071" spans="1:8">
      <c r="A2071">
        <v>138</v>
      </c>
      <c r="B2071" t="s">
        <v>562</v>
      </c>
      <c r="C2071">
        <v>1</v>
      </c>
      <c r="D2071" t="s">
        <v>137</v>
      </c>
      <c r="E2071" s="1">
        <v>1</v>
      </c>
      <c r="F2071" s="1">
        <v>17</v>
      </c>
      <c r="G2071" s="1">
        <v>94</v>
      </c>
      <c r="H2071" s="1">
        <v>17</v>
      </c>
    </row>
    <row r="2072" spans="1:8">
      <c r="A2072">
        <v>138</v>
      </c>
      <c r="B2072" t="s">
        <v>562</v>
      </c>
      <c r="C2072">
        <v>1</v>
      </c>
      <c r="D2072" t="s">
        <v>137</v>
      </c>
      <c r="E2072" s="1">
        <v>1</v>
      </c>
      <c r="F2072" s="1" t="s">
        <v>156</v>
      </c>
      <c r="G2072" s="1">
        <v>96</v>
      </c>
      <c r="H2072" s="1" t="s">
        <v>156</v>
      </c>
    </row>
    <row r="2073" spans="1:8">
      <c r="A2073">
        <v>138</v>
      </c>
      <c r="B2073" t="s">
        <v>562</v>
      </c>
      <c r="C2073">
        <v>1</v>
      </c>
      <c r="D2073" t="s">
        <v>137</v>
      </c>
      <c r="E2073" s="1">
        <v>2</v>
      </c>
      <c r="F2073" s="1" t="s">
        <v>159</v>
      </c>
      <c r="G2073" s="1">
        <v>2</v>
      </c>
      <c r="H2073" s="1" t="s">
        <v>159</v>
      </c>
    </row>
    <row r="2074" spans="1:8">
      <c r="A2074">
        <v>138</v>
      </c>
      <c r="B2074" t="s">
        <v>562</v>
      </c>
      <c r="C2074">
        <v>1</v>
      </c>
      <c r="D2074" t="s">
        <v>137</v>
      </c>
      <c r="E2074" s="1">
        <v>2</v>
      </c>
      <c r="F2074" s="1">
        <v>19</v>
      </c>
      <c r="G2074" s="1">
        <v>10</v>
      </c>
      <c r="H2074" s="1">
        <v>19</v>
      </c>
    </row>
    <row r="2075" spans="1:8">
      <c r="A2075">
        <v>138</v>
      </c>
      <c r="B2075" t="s">
        <v>562</v>
      </c>
      <c r="C2075">
        <v>1</v>
      </c>
      <c r="D2075" t="s">
        <v>137</v>
      </c>
      <c r="E2075" s="1">
        <v>2</v>
      </c>
      <c r="F2075" s="1" t="s">
        <v>162</v>
      </c>
      <c r="G2075" s="1">
        <v>12</v>
      </c>
      <c r="H2075" s="1" t="s">
        <v>162</v>
      </c>
    </row>
    <row r="2076" spans="1:8">
      <c r="A2076">
        <v>138</v>
      </c>
      <c r="B2076" t="s">
        <v>562</v>
      </c>
      <c r="C2076">
        <v>1</v>
      </c>
      <c r="D2076" t="s">
        <v>137</v>
      </c>
      <c r="E2076" s="1">
        <v>2</v>
      </c>
      <c r="F2076" s="1">
        <v>20</v>
      </c>
      <c r="G2076" s="1">
        <v>20</v>
      </c>
      <c r="H2076" s="1">
        <v>20</v>
      </c>
    </row>
    <row r="2077" spans="1:8">
      <c r="A2077">
        <v>138</v>
      </c>
      <c r="B2077" t="s">
        <v>562</v>
      </c>
      <c r="C2077">
        <v>1</v>
      </c>
      <c r="D2077" t="s">
        <v>137</v>
      </c>
      <c r="E2077" s="1">
        <v>2</v>
      </c>
      <c r="F2077" s="1" t="s">
        <v>165</v>
      </c>
      <c r="G2077" s="1">
        <v>22</v>
      </c>
      <c r="H2077" s="1" t="s">
        <v>165</v>
      </c>
    </row>
    <row r="2078" spans="1:8">
      <c r="A2078">
        <v>138</v>
      </c>
      <c r="B2078" t="s">
        <v>562</v>
      </c>
      <c r="C2078">
        <v>1</v>
      </c>
      <c r="D2078" t="s">
        <v>137</v>
      </c>
      <c r="E2078" s="1">
        <v>2</v>
      </c>
      <c r="F2078" s="1">
        <v>21</v>
      </c>
      <c r="G2078" s="1">
        <v>30</v>
      </c>
      <c r="H2078" s="1">
        <v>21</v>
      </c>
    </row>
    <row r="2079" spans="1:8">
      <c r="A2079">
        <v>138</v>
      </c>
      <c r="B2079" t="s">
        <v>562</v>
      </c>
      <c r="C2079">
        <v>1</v>
      </c>
      <c r="D2079" t="s">
        <v>137</v>
      </c>
      <c r="E2079" s="1">
        <v>2</v>
      </c>
      <c r="F2079" s="1" t="s">
        <v>168</v>
      </c>
      <c r="G2079" s="1">
        <v>32</v>
      </c>
      <c r="H2079" s="1" t="s">
        <v>168</v>
      </c>
    </row>
    <row r="2080" spans="1:8">
      <c r="A2080">
        <v>138</v>
      </c>
      <c r="B2080" t="s">
        <v>562</v>
      </c>
      <c r="C2080">
        <v>1</v>
      </c>
      <c r="D2080" t="s">
        <v>137</v>
      </c>
      <c r="E2080" s="1">
        <v>2</v>
      </c>
      <c r="F2080" s="1">
        <v>22</v>
      </c>
      <c r="G2080" s="1">
        <v>40</v>
      </c>
      <c r="H2080" s="1">
        <v>22</v>
      </c>
    </row>
    <row r="2081" spans="1:8">
      <c r="A2081">
        <v>138</v>
      </c>
      <c r="B2081" t="s">
        <v>562</v>
      </c>
      <c r="C2081">
        <v>1</v>
      </c>
      <c r="D2081" t="s">
        <v>137</v>
      </c>
      <c r="E2081" s="1">
        <v>2</v>
      </c>
      <c r="F2081" s="1" t="s">
        <v>171</v>
      </c>
      <c r="G2081" s="1">
        <v>42</v>
      </c>
      <c r="H2081" s="1" t="s">
        <v>171</v>
      </c>
    </row>
    <row r="2082" spans="1:8">
      <c r="A2082">
        <v>138</v>
      </c>
      <c r="B2082" t="s">
        <v>562</v>
      </c>
      <c r="C2082">
        <v>1</v>
      </c>
      <c r="D2082" t="s">
        <v>137</v>
      </c>
      <c r="E2082" s="1">
        <v>2</v>
      </c>
      <c r="F2082" s="1">
        <v>23</v>
      </c>
      <c r="G2082" s="1">
        <v>50</v>
      </c>
      <c r="H2082" s="1">
        <v>23</v>
      </c>
    </row>
    <row r="2083" spans="1:8">
      <c r="A2083">
        <v>138</v>
      </c>
      <c r="B2083" t="s">
        <v>562</v>
      </c>
      <c r="C2083">
        <v>1</v>
      </c>
      <c r="D2083" t="s">
        <v>137</v>
      </c>
      <c r="E2083" s="1">
        <v>2</v>
      </c>
      <c r="F2083" s="1">
        <v>18</v>
      </c>
      <c r="H2083" s="1">
        <v>18</v>
      </c>
    </row>
    <row r="2084" spans="1:8">
      <c r="A2084">
        <v>138</v>
      </c>
      <c r="B2084" t="s">
        <v>562</v>
      </c>
      <c r="C2084">
        <v>5</v>
      </c>
      <c r="D2084" t="s">
        <v>183</v>
      </c>
      <c r="G2084" s="1">
        <v>50</v>
      </c>
    </row>
    <row r="2085" spans="1:8">
      <c r="A2085">
        <v>138</v>
      </c>
      <c r="B2085" t="s">
        <v>562</v>
      </c>
      <c r="C2085">
        <v>5</v>
      </c>
      <c r="D2085" t="s">
        <v>183</v>
      </c>
      <c r="G2085" s="1">
        <v>60</v>
      </c>
    </row>
    <row r="2086" spans="1:8">
      <c r="A2086">
        <v>138</v>
      </c>
      <c r="B2086" t="s">
        <v>562</v>
      </c>
      <c r="C2086">
        <v>11</v>
      </c>
      <c r="D2086" t="s">
        <v>186</v>
      </c>
      <c r="E2086" s="1">
        <v>1</v>
      </c>
      <c r="F2086" s="1" t="s">
        <v>193</v>
      </c>
      <c r="G2086" s="1">
        <v>12</v>
      </c>
      <c r="H2086" s="1" t="s">
        <v>193</v>
      </c>
    </row>
    <row r="2087" spans="1:8">
      <c r="A2087">
        <v>138</v>
      </c>
      <c r="B2087" t="s">
        <v>562</v>
      </c>
      <c r="C2087">
        <v>11</v>
      </c>
      <c r="D2087" t="s">
        <v>186</v>
      </c>
      <c r="E2087" s="1">
        <v>1</v>
      </c>
      <c r="F2087" s="1" t="s">
        <v>194</v>
      </c>
      <c r="G2087" s="1">
        <v>22</v>
      </c>
      <c r="H2087" s="1" t="s">
        <v>194</v>
      </c>
    </row>
    <row r="2088" spans="1:8">
      <c r="A2088">
        <v>138</v>
      </c>
      <c r="B2088" t="s">
        <v>562</v>
      </c>
      <c r="C2088">
        <v>11</v>
      </c>
      <c r="D2088" t="s">
        <v>186</v>
      </c>
      <c r="E2088" s="1">
        <v>1</v>
      </c>
      <c r="F2088" s="1">
        <v>42</v>
      </c>
      <c r="G2088" s="1">
        <v>30</v>
      </c>
      <c r="H2088" s="1">
        <v>42</v>
      </c>
    </row>
    <row r="2089" spans="1:8">
      <c r="A2089">
        <v>138</v>
      </c>
      <c r="B2089" t="s">
        <v>562</v>
      </c>
      <c r="C2089">
        <v>11</v>
      </c>
      <c r="D2089" t="s">
        <v>186</v>
      </c>
      <c r="E2089" s="1">
        <v>1</v>
      </c>
      <c r="F2089" s="1" t="s">
        <v>195</v>
      </c>
      <c r="G2089" s="1">
        <v>32</v>
      </c>
      <c r="H2089" s="1" t="s">
        <v>195</v>
      </c>
    </row>
    <row r="2090" spans="1:8">
      <c r="A2090">
        <v>138</v>
      </c>
      <c r="B2090" t="s">
        <v>562</v>
      </c>
      <c r="C2090">
        <v>11</v>
      </c>
      <c r="D2090" t="s">
        <v>186</v>
      </c>
      <c r="E2090" s="1">
        <v>1</v>
      </c>
      <c r="F2090" s="1">
        <v>43</v>
      </c>
      <c r="G2090" s="1">
        <v>40</v>
      </c>
      <c r="H2090" s="1">
        <v>43</v>
      </c>
    </row>
    <row r="2091" spans="1:8">
      <c r="A2091">
        <v>138</v>
      </c>
      <c r="B2091" t="s">
        <v>562</v>
      </c>
      <c r="C2091">
        <v>11</v>
      </c>
      <c r="D2091" t="s">
        <v>186</v>
      </c>
      <c r="E2091" s="1">
        <v>1</v>
      </c>
      <c r="F2091" s="1" t="s">
        <v>196</v>
      </c>
      <c r="G2091" s="1">
        <v>42</v>
      </c>
      <c r="H2091" s="1" t="s">
        <v>196</v>
      </c>
    </row>
    <row r="2092" spans="1:8">
      <c r="A2092">
        <v>138</v>
      </c>
      <c r="B2092" t="s">
        <v>562</v>
      </c>
      <c r="C2092">
        <v>11</v>
      </c>
      <c r="D2092" t="s">
        <v>186</v>
      </c>
      <c r="E2092" s="1">
        <v>1</v>
      </c>
      <c r="F2092" s="1">
        <v>44</v>
      </c>
      <c r="G2092" s="1">
        <v>50</v>
      </c>
      <c r="H2092" s="1">
        <v>44</v>
      </c>
    </row>
    <row r="2093" spans="1:8">
      <c r="A2093">
        <v>138</v>
      </c>
      <c r="B2093" t="s">
        <v>562</v>
      </c>
      <c r="C2093">
        <v>11</v>
      </c>
      <c r="D2093" t="s">
        <v>186</v>
      </c>
      <c r="E2093" s="1">
        <v>1</v>
      </c>
      <c r="F2093" s="1" t="s">
        <v>197</v>
      </c>
      <c r="G2093" s="1">
        <v>52</v>
      </c>
      <c r="H2093" s="1" t="s">
        <v>197</v>
      </c>
    </row>
    <row r="2094" spans="1:8">
      <c r="A2094">
        <v>138</v>
      </c>
      <c r="B2094" t="s">
        <v>562</v>
      </c>
      <c r="C2094">
        <v>11</v>
      </c>
      <c r="D2094" t="s">
        <v>186</v>
      </c>
      <c r="E2094" s="1">
        <v>1</v>
      </c>
      <c r="F2094" s="1" t="s">
        <v>198</v>
      </c>
      <c r="G2094" s="1">
        <v>62</v>
      </c>
      <c r="H2094" s="1" t="s">
        <v>198</v>
      </c>
    </row>
    <row r="2095" spans="1:8">
      <c r="A2095">
        <v>138</v>
      </c>
      <c r="B2095" t="s">
        <v>562</v>
      </c>
      <c r="C2095">
        <v>11</v>
      </c>
      <c r="D2095" t="s">
        <v>186</v>
      </c>
      <c r="E2095" s="1">
        <v>1</v>
      </c>
      <c r="F2095" s="1" t="s">
        <v>199</v>
      </c>
      <c r="G2095" s="1">
        <v>72</v>
      </c>
      <c r="H2095" s="1" t="s">
        <v>199</v>
      </c>
    </row>
    <row r="2096" spans="1:8">
      <c r="A2096">
        <v>138</v>
      </c>
      <c r="B2096" t="s">
        <v>562</v>
      </c>
      <c r="C2096">
        <v>12</v>
      </c>
      <c r="D2096" t="s">
        <v>107</v>
      </c>
      <c r="E2096" s="1">
        <v>1</v>
      </c>
      <c r="F2096" s="1" t="s">
        <v>192</v>
      </c>
      <c r="G2096" s="1">
        <v>2</v>
      </c>
      <c r="H2096" s="1" t="s">
        <v>192</v>
      </c>
    </row>
    <row r="2097" spans="1:8">
      <c r="A2097">
        <v>138</v>
      </c>
      <c r="B2097" t="s">
        <v>562</v>
      </c>
      <c r="C2097">
        <v>12</v>
      </c>
      <c r="D2097" t="s">
        <v>107</v>
      </c>
      <c r="E2097" s="1">
        <v>1</v>
      </c>
      <c r="F2097" s="1">
        <v>40</v>
      </c>
      <c r="G2097" s="1">
        <v>10</v>
      </c>
      <c r="H2097" s="1">
        <v>40</v>
      </c>
    </row>
    <row r="2098" spans="1:8">
      <c r="A2098">
        <v>138</v>
      </c>
      <c r="B2098" t="s">
        <v>562</v>
      </c>
      <c r="C2098">
        <v>12</v>
      </c>
      <c r="D2098" t="s">
        <v>107</v>
      </c>
      <c r="E2098" s="1">
        <v>1</v>
      </c>
      <c r="F2098" s="1" t="s">
        <v>193</v>
      </c>
      <c r="G2098" s="1">
        <v>12</v>
      </c>
      <c r="H2098" s="1" t="s">
        <v>193</v>
      </c>
    </row>
    <row r="2099" spans="1:8">
      <c r="A2099">
        <v>138</v>
      </c>
      <c r="B2099" t="s">
        <v>562</v>
      </c>
      <c r="C2099">
        <v>12</v>
      </c>
      <c r="D2099" t="s">
        <v>107</v>
      </c>
      <c r="E2099" s="1">
        <v>1</v>
      </c>
      <c r="F2099" s="1">
        <v>41</v>
      </c>
      <c r="G2099" s="1">
        <v>20</v>
      </c>
      <c r="H2099" s="1">
        <v>41</v>
      </c>
    </row>
    <row r="2100" spans="1:8">
      <c r="A2100">
        <v>138</v>
      </c>
      <c r="B2100" t="s">
        <v>562</v>
      </c>
      <c r="C2100">
        <v>12</v>
      </c>
      <c r="D2100" t="s">
        <v>107</v>
      </c>
      <c r="E2100" s="1">
        <v>1</v>
      </c>
      <c r="F2100" s="1" t="s">
        <v>194</v>
      </c>
      <c r="G2100" s="1">
        <v>22</v>
      </c>
      <c r="H2100" s="1" t="s">
        <v>194</v>
      </c>
    </row>
    <row r="2101" spans="1:8">
      <c r="A2101">
        <v>138</v>
      </c>
      <c r="B2101" t="s">
        <v>562</v>
      </c>
      <c r="C2101">
        <v>12</v>
      </c>
      <c r="D2101" t="s">
        <v>107</v>
      </c>
      <c r="E2101" s="1">
        <v>1</v>
      </c>
      <c r="F2101" s="1">
        <v>42</v>
      </c>
      <c r="G2101" s="1">
        <v>30</v>
      </c>
      <c r="H2101" s="1">
        <v>42</v>
      </c>
    </row>
    <row r="2102" spans="1:8">
      <c r="A2102">
        <v>138</v>
      </c>
      <c r="B2102" t="s">
        <v>562</v>
      </c>
      <c r="C2102">
        <v>12</v>
      </c>
      <c r="D2102" t="s">
        <v>107</v>
      </c>
      <c r="E2102" s="1">
        <v>1</v>
      </c>
      <c r="F2102" s="1" t="s">
        <v>195</v>
      </c>
      <c r="G2102" s="1">
        <v>32</v>
      </c>
      <c r="H2102" s="1" t="s">
        <v>195</v>
      </c>
    </row>
    <row r="2103" spans="1:8">
      <c r="A2103">
        <v>138</v>
      </c>
      <c r="B2103" t="s">
        <v>562</v>
      </c>
      <c r="C2103">
        <v>12</v>
      </c>
      <c r="D2103" t="s">
        <v>107</v>
      </c>
      <c r="E2103" s="1">
        <v>1</v>
      </c>
      <c r="F2103" s="1">
        <v>43</v>
      </c>
      <c r="G2103" s="1">
        <v>40</v>
      </c>
      <c r="H2103" s="1">
        <v>43</v>
      </c>
    </row>
    <row r="2104" spans="1:8">
      <c r="A2104">
        <v>138</v>
      </c>
      <c r="B2104" t="s">
        <v>562</v>
      </c>
      <c r="C2104">
        <v>12</v>
      </c>
      <c r="D2104" t="s">
        <v>107</v>
      </c>
      <c r="E2104" s="1">
        <v>1</v>
      </c>
      <c r="F2104" s="1" t="s">
        <v>196</v>
      </c>
      <c r="G2104" s="1">
        <v>42</v>
      </c>
      <c r="H2104" s="1" t="s">
        <v>196</v>
      </c>
    </row>
    <row r="2105" spans="1:8">
      <c r="A2105">
        <v>138</v>
      </c>
      <c r="B2105" t="s">
        <v>562</v>
      </c>
      <c r="C2105">
        <v>12</v>
      </c>
      <c r="D2105" t="s">
        <v>107</v>
      </c>
      <c r="E2105" s="1">
        <v>1</v>
      </c>
      <c r="F2105" s="1">
        <v>44</v>
      </c>
      <c r="G2105" s="1">
        <v>50</v>
      </c>
      <c r="H2105" s="1">
        <v>44</v>
      </c>
    </row>
    <row r="2106" spans="1:8">
      <c r="A2106">
        <v>138</v>
      </c>
      <c r="B2106" t="s">
        <v>562</v>
      </c>
      <c r="C2106">
        <v>12</v>
      </c>
      <c r="D2106" t="s">
        <v>107</v>
      </c>
      <c r="E2106" s="1">
        <v>1</v>
      </c>
      <c r="F2106" s="1" t="s">
        <v>197</v>
      </c>
      <c r="G2106" s="1">
        <v>52</v>
      </c>
      <c r="H2106" s="1" t="s">
        <v>197</v>
      </c>
    </row>
    <row r="2107" spans="1:8">
      <c r="A2107">
        <v>138</v>
      </c>
      <c r="B2107" t="s">
        <v>562</v>
      </c>
      <c r="C2107">
        <v>12</v>
      </c>
      <c r="D2107" t="s">
        <v>107</v>
      </c>
      <c r="E2107" s="1">
        <v>1</v>
      </c>
      <c r="F2107" s="1">
        <v>45</v>
      </c>
      <c r="G2107" s="1">
        <v>60</v>
      </c>
      <c r="H2107" s="1">
        <v>45</v>
      </c>
    </row>
    <row r="2108" spans="1:8">
      <c r="A2108">
        <v>138</v>
      </c>
      <c r="B2108" t="s">
        <v>562</v>
      </c>
      <c r="C2108">
        <v>12</v>
      </c>
      <c r="D2108" t="s">
        <v>107</v>
      </c>
      <c r="E2108" s="1">
        <v>1</v>
      </c>
      <c r="F2108" s="1" t="s">
        <v>198</v>
      </c>
      <c r="G2108" s="1">
        <v>62</v>
      </c>
      <c r="H2108" s="1" t="s">
        <v>198</v>
      </c>
    </row>
    <row r="2109" spans="1:8">
      <c r="A2109">
        <v>138</v>
      </c>
      <c r="B2109" t="s">
        <v>562</v>
      </c>
      <c r="C2109">
        <v>12</v>
      </c>
      <c r="D2109" t="s">
        <v>107</v>
      </c>
      <c r="E2109" s="1">
        <v>1</v>
      </c>
      <c r="F2109" s="1" t="s">
        <v>199</v>
      </c>
      <c r="G2109" s="1">
        <v>72</v>
      </c>
      <c r="H2109" s="1" t="s">
        <v>199</v>
      </c>
    </row>
    <row r="2110" spans="1:8">
      <c r="A2110">
        <v>138</v>
      </c>
      <c r="B2110" t="s">
        <v>562</v>
      </c>
      <c r="C2110">
        <v>13</v>
      </c>
      <c r="D2110" t="s">
        <v>200</v>
      </c>
      <c r="E2110" s="1">
        <v>1</v>
      </c>
      <c r="F2110" s="1" t="s">
        <v>192</v>
      </c>
      <c r="G2110" s="1">
        <v>2</v>
      </c>
      <c r="H2110" s="1" t="s">
        <v>192</v>
      </c>
    </row>
    <row r="2111" spans="1:8">
      <c r="A2111">
        <v>138</v>
      </c>
      <c r="B2111" t="s">
        <v>562</v>
      </c>
      <c r="C2111">
        <v>13</v>
      </c>
      <c r="D2111" t="s">
        <v>200</v>
      </c>
      <c r="E2111" s="1">
        <v>1</v>
      </c>
      <c r="F2111" s="1">
        <v>40</v>
      </c>
      <c r="G2111" s="1">
        <v>10</v>
      </c>
      <c r="H2111" s="1">
        <v>40</v>
      </c>
    </row>
    <row r="2112" spans="1:8">
      <c r="A2112">
        <v>138</v>
      </c>
      <c r="B2112" t="s">
        <v>562</v>
      </c>
      <c r="C2112">
        <v>13</v>
      </c>
      <c r="D2112" t="s">
        <v>200</v>
      </c>
      <c r="E2112" s="1">
        <v>1</v>
      </c>
      <c r="F2112" s="1" t="s">
        <v>193</v>
      </c>
      <c r="G2112" s="1">
        <v>12</v>
      </c>
      <c r="H2112" s="1" t="s">
        <v>193</v>
      </c>
    </row>
    <row r="2113" spans="1:8">
      <c r="A2113">
        <v>138</v>
      </c>
      <c r="B2113" t="s">
        <v>562</v>
      </c>
      <c r="C2113">
        <v>13</v>
      </c>
      <c r="D2113" t="s">
        <v>200</v>
      </c>
      <c r="E2113" s="1">
        <v>1</v>
      </c>
      <c r="F2113" s="1">
        <v>41</v>
      </c>
      <c r="G2113" s="1">
        <v>20</v>
      </c>
      <c r="H2113" s="1">
        <v>41</v>
      </c>
    </row>
    <row r="2114" spans="1:8">
      <c r="A2114">
        <v>138</v>
      </c>
      <c r="B2114" t="s">
        <v>562</v>
      </c>
      <c r="C2114">
        <v>13</v>
      </c>
      <c r="D2114" t="s">
        <v>200</v>
      </c>
      <c r="E2114" s="1">
        <v>1</v>
      </c>
      <c r="F2114" s="1" t="s">
        <v>194</v>
      </c>
      <c r="G2114" s="1">
        <v>22</v>
      </c>
      <c r="H2114" s="1" t="s">
        <v>194</v>
      </c>
    </row>
    <row r="2115" spans="1:8">
      <c r="A2115">
        <v>138</v>
      </c>
      <c r="B2115" t="s">
        <v>562</v>
      </c>
      <c r="C2115">
        <v>13</v>
      </c>
      <c r="D2115" t="s">
        <v>200</v>
      </c>
      <c r="E2115" s="1">
        <v>1</v>
      </c>
      <c r="F2115" s="1">
        <v>42</v>
      </c>
      <c r="G2115" s="1">
        <v>30</v>
      </c>
      <c r="H2115" s="1">
        <v>42</v>
      </c>
    </row>
    <row r="2116" spans="1:8">
      <c r="A2116">
        <v>138</v>
      </c>
      <c r="B2116" t="s">
        <v>562</v>
      </c>
      <c r="C2116">
        <v>13</v>
      </c>
      <c r="D2116" t="s">
        <v>200</v>
      </c>
      <c r="E2116" s="1">
        <v>1</v>
      </c>
      <c r="F2116" s="1" t="s">
        <v>195</v>
      </c>
      <c r="G2116" s="1">
        <v>32</v>
      </c>
      <c r="H2116" s="1" t="s">
        <v>195</v>
      </c>
    </row>
    <row r="2117" spans="1:8">
      <c r="A2117">
        <v>138</v>
      </c>
      <c r="B2117" t="s">
        <v>562</v>
      </c>
      <c r="C2117">
        <v>13</v>
      </c>
      <c r="D2117" t="s">
        <v>200</v>
      </c>
      <c r="E2117" s="1">
        <v>1</v>
      </c>
      <c r="F2117" s="1">
        <v>43</v>
      </c>
      <c r="G2117" s="1">
        <v>40</v>
      </c>
      <c r="H2117" s="1">
        <v>43</v>
      </c>
    </row>
    <row r="2118" spans="1:8">
      <c r="A2118">
        <v>138</v>
      </c>
      <c r="B2118" t="s">
        <v>562</v>
      </c>
      <c r="C2118">
        <v>13</v>
      </c>
      <c r="D2118" t="s">
        <v>200</v>
      </c>
      <c r="E2118" s="1">
        <v>1</v>
      </c>
      <c r="F2118" s="1" t="s">
        <v>196</v>
      </c>
      <c r="G2118" s="1">
        <v>42</v>
      </c>
      <c r="H2118" s="1" t="s">
        <v>196</v>
      </c>
    </row>
    <row r="2119" spans="1:8">
      <c r="A2119">
        <v>138</v>
      </c>
      <c r="B2119" t="s">
        <v>562</v>
      </c>
      <c r="C2119">
        <v>13</v>
      </c>
      <c r="D2119" t="s">
        <v>200</v>
      </c>
      <c r="E2119" s="1">
        <v>1</v>
      </c>
      <c r="F2119" s="1">
        <v>44</v>
      </c>
      <c r="G2119" s="1">
        <v>50</v>
      </c>
      <c r="H2119" s="1">
        <v>44</v>
      </c>
    </row>
    <row r="2120" spans="1:8">
      <c r="A2120">
        <v>138</v>
      </c>
      <c r="B2120" t="s">
        <v>562</v>
      </c>
      <c r="C2120">
        <v>13</v>
      </c>
      <c r="D2120" t="s">
        <v>200</v>
      </c>
      <c r="E2120" s="1">
        <v>1</v>
      </c>
      <c r="F2120" s="1" t="s">
        <v>197</v>
      </c>
      <c r="G2120" s="1">
        <v>52</v>
      </c>
      <c r="H2120" s="1" t="s">
        <v>197</v>
      </c>
    </row>
    <row r="2121" spans="1:8">
      <c r="A2121">
        <v>138</v>
      </c>
      <c r="B2121" t="s">
        <v>562</v>
      </c>
      <c r="C2121">
        <v>13</v>
      </c>
      <c r="D2121" t="s">
        <v>200</v>
      </c>
      <c r="E2121" s="1">
        <v>1</v>
      </c>
      <c r="F2121" s="1">
        <v>45</v>
      </c>
      <c r="G2121" s="1">
        <v>60</v>
      </c>
      <c r="H2121" s="1">
        <v>45</v>
      </c>
    </row>
    <row r="2122" spans="1:8">
      <c r="A2122">
        <v>138</v>
      </c>
      <c r="B2122" t="s">
        <v>562</v>
      </c>
      <c r="C2122">
        <v>13</v>
      </c>
      <c r="D2122" t="s">
        <v>200</v>
      </c>
      <c r="E2122" s="1">
        <v>1</v>
      </c>
      <c r="F2122" s="1" t="s">
        <v>199</v>
      </c>
      <c r="G2122" s="1">
        <v>72</v>
      </c>
      <c r="H2122" s="1" t="s">
        <v>199</v>
      </c>
    </row>
    <row r="2123" spans="1:8">
      <c r="A2123">
        <v>138</v>
      </c>
      <c r="B2123" t="s">
        <v>562</v>
      </c>
      <c r="C2123">
        <v>13</v>
      </c>
      <c r="D2123" t="s">
        <v>200</v>
      </c>
      <c r="E2123" s="1">
        <v>1</v>
      </c>
      <c r="F2123" s="1">
        <v>39</v>
      </c>
      <c r="H2123" s="1">
        <v>39</v>
      </c>
    </row>
    <row r="2124" spans="1:8">
      <c r="A2124">
        <v>138</v>
      </c>
      <c r="B2124" t="s">
        <v>562</v>
      </c>
      <c r="C2124">
        <v>13</v>
      </c>
      <c r="D2124" t="s">
        <v>200</v>
      </c>
      <c r="G2124" s="1">
        <v>96</v>
      </c>
    </row>
    <row r="2125" spans="1:8">
      <c r="A2125">
        <v>138</v>
      </c>
      <c r="B2125" t="s">
        <v>562</v>
      </c>
      <c r="C2125">
        <v>21</v>
      </c>
      <c r="D2125" t="s">
        <v>205</v>
      </c>
      <c r="E2125" s="1">
        <v>1</v>
      </c>
      <c r="F2125" s="1" t="s">
        <v>332</v>
      </c>
      <c r="G2125" s="1">
        <v>40</v>
      </c>
      <c r="H2125" s="1" t="s">
        <v>332</v>
      </c>
    </row>
    <row r="2126" spans="1:8">
      <c r="A2126">
        <v>138</v>
      </c>
      <c r="B2126" t="s">
        <v>562</v>
      </c>
      <c r="C2126">
        <v>21</v>
      </c>
      <c r="D2126" t="s">
        <v>205</v>
      </c>
      <c r="E2126" s="1">
        <v>1</v>
      </c>
      <c r="F2126" s="1" t="s">
        <v>287</v>
      </c>
      <c r="G2126" s="1">
        <v>52</v>
      </c>
      <c r="H2126" s="1" t="s">
        <v>287</v>
      </c>
    </row>
    <row r="2127" spans="1:8">
      <c r="A2127">
        <v>138</v>
      </c>
      <c r="B2127" t="s">
        <v>562</v>
      </c>
      <c r="C2127">
        <v>23</v>
      </c>
      <c r="D2127" t="s">
        <v>207</v>
      </c>
      <c r="G2127" s="1">
        <v>30</v>
      </c>
    </row>
    <row r="2128" spans="1:8">
      <c r="A2128">
        <v>138</v>
      </c>
      <c r="B2128" t="s">
        <v>562</v>
      </c>
      <c r="C2128">
        <v>41</v>
      </c>
      <c r="D2128" t="s">
        <v>219</v>
      </c>
      <c r="G2128" s="1">
        <v>20</v>
      </c>
    </row>
    <row r="2129" spans="1:8">
      <c r="A2129">
        <v>138</v>
      </c>
      <c r="B2129" t="s">
        <v>562</v>
      </c>
      <c r="C2129">
        <v>57</v>
      </c>
      <c r="D2129" t="s">
        <v>183</v>
      </c>
      <c r="E2129" s="1">
        <v>3</v>
      </c>
      <c r="F2129" s="1" t="s">
        <v>492</v>
      </c>
      <c r="G2129" s="1">
        <v>50</v>
      </c>
      <c r="H2129" s="1" t="s">
        <v>492</v>
      </c>
    </row>
    <row r="2130" spans="1:8">
      <c r="A2130">
        <v>138</v>
      </c>
      <c r="B2130" t="s">
        <v>562</v>
      </c>
      <c r="C2130">
        <v>57</v>
      </c>
      <c r="D2130" t="s">
        <v>183</v>
      </c>
      <c r="E2130" s="1">
        <v>3</v>
      </c>
      <c r="F2130" s="1" t="s">
        <v>338</v>
      </c>
      <c r="G2130" s="1">
        <v>60</v>
      </c>
      <c r="H2130" s="1" t="s">
        <v>338</v>
      </c>
    </row>
    <row r="2131" spans="1:8">
      <c r="A2131">
        <v>138</v>
      </c>
      <c r="B2131" t="s">
        <v>562</v>
      </c>
      <c r="C2131">
        <v>57</v>
      </c>
      <c r="D2131" t="s">
        <v>183</v>
      </c>
      <c r="G2131" s="1">
        <v>50</v>
      </c>
    </row>
    <row r="2132" spans="1:8">
      <c r="A2132">
        <v>138</v>
      </c>
      <c r="B2132" t="s">
        <v>562</v>
      </c>
      <c r="C2132">
        <v>62</v>
      </c>
      <c r="D2132" t="s">
        <v>514</v>
      </c>
      <c r="E2132" s="1">
        <v>1</v>
      </c>
      <c r="F2132" s="1">
        <v>11</v>
      </c>
      <c r="G2132" s="1">
        <v>50</v>
      </c>
      <c r="H2132" s="1">
        <v>11</v>
      </c>
    </row>
    <row r="2133" spans="1:8">
      <c r="A2133">
        <v>138</v>
      </c>
      <c r="B2133" t="s">
        <v>562</v>
      </c>
      <c r="C2133">
        <v>62</v>
      </c>
      <c r="D2133" t="s">
        <v>514</v>
      </c>
      <c r="E2133" s="1">
        <v>1</v>
      </c>
      <c r="F2133" s="1" t="s">
        <v>389</v>
      </c>
      <c r="G2133" s="1">
        <v>52</v>
      </c>
      <c r="H2133" s="1" t="s">
        <v>389</v>
      </c>
    </row>
    <row r="2134" spans="1:8">
      <c r="A2134">
        <v>138</v>
      </c>
      <c r="B2134" t="s">
        <v>562</v>
      </c>
      <c r="C2134">
        <v>62</v>
      </c>
      <c r="D2134" t="s">
        <v>514</v>
      </c>
      <c r="E2134" s="1">
        <v>1</v>
      </c>
      <c r="F2134" s="1">
        <v>12</v>
      </c>
      <c r="G2134" s="1">
        <v>60</v>
      </c>
      <c r="H2134" s="1">
        <v>12</v>
      </c>
    </row>
    <row r="2135" spans="1:8">
      <c r="A2135">
        <v>138</v>
      </c>
      <c r="B2135" t="s">
        <v>562</v>
      </c>
      <c r="C2135">
        <v>62</v>
      </c>
      <c r="D2135" t="s">
        <v>514</v>
      </c>
      <c r="E2135" s="1">
        <v>1</v>
      </c>
      <c r="F2135" s="1" t="s">
        <v>141</v>
      </c>
      <c r="G2135" s="1">
        <v>62</v>
      </c>
      <c r="H2135" s="1" t="s">
        <v>141</v>
      </c>
    </row>
    <row r="2136" spans="1:8">
      <c r="A2136">
        <v>138</v>
      </c>
      <c r="B2136" t="s">
        <v>562</v>
      </c>
      <c r="C2136">
        <v>62</v>
      </c>
      <c r="D2136" t="s">
        <v>514</v>
      </c>
      <c r="E2136" s="1">
        <v>1</v>
      </c>
      <c r="F2136" s="1">
        <v>13</v>
      </c>
      <c r="G2136" s="1">
        <v>70</v>
      </c>
      <c r="H2136" s="1">
        <v>13</v>
      </c>
    </row>
    <row r="2137" spans="1:8">
      <c r="A2137">
        <v>138</v>
      </c>
      <c r="B2137" t="s">
        <v>562</v>
      </c>
      <c r="C2137">
        <v>62</v>
      </c>
      <c r="D2137" t="s">
        <v>514</v>
      </c>
      <c r="E2137" s="1">
        <v>1</v>
      </c>
      <c r="F2137" s="1" t="s">
        <v>144</v>
      </c>
      <c r="G2137" s="1">
        <v>72</v>
      </c>
      <c r="H2137" s="1" t="s">
        <v>144</v>
      </c>
    </row>
    <row r="2138" spans="1:8">
      <c r="A2138">
        <v>138</v>
      </c>
      <c r="B2138" t="s">
        <v>562</v>
      </c>
      <c r="C2138">
        <v>62</v>
      </c>
      <c r="D2138" t="s">
        <v>514</v>
      </c>
      <c r="E2138" s="1">
        <v>1</v>
      </c>
      <c r="F2138" s="1" t="s">
        <v>150</v>
      </c>
      <c r="G2138" s="1">
        <v>92</v>
      </c>
      <c r="H2138" s="1" t="s">
        <v>150</v>
      </c>
    </row>
    <row r="2139" spans="1:8">
      <c r="A2139">
        <v>139</v>
      </c>
      <c r="B2139" t="s">
        <v>563</v>
      </c>
      <c r="C2139">
        <v>1</v>
      </c>
      <c r="D2139" t="s">
        <v>137</v>
      </c>
      <c r="E2139" s="1">
        <v>1</v>
      </c>
      <c r="F2139" s="1" t="s">
        <v>150</v>
      </c>
      <c r="G2139" s="1">
        <v>82</v>
      </c>
      <c r="H2139" s="1" t="s">
        <v>150</v>
      </c>
    </row>
    <row r="2140" spans="1:8">
      <c r="A2140">
        <v>139</v>
      </c>
      <c r="B2140" t="s">
        <v>563</v>
      </c>
      <c r="C2140">
        <v>1</v>
      </c>
      <c r="D2140" t="s">
        <v>137</v>
      </c>
      <c r="E2140" s="1">
        <v>1</v>
      </c>
      <c r="F2140" s="1">
        <v>16</v>
      </c>
      <c r="G2140" s="1">
        <v>90</v>
      </c>
      <c r="H2140" s="1">
        <v>16</v>
      </c>
    </row>
    <row r="2141" spans="1:8">
      <c r="A2141">
        <v>139</v>
      </c>
      <c r="B2141" t="s">
        <v>563</v>
      </c>
      <c r="C2141">
        <v>1</v>
      </c>
      <c r="D2141" t="s">
        <v>137</v>
      </c>
      <c r="E2141" s="1">
        <v>1</v>
      </c>
      <c r="F2141" s="1">
        <v>17</v>
      </c>
      <c r="G2141" s="1">
        <v>94</v>
      </c>
      <c r="H2141" s="1">
        <v>17</v>
      </c>
    </row>
    <row r="2142" spans="1:8">
      <c r="A2142">
        <v>139</v>
      </c>
      <c r="B2142" t="s">
        <v>563</v>
      </c>
      <c r="C2142">
        <v>1</v>
      </c>
      <c r="D2142" t="s">
        <v>137</v>
      </c>
      <c r="E2142" s="1">
        <v>1</v>
      </c>
      <c r="F2142" s="1" t="s">
        <v>156</v>
      </c>
      <c r="G2142" s="1">
        <v>96</v>
      </c>
      <c r="H2142" s="1" t="s">
        <v>156</v>
      </c>
    </row>
    <row r="2143" spans="1:8">
      <c r="A2143">
        <v>139</v>
      </c>
      <c r="B2143" t="s">
        <v>563</v>
      </c>
      <c r="C2143">
        <v>1</v>
      </c>
      <c r="D2143" t="s">
        <v>137</v>
      </c>
      <c r="E2143" s="1">
        <v>2</v>
      </c>
      <c r="F2143" s="1" t="s">
        <v>159</v>
      </c>
      <c r="G2143" s="1">
        <v>2</v>
      </c>
      <c r="H2143" s="1" t="s">
        <v>159</v>
      </c>
    </row>
    <row r="2144" spans="1:8">
      <c r="A2144">
        <v>139</v>
      </c>
      <c r="B2144" t="s">
        <v>563</v>
      </c>
      <c r="C2144">
        <v>1</v>
      </c>
      <c r="D2144" t="s">
        <v>137</v>
      </c>
      <c r="E2144" s="1">
        <v>2</v>
      </c>
      <c r="F2144" s="1">
        <v>19</v>
      </c>
      <c r="G2144" s="1">
        <v>10</v>
      </c>
      <c r="H2144" s="1">
        <v>19</v>
      </c>
    </row>
    <row r="2145" spans="1:8">
      <c r="A2145">
        <v>139</v>
      </c>
      <c r="B2145" t="s">
        <v>563</v>
      </c>
      <c r="C2145">
        <v>1</v>
      </c>
      <c r="D2145" t="s">
        <v>137</v>
      </c>
      <c r="E2145" s="1">
        <v>2</v>
      </c>
      <c r="F2145" s="1" t="s">
        <v>162</v>
      </c>
      <c r="G2145" s="1">
        <v>12</v>
      </c>
      <c r="H2145" s="1" t="s">
        <v>162</v>
      </c>
    </row>
    <row r="2146" spans="1:8">
      <c r="A2146">
        <v>139</v>
      </c>
      <c r="B2146" t="s">
        <v>563</v>
      </c>
      <c r="C2146">
        <v>1</v>
      </c>
      <c r="D2146" t="s">
        <v>137</v>
      </c>
      <c r="E2146" s="1">
        <v>2</v>
      </c>
      <c r="F2146" s="1">
        <v>20</v>
      </c>
      <c r="G2146" s="1">
        <v>20</v>
      </c>
      <c r="H2146" s="1">
        <v>20</v>
      </c>
    </row>
    <row r="2147" spans="1:8">
      <c r="A2147">
        <v>139</v>
      </c>
      <c r="B2147" t="s">
        <v>563</v>
      </c>
      <c r="C2147">
        <v>1</v>
      </c>
      <c r="D2147" t="s">
        <v>137</v>
      </c>
      <c r="E2147" s="1">
        <v>2</v>
      </c>
      <c r="F2147" s="1" t="s">
        <v>165</v>
      </c>
      <c r="G2147" s="1">
        <v>22</v>
      </c>
      <c r="H2147" s="1" t="s">
        <v>165</v>
      </c>
    </row>
    <row r="2148" spans="1:8">
      <c r="A2148">
        <v>139</v>
      </c>
      <c r="B2148" t="s">
        <v>563</v>
      </c>
      <c r="C2148">
        <v>1</v>
      </c>
      <c r="D2148" t="s">
        <v>137</v>
      </c>
      <c r="E2148" s="1">
        <v>2</v>
      </c>
      <c r="F2148" s="1">
        <v>21</v>
      </c>
      <c r="G2148" s="1">
        <v>30</v>
      </c>
      <c r="H2148" s="1">
        <v>21</v>
      </c>
    </row>
    <row r="2149" spans="1:8">
      <c r="A2149">
        <v>139</v>
      </c>
      <c r="B2149" t="s">
        <v>563</v>
      </c>
      <c r="C2149">
        <v>1</v>
      </c>
      <c r="D2149" t="s">
        <v>137</v>
      </c>
      <c r="E2149" s="1">
        <v>2</v>
      </c>
      <c r="F2149" s="1" t="s">
        <v>168</v>
      </c>
      <c r="G2149" s="1">
        <v>32</v>
      </c>
      <c r="H2149" s="1" t="s">
        <v>168</v>
      </c>
    </row>
    <row r="2150" spans="1:8">
      <c r="A2150">
        <v>139</v>
      </c>
      <c r="B2150" t="s">
        <v>563</v>
      </c>
      <c r="C2150">
        <v>1</v>
      </c>
      <c r="D2150" t="s">
        <v>137</v>
      </c>
      <c r="E2150" s="1">
        <v>2</v>
      </c>
      <c r="F2150" s="1">
        <v>22</v>
      </c>
      <c r="G2150" s="1">
        <v>40</v>
      </c>
      <c r="H2150" s="1">
        <v>22</v>
      </c>
    </row>
    <row r="2151" spans="1:8">
      <c r="A2151">
        <v>139</v>
      </c>
      <c r="B2151" t="s">
        <v>563</v>
      </c>
      <c r="C2151">
        <v>1</v>
      </c>
      <c r="D2151" t="s">
        <v>137</v>
      </c>
      <c r="E2151" s="1">
        <v>2</v>
      </c>
      <c r="F2151" s="1" t="s">
        <v>171</v>
      </c>
      <c r="G2151" s="1">
        <v>42</v>
      </c>
      <c r="H2151" s="1" t="s">
        <v>171</v>
      </c>
    </row>
    <row r="2152" spans="1:8">
      <c r="A2152">
        <v>139</v>
      </c>
      <c r="B2152" t="s">
        <v>563</v>
      </c>
      <c r="C2152">
        <v>1</v>
      </c>
      <c r="D2152" t="s">
        <v>137</v>
      </c>
      <c r="E2152" s="1">
        <v>2</v>
      </c>
      <c r="F2152" s="1">
        <v>23</v>
      </c>
      <c r="G2152" s="1">
        <v>50</v>
      </c>
      <c r="H2152" s="1">
        <v>23</v>
      </c>
    </row>
    <row r="2153" spans="1:8">
      <c r="A2153">
        <v>139</v>
      </c>
      <c r="B2153" t="s">
        <v>563</v>
      </c>
      <c r="C2153">
        <v>1</v>
      </c>
      <c r="D2153" t="s">
        <v>137</v>
      </c>
      <c r="E2153" s="1">
        <v>2</v>
      </c>
      <c r="F2153" s="1" t="s">
        <v>174</v>
      </c>
      <c r="G2153" s="1">
        <v>52</v>
      </c>
      <c r="H2153" s="1" t="s">
        <v>174</v>
      </c>
    </row>
    <row r="2154" spans="1:8">
      <c r="A2154">
        <v>139</v>
      </c>
      <c r="B2154" t="s">
        <v>563</v>
      </c>
      <c r="C2154">
        <v>1</v>
      </c>
      <c r="D2154" t="s">
        <v>137</v>
      </c>
      <c r="E2154" s="1">
        <v>2</v>
      </c>
      <c r="F2154" s="1">
        <v>24</v>
      </c>
      <c r="G2154" s="1">
        <v>60</v>
      </c>
      <c r="H2154" s="1">
        <v>24</v>
      </c>
    </row>
    <row r="2155" spans="1:8">
      <c r="A2155">
        <v>139</v>
      </c>
      <c r="B2155" t="s">
        <v>563</v>
      </c>
      <c r="C2155">
        <v>1</v>
      </c>
      <c r="D2155" t="s">
        <v>137</v>
      </c>
      <c r="E2155" s="1">
        <v>2</v>
      </c>
      <c r="F2155" s="1" t="s">
        <v>177</v>
      </c>
      <c r="G2155" s="1">
        <v>62</v>
      </c>
      <c r="H2155" s="1" t="s">
        <v>177</v>
      </c>
    </row>
    <row r="2156" spans="1:8">
      <c r="A2156">
        <v>139</v>
      </c>
      <c r="B2156" t="s">
        <v>563</v>
      </c>
      <c r="C2156">
        <v>1</v>
      </c>
      <c r="D2156" t="s">
        <v>137</v>
      </c>
      <c r="E2156" s="1">
        <v>2</v>
      </c>
      <c r="F2156" s="1" t="s">
        <v>180</v>
      </c>
      <c r="G2156" s="1">
        <v>72</v>
      </c>
      <c r="H2156" s="1" t="s">
        <v>180</v>
      </c>
    </row>
    <row r="2157" spans="1:8">
      <c r="A2157">
        <v>139</v>
      </c>
      <c r="B2157" t="s">
        <v>563</v>
      </c>
      <c r="C2157">
        <v>1</v>
      </c>
      <c r="D2157" t="s">
        <v>137</v>
      </c>
      <c r="E2157" s="1">
        <v>2</v>
      </c>
      <c r="F2157" s="1">
        <v>18</v>
      </c>
      <c r="H2157" s="1">
        <v>18</v>
      </c>
    </row>
    <row r="2158" spans="1:8">
      <c r="A2158">
        <v>139</v>
      </c>
      <c r="B2158" t="s">
        <v>563</v>
      </c>
      <c r="C2158">
        <v>5</v>
      </c>
      <c r="D2158" t="s">
        <v>183</v>
      </c>
      <c r="G2158" s="1">
        <v>60</v>
      </c>
    </row>
    <row r="2159" spans="1:8">
      <c r="A2159">
        <v>139</v>
      </c>
      <c r="B2159" t="s">
        <v>563</v>
      </c>
      <c r="C2159">
        <v>6</v>
      </c>
      <c r="D2159" t="s">
        <v>184</v>
      </c>
      <c r="E2159" s="1">
        <v>1</v>
      </c>
      <c r="F2159" s="1" t="s">
        <v>290</v>
      </c>
      <c r="G2159" s="1">
        <v>10</v>
      </c>
      <c r="H2159" s="1" t="s">
        <v>290</v>
      </c>
    </row>
    <row r="2160" spans="1:8">
      <c r="A2160">
        <v>139</v>
      </c>
      <c r="B2160" t="s">
        <v>563</v>
      </c>
      <c r="C2160">
        <v>6</v>
      </c>
      <c r="D2160" t="s">
        <v>184</v>
      </c>
      <c r="G2160" s="1">
        <v>63</v>
      </c>
    </row>
    <row r="2161" spans="1:8">
      <c r="A2161">
        <v>139</v>
      </c>
      <c r="B2161" t="s">
        <v>563</v>
      </c>
      <c r="C2161">
        <v>11</v>
      </c>
      <c r="D2161" t="s">
        <v>186</v>
      </c>
      <c r="E2161" s="1">
        <v>1</v>
      </c>
      <c r="F2161" s="1" t="s">
        <v>192</v>
      </c>
      <c r="G2161" s="1">
        <v>2</v>
      </c>
      <c r="H2161" s="1" t="s">
        <v>192</v>
      </c>
    </row>
    <row r="2162" spans="1:8">
      <c r="A2162">
        <v>139</v>
      </c>
      <c r="B2162" t="s">
        <v>563</v>
      </c>
      <c r="C2162">
        <v>11</v>
      </c>
      <c r="D2162" t="s">
        <v>186</v>
      </c>
      <c r="E2162" s="1">
        <v>1</v>
      </c>
      <c r="F2162" s="1">
        <v>40</v>
      </c>
      <c r="G2162" s="1">
        <v>10</v>
      </c>
      <c r="H2162" s="1">
        <v>40</v>
      </c>
    </row>
    <row r="2163" spans="1:8">
      <c r="A2163">
        <v>139</v>
      </c>
      <c r="B2163" t="s">
        <v>563</v>
      </c>
      <c r="C2163">
        <v>11</v>
      </c>
      <c r="D2163" t="s">
        <v>186</v>
      </c>
      <c r="E2163" s="1">
        <v>1</v>
      </c>
      <c r="F2163" s="1" t="s">
        <v>193</v>
      </c>
      <c r="G2163" s="1">
        <v>12</v>
      </c>
      <c r="H2163" s="1" t="s">
        <v>193</v>
      </c>
    </row>
    <row r="2164" spans="1:8">
      <c r="A2164">
        <v>139</v>
      </c>
      <c r="B2164" t="s">
        <v>563</v>
      </c>
      <c r="C2164">
        <v>11</v>
      </c>
      <c r="D2164" t="s">
        <v>186</v>
      </c>
      <c r="E2164" s="1">
        <v>1</v>
      </c>
      <c r="F2164" s="1">
        <v>41</v>
      </c>
      <c r="G2164" s="1">
        <v>20</v>
      </c>
      <c r="H2164" s="1">
        <v>41</v>
      </c>
    </row>
    <row r="2165" spans="1:8">
      <c r="A2165">
        <v>139</v>
      </c>
      <c r="B2165" t="s">
        <v>563</v>
      </c>
      <c r="C2165">
        <v>11</v>
      </c>
      <c r="D2165" t="s">
        <v>186</v>
      </c>
      <c r="E2165" s="1">
        <v>1</v>
      </c>
      <c r="F2165" s="1" t="s">
        <v>194</v>
      </c>
      <c r="G2165" s="1">
        <v>22</v>
      </c>
      <c r="H2165" s="1" t="s">
        <v>194</v>
      </c>
    </row>
    <row r="2166" spans="1:8">
      <c r="A2166">
        <v>139</v>
      </c>
      <c r="B2166" t="s">
        <v>563</v>
      </c>
      <c r="C2166">
        <v>11</v>
      </c>
      <c r="D2166" t="s">
        <v>186</v>
      </c>
      <c r="E2166" s="1">
        <v>1</v>
      </c>
      <c r="F2166" s="1">
        <v>42</v>
      </c>
      <c r="G2166" s="1">
        <v>30</v>
      </c>
      <c r="H2166" s="1">
        <v>42</v>
      </c>
    </row>
    <row r="2167" spans="1:8">
      <c r="A2167">
        <v>139</v>
      </c>
      <c r="B2167" t="s">
        <v>563</v>
      </c>
      <c r="C2167">
        <v>11</v>
      </c>
      <c r="D2167" t="s">
        <v>186</v>
      </c>
      <c r="E2167" s="1">
        <v>1</v>
      </c>
      <c r="F2167" s="1" t="s">
        <v>195</v>
      </c>
      <c r="G2167" s="1">
        <v>32</v>
      </c>
      <c r="H2167" s="1" t="s">
        <v>195</v>
      </c>
    </row>
    <row r="2168" spans="1:8">
      <c r="A2168">
        <v>139</v>
      </c>
      <c r="B2168" t="s">
        <v>563</v>
      </c>
      <c r="C2168">
        <v>11</v>
      </c>
      <c r="D2168" t="s">
        <v>186</v>
      </c>
      <c r="E2168" s="1">
        <v>1</v>
      </c>
      <c r="F2168" s="1">
        <v>43</v>
      </c>
      <c r="G2168" s="1">
        <v>40</v>
      </c>
      <c r="H2168" s="1">
        <v>43</v>
      </c>
    </row>
    <row r="2169" spans="1:8">
      <c r="A2169">
        <v>139</v>
      </c>
      <c r="B2169" t="s">
        <v>563</v>
      </c>
      <c r="C2169">
        <v>11</v>
      </c>
      <c r="D2169" t="s">
        <v>186</v>
      </c>
      <c r="E2169" s="1">
        <v>1</v>
      </c>
      <c r="F2169" s="1" t="s">
        <v>196</v>
      </c>
      <c r="G2169" s="1">
        <v>42</v>
      </c>
      <c r="H2169" s="1" t="s">
        <v>196</v>
      </c>
    </row>
    <row r="2170" spans="1:8">
      <c r="A2170">
        <v>139</v>
      </c>
      <c r="B2170" t="s">
        <v>563</v>
      </c>
      <c r="C2170">
        <v>11</v>
      </c>
      <c r="D2170" t="s">
        <v>186</v>
      </c>
      <c r="E2170" s="1">
        <v>1</v>
      </c>
      <c r="F2170" s="1">
        <v>44</v>
      </c>
      <c r="G2170" s="1">
        <v>50</v>
      </c>
      <c r="H2170" s="1">
        <v>44</v>
      </c>
    </row>
    <row r="2171" spans="1:8">
      <c r="A2171">
        <v>139</v>
      </c>
      <c r="B2171" t="s">
        <v>563</v>
      </c>
      <c r="C2171">
        <v>11</v>
      </c>
      <c r="D2171" t="s">
        <v>186</v>
      </c>
      <c r="E2171" s="1">
        <v>1</v>
      </c>
      <c r="F2171" s="1" t="s">
        <v>197</v>
      </c>
      <c r="G2171" s="1">
        <v>52</v>
      </c>
      <c r="H2171" s="1" t="s">
        <v>197</v>
      </c>
    </row>
    <row r="2172" spans="1:8">
      <c r="A2172">
        <v>139</v>
      </c>
      <c r="B2172" t="s">
        <v>563</v>
      </c>
      <c r="C2172">
        <v>11</v>
      </c>
      <c r="D2172" t="s">
        <v>186</v>
      </c>
      <c r="E2172" s="1">
        <v>1</v>
      </c>
      <c r="F2172" s="1">
        <v>45</v>
      </c>
      <c r="G2172" s="1">
        <v>60</v>
      </c>
      <c r="H2172" s="1">
        <v>45</v>
      </c>
    </row>
    <row r="2173" spans="1:8">
      <c r="A2173">
        <v>139</v>
      </c>
      <c r="B2173" t="s">
        <v>563</v>
      </c>
      <c r="C2173">
        <v>11</v>
      </c>
      <c r="D2173" t="s">
        <v>186</v>
      </c>
      <c r="E2173" s="1">
        <v>1</v>
      </c>
      <c r="F2173" s="1" t="s">
        <v>198</v>
      </c>
      <c r="G2173" s="1">
        <v>62</v>
      </c>
      <c r="H2173" s="1" t="s">
        <v>198</v>
      </c>
    </row>
    <row r="2174" spans="1:8">
      <c r="A2174">
        <v>139</v>
      </c>
      <c r="B2174" t="s">
        <v>563</v>
      </c>
      <c r="C2174">
        <v>11</v>
      </c>
      <c r="D2174" t="s">
        <v>186</v>
      </c>
      <c r="E2174" s="1">
        <v>1</v>
      </c>
      <c r="F2174" s="1" t="s">
        <v>199</v>
      </c>
      <c r="G2174" s="1">
        <v>72</v>
      </c>
      <c r="H2174" s="1" t="s">
        <v>199</v>
      </c>
    </row>
    <row r="2175" spans="1:8">
      <c r="A2175">
        <v>139</v>
      </c>
      <c r="B2175" t="s">
        <v>563</v>
      </c>
      <c r="C2175">
        <v>11</v>
      </c>
      <c r="D2175" t="s">
        <v>186</v>
      </c>
      <c r="E2175" s="1">
        <v>1</v>
      </c>
      <c r="F2175" s="1">
        <v>39</v>
      </c>
      <c r="H2175" s="1">
        <v>39</v>
      </c>
    </row>
    <row r="2176" spans="1:8">
      <c r="A2176">
        <v>139</v>
      </c>
      <c r="B2176" t="s">
        <v>563</v>
      </c>
      <c r="C2176">
        <v>11</v>
      </c>
      <c r="D2176" t="s">
        <v>186</v>
      </c>
      <c r="G2176" s="1">
        <v>90</v>
      </c>
    </row>
    <row r="2177" spans="1:8">
      <c r="A2177">
        <v>139</v>
      </c>
      <c r="B2177" t="s">
        <v>563</v>
      </c>
      <c r="C2177">
        <v>11</v>
      </c>
      <c r="D2177" t="s">
        <v>186</v>
      </c>
      <c r="G2177" s="1">
        <v>96</v>
      </c>
    </row>
    <row r="2178" spans="1:8">
      <c r="A2178">
        <v>139</v>
      </c>
      <c r="B2178" t="s">
        <v>563</v>
      </c>
      <c r="C2178">
        <v>13</v>
      </c>
      <c r="D2178" t="s">
        <v>200</v>
      </c>
      <c r="E2178" s="1">
        <v>1</v>
      </c>
      <c r="F2178" s="1">
        <v>45</v>
      </c>
      <c r="G2178" s="1">
        <v>60</v>
      </c>
      <c r="H2178" s="1">
        <v>45</v>
      </c>
    </row>
    <row r="2179" spans="1:8">
      <c r="A2179">
        <v>139</v>
      </c>
      <c r="B2179" t="s">
        <v>563</v>
      </c>
      <c r="C2179">
        <v>13</v>
      </c>
      <c r="D2179" t="s">
        <v>200</v>
      </c>
      <c r="E2179" s="1">
        <v>1</v>
      </c>
      <c r="F2179" s="1" t="s">
        <v>199</v>
      </c>
      <c r="G2179" s="1">
        <v>72</v>
      </c>
      <c r="H2179" s="1" t="s">
        <v>199</v>
      </c>
    </row>
    <row r="2180" spans="1:8">
      <c r="A2180">
        <v>139</v>
      </c>
      <c r="B2180" t="s">
        <v>563</v>
      </c>
      <c r="C2180">
        <v>15</v>
      </c>
      <c r="D2180" t="s">
        <v>201</v>
      </c>
      <c r="E2180" s="1">
        <v>1</v>
      </c>
      <c r="F2180" s="1">
        <v>100</v>
      </c>
      <c r="G2180" s="1">
        <v>80</v>
      </c>
      <c r="H2180" s="1">
        <v>100</v>
      </c>
    </row>
    <row r="2181" spans="1:8">
      <c r="A2181">
        <v>139</v>
      </c>
      <c r="B2181" t="s">
        <v>563</v>
      </c>
      <c r="C2181">
        <v>21</v>
      </c>
      <c r="D2181" t="s">
        <v>205</v>
      </c>
      <c r="E2181" s="1">
        <v>1</v>
      </c>
      <c r="F2181" s="1" t="s">
        <v>288</v>
      </c>
      <c r="G2181" s="1">
        <v>62</v>
      </c>
      <c r="H2181" s="1" t="s">
        <v>288</v>
      </c>
    </row>
    <row r="2182" spans="1:8">
      <c r="A2182">
        <v>139</v>
      </c>
      <c r="B2182" t="s">
        <v>563</v>
      </c>
      <c r="C2182">
        <v>24</v>
      </c>
      <c r="D2182" t="s">
        <v>208</v>
      </c>
      <c r="E2182" s="1">
        <v>1</v>
      </c>
      <c r="F2182" s="1" t="s">
        <v>373</v>
      </c>
      <c r="G2182" s="1">
        <v>10</v>
      </c>
      <c r="H2182" s="1" t="s">
        <v>373</v>
      </c>
    </row>
    <row r="2183" spans="1:8">
      <c r="A2183">
        <v>139</v>
      </c>
      <c r="B2183" t="s">
        <v>563</v>
      </c>
      <c r="C2183">
        <v>27</v>
      </c>
      <c r="D2183" t="s">
        <v>210</v>
      </c>
      <c r="E2183" s="1">
        <v>1</v>
      </c>
      <c r="F2183" s="1">
        <v>43</v>
      </c>
      <c r="G2183" s="1">
        <v>40</v>
      </c>
      <c r="H2183" s="1">
        <v>43</v>
      </c>
    </row>
    <row r="2184" spans="1:8">
      <c r="A2184">
        <v>139</v>
      </c>
      <c r="B2184" t="s">
        <v>563</v>
      </c>
      <c r="C2184">
        <v>27</v>
      </c>
      <c r="D2184" t="s">
        <v>210</v>
      </c>
      <c r="E2184" s="1">
        <v>1</v>
      </c>
      <c r="F2184" s="1" t="s">
        <v>198</v>
      </c>
      <c r="G2184" s="1">
        <v>62</v>
      </c>
      <c r="H2184" s="1" t="s">
        <v>198</v>
      </c>
    </row>
    <row r="2185" spans="1:8">
      <c r="A2185">
        <v>139</v>
      </c>
      <c r="B2185" t="s">
        <v>563</v>
      </c>
      <c r="C2185">
        <v>41</v>
      </c>
      <c r="D2185" t="s">
        <v>219</v>
      </c>
      <c r="G2185" s="1">
        <v>90</v>
      </c>
    </row>
    <row r="2186" spans="1:8">
      <c r="A2186">
        <v>139</v>
      </c>
      <c r="B2186" t="s">
        <v>563</v>
      </c>
      <c r="C2186">
        <v>57</v>
      </c>
      <c r="D2186" t="s">
        <v>183</v>
      </c>
      <c r="E2186" s="1">
        <v>3</v>
      </c>
      <c r="F2186" s="1" t="s">
        <v>338</v>
      </c>
      <c r="G2186" s="1">
        <v>60</v>
      </c>
      <c r="H2186" s="1" t="s">
        <v>338</v>
      </c>
    </row>
    <row r="2187" spans="1:8">
      <c r="A2187">
        <v>139</v>
      </c>
      <c r="B2187" t="s">
        <v>563</v>
      </c>
      <c r="C2187">
        <v>57</v>
      </c>
      <c r="D2187" t="s">
        <v>183</v>
      </c>
      <c r="G2187" s="1">
        <v>60</v>
      </c>
    </row>
    <row r="2188" spans="1:8">
      <c r="A2188">
        <v>139</v>
      </c>
      <c r="B2188" t="s">
        <v>563</v>
      </c>
      <c r="C2188">
        <v>59</v>
      </c>
      <c r="D2188" t="s">
        <v>227</v>
      </c>
      <c r="E2188" s="1">
        <v>3</v>
      </c>
      <c r="F2188" s="1" t="s">
        <v>295</v>
      </c>
      <c r="G2188" s="1">
        <v>23</v>
      </c>
      <c r="H2188" s="1" t="s">
        <v>295</v>
      </c>
    </row>
    <row r="2189" spans="1:8">
      <c r="A2189">
        <v>139</v>
      </c>
      <c r="B2189" t="s">
        <v>563</v>
      </c>
      <c r="C2189">
        <v>59</v>
      </c>
      <c r="D2189" t="s">
        <v>227</v>
      </c>
      <c r="G2189" s="1">
        <v>23</v>
      </c>
    </row>
    <row r="2190" spans="1:8">
      <c r="A2190">
        <v>139</v>
      </c>
      <c r="B2190" t="s">
        <v>563</v>
      </c>
      <c r="C2190">
        <v>74</v>
      </c>
      <c r="D2190" t="s">
        <v>235</v>
      </c>
      <c r="E2190" s="1">
        <v>3</v>
      </c>
      <c r="F2190" s="1" t="s">
        <v>320</v>
      </c>
      <c r="G2190" s="1">
        <v>50</v>
      </c>
      <c r="H2190" s="1" t="s">
        <v>320</v>
      </c>
    </row>
    <row r="2191" spans="1:8">
      <c r="A2191">
        <v>139</v>
      </c>
      <c r="B2191" t="s">
        <v>563</v>
      </c>
      <c r="C2191">
        <v>74</v>
      </c>
      <c r="D2191" t="s">
        <v>235</v>
      </c>
      <c r="E2191" s="1">
        <v>3</v>
      </c>
      <c r="F2191" s="1" t="s">
        <v>321</v>
      </c>
      <c r="G2191" s="1">
        <v>60</v>
      </c>
      <c r="H2191" s="1" t="s">
        <v>321</v>
      </c>
    </row>
    <row r="2192" spans="1:8">
      <c r="A2192">
        <v>142</v>
      </c>
      <c r="B2192" t="s">
        <v>564</v>
      </c>
      <c r="C2192">
        <v>1</v>
      </c>
      <c r="D2192" t="s">
        <v>137</v>
      </c>
      <c r="E2192" s="1">
        <v>1</v>
      </c>
      <c r="F2192" s="1">
        <v>13</v>
      </c>
      <c r="G2192" s="1">
        <v>60</v>
      </c>
      <c r="H2192" s="1">
        <v>13</v>
      </c>
    </row>
    <row r="2193" spans="1:8">
      <c r="A2193">
        <v>142</v>
      </c>
      <c r="B2193" t="s">
        <v>564</v>
      </c>
      <c r="C2193">
        <v>1</v>
      </c>
      <c r="D2193" t="s">
        <v>137</v>
      </c>
      <c r="E2193" s="1">
        <v>1</v>
      </c>
      <c r="F2193" s="1">
        <v>15</v>
      </c>
      <c r="G2193" s="1">
        <v>80</v>
      </c>
      <c r="H2193" s="1">
        <v>15</v>
      </c>
    </row>
    <row r="2194" spans="1:8">
      <c r="A2194">
        <v>142</v>
      </c>
      <c r="B2194" t="s">
        <v>564</v>
      </c>
      <c r="C2194">
        <v>1</v>
      </c>
      <c r="D2194" t="s">
        <v>137</v>
      </c>
      <c r="E2194" s="1">
        <v>1</v>
      </c>
      <c r="F2194" s="1" t="s">
        <v>150</v>
      </c>
      <c r="G2194" s="1">
        <v>82</v>
      </c>
      <c r="H2194" s="1" t="s">
        <v>150</v>
      </c>
    </row>
    <row r="2195" spans="1:8">
      <c r="A2195">
        <v>142</v>
      </c>
      <c r="B2195" t="s">
        <v>564</v>
      </c>
      <c r="C2195">
        <v>1</v>
      </c>
      <c r="D2195" t="s">
        <v>137</v>
      </c>
      <c r="E2195" s="1">
        <v>1</v>
      </c>
      <c r="F2195" s="1">
        <v>16</v>
      </c>
      <c r="G2195" s="1">
        <v>90</v>
      </c>
      <c r="H2195" s="1">
        <v>16</v>
      </c>
    </row>
    <row r="2196" spans="1:8">
      <c r="A2196">
        <v>142</v>
      </c>
      <c r="B2196" t="s">
        <v>564</v>
      </c>
      <c r="C2196">
        <v>1</v>
      </c>
      <c r="D2196" t="s">
        <v>137</v>
      </c>
      <c r="E2196" s="1">
        <v>1</v>
      </c>
      <c r="F2196" s="1" t="s">
        <v>153</v>
      </c>
      <c r="G2196" s="1">
        <v>92</v>
      </c>
      <c r="H2196" s="1" t="s">
        <v>153</v>
      </c>
    </row>
    <row r="2197" spans="1:8">
      <c r="A2197">
        <v>142</v>
      </c>
      <c r="B2197" t="s">
        <v>564</v>
      </c>
      <c r="C2197">
        <v>1</v>
      </c>
      <c r="D2197" t="s">
        <v>137</v>
      </c>
      <c r="E2197" s="1">
        <v>1</v>
      </c>
      <c r="F2197" s="1">
        <v>17</v>
      </c>
      <c r="G2197" s="1">
        <v>94</v>
      </c>
      <c r="H2197" s="1">
        <v>17</v>
      </c>
    </row>
    <row r="2198" spans="1:8">
      <c r="A2198">
        <v>142</v>
      </c>
      <c r="B2198" t="s">
        <v>564</v>
      </c>
      <c r="C2198">
        <v>1</v>
      </c>
      <c r="D2198" t="s">
        <v>137</v>
      </c>
      <c r="E2198" s="1">
        <v>1</v>
      </c>
      <c r="F2198" s="1" t="s">
        <v>156</v>
      </c>
      <c r="G2198" s="1">
        <v>96</v>
      </c>
      <c r="H2198" s="1" t="s">
        <v>156</v>
      </c>
    </row>
    <row r="2199" spans="1:8">
      <c r="A2199">
        <v>142</v>
      </c>
      <c r="B2199" t="s">
        <v>564</v>
      </c>
      <c r="C2199">
        <v>1</v>
      </c>
      <c r="D2199" t="s">
        <v>137</v>
      </c>
      <c r="E2199" s="1">
        <v>2</v>
      </c>
      <c r="F2199" s="1" t="s">
        <v>159</v>
      </c>
      <c r="G2199" s="1">
        <v>2</v>
      </c>
      <c r="H2199" s="1" t="s">
        <v>159</v>
      </c>
    </row>
    <row r="2200" spans="1:8">
      <c r="A2200">
        <v>142</v>
      </c>
      <c r="B2200" t="s">
        <v>564</v>
      </c>
      <c r="C2200">
        <v>1</v>
      </c>
      <c r="D2200" t="s">
        <v>137</v>
      </c>
      <c r="E2200" s="1">
        <v>2</v>
      </c>
      <c r="F2200" s="1">
        <v>19</v>
      </c>
      <c r="G2200" s="1">
        <v>10</v>
      </c>
      <c r="H2200" s="1">
        <v>19</v>
      </c>
    </row>
    <row r="2201" spans="1:8">
      <c r="A2201">
        <v>142</v>
      </c>
      <c r="B2201" t="s">
        <v>564</v>
      </c>
      <c r="C2201">
        <v>1</v>
      </c>
      <c r="D2201" t="s">
        <v>137</v>
      </c>
      <c r="E2201" s="1">
        <v>2</v>
      </c>
      <c r="F2201" s="1" t="s">
        <v>162</v>
      </c>
      <c r="G2201" s="1">
        <v>12</v>
      </c>
      <c r="H2201" s="1" t="s">
        <v>162</v>
      </c>
    </row>
    <row r="2202" spans="1:8">
      <c r="A2202">
        <v>142</v>
      </c>
      <c r="B2202" t="s">
        <v>564</v>
      </c>
      <c r="C2202">
        <v>1</v>
      </c>
      <c r="D2202" t="s">
        <v>137</v>
      </c>
      <c r="E2202" s="1">
        <v>2</v>
      </c>
      <c r="F2202" s="1">
        <v>20</v>
      </c>
      <c r="G2202" s="1">
        <v>20</v>
      </c>
      <c r="H2202" s="1">
        <v>20</v>
      </c>
    </row>
    <row r="2203" spans="1:8">
      <c r="A2203">
        <v>142</v>
      </c>
      <c r="B2203" t="s">
        <v>564</v>
      </c>
      <c r="C2203">
        <v>1</v>
      </c>
      <c r="D2203" t="s">
        <v>137</v>
      </c>
      <c r="E2203" s="1">
        <v>2</v>
      </c>
      <c r="F2203" s="1" t="s">
        <v>165</v>
      </c>
      <c r="G2203" s="1">
        <v>22</v>
      </c>
      <c r="H2203" s="1" t="s">
        <v>165</v>
      </c>
    </row>
    <row r="2204" spans="1:8">
      <c r="A2204">
        <v>142</v>
      </c>
      <c r="B2204" t="s">
        <v>564</v>
      </c>
      <c r="C2204">
        <v>1</v>
      </c>
      <c r="D2204" t="s">
        <v>137</v>
      </c>
      <c r="E2204" s="1">
        <v>2</v>
      </c>
      <c r="F2204" s="1">
        <v>21</v>
      </c>
      <c r="G2204" s="1">
        <v>30</v>
      </c>
      <c r="H2204" s="1">
        <v>21</v>
      </c>
    </row>
    <row r="2205" spans="1:8">
      <c r="A2205">
        <v>142</v>
      </c>
      <c r="B2205" t="s">
        <v>564</v>
      </c>
      <c r="C2205">
        <v>1</v>
      </c>
      <c r="D2205" t="s">
        <v>137</v>
      </c>
      <c r="E2205" s="1">
        <v>2</v>
      </c>
      <c r="F2205" s="1" t="s">
        <v>168</v>
      </c>
      <c r="G2205" s="1">
        <v>32</v>
      </c>
      <c r="H2205" s="1" t="s">
        <v>168</v>
      </c>
    </row>
    <row r="2206" spans="1:8">
      <c r="A2206">
        <v>142</v>
      </c>
      <c r="B2206" t="s">
        <v>564</v>
      </c>
      <c r="C2206">
        <v>1</v>
      </c>
      <c r="D2206" t="s">
        <v>137</v>
      </c>
      <c r="E2206" s="1">
        <v>2</v>
      </c>
      <c r="F2206" s="1">
        <v>22</v>
      </c>
      <c r="G2206" s="1">
        <v>40</v>
      </c>
      <c r="H2206" s="1">
        <v>22</v>
      </c>
    </row>
    <row r="2207" spans="1:8">
      <c r="A2207">
        <v>142</v>
      </c>
      <c r="B2207" t="s">
        <v>564</v>
      </c>
      <c r="C2207">
        <v>1</v>
      </c>
      <c r="D2207" t="s">
        <v>137</v>
      </c>
      <c r="E2207" s="1">
        <v>2</v>
      </c>
      <c r="F2207" s="1" t="s">
        <v>171</v>
      </c>
      <c r="G2207" s="1">
        <v>42</v>
      </c>
      <c r="H2207" s="1" t="s">
        <v>171</v>
      </c>
    </row>
    <row r="2208" spans="1:8">
      <c r="A2208">
        <v>142</v>
      </c>
      <c r="B2208" t="s">
        <v>564</v>
      </c>
      <c r="C2208">
        <v>1</v>
      </c>
      <c r="D2208" t="s">
        <v>137</v>
      </c>
      <c r="E2208" s="1">
        <v>2</v>
      </c>
      <c r="F2208" s="1">
        <v>23</v>
      </c>
      <c r="G2208" s="1">
        <v>50</v>
      </c>
      <c r="H2208" s="1">
        <v>23</v>
      </c>
    </row>
    <row r="2209" spans="1:8">
      <c r="A2209">
        <v>142</v>
      </c>
      <c r="B2209" t="s">
        <v>564</v>
      </c>
      <c r="C2209">
        <v>1</v>
      </c>
      <c r="D2209" t="s">
        <v>137</v>
      </c>
      <c r="E2209" s="1">
        <v>2</v>
      </c>
      <c r="F2209" s="1" t="s">
        <v>174</v>
      </c>
      <c r="G2209" s="1">
        <v>52</v>
      </c>
      <c r="H2209" s="1" t="s">
        <v>174</v>
      </c>
    </row>
    <row r="2210" spans="1:8">
      <c r="A2210">
        <v>142</v>
      </c>
      <c r="B2210" t="s">
        <v>564</v>
      </c>
      <c r="C2210">
        <v>1</v>
      </c>
      <c r="D2210" t="s">
        <v>137</v>
      </c>
      <c r="E2210" s="1">
        <v>2</v>
      </c>
      <c r="F2210" s="1">
        <v>24</v>
      </c>
      <c r="G2210" s="1">
        <v>60</v>
      </c>
      <c r="H2210" s="1">
        <v>24</v>
      </c>
    </row>
    <row r="2211" spans="1:8">
      <c r="A2211">
        <v>142</v>
      </c>
      <c r="B2211" t="s">
        <v>564</v>
      </c>
      <c r="C2211">
        <v>1</v>
      </c>
      <c r="D2211" t="s">
        <v>137</v>
      </c>
      <c r="E2211" s="1">
        <v>2</v>
      </c>
      <c r="F2211" s="1" t="s">
        <v>177</v>
      </c>
      <c r="G2211" s="1">
        <v>62</v>
      </c>
      <c r="H2211" s="1" t="s">
        <v>177</v>
      </c>
    </row>
    <row r="2212" spans="1:8">
      <c r="A2212">
        <v>142</v>
      </c>
      <c r="B2212" t="s">
        <v>564</v>
      </c>
      <c r="C2212">
        <v>1</v>
      </c>
      <c r="D2212" t="s">
        <v>137</v>
      </c>
      <c r="E2212" s="1">
        <v>2</v>
      </c>
      <c r="F2212" s="1" t="s">
        <v>180</v>
      </c>
      <c r="G2212" s="1">
        <v>72</v>
      </c>
      <c r="H2212" s="1" t="s">
        <v>180</v>
      </c>
    </row>
    <row r="2213" spans="1:8">
      <c r="A2213">
        <v>142</v>
      </c>
      <c r="B2213" t="s">
        <v>564</v>
      </c>
      <c r="C2213">
        <v>5</v>
      </c>
      <c r="D2213" t="s">
        <v>183</v>
      </c>
      <c r="G2213" s="1">
        <v>50</v>
      </c>
    </row>
    <row r="2214" spans="1:8">
      <c r="A2214">
        <v>142</v>
      </c>
      <c r="B2214" t="s">
        <v>564</v>
      </c>
      <c r="C2214">
        <v>5</v>
      </c>
      <c r="D2214" t="s">
        <v>183</v>
      </c>
      <c r="G2214" s="1">
        <v>60</v>
      </c>
    </row>
    <row r="2215" spans="1:8">
      <c r="A2215">
        <v>142</v>
      </c>
      <c r="B2215" t="s">
        <v>564</v>
      </c>
      <c r="C2215">
        <v>6</v>
      </c>
      <c r="D2215" t="s">
        <v>184</v>
      </c>
      <c r="G2215" s="1">
        <v>63</v>
      </c>
    </row>
    <row r="2216" spans="1:8">
      <c r="A2216">
        <v>142</v>
      </c>
      <c r="B2216" t="s">
        <v>564</v>
      </c>
      <c r="C2216">
        <v>9</v>
      </c>
      <c r="D2216" t="s">
        <v>185</v>
      </c>
      <c r="E2216" s="1">
        <v>3</v>
      </c>
      <c r="F2216" s="1" t="s">
        <v>282</v>
      </c>
      <c r="G2216" s="1">
        <v>60</v>
      </c>
      <c r="H2216" s="1" t="s">
        <v>282</v>
      </c>
    </row>
    <row r="2217" spans="1:8">
      <c r="A2217">
        <v>142</v>
      </c>
      <c r="B2217" t="s">
        <v>564</v>
      </c>
      <c r="C2217">
        <v>11</v>
      </c>
      <c r="D2217" t="s">
        <v>186</v>
      </c>
      <c r="E2217" s="1">
        <v>1</v>
      </c>
      <c r="F2217" s="1">
        <v>40</v>
      </c>
      <c r="G2217" s="1">
        <v>10</v>
      </c>
      <c r="H2217" s="1">
        <v>40</v>
      </c>
    </row>
    <row r="2218" spans="1:8">
      <c r="A2218">
        <v>142</v>
      </c>
      <c r="B2218" t="s">
        <v>564</v>
      </c>
      <c r="C2218">
        <v>11</v>
      </c>
      <c r="D2218" t="s">
        <v>186</v>
      </c>
      <c r="E2218" s="1">
        <v>1</v>
      </c>
      <c r="F2218" s="1" t="s">
        <v>193</v>
      </c>
      <c r="G2218" s="1">
        <v>12</v>
      </c>
      <c r="H2218" s="1" t="s">
        <v>193</v>
      </c>
    </row>
    <row r="2219" spans="1:8">
      <c r="A2219">
        <v>142</v>
      </c>
      <c r="B2219" t="s">
        <v>564</v>
      </c>
      <c r="C2219">
        <v>11</v>
      </c>
      <c r="D2219" t="s">
        <v>186</v>
      </c>
      <c r="E2219" s="1">
        <v>1</v>
      </c>
      <c r="F2219" s="1">
        <v>41</v>
      </c>
      <c r="G2219" s="1">
        <v>20</v>
      </c>
      <c r="H2219" s="1">
        <v>41</v>
      </c>
    </row>
    <row r="2220" spans="1:8">
      <c r="A2220">
        <v>142</v>
      </c>
      <c r="B2220" t="s">
        <v>564</v>
      </c>
      <c r="C2220">
        <v>11</v>
      </c>
      <c r="D2220" t="s">
        <v>186</v>
      </c>
      <c r="E2220" s="1">
        <v>1</v>
      </c>
      <c r="F2220" s="1" t="s">
        <v>194</v>
      </c>
      <c r="G2220" s="1">
        <v>22</v>
      </c>
      <c r="H2220" s="1" t="s">
        <v>194</v>
      </c>
    </row>
    <row r="2221" spans="1:8">
      <c r="A2221">
        <v>142</v>
      </c>
      <c r="B2221" t="s">
        <v>564</v>
      </c>
      <c r="C2221">
        <v>11</v>
      </c>
      <c r="D2221" t="s">
        <v>186</v>
      </c>
      <c r="E2221" s="1">
        <v>1</v>
      </c>
      <c r="F2221" s="1">
        <v>42</v>
      </c>
      <c r="G2221" s="1">
        <v>30</v>
      </c>
      <c r="H2221" s="1">
        <v>42</v>
      </c>
    </row>
    <row r="2222" spans="1:8">
      <c r="A2222">
        <v>142</v>
      </c>
      <c r="B2222" t="s">
        <v>564</v>
      </c>
      <c r="C2222">
        <v>11</v>
      </c>
      <c r="D2222" t="s">
        <v>186</v>
      </c>
      <c r="E2222" s="1">
        <v>1</v>
      </c>
      <c r="F2222" s="1" t="s">
        <v>195</v>
      </c>
      <c r="G2222" s="1">
        <v>32</v>
      </c>
      <c r="H2222" s="1" t="s">
        <v>195</v>
      </c>
    </row>
    <row r="2223" spans="1:8">
      <c r="A2223">
        <v>142</v>
      </c>
      <c r="B2223" t="s">
        <v>564</v>
      </c>
      <c r="C2223">
        <v>11</v>
      </c>
      <c r="D2223" t="s">
        <v>186</v>
      </c>
      <c r="E2223" s="1">
        <v>1</v>
      </c>
      <c r="F2223" s="1">
        <v>43</v>
      </c>
      <c r="G2223" s="1">
        <v>40</v>
      </c>
      <c r="H2223" s="1">
        <v>43</v>
      </c>
    </row>
    <row r="2224" spans="1:8">
      <c r="A2224">
        <v>142</v>
      </c>
      <c r="B2224" t="s">
        <v>564</v>
      </c>
      <c r="C2224">
        <v>11</v>
      </c>
      <c r="D2224" t="s">
        <v>186</v>
      </c>
      <c r="E2224" s="1">
        <v>1</v>
      </c>
      <c r="F2224" s="1" t="s">
        <v>196</v>
      </c>
      <c r="G2224" s="1">
        <v>42</v>
      </c>
      <c r="H2224" s="1" t="s">
        <v>196</v>
      </c>
    </row>
    <row r="2225" spans="1:8">
      <c r="A2225">
        <v>142</v>
      </c>
      <c r="B2225" t="s">
        <v>564</v>
      </c>
      <c r="C2225">
        <v>11</v>
      </c>
      <c r="D2225" t="s">
        <v>186</v>
      </c>
      <c r="E2225" s="1">
        <v>1</v>
      </c>
      <c r="F2225" s="1">
        <v>44</v>
      </c>
      <c r="G2225" s="1">
        <v>50</v>
      </c>
      <c r="H2225" s="1">
        <v>44</v>
      </c>
    </row>
    <row r="2226" spans="1:8">
      <c r="A2226">
        <v>142</v>
      </c>
      <c r="B2226" t="s">
        <v>564</v>
      </c>
      <c r="C2226">
        <v>11</v>
      </c>
      <c r="D2226" t="s">
        <v>186</v>
      </c>
      <c r="E2226" s="1">
        <v>1</v>
      </c>
      <c r="F2226" s="1" t="s">
        <v>197</v>
      </c>
      <c r="G2226" s="1">
        <v>52</v>
      </c>
      <c r="H2226" s="1" t="s">
        <v>197</v>
      </c>
    </row>
    <row r="2227" spans="1:8">
      <c r="A2227">
        <v>142</v>
      </c>
      <c r="B2227" t="s">
        <v>564</v>
      </c>
      <c r="C2227">
        <v>11</v>
      </c>
      <c r="D2227" t="s">
        <v>186</v>
      </c>
      <c r="E2227" s="1">
        <v>1</v>
      </c>
      <c r="F2227" s="1">
        <v>45</v>
      </c>
      <c r="G2227" s="1">
        <v>60</v>
      </c>
      <c r="H2227" s="1">
        <v>45</v>
      </c>
    </row>
    <row r="2228" spans="1:8">
      <c r="A2228">
        <v>142</v>
      </c>
      <c r="B2228" t="s">
        <v>564</v>
      </c>
      <c r="C2228">
        <v>11</v>
      </c>
      <c r="D2228" t="s">
        <v>186</v>
      </c>
      <c r="E2228" s="1">
        <v>1</v>
      </c>
      <c r="F2228" s="1" t="s">
        <v>198</v>
      </c>
      <c r="G2228" s="1">
        <v>62</v>
      </c>
      <c r="H2228" s="1" t="s">
        <v>198</v>
      </c>
    </row>
    <row r="2229" spans="1:8">
      <c r="A2229">
        <v>142</v>
      </c>
      <c r="B2229" t="s">
        <v>564</v>
      </c>
      <c r="C2229">
        <v>11</v>
      </c>
      <c r="D2229" t="s">
        <v>186</v>
      </c>
      <c r="E2229" s="1">
        <v>1</v>
      </c>
      <c r="F2229" s="1" t="s">
        <v>199</v>
      </c>
      <c r="G2229" s="1">
        <v>72</v>
      </c>
      <c r="H2229" s="1" t="s">
        <v>199</v>
      </c>
    </row>
    <row r="2230" spans="1:8">
      <c r="A2230">
        <v>142</v>
      </c>
      <c r="B2230" t="s">
        <v>564</v>
      </c>
      <c r="C2230">
        <v>11</v>
      </c>
      <c r="D2230" t="s">
        <v>186</v>
      </c>
      <c r="E2230" s="1">
        <v>1</v>
      </c>
      <c r="F2230" s="1">
        <v>39</v>
      </c>
      <c r="H2230" s="1">
        <v>39</v>
      </c>
    </row>
    <row r="2231" spans="1:8">
      <c r="A2231">
        <v>142</v>
      </c>
      <c r="B2231" t="s">
        <v>564</v>
      </c>
      <c r="C2231">
        <v>13</v>
      </c>
      <c r="D2231" t="s">
        <v>200</v>
      </c>
      <c r="E2231" s="1">
        <v>1</v>
      </c>
      <c r="F2231" s="1">
        <v>42</v>
      </c>
      <c r="G2231" s="1">
        <v>30</v>
      </c>
      <c r="H2231" s="1">
        <v>42</v>
      </c>
    </row>
    <row r="2232" spans="1:8">
      <c r="A2232">
        <v>142</v>
      </c>
      <c r="B2232" t="s">
        <v>564</v>
      </c>
      <c r="C2232">
        <v>15</v>
      </c>
      <c r="D2232" t="s">
        <v>201</v>
      </c>
      <c r="E2232" s="1">
        <v>1</v>
      </c>
      <c r="F2232" s="1">
        <v>100</v>
      </c>
      <c r="G2232" s="1">
        <v>80</v>
      </c>
      <c r="H2232" s="1">
        <v>100</v>
      </c>
    </row>
    <row r="2233" spans="1:8">
      <c r="A2233">
        <v>142</v>
      </c>
      <c r="B2233" t="s">
        <v>564</v>
      </c>
      <c r="C2233">
        <v>21</v>
      </c>
      <c r="D2233" t="s">
        <v>205</v>
      </c>
      <c r="E2233" s="1">
        <v>1</v>
      </c>
      <c r="F2233" s="1" t="s">
        <v>331</v>
      </c>
      <c r="G2233" s="1">
        <v>50</v>
      </c>
      <c r="H2233" s="1" t="s">
        <v>331</v>
      </c>
    </row>
    <row r="2234" spans="1:8">
      <c r="A2234">
        <v>142</v>
      </c>
      <c r="B2234" t="s">
        <v>564</v>
      </c>
      <c r="C2234">
        <v>21</v>
      </c>
      <c r="D2234" t="s">
        <v>205</v>
      </c>
      <c r="E2234" s="1">
        <v>1</v>
      </c>
      <c r="F2234" s="1" t="s">
        <v>287</v>
      </c>
      <c r="G2234" s="1">
        <v>52</v>
      </c>
      <c r="H2234" s="1" t="s">
        <v>287</v>
      </c>
    </row>
    <row r="2235" spans="1:8">
      <c r="A2235">
        <v>142</v>
      </c>
      <c r="B2235" t="s">
        <v>564</v>
      </c>
      <c r="C2235">
        <v>21</v>
      </c>
      <c r="D2235" t="s">
        <v>205</v>
      </c>
      <c r="E2235" s="1">
        <v>1</v>
      </c>
      <c r="F2235" s="1" t="s">
        <v>288</v>
      </c>
      <c r="G2235" s="1">
        <v>62</v>
      </c>
      <c r="H2235" s="1" t="s">
        <v>288</v>
      </c>
    </row>
    <row r="2236" spans="1:8">
      <c r="A2236">
        <v>142</v>
      </c>
      <c r="B2236" t="s">
        <v>564</v>
      </c>
      <c r="C2236">
        <v>27</v>
      </c>
      <c r="D2236" t="s">
        <v>210</v>
      </c>
      <c r="E2236" s="1">
        <v>1</v>
      </c>
      <c r="F2236" s="1" t="s">
        <v>194</v>
      </c>
      <c r="G2236" s="1">
        <v>22</v>
      </c>
      <c r="H2236" s="1" t="s">
        <v>194</v>
      </c>
    </row>
    <row r="2237" spans="1:8">
      <c r="A2237">
        <v>142</v>
      </c>
      <c r="B2237" t="s">
        <v>564</v>
      </c>
      <c r="C2237">
        <v>27</v>
      </c>
      <c r="D2237" t="s">
        <v>210</v>
      </c>
      <c r="E2237" s="1">
        <v>1</v>
      </c>
      <c r="F2237" s="1">
        <v>42</v>
      </c>
      <c r="G2237" s="1">
        <v>30</v>
      </c>
      <c r="H2237" s="1">
        <v>42</v>
      </c>
    </row>
    <row r="2238" spans="1:8">
      <c r="A2238">
        <v>142</v>
      </c>
      <c r="B2238" t="s">
        <v>564</v>
      </c>
      <c r="C2238">
        <v>27</v>
      </c>
      <c r="D2238" t="s">
        <v>210</v>
      </c>
      <c r="E2238" s="1">
        <v>1</v>
      </c>
      <c r="F2238" s="1" t="s">
        <v>195</v>
      </c>
      <c r="G2238" s="1">
        <v>32</v>
      </c>
      <c r="H2238" s="1" t="s">
        <v>195</v>
      </c>
    </row>
    <row r="2239" spans="1:8">
      <c r="A2239">
        <v>142</v>
      </c>
      <c r="B2239" t="s">
        <v>564</v>
      </c>
      <c r="C2239">
        <v>57</v>
      </c>
      <c r="D2239" t="s">
        <v>183</v>
      </c>
      <c r="E2239" s="1">
        <v>3</v>
      </c>
      <c r="F2239" s="1" t="s">
        <v>492</v>
      </c>
      <c r="G2239" s="1">
        <v>50</v>
      </c>
      <c r="H2239" s="1" t="s">
        <v>492</v>
      </c>
    </row>
    <row r="2240" spans="1:8">
      <c r="A2240">
        <v>142</v>
      </c>
      <c r="B2240" t="s">
        <v>564</v>
      </c>
      <c r="C2240">
        <v>57</v>
      </c>
      <c r="D2240" t="s">
        <v>183</v>
      </c>
      <c r="G2240" s="1">
        <v>50</v>
      </c>
    </row>
    <row r="2241" spans="1:8">
      <c r="A2241">
        <v>142</v>
      </c>
      <c r="B2241" t="s">
        <v>564</v>
      </c>
      <c r="C2241">
        <v>57</v>
      </c>
      <c r="D2241" t="s">
        <v>183</v>
      </c>
      <c r="G2241" s="1">
        <v>60</v>
      </c>
    </row>
    <row r="2242" spans="1:8">
      <c r="A2242">
        <v>142</v>
      </c>
      <c r="B2242" t="s">
        <v>564</v>
      </c>
      <c r="C2242">
        <v>58</v>
      </c>
      <c r="D2242" t="s">
        <v>226</v>
      </c>
      <c r="E2242" s="1">
        <v>2</v>
      </c>
      <c r="F2242" s="1" t="s">
        <v>518</v>
      </c>
      <c r="G2242" s="1">
        <v>40</v>
      </c>
      <c r="H2242" s="1" t="s">
        <v>518</v>
      </c>
    </row>
    <row r="2243" spans="1:8">
      <c r="A2243">
        <v>142</v>
      </c>
      <c r="B2243" t="s">
        <v>564</v>
      </c>
      <c r="C2243">
        <v>58</v>
      </c>
      <c r="D2243" t="s">
        <v>226</v>
      </c>
      <c r="E2243" s="1">
        <v>3</v>
      </c>
      <c r="F2243" s="1" t="s">
        <v>565</v>
      </c>
      <c r="G2243" s="1">
        <v>50</v>
      </c>
      <c r="H2243" s="1" t="s">
        <v>565</v>
      </c>
    </row>
    <row r="2244" spans="1:8">
      <c r="A2244">
        <v>142</v>
      </c>
      <c r="B2244" t="s">
        <v>564</v>
      </c>
      <c r="C2244">
        <v>59</v>
      </c>
      <c r="D2244" t="s">
        <v>227</v>
      </c>
      <c r="G2244" s="1">
        <v>23</v>
      </c>
    </row>
    <row r="2245" spans="1:8">
      <c r="A2245">
        <v>142</v>
      </c>
      <c r="B2245" t="s">
        <v>564</v>
      </c>
      <c r="C2245">
        <v>74</v>
      </c>
      <c r="D2245" t="s">
        <v>235</v>
      </c>
      <c r="E2245" s="1">
        <v>3</v>
      </c>
      <c r="F2245" s="1" t="s">
        <v>320</v>
      </c>
      <c r="G2245" s="1">
        <v>50</v>
      </c>
      <c r="H2245" s="1" t="s">
        <v>320</v>
      </c>
    </row>
    <row r="2246" spans="1:8">
      <c r="A2246">
        <v>142</v>
      </c>
      <c r="B2246" t="s">
        <v>564</v>
      </c>
      <c r="C2246">
        <v>74</v>
      </c>
      <c r="D2246" t="s">
        <v>235</v>
      </c>
      <c r="E2246" s="1">
        <v>3</v>
      </c>
      <c r="F2246" s="1" t="s">
        <v>321</v>
      </c>
      <c r="G2246" s="1">
        <v>60</v>
      </c>
      <c r="H2246" s="1" t="s">
        <v>321</v>
      </c>
    </row>
    <row r="2247" spans="1:8">
      <c r="A2247">
        <v>145</v>
      </c>
      <c r="B2247" t="s">
        <v>566</v>
      </c>
      <c r="C2247">
        <v>1</v>
      </c>
      <c r="D2247" t="s">
        <v>137</v>
      </c>
      <c r="E2247" s="1">
        <v>1</v>
      </c>
      <c r="F2247" s="1" t="s">
        <v>156</v>
      </c>
      <c r="G2247" s="1">
        <v>96</v>
      </c>
      <c r="H2247" s="1" t="s">
        <v>156</v>
      </c>
    </row>
    <row r="2248" spans="1:8">
      <c r="A2248">
        <v>145</v>
      </c>
      <c r="B2248" t="s">
        <v>566</v>
      </c>
      <c r="C2248">
        <v>1</v>
      </c>
      <c r="D2248" t="s">
        <v>137</v>
      </c>
      <c r="E2248" s="1">
        <v>2</v>
      </c>
      <c r="F2248" s="1" t="s">
        <v>159</v>
      </c>
      <c r="G2248" s="1">
        <v>2</v>
      </c>
      <c r="H2248" s="1" t="s">
        <v>159</v>
      </c>
    </row>
    <row r="2249" spans="1:8">
      <c r="A2249">
        <v>145</v>
      </c>
      <c r="B2249" t="s">
        <v>566</v>
      </c>
      <c r="C2249">
        <v>1</v>
      </c>
      <c r="D2249" t="s">
        <v>137</v>
      </c>
      <c r="E2249" s="1">
        <v>2</v>
      </c>
      <c r="F2249" s="1" t="s">
        <v>162</v>
      </c>
      <c r="G2249" s="1">
        <v>12</v>
      </c>
      <c r="H2249" s="1" t="s">
        <v>162</v>
      </c>
    </row>
    <row r="2250" spans="1:8">
      <c r="A2250">
        <v>145</v>
      </c>
      <c r="B2250" t="s">
        <v>566</v>
      </c>
      <c r="C2250">
        <v>1</v>
      </c>
      <c r="D2250" t="s">
        <v>137</v>
      </c>
      <c r="E2250" s="1">
        <v>2</v>
      </c>
      <c r="F2250" s="1">
        <v>20</v>
      </c>
      <c r="G2250" s="1">
        <v>20</v>
      </c>
      <c r="H2250" s="1">
        <v>20</v>
      </c>
    </row>
    <row r="2251" spans="1:8">
      <c r="A2251">
        <v>145</v>
      </c>
      <c r="B2251" t="s">
        <v>566</v>
      </c>
      <c r="C2251">
        <v>1</v>
      </c>
      <c r="D2251" t="s">
        <v>137</v>
      </c>
      <c r="E2251" s="1">
        <v>2</v>
      </c>
      <c r="F2251" s="1" t="s">
        <v>165</v>
      </c>
      <c r="G2251" s="1">
        <v>22</v>
      </c>
      <c r="H2251" s="1" t="s">
        <v>165</v>
      </c>
    </row>
    <row r="2252" spans="1:8">
      <c r="A2252">
        <v>145</v>
      </c>
      <c r="B2252" t="s">
        <v>566</v>
      </c>
      <c r="C2252">
        <v>1</v>
      </c>
      <c r="D2252" t="s">
        <v>137</v>
      </c>
      <c r="E2252" s="1">
        <v>2</v>
      </c>
      <c r="F2252" s="1">
        <v>21</v>
      </c>
      <c r="G2252" s="1">
        <v>30</v>
      </c>
      <c r="H2252" s="1">
        <v>21</v>
      </c>
    </row>
    <row r="2253" spans="1:8">
      <c r="A2253">
        <v>145</v>
      </c>
      <c r="B2253" t="s">
        <v>566</v>
      </c>
      <c r="C2253">
        <v>1</v>
      </c>
      <c r="D2253" t="s">
        <v>137</v>
      </c>
      <c r="E2253" s="1">
        <v>2</v>
      </c>
      <c r="F2253" s="1">
        <v>24</v>
      </c>
      <c r="G2253" s="1">
        <v>60</v>
      </c>
      <c r="H2253" s="1">
        <v>24</v>
      </c>
    </row>
    <row r="2254" spans="1:8">
      <c r="A2254">
        <v>145</v>
      </c>
      <c r="B2254" t="s">
        <v>566</v>
      </c>
      <c r="C2254">
        <v>1</v>
      </c>
      <c r="D2254" t="s">
        <v>137</v>
      </c>
      <c r="E2254" s="1">
        <v>2</v>
      </c>
      <c r="F2254" s="1" t="s">
        <v>180</v>
      </c>
      <c r="G2254" s="1">
        <v>72</v>
      </c>
      <c r="H2254" s="1" t="s">
        <v>180</v>
      </c>
    </row>
    <row r="2255" spans="1:8">
      <c r="A2255">
        <v>145</v>
      </c>
      <c r="B2255" t="s">
        <v>566</v>
      </c>
      <c r="C2255">
        <v>11</v>
      </c>
      <c r="D2255" t="s">
        <v>186</v>
      </c>
      <c r="E2255" s="1">
        <v>1</v>
      </c>
      <c r="F2255" s="1" t="s">
        <v>192</v>
      </c>
      <c r="G2255" s="1">
        <v>2</v>
      </c>
      <c r="H2255" s="1" t="s">
        <v>192</v>
      </c>
    </row>
    <row r="2256" spans="1:8">
      <c r="A2256">
        <v>145</v>
      </c>
      <c r="B2256" t="s">
        <v>566</v>
      </c>
      <c r="C2256">
        <v>11</v>
      </c>
      <c r="D2256" t="s">
        <v>186</v>
      </c>
      <c r="E2256" s="1">
        <v>1</v>
      </c>
      <c r="F2256" s="1" t="s">
        <v>195</v>
      </c>
      <c r="G2256" s="1">
        <v>32</v>
      </c>
      <c r="H2256" s="1" t="s">
        <v>195</v>
      </c>
    </row>
    <row r="2257" spans="1:8">
      <c r="A2257">
        <v>145</v>
      </c>
      <c r="B2257" t="s">
        <v>566</v>
      </c>
      <c r="C2257">
        <v>11</v>
      </c>
      <c r="D2257" t="s">
        <v>186</v>
      </c>
      <c r="E2257" s="1">
        <v>1</v>
      </c>
      <c r="F2257" s="1" t="s">
        <v>196</v>
      </c>
      <c r="G2257" s="1">
        <v>42</v>
      </c>
      <c r="H2257" s="1" t="s">
        <v>196</v>
      </c>
    </row>
    <row r="2258" spans="1:8">
      <c r="A2258">
        <v>145</v>
      </c>
      <c r="B2258" t="s">
        <v>566</v>
      </c>
      <c r="C2258">
        <v>11</v>
      </c>
      <c r="D2258" t="s">
        <v>186</v>
      </c>
      <c r="E2258" s="1">
        <v>1</v>
      </c>
      <c r="F2258" s="1" t="s">
        <v>198</v>
      </c>
      <c r="G2258" s="1">
        <v>62</v>
      </c>
      <c r="H2258" s="1" t="s">
        <v>198</v>
      </c>
    </row>
    <row r="2259" spans="1:8">
      <c r="A2259">
        <v>145</v>
      </c>
      <c r="B2259" t="s">
        <v>566</v>
      </c>
      <c r="C2259">
        <v>11</v>
      </c>
      <c r="D2259" t="s">
        <v>186</v>
      </c>
      <c r="G2259" s="1">
        <v>95</v>
      </c>
    </row>
    <row r="2260" spans="1:8">
      <c r="A2260">
        <v>145</v>
      </c>
      <c r="B2260" t="s">
        <v>566</v>
      </c>
      <c r="C2260">
        <v>16</v>
      </c>
      <c r="D2260" t="s">
        <v>202</v>
      </c>
      <c r="E2260" s="1">
        <v>1</v>
      </c>
      <c r="F2260" s="1">
        <v>45</v>
      </c>
      <c r="G2260" s="1">
        <v>60</v>
      </c>
      <c r="H2260" s="1">
        <v>45</v>
      </c>
    </row>
    <row r="2261" spans="1:8">
      <c r="A2261">
        <v>145</v>
      </c>
      <c r="B2261" t="s">
        <v>566</v>
      </c>
      <c r="C2261">
        <v>24</v>
      </c>
      <c r="D2261" t="s">
        <v>208</v>
      </c>
      <c r="E2261" s="1">
        <v>1</v>
      </c>
      <c r="F2261" s="1" t="s">
        <v>284</v>
      </c>
      <c r="G2261" s="1">
        <v>20</v>
      </c>
      <c r="H2261" s="1" t="s">
        <v>284</v>
      </c>
    </row>
    <row r="2262" spans="1:8">
      <c r="A2262">
        <v>145</v>
      </c>
      <c r="B2262" t="s">
        <v>566</v>
      </c>
      <c r="C2262">
        <v>24</v>
      </c>
      <c r="D2262" t="s">
        <v>208</v>
      </c>
      <c r="G2262" s="1">
        <v>80</v>
      </c>
    </row>
    <row r="2263" spans="1:8">
      <c r="A2263">
        <v>145</v>
      </c>
      <c r="B2263" t="s">
        <v>566</v>
      </c>
      <c r="C2263">
        <v>24</v>
      </c>
      <c r="D2263" t="s">
        <v>208</v>
      </c>
      <c r="G2263" s="1">
        <v>90</v>
      </c>
    </row>
    <row r="2264" spans="1:8">
      <c r="A2264">
        <v>145</v>
      </c>
      <c r="B2264" t="s">
        <v>566</v>
      </c>
      <c r="C2264">
        <v>41</v>
      </c>
      <c r="D2264" t="s">
        <v>219</v>
      </c>
      <c r="E2264" s="1">
        <v>1</v>
      </c>
      <c r="F2264" s="1" t="s">
        <v>442</v>
      </c>
      <c r="G2264" s="1">
        <v>10</v>
      </c>
      <c r="H2264" s="1" t="s">
        <v>442</v>
      </c>
    </row>
    <row r="2265" spans="1:8">
      <c r="A2265">
        <v>145</v>
      </c>
      <c r="B2265" t="s">
        <v>566</v>
      </c>
      <c r="C2265">
        <v>41</v>
      </c>
      <c r="D2265" t="s">
        <v>219</v>
      </c>
      <c r="E2265" s="1">
        <v>1</v>
      </c>
      <c r="F2265" s="1" t="s">
        <v>443</v>
      </c>
      <c r="H2265" s="1" t="s">
        <v>443</v>
      </c>
    </row>
    <row r="2266" spans="1:8">
      <c r="A2266">
        <v>145</v>
      </c>
      <c r="B2266" t="s">
        <v>566</v>
      </c>
      <c r="C2266">
        <v>41</v>
      </c>
      <c r="D2266" t="s">
        <v>219</v>
      </c>
      <c r="G2266" s="1">
        <v>10</v>
      </c>
    </row>
    <row r="2267" spans="1:8">
      <c r="A2267">
        <v>145</v>
      </c>
      <c r="B2267" t="s">
        <v>566</v>
      </c>
      <c r="C2267">
        <v>41</v>
      </c>
      <c r="D2267" t="s">
        <v>219</v>
      </c>
      <c r="G2267" s="1">
        <v>20</v>
      </c>
    </row>
    <row r="2268" spans="1:8">
      <c r="A2268">
        <v>145</v>
      </c>
      <c r="B2268" t="s">
        <v>566</v>
      </c>
      <c r="C2268">
        <v>41</v>
      </c>
      <c r="D2268" t="s">
        <v>219</v>
      </c>
      <c r="G2268" s="1">
        <v>60</v>
      </c>
    </row>
    <row r="2269" spans="1:8">
      <c r="A2269">
        <v>145</v>
      </c>
      <c r="B2269" t="s">
        <v>566</v>
      </c>
      <c r="C2269">
        <v>41</v>
      </c>
      <c r="D2269" t="s">
        <v>219</v>
      </c>
      <c r="G2269" s="1">
        <v>70</v>
      </c>
    </row>
    <row r="2270" spans="1:8">
      <c r="A2270">
        <v>145</v>
      </c>
      <c r="B2270" t="s">
        <v>566</v>
      </c>
      <c r="C2270">
        <v>41</v>
      </c>
      <c r="D2270" t="s">
        <v>219</v>
      </c>
      <c r="G2270" s="1">
        <v>90</v>
      </c>
    </row>
    <row r="2271" spans="1:8">
      <c r="A2271">
        <v>145</v>
      </c>
      <c r="B2271" t="s">
        <v>566</v>
      </c>
      <c r="C2271">
        <v>63</v>
      </c>
      <c r="D2271" t="s">
        <v>229</v>
      </c>
      <c r="G2271" s="1">
        <v>40</v>
      </c>
    </row>
    <row r="2272" spans="1:8">
      <c r="A2272">
        <v>145</v>
      </c>
      <c r="B2272" t="s">
        <v>566</v>
      </c>
      <c r="C2272">
        <v>64</v>
      </c>
      <c r="D2272" t="s">
        <v>230</v>
      </c>
      <c r="G2272" s="1">
        <v>40</v>
      </c>
    </row>
    <row r="2273" spans="1:8">
      <c r="A2273">
        <v>145</v>
      </c>
      <c r="B2273" t="s">
        <v>566</v>
      </c>
      <c r="C2273">
        <v>68</v>
      </c>
      <c r="D2273" t="s">
        <v>233</v>
      </c>
      <c r="G2273" s="1">
        <v>40</v>
      </c>
    </row>
    <row r="2274" spans="1:8">
      <c r="A2274">
        <v>145</v>
      </c>
      <c r="B2274" t="s">
        <v>566</v>
      </c>
      <c r="C2274">
        <v>74</v>
      </c>
      <c r="D2274" t="s">
        <v>235</v>
      </c>
      <c r="E2274" s="1">
        <v>3</v>
      </c>
      <c r="F2274" s="1" t="s">
        <v>320</v>
      </c>
      <c r="G2274" s="1">
        <v>50</v>
      </c>
      <c r="H2274" s="1" t="s">
        <v>320</v>
      </c>
    </row>
    <row r="2275" spans="1:8">
      <c r="A2275">
        <v>146</v>
      </c>
      <c r="B2275" t="s">
        <v>96</v>
      </c>
      <c r="C2275">
        <v>1</v>
      </c>
      <c r="D2275" t="s">
        <v>137</v>
      </c>
      <c r="E2275" s="1">
        <v>1</v>
      </c>
      <c r="F2275" s="1" t="s">
        <v>144</v>
      </c>
      <c r="G2275" s="1">
        <v>62</v>
      </c>
      <c r="H2275" s="1" t="s">
        <v>144</v>
      </c>
    </row>
    <row r="2276" spans="1:8">
      <c r="A2276">
        <v>146</v>
      </c>
      <c r="B2276" t="s">
        <v>96</v>
      </c>
      <c r="C2276">
        <v>1</v>
      </c>
      <c r="D2276" t="s">
        <v>137</v>
      </c>
      <c r="E2276" s="1">
        <v>1</v>
      </c>
      <c r="F2276" s="1">
        <v>14</v>
      </c>
      <c r="G2276" s="1">
        <v>70</v>
      </c>
      <c r="H2276" s="1">
        <v>14</v>
      </c>
    </row>
    <row r="2277" spans="1:8">
      <c r="A2277">
        <v>146</v>
      </c>
      <c r="B2277" t="s">
        <v>96</v>
      </c>
      <c r="C2277">
        <v>1</v>
      </c>
      <c r="D2277" t="s">
        <v>137</v>
      </c>
      <c r="E2277" s="1">
        <v>1</v>
      </c>
      <c r="F2277" s="1" t="s">
        <v>147</v>
      </c>
      <c r="G2277" s="1">
        <v>72</v>
      </c>
      <c r="H2277" s="1" t="s">
        <v>147</v>
      </c>
    </row>
    <row r="2278" spans="1:8">
      <c r="A2278">
        <v>146</v>
      </c>
      <c r="B2278" t="s">
        <v>96</v>
      </c>
      <c r="C2278">
        <v>1</v>
      </c>
      <c r="D2278" t="s">
        <v>137</v>
      </c>
      <c r="E2278" s="1">
        <v>1</v>
      </c>
      <c r="F2278" s="1">
        <v>15</v>
      </c>
      <c r="G2278" s="1">
        <v>80</v>
      </c>
      <c r="H2278" s="1">
        <v>15</v>
      </c>
    </row>
    <row r="2279" spans="1:8">
      <c r="A2279">
        <v>146</v>
      </c>
      <c r="B2279" t="s">
        <v>96</v>
      </c>
      <c r="C2279">
        <v>1</v>
      </c>
      <c r="D2279" t="s">
        <v>137</v>
      </c>
      <c r="E2279" s="1">
        <v>1</v>
      </c>
      <c r="F2279" s="1" t="s">
        <v>150</v>
      </c>
      <c r="G2279" s="1">
        <v>82</v>
      </c>
      <c r="H2279" s="1" t="s">
        <v>150</v>
      </c>
    </row>
    <row r="2280" spans="1:8">
      <c r="A2280">
        <v>146</v>
      </c>
      <c r="B2280" t="s">
        <v>96</v>
      </c>
      <c r="C2280">
        <v>1</v>
      </c>
      <c r="D2280" t="s">
        <v>137</v>
      </c>
      <c r="E2280" s="1">
        <v>1</v>
      </c>
      <c r="F2280" s="1">
        <v>16</v>
      </c>
      <c r="G2280" s="1">
        <v>90</v>
      </c>
      <c r="H2280" s="1">
        <v>16</v>
      </c>
    </row>
    <row r="2281" spans="1:8">
      <c r="A2281">
        <v>146</v>
      </c>
      <c r="B2281" t="s">
        <v>96</v>
      </c>
      <c r="C2281">
        <v>1</v>
      </c>
      <c r="D2281" t="s">
        <v>137</v>
      </c>
      <c r="E2281" s="1">
        <v>1</v>
      </c>
      <c r="F2281" s="1" t="s">
        <v>153</v>
      </c>
      <c r="G2281" s="1">
        <v>92</v>
      </c>
      <c r="H2281" s="1" t="s">
        <v>153</v>
      </c>
    </row>
    <row r="2282" spans="1:8">
      <c r="A2282">
        <v>146</v>
      </c>
      <c r="B2282" t="s">
        <v>96</v>
      </c>
      <c r="C2282">
        <v>1</v>
      </c>
      <c r="D2282" t="s">
        <v>137</v>
      </c>
      <c r="E2282" s="1">
        <v>1</v>
      </c>
      <c r="F2282" s="1">
        <v>17</v>
      </c>
      <c r="G2282" s="1">
        <v>94</v>
      </c>
      <c r="H2282" s="1">
        <v>17</v>
      </c>
    </row>
    <row r="2283" spans="1:8">
      <c r="A2283">
        <v>146</v>
      </c>
      <c r="B2283" t="s">
        <v>96</v>
      </c>
      <c r="C2283">
        <v>1</v>
      </c>
      <c r="D2283" t="s">
        <v>137</v>
      </c>
      <c r="E2283" s="1">
        <v>1</v>
      </c>
      <c r="F2283" s="1" t="s">
        <v>156</v>
      </c>
      <c r="G2283" s="1">
        <v>96</v>
      </c>
      <c r="H2283" s="1" t="s">
        <v>156</v>
      </c>
    </row>
    <row r="2284" spans="1:8">
      <c r="A2284">
        <v>146</v>
      </c>
      <c r="B2284" t="s">
        <v>96</v>
      </c>
      <c r="C2284">
        <v>1</v>
      </c>
      <c r="D2284" t="s">
        <v>137</v>
      </c>
      <c r="E2284" s="1">
        <v>2</v>
      </c>
      <c r="F2284" s="1" t="s">
        <v>159</v>
      </c>
      <c r="G2284" s="1">
        <v>2</v>
      </c>
      <c r="H2284" s="1" t="s">
        <v>159</v>
      </c>
    </row>
    <row r="2285" spans="1:8">
      <c r="A2285">
        <v>146</v>
      </c>
      <c r="B2285" t="s">
        <v>96</v>
      </c>
      <c r="C2285">
        <v>1</v>
      </c>
      <c r="D2285" t="s">
        <v>137</v>
      </c>
      <c r="E2285" s="1">
        <v>2</v>
      </c>
      <c r="F2285" s="1">
        <v>19</v>
      </c>
      <c r="G2285" s="1">
        <v>10</v>
      </c>
      <c r="H2285" s="1">
        <v>19</v>
      </c>
    </row>
    <row r="2286" spans="1:8">
      <c r="A2286">
        <v>146</v>
      </c>
      <c r="B2286" t="s">
        <v>96</v>
      </c>
      <c r="C2286">
        <v>1</v>
      </c>
      <c r="D2286" t="s">
        <v>137</v>
      </c>
      <c r="E2286" s="1">
        <v>2</v>
      </c>
      <c r="F2286" s="1" t="s">
        <v>162</v>
      </c>
      <c r="G2286" s="1">
        <v>12</v>
      </c>
      <c r="H2286" s="1" t="s">
        <v>162</v>
      </c>
    </row>
    <row r="2287" spans="1:8">
      <c r="A2287">
        <v>146</v>
      </c>
      <c r="B2287" t="s">
        <v>96</v>
      </c>
      <c r="C2287">
        <v>1</v>
      </c>
      <c r="D2287" t="s">
        <v>137</v>
      </c>
      <c r="E2287" s="1">
        <v>2</v>
      </c>
      <c r="F2287" s="1">
        <v>20</v>
      </c>
      <c r="G2287" s="1">
        <v>20</v>
      </c>
      <c r="H2287" s="1">
        <v>20</v>
      </c>
    </row>
    <row r="2288" spans="1:8">
      <c r="A2288">
        <v>146</v>
      </c>
      <c r="B2288" t="s">
        <v>96</v>
      </c>
      <c r="C2288">
        <v>1</v>
      </c>
      <c r="D2288" t="s">
        <v>137</v>
      </c>
      <c r="E2288" s="1">
        <v>2</v>
      </c>
      <c r="F2288" s="1" t="s">
        <v>165</v>
      </c>
      <c r="G2288" s="1">
        <v>22</v>
      </c>
      <c r="H2288" s="1" t="s">
        <v>165</v>
      </c>
    </row>
    <row r="2289" spans="1:8">
      <c r="A2289">
        <v>146</v>
      </c>
      <c r="B2289" t="s">
        <v>96</v>
      </c>
      <c r="C2289">
        <v>1</v>
      </c>
      <c r="D2289" t="s">
        <v>137</v>
      </c>
      <c r="E2289" s="1">
        <v>2</v>
      </c>
      <c r="F2289" s="1">
        <v>21</v>
      </c>
      <c r="G2289" s="1">
        <v>30</v>
      </c>
      <c r="H2289" s="1">
        <v>21</v>
      </c>
    </row>
    <row r="2290" spans="1:8">
      <c r="A2290">
        <v>146</v>
      </c>
      <c r="B2290" t="s">
        <v>96</v>
      </c>
      <c r="C2290">
        <v>1</v>
      </c>
      <c r="D2290" t="s">
        <v>137</v>
      </c>
      <c r="E2290" s="1">
        <v>2</v>
      </c>
      <c r="F2290" s="1" t="s">
        <v>168</v>
      </c>
      <c r="G2290" s="1">
        <v>32</v>
      </c>
      <c r="H2290" s="1" t="s">
        <v>168</v>
      </c>
    </row>
    <row r="2291" spans="1:8">
      <c r="A2291">
        <v>146</v>
      </c>
      <c r="B2291" t="s">
        <v>96</v>
      </c>
      <c r="C2291">
        <v>1</v>
      </c>
      <c r="D2291" t="s">
        <v>137</v>
      </c>
      <c r="E2291" s="1">
        <v>2</v>
      </c>
      <c r="F2291" s="1">
        <v>22</v>
      </c>
      <c r="G2291" s="1">
        <v>40</v>
      </c>
      <c r="H2291" s="1">
        <v>22</v>
      </c>
    </row>
    <row r="2292" spans="1:8">
      <c r="A2292">
        <v>146</v>
      </c>
      <c r="B2292" t="s">
        <v>96</v>
      </c>
      <c r="C2292">
        <v>1</v>
      </c>
      <c r="D2292" t="s">
        <v>137</v>
      </c>
      <c r="E2292" s="1">
        <v>2</v>
      </c>
      <c r="F2292" s="1" t="s">
        <v>171</v>
      </c>
      <c r="G2292" s="1">
        <v>42</v>
      </c>
      <c r="H2292" s="1" t="s">
        <v>171</v>
      </c>
    </row>
    <row r="2293" spans="1:8">
      <c r="A2293">
        <v>146</v>
      </c>
      <c r="B2293" t="s">
        <v>96</v>
      </c>
      <c r="C2293">
        <v>1</v>
      </c>
      <c r="D2293" t="s">
        <v>137</v>
      </c>
      <c r="E2293" s="1">
        <v>2</v>
      </c>
      <c r="F2293" s="1">
        <v>23</v>
      </c>
      <c r="G2293" s="1">
        <v>50</v>
      </c>
      <c r="H2293" s="1">
        <v>23</v>
      </c>
    </row>
    <row r="2294" spans="1:8">
      <c r="A2294">
        <v>146</v>
      </c>
      <c r="B2294" t="s">
        <v>96</v>
      </c>
      <c r="C2294">
        <v>1</v>
      </c>
      <c r="D2294" t="s">
        <v>137</v>
      </c>
      <c r="E2294" s="1">
        <v>2</v>
      </c>
      <c r="F2294" s="1" t="s">
        <v>174</v>
      </c>
      <c r="G2294" s="1">
        <v>52</v>
      </c>
      <c r="H2294" s="1" t="s">
        <v>174</v>
      </c>
    </row>
    <row r="2295" spans="1:8">
      <c r="A2295">
        <v>146</v>
      </c>
      <c r="B2295" t="s">
        <v>96</v>
      </c>
      <c r="C2295">
        <v>1</v>
      </c>
      <c r="D2295" t="s">
        <v>137</v>
      </c>
      <c r="E2295" s="1">
        <v>2</v>
      </c>
      <c r="F2295" s="1">
        <v>24</v>
      </c>
      <c r="G2295" s="1">
        <v>60</v>
      </c>
      <c r="H2295" s="1">
        <v>24</v>
      </c>
    </row>
    <row r="2296" spans="1:8">
      <c r="A2296">
        <v>146</v>
      </c>
      <c r="B2296" t="s">
        <v>96</v>
      </c>
      <c r="C2296">
        <v>1</v>
      </c>
      <c r="D2296" t="s">
        <v>137</v>
      </c>
      <c r="E2296" s="1">
        <v>2</v>
      </c>
      <c r="F2296" s="1" t="s">
        <v>177</v>
      </c>
      <c r="G2296" s="1">
        <v>62</v>
      </c>
      <c r="H2296" s="1" t="s">
        <v>177</v>
      </c>
    </row>
    <row r="2297" spans="1:8">
      <c r="A2297">
        <v>146</v>
      </c>
      <c r="B2297" t="s">
        <v>96</v>
      </c>
      <c r="C2297">
        <v>1</v>
      </c>
      <c r="D2297" t="s">
        <v>137</v>
      </c>
      <c r="E2297" s="1">
        <v>2</v>
      </c>
      <c r="F2297" s="1" t="s">
        <v>180</v>
      </c>
      <c r="G2297" s="1">
        <v>72</v>
      </c>
      <c r="H2297" s="1" t="s">
        <v>180</v>
      </c>
    </row>
    <row r="2298" spans="1:8">
      <c r="A2298">
        <v>146</v>
      </c>
      <c r="B2298" t="s">
        <v>96</v>
      </c>
      <c r="C2298">
        <v>1</v>
      </c>
      <c r="D2298" t="s">
        <v>137</v>
      </c>
      <c r="E2298" s="1">
        <v>2</v>
      </c>
      <c r="F2298" s="1">
        <v>18</v>
      </c>
      <c r="H2298" s="1">
        <v>18</v>
      </c>
    </row>
    <row r="2299" spans="1:8">
      <c r="A2299">
        <v>146</v>
      </c>
      <c r="B2299" t="s">
        <v>96</v>
      </c>
      <c r="C2299">
        <v>5</v>
      </c>
      <c r="D2299" t="s">
        <v>183</v>
      </c>
      <c r="G2299" s="1">
        <v>50</v>
      </c>
    </row>
    <row r="2300" spans="1:8">
      <c r="A2300">
        <v>146</v>
      </c>
      <c r="B2300" t="s">
        <v>96</v>
      </c>
      <c r="C2300">
        <v>5</v>
      </c>
      <c r="D2300" t="s">
        <v>183</v>
      </c>
      <c r="G2300" s="1">
        <v>60</v>
      </c>
    </row>
    <row r="2301" spans="1:8">
      <c r="A2301">
        <v>146</v>
      </c>
      <c r="B2301" t="s">
        <v>96</v>
      </c>
      <c r="C2301">
        <v>6</v>
      </c>
      <c r="D2301" t="s">
        <v>184</v>
      </c>
      <c r="G2301" s="1">
        <v>63</v>
      </c>
    </row>
    <row r="2302" spans="1:8">
      <c r="A2302">
        <v>146</v>
      </c>
      <c r="B2302" t="s">
        <v>96</v>
      </c>
      <c r="C2302">
        <v>11</v>
      </c>
      <c r="D2302" t="s">
        <v>186</v>
      </c>
      <c r="E2302" s="1">
        <v>1</v>
      </c>
      <c r="F2302" s="1" t="s">
        <v>192</v>
      </c>
      <c r="G2302" s="1">
        <v>2</v>
      </c>
      <c r="H2302" s="1" t="s">
        <v>192</v>
      </c>
    </row>
    <row r="2303" spans="1:8">
      <c r="A2303">
        <v>146</v>
      </c>
      <c r="B2303" t="s">
        <v>96</v>
      </c>
      <c r="C2303">
        <v>11</v>
      </c>
      <c r="D2303" t="s">
        <v>186</v>
      </c>
      <c r="E2303" s="1">
        <v>1</v>
      </c>
      <c r="F2303" s="1">
        <v>40</v>
      </c>
      <c r="G2303" s="1">
        <v>10</v>
      </c>
      <c r="H2303" s="1">
        <v>40</v>
      </c>
    </row>
    <row r="2304" spans="1:8">
      <c r="A2304">
        <v>146</v>
      </c>
      <c r="B2304" t="s">
        <v>96</v>
      </c>
      <c r="C2304">
        <v>11</v>
      </c>
      <c r="D2304" t="s">
        <v>186</v>
      </c>
      <c r="E2304" s="1">
        <v>1</v>
      </c>
      <c r="F2304" s="1" t="s">
        <v>193</v>
      </c>
      <c r="G2304" s="1">
        <v>12</v>
      </c>
      <c r="H2304" s="1" t="s">
        <v>193</v>
      </c>
    </row>
    <row r="2305" spans="1:8">
      <c r="A2305">
        <v>146</v>
      </c>
      <c r="B2305" t="s">
        <v>96</v>
      </c>
      <c r="C2305">
        <v>11</v>
      </c>
      <c r="D2305" t="s">
        <v>186</v>
      </c>
      <c r="E2305" s="1">
        <v>1</v>
      </c>
      <c r="F2305" s="1">
        <v>41</v>
      </c>
      <c r="G2305" s="1">
        <v>20</v>
      </c>
      <c r="H2305" s="1">
        <v>41</v>
      </c>
    </row>
    <row r="2306" spans="1:8">
      <c r="A2306">
        <v>146</v>
      </c>
      <c r="B2306" t="s">
        <v>96</v>
      </c>
      <c r="C2306">
        <v>11</v>
      </c>
      <c r="D2306" t="s">
        <v>186</v>
      </c>
      <c r="E2306" s="1">
        <v>1</v>
      </c>
      <c r="F2306" s="1" t="s">
        <v>194</v>
      </c>
      <c r="G2306" s="1">
        <v>22</v>
      </c>
      <c r="H2306" s="1" t="s">
        <v>194</v>
      </c>
    </row>
    <row r="2307" spans="1:8">
      <c r="A2307">
        <v>146</v>
      </c>
      <c r="B2307" t="s">
        <v>96</v>
      </c>
      <c r="C2307">
        <v>11</v>
      </c>
      <c r="D2307" t="s">
        <v>186</v>
      </c>
      <c r="E2307" s="1">
        <v>1</v>
      </c>
      <c r="F2307" s="1">
        <v>42</v>
      </c>
      <c r="G2307" s="1">
        <v>30</v>
      </c>
      <c r="H2307" s="1">
        <v>42</v>
      </c>
    </row>
    <row r="2308" spans="1:8">
      <c r="A2308">
        <v>146</v>
      </c>
      <c r="B2308" t="s">
        <v>96</v>
      </c>
      <c r="C2308">
        <v>11</v>
      </c>
      <c r="D2308" t="s">
        <v>186</v>
      </c>
      <c r="E2308" s="1">
        <v>1</v>
      </c>
      <c r="F2308" s="1" t="s">
        <v>195</v>
      </c>
      <c r="G2308" s="1">
        <v>32</v>
      </c>
      <c r="H2308" s="1" t="s">
        <v>195</v>
      </c>
    </row>
    <row r="2309" spans="1:8">
      <c r="A2309">
        <v>146</v>
      </c>
      <c r="B2309" t="s">
        <v>96</v>
      </c>
      <c r="C2309">
        <v>11</v>
      </c>
      <c r="D2309" t="s">
        <v>186</v>
      </c>
      <c r="E2309" s="1">
        <v>1</v>
      </c>
      <c r="F2309" s="1">
        <v>43</v>
      </c>
      <c r="G2309" s="1">
        <v>40</v>
      </c>
      <c r="H2309" s="1">
        <v>43</v>
      </c>
    </row>
    <row r="2310" spans="1:8">
      <c r="A2310">
        <v>146</v>
      </c>
      <c r="B2310" t="s">
        <v>96</v>
      </c>
      <c r="C2310">
        <v>11</v>
      </c>
      <c r="D2310" t="s">
        <v>186</v>
      </c>
      <c r="E2310" s="1">
        <v>1</v>
      </c>
      <c r="F2310" s="1" t="s">
        <v>196</v>
      </c>
      <c r="G2310" s="1">
        <v>42</v>
      </c>
      <c r="H2310" s="1" t="s">
        <v>196</v>
      </c>
    </row>
    <row r="2311" spans="1:8">
      <c r="A2311">
        <v>146</v>
      </c>
      <c r="B2311" t="s">
        <v>96</v>
      </c>
      <c r="C2311">
        <v>11</v>
      </c>
      <c r="D2311" t="s">
        <v>186</v>
      </c>
      <c r="E2311" s="1">
        <v>1</v>
      </c>
      <c r="F2311" s="1">
        <v>44</v>
      </c>
      <c r="G2311" s="1">
        <v>50</v>
      </c>
      <c r="H2311" s="1">
        <v>44</v>
      </c>
    </row>
    <row r="2312" spans="1:8">
      <c r="A2312">
        <v>146</v>
      </c>
      <c r="B2312" t="s">
        <v>96</v>
      </c>
      <c r="C2312">
        <v>11</v>
      </c>
      <c r="D2312" t="s">
        <v>186</v>
      </c>
      <c r="E2312" s="1">
        <v>1</v>
      </c>
      <c r="F2312" s="1" t="s">
        <v>197</v>
      </c>
      <c r="G2312" s="1">
        <v>52</v>
      </c>
      <c r="H2312" s="1" t="s">
        <v>197</v>
      </c>
    </row>
    <row r="2313" spans="1:8">
      <c r="A2313">
        <v>146</v>
      </c>
      <c r="B2313" t="s">
        <v>96</v>
      </c>
      <c r="C2313">
        <v>11</v>
      </c>
      <c r="D2313" t="s">
        <v>186</v>
      </c>
      <c r="E2313" s="1">
        <v>1</v>
      </c>
      <c r="F2313" s="1">
        <v>45</v>
      </c>
      <c r="G2313" s="1">
        <v>60</v>
      </c>
      <c r="H2313" s="1">
        <v>45</v>
      </c>
    </row>
    <row r="2314" spans="1:8">
      <c r="A2314">
        <v>146</v>
      </c>
      <c r="B2314" t="s">
        <v>96</v>
      </c>
      <c r="C2314">
        <v>11</v>
      </c>
      <c r="D2314" t="s">
        <v>186</v>
      </c>
      <c r="E2314" s="1">
        <v>1</v>
      </c>
      <c r="F2314" s="1" t="s">
        <v>198</v>
      </c>
      <c r="G2314" s="1">
        <v>62</v>
      </c>
      <c r="H2314" s="1" t="s">
        <v>198</v>
      </c>
    </row>
    <row r="2315" spans="1:8">
      <c r="A2315">
        <v>146</v>
      </c>
      <c r="B2315" t="s">
        <v>96</v>
      </c>
      <c r="C2315">
        <v>11</v>
      </c>
      <c r="D2315" t="s">
        <v>186</v>
      </c>
      <c r="E2315" s="1">
        <v>1</v>
      </c>
      <c r="F2315" s="1" t="s">
        <v>199</v>
      </c>
      <c r="G2315" s="1">
        <v>72</v>
      </c>
      <c r="H2315" s="1" t="s">
        <v>199</v>
      </c>
    </row>
    <row r="2316" spans="1:8">
      <c r="A2316">
        <v>146</v>
      </c>
      <c r="B2316" t="s">
        <v>96</v>
      </c>
      <c r="C2316">
        <v>11</v>
      </c>
      <c r="D2316" t="s">
        <v>186</v>
      </c>
      <c r="E2316" s="1">
        <v>1</v>
      </c>
      <c r="F2316" s="1">
        <v>39</v>
      </c>
      <c r="H2316" s="1">
        <v>39</v>
      </c>
    </row>
    <row r="2317" spans="1:8">
      <c r="A2317">
        <v>146</v>
      </c>
      <c r="B2317" t="s">
        <v>96</v>
      </c>
      <c r="C2317">
        <v>11</v>
      </c>
      <c r="D2317" t="s">
        <v>186</v>
      </c>
      <c r="G2317" s="1">
        <v>82</v>
      </c>
    </row>
    <row r="2318" spans="1:8">
      <c r="A2318">
        <v>146</v>
      </c>
      <c r="B2318" t="s">
        <v>96</v>
      </c>
      <c r="C2318">
        <v>11</v>
      </c>
      <c r="D2318" t="s">
        <v>186</v>
      </c>
      <c r="G2318" s="1">
        <v>90</v>
      </c>
    </row>
    <row r="2319" spans="1:8">
      <c r="A2319">
        <v>146</v>
      </c>
      <c r="B2319" t="s">
        <v>96</v>
      </c>
      <c r="C2319">
        <v>11</v>
      </c>
      <c r="D2319" t="s">
        <v>186</v>
      </c>
      <c r="G2319" s="1">
        <v>92</v>
      </c>
    </row>
    <row r="2320" spans="1:8">
      <c r="A2320">
        <v>146</v>
      </c>
      <c r="B2320" t="s">
        <v>96</v>
      </c>
      <c r="C2320">
        <v>11</v>
      </c>
      <c r="D2320" t="s">
        <v>186</v>
      </c>
      <c r="G2320" s="1">
        <v>95</v>
      </c>
    </row>
    <row r="2321" spans="1:8">
      <c r="A2321">
        <v>146</v>
      </c>
      <c r="B2321" t="s">
        <v>96</v>
      </c>
      <c r="C2321">
        <v>11</v>
      </c>
      <c r="D2321" t="s">
        <v>186</v>
      </c>
      <c r="G2321" s="1">
        <v>96</v>
      </c>
    </row>
    <row r="2322" spans="1:8">
      <c r="A2322">
        <v>146</v>
      </c>
      <c r="B2322" t="s">
        <v>96</v>
      </c>
      <c r="C2322">
        <v>13</v>
      </c>
      <c r="D2322" t="s">
        <v>200</v>
      </c>
      <c r="E2322" s="1">
        <v>1</v>
      </c>
      <c r="F2322" s="1" t="s">
        <v>192</v>
      </c>
      <c r="G2322" s="1">
        <v>2</v>
      </c>
      <c r="H2322" s="1" t="s">
        <v>192</v>
      </c>
    </row>
    <row r="2323" spans="1:8">
      <c r="A2323">
        <v>146</v>
      </c>
      <c r="B2323" t="s">
        <v>96</v>
      </c>
      <c r="C2323">
        <v>13</v>
      </c>
      <c r="D2323" t="s">
        <v>200</v>
      </c>
      <c r="E2323" s="1">
        <v>1</v>
      </c>
      <c r="F2323" s="1" t="s">
        <v>193</v>
      </c>
      <c r="G2323" s="1">
        <v>12</v>
      </c>
      <c r="H2323" s="1" t="s">
        <v>193</v>
      </c>
    </row>
    <row r="2324" spans="1:8">
      <c r="A2324">
        <v>146</v>
      </c>
      <c r="B2324" t="s">
        <v>96</v>
      </c>
      <c r="C2324">
        <v>13</v>
      </c>
      <c r="D2324" t="s">
        <v>200</v>
      </c>
      <c r="E2324" s="1">
        <v>1</v>
      </c>
      <c r="F2324" s="1">
        <v>41</v>
      </c>
      <c r="G2324" s="1">
        <v>20</v>
      </c>
      <c r="H2324" s="1">
        <v>41</v>
      </c>
    </row>
    <row r="2325" spans="1:8">
      <c r="A2325">
        <v>146</v>
      </c>
      <c r="B2325" t="s">
        <v>96</v>
      </c>
      <c r="C2325">
        <v>13</v>
      </c>
      <c r="D2325" t="s">
        <v>200</v>
      </c>
      <c r="E2325" s="1">
        <v>1</v>
      </c>
      <c r="F2325" s="1" t="s">
        <v>194</v>
      </c>
      <c r="G2325" s="1">
        <v>22</v>
      </c>
      <c r="H2325" s="1" t="s">
        <v>194</v>
      </c>
    </row>
    <row r="2326" spans="1:8">
      <c r="A2326">
        <v>146</v>
      </c>
      <c r="B2326" t="s">
        <v>96</v>
      </c>
      <c r="C2326">
        <v>13</v>
      </c>
      <c r="D2326" t="s">
        <v>200</v>
      </c>
      <c r="E2326" s="1">
        <v>1</v>
      </c>
      <c r="F2326" s="1">
        <v>42</v>
      </c>
      <c r="G2326" s="1">
        <v>30</v>
      </c>
      <c r="H2326" s="1">
        <v>42</v>
      </c>
    </row>
    <row r="2327" spans="1:8">
      <c r="A2327">
        <v>146</v>
      </c>
      <c r="B2327" t="s">
        <v>96</v>
      </c>
      <c r="C2327">
        <v>13</v>
      </c>
      <c r="D2327" t="s">
        <v>200</v>
      </c>
      <c r="E2327" s="1">
        <v>1</v>
      </c>
      <c r="F2327" s="1">
        <v>43</v>
      </c>
      <c r="G2327" s="1">
        <v>40</v>
      </c>
      <c r="H2327" s="1">
        <v>43</v>
      </c>
    </row>
    <row r="2328" spans="1:8">
      <c r="A2328">
        <v>146</v>
      </c>
      <c r="B2328" t="s">
        <v>96</v>
      </c>
      <c r="C2328">
        <v>13</v>
      </c>
      <c r="D2328" t="s">
        <v>200</v>
      </c>
      <c r="E2328" s="1">
        <v>1</v>
      </c>
      <c r="F2328" s="1" t="s">
        <v>196</v>
      </c>
      <c r="G2328" s="1">
        <v>42</v>
      </c>
      <c r="H2328" s="1" t="s">
        <v>196</v>
      </c>
    </row>
    <row r="2329" spans="1:8">
      <c r="A2329">
        <v>146</v>
      </c>
      <c r="B2329" t="s">
        <v>96</v>
      </c>
      <c r="C2329">
        <v>13</v>
      </c>
      <c r="D2329" t="s">
        <v>200</v>
      </c>
      <c r="E2329" s="1">
        <v>1</v>
      </c>
      <c r="F2329" s="1">
        <v>44</v>
      </c>
      <c r="G2329" s="1">
        <v>50</v>
      </c>
      <c r="H2329" s="1">
        <v>44</v>
      </c>
    </row>
    <row r="2330" spans="1:8">
      <c r="A2330">
        <v>146</v>
      </c>
      <c r="B2330" t="s">
        <v>96</v>
      </c>
      <c r="C2330">
        <v>13</v>
      </c>
      <c r="D2330" t="s">
        <v>200</v>
      </c>
      <c r="E2330" s="1">
        <v>1</v>
      </c>
      <c r="F2330" s="1" t="s">
        <v>197</v>
      </c>
      <c r="G2330" s="1">
        <v>52</v>
      </c>
      <c r="H2330" s="1" t="s">
        <v>197</v>
      </c>
    </row>
    <row r="2331" spans="1:8">
      <c r="A2331">
        <v>146</v>
      </c>
      <c r="B2331" t="s">
        <v>96</v>
      </c>
      <c r="C2331">
        <v>13</v>
      </c>
      <c r="D2331" t="s">
        <v>200</v>
      </c>
      <c r="E2331" s="1">
        <v>1</v>
      </c>
      <c r="F2331" s="1">
        <v>45</v>
      </c>
      <c r="G2331" s="1">
        <v>60</v>
      </c>
      <c r="H2331" s="1">
        <v>45</v>
      </c>
    </row>
    <row r="2332" spans="1:8">
      <c r="A2332">
        <v>146</v>
      </c>
      <c r="B2332" t="s">
        <v>96</v>
      </c>
      <c r="C2332">
        <v>13</v>
      </c>
      <c r="D2332" t="s">
        <v>200</v>
      </c>
      <c r="E2332" s="1">
        <v>1</v>
      </c>
      <c r="F2332" s="1" t="s">
        <v>198</v>
      </c>
      <c r="G2332" s="1">
        <v>62</v>
      </c>
      <c r="H2332" s="1" t="s">
        <v>198</v>
      </c>
    </row>
    <row r="2333" spans="1:8">
      <c r="A2333">
        <v>146</v>
      </c>
      <c r="B2333" t="s">
        <v>96</v>
      </c>
      <c r="C2333">
        <v>13</v>
      </c>
      <c r="D2333" t="s">
        <v>200</v>
      </c>
      <c r="E2333" s="1">
        <v>1</v>
      </c>
      <c r="F2333" s="1" t="s">
        <v>199</v>
      </c>
      <c r="G2333" s="1">
        <v>72</v>
      </c>
      <c r="H2333" s="1" t="s">
        <v>199</v>
      </c>
    </row>
    <row r="2334" spans="1:8">
      <c r="A2334">
        <v>146</v>
      </c>
      <c r="B2334" t="s">
        <v>96</v>
      </c>
      <c r="C2334">
        <v>13</v>
      </c>
      <c r="D2334" t="s">
        <v>200</v>
      </c>
      <c r="E2334" s="1">
        <v>1</v>
      </c>
      <c r="F2334" s="1">
        <v>39</v>
      </c>
      <c r="H2334" s="1">
        <v>39</v>
      </c>
    </row>
    <row r="2335" spans="1:8">
      <c r="A2335">
        <v>146</v>
      </c>
      <c r="B2335" t="s">
        <v>96</v>
      </c>
      <c r="C2335">
        <v>15</v>
      </c>
      <c r="D2335" t="s">
        <v>201</v>
      </c>
      <c r="G2335" s="1">
        <v>70</v>
      </c>
    </row>
    <row r="2336" spans="1:8">
      <c r="A2336">
        <v>146</v>
      </c>
      <c r="B2336" t="s">
        <v>96</v>
      </c>
      <c r="C2336">
        <v>21</v>
      </c>
      <c r="D2336" t="s">
        <v>205</v>
      </c>
      <c r="E2336" s="1">
        <v>1</v>
      </c>
      <c r="F2336" s="1" t="s">
        <v>541</v>
      </c>
      <c r="G2336" s="1">
        <v>2</v>
      </c>
      <c r="H2336" s="1" t="s">
        <v>541</v>
      </c>
    </row>
    <row r="2337" spans="1:8">
      <c r="A2337">
        <v>146</v>
      </c>
      <c r="B2337" t="s">
        <v>96</v>
      </c>
      <c r="C2337">
        <v>21</v>
      </c>
      <c r="D2337" t="s">
        <v>205</v>
      </c>
      <c r="E2337" s="1">
        <v>1</v>
      </c>
      <c r="F2337" s="1" t="s">
        <v>394</v>
      </c>
      <c r="G2337" s="1">
        <v>12</v>
      </c>
      <c r="H2337" s="1" t="s">
        <v>394</v>
      </c>
    </row>
    <row r="2338" spans="1:8">
      <c r="A2338">
        <v>146</v>
      </c>
      <c r="B2338" t="s">
        <v>96</v>
      </c>
      <c r="C2338">
        <v>21</v>
      </c>
      <c r="D2338" t="s">
        <v>205</v>
      </c>
      <c r="E2338" s="1">
        <v>1</v>
      </c>
      <c r="F2338" s="1" t="s">
        <v>328</v>
      </c>
      <c r="G2338" s="1">
        <v>20</v>
      </c>
      <c r="H2338" s="1" t="s">
        <v>328</v>
      </c>
    </row>
    <row r="2339" spans="1:8">
      <c r="A2339">
        <v>146</v>
      </c>
      <c r="B2339" t="s">
        <v>96</v>
      </c>
      <c r="C2339">
        <v>21</v>
      </c>
      <c r="D2339" t="s">
        <v>205</v>
      </c>
      <c r="E2339" s="1">
        <v>1</v>
      </c>
      <c r="F2339" s="1" t="s">
        <v>329</v>
      </c>
      <c r="G2339" s="1">
        <v>30</v>
      </c>
      <c r="H2339" s="1" t="s">
        <v>329</v>
      </c>
    </row>
    <row r="2340" spans="1:8">
      <c r="A2340">
        <v>146</v>
      </c>
      <c r="B2340" t="s">
        <v>96</v>
      </c>
      <c r="C2340">
        <v>21</v>
      </c>
      <c r="D2340" t="s">
        <v>205</v>
      </c>
      <c r="E2340" s="1">
        <v>1</v>
      </c>
      <c r="F2340" s="1" t="s">
        <v>323</v>
      </c>
      <c r="G2340" s="1">
        <v>32</v>
      </c>
      <c r="H2340" s="1" t="s">
        <v>323</v>
      </c>
    </row>
    <row r="2341" spans="1:8">
      <c r="A2341">
        <v>146</v>
      </c>
      <c r="B2341" t="s">
        <v>96</v>
      </c>
      <c r="C2341">
        <v>21</v>
      </c>
      <c r="D2341" t="s">
        <v>205</v>
      </c>
      <c r="E2341" s="1">
        <v>1</v>
      </c>
      <c r="F2341" s="1" t="s">
        <v>287</v>
      </c>
      <c r="G2341" s="1">
        <v>52</v>
      </c>
      <c r="H2341" s="1" t="s">
        <v>287</v>
      </c>
    </row>
    <row r="2342" spans="1:8">
      <c r="A2342">
        <v>146</v>
      </c>
      <c r="B2342" t="s">
        <v>96</v>
      </c>
      <c r="C2342">
        <v>21</v>
      </c>
      <c r="D2342" t="s">
        <v>205</v>
      </c>
      <c r="E2342" s="1">
        <v>1</v>
      </c>
      <c r="F2342" s="1" t="s">
        <v>288</v>
      </c>
      <c r="G2342" s="1">
        <v>62</v>
      </c>
      <c r="H2342" s="1" t="s">
        <v>288</v>
      </c>
    </row>
    <row r="2343" spans="1:8">
      <c r="A2343">
        <v>146</v>
      </c>
      <c r="B2343" t="s">
        <v>96</v>
      </c>
      <c r="C2343">
        <v>21</v>
      </c>
      <c r="D2343" t="s">
        <v>205</v>
      </c>
      <c r="E2343" s="1">
        <v>1</v>
      </c>
      <c r="F2343" s="1" t="s">
        <v>284</v>
      </c>
      <c r="H2343" s="1" t="s">
        <v>284</v>
      </c>
    </row>
    <row r="2344" spans="1:8">
      <c r="A2344">
        <v>146</v>
      </c>
      <c r="B2344" t="s">
        <v>96</v>
      </c>
      <c r="C2344">
        <v>21</v>
      </c>
      <c r="D2344" t="s">
        <v>205</v>
      </c>
      <c r="G2344" s="1">
        <v>92</v>
      </c>
    </row>
    <row r="2345" spans="1:8">
      <c r="A2345">
        <v>146</v>
      </c>
      <c r="B2345" t="s">
        <v>96</v>
      </c>
      <c r="C2345">
        <v>41</v>
      </c>
      <c r="D2345" t="s">
        <v>219</v>
      </c>
      <c r="G2345" s="1">
        <v>80</v>
      </c>
    </row>
    <row r="2346" spans="1:8">
      <c r="A2346">
        <v>146</v>
      </c>
      <c r="B2346" t="s">
        <v>96</v>
      </c>
      <c r="C2346">
        <v>45</v>
      </c>
      <c r="D2346" t="s">
        <v>223</v>
      </c>
      <c r="E2346" s="1">
        <v>1</v>
      </c>
      <c r="F2346" s="1" t="s">
        <v>324</v>
      </c>
      <c r="G2346" s="1">
        <v>14</v>
      </c>
      <c r="H2346" s="1" t="s">
        <v>325</v>
      </c>
    </row>
    <row r="2347" spans="1:8">
      <c r="A2347">
        <v>146</v>
      </c>
      <c r="B2347" t="s">
        <v>96</v>
      </c>
      <c r="C2347">
        <v>57</v>
      </c>
      <c r="D2347" t="s">
        <v>183</v>
      </c>
      <c r="E2347" s="1">
        <v>3</v>
      </c>
      <c r="F2347" s="1" t="s">
        <v>492</v>
      </c>
      <c r="G2347" s="1">
        <v>50</v>
      </c>
      <c r="H2347" s="1" t="s">
        <v>492</v>
      </c>
    </row>
    <row r="2348" spans="1:8">
      <c r="A2348">
        <v>146</v>
      </c>
      <c r="B2348" t="s">
        <v>96</v>
      </c>
      <c r="C2348">
        <v>57</v>
      </c>
      <c r="D2348" t="s">
        <v>183</v>
      </c>
      <c r="E2348" s="1">
        <v>3</v>
      </c>
      <c r="F2348" s="1" t="s">
        <v>338</v>
      </c>
      <c r="G2348" s="1">
        <v>60</v>
      </c>
      <c r="H2348" s="1" t="s">
        <v>338</v>
      </c>
    </row>
    <row r="2349" spans="1:8">
      <c r="A2349">
        <v>146</v>
      </c>
      <c r="B2349" t="s">
        <v>96</v>
      </c>
      <c r="C2349">
        <v>57</v>
      </c>
      <c r="D2349" t="s">
        <v>183</v>
      </c>
      <c r="G2349" s="1">
        <v>50</v>
      </c>
    </row>
    <row r="2350" spans="1:8">
      <c r="A2350">
        <v>146</v>
      </c>
      <c r="B2350" t="s">
        <v>96</v>
      </c>
      <c r="C2350">
        <v>57</v>
      </c>
      <c r="D2350" t="s">
        <v>183</v>
      </c>
      <c r="G2350" s="1">
        <v>60</v>
      </c>
    </row>
    <row r="2351" spans="1:8">
      <c r="A2351">
        <v>146</v>
      </c>
      <c r="B2351" t="s">
        <v>96</v>
      </c>
      <c r="C2351">
        <v>58</v>
      </c>
      <c r="D2351" t="s">
        <v>226</v>
      </c>
      <c r="E2351" s="1">
        <v>2</v>
      </c>
      <c r="F2351" s="1" t="s">
        <v>518</v>
      </c>
      <c r="G2351" s="1">
        <v>40</v>
      </c>
      <c r="H2351" s="1" t="s">
        <v>518</v>
      </c>
    </row>
    <row r="2352" spans="1:8">
      <c r="A2352">
        <v>146</v>
      </c>
      <c r="B2352" t="s">
        <v>96</v>
      </c>
      <c r="C2352">
        <v>74</v>
      </c>
      <c r="D2352" t="s">
        <v>235</v>
      </c>
      <c r="E2352" s="1">
        <v>3</v>
      </c>
      <c r="F2352" s="1" t="s">
        <v>320</v>
      </c>
      <c r="G2352" s="1">
        <v>50</v>
      </c>
      <c r="H2352" s="1" t="s">
        <v>320</v>
      </c>
    </row>
    <row r="2353" spans="1:8">
      <c r="A2353">
        <v>146</v>
      </c>
      <c r="B2353" t="s">
        <v>96</v>
      </c>
      <c r="C2353">
        <v>74</v>
      </c>
      <c r="D2353" t="s">
        <v>235</v>
      </c>
      <c r="E2353" s="1">
        <v>3</v>
      </c>
      <c r="F2353" s="1" t="s">
        <v>321</v>
      </c>
      <c r="G2353" s="1">
        <v>60</v>
      </c>
      <c r="H2353" s="1" t="s">
        <v>321</v>
      </c>
    </row>
    <row r="2354" spans="1:8">
      <c r="A2354">
        <v>148</v>
      </c>
      <c r="B2354" t="s">
        <v>567</v>
      </c>
      <c r="C2354">
        <v>1</v>
      </c>
      <c r="D2354" t="s">
        <v>137</v>
      </c>
      <c r="E2354" s="1">
        <v>1</v>
      </c>
      <c r="F2354" s="1">
        <v>15</v>
      </c>
      <c r="G2354" s="1">
        <v>80</v>
      </c>
      <c r="H2354" s="1">
        <v>15</v>
      </c>
    </row>
    <row r="2355" spans="1:8">
      <c r="A2355">
        <v>148</v>
      </c>
      <c r="B2355" t="s">
        <v>567</v>
      </c>
      <c r="C2355">
        <v>1</v>
      </c>
      <c r="D2355" t="s">
        <v>137</v>
      </c>
      <c r="E2355" s="1">
        <v>1</v>
      </c>
      <c r="F2355" s="1" t="s">
        <v>150</v>
      </c>
      <c r="G2355" s="1">
        <v>82</v>
      </c>
      <c r="H2355" s="1" t="s">
        <v>150</v>
      </c>
    </row>
    <row r="2356" spans="1:8">
      <c r="A2356">
        <v>148</v>
      </c>
      <c r="B2356" t="s">
        <v>567</v>
      </c>
      <c r="C2356">
        <v>1</v>
      </c>
      <c r="D2356" t="s">
        <v>137</v>
      </c>
      <c r="E2356" s="1">
        <v>1</v>
      </c>
      <c r="F2356" s="1">
        <v>16</v>
      </c>
      <c r="G2356" s="1">
        <v>90</v>
      </c>
      <c r="H2356" s="1">
        <v>16</v>
      </c>
    </row>
    <row r="2357" spans="1:8">
      <c r="A2357">
        <v>148</v>
      </c>
      <c r="B2357" t="s">
        <v>567</v>
      </c>
      <c r="C2357">
        <v>1</v>
      </c>
      <c r="D2357" t="s">
        <v>137</v>
      </c>
      <c r="E2357" s="1">
        <v>1</v>
      </c>
      <c r="F2357" s="1" t="s">
        <v>153</v>
      </c>
      <c r="G2357" s="1">
        <v>92</v>
      </c>
      <c r="H2357" s="1" t="s">
        <v>153</v>
      </c>
    </row>
    <row r="2358" spans="1:8">
      <c r="A2358">
        <v>148</v>
      </c>
      <c r="B2358" t="s">
        <v>567</v>
      </c>
      <c r="C2358">
        <v>1</v>
      </c>
      <c r="D2358" t="s">
        <v>137</v>
      </c>
      <c r="E2358" s="1">
        <v>1</v>
      </c>
      <c r="F2358" s="1">
        <v>17</v>
      </c>
      <c r="G2358" s="1">
        <v>94</v>
      </c>
      <c r="H2358" s="1">
        <v>17</v>
      </c>
    </row>
    <row r="2359" spans="1:8">
      <c r="A2359">
        <v>148</v>
      </c>
      <c r="B2359" t="s">
        <v>567</v>
      </c>
      <c r="C2359">
        <v>1</v>
      </c>
      <c r="D2359" t="s">
        <v>137</v>
      </c>
      <c r="E2359" s="1">
        <v>1</v>
      </c>
      <c r="F2359" s="1" t="s">
        <v>156</v>
      </c>
      <c r="G2359" s="1">
        <v>96</v>
      </c>
      <c r="H2359" s="1" t="s">
        <v>156</v>
      </c>
    </row>
    <row r="2360" spans="1:8">
      <c r="A2360">
        <v>148</v>
      </c>
      <c r="B2360" t="s">
        <v>567</v>
      </c>
      <c r="C2360">
        <v>1</v>
      </c>
      <c r="D2360" t="s">
        <v>137</v>
      </c>
      <c r="E2360" s="1">
        <v>2</v>
      </c>
      <c r="F2360" s="1" t="s">
        <v>159</v>
      </c>
      <c r="G2360" s="1">
        <v>2</v>
      </c>
      <c r="H2360" s="1" t="s">
        <v>159</v>
      </c>
    </row>
    <row r="2361" spans="1:8">
      <c r="A2361">
        <v>148</v>
      </c>
      <c r="B2361" t="s">
        <v>567</v>
      </c>
      <c r="C2361">
        <v>1</v>
      </c>
      <c r="D2361" t="s">
        <v>137</v>
      </c>
      <c r="E2361" s="1">
        <v>2</v>
      </c>
      <c r="F2361" s="1">
        <v>19</v>
      </c>
      <c r="G2361" s="1">
        <v>10</v>
      </c>
      <c r="H2361" s="1">
        <v>19</v>
      </c>
    </row>
    <row r="2362" spans="1:8">
      <c r="A2362">
        <v>148</v>
      </c>
      <c r="B2362" t="s">
        <v>567</v>
      </c>
      <c r="C2362">
        <v>1</v>
      </c>
      <c r="D2362" t="s">
        <v>137</v>
      </c>
      <c r="E2362" s="1">
        <v>2</v>
      </c>
      <c r="F2362" s="1" t="s">
        <v>162</v>
      </c>
      <c r="G2362" s="1">
        <v>12</v>
      </c>
      <c r="H2362" s="1" t="s">
        <v>162</v>
      </c>
    </row>
    <row r="2363" spans="1:8">
      <c r="A2363">
        <v>148</v>
      </c>
      <c r="B2363" t="s">
        <v>567</v>
      </c>
      <c r="C2363">
        <v>1</v>
      </c>
      <c r="D2363" t="s">
        <v>137</v>
      </c>
      <c r="E2363" s="1">
        <v>2</v>
      </c>
      <c r="F2363" s="1">
        <v>20</v>
      </c>
      <c r="G2363" s="1">
        <v>20</v>
      </c>
      <c r="H2363" s="1">
        <v>20</v>
      </c>
    </row>
    <row r="2364" spans="1:8">
      <c r="A2364">
        <v>148</v>
      </c>
      <c r="B2364" t="s">
        <v>567</v>
      </c>
      <c r="C2364">
        <v>1</v>
      </c>
      <c r="D2364" t="s">
        <v>137</v>
      </c>
      <c r="E2364" s="1">
        <v>2</v>
      </c>
      <c r="F2364" s="1" t="s">
        <v>165</v>
      </c>
      <c r="G2364" s="1">
        <v>22</v>
      </c>
      <c r="H2364" s="1" t="s">
        <v>165</v>
      </c>
    </row>
    <row r="2365" spans="1:8">
      <c r="A2365">
        <v>148</v>
      </c>
      <c r="B2365" t="s">
        <v>567</v>
      </c>
      <c r="C2365">
        <v>1</v>
      </c>
      <c r="D2365" t="s">
        <v>137</v>
      </c>
      <c r="E2365" s="1">
        <v>2</v>
      </c>
      <c r="F2365" s="1">
        <v>21</v>
      </c>
      <c r="G2365" s="1">
        <v>30</v>
      </c>
      <c r="H2365" s="1">
        <v>21</v>
      </c>
    </row>
    <row r="2366" spans="1:8">
      <c r="A2366">
        <v>148</v>
      </c>
      <c r="B2366" t="s">
        <v>567</v>
      </c>
      <c r="C2366">
        <v>1</v>
      </c>
      <c r="D2366" t="s">
        <v>137</v>
      </c>
      <c r="E2366" s="1">
        <v>2</v>
      </c>
      <c r="F2366" s="1" t="s">
        <v>168</v>
      </c>
      <c r="G2366" s="1">
        <v>32</v>
      </c>
      <c r="H2366" s="1" t="s">
        <v>168</v>
      </c>
    </row>
    <row r="2367" spans="1:8">
      <c r="A2367">
        <v>148</v>
      </c>
      <c r="B2367" t="s">
        <v>567</v>
      </c>
      <c r="C2367">
        <v>1</v>
      </c>
      <c r="D2367" t="s">
        <v>137</v>
      </c>
      <c r="E2367" s="1">
        <v>2</v>
      </c>
      <c r="F2367" s="1">
        <v>22</v>
      </c>
      <c r="G2367" s="1">
        <v>40</v>
      </c>
      <c r="H2367" s="1">
        <v>22</v>
      </c>
    </row>
    <row r="2368" spans="1:8">
      <c r="A2368">
        <v>148</v>
      </c>
      <c r="B2368" t="s">
        <v>567</v>
      </c>
      <c r="C2368">
        <v>1</v>
      </c>
      <c r="D2368" t="s">
        <v>137</v>
      </c>
      <c r="E2368" s="1">
        <v>2</v>
      </c>
      <c r="F2368" s="1" t="s">
        <v>171</v>
      </c>
      <c r="G2368" s="1">
        <v>42</v>
      </c>
      <c r="H2368" s="1" t="s">
        <v>171</v>
      </c>
    </row>
    <row r="2369" spans="1:8">
      <c r="A2369">
        <v>148</v>
      </c>
      <c r="B2369" t="s">
        <v>567</v>
      </c>
      <c r="C2369">
        <v>1</v>
      </c>
      <c r="D2369" t="s">
        <v>137</v>
      </c>
      <c r="E2369" s="1">
        <v>2</v>
      </c>
      <c r="F2369" s="1">
        <v>23</v>
      </c>
      <c r="G2369" s="1">
        <v>50</v>
      </c>
      <c r="H2369" s="1">
        <v>23</v>
      </c>
    </row>
    <row r="2370" spans="1:8">
      <c r="A2370">
        <v>148</v>
      </c>
      <c r="B2370" t="s">
        <v>567</v>
      </c>
      <c r="C2370">
        <v>1</v>
      </c>
      <c r="D2370" t="s">
        <v>137</v>
      </c>
      <c r="E2370" s="1">
        <v>2</v>
      </c>
      <c r="F2370" s="1">
        <v>24</v>
      </c>
      <c r="G2370" s="1">
        <v>60</v>
      </c>
      <c r="H2370" s="1">
        <v>24</v>
      </c>
    </row>
    <row r="2371" spans="1:8">
      <c r="A2371">
        <v>148</v>
      </c>
      <c r="B2371" t="s">
        <v>567</v>
      </c>
      <c r="C2371">
        <v>1</v>
      </c>
      <c r="D2371" t="s">
        <v>137</v>
      </c>
      <c r="E2371" s="1">
        <v>2</v>
      </c>
      <c r="F2371" s="1">
        <v>18</v>
      </c>
      <c r="H2371" s="1">
        <v>18</v>
      </c>
    </row>
    <row r="2372" spans="1:8">
      <c r="A2372">
        <v>148</v>
      </c>
      <c r="B2372" t="s">
        <v>567</v>
      </c>
      <c r="C2372">
        <v>5</v>
      </c>
      <c r="D2372" t="s">
        <v>183</v>
      </c>
      <c r="G2372" s="1">
        <v>60</v>
      </c>
    </row>
    <row r="2373" spans="1:8">
      <c r="A2373">
        <v>148</v>
      </c>
      <c r="B2373" t="s">
        <v>567</v>
      </c>
      <c r="C2373">
        <v>11</v>
      </c>
      <c r="D2373" t="s">
        <v>186</v>
      </c>
      <c r="E2373" s="1">
        <v>1</v>
      </c>
      <c r="F2373" s="1" t="s">
        <v>193</v>
      </c>
      <c r="G2373" s="1">
        <v>12</v>
      </c>
      <c r="H2373" s="1" t="s">
        <v>193</v>
      </c>
    </row>
    <row r="2374" spans="1:8">
      <c r="A2374">
        <v>148</v>
      </c>
      <c r="B2374" t="s">
        <v>567</v>
      </c>
      <c r="C2374">
        <v>11</v>
      </c>
      <c r="D2374" t="s">
        <v>186</v>
      </c>
      <c r="E2374" s="1">
        <v>1</v>
      </c>
      <c r="F2374" s="1" t="s">
        <v>194</v>
      </c>
      <c r="G2374" s="1">
        <v>22</v>
      </c>
      <c r="H2374" s="1" t="s">
        <v>194</v>
      </c>
    </row>
    <row r="2375" spans="1:8">
      <c r="A2375">
        <v>148</v>
      </c>
      <c r="B2375" t="s">
        <v>567</v>
      </c>
      <c r="C2375">
        <v>11</v>
      </c>
      <c r="D2375" t="s">
        <v>186</v>
      </c>
      <c r="E2375" s="1">
        <v>1</v>
      </c>
      <c r="F2375" s="1" t="s">
        <v>199</v>
      </c>
      <c r="G2375" s="1">
        <v>72</v>
      </c>
      <c r="H2375" s="1" t="s">
        <v>199</v>
      </c>
    </row>
    <row r="2376" spans="1:8">
      <c r="A2376">
        <v>148</v>
      </c>
      <c r="B2376" t="s">
        <v>567</v>
      </c>
      <c r="C2376">
        <v>11</v>
      </c>
      <c r="D2376" t="s">
        <v>186</v>
      </c>
      <c r="G2376" s="1">
        <v>96</v>
      </c>
    </row>
    <row r="2377" spans="1:8">
      <c r="A2377">
        <v>148</v>
      </c>
      <c r="B2377" t="s">
        <v>567</v>
      </c>
      <c r="C2377">
        <v>13</v>
      </c>
      <c r="D2377" t="s">
        <v>200</v>
      </c>
      <c r="E2377" s="1">
        <v>1</v>
      </c>
      <c r="F2377" s="1" t="s">
        <v>192</v>
      </c>
      <c r="G2377" s="1">
        <v>2</v>
      </c>
      <c r="H2377" s="1" t="s">
        <v>192</v>
      </c>
    </row>
    <row r="2378" spans="1:8">
      <c r="A2378">
        <v>148</v>
      </c>
      <c r="B2378" t="s">
        <v>567</v>
      </c>
      <c r="C2378">
        <v>13</v>
      </c>
      <c r="D2378" t="s">
        <v>200</v>
      </c>
      <c r="E2378" s="1">
        <v>1</v>
      </c>
      <c r="F2378" s="1" t="s">
        <v>196</v>
      </c>
      <c r="G2378" s="1">
        <v>42</v>
      </c>
      <c r="H2378" s="1" t="s">
        <v>196</v>
      </c>
    </row>
    <row r="2379" spans="1:8">
      <c r="A2379">
        <v>148</v>
      </c>
      <c r="B2379" t="s">
        <v>567</v>
      </c>
      <c r="C2379">
        <v>13</v>
      </c>
      <c r="D2379" t="s">
        <v>200</v>
      </c>
      <c r="E2379" s="1">
        <v>1</v>
      </c>
      <c r="F2379" s="1" t="s">
        <v>199</v>
      </c>
      <c r="G2379" s="1">
        <v>72</v>
      </c>
      <c r="H2379" s="1" t="s">
        <v>199</v>
      </c>
    </row>
    <row r="2380" spans="1:8">
      <c r="A2380">
        <v>148</v>
      </c>
      <c r="B2380" t="s">
        <v>567</v>
      </c>
      <c r="C2380">
        <v>74</v>
      </c>
      <c r="D2380" t="s">
        <v>235</v>
      </c>
      <c r="E2380" s="1">
        <v>3</v>
      </c>
      <c r="F2380" s="1" t="s">
        <v>321</v>
      </c>
      <c r="G2380" s="1">
        <v>60</v>
      </c>
      <c r="H2380" s="1" t="s">
        <v>321</v>
      </c>
    </row>
    <row r="2381" spans="1:8">
      <c r="A2381">
        <v>149</v>
      </c>
      <c r="B2381" t="s">
        <v>568</v>
      </c>
      <c r="C2381">
        <v>1</v>
      </c>
      <c r="D2381" t="s">
        <v>137</v>
      </c>
      <c r="E2381" s="1">
        <v>1</v>
      </c>
      <c r="F2381" s="1">
        <v>15</v>
      </c>
      <c r="G2381" s="1">
        <v>80</v>
      </c>
      <c r="H2381" s="1">
        <v>15</v>
      </c>
    </row>
    <row r="2382" spans="1:8">
      <c r="A2382">
        <v>149</v>
      </c>
      <c r="B2382" t="s">
        <v>568</v>
      </c>
      <c r="C2382">
        <v>1</v>
      </c>
      <c r="D2382" t="s">
        <v>137</v>
      </c>
      <c r="E2382" s="1">
        <v>1</v>
      </c>
      <c r="F2382" s="1" t="s">
        <v>156</v>
      </c>
      <c r="G2382" s="1">
        <v>96</v>
      </c>
      <c r="H2382" s="1" t="s">
        <v>156</v>
      </c>
    </row>
    <row r="2383" spans="1:8">
      <c r="A2383">
        <v>149</v>
      </c>
      <c r="B2383" t="s">
        <v>568</v>
      </c>
      <c r="C2383">
        <v>1</v>
      </c>
      <c r="D2383" t="s">
        <v>137</v>
      </c>
      <c r="E2383" s="1">
        <v>2</v>
      </c>
      <c r="F2383" s="1">
        <v>19</v>
      </c>
      <c r="G2383" s="1">
        <v>10</v>
      </c>
      <c r="H2383" s="1">
        <v>19</v>
      </c>
    </row>
    <row r="2384" spans="1:8">
      <c r="A2384">
        <v>149</v>
      </c>
      <c r="B2384" t="s">
        <v>568</v>
      </c>
      <c r="C2384">
        <v>1</v>
      </c>
      <c r="D2384" t="s">
        <v>137</v>
      </c>
      <c r="E2384" s="1">
        <v>2</v>
      </c>
      <c r="F2384" s="1" t="s">
        <v>162</v>
      </c>
      <c r="G2384" s="1">
        <v>12</v>
      </c>
      <c r="H2384" s="1" t="s">
        <v>162</v>
      </c>
    </row>
    <row r="2385" spans="1:8">
      <c r="A2385">
        <v>149</v>
      </c>
      <c r="B2385" t="s">
        <v>568</v>
      </c>
      <c r="C2385">
        <v>1</v>
      </c>
      <c r="D2385" t="s">
        <v>137</v>
      </c>
      <c r="E2385" s="1">
        <v>2</v>
      </c>
      <c r="F2385" s="1" t="s">
        <v>165</v>
      </c>
      <c r="G2385" s="1">
        <v>22</v>
      </c>
      <c r="H2385" s="1" t="s">
        <v>165</v>
      </c>
    </row>
    <row r="2386" spans="1:8">
      <c r="A2386">
        <v>149</v>
      </c>
      <c r="B2386" t="s">
        <v>568</v>
      </c>
      <c r="C2386">
        <v>1</v>
      </c>
      <c r="D2386" t="s">
        <v>137</v>
      </c>
      <c r="E2386" s="1">
        <v>2</v>
      </c>
      <c r="F2386" s="1">
        <v>21</v>
      </c>
      <c r="G2386" s="1">
        <v>30</v>
      </c>
      <c r="H2386" s="1">
        <v>21</v>
      </c>
    </row>
    <row r="2387" spans="1:8">
      <c r="A2387">
        <v>149</v>
      </c>
      <c r="B2387" t="s">
        <v>568</v>
      </c>
      <c r="C2387">
        <v>1</v>
      </c>
      <c r="D2387" t="s">
        <v>137</v>
      </c>
      <c r="E2387" s="1">
        <v>2</v>
      </c>
      <c r="F2387" s="1" t="s">
        <v>168</v>
      </c>
      <c r="G2387" s="1">
        <v>32</v>
      </c>
      <c r="H2387" s="1" t="s">
        <v>168</v>
      </c>
    </row>
    <row r="2388" spans="1:8">
      <c r="A2388">
        <v>149</v>
      </c>
      <c r="B2388" t="s">
        <v>568</v>
      </c>
      <c r="C2388">
        <v>1</v>
      </c>
      <c r="D2388" t="s">
        <v>137</v>
      </c>
      <c r="E2388" s="1">
        <v>2</v>
      </c>
      <c r="F2388" s="1">
        <v>22</v>
      </c>
      <c r="G2388" s="1">
        <v>40</v>
      </c>
      <c r="H2388" s="1">
        <v>22</v>
      </c>
    </row>
    <row r="2389" spans="1:8">
      <c r="A2389">
        <v>149</v>
      </c>
      <c r="B2389" t="s">
        <v>568</v>
      </c>
      <c r="C2389">
        <v>1</v>
      </c>
      <c r="D2389" t="s">
        <v>137</v>
      </c>
      <c r="E2389" s="1">
        <v>2</v>
      </c>
      <c r="F2389" s="1">
        <v>23</v>
      </c>
      <c r="G2389" s="1">
        <v>50</v>
      </c>
      <c r="H2389" s="1">
        <v>23</v>
      </c>
    </row>
    <row r="2390" spans="1:8">
      <c r="A2390">
        <v>149</v>
      </c>
      <c r="B2390" t="s">
        <v>568</v>
      </c>
      <c r="C2390">
        <v>6</v>
      </c>
      <c r="D2390" t="s">
        <v>184</v>
      </c>
      <c r="G2390" s="1">
        <v>63</v>
      </c>
    </row>
    <row r="2391" spans="1:8">
      <c r="A2391">
        <v>149</v>
      </c>
      <c r="B2391" t="s">
        <v>568</v>
      </c>
      <c r="C2391">
        <v>11</v>
      </c>
      <c r="D2391" t="s">
        <v>186</v>
      </c>
      <c r="E2391" s="1">
        <v>1</v>
      </c>
      <c r="F2391" s="1" t="s">
        <v>194</v>
      </c>
      <c r="G2391" s="1">
        <v>22</v>
      </c>
      <c r="H2391" s="1" t="s">
        <v>194</v>
      </c>
    </row>
    <row r="2392" spans="1:8">
      <c r="A2392">
        <v>149</v>
      </c>
      <c r="B2392" t="s">
        <v>568</v>
      </c>
      <c r="C2392">
        <v>11</v>
      </c>
      <c r="D2392" t="s">
        <v>186</v>
      </c>
      <c r="E2392" s="1">
        <v>1</v>
      </c>
      <c r="F2392" s="1" t="s">
        <v>196</v>
      </c>
      <c r="G2392" s="1">
        <v>42</v>
      </c>
      <c r="H2392" s="1" t="s">
        <v>196</v>
      </c>
    </row>
    <row r="2393" spans="1:8">
      <c r="A2393">
        <v>149</v>
      </c>
      <c r="B2393" t="s">
        <v>568</v>
      </c>
      <c r="C2393">
        <v>11</v>
      </c>
      <c r="D2393" t="s">
        <v>186</v>
      </c>
      <c r="E2393" s="1">
        <v>1</v>
      </c>
      <c r="F2393" s="1">
        <v>44</v>
      </c>
      <c r="G2393" s="1">
        <v>50</v>
      </c>
      <c r="H2393" s="1">
        <v>44</v>
      </c>
    </row>
    <row r="2394" spans="1:8">
      <c r="A2394">
        <v>149</v>
      </c>
      <c r="B2394" t="s">
        <v>568</v>
      </c>
      <c r="C2394">
        <v>11</v>
      </c>
      <c r="D2394" t="s">
        <v>186</v>
      </c>
      <c r="E2394" s="1">
        <v>1</v>
      </c>
      <c r="F2394" s="1" t="s">
        <v>198</v>
      </c>
      <c r="G2394" s="1">
        <v>62</v>
      </c>
      <c r="H2394" s="1" t="s">
        <v>198</v>
      </c>
    </row>
    <row r="2395" spans="1:8">
      <c r="A2395">
        <v>149</v>
      </c>
      <c r="B2395" t="s">
        <v>568</v>
      </c>
      <c r="C2395">
        <v>12</v>
      </c>
      <c r="D2395" t="s">
        <v>107</v>
      </c>
      <c r="E2395" s="1">
        <v>1</v>
      </c>
      <c r="F2395" s="1">
        <v>43</v>
      </c>
      <c r="G2395" s="1">
        <v>40</v>
      </c>
      <c r="H2395" s="1">
        <v>43</v>
      </c>
    </row>
    <row r="2396" spans="1:8">
      <c r="A2396">
        <v>149</v>
      </c>
      <c r="B2396" t="s">
        <v>568</v>
      </c>
      <c r="C2396">
        <v>12</v>
      </c>
      <c r="D2396" t="s">
        <v>107</v>
      </c>
      <c r="E2396" s="1">
        <v>1</v>
      </c>
      <c r="F2396" s="1" t="s">
        <v>196</v>
      </c>
      <c r="G2396" s="1">
        <v>42</v>
      </c>
      <c r="H2396" s="1" t="s">
        <v>196</v>
      </c>
    </row>
    <row r="2397" spans="1:8">
      <c r="A2397">
        <v>149</v>
      </c>
      <c r="B2397" t="s">
        <v>568</v>
      </c>
      <c r="C2397">
        <v>12</v>
      </c>
      <c r="D2397" t="s">
        <v>107</v>
      </c>
      <c r="E2397" s="1">
        <v>1</v>
      </c>
      <c r="F2397" s="1">
        <v>44</v>
      </c>
      <c r="G2397" s="1">
        <v>50</v>
      </c>
      <c r="H2397" s="1">
        <v>44</v>
      </c>
    </row>
    <row r="2398" spans="1:8">
      <c r="A2398">
        <v>149</v>
      </c>
      <c r="B2398" t="s">
        <v>568</v>
      </c>
      <c r="C2398">
        <v>12</v>
      </c>
      <c r="D2398" t="s">
        <v>107</v>
      </c>
      <c r="E2398" s="1">
        <v>1</v>
      </c>
      <c r="F2398" s="1" t="s">
        <v>197</v>
      </c>
      <c r="G2398" s="1">
        <v>52</v>
      </c>
      <c r="H2398" s="1" t="s">
        <v>197</v>
      </c>
    </row>
    <row r="2399" spans="1:8">
      <c r="A2399">
        <v>149</v>
      </c>
      <c r="B2399" t="s">
        <v>568</v>
      </c>
      <c r="C2399">
        <v>12</v>
      </c>
      <c r="D2399" t="s">
        <v>107</v>
      </c>
      <c r="E2399" s="1">
        <v>1</v>
      </c>
      <c r="F2399" s="1" t="s">
        <v>198</v>
      </c>
      <c r="G2399" s="1">
        <v>62</v>
      </c>
      <c r="H2399" s="1" t="s">
        <v>198</v>
      </c>
    </row>
    <row r="2400" spans="1:8">
      <c r="A2400">
        <v>149</v>
      </c>
      <c r="B2400" t="s">
        <v>568</v>
      </c>
      <c r="C2400">
        <v>13</v>
      </c>
      <c r="D2400" t="s">
        <v>200</v>
      </c>
      <c r="E2400" s="1">
        <v>1</v>
      </c>
      <c r="F2400" s="1" t="s">
        <v>193</v>
      </c>
      <c r="G2400" s="1">
        <v>12</v>
      </c>
      <c r="H2400" s="1" t="s">
        <v>193</v>
      </c>
    </row>
    <row r="2401" spans="1:8">
      <c r="A2401">
        <v>149</v>
      </c>
      <c r="B2401" t="s">
        <v>568</v>
      </c>
      <c r="C2401">
        <v>13</v>
      </c>
      <c r="D2401" t="s">
        <v>200</v>
      </c>
      <c r="E2401" s="1">
        <v>1</v>
      </c>
      <c r="F2401" s="1" t="s">
        <v>194</v>
      </c>
      <c r="G2401" s="1">
        <v>22</v>
      </c>
      <c r="H2401" s="1" t="s">
        <v>194</v>
      </c>
    </row>
    <row r="2402" spans="1:8">
      <c r="A2402">
        <v>149</v>
      </c>
      <c r="B2402" t="s">
        <v>568</v>
      </c>
      <c r="C2402">
        <v>13</v>
      </c>
      <c r="D2402" t="s">
        <v>200</v>
      </c>
      <c r="E2402" s="1">
        <v>1</v>
      </c>
      <c r="F2402" s="1" t="s">
        <v>195</v>
      </c>
      <c r="G2402" s="1">
        <v>32</v>
      </c>
      <c r="H2402" s="1" t="s">
        <v>195</v>
      </c>
    </row>
    <row r="2403" spans="1:8">
      <c r="A2403">
        <v>149</v>
      </c>
      <c r="B2403" t="s">
        <v>568</v>
      </c>
      <c r="C2403">
        <v>13</v>
      </c>
      <c r="D2403" t="s">
        <v>200</v>
      </c>
      <c r="E2403" s="1">
        <v>1</v>
      </c>
      <c r="F2403" s="1">
        <v>43</v>
      </c>
      <c r="G2403" s="1">
        <v>40</v>
      </c>
      <c r="H2403" s="1">
        <v>43</v>
      </c>
    </row>
    <row r="2404" spans="1:8">
      <c r="A2404">
        <v>149</v>
      </c>
      <c r="B2404" t="s">
        <v>568</v>
      </c>
      <c r="C2404">
        <v>13</v>
      </c>
      <c r="D2404" t="s">
        <v>200</v>
      </c>
      <c r="E2404" s="1">
        <v>1</v>
      </c>
      <c r="F2404" s="1" t="s">
        <v>196</v>
      </c>
      <c r="G2404" s="1">
        <v>42</v>
      </c>
      <c r="H2404" s="1" t="s">
        <v>196</v>
      </c>
    </row>
    <row r="2405" spans="1:8">
      <c r="A2405">
        <v>149</v>
      </c>
      <c r="B2405" t="s">
        <v>568</v>
      </c>
      <c r="C2405">
        <v>13</v>
      </c>
      <c r="D2405" t="s">
        <v>200</v>
      </c>
      <c r="E2405" s="1">
        <v>1</v>
      </c>
      <c r="F2405" s="1">
        <v>44</v>
      </c>
      <c r="G2405" s="1">
        <v>50</v>
      </c>
      <c r="H2405" s="1">
        <v>44</v>
      </c>
    </row>
    <row r="2406" spans="1:8">
      <c r="A2406">
        <v>149</v>
      </c>
      <c r="B2406" t="s">
        <v>568</v>
      </c>
      <c r="C2406">
        <v>13</v>
      </c>
      <c r="D2406" t="s">
        <v>200</v>
      </c>
      <c r="E2406" s="1">
        <v>1</v>
      </c>
      <c r="F2406" s="1" t="s">
        <v>197</v>
      </c>
      <c r="G2406" s="1">
        <v>52</v>
      </c>
      <c r="H2406" s="1" t="s">
        <v>197</v>
      </c>
    </row>
    <row r="2407" spans="1:8">
      <c r="A2407">
        <v>149</v>
      </c>
      <c r="B2407" t="s">
        <v>568</v>
      </c>
      <c r="C2407">
        <v>13</v>
      </c>
      <c r="D2407" t="s">
        <v>200</v>
      </c>
      <c r="E2407" s="1">
        <v>1</v>
      </c>
      <c r="F2407" s="1">
        <v>45</v>
      </c>
      <c r="G2407" s="1">
        <v>60</v>
      </c>
      <c r="H2407" s="1">
        <v>45</v>
      </c>
    </row>
    <row r="2408" spans="1:8">
      <c r="A2408">
        <v>149</v>
      </c>
      <c r="B2408" t="s">
        <v>568</v>
      </c>
      <c r="C2408">
        <v>13</v>
      </c>
      <c r="D2408" t="s">
        <v>200</v>
      </c>
      <c r="E2408" s="1">
        <v>1</v>
      </c>
      <c r="F2408" s="1" t="s">
        <v>198</v>
      </c>
      <c r="G2408" s="1">
        <v>62</v>
      </c>
      <c r="H2408" s="1" t="s">
        <v>198</v>
      </c>
    </row>
    <row r="2409" spans="1:8">
      <c r="A2409">
        <v>149</v>
      </c>
      <c r="B2409" t="s">
        <v>568</v>
      </c>
      <c r="C2409">
        <v>21</v>
      </c>
      <c r="D2409" t="s">
        <v>205</v>
      </c>
      <c r="E2409" s="1">
        <v>1</v>
      </c>
      <c r="F2409" s="1" t="s">
        <v>332</v>
      </c>
      <c r="G2409" s="1">
        <v>40</v>
      </c>
      <c r="H2409" s="1" t="s">
        <v>332</v>
      </c>
    </row>
    <row r="2410" spans="1:8">
      <c r="A2410">
        <v>149</v>
      </c>
      <c r="B2410" t="s">
        <v>568</v>
      </c>
      <c r="C2410">
        <v>27</v>
      </c>
      <c r="D2410" t="s">
        <v>210</v>
      </c>
      <c r="E2410" s="1">
        <v>1</v>
      </c>
      <c r="F2410" s="1">
        <v>40</v>
      </c>
      <c r="G2410" s="1">
        <v>10</v>
      </c>
      <c r="H2410" s="1">
        <v>40</v>
      </c>
    </row>
    <row r="2411" spans="1:8">
      <c r="A2411">
        <v>149</v>
      </c>
      <c r="B2411" t="s">
        <v>568</v>
      </c>
      <c r="C2411">
        <v>27</v>
      </c>
      <c r="D2411" t="s">
        <v>210</v>
      </c>
      <c r="E2411" s="1">
        <v>1</v>
      </c>
      <c r="F2411" s="1" t="s">
        <v>193</v>
      </c>
      <c r="G2411" s="1">
        <v>12</v>
      </c>
      <c r="H2411" s="1" t="s">
        <v>193</v>
      </c>
    </row>
    <row r="2412" spans="1:8">
      <c r="A2412">
        <v>149</v>
      </c>
      <c r="B2412" t="s">
        <v>568</v>
      </c>
      <c r="C2412">
        <v>27</v>
      </c>
      <c r="D2412" t="s">
        <v>210</v>
      </c>
      <c r="E2412" s="1">
        <v>1</v>
      </c>
      <c r="F2412" s="1">
        <v>41</v>
      </c>
      <c r="G2412" s="1">
        <v>20</v>
      </c>
      <c r="H2412" s="1">
        <v>41</v>
      </c>
    </row>
    <row r="2413" spans="1:8">
      <c r="A2413">
        <v>149</v>
      </c>
      <c r="B2413" t="s">
        <v>568</v>
      </c>
      <c r="C2413">
        <v>27</v>
      </c>
      <c r="D2413" t="s">
        <v>210</v>
      </c>
      <c r="E2413" s="1">
        <v>1</v>
      </c>
      <c r="F2413" s="1" t="s">
        <v>194</v>
      </c>
      <c r="G2413" s="1">
        <v>22</v>
      </c>
      <c r="H2413" s="1" t="s">
        <v>194</v>
      </c>
    </row>
    <row r="2414" spans="1:8">
      <c r="A2414">
        <v>149</v>
      </c>
      <c r="B2414" t="s">
        <v>568</v>
      </c>
      <c r="C2414">
        <v>27</v>
      </c>
      <c r="D2414" t="s">
        <v>210</v>
      </c>
      <c r="E2414" s="1">
        <v>1</v>
      </c>
      <c r="F2414" s="1">
        <v>42</v>
      </c>
      <c r="G2414" s="1">
        <v>30</v>
      </c>
      <c r="H2414" s="1">
        <v>42</v>
      </c>
    </row>
    <row r="2415" spans="1:8">
      <c r="A2415">
        <v>149</v>
      </c>
      <c r="B2415" t="s">
        <v>568</v>
      </c>
      <c r="C2415">
        <v>27</v>
      </c>
      <c r="D2415" t="s">
        <v>210</v>
      </c>
      <c r="E2415" s="1">
        <v>1</v>
      </c>
      <c r="F2415" s="1" t="s">
        <v>195</v>
      </c>
      <c r="G2415" s="1">
        <v>32</v>
      </c>
      <c r="H2415" s="1" t="s">
        <v>195</v>
      </c>
    </row>
    <row r="2416" spans="1:8">
      <c r="A2416">
        <v>149</v>
      </c>
      <c r="B2416" t="s">
        <v>568</v>
      </c>
      <c r="C2416">
        <v>27</v>
      </c>
      <c r="D2416" t="s">
        <v>210</v>
      </c>
      <c r="E2416" s="1">
        <v>1</v>
      </c>
      <c r="F2416" s="1">
        <v>43</v>
      </c>
      <c r="G2416" s="1">
        <v>40</v>
      </c>
      <c r="H2416" s="1">
        <v>43</v>
      </c>
    </row>
    <row r="2417" spans="1:8">
      <c r="A2417">
        <v>149</v>
      </c>
      <c r="B2417" t="s">
        <v>568</v>
      </c>
      <c r="C2417">
        <v>27</v>
      </c>
      <c r="D2417" t="s">
        <v>210</v>
      </c>
      <c r="E2417" s="1">
        <v>1</v>
      </c>
      <c r="F2417" s="1" t="s">
        <v>196</v>
      </c>
      <c r="G2417" s="1">
        <v>42</v>
      </c>
      <c r="H2417" s="1" t="s">
        <v>196</v>
      </c>
    </row>
    <row r="2418" spans="1:8">
      <c r="A2418">
        <v>149</v>
      </c>
      <c r="B2418" t="s">
        <v>568</v>
      </c>
      <c r="C2418">
        <v>27</v>
      </c>
      <c r="D2418" t="s">
        <v>210</v>
      </c>
      <c r="E2418" s="1">
        <v>1</v>
      </c>
      <c r="F2418" s="1">
        <v>44</v>
      </c>
      <c r="G2418" s="1">
        <v>50</v>
      </c>
      <c r="H2418" s="1">
        <v>44</v>
      </c>
    </row>
    <row r="2419" spans="1:8">
      <c r="A2419">
        <v>149</v>
      </c>
      <c r="B2419" t="s">
        <v>568</v>
      </c>
      <c r="C2419">
        <v>27</v>
      </c>
      <c r="D2419" t="s">
        <v>210</v>
      </c>
      <c r="E2419" s="1">
        <v>1</v>
      </c>
      <c r="F2419" s="1" t="s">
        <v>197</v>
      </c>
      <c r="G2419" s="1">
        <v>52</v>
      </c>
      <c r="H2419" s="1" t="s">
        <v>197</v>
      </c>
    </row>
    <row r="2420" spans="1:8">
      <c r="A2420">
        <v>149</v>
      </c>
      <c r="B2420" t="s">
        <v>568</v>
      </c>
      <c r="C2420">
        <v>27</v>
      </c>
      <c r="D2420" t="s">
        <v>210</v>
      </c>
      <c r="E2420" s="1">
        <v>1</v>
      </c>
      <c r="F2420" s="1">
        <v>45</v>
      </c>
      <c r="G2420" s="1">
        <v>60</v>
      </c>
      <c r="H2420" s="1">
        <v>45</v>
      </c>
    </row>
    <row r="2421" spans="1:8">
      <c r="A2421">
        <v>149</v>
      </c>
      <c r="B2421" t="s">
        <v>568</v>
      </c>
      <c r="C2421">
        <v>27</v>
      </c>
      <c r="D2421" t="s">
        <v>210</v>
      </c>
      <c r="E2421" s="1">
        <v>1</v>
      </c>
      <c r="F2421" s="1" t="s">
        <v>198</v>
      </c>
      <c r="G2421" s="1">
        <v>62</v>
      </c>
      <c r="H2421" s="1" t="s">
        <v>198</v>
      </c>
    </row>
    <row r="2422" spans="1:8">
      <c r="A2422">
        <v>149</v>
      </c>
      <c r="B2422" t="s">
        <v>568</v>
      </c>
      <c r="C2422">
        <v>27</v>
      </c>
      <c r="D2422" t="s">
        <v>210</v>
      </c>
      <c r="E2422" s="1">
        <v>1</v>
      </c>
      <c r="F2422" s="1" t="s">
        <v>199</v>
      </c>
      <c r="G2422" s="1">
        <v>72</v>
      </c>
      <c r="H2422" s="1" t="s">
        <v>199</v>
      </c>
    </row>
    <row r="2423" spans="1:8">
      <c r="A2423">
        <v>149</v>
      </c>
      <c r="B2423" t="s">
        <v>568</v>
      </c>
      <c r="C2423">
        <v>27</v>
      </c>
      <c r="D2423" t="s">
        <v>210</v>
      </c>
      <c r="G2423" s="1">
        <v>92</v>
      </c>
    </row>
    <row r="2424" spans="1:8">
      <c r="A2424">
        <v>149</v>
      </c>
      <c r="B2424" t="s">
        <v>568</v>
      </c>
      <c r="C2424">
        <v>41</v>
      </c>
      <c r="D2424" t="s">
        <v>219</v>
      </c>
      <c r="E2424" s="1">
        <v>1</v>
      </c>
      <c r="F2424" s="1" t="s">
        <v>442</v>
      </c>
      <c r="G2424" s="1">
        <v>10</v>
      </c>
      <c r="H2424" s="1" t="s">
        <v>442</v>
      </c>
    </row>
    <row r="2425" spans="1:8">
      <c r="A2425">
        <v>149</v>
      </c>
      <c r="B2425" t="s">
        <v>568</v>
      </c>
      <c r="C2425">
        <v>41</v>
      </c>
      <c r="D2425" t="s">
        <v>219</v>
      </c>
      <c r="E2425" s="1">
        <v>1</v>
      </c>
      <c r="F2425" s="1" t="s">
        <v>511</v>
      </c>
      <c r="G2425" s="1">
        <v>20</v>
      </c>
      <c r="H2425" s="1" t="s">
        <v>511</v>
      </c>
    </row>
    <row r="2426" spans="1:8">
      <c r="A2426">
        <v>149</v>
      </c>
      <c r="B2426" t="s">
        <v>568</v>
      </c>
      <c r="C2426">
        <v>41</v>
      </c>
      <c r="D2426" t="s">
        <v>219</v>
      </c>
      <c r="E2426" s="1">
        <v>1</v>
      </c>
      <c r="F2426" s="1" t="s">
        <v>443</v>
      </c>
      <c r="H2426" s="1" t="s">
        <v>443</v>
      </c>
    </row>
    <row r="2427" spans="1:8">
      <c r="A2427">
        <v>149</v>
      </c>
      <c r="B2427" t="s">
        <v>568</v>
      </c>
      <c r="C2427">
        <v>41</v>
      </c>
      <c r="D2427" t="s">
        <v>219</v>
      </c>
      <c r="G2427" s="1">
        <v>90</v>
      </c>
    </row>
    <row r="2428" spans="1:8">
      <c r="A2428">
        <v>149</v>
      </c>
      <c r="B2428" t="s">
        <v>568</v>
      </c>
      <c r="C2428">
        <v>57</v>
      </c>
      <c r="D2428" t="s">
        <v>183</v>
      </c>
      <c r="G2428" s="1">
        <v>60</v>
      </c>
    </row>
    <row r="2429" spans="1:8">
      <c r="A2429">
        <v>149</v>
      </c>
      <c r="B2429" t="s">
        <v>568</v>
      </c>
      <c r="C2429">
        <v>74</v>
      </c>
      <c r="D2429" t="s">
        <v>235</v>
      </c>
      <c r="E2429" s="1">
        <v>3</v>
      </c>
      <c r="F2429" s="1" t="s">
        <v>320</v>
      </c>
      <c r="G2429" s="1">
        <v>50</v>
      </c>
      <c r="H2429" s="1" t="s">
        <v>320</v>
      </c>
    </row>
    <row r="2430" spans="1:8">
      <c r="A2430">
        <v>150</v>
      </c>
      <c r="B2430" t="s">
        <v>569</v>
      </c>
      <c r="C2430">
        <v>1</v>
      </c>
      <c r="D2430" t="s">
        <v>137</v>
      </c>
      <c r="E2430" s="1">
        <v>1</v>
      </c>
      <c r="F2430" s="1">
        <v>14</v>
      </c>
      <c r="G2430" s="1">
        <v>70</v>
      </c>
      <c r="H2430" s="1">
        <v>14</v>
      </c>
    </row>
    <row r="2431" spans="1:8">
      <c r="A2431">
        <v>150</v>
      </c>
      <c r="B2431" t="s">
        <v>569</v>
      </c>
      <c r="C2431">
        <v>1</v>
      </c>
      <c r="D2431" t="s">
        <v>137</v>
      </c>
      <c r="E2431" s="1">
        <v>1</v>
      </c>
      <c r="F2431" s="1" t="s">
        <v>150</v>
      </c>
      <c r="G2431" s="1">
        <v>82</v>
      </c>
      <c r="H2431" s="1" t="s">
        <v>150</v>
      </c>
    </row>
    <row r="2432" spans="1:8">
      <c r="A2432">
        <v>150</v>
      </c>
      <c r="B2432" t="s">
        <v>569</v>
      </c>
      <c r="C2432">
        <v>1</v>
      </c>
      <c r="D2432" t="s">
        <v>137</v>
      </c>
      <c r="E2432" s="1">
        <v>1</v>
      </c>
      <c r="F2432" s="1">
        <v>16</v>
      </c>
      <c r="G2432" s="1">
        <v>90</v>
      </c>
      <c r="H2432" s="1">
        <v>16</v>
      </c>
    </row>
    <row r="2433" spans="1:8">
      <c r="A2433">
        <v>150</v>
      </c>
      <c r="B2433" t="s">
        <v>569</v>
      </c>
      <c r="C2433">
        <v>1</v>
      </c>
      <c r="D2433" t="s">
        <v>137</v>
      </c>
      <c r="E2433" s="1">
        <v>1</v>
      </c>
      <c r="F2433" s="1" t="s">
        <v>156</v>
      </c>
      <c r="G2433" s="1">
        <v>96</v>
      </c>
      <c r="H2433" s="1" t="s">
        <v>156</v>
      </c>
    </row>
    <row r="2434" spans="1:8">
      <c r="A2434">
        <v>150</v>
      </c>
      <c r="B2434" t="s">
        <v>569</v>
      </c>
      <c r="C2434">
        <v>1</v>
      </c>
      <c r="D2434" t="s">
        <v>137</v>
      </c>
      <c r="E2434" s="1">
        <v>2</v>
      </c>
      <c r="F2434" s="1">
        <v>19</v>
      </c>
      <c r="G2434" s="1">
        <v>10</v>
      </c>
      <c r="H2434" s="1">
        <v>19</v>
      </c>
    </row>
    <row r="2435" spans="1:8">
      <c r="A2435">
        <v>150</v>
      </c>
      <c r="B2435" t="s">
        <v>569</v>
      </c>
      <c r="C2435">
        <v>1</v>
      </c>
      <c r="D2435" t="s">
        <v>137</v>
      </c>
      <c r="E2435" s="1">
        <v>2</v>
      </c>
      <c r="F2435" s="1" t="s">
        <v>162</v>
      </c>
      <c r="G2435" s="1">
        <v>12</v>
      </c>
      <c r="H2435" s="1" t="s">
        <v>162</v>
      </c>
    </row>
    <row r="2436" spans="1:8">
      <c r="A2436">
        <v>150</v>
      </c>
      <c r="B2436" t="s">
        <v>569</v>
      </c>
      <c r="C2436">
        <v>1</v>
      </c>
      <c r="D2436" t="s">
        <v>137</v>
      </c>
      <c r="E2436" s="1">
        <v>2</v>
      </c>
      <c r="F2436" s="1" t="s">
        <v>165</v>
      </c>
      <c r="G2436" s="1">
        <v>22</v>
      </c>
      <c r="H2436" s="1" t="s">
        <v>165</v>
      </c>
    </row>
    <row r="2437" spans="1:8">
      <c r="A2437">
        <v>150</v>
      </c>
      <c r="B2437" t="s">
        <v>569</v>
      </c>
      <c r="C2437">
        <v>1</v>
      </c>
      <c r="D2437" t="s">
        <v>137</v>
      </c>
      <c r="E2437" s="1">
        <v>2</v>
      </c>
      <c r="F2437" s="1">
        <v>21</v>
      </c>
      <c r="G2437" s="1">
        <v>30</v>
      </c>
      <c r="H2437" s="1">
        <v>21</v>
      </c>
    </row>
    <row r="2438" spans="1:8">
      <c r="A2438">
        <v>150</v>
      </c>
      <c r="B2438" t="s">
        <v>569</v>
      </c>
      <c r="C2438">
        <v>1</v>
      </c>
      <c r="D2438" t="s">
        <v>137</v>
      </c>
      <c r="E2438" s="1">
        <v>2</v>
      </c>
      <c r="F2438" s="1" t="s">
        <v>168</v>
      </c>
      <c r="G2438" s="1">
        <v>32</v>
      </c>
      <c r="H2438" s="1" t="s">
        <v>168</v>
      </c>
    </row>
    <row r="2439" spans="1:8">
      <c r="A2439">
        <v>150</v>
      </c>
      <c r="B2439" t="s">
        <v>569</v>
      </c>
      <c r="C2439">
        <v>1</v>
      </c>
      <c r="D2439" t="s">
        <v>137</v>
      </c>
      <c r="E2439" s="1">
        <v>2</v>
      </c>
      <c r="F2439" s="1">
        <v>22</v>
      </c>
      <c r="G2439" s="1">
        <v>40</v>
      </c>
      <c r="H2439" s="1">
        <v>22</v>
      </c>
    </row>
    <row r="2440" spans="1:8">
      <c r="A2440">
        <v>150</v>
      </c>
      <c r="B2440" t="s">
        <v>569</v>
      </c>
      <c r="C2440">
        <v>1</v>
      </c>
      <c r="D2440" t="s">
        <v>137</v>
      </c>
      <c r="E2440" s="1">
        <v>2</v>
      </c>
      <c r="F2440" s="1" t="s">
        <v>171</v>
      </c>
      <c r="G2440" s="1">
        <v>42</v>
      </c>
      <c r="H2440" s="1" t="s">
        <v>171</v>
      </c>
    </row>
    <row r="2441" spans="1:8">
      <c r="A2441">
        <v>150</v>
      </c>
      <c r="B2441" t="s">
        <v>569</v>
      </c>
      <c r="C2441">
        <v>1</v>
      </c>
      <c r="D2441" t="s">
        <v>137</v>
      </c>
      <c r="E2441" s="1">
        <v>2</v>
      </c>
      <c r="F2441" s="1" t="s">
        <v>177</v>
      </c>
      <c r="G2441" s="1">
        <v>62</v>
      </c>
      <c r="H2441" s="1" t="s">
        <v>177</v>
      </c>
    </row>
    <row r="2442" spans="1:8">
      <c r="A2442">
        <v>150</v>
      </c>
      <c r="B2442" t="s">
        <v>569</v>
      </c>
      <c r="C2442">
        <v>1</v>
      </c>
      <c r="D2442" t="s">
        <v>137</v>
      </c>
      <c r="E2442" s="1">
        <v>2</v>
      </c>
      <c r="F2442" s="1">
        <v>18</v>
      </c>
      <c r="H2442" s="1">
        <v>18</v>
      </c>
    </row>
    <row r="2443" spans="1:8">
      <c r="A2443">
        <v>150</v>
      </c>
      <c r="B2443" t="s">
        <v>569</v>
      </c>
      <c r="C2443">
        <v>2</v>
      </c>
      <c r="D2443" t="s">
        <v>181</v>
      </c>
      <c r="E2443" s="1">
        <v>2</v>
      </c>
      <c r="F2443" s="1">
        <v>14</v>
      </c>
      <c r="G2443" s="1">
        <v>50</v>
      </c>
      <c r="H2443" s="1">
        <v>14</v>
      </c>
    </row>
    <row r="2444" spans="1:8">
      <c r="A2444">
        <v>150</v>
      </c>
      <c r="B2444" t="s">
        <v>569</v>
      </c>
      <c r="C2444">
        <v>11</v>
      </c>
      <c r="D2444" t="s">
        <v>186</v>
      </c>
      <c r="E2444" s="1">
        <v>1</v>
      </c>
      <c r="F2444" s="1">
        <v>42</v>
      </c>
      <c r="G2444" s="1">
        <v>30</v>
      </c>
      <c r="H2444" s="1">
        <v>42</v>
      </c>
    </row>
    <row r="2445" spans="1:8">
      <c r="A2445">
        <v>150</v>
      </c>
      <c r="B2445" t="s">
        <v>569</v>
      </c>
      <c r="C2445">
        <v>11</v>
      </c>
      <c r="D2445" t="s">
        <v>186</v>
      </c>
      <c r="E2445" s="1">
        <v>1</v>
      </c>
      <c r="F2445" s="1" t="s">
        <v>195</v>
      </c>
      <c r="G2445" s="1">
        <v>32</v>
      </c>
      <c r="H2445" s="1" t="s">
        <v>195</v>
      </c>
    </row>
    <row r="2446" spans="1:8">
      <c r="A2446">
        <v>150</v>
      </c>
      <c r="B2446" t="s">
        <v>569</v>
      </c>
      <c r="C2446">
        <v>12</v>
      </c>
      <c r="D2446" t="s">
        <v>107</v>
      </c>
      <c r="E2446" s="1">
        <v>1</v>
      </c>
      <c r="F2446" s="1" t="s">
        <v>193</v>
      </c>
      <c r="G2446" s="1">
        <v>12</v>
      </c>
      <c r="H2446" s="1" t="s">
        <v>193</v>
      </c>
    </row>
    <row r="2447" spans="1:8">
      <c r="A2447">
        <v>150</v>
      </c>
      <c r="B2447" t="s">
        <v>569</v>
      </c>
      <c r="C2447">
        <v>27</v>
      </c>
      <c r="D2447" t="s">
        <v>210</v>
      </c>
      <c r="E2447" s="1">
        <v>1</v>
      </c>
      <c r="F2447" s="1" t="s">
        <v>194</v>
      </c>
      <c r="G2447" s="1">
        <v>22</v>
      </c>
      <c r="H2447" s="1" t="s">
        <v>194</v>
      </c>
    </row>
    <row r="2448" spans="1:8">
      <c r="A2448">
        <v>150</v>
      </c>
      <c r="B2448" t="s">
        <v>569</v>
      </c>
      <c r="C2448">
        <v>27</v>
      </c>
      <c r="D2448" t="s">
        <v>210</v>
      </c>
      <c r="E2448" s="1">
        <v>1</v>
      </c>
      <c r="F2448" s="1">
        <v>42</v>
      </c>
      <c r="G2448" s="1">
        <v>30</v>
      </c>
      <c r="H2448" s="1">
        <v>42</v>
      </c>
    </row>
    <row r="2449" spans="1:8">
      <c r="A2449">
        <v>150</v>
      </c>
      <c r="B2449" t="s">
        <v>569</v>
      </c>
      <c r="C2449">
        <v>27</v>
      </c>
      <c r="D2449" t="s">
        <v>210</v>
      </c>
      <c r="E2449" s="1">
        <v>1</v>
      </c>
      <c r="F2449" s="1">
        <v>44</v>
      </c>
      <c r="G2449" s="1">
        <v>50</v>
      </c>
      <c r="H2449" s="1">
        <v>44</v>
      </c>
    </row>
    <row r="2450" spans="1:8">
      <c r="A2450">
        <v>150</v>
      </c>
      <c r="B2450" t="s">
        <v>569</v>
      </c>
      <c r="C2450">
        <v>27</v>
      </c>
      <c r="D2450" t="s">
        <v>210</v>
      </c>
      <c r="G2450" s="1">
        <v>96</v>
      </c>
    </row>
    <row r="2451" spans="1:8">
      <c r="A2451">
        <v>150</v>
      </c>
      <c r="B2451" t="s">
        <v>569</v>
      </c>
      <c r="C2451">
        <v>37</v>
      </c>
      <c r="D2451" t="s">
        <v>216</v>
      </c>
      <c r="E2451" s="1">
        <v>1</v>
      </c>
      <c r="F2451" s="1" t="s">
        <v>507</v>
      </c>
      <c r="G2451" s="1">
        <v>10</v>
      </c>
      <c r="H2451" s="1" t="s">
        <v>507</v>
      </c>
    </row>
    <row r="2452" spans="1:8">
      <c r="A2452">
        <v>150</v>
      </c>
      <c r="B2452" t="s">
        <v>569</v>
      </c>
      <c r="C2452">
        <v>37</v>
      </c>
      <c r="D2452" t="s">
        <v>216</v>
      </c>
      <c r="G2452" s="1">
        <v>30</v>
      </c>
    </row>
    <row r="2453" spans="1:8">
      <c r="A2453">
        <v>150</v>
      </c>
      <c r="B2453" t="s">
        <v>569</v>
      </c>
      <c r="C2453">
        <v>41</v>
      </c>
      <c r="D2453" t="s">
        <v>219</v>
      </c>
      <c r="E2453" s="1">
        <v>1</v>
      </c>
      <c r="F2453" s="1" t="s">
        <v>442</v>
      </c>
      <c r="G2453" s="1">
        <v>10</v>
      </c>
      <c r="H2453" s="1" t="s">
        <v>442</v>
      </c>
    </row>
    <row r="2454" spans="1:8">
      <c r="A2454">
        <v>150</v>
      </c>
      <c r="B2454" t="s">
        <v>569</v>
      </c>
      <c r="C2454">
        <v>41</v>
      </c>
      <c r="D2454" t="s">
        <v>219</v>
      </c>
      <c r="E2454" s="1">
        <v>1</v>
      </c>
      <c r="F2454" s="1" t="s">
        <v>511</v>
      </c>
      <c r="G2454" s="1">
        <v>20</v>
      </c>
      <c r="H2454" s="1" t="s">
        <v>511</v>
      </c>
    </row>
    <row r="2455" spans="1:8">
      <c r="A2455">
        <v>150</v>
      </c>
      <c r="B2455" t="s">
        <v>569</v>
      </c>
      <c r="C2455">
        <v>41</v>
      </c>
      <c r="D2455" t="s">
        <v>219</v>
      </c>
      <c r="E2455" s="1">
        <v>1</v>
      </c>
      <c r="F2455" s="1" t="s">
        <v>443</v>
      </c>
      <c r="H2455" s="1" t="s">
        <v>443</v>
      </c>
    </row>
    <row r="2456" spans="1:8">
      <c r="A2456">
        <v>150</v>
      </c>
      <c r="B2456" t="s">
        <v>569</v>
      </c>
      <c r="C2456">
        <v>41</v>
      </c>
      <c r="D2456" t="s">
        <v>219</v>
      </c>
      <c r="E2456" s="1">
        <v>11</v>
      </c>
      <c r="F2456" s="1" t="s">
        <v>570</v>
      </c>
      <c r="H2456" s="1" t="s">
        <v>571</v>
      </c>
    </row>
    <row r="2457" spans="1:8">
      <c r="A2457">
        <v>150</v>
      </c>
      <c r="B2457" t="s">
        <v>569</v>
      </c>
      <c r="C2457">
        <v>41</v>
      </c>
      <c r="D2457" t="s">
        <v>219</v>
      </c>
      <c r="E2457" s="1">
        <v>12</v>
      </c>
      <c r="F2457" s="1" t="s">
        <v>572</v>
      </c>
      <c r="H2457" s="1" t="s">
        <v>572</v>
      </c>
    </row>
    <row r="2458" spans="1:8">
      <c r="A2458">
        <v>150</v>
      </c>
      <c r="B2458" t="s">
        <v>569</v>
      </c>
      <c r="C2458">
        <v>41</v>
      </c>
      <c r="D2458" t="s">
        <v>219</v>
      </c>
      <c r="E2458" s="1">
        <v>13</v>
      </c>
      <c r="F2458" s="1" t="s">
        <v>573</v>
      </c>
      <c r="H2458" s="1" t="s">
        <v>574</v>
      </c>
    </row>
    <row r="2459" spans="1:8">
      <c r="A2459">
        <v>150</v>
      </c>
      <c r="B2459" t="s">
        <v>569</v>
      </c>
      <c r="C2459">
        <v>41</v>
      </c>
      <c r="D2459" t="s">
        <v>219</v>
      </c>
      <c r="E2459" s="1">
        <v>14</v>
      </c>
      <c r="F2459" s="1" t="s">
        <v>575</v>
      </c>
      <c r="H2459" s="1" t="s">
        <v>575</v>
      </c>
    </row>
    <row r="2460" spans="1:8">
      <c r="A2460">
        <v>150</v>
      </c>
      <c r="B2460" t="s">
        <v>569</v>
      </c>
      <c r="C2460">
        <v>41</v>
      </c>
      <c r="D2460" t="s">
        <v>219</v>
      </c>
      <c r="E2460" s="1">
        <v>15</v>
      </c>
      <c r="F2460" s="1" t="s">
        <v>576</v>
      </c>
      <c r="H2460" s="1" t="s">
        <v>576</v>
      </c>
    </row>
    <row r="2461" spans="1:8">
      <c r="A2461">
        <v>150</v>
      </c>
      <c r="B2461" t="s">
        <v>569</v>
      </c>
      <c r="C2461">
        <v>41</v>
      </c>
      <c r="D2461" t="s">
        <v>219</v>
      </c>
      <c r="E2461" s="1">
        <v>17</v>
      </c>
      <c r="F2461" s="1" t="s">
        <v>577</v>
      </c>
      <c r="H2461" s="1" t="s">
        <v>578</v>
      </c>
    </row>
    <row r="2462" spans="1:8">
      <c r="A2462">
        <v>150</v>
      </c>
      <c r="B2462" t="s">
        <v>569</v>
      </c>
      <c r="C2462">
        <v>41</v>
      </c>
      <c r="D2462" t="s">
        <v>219</v>
      </c>
      <c r="E2462" s="1">
        <v>18</v>
      </c>
      <c r="F2462" s="1" t="s">
        <v>579</v>
      </c>
      <c r="H2462" s="1" t="s">
        <v>580</v>
      </c>
    </row>
    <row r="2463" spans="1:8">
      <c r="A2463">
        <v>150</v>
      </c>
      <c r="B2463" t="s">
        <v>569</v>
      </c>
      <c r="C2463">
        <v>41</v>
      </c>
      <c r="D2463" t="s">
        <v>219</v>
      </c>
      <c r="E2463" s="1">
        <v>21</v>
      </c>
      <c r="F2463" s="1" t="s">
        <v>581</v>
      </c>
      <c r="H2463" s="1" t="s">
        <v>582</v>
      </c>
    </row>
    <row r="2464" spans="1:8">
      <c r="A2464">
        <v>150</v>
      </c>
      <c r="B2464" t="s">
        <v>569</v>
      </c>
      <c r="C2464">
        <v>41</v>
      </c>
      <c r="D2464" t="s">
        <v>219</v>
      </c>
      <c r="E2464" s="1">
        <v>28</v>
      </c>
      <c r="F2464" s="1" t="s">
        <v>583</v>
      </c>
      <c r="H2464" s="1" t="s">
        <v>584</v>
      </c>
    </row>
    <row r="2465" spans="1:8">
      <c r="A2465">
        <v>150</v>
      </c>
      <c r="B2465" t="s">
        <v>569</v>
      </c>
      <c r="C2465">
        <v>41</v>
      </c>
      <c r="D2465" t="s">
        <v>219</v>
      </c>
      <c r="G2465" s="1">
        <v>10</v>
      </c>
    </row>
    <row r="2466" spans="1:8">
      <c r="A2466">
        <v>150</v>
      </c>
      <c r="B2466" t="s">
        <v>569</v>
      </c>
      <c r="C2466">
        <v>41</v>
      </c>
      <c r="D2466" t="s">
        <v>219</v>
      </c>
      <c r="G2466" s="1">
        <v>20</v>
      </c>
    </row>
    <row r="2467" spans="1:8">
      <c r="A2467">
        <v>150</v>
      </c>
      <c r="B2467" t="s">
        <v>569</v>
      </c>
      <c r="C2467">
        <v>41</v>
      </c>
      <c r="D2467" t="s">
        <v>219</v>
      </c>
      <c r="G2467" s="1">
        <v>30</v>
      </c>
    </row>
    <row r="2468" spans="1:8">
      <c r="A2468">
        <v>150</v>
      </c>
      <c r="B2468" t="s">
        <v>569</v>
      </c>
      <c r="C2468">
        <v>41</v>
      </c>
      <c r="D2468" t="s">
        <v>219</v>
      </c>
      <c r="G2468" s="1">
        <v>40</v>
      </c>
    </row>
    <row r="2469" spans="1:8">
      <c r="A2469">
        <v>150</v>
      </c>
      <c r="B2469" t="s">
        <v>569</v>
      </c>
      <c r="C2469">
        <v>41</v>
      </c>
      <c r="D2469" t="s">
        <v>219</v>
      </c>
      <c r="G2469" s="1">
        <v>50</v>
      </c>
    </row>
    <row r="2470" spans="1:8">
      <c r="A2470">
        <v>150</v>
      </c>
      <c r="B2470" t="s">
        <v>569</v>
      </c>
      <c r="C2470">
        <v>41</v>
      </c>
      <c r="D2470" t="s">
        <v>219</v>
      </c>
      <c r="G2470" s="1">
        <v>60</v>
      </c>
    </row>
    <row r="2471" spans="1:8">
      <c r="A2471">
        <v>150</v>
      </c>
      <c r="B2471" t="s">
        <v>569</v>
      </c>
      <c r="C2471">
        <v>41</v>
      </c>
      <c r="D2471" t="s">
        <v>219</v>
      </c>
      <c r="G2471" s="1">
        <v>70</v>
      </c>
    </row>
    <row r="2472" spans="1:8">
      <c r="A2472">
        <v>150</v>
      </c>
      <c r="B2472" t="s">
        <v>569</v>
      </c>
      <c r="C2472">
        <v>41</v>
      </c>
      <c r="D2472" t="s">
        <v>219</v>
      </c>
      <c r="G2472" s="1">
        <v>80</v>
      </c>
    </row>
    <row r="2473" spans="1:8">
      <c r="A2473">
        <v>150</v>
      </c>
      <c r="B2473" t="s">
        <v>569</v>
      </c>
      <c r="C2473">
        <v>41</v>
      </c>
      <c r="D2473" t="s">
        <v>219</v>
      </c>
      <c r="G2473" s="1">
        <v>90</v>
      </c>
    </row>
    <row r="2474" spans="1:8">
      <c r="A2474">
        <v>150</v>
      </c>
      <c r="B2474" t="s">
        <v>569</v>
      </c>
      <c r="C2474">
        <v>41</v>
      </c>
      <c r="D2474" t="s">
        <v>219</v>
      </c>
      <c r="G2474" s="1">
        <v>91</v>
      </c>
    </row>
    <row r="2475" spans="1:8">
      <c r="A2475">
        <v>150</v>
      </c>
      <c r="B2475" t="s">
        <v>569</v>
      </c>
      <c r="C2475">
        <v>41</v>
      </c>
      <c r="D2475" t="s">
        <v>219</v>
      </c>
      <c r="G2475" s="1">
        <v>92</v>
      </c>
    </row>
    <row r="2476" spans="1:8">
      <c r="A2476">
        <v>150</v>
      </c>
      <c r="B2476" t="s">
        <v>569</v>
      </c>
      <c r="C2476">
        <v>41</v>
      </c>
      <c r="D2476" t="s">
        <v>219</v>
      </c>
      <c r="G2476" s="1">
        <v>94</v>
      </c>
    </row>
    <row r="2477" spans="1:8">
      <c r="A2477">
        <v>150</v>
      </c>
      <c r="B2477" t="s">
        <v>569</v>
      </c>
      <c r="C2477">
        <v>41</v>
      </c>
      <c r="D2477" t="s">
        <v>219</v>
      </c>
      <c r="G2477" s="1">
        <v>96</v>
      </c>
    </row>
    <row r="2478" spans="1:8">
      <c r="A2478">
        <v>150</v>
      </c>
      <c r="B2478" t="s">
        <v>569</v>
      </c>
      <c r="C2478">
        <v>41</v>
      </c>
      <c r="D2478" t="s">
        <v>219</v>
      </c>
      <c r="G2478" s="1">
        <v>97</v>
      </c>
    </row>
    <row r="2479" spans="1:8">
      <c r="A2479">
        <v>150</v>
      </c>
      <c r="B2479" t="s">
        <v>569</v>
      </c>
      <c r="C2479">
        <v>45</v>
      </c>
      <c r="D2479" t="s">
        <v>223</v>
      </c>
      <c r="E2479" s="1">
        <v>1</v>
      </c>
      <c r="F2479" s="1" t="s">
        <v>336</v>
      </c>
      <c r="G2479" s="1">
        <v>13</v>
      </c>
      <c r="H2479" s="1" t="s">
        <v>337</v>
      </c>
    </row>
    <row r="2480" spans="1:8">
      <c r="A2480">
        <v>150</v>
      </c>
      <c r="B2480" t="s">
        <v>569</v>
      </c>
      <c r="C2480">
        <v>45</v>
      </c>
      <c r="D2480" t="s">
        <v>223</v>
      </c>
      <c r="E2480" s="1">
        <v>1</v>
      </c>
      <c r="F2480" s="1" t="s">
        <v>324</v>
      </c>
      <c r="G2480" s="1">
        <v>14</v>
      </c>
      <c r="H2480" s="1" t="s">
        <v>325</v>
      </c>
    </row>
    <row r="2481" spans="1:8">
      <c r="A2481">
        <v>150</v>
      </c>
      <c r="B2481" t="s">
        <v>569</v>
      </c>
      <c r="C2481">
        <v>45</v>
      </c>
      <c r="D2481" t="s">
        <v>223</v>
      </c>
      <c r="E2481" s="1">
        <v>2</v>
      </c>
      <c r="F2481" s="1" t="s">
        <v>585</v>
      </c>
      <c r="G2481" s="1">
        <v>3</v>
      </c>
      <c r="H2481" s="1" t="s">
        <v>585</v>
      </c>
    </row>
    <row r="2482" spans="1:8">
      <c r="A2482">
        <v>150</v>
      </c>
      <c r="B2482" t="s">
        <v>569</v>
      </c>
      <c r="C2482">
        <v>45</v>
      </c>
      <c r="D2482" t="s">
        <v>223</v>
      </c>
      <c r="E2482" s="1">
        <v>2</v>
      </c>
      <c r="F2482" s="1" t="s">
        <v>490</v>
      </c>
      <c r="G2482" s="1">
        <v>21</v>
      </c>
      <c r="H2482" s="1" t="s">
        <v>491</v>
      </c>
    </row>
    <row r="2483" spans="1:8">
      <c r="A2483">
        <v>150</v>
      </c>
      <c r="B2483" t="s">
        <v>569</v>
      </c>
      <c r="C2483">
        <v>45</v>
      </c>
      <c r="D2483" t="s">
        <v>223</v>
      </c>
      <c r="E2483" s="1">
        <v>2</v>
      </c>
      <c r="F2483" s="1" t="s">
        <v>490</v>
      </c>
      <c r="G2483" s="1">
        <v>22</v>
      </c>
      <c r="H2483" s="1" t="s">
        <v>558</v>
      </c>
    </row>
    <row r="2484" spans="1:8">
      <c r="A2484">
        <v>150</v>
      </c>
      <c r="B2484" t="s">
        <v>569</v>
      </c>
      <c r="C2484">
        <v>45</v>
      </c>
      <c r="D2484" t="s">
        <v>223</v>
      </c>
      <c r="E2484" s="1">
        <v>2</v>
      </c>
      <c r="F2484" s="1" t="s">
        <v>490</v>
      </c>
      <c r="G2484" s="1">
        <v>23</v>
      </c>
      <c r="H2484" s="1" t="s">
        <v>513</v>
      </c>
    </row>
    <row r="2485" spans="1:8">
      <c r="A2485">
        <v>150</v>
      </c>
      <c r="B2485" t="s">
        <v>569</v>
      </c>
      <c r="C2485">
        <v>45</v>
      </c>
      <c r="D2485" t="s">
        <v>223</v>
      </c>
      <c r="E2485" s="1">
        <v>2</v>
      </c>
      <c r="F2485" s="1" t="s">
        <v>524</v>
      </c>
      <c r="G2485" s="1">
        <v>24</v>
      </c>
      <c r="H2485" s="1" t="s">
        <v>524</v>
      </c>
    </row>
    <row r="2486" spans="1:8">
      <c r="A2486">
        <v>150</v>
      </c>
      <c r="B2486" t="s">
        <v>569</v>
      </c>
      <c r="C2486">
        <v>49</v>
      </c>
      <c r="D2486" t="s">
        <v>471</v>
      </c>
      <c r="E2486" s="1">
        <v>4</v>
      </c>
      <c r="F2486" s="1" t="s">
        <v>475</v>
      </c>
      <c r="G2486" s="1">
        <v>40</v>
      </c>
      <c r="H2486" s="1" t="s">
        <v>475</v>
      </c>
    </row>
    <row r="2487" spans="1:8">
      <c r="A2487">
        <v>150</v>
      </c>
      <c r="B2487" t="s">
        <v>569</v>
      </c>
      <c r="C2487">
        <v>50</v>
      </c>
      <c r="D2487" t="s">
        <v>224</v>
      </c>
      <c r="G2487" s="1">
        <v>30</v>
      </c>
    </row>
    <row r="2488" spans="1:8">
      <c r="A2488">
        <v>150</v>
      </c>
      <c r="B2488" t="s">
        <v>569</v>
      </c>
      <c r="C2488">
        <v>64</v>
      </c>
      <c r="D2488" t="s">
        <v>230</v>
      </c>
      <c r="G2488" s="1">
        <v>20</v>
      </c>
    </row>
    <row r="2489" spans="1:8">
      <c r="A2489">
        <v>150</v>
      </c>
      <c r="B2489" t="s">
        <v>569</v>
      </c>
      <c r="C2489">
        <v>64</v>
      </c>
      <c r="D2489" t="s">
        <v>230</v>
      </c>
      <c r="G2489" s="1">
        <v>30</v>
      </c>
    </row>
    <row r="2490" spans="1:8">
      <c r="A2490">
        <v>150</v>
      </c>
      <c r="B2490" t="s">
        <v>569</v>
      </c>
      <c r="C2490">
        <v>64</v>
      </c>
      <c r="D2490" t="s">
        <v>230</v>
      </c>
      <c r="G2490" s="1">
        <v>40</v>
      </c>
    </row>
    <row r="2491" spans="1:8">
      <c r="A2491">
        <v>150</v>
      </c>
      <c r="B2491" t="s">
        <v>569</v>
      </c>
      <c r="C2491">
        <v>68</v>
      </c>
      <c r="D2491" t="s">
        <v>233</v>
      </c>
      <c r="G2491" s="1">
        <v>30</v>
      </c>
    </row>
    <row r="2492" spans="1:8">
      <c r="A2492">
        <v>150</v>
      </c>
      <c r="B2492" t="s">
        <v>569</v>
      </c>
      <c r="C2492">
        <v>74</v>
      </c>
      <c r="D2492" t="s">
        <v>235</v>
      </c>
      <c r="E2492" s="1">
        <v>3</v>
      </c>
      <c r="F2492" s="1" t="s">
        <v>321</v>
      </c>
      <c r="G2492" s="1">
        <v>60</v>
      </c>
      <c r="H2492" s="1" t="s">
        <v>321</v>
      </c>
    </row>
    <row r="2493" spans="1:8">
      <c r="A2493">
        <v>150</v>
      </c>
      <c r="B2493" t="s">
        <v>569</v>
      </c>
    </row>
    <row r="2494" spans="1:8">
      <c r="A2494">
        <v>162</v>
      </c>
      <c r="B2494" t="s">
        <v>586</v>
      </c>
      <c r="C2494">
        <v>1</v>
      </c>
      <c r="D2494" t="s">
        <v>137</v>
      </c>
      <c r="E2494" s="1">
        <v>1</v>
      </c>
      <c r="F2494" s="1">
        <v>16</v>
      </c>
      <c r="G2494" s="1">
        <v>90</v>
      </c>
      <c r="H2494" s="1">
        <v>16</v>
      </c>
    </row>
    <row r="2495" spans="1:8">
      <c r="A2495">
        <v>162</v>
      </c>
      <c r="B2495" t="s">
        <v>586</v>
      </c>
      <c r="C2495">
        <v>1</v>
      </c>
      <c r="D2495" t="s">
        <v>137</v>
      </c>
      <c r="E2495" s="1">
        <v>1</v>
      </c>
      <c r="F2495" s="1">
        <v>17</v>
      </c>
      <c r="G2495" s="1">
        <v>94</v>
      </c>
      <c r="H2495" s="1">
        <v>17</v>
      </c>
    </row>
    <row r="2496" spans="1:8">
      <c r="A2496">
        <v>162</v>
      </c>
      <c r="B2496" t="s">
        <v>586</v>
      </c>
      <c r="C2496">
        <v>1</v>
      </c>
      <c r="D2496" t="s">
        <v>137</v>
      </c>
      <c r="E2496" s="1">
        <v>1</v>
      </c>
      <c r="F2496" s="1" t="s">
        <v>156</v>
      </c>
      <c r="G2496" s="1">
        <v>96</v>
      </c>
      <c r="H2496" s="1" t="s">
        <v>156</v>
      </c>
    </row>
    <row r="2497" spans="1:8">
      <c r="A2497">
        <v>162</v>
      </c>
      <c r="B2497" t="s">
        <v>586</v>
      </c>
      <c r="C2497">
        <v>1</v>
      </c>
      <c r="D2497" t="s">
        <v>137</v>
      </c>
      <c r="E2497" s="1">
        <v>2</v>
      </c>
      <c r="F2497" s="1" t="s">
        <v>159</v>
      </c>
      <c r="G2497" s="1">
        <v>2</v>
      </c>
      <c r="H2497" s="1" t="s">
        <v>159</v>
      </c>
    </row>
    <row r="2498" spans="1:8">
      <c r="A2498">
        <v>162</v>
      </c>
      <c r="B2498" t="s">
        <v>586</v>
      </c>
      <c r="C2498">
        <v>1</v>
      </c>
      <c r="D2498" t="s">
        <v>137</v>
      </c>
      <c r="E2498" s="1">
        <v>2</v>
      </c>
      <c r="F2498" s="1" t="s">
        <v>162</v>
      </c>
      <c r="G2498" s="1">
        <v>12</v>
      </c>
      <c r="H2498" s="1" t="s">
        <v>162</v>
      </c>
    </row>
    <row r="2499" spans="1:8">
      <c r="A2499">
        <v>162</v>
      </c>
      <c r="B2499" t="s">
        <v>586</v>
      </c>
      <c r="C2499">
        <v>1</v>
      </c>
      <c r="D2499" t="s">
        <v>137</v>
      </c>
      <c r="E2499" s="1">
        <v>2</v>
      </c>
      <c r="F2499" s="1">
        <v>20</v>
      </c>
      <c r="G2499" s="1">
        <v>20</v>
      </c>
      <c r="H2499" s="1">
        <v>20</v>
      </c>
    </row>
    <row r="2500" spans="1:8">
      <c r="A2500">
        <v>162</v>
      </c>
      <c r="B2500" t="s">
        <v>586</v>
      </c>
      <c r="C2500">
        <v>1</v>
      </c>
      <c r="D2500" t="s">
        <v>137</v>
      </c>
      <c r="E2500" s="1">
        <v>2</v>
      </c>
      <c r="F2500" s="1" t="s">
        <v>165</v>
      </c>
      <c r="G2500" s="1">
        <v>22</v>
      </c>
      <c r="H2500" s="1" t="s">
        <v>165</v>
      </c>
    </row>
    <row r="2501" spans="1:8">
      <c r="A2501">
        <v>162</v>
      </c>
      <c r="B2501" t="s">
        <v>586</v>
      </c>
      <c r="C2501">
        <v>1</v>
      </c>
      <c r="D2501" t="s">
        <v>137</v>
      </c>
      <c r="E2501" s="1">
        <v>2</v>
      </c>
      <c r="F2501" s="1" t="s">
        <v>168</v>
      </c>
      <c r="G2501" s="1">
        <v>32</v>
      </c>
      <c r="H2501" s="1" t="s">
        <v>168</v>
      </c>
    </row>
    <row r="2502" spans="1:8">
      <c r="A2502">
        <v>162</v>
      </c>
      <c r="B2502" t="s">
        <v>586</v>
      </c>
      <c r="C2502">
        <v>1</v>
      </c>
      <c r="D2502" t="s">
        <v>137</v>
      </c>
      <c r="E2502" s="1">
        <v>2</v>
      </c>
      <c r="F2502" s="1">
        <v>22</v>
      </c>
      <c r="G2502" s="1">
        <v>40</v>
      </c>
      <c r="H2502" s="1">
        <v>22</v>
      </c>
    </row>
    <row r="2503" spans="1:8">
      <c r="A2503">
        <v>162</v>
      </c>
      <c r="B2503" t="s">
        <v>586</v>
      </c>
      <c r="C2503">
        <v>1</v>
      </c>
      <c r="D2503" t="s">
        <v>137</v>
      </c>
      <c r="E2503" s="1">
        <v>2</v>
      </c>
      <c r="F2503" s="1" t="s">
        <v>171</v>
      </c>
      <c r="G2503" s="1">
        <v>42</v>
      </c>
      <c r="H2503" s="1" t="s">
        <v>171</v>
      </c>
    </row>
    <row r="2504" spans="1:8">
      <c r="A2504">
        <v>162</v>
      </c>
      <c r="B2504" t="s">
        <v>586</v>
      </c>
      <c r="C2504">
        <v>1</v>
      </c>
      <c r="D2504" t="s">
        <v>137</v>
      </c>
      <c r="E2504" s="1">
        <v>2</v>
      </c>
      <c r="F2504" s="1">
        <v>23</v>
      </c>
      <c r="G2504" s="1">
        <v>50</v>
      </c>
      <c r="H2504" s="1">
        <v>23</v>
      </c>
    </row>
    <row r="2505" spans="1:8">
      <c r="A2505">
        <v>162</v>
      </c>
      <c r="B2505" t="s">
        <v>586</v>
      </c>
      <c r="C2505">
        <v>5</v>
      </c>
      <c r="D2505" t="s">
        <v>183</v>
      </c>
      <c r="G2505" s="1">
        <v>60</v>
      </c>
    </row>
    <row r="2506" spans="1:8">
      <c r="A2506">
        <v>162</v>
      </c>
      <c r="B2506" t="s">
        <v>586</v>
      </c>
      <c r="C2506">
        <v>6</v>
      </c>
      <c r="D2506" t="s">
        <v>184</v>
      </c>
      <c r="G2506" s="1">
        <v>63</v>
      </c>
    </row>
    <row r="2507" spans="1:8">
      <c r="A2507">
        <v>162</v>
      </c>
      <c r="B2507" t="s">
        <v>586</v>
      </c>
      <c r="C2507">
        <v>11</v>
      </c>
      <c r="D2507" t="s">
        <v>186</v>
      </c>
      <c r="E2507" s="1">
        <v>1</v>
      </c>
      <c r="F2507" s="1">
        <v>40</v>
      </c>
      <c r="G2507" s="1">
        <v>10</v>
      </c>
      <c r="H2507" s="1">
        <v>40</v>
      </c>
    </row>
    <row r="2508" spans="1:8">
      <c r="A2508">
        <v>162</v>
      </c>
      <c r="B2508" t="s">
        <v>586</v>
      </c>
      <c r="C2508">
        <v>11</v>
      </c>
      <c r="D2508" t="s">
        <v>186</v>
      </c>
      <c r="E2508" s="1">
        <v>1</v>
      </c>
      <c r="F2508" s="1">
        <v>41</v>
      </c>
      <c r="G2508" s="1">
        <v>20</v>
      </c>
      <c r="H2508" s="1">
        <v>41</v>
      </c>
    </row>
    <row r="2509" spans="1:8">
      <c r="A2509">
        <v>162</v>
      </c>
      <c r="B2509" t="s">
        <v>586</v>
      </c>
      <c r="C2509">
        <v>11</v>
      </c>
      <c r="D2509" t="s">
        <v>186</v>
      </c>
      <c r="E2509" s="1">
        <v>1</v>
      </c>
      <c r="F2509" s="1" t="s">
        <v>194</v>
      </c>
      <c r="G2509" s="1">
        <v>22</v>
      </c>
      <c r="H2509" s="1" t="s">
        <v>194</v>
      </c>
    </row>
    <row r="2510" spans="1:8">
      <c r="A2510">
        <v>162</v>
      </c>
      <c r="B2510" t="s">
        <v>586</v>
      </c>
      <c r="C2510">
        <v>11</v>
      </c>
      <c r="D2510" t="s">
        <v>186</v>
      </c>
      <c r="E2510" s="1">
        <v>1</v>
      </c>
      <c r="F2510" s="1">
        <v>42</v>
      </c>
      <c r="G2510" s="1">
        <v>30</v>
      </c>
      <c r="H2510" s="1">
        <v>42</v>
      </c>
    </row>
    <row r="2511" spans="1:8">
      <c r="A2511">
        <v>162</v>
      </c>
      <c r="B2511" t="s">
        <v>586</v>
      </c>
      <c r="C2511">
        <v>11</v>
      </c>
      <c r="D2511" t="s">
        <v>186</v>
      </c>
      <c r="E2511" s="1">
        <v>1</v>
      </c>
      <c r="F2511" s="1" t="s">
        <v>195</v>
      </c>
      <c r="G2511" s="1">
        <v>32</v>
      </c>
      <c r="H2511" s="1" t="s">
        <v>195</v>
      </c>
    </row>
    <row r="2512" spans="1:8">
      <c r="A2512">
        <v>162</v>
      </c>
      <c r="B2512" t="s">
        <v>586</v>
      </c>
      <c r="C2512">
        <v>11</v>
      </c>
      <c r="D2512" t="s">
        <v>186</v>
      </c>
      <c r="E2512" s="1">
        <v>1</v>
      </c>
      <c r="F2512" s="1">
        <v>43</v>
      </c>
      <c r="G2512" s="1">
        <v>40</v>
      </c>
      <c r="H2512" s="1">
        <v>43</v>
      </c>
    </row>
    <row r="2513" spans="1:8">
      <c r="A2513">
        <v>162</v>
      </c>
      <c r="B2513" t="s">
        <v>586</v>
      </c>
      <c r="C2513">
        <v>11</v>
      </c>
      <c r="D2513" t="s">
        <v>186</v>
      </c>
      <c r="E2513" s="1">
        <v>1</v>
      </c>
      <c r="F2513" s="1" t="s">
        <v>196</v>
      </c>
      <c r="G2513" s="1">
        <v>42</v>
      </c>
      <c r="H2513" s="1" t="s">
        <v>196</v>
      </c>
    </row>
    <row r="2514" spans="1:8">
      <c r="A2514">
        <v>162</v>
      </c>
      <c r="B2514" t="s">
        <v>586</v>
      </c>
      <c r="C2514">
        <v>11</v>
      </c>
      <c r="D2514" t="s">
        <v>186</v>
      </c>
      <c r="E2514" s="1">
        <v>1</v>
      </c>
      <c r="F2514" s="1">
        <v>44</v>
      </c>
      <c r="G2514" s="1">
        <v>50</v>
      </c>
      <c r="H2514" s="1">
        <v>44</v>
      </c>
    </row>
    <row r="2515" spans="1:8">
      <c r="A2515">
        <v>162</v>
      </c>
      <c r="B2515" t="s">
        <v>586</v>
      </c>
      <c r="C2515">
        <v>11</v>
      </c>
      <c r="D2515" t="s">
        <v>186</v>
      </c>
      <c r="E2515" s="1">
        <v>1</v>
      </c>
      <c r="F2515" s="1" t="s">
        <v>197</v>
      </c>
      <c r="G2515" s="1">
        <v>52</v>
      </c>
      <c r="H2515" s="1" t="s">
        <v>197</v>
      </c>
    </row>
    <row r="2516" spans="1:8">
      <c r="A2516">
        <v>162</v>
      </c>
      <c r="B2516" t="s">
        <v>586</v>
      </c>
      <c r="C2516">
        <v>11</v>
      </c>
      <c r="D2516" t="s">
        <v>186</v>
      </c>
      <c r="E2516" s="1">
        <v>1</v>
      </c>
      <c r="F2516" s="1" t="s">
        <v>198</v>
      </c>
      <c r="G2516" s="1">
        <v>62</v>
      </c>
      <c r="H2516" s="1" t="s">
        <v>198</v>
      </c>
    </row>
    <row r="2517" spans="1:8">
      <c r="A2517">
        <v>162</v>
      </c>
      <c r="B2517" t="s">
        <v>586</v>
      </c>
      <c r="C2517">
        <v>11</v>
      </c>
      <c r="D2517" t="s">
        <v>186</v>
      </c>
      <c r="E2517" s="1">
        <v>1</v>
      </c>
      <c r="F2517" s="1" t="s">
        <v>199</v>
      </c>
      <c r="G2517" s="1">
        <v>72</v>
      </c>
      <c r="H2517" s="1" t="s">
        <v>199</v>
      </c>
    </row>
    <row r="2518" spans="1:8">
      <c r="A2518">
        <v>162</v>
      </c>
      <c r="B2518" t="s">
        <v>586</v>
      </c>
      <c r="C2518">
        <v>12</v>
      </c>
      <c r="D2518" t="s">
        <v>107</v>
      </c>
      <c r="E2518" s="1">
        <v>1</v>
      </c>
      <c r="F2518" s="1" t="s">
        <v>196</v>
      </c>
      <c r="G2518" s="1">
        <v>42</v>
      </c>
      <c r="H2518" s="1" t="s">
        <v>196</v>
      </c>
    </row>
    <row r="2519" spans="1:8">
      <c r="A2519">
        <v>162</v>
      </c>
      <c r="B2519" t="s">
        <v>586</v>
      </c>
      <c r="C2519">
        <v>12</v>
      </c>
      <c r="D2519" t="s">
        <v>107</v>
      </c>
      <c r="E2519" s="1">
        <v>1</v>
      </c>
      <c r="F2519" s="1">
        <v>44</v>
      </c>
      <c r="G2519" s="1">
        <v>50</v>
      </c>
      <c r="H2519" s="1">
        <v>44</v>
      </c>
    </row>
    <row r="2520" spans="1:8">
      <c r="A2520">
        <v>162</v>
      </c>
      <c r="B2520" t="s">
        <v>586</v>
      </c>
      <c r="C2520">
        <v>12</v>
      </c>
      <c r="D2520" t="s">
        <v>107</v>
      </c>
      <c r="E2520" s="1">
        <v>1</v>
      </c>
      <c r="F2520" s="1" t="s">
        <v>197</v>
      </c>
      <c r="G2520" s="1">
        <v>52</v>
      </c>
      <c r="H2520" s="1" t="s">
        <v>197</v>
      </c>
    </row>
    <row r="2521" spans="1:8">
      <c r="A2521">
        <v>162</v>
      </c>
      <c r="B2521" t="s">
        <v>586</v>
      </c>
      <c r="C2521">
        <v>12</v>
      </c>
      <c r="D2521" t="s">
        <v>107</v>
      </c>
      <c r="E2521" s="1">
        <v>1</v>
      </c>
      <c r="F2521" s="1" t="s">
        <v>199</v>
      </c>
      <c r="G2521" s="1">
        <v>72</v>
      </c>
      <c r="H2521" s="1" t="s">
        <v>199</v>
      </c>
    </row>
    <row r="2522" spans="1:8">
      <c r="A2522">
        <v>162</v>
      </c>
      <c r="B2522" t="s">
        <v>586</v>
      </c>
      <c r="C2522">
        <v>15</v>
      </c>
      <c r="D2522" t="s">
        <v>201</v>
      </c>
      <c r="E2522" s="1">
        <v>4</v>
      </c>
      <c r="F2522" s="1" t="s">
        <v>286</v>
      </c>
      <c r="G2522" s="1">
        <v>70</v>
      </c>
      <c r="H2522" s="1" t="s">
        <v>286</v>
      </c>
    </row>
    <row r="2523" spans="1:8">
      <c r="A2523">
        <v>162</v>
      </c>
      <c r="B2523" t="s">
        <v>586</v>
      </c>
      <c r="C2523">
        <v>21</v>
      </c>
      <c r="D2523" t="s">
        <v>205</v>
      </c>
      <c r="E2523" s="1">
        <v>1</v>
      </c>
      <c r="F2523" s="1" t="s">
        <v>288</v>
      </c>
      <c r="G2523" s="1">
        <v>62</v>
      </c>
      <c r="H2523" s="1" t="s">
        <v>288</v>
      </c>
    </row>
    <row r="2524" spans="1:8">
      <c r="A2524">
        <v>162</v>
      </c>
      <c r="B2524" t="s">
        <v>586</v>
      </c>
      <c r="C2524">
        <v>27</v>
      </c>
      <c r="D2524" t="s">
        <v>210</v>
      </c>
      <c r="E2524" s="1">
        <v>1</v>
      </c>
      <c r="F2524" s="1" t="s">
        <v>194</v>
      </c>
      <c r="G2524" s="1">
        <v>22</v>
      </c>
      <c r="H2524" s="1" t="s">
        <v>194</v>
      </c>
    </row>
    <row r="2525" spans="1:8">
      <c r="A2525">
        <v>162</v>
      </c>
      <c r="B2525" t="s">
        <v>586</v>
      </c>
      <c r="C2525">
        <v>33</v>
      </c>
      <c r="D2525" t="s">
        <v>213</v>
      </c>
      <c r="E2525" s="1">
        <v>1</v>
      </c>
      <c r="F2525" s="1" t="s">
        <v>287</v>
      </c>
      <c r="G2525" s="1">
        <v>22</v>
      </c>
      <c r="H2525" s="1" t="s">
        <v>287</v>
      </c>
    </row>
    <row r="2526" spans="1:8">
      <c r="A2526">
        <v>162</v>
      </c>
      <c r="B2526" t="s">
        <v>586</v>
      </c>
      <c r="C2526">
        <v>41</v>
      </c>
      <c r="D2526" t="s">
        <v>219</v>
      </c>
      <c r="E2526" s="1">
        <v>1</v>
      </c>
      <c r="F2526" s="1" t="s">
        <v>442</v>
      </c>
      <c r="G2526" s="1">
        <v>10</v>
      </c>
      <c r="H2526" s="1" t="s">
        <v>442</v>
      </c>
    </row>
    <row r="2527" spans="1:8">
      <c r="A2527">
        <v>162</v>
      </c>
      <c r="B2527" t="s">
        <v>586</v>
      </c>
      <c r="C2527">
        <v>41</v>
      </c>
      <c r="D2527" t="s">
        <v>219</v>
      </c>
      <c r="E2527" s="1">
        <v>1</v>
      </c>
      <c r="F2527" s="1" t="s">
        <v>511</v>
      </c>
      <c r="G2527" s="1">
        <v>20</v>
      </c>
      <c r="H2527" s="1" t="s">
        <v>511</v>
      </c>
    </row>
    <row r="2528" spans="1:8">
      <c r="A2528">
        <v>162</v>
      </c>
      <c r="B2528" t="s">
        <v>586</v>
      </c>
      <c r="C2528">
        <v>41</v>
      </c>
      <c r="D2528" t="s">
        <v>219</v>
      </c>
      <c r="E2528" s="1">
        <v>1</v>
      </c>
      <c r="F2528" s="1" t="s">
        <v>443</v>
      </c>
      <c r="H2528" s="1" t="s">
        <v>443</v>
      </c>
    </row>
    <row r="2529" spans="1:8">
      <c r="A2529">
        <v>162</v>
      </c>
      <c r="B2529" t="s">
        <v>586</v>
      </c>
      <c r="C2529">
        <v>42</v>
      </c>
      <c r="D2529" t="s">
        <v>220</v>
      </c>
      <c r="E2529" s="1">
        <v>1</v>
      </c>
      <c r="F2529" s="1" t="s">
        <v>526</v>
      </c>
      <c r="G2529" s="1">
        <v>60</v>
      </c>
      <c r="H2529" s="1" t="s">
        <v>526</v>
      </c>
    </row>
    <row r="2530" spans="1:8">
      <c r="A2530">
        <v>162</v>
      </c>
      <c r="B2530" t="s">
        <v>586</v>
      </c>
      <c r="C2530">
        <v>57</v>
      </c>
      <c r="D2530" t="s">
        <v>183</v>
      </c>
      <c r="E2530" s="1">
        <v>3</v>
      </c>
      <c r="F2530" s="1" t="s">
        <v>338</v>
      </c>
      <c r="G2530" s="1">
        <v>60</v>
      </c>
      <c r="H2530" s="1" t="s">
        <v>338</v>
      </c>
    </row>
    <row r="2531" spans="1:8">
      <c r="A2531">
        <v>162</v>
      </c>
      <c r="B2531" t="s">
        <v>586</v>
      </c>
      <c r="C2531">
        <v>57</v>
      </c>
      <c r="D2531" t="s">
        <v>183</v>
      </c>
      <c r="G2531" s="1">
        <v>60</v>
      </c>
    </row>
    <row r="2532" spans="1:8">
      <c r="A2532">
        <v>162</v>
      </c>
      <c r="B2532" t="s">
        <v>586</v>
      </c>
      <c r="C2532">
        <v>58</v>
      </c>
      <c r="D2532" t="s">
        <v>226</v>
      </c>
      <c r="E2532" s="1">
        <v>2</v>
      </c>
      <c r="F2532" s="1" t="s">
        <v>318</v>
      </c>
      <c r="G2532" s="1">
        <v>60</v>
      </c>
      <c r="H2532" s="1" t="s">
        <v>318</v>
      </c>
    </row>
    <row r="2533" spans="1:8">
      <c r="A2533">
        <v>162</v>
      </c>
      <c r="B2533" t="s">
        <v>586</v>
      </c>
      <c r="C2533">
        <v>58</v>
      </c>
      <c r="D2533" t="s">
        <v>226</v>
      </c>
      <c r="E2533" s="1">
        <v>3</v>
      </c>
      <c r="F2533" s="1" t="s">
        <v>587</v>
      </c>
      <c r="G2533" s="1">
        <v>20</v>
      </c>
      <c r="H2533" s="1" t="s">
        <v>587</v>
      </c>
    </row>
    <row r="2534" spans="1:8">
      <c r="A2534">
        <v>162</v>
      </c>
      <c r="B2534" t="s">
        <v>586</v>
      </c>
      <c r="C2534">
        <v>59</v>
      </c>
      <c r="D2534" t="s">
        <v>227</v>
      </c>
      <c r="E2534" s="1">
        <v>3</v>
      </c>
      <c r="F2534" s="1" t="s">
        <v>295</v>
      </c>
      <c r="G2534" s="1">
        <v>23</v>
      </c>
      <c r="H2534" s="1" t="s">
        <v>295</v>
      </c>
    </row>
    <row r="2535" spans="1:8">
      <c r="A2535">
        <v>162</v>
      </c>
      <c r="B2535" t="s">
        <v>586</v>
      </c>
      <c r="C2535">
        <v>72</v>
      </c>
      <c r="D2535" t="s">
        <v>234</v>
      </c>
      <c r="G2535" s="1">
        <v>20</v>
      </c>
    </row>
    <row r="2536" spans="1:8">
      <c r="A2536">
        <v>162</v>
      </c>
      <c r="B2536" t="s">
        <v>586</v>
      </c>
      <c r="C2536">
        <v>72</v>
      </c>
      <c r="D2536" t="s">
        <v>234</v>
      </c>
      <c r="G2536" s="1">
        <v>40</v>
      </c>
    </row>
    <row r="2537" spans="1:8">
      <c r="A2537">
        <v>162</v>
      </c>
      <c r="B2537" t="s">
        <v>586</v>
      </c>
      <c r="C2537">
        <v>74</v>
      </c>
      <c r="D2537" t="s">
        <v>235</v>
      </c>
      <c r="E2537" s="1">
        <v>3</v>
      </c>
      <c r="F2537" s="1" t="s">
        <v>320</v>
      </c>
      <c r="G2537" s="1">
        <v>50</v>
      </c>
      <c r="H2537" s="1" t="s">
        <v>320</v>
      </c>
    </row>
    <row r="2538" spans="1:8">
      <c r="A2538">
        <v>163</v>
      </c>
      <c r="B2538" t="s">
        <v>588</v>
      </c>
      <c r="C2538">
        <v>6</v>
      </c>
      <c r="D2538" t="s">
        <v>184</v>
      </c>
      <c r="G2538" s="1">
        <v>63</v>
      </c>
    </row>
    <row r="2539" spans="1:8">
      <c r="A2539">
        <v>163</v>
      </c>
      <c r="B2539" t="s">
        <v>588</v>
      </c>
      <c r="C2539">
        <v>11</v>
      </c>
      <c r="D2539" t="s">
        <v>186</v>
      </c>
      <c r="E2539" s="1">
        <v>1</v>
      </c>
      <c r="F2539" s="1" t="s">
        <v>196</v>
      </c>
      <c r="G2539" s="1">
        <v>42</v>
      </c>
      <c r="H2539" s="1" t="s">
        <v>196</v>
      </c>
    </row>
    <row r="2540" spans="1:8">
      <c r="A2540">
        <v>163</v>
      </c>
      <c r="B2540" t="s">
        <v>588</v>
      </c>
      <c r="C2540">
        <v>13</v>
      </c>
      <c r="D2540" t="s">
        <v>200</v>
      </c>
      <c r="E2540" s="1">
        <v>1</v>
      </c>
      <c r="F2540" s="1" t="s">
        <v>195</v>
      </c>
      <c r="G2540" s="1">
        <v>32</v>
      </c>
      <c r="H2540" s="1" t="s">
        <v>195</v>
      </c>
    </row>
    <row r="2541" spans="1:8">
      <c r="A2541">
        <v>164</v>
      </c>
      <c r="B2541" t="s">
        <v>589</v>
      </c>
      <c r="C2541">
        <v>1</v>
      </c>
      <c r="D2541" t="s">
        <v>137</v>
      </c>
      <c r="E2541" s="1">
        <v>1</v>
      </c>
      <c r="F2541" s="1">
        <v>16</v>
      </c>
      <c r="G2541" s="1">
        <v>90</v>
      </c>
      <c r="H2541" s="1">
        <v>16</v>
      </c>
    </row>
    <row r="2542" spans="1:8">
      <c r="A2542">
        <v>164</v>
      </c>
      <c r="B2542" t="s">
        <v>589</v>
      </c>
      <c r="C2542">
        <v>1</v>
      </c>
      <c r="D2542" t="s">
        <v>137</v>
      </c>
      <c r="E2542" s="1">
        <v>1</v>
      </c>
      <c r="F2542" s="1" t="s">
        <v>156</v>
      </c>
      <c r="G2542" s="1">
        <v>96</v>
      </c>
      <c r="H2542" s="1" t="s">
        <v>156</v>
      </c>
    </row>
    <row r="2543" spans="1:8">
      <c r="A2543">
        <v>164</v>
      </c>
      <c r="B2543" t="s">
        <v>589</v>
      </c>
      <c r="C2543">
        <v>1</v>
      </c>
      <c r="D2543" t="s">
        <v>137</v>
      </c>
      <c r="E2543" s="1">
        <v>2</v>
      </c>
      <c r="F2543" s="1" t="s">
        <v>159</v>
      </c>
      <c r="G2543" s="1">
        <v>2</v>
      </c>
      <c r="H2543" s="1" t="s">
        <v>159</v>
      </c>
    </row>
    <row r="2544" spans="1:8">
      <c r="A2544">
        <v>164</v>
      </c>
      <c r="B2544" t="s">
        <v>589</v>
      </c>
      <c r="C2544">
        <v>1</v>
      </c>
      <c r="D2544" t="s">
        <v>137</v>
      </c>
      <c r="E2544" s="1">
        <v>2</v>
      </c>
      <c r="F2544" s="1">
        <v>19</v>
      </c>
      <c r="G2544" s="1">
        <v>10</v>
      </c>
      <c r="H2544" s="1">
        <v>19</v>
      </c>
    </row>
    <row r="2545" spans="1:8">
      <c r="A2545">
        <v>164</v>
      </c>
      <c r="B2545" t="s">
        <v>589</v>
      </c>
      <c r="C2545">
        <v>1</v>
      </c>
      <c r="D2545" t="s">
        <v>137</v>
      </c>
      <c r="E2545" s="1">
        <v>2</v>
      </c>
      <c r="F2545" s="1" t="s">
        <v>162</v>
      </c>
      <c r="G2545" s="1">
        <v>12</v>
      </c>
      <c r="H2545" s="1" t="s">
        <v>162</v>
      </c>
    </row>
    <row r="2546" spans="1:8">
      <c r="A2546">
        <v>164</v>
      </c>
      <c r="B2546" t="s">
        <v>589</v>
      </c>
      <c r="C2546">
        <v>1</v>
      </c>
      <c r="D2546" t="s">
        <v>137</v>
      </c>
      <c r="E2546" s="1">
        <v>2</v>
      </c>
      <c r="F2546" s="1">
        <v>20</v>
      </c>
      <c r="G2546" s="1">
        <v>20</v>
      </c>
      <c r="H2546" s="1">
        <v>20</v>
      </c>
    </row>
    <row r="2547" spans="1:8">
      <c r="A2547">
        <v>164</v>
      </c>
      <c r="B2547" t="s">
        <v>589</v>
      </c>
      <c r="C2547">
        <v>1</v>
      </c>
      <c r="D2547" t="s">
        <v>137</v>
      </c>
      <c r="E2547" s="1">
        <v>2</v>
      </c>
      <c r="F2547" s="1" t="s">
        <v>165</v>
      </c>
      <c r="G2547" s="1">
        <v>22</v>
      </c>
      <c r="H2547" s="1" t="s">
        <v>165</v>
      </c>
    </row>
    <row r="2548" spans="1:8">
      <c r="A2548">
        <v>164</v>
      </c>
      <c r="B2548" t="s">
        <v>589</v>
      </c>
      <c r="C2548">
        <v>1</v>
      </c>
      <c r="D2548" t="s">
        <v>137</v>
      </c>
      <c r="E2548" s="1">
        <v>2</v>
      </c>
      <c r="F2548" s="1">
        <v>21</v>
      </c>
      <c r="G2548" s="1">
        <v>30</v>
      </c>
      <c r="H2548" s="1">
        <v>21</v>
      </c>
    </row>
    <row r="2549" spans="1:8">
      <c r="A2549">
        <v>164</v>
      </c>
      <c r="B2549" t="s">
        <v>589</v>
      </c>
      <c r="C2549">
        <v>1</v>
      </c>
      <c r="D2549" t="s">
        <v>137</v>
      </c>
      <c r="E2549" s="1">
        <v>2</v>
      </c>
      <c r="F2549" s="1" t="s">
        <v>168</v>
      </c>
      <c r="G2549" s="1">
        <v>32</v>
      </c>
      <c r="H2549" s="1" t="s">
        <v>168</v>
      </c>
    </row>
    <row r="2550" spans="1:8">
      <c r="A2550">
        <v>164</v>
      </c>
      <c r="B2550" t="s">
        <v>589</v>
      </c>
      <c r="C2550">
        <v>1</v>
      </c>
      <c r="D2550" t="s">
        <v>137</v>
      </c>
      <c r="E2550" s="1">
        <v>2</v>
      </c>
      <c r="F2550" s="1">
        <v>22</v>
      </c>
      <c r="G2550" s="1">
        <v>40</v>
      </c>
      <c r="H2550" s="1">
        <v>22</v>
      </c>
    </row>
    <row r="2551" spans="1:8">
      <c r="A2551">
        <v>164</v>
      </c>
      <c r="B2551" t="s">
        <v>589</v>
      </c>
      <c r="C2551">
        <v>1</v>
      </c>
      <c r="D2551" t="s">
        <v>137</v>
      </c>
      <c r="E2551" s="1">
        <v>2</v>
      </c>
      <c r="F2551" s="1" t="s">
        <v>171</v>
      </c>
      <c r="G2551" s="1">
        <v>42</v>
      </c>
      <c r="H2551" s="1" t="s">
        <v>171</v>
      </c>
    </row>
    <row r="2552" spans="1:8">
      <c r="A2552">
        <v>164</v>
      </c>
      <c r="B2552" t="s">
        <v>589</v>
      </c>
      <c r="C2552">
        <v>1</v>
      </c>
      <c r="D2552" t="s">
        <v>137</v>
      </c>
      <c r="E2552" s="1">
        <v>2</v>
      </c>
      <c r="F2552" s="1">
        <v>23</v>
      </c>
      <c r="G2552" s="1">
        <v>50</v>
      </c>
      <c r="H2552" s="1">
        <v>23</v>
      </c>
    </row>
    <row r="2553" spans="1:8">
      <c r="A2553">
        <v>164</v>
      </c>
      <c r="B2553" t="s">
        <v>589</v>
      </c>
      <c r="C2553">
        <v>1</v>
      </c>
      <c r="D2553" t="s">
        <v>137</v>
      </c>
      <c r="E2553" s="1">
        <v>2</v>
      </c>
      <c r="F2553" s="1">
        <v>24</v>
      </c>
      <c r="G2553" s="1">
        <v>60</v>
      </c>
      <c r="H2553" s="1">
        <v>24</v>
      </c>
    </row>
    <row r="2554" spans="1:8">
      <c r="A2554">
        <v>164</v>
      </c>
      <c r="B2554" t="s">
        <v>589</v>
      </c>
      <c r="C2554">
        <v>1</v>
      </c>
      <c r="D2554" t="s">
        <v>137</v>
      </c>
      <c r="E2554" s="1">
        <v>2</v>
      </c>
      <c r="F2554" s="1" t="s">
        <v>180</v>
      </c>
      <c r="G2554" s="1">
        <v>72</v>
      </c>
      <c r="H2554" s="1" t="s">
        <v>180</v>
      </c>
    </row>
    <row r="2555" spans="1:8">
      <c r="A2555">
        <v>164</v>
      </c>
      <c r="B2555" t="s">
        <v>589</v>
      </c>
      <c r="C2555">
        <v>1</v>
      </c>
      <c r="D2555" t="s">
        <v>137</v>
      </c>
      <c r="E2555" s="1">
        <v>2</v>
      </c>
      <c r="F2555" s="1">
        <v>18</v>
      </c>
      <c r="H2555" s="1">
        <v>18</v>
      </c>
    </row>
    <row r="2556" spans="1:8">
      <c r="A2556">
        <v>164</v>
      </c>
      <c r="B2556" t="s">
        <v>589</v>
      </c>
      <c r="C2556">
        <v>5</v>
      </c>
      <c r="D2556" t="s">
        <v>183</v>
      </c>
      <c r="G2556" s="1">
        <v>60</v>
      </c>
    </row>
    <row r="2557" spans="1:8">
      <c r="A2557">
        <v>164</v>
      </c>
      <c r="B2557" t="s">
        <v>589</v>
      </c>
      <c r="C2557">
        <v>6</v>
      </c>
      <c r="D2557" t="s">
        <v>184</v>
      </c>
      <c r="G2557" s="1">
        <v>63</v>
      </c>
    </row>
    <row r="2558" spans="1:8">
      <c r="A2558">
        <v>164</v>
      </c>
      <c r="B2558" t="s">
        <v>589</v>
      </c>
      <c r="C2558">
        <v>11</v>
      </c>
      <c r="D2558" t="s">
        <v>186</v>
      </c>
      <c r="E2558" s="1">
        <v>1</v>
      </c>
      <c r="F2558" s="1" t="s">
        <v>193</v>
      </c>
      <c r="G2558" s="1">
        <v>12</v>
      </c>
      <c r="H2558" s="1" t="s">
        <v>193</v>
      </c>
    </row>
    <row r="2559" spans="1:8">
      <c r="A2559">
        <v>164</v>
      </c>
      <c r="B2559" t="s">
        <v>589</v>
      </c>
      <c r="C2559">
        <v>11</v>
      </c>
      <c r="D2559" t="s">
        <v>186</v>
      </c>
      <c r="E2559" s="1">
        <v>1</v>
      </c>
      <c r="F2559" s="1" t="s">
        <v>194</v>
      </c>
      <c r="G2559" s="1">
        <v>22</v>
      </c>
      <c r="H2559" s="1" t="s">
        <v>194</v>
      </c>
    </row>
    <row r="2560" spans="1:8">
      <c r="A2560">
        <v>164</v>
      </c>
      <c r="B2560" t="s">
        <v>589</v>
      </c>
      <c r="C2560">
        <v>11</v>
      </c>
      <c r="D2560" t="s">
        <v>186</v>
      </c>
      <c r="E2560" s="1">
        <v>1</v>
      </c>
      <c r="F2560" s="1">
        <v>42</v>
      </c>
      <c r="G2560" s="1">
        <v>30</v>
      </c>
      <c r="H2560" s="1">
        <v>42</v>
      </c>
    </row>
    <row r="2561" spans="1:8">
      <c r="A2561">
        <v>164</v>
      </c>
      <c r="B2561" t="s">
        <v>589</v>
      </c>
      <c r="C2561">
        <v>11</v>
      </c>
      <c r="D2561" t="s">
        <v>186</v>
      </c>
      <c r="E2561" s="1">
        <v>1</v>
      </c>
      <c r="F2561" s="1" t="s">
        <v>195</v>
      </c>
      <c r="G2561" s="1">
        <v>32</v>
      </c>
      <c r="H2561" s="1" t="s">
        <v>195</v>
      </c>
    </row>
    <row r="2562" spans="1:8">
      <c r="A2562">
        <v>164</v>
      </c>
      <c r="B2562" t="s">
        <v>589</v>
      </c>
      <c r="C2562">
        <v>11</v>
      </c>
      <c r="D2562" t="s">
        <v>186</v>
      </c>
      <c r="E2562" s="1">
        <v>1</v>
      </c>
      <c r="F2562" s="1">
        <v>43</v>
      </c>
      <c r="G2562" s="1">
        <v>40</v>
      </c>
      <c r="H2562" s="1">
        <v>43</v>
      </c>
    </row>
    <row r="2563" spans="1:8">
      <c r="A2563">
        <v>164</v>
      </c>
      <c r="B2563" t="s">
        <v>589</v>
      </c>
      <c r="C2563">
        <v>11</v>
      </c>
      <c r="D2563" t="s">
        <v>186</v>
      </c>
      <c r="E2563" s="1">
        <v>1</v>
      </c>
      <c r="F2563" s="1" t="s">
        <v>196</v>
      </c>
      <c r="G2563" s="1">
        <v>42</v>
      </c>
      <c r="H2563" s="1" t="s">
        <v>196</v>
      </c>
    </row>
    <row r="2564" spans="1:8">
      <c r="A2564">
        <v>164</v>
      </c>
      <c r="B2564" t="s">
        <v>589</v>
      </c>
      <c r="C2564">
        <v>11</v>
      </c>
      <c r="D2564" t="s">
        <v>186</v>
      </c>
      <c r="E2564" s="1">
        <v>1</v>
      </c>
      <c r="F2564" s="1">
        <v>44</v>
      </c>
      <c r="G2564" s="1">
        <v>50</v>
      </c>
      <c r="H2564" s="1">
        <v>44</v>
      </c>
    </row>
    <row r="2565" spans="1:8">
      <c r="A2565">
        <v>164</v>
      </c>
      <c r="B2565" t="s">
        <v>589</v>
      </c>
      <c r="C2565">
        <v>11</v>
      </c>
      <c r="D2565" t="s">
        <v>186</v>
      </c>
      <c r="E2565" s="1">
        <v>1</v>
      </c>
      <c r="F2565" s="1" t="s">
        <v>197</v>
      </c>
      <c r="G2565" s="1">
        <v>52</v>
      </c>
      <c r="H2565" s="1" t="s">
        <v>197</v>
      </c>
    </row>
    <row r="2566" spans="1:8">
      <c r="A2566">
        <v>164</v>
      </c>
      <c r="B2566" t="s">
        <v>589</v>
      </c>
      <c r="C2566">
        <v>11</v>
      </c>
      <c r="D2566" t="s">
        <v>186</v>
      </c>
      <c r="E2566" s="1">
        <v>1</v>
      </c>
      <c r="F2566" s="1">
        <v>45</v>
      </c>
      <c r="G2566" s="1">
        <v>60</v>
      </c>
      <c r="H2566" s="1">
        <v>45</v>
      </c>
    </row>
    <row r="2567" spans="1:8">
      <c r="A2567">
        <v>164</v>
      </c>
      <c r="B2567" t="s">
        <v>589</v>
      </c>
      <c r="C2567">
        <v>11</v>
      </c>
      <c r="D2567" t="s">
        <v>186</v>
      </c>
      <c r="E2567" s="1">
        <v>1</v>
      </c>
      <c r="F2567" s="1" t="s">
        <v>198</v>
      </c>
      <c r="G2567" s="1">
        <v>62</v>
      </c>
      <c r="H2567" s="1" t="s">
        <v>198</v>
      </c>
    </row>
    <row r="2568" spans="1:8">
      <c r="A2568">
        <v>164</v>
      </c>
      <c r="B2568" t="s">
        <v>589</v>
      </c>
      <c r="C2568">
        <v>11</v>
      </c>
      <c r="D2568" t="s">
        <v>186</v>
      </c>
      <c r="E2568" s="1">
        <v>1</v>
      </c>
      <c r="F2568" s="1" t="s">
        <v>199</v>
      </c>
      <c r="G2568" s="1">
        <v>72</v>
      </c>
      <c r="H2568" s="1" t="s">
        <v>199</v>
      </c>
    </row>
    <row r="2569" spans="1:8">
      <c r="A2569">
        <v>164</v>
      </c>
      <c r="B2569" t="s">
        <v>589</v>
      </c>
      <c r="C2569">
        <v>11</v>
      </c>
      <c r="D2569" t="s">
        <v>186</v>
      </c>
      <c r="E2569" s="1">
        <v>1</v>
      </c>
      <c r="F2569" s="1">
        <v>39</v>
      </c>
      <c r="H2569" s="1">
        <v>39</v>
      </c>
    </row>
    <row r="2570" spans="1:8">
      <c r="A2570">
        <v>164</v>
      </c>
      <c r="B2570" t="s">
        <v>589</v>
      </c>
      <c r="C2570">
        <v>12</v>
      </c>
      <c r="D2570" t="s">
        <v>107</v>
      </c>
      <c r="E2570" s="1">
        <v>1</v>
      </c>
      <c r="F2570" s="1" t="s">
        <v>193</v>
      </c>
      <c r="G2570" s="1">
        <v>12</v>
      </c>
      <c r="H2570" s="1" t="s">
        <v>193</v>
      </c>
    </row>
    <row r="2571" spans="1:8">
      <c r="A2571">
        <v>164</v>
      </c>
      <c r="B2571" t="s">
        <v>589</v>
      </c>
      <c r="C2571">
        <v>12</v>
      </c>
      <c r="D2571" t="s">
        <v>107</v>
      </c>
      <c r="E2571" s="1">
        <v>1</v>
      </c>
      <c r="F2571" s="1">
        <v>41</v>
      </c>
      <c r="G2571" s="1">
        <v>20</v>
      </c>
      <c r="H2571" s="1">
        <v>41</v>
      </c>
    </row>
    <row r="2572" spans="1:8">
      <c r="A2572">
        <v>164</v>
      </c>
      <c r="B2572" t="s">
        <v>589</v>
      </c>
      <c r="C2572">
        <v>12</v>
      </c>
      <c r="D2572" t="s">
        <v>107</v>
      </c>
      <c r="E2572" s="1">
        <v>1</v>
      </c>
      <c r="F2572" s="1" t="s">
        <v>194</v>
      </c>
      <c r="G2572" s="1">
        <v>22</v>
      </c>
      <c r="H2572" s="1" t="s">
        <v>194</v>
      </c>
    </row>
    <row r="2573" spans="1:8">
      <c r="A2573">
        <v>164</v>
      </c>
      <c r="B2573" t="s">
        <v>589</v>
      </c>
      <c r="C2573">
        <v>12</v>
      </c>
      <c r="D2573" t="s">
        <v>107</v>
      </c>
      <c r="E2573" s="1">
        <v>1</v>
      </c>
      <c r="F2573" s="1">
        <v>42</v>
      </c>
      <c r="G2573" s="1">
        <v>30</v>
      </c>
      <c r="H2573" s="1">
        <v>42</v>
      </c>
    </row>
    <row r="2574" spans="1:8">
      <c r="A2574">
        <v>164</v>
      </c>
      <c r="B2574" t="s">
        <v>589</v>
      </c>
      <c r="C2574">
        <v>12</v>
      </c>
      <c r="D2574" t="s">
        <v>107</v>
      </c>
      <c r="E2574" s="1">
        <v>1</v>
      </c>
      <c r="F2574" s="1" t="s">
        <v>195</v>
      </c>
      <c r="G2574" s="1">
        <v>32</v>
      </c>
      <c r="H2574" s="1" t="s">
        <v>195</v>
      </c>
    </row>
    <row r="2575" spans="1:8">
      <c r="A2575">
        <v>164</v>
      </c>
      <c r="B2575" t="s">
        <v>589</v>
      </c>
      <c r="C2575">
        <v>12</v>
      </c>
      <c r="D2575" t="s">
        <v>107</v>
      </c>
      <c r="E2575" s="1">
        <v>1</v>
      </c>
      <c r="F2575" s="1">
        <v>43</v>
      </c>
      <c r="G2575" s="1">
        <v>40</v>
      </c>
      <c r="H2575" s="1">
        <v>43</v>
      </c>
    </row>
    <row r="2576" spans="1:8">
      <c r="A2576">
        <v>164</v>
      </c>
      <c r="B2576" t="s">
        <v>589</v>
      </c>
      <c r="C2576">
        <v>12</v>
      </c>
      <c r="D2576" t="s">
        <v>107</v>
      </c>
      <c r="E2576" s="1">
        <v>1</v>
      </c>
      <c r="F2576" s="1" t="s">
        <v>196</v>
      </c>
      <c r="G2576" s="1">
        <v>42</v>
      </c>
      <c r="H2576" s="1" t="s">
        <v>196</v>
      </c>
    </row>
    <row r="2577" spans="1:8">
      <c r="A2577">
        <v>164</v>
      </c>
      <c r="B2577" t="s">
        <v>589</v>
      </c>
      <c r="C2577">
        <v>12</v>
      </c>
      <c r="D2577" t="s">
        <v>107</v>
      </c>
      <c r="E2577" s="1">
        <v>1</v>
      </c>
      <c r="F2577" s="1">
        <v>44</v>
      </c>
      <c r="G2577" s="1">
        <v>50</v>
      </c>
      <c r="H2577" s="1">
        <v>44</v>
      </c>
    </row>
    <row r="2578" spans="1:8">
      <c r="A2578">
        <v>164</v>
      </c>
      <c r="B2578" t="s">
        <v>589</v>
      </c>
      <c r="C2578">
        <v>12</v>
      </c>
      <c r="D2578" t="s">
        <v>107</v>
      </c>
      <c r="E2578" s="1">
        <v>1</v>
      </c>
      <c r="F2578" s="1" t="s">
        <v>197</v>
      </c>
      <c r="G2578" s="1">
        <v>52</v>
      </c>
      <c r="H2578" s="1" t="s">
        <v>197</v>
      </c>
    </row>
    <row r="2579" spans="1:8">
      <c r="A2579">
        <v>164</v>
      </c>
      <c r="B2579" t="s">
        <v>589</v>
      </c>
      <c r="C2579">
        <v>12</v>
      </c>
      <c r="D2579" t="s">
        <v>107</v>
      </c>
      <c r="E2579" s="1">
        <v>1</v>
      </c>
      <c r="F2579" s="1">
        <v>45</v>
      </c>
      <c r="G2579" s="1">
        <v>60</v>
      </c>
      <c r="H2579" s="1">
        <v>45</v>
      </c>
    </row>
    <row r="2580" spans="1:8">
      <c r="A2580">
        <v>164</v>
      </c>
      <c r="B2580" t="s">
        <v>589</v>
      </c>
      <c r="C2580">
        <v>12</v>
      </c>
      <c r="D2580" t="s">
        <v>107</v>
      </c>
      <c r="E2580" s="1">
        <v>1</v>
      </c>
      <c r="F2580" s="1" t="s">
        <v>198</v>
      </c>
      <c r="G2580" s="1">
        <v>62</v>
      </c>
      <c r="H2580" s="1" t="s">
        <v>198</v>
      </c>
    </row>
    <row r="2581" spans="1:8">
      <c r="A2581">
        <v>164</v>
      </c>
      <c r="B2581" t="s">
        <v>589</v>
      </c>
      <c r="C2581">
        <v>12</v>
      </c>
      <c r="D2581" t="s">
        <v>107</v>
      </c>
      <c r="E2581" s="1">
        <v>1</v>
      </c>
      <c r="F2581" s="1" t="s">
        <v>199</v>
      </c>
      <c r="G2581" s="1">
        <v>72</v>
      </c>
      <c r="H2581" s="1" t="s">
        <v>199</v>
      </c>
    </row>
    <row r="2582" spans="1:8">
      <c r="A2582">
        <v>164</v>
      </c>
      <c r="B2582" t="s">
        <v>589</v>
      </c>
      <c r="C2582">
        <v>13</v>
      </c>
      <c r="D2582" t="s">
        <v>200</v>
      </c>
      <c r="E2582" s="1">
        <v>1</v>
      </c>
      <c r="F2582" s="1">
        <v>40</v>
      </c>
      <c r="G2582" s="1">
        <v>10</v>
      </c>
      <c r="H2582" s="1">
        <v>40</v>
      </c>
    </row>
    <row r="2583" spans="1:8">
      <c r="A2583">
        <v>164</v>
      </c>
      <c r="B2583" t="s">
        <v>589</v>
      </c>
      <c r="C2583">
        <v>13</v>
      </c>
      <c r="D2583" t="s">
        <v>200</v>
      </c>
      <c r="E2583" s="1">
        <v>1</v>
      </c>
      <c r="F2583" s="1">
        <v>41</v>
      </c>
      <c r="G2583" s="1">
        <v>20</v>
      </c>
      <c r="H2583" s="1">
        <v>41</v>
      </c>
    </row>
    <row r="2584" spans="1:8">
      <c r="A2584">
        <v>164</v>
      </c>
      <c r="B2584" t="s">
        <v>589</v>
      </c>
      <c r="C2584">
        <v>13</v>
      </c>
      <c r="D2584" t="s">
        <v>200</v>
      </c>
      <c r="E2584" s="1">
        <v>1</v>
      </c>
      <c r="F2584" s="1" t="s">
        <v>194</v>
      </c>
      <c r="G2584" s="1">
        <v>22</v>
      </c>
      <c r="H2584" s="1" t="s">
        <v>194</v>
      </c>
    </row>
    <row r="2585" spans="1:8">
      <c r="A2585">
        <v>164</v>
      </c>
      <c r="B2585" t="s">
        <v>589</v>
      </c>
      <c r="C2585">
        <v>13</v>
      </c>
      <c r="D2585" t="s">
        <v>200</v>
      </c>
      <c r="E2585" s="1">
        <v>1</v>
      </c>
      <c r="F2585" s="1">
        <v>42</v>
      </c>
      <c r="G2585" s="1">
        <v>30</v>
      </c>
      <c r="H2585" s="1">
        <v>42</v>
      </c>
    </row>
    <row r="2586" spans="1:8">
      <c r="A2586">
        <v>164</v>
      </c>
      <c r="B2586" t="s">
        <v>589</v>
      </c>
      <c r="C2586">
        <v>13</v>
      </c>
      <c r="D2586" t="s">
        <v>200</v>
      </c>
      <c r="E2586" s="1">
        <v>1</v>
      </c>
      <c r="F2586" s="1" t="s">
        <v>195</v>
      </c>
      <c r="G2586" s="1">
        <v>32</v>
      </c>
      <c r="H2586" s="1" t="s">
        <v>195</v>
      </c>
    </row>
    <row r="2587" spans="1:8">
      <c r="A2587">
        <v>164</v>
      </c>
      <c r="B2587" t="s">
        <v>589</v>
      </c>
      <c r="C2587">
        <v>13</v>
      </c>
      <c r="D2587" t="s">
        <v>200</v>
      </c>
      <c r="E2587" s="1">
        <v>1</v>
      </c>
      <c r="F2587" s="1">
        <v>43</v>
      </c>
      <c r="G2587" s="1">
        <v>40</v>
      </c>
      <c r="H2587" s="1">
        <v>43</v>
      </c>
    </row>
    <row r="2588" spans="1:8">
      <c r="A2588">
        <v>164</v>
      </c>
      <c r="B2588" t="s">
        <v>589</v>
      </c>
      <c r="C2588">
        <v>13</v>
      </c>
      <c r="D2588" t="s">
        <v>200</v>
      </c>
      <c r="E2588" s="1">
        <v>1</v>
      </c>
      <c r="F2588" s="1" t="s">
        <v>196</v>
      </c>
      <c r="G2588" s="1">
        <v>42</v>
      </c>
      <c r="H2588" s="1" t="s">
        <v>196</v>
      </c>
    </row>
    <row r="2589" spans="1:8">
      <c r="A2589">
        <v>164</v>
      </c>
      <c r="B2589" t="s">
        <v>589</v>
      </c>
      <c r="C2589">
        <v>13</v>
      </c>
      <c r="D2589" t="s">
        <v>200</v>
      </c>
      <c r="E2589" s="1">
        <v>1</v>
      </c>
      <c r="F2589" s="1">
        <v>44</v>
      </c>
      <c r="G2589" s="1">
        <v>50</v>
      </c>
      <c r="H2589" s="1">
        <v>44</v>
      </c>
    </row>
    <row r="2590" spans="1:8">
      <c r="A2590">
        <v>164</v>
      </c>
      <c r="B2590" t="s">
        <v>589</v>
      </c>
      <c r="C2590">
        <v>21</v>
      </c>
      <c r="D2590" t="s">
        <v>205</v>
      </c>
      <c r="E2590" s="1">
        <v>1</v>
      </c>
      <c r="F2590" s="1" t="s">
        <v>287</v>
      </c>
      <c r="G2590" s="1">
        <v>52</v>
      </c>
      <c r="H2590" s="1" t="s">
        <v>287</v>
      </c>
    </row>
    <row r="2591" spans="1:8">
      <c r="A2591">
        <v>164</v>
      </c>
      <c r="B2591" t="s">
        <v>589</v>
      </c>
      <c r="C2591">
        <v>27</v>
      </c>
      <c r="D2591" t="s">
        <v>210</v>
      </c>
      <c r="E2591" s="1">
        <v>1</v>
      </c>
      <c r="F2591" s="1" t="s">
        <v>192</v>
      </c>
      <c r="G2591" s="1">
        <v>2</v>
      </c>
      <c r="H2591" s="1" t="s">
        <v>192</v>
      </c>
    </row>
    <row r="2592" spans="1:8">
      <c r="A2592">
        <v>164</v>
      </c>
      <c r="B2592" t="s">
        <v>589</v>
      </c>
      <c r="C2592">
        <v>27</v>
      </c>
      <c r="D2592" t="s">
        <v>210</v>
      </c>
      <c r="E2592" s="1">
        <v>1</v>
      </c>
      <c r="F2592" s="1">
        <v>39</v>
      </c>
      <c r="H2592" s="1">
        <v>39</v>
      </c>
    </row>
    <row r="2593" spans="1:8">
      <c r="A2593">
        <v>164</v>
      </c>
      <c r="B2593" t="s">
        <v>589</v>
      </c>
      <c r="C2593">
        <v>43</v>
      </c>
      <c r="D2593" t="s">
        <v>221</v>
      </c>
      <c r="G2593" s="1">
        <v>30</v>
      </c>
    </row>
    <row r="2594" spans="1:8">
      <c r="A2594">
        <v>164</v>
      </c>
      <c r="B2594" t="s">
        <v>589</v>
      </c>
      <c r="C2594">
        <v>43</v>
      </c>
      <c r="D2594" t="s">
        <v>221</v>
      </c>
      <c r="G2594" s="1">
        <v>40</v>
      </c>
    </row>
    <row r="2595" spans="1:8">
      <c r="A2595">
        <v>164</v>
      </c>
      <c r="B2595" t="s">
        <v>589</v>
      </c>
      <c r="C2595">
        <v>43</v>
      </c>
      <c r="D2595" t="s">
        <v>221</v>
      </c>
      <c r="G2595" s="1">
        <v>50</v>
      </c>
    </row>
    <row r="2596" spans="1:8">
      <c r="A2596">
        <v>164</v>
      </c>
      <c r="B2596" t="s">
        <v>589</v>
      </c>
      <c r="C2596">
        <v>43</v>
      </c>
      <c r="D2596" t="s">
        <v>221</v>
      </c>
      <c r="G2596" s="1">
        <v>60</v>
      </c>
    </row>
    <row r="2597" spans="1:8">
      <c r="A2597">
        <v>164</v>
      </c>
      <c r="B2597" t="s">
        <v>589</v>
      </c>
      <c r="C2597">
        <v>57</v>
      </c>
      <c r="D2597" t="s">
        <v>183</v>
      </c>
      <c r="E2597" s="1">
        <v>3</v>
      </c>
      <c r="F2597" s="1" t="s">
        <v>492</v>
      </c>
      <c r="G2597" s="1">
        <v>50</v>
      </c>
      <c r="H2597" s="1" t="s">
        <v>492</v>
      </c>
    </row>
    <row r="2598" spans="1:8">
      <c r="A2598">
        <v>164</v>
      </c>
      <c r="B2598" t="s">
        <v>589</v>
      </c>
      <c r="C2598">
        <v>57</v>
      </c>
      <c r="D2598" t="s">
        <v>183</v>
      </c>
      <c r="G2598" s="1">
        <v>50</v>
      </c>
    </row>
    <row r="2599" spans="1:8">
      <c r="A2599">
        <v>164</v>
      </c>
      <c r="B2599" t="s">
        <v>589</v>
      </c>
      <c r="C2599">
        <v>57</v>
      </c>
      <c r="D2599" t="s">
        <v>183</v>
      </c>
      <c r="G2599" s="1">
        <v>60</v>
      </c>
    </row>
    <row r="2600" spans="1:8">
      <c r="A2600">
        <v>164</v>
      </c>
      <c r="B2600" t="s">
        <v>589</v>
      </c>
      <c r="C2600">
        <v>74</v>
      </c>
      <c r="D2600" t="s">
        <v>235</v>
      </c>
      <c r="E2600" s="1">
        <v>3</v>
      </c>
      <c r="F2600" s="1" t="s">
        <v>320</v>
      </c>
      <c r="G2600" s="1">
        <v>50</v>
      </c>
      <c r="H2600" s="1" t="s">
        <v>320</v>
      </c>
    </row>
    <row r="2601" spans="1:8">
      <c r="A2601">
        <v>164</v>
      </c>
      <c r="B2601" t="s">
        <v>589</v>
      </c>
      <c r="C2601">
        <v>74</v>
      </c>
      <c r="D2601" t="s">
        <v>235</v>
      </c>
      <c r="E2601" s="1">
        <v>3</v>
      </c>
      <c r="F2601" s="1" t="s">
        <v>321</v>
      </c>
      <c r="G2601" s="1">
        <v>60</v>
      </c>
      <c r="H2601" s="1" t="s">
        <v>321</v>
      </c>
    </row>
    <row r="2602" spans="1:8">
      <c r="A2602">
        <v>164</v>
      </c>
      <c r="B2602" t="s">
        <v>589</v>
      </c>
      <c r="C2602">
        <v>82</v>
      </c>
      <c r="D2602" t="s">
        <v>239</v>
      </c>
      <c r="G2602" s="1">
        <v>32</v>
      </c>
    </row>
    <row r="2603" spans="1:8">
      <c r="A2603">
        <v>165</v>
      </c>
      <c r="B2603" t="s">
        <v>590</v>
      </c>
      <c r="C2603">
        <v>1</v>
      </c>
      <c r="D2603" t="s">
        <v>137</v>
      </c>
      <c r="E2603" s="1">
        <v>1</v>
      </c>
      <c r="F2603" s="1" t="s">
        <v>144</v>
      </c>
      <c r="G2603" s="1">
        <v>62</v>
      </c>
      <c r="H2603" s="1" t="s">
        <v>144</v>
      </c>
    </row>
    <row r="2604" spans="1:8">
      <c r="A2604">
        <v>165</v>
      </c>
      <c r="B2604" t="s">
        <v>590</v>
      </c>
      <c r="C2604">
        <v>1</v>
      </c>
      <c r="D2604" t="s">
        <v>137</v>
      </c>
      <c r="E2604" s="1">
        <v>1</v>
      </c>
      <c r="F2604" s="1" t="s">
        <v>147</v>
      </c>
      <c r="G2604" s="1">
        <v>72</v>
      </c>
      <c r="H2604" s="1" t="s">
        <v>147</v>
      </c>
    </row>
    <row r="2605" spans="1:8">
      <c r="A2605">
        <v>165</v>
      </c>
      <c r="B2605" t="s">
        <v>590</v>
      </c>
      <c r="C2605">
        <v>1</v>
      </c>
      <c r="D2605" t="s">
        <v>137</v>
      </c>
      <c r="E2605" s="1">
        <v>1</v>
      </c>
      <c r="F2605" s="1" t="s">
        <v>150</v>
      </c>
      <c r="G2605" s="1">
        <v>82</v>
      </c>
      <c r="H2605" s="1" t="s">
        <v>150</v>
      </c>
    </row>
    <row r="2606" spans="1:8">
      <c r="A2606">
        <v>165</v>
      </c>
      <c r="B2606" t="s">
        <v>590</v>
      </c>
      <c r="C2606">
        <v>1</v>
      </c>
      <c r="D2606" t="s">
        <v>137</v>
      </c>
      <c r="E2606" s="1">
        <v>1</v>
      </c>
      <c r="F2606" s="1">
        <v>16</v>
      </c>
      <c r="G2606" s="1">
        <v>90</v>
      </c>
      <c r="H2606" s="1">
        <v>16</v>
      </c>
    </row>
    <row r="2607" spans="1:8">
      <c r="A2607">
        <v>165</v>
      </c>
      <c r="B2607" t="s">
        <v>590</v>
      </c>
      <c r="C2607">
        <v>1</v>
      </c>
      <c r="D2607" t="s">
        <v>137</v>
      </c>
      <c r="E2607" s="1">
        <v>1</v>
      </c>
      <c r="F2607" s="1" t="s">
        <v>153</v>
      </c>
      <c r="G2607" s="1">
        <v>92</v>
      </c>
      <c r="H2607" s="1" t="s">
        <v>153</v>
      </c>
    </row>
    <row r="2608" spans="1:8">
      <c r="A2608">
        <v>165</v>
      </c>
      <c r="B2608" t="s">
        <v>590</v>
      </c>
      <c r="C2608">
        <v>1</v>
      </c>
      <c r="D2608" t="s">
        <v>137</v>
      </c>
      <c r="E2608" s="1">
        <v>1</v>
      </c>
      <c r="F2608" s="1">
        <v>17</v>
      </c>
      <c r="G2608" s="1">
        <v>94</v>
      </c>
      <c r="H2608" s="1">
        <v>17</v>
      </c>
    </row>
    <row r="2609" spans="1:8">
      <c r="A2609">
        <v>165</v>
      </c>
      <c r="B2609" t="s">
        <v>590</v>
      </c>
      <c r="C2609">
        <v>1</v>
      </c>
      <c r="D2609" t="s">
        <v>137</v>
      </c>
      <c r="E2609" s="1">
        <v>1</v>
      </c>
      <c r="F2609" s="1" t="s">
        <v>156</v>
      </c>
      <c r="G2609" s="1">
        <v>96</v>
      </c>
      <c r="H2609" s="1" t="s">
        <v>156</v>
      </c>
    </row>
    <row r="2610" spans="1:8">
      <c r="A2610">
        <v>165</v>
      </c>
      <c r="B2610" t="s">
        <v>590</v>
      </c>
      <c r="C2610">
        <v>1</v>
      </c>
      <c r="D2610" t="s">
        <v>137</v>
      </c>
      <c r="E2610" s="1">
        <v>2</v>
      </c>
      <c r="F2610" s="1" t="s">
        <v>159</v>
      </c>
      <c r="G2610" s="1">
        <v>2</v>
      </c>
      <c r="H2610" s="1" t="s">
        <v>159</v>
      </c>
    </row>
    <row r="2611" spans="1:8">
      <c r="A2611">
        <v>165</v>
      </c>
      <c r="B2611" t="s">
        <v>590</v>
      </c>
      <c r="C2611">
        <v>1</v>
      </c>
      <c r="D2611" t="s">
        <v>137</v>
      </c>
      <c r="E2611" s="1">
        <v>2</v>
      </c>
      <c r="F2611" s="1">
        <v>19</v>
      </c>
      <c r="G2611" s="1">
        <v>10</v>
      </c>
      <c r="H2611" s="1">
        <v>19</v>
      </c>
    </row>
    <row r="2612" spans="1:8">
      <c r="A2612">
        <v>165</v>
      </c>
      <c r="B2612" t="s">
        <v>590</v>
      </c>
      <c r="C2612">
        <v>1</v>
      </c>
      <c r="D2612" t="s">
        <v>137</v>
      </c>
      <c r="E2612" s="1">
        <v>2</v>
      </c>
      <c r="F2612" s="1" t="s">
        <v>162</v>
      </c>
      <c r="G2612" s="1">
        <v>12</v>
      </c>
      <c r="H2612" s="1" t="s">
        <v>162</v>
      </c>
    </row>
    <row r="2613" spans="1:8">
      <c r="A2613">
        <v>165</v>
      </c>
      <c r="B2613" t="s">
        <v>590</v>
      </c>
      <c r="C2613">
        <v>1</v>
      </c>
      <c r="D2613" t="s">
        <v>137</v>
      </c>
      <c r="E2613" s="1">
        <v>2</v>
      </c>
      <c r="F2613" s="1">
        <v>20</v>
      </c>
      <c r="G2613" s="1">
        <v>20</v>
      </c>
      <c r="H2613" s="1">
        <v>20</v>
      </c>
    </row>
    <row r="2614" spans="1:8">
      <c r="A2614">
        <v>165</v>
      </c>
      <c r="B2614" t="s">
        <v>590</v>
      </c>
      <c r="C2614">
        <v>1</v>
      </c>
      <c r="D2614" t="s">
        <v>137</v>
      </c>
      <c r="E2614" s="1">
        <v>2</v>
      </c>
      <c r="F2614" s="1" t="s">
        <v>165</v>
      </c>
      <c r="G2614" s="1">
        <v>22</v>
      </c>
      <c r="H2614" s="1" t="s">
        <v>165</v>
      </c>
    </row>
    <row r="2615" spans="1:8">
      <c r="A2615">
        <v>165</v>
      </c>
      <c r="B2615" t="s">
        <v>590</v>
      </c>
      <c r="C2615">
        <v>1</v>
      </c>
      <c r="D2615" t="s">
        <v>137</v>
      </c>
      <c r="E2615" s="1">
        <v>2</v>
      </c>
      <c r="F2615" s="1">
        <v>21</v>
      </c>
      <c r="G2615" s="1">
        <v>30</v>
      </c>
      <c r="H2615" s="1">
        <v>21</v>
      </c>
    </row>
    <row r="2616" spans="1:8">
      <c r="A2616">
        <v>165</v>
      </c>
      <c r="B2616" t="s">
        <v>590</v>
      </c>
      <c r="C2616">
        <v>1</v>
      </c>
      <c r="D2616" t="s">
        <v>137</v>
      </c>
      <c r="E2616" s="1">
        <v>2</v>
      </c>
      <c r="F2616" s="1" t="s">
        <v>168</v>
      </c>
      <c r="G2616" s="1">
        <v>32</v>
      </c>
      <c r="H2616" s="1" t="s">
        <v>168</v>
      </c>
    </row>
    <row r="2617" spans="1:8">
      <c r="A2617">
        <v>165</v>
      </c>
      <c r="B2617" t="s">
        <v>590</v>
      </c>
      <c r="C2617">
        <v>1</v>
      </c>
      <c r="D2617" t="s">
        <v>137</v>
      </c>
      <c r="E2617" s="1">
        <v>2</v>
      </c>
      <c r="F2617" s="1">
        <v>22</v>
      </c>
      <c r="G2617" s="1">
        <v>40</v>
      </c>
      <c r="H2617" s="1">
        <v>22</v>
      </c>
    </row>
    <row r="2618" spans="1:8">
      <c r="A2618">
        <v>165</v>
      </c>
      <c r="B2618" t="s">
        <v>590</v>
      </c>
      <c r="C2618">
        <v>1</v>
      </c>
      <c r="D2618" t="s">
        <v>137</v>
      </c>
      <c r="E2618" s="1">
        <v>2</v>
      </c>
      <c r="F2618" s="1" t="s">
        <v>171</v>
      </c>
      <c r="G2618" s="1">
        <v>42</v>
      </c>
      <c r="H2618" s="1" t="s">
        <v>171</v>
      </c>
    </row>
    <row r="2619" spans="1:8">
      <c r="A2619">
        <v>165</v>
      </c>
      <c r="B2619" t="s">
        <v>590</v>
      </c>
      <c r="C2619">
        <v>1</v>
      </c>
      <c r="D2619" t="s">
        <v>137</v>
      </c>
      <c r="E2619" s="1">
        <v>2</v>
      </c>
      <c r="F2619" s="1">
        <v>23</v>
      </c>
      <c r="G2619" s="1">
        <v>50</v>
      </c>
      <c r="H2619" s="1">
        <v>23</v>
      </c>
    </row>
    <row r="2620" spans="1:8">
      <c r="A2620">
        <v>165</v>
      </c>
      <c r="B2620" t="s">
        <v>590</v>
      </c>
      <c r="C2620">
        <v>1</v>
      </c>
      <c r="D2620" t="s">
        <v>137</v>
      </c>
      <c r="E2620" s="1">
        <v>2</v>
      </c>
      <c r="F2620" s="1" t="s">
        <v>174</v>
      </c>
      <c r="G2620" s="1">
        <v>52</v>
      </c>
      <c r="H2620" s="1" t="s">
        <v>174</v>
      </c>
    </row>
    <row r="2621" spans="1:8">
      <c r="A2621">
        <v>165</v>
      </c>
      <c r="B2621" t="s">
        <v>590</v>
      </c>
      <c r="C2621">
        <v>1</v>
      </c>
      <c r="D2621" t="s">
        <v>137</v>
      </c>
      <c r="E2621" s="1">
        <v>2</v>
      </c>
      <c r="F2621" s="1" t="s">
        <v>177</v>
      </c>
      <c r="G2621" s="1">
        <v>62</v>
      </c>
      <c r="H2621" s="1" t="s">
        <v>177</v>
      </c>
    </row>
    <row r="2622" spans="1:8">
      <c r="A2622">
        <v>165</v>
      </c>
      <c r="B2622" t="s">
        <v>590</v>
      </c>
      <c r="C2622">
        <v>1</v>
      </c>
      <c r="D2622" t="s">
        <v>137</v>
      </c>
      <c r="E2622" s="1">
        <v>2</v>
      </c>
      <c r="F2622" s="1" t="s">
        <v>180</v>
      </c>
      <c r="G2622" s="1">
        <v>72</v>
      </c>
      <c r="H2622" s="1" t="s">
        <v>180</v>
      </c>
    </row>
    <row r="2623" spans="1:8">
      <c r="A2623">
        <v>165</v>
      </c>
      <c r="B2623" t="s">
        <v>590</v>
      </c>
      <c r="C2623">
        <v>1</v>
      </c>
      <c r="D2623" t="s">
        <v>137</v>
      </c>
      <c r="E2623" s="1">
        <v>2</v>
      </c>
      <c r="F2623" s="1">
        <v>18</v>
      </c>
      <c r="H2623" s="1">
        <v>18</v>
      </c>
    </row>
    <row r="2624" spans="1:8">
      <c r="A2624">
        <v>165</v>
      </c>
      <c r="B2624" t="s">
        <v>590</v>
      </c>
      <c r="C2624">
        <v>5</v>
      </c>
      <c r="D2624" t="s">
        <v>183</v>
      </c>
      <c r="G2624" s="1">
        <v>50</v>
      </c>
    </row>
    <row r="2625" spans="1:8">
      <c r="A2625">
        <v>165</v>
      </c>
      <c r="B2625" t="s">
        <v>590</v>
      </c>
      <c r="C2625">
        <v>5</v>
      </c>
      <c r="D2625" t="s">
        <v>183</v>
      </c>
      <c r="G2625" s="1">
        <v>60</v>
      </c>
    </row>
    <row r="2626" spans="1:8">
      <c r="A2626">
        <v>165</v>
      </c>
      <c r="B2626" t="s">
        <v>590</v>
      </c>
      <c r="C2626">
        <v>6</v>
      </c>
      <c r="D2626" t="s">
        <v>184</v>
      </c>
      <c r="G2626" s="1">
        <v>63</v>
      </c>
    </row>
    <row r="2627" spans="1:8">
      <c r="A2627">
        <v>165</v>
      </c>
      <c r="B2627" t="s">
        <v>590</v>
      </c>
      <c r="C2627">
        <v>11</v>
      </c>
      <c r="D2627" t="s">
        <v>186</v>
      </c>
      <c r="E2627" s="1">
        <v>1</v>
      </c>
      <c r="F2627" s="1" t="s">
        <v>192</v>
      </c>
      <c r="G2627" s="1">
        <v>2</v>
      </c>
      <c r="H2627" s="1" t="s">
        <v>192</v>
      </c>
    </row>
    <row r="2628" spans="1:8">
      <c r="A2628">
        <v>165</v>
      </c>
      <c r="B2628" t="s">
        <v>590</v>
      </c>
      <c r="C2628">
        <v>11</v>
      </c>
      <c r="D2628" t="s">
        <v>186</v>
      </c>
      <c r="E2628" s="1">
        <v>1</v>
      </c>
      <c r="F2628" s="1">
        <v>40</v>
      </c>
      <c r="G2628" s="1">
        <v>10</v>
      </c>
      <c r="H2628" s="1">
        <v>40</v>
      </c>
    </row>
    <row r="2629" spans="1:8">
      <c r="A2629">
        <v>165</v>
      </c>
      <c r="B2629" t="s">
        <v>590</v>
      </c>
      <c r="C2629">
        <v>11</v>
      </c>
      <c r="D2629" t="s">
        <v>186</v>
      </c>
      <c r="E2629" s="1">
        <v>1</v>
      </c>
      <c r="F2629" s="1" t="s">
        <v>193</v>
      </c>
      <c r="G2629" s="1">
        <v>12</v>
      </c>
      <c r="H2629" s="1" t="s">
        <v>193</v>
      </c>
    </row>
    <row r="2630" spans="1:8">
      <c r="A2630">
        <v>165</v>
      </c>
      <c r="B2630" t="s">
        <v>590</v>
      </c>
      <c r="C2630">
        <v>11</v>
      </c>
      <c r="D2630" t="s">
        <v>186</v>
      </c>
      <c r="E2630" s="1">
        <v>1</v>
      </c>
      <c r="F2630" s="1">
        <v>41</v>
      </c>
      <c r="G2630" s="1">
        <v>20</v>
      </c>
      <c r="H2630" s="1">
        <v>41</v>
      </c>
    </row>
    <row r="2631" spans="1:8">
      <c r="A2631">
        <v>165</v>
      </c>
      <c r="B2631" t="s">
        <v>590</v>
      </c>
      <c r="C2631">
        <v>11</v>
      </c>
      <c r="D2631" t="s">
        <v>186</v>
      </c>
      <c r="E2631" s="1">
        <v>1</v>
      </c>
      <c r="F2631" s="1" t="s">
        <v>194</v>
      </c>
      <c r="G2631" s="1">
        <v>22</v>
      </c>
      <c r="H2631" s="1" t="s">
        <v>194</v>
      </c>
    </row>
    <row r="2632" spans="1:8">
      <c r="A2632">
        <v>165</v>
      </c>
      <c r="B2632" t="s">
        <v>590</v>
      </c>
      <c r="C2632">
        <v>11</v>
      </c>
      <c r="D2632" t="s">
        <v>186</v>
      </c>
      <c r="E2632" s="1">
        <v>1</v>
      </c>
      <c r="F2632" s="1">
        <v>42</v>
      </c>
      <c r="G2632" s="1">
        <v>30</v>
      </c>
      <c r="H2632" s="1">
        <v>42</v>
      </c>
    </row>
    <row r="2633" spans="1:8">
      <c r="A2633">
        <v>165</v>
      </c>
      <c r="B2633" t="s">
        <v>590</v>
      </c>
      <c r="C2633">
        <v>11</v>
      </c>
      <c r="D2633" t="s">
        <v>186</v>
      </c>
      <c r="E2633" s="1">
        <v>1</v>
      </c>
      <c r="F2633" s="1" t="s">
        <v>195</v>
      </c>
      <c r="G2633" s="1">
        <v>32</v>
      </c>
      <c r="H2633" s="1" t="s">
        <v>195</v>
      </c>
    </row>
    <row r="2634" spans="1:8">
      <c r="A2634">
        <v>165</v>
      </c>
      <c r="B2634" t="s">
        <v>590</v>
      </c>
      <c r="C2634">
        <v>11</v>
      </c>
      <c r="D2634" t="s">
        <v>186</v>
      </c>
      <c r="E2634" s="1">
        <v>1</v>
      </c>
      <c r="F2634" s="1">
        <v>43</v>
      </c>
      <c r="G2634" s="1">
        <v>40</v>
      </c>
      <c r="H2634" s="1">
        <v>43</v>
      </c>
    </row>
    <row r="2635" spans="1:8">
      <c r="A2635">
        <v>165</v>
      </c>
      <c r="B2635" t="s">
        <v>590</v>
      </c>
      <c r="C2635">
        <v>11</v>
      </c>
      <c r="D2635" t="s">
        <v>186</v>
      </c>
      <c r="E2635" s="1">
        <v>1</v>
      </c>
      <c r="F2635" s="1" t="s">
        <v>196</v>
      </c>
      <c r="G2635" s="1">
        <v>42</v>
      </c>
      <c r="H2635" s="1" t="s">
        <v>196</v>
      </c>
    </row>
    <row r="2636" spans="1:8">
      <c r="A2636">
        <v>165</v>
      </c>
      <c r="B2636" t="s">
        <v>590</v>
      </c>
      <c r="C2636">
        <v>11</v>
      </c>
      <c r="D2636" t="s">
        <v>186</v>
      </c>
      <c r="E2636" s="1">
        <v>1</v>
      </c>
      <c r="F2636" s="1">
        <v>44</v>
      </c>
      <c r="G2636" s="1">
        <v>50</v>
      </c>
      <c r="H2636" s="1">
        <v>44</v>
      </c>
    </row>
    <row r="2637" spans="1:8">
      <c r="A2637">
        <v>165</v>
      </c>
      <c r="B2637" t="s">
        <v>590</v>
      </c>
      <c r="C2637">
        <v>11</v>
      </c>
      <c r="D2637" t="s">
        <v>186</v>
      </c>
      <c r="E2637" s="1">
        <v>1</v>
      </c>
      <c r="F2637" s="1" t="s">
        <v>197</v>
      </c>
      <c r="G2637" s="1">
        <v>52</v>
      </c>
      <c r="H2637" s="1" t="s">
        <v>197</v>
      </c>
    </row>
    <row r="2638" spans="1:8">
      <c r="A2638">
        <v>165</v>
      </c>
      <c r="B2638" t="s">
        <v>590</v>
      </c>
      <c r="C2638">
        <v>11</v>
      </c>
      <c r="D2638" t="s">
        <v>186</v>
      </c>
      <c r="E2638" s="1">
        <v>1</v>
      </c>
      <c r="F2638" s="1">
        <v>45</v>
      </c>
      <c r="G2638" s="1">
        <v>60</v>
      </c>
      <c r="H2638" s="1">
        <v>45</v>
      </c>
    </row>
    <row r="2639" spans="1:8">
      <c r="A2639">
        <v>165</v>
      </c>
      <c r="B2639" t="s">
        <v>590</v>
      </c>
      <c r="C2639">
        <v>11</v>
      </c>
      <c r="D2639" t="s">
        <v>186</v>
      </c>
      <c r="E2639" s="1">
        <v>1</v>
      </c>
      <c r="F2639" s="1" t="s">
        <v>198</v>
      </c>
      <c r="G2639" s="1">
        <v>62</v>
      </c>
      <c r="H2639" s="1" t="s">
        <v>198</v>
      </c>
    </row>
    <row r="2640" spans="1:8">
      <c r="A2640">
        <v>165</v>
      </c>
      <c r="B2640" t="s">
        <v>590</v>
      </c>
      <c r="C2640">
        <v>11</v>
      </c>
      <c r="D2640" t="s">
        <v>186</v>
      </c>
      <c r="E2640" s="1">
        <v>1</v>
      </c>
      <c r="F2640" s="1" t="s">
        <v>199</v>
      </c>
      <c r="G2640" s="1">
        <v>72</v>
      </c>
      <c r="H2640" s="1" t="s">
        <v>199</v>
      </c>
    </row>
    <row r="2641" spans="1:8">
      <c r="A2641">
        <v>165</v>
      </c>
      <c r="B2641" t="s">
        <v>590</v>
      </c>
      <c r="C2641">
        <v>11</v>
      </c>
      <c r="D2641" t="s">
        <v>186</v>
      </c>
      <c r="E2641" s="1">
        <v>1</v>
      </c>
      <c r="F2641" s="1">
        <v>39</v>
      </c>
      <c r="H2641" s="1">
        <v>39</v>
      </c>
    </row>
    <row r="2642" spans="1:8">
      <c r="A2642">
        <v>165</v>
      </c>
      <c r="B2642" t="s">
        <v>590</v>
      </c>
      <c r="C2642">
        <v>11</v>
      </c>
      <c r="D2642" t="s">
        <v>186</v>
      </c>
      <c r="G2642" s="1">
        <v>92</v>
      </c>
    </row>
    <row r="2643" spans="1:8">
      <c r="A2643">
        <v>165</v>
      </c>
      <c r="B2643" t="s">
        <v>590</v>
      </c>
      <c r="C2643">
        <v>12</v>
      </c>
      <c r="D2643" t="s">
        <v>107</v>
      </c>
      <c r="E2643" s="1">
        <v>1</v>
      </c>
      <c r="F2643" s="1" t="s">
        <v>193</v>
      </c>
      <c r="G2643" s="1">
        <v>12</v>
      </c>
      <c r="H2643" s="1" t="s">
        <v>193</v>
      </c>
    </row>
    <row r="2644" spans="1:8">
      <c r="A2644">
        <v>165</v>
      </c>
      <c r="B2644" t="s">
        <v>590</v>
      </c>
      <c r="C2644">
        <v>12</v>
      </c>
      <c r="D2644" t="s">
        <v>107</v>
      </c>
      <c r="E2644" s="1">
        <v>1</v>
      </c>
      <c r="F2644" s="1" t="s">
        <v>194</v>
      </c>
      <c r="G2644" s="1">
        <v>22</v>
      </c>
      <c r="H2644" s="1" t="s">
        <v>194</v>
      </c>
    </row>
    <row r="2645" spans="1:8">
      <c r="A2645">
        <v>165</v>
      </c>
      <c r="B2645" t="s">
        <v>590</v>
      </c>
      <c r="C2645">
        <v>12</v>
      </c>
      <c r="D2645" t="s">
        <v>107</v>
      </c>
      <c r="E2645" s="1">
        <v>1</v>
      </c>
      <c r="F2645" s="1">
        <v>42</v>
      </c>
      <c r="G2645" s="1">
        <v>30</v>
      </c>
      <c r="H2645" s="1">
        <v>42</v>
      </c>
    </row>
    <row r="2646" spans="1:8">
      <c r="A2646">
        <v>165</v>
      </c>
      <c r="B2646" t="s">
        <v>590</v>
      </c>
      <c r="C2646">
        <v>12</v>
      </c>
      <c r="D2646" t="s">
        <v>107</v>
      </c>
      <c r="E2646" s="1">
        <v>1</v>
      </c>
      <c r="F2646" s="1" t="s">
        <v>195</v>
      </c>
      <c r="G2646" s="1">
        <v>32</v>
      </c>
      <c r="H2646" s="1" t="s">
        <v>195</v>
      </c>
    </row>
    <row r="2647" spans="1:8">
      <c r="A2647">
        <v>165</v>
      </c>
      <c r="B2647" t="s">
        <v>590</v>
      </c>
      <c r="C2647">
        <v>12</v>
      </c>
      <c r="D2647" t="s">
        <v>107</v>
      </c>
      <c r="E2647" s="1">
        <v>1</v>
      </c>
      <c r="F2647" s="1">
        <v>43</v>
      </c>
      <c r="G2647" s="1">
        <v>40</v>
      </c>
      <c r="H2647" s="1">
        <v>43</v>
      </c>
    </row>
    <row r="2648" spans="1:8">
      <c r="A2648">
        <v>165</v>
      </c>
      <c r="B2648" t="s">
        <v>590</v>
      </c>
      <c r="C2648">
        <v>12</v>
      </c>
      <c r="D2648" t="s">
        <v>107</v>
      </c>
      <c r="E2648" s="1">
        <v>1</v>
      </c>
      <c r="F2648" s="1" t="s">
        <v>196</v>
      </c>
      <c r="G2648" s="1">
        <v>42</v>
      </c>
      <c r="H2648" s="1" t="s">
        <v>196</v>
      </c>
    </row>
    <row r="2649" spans="1:8">
      <c r="A2649">
        <v>165</v>
      </c>
      <c r="B2649" t="s">
        <v>590</v>
      </c>
      <c r="C2649">
        <v>12</v>
      </c>
      <c r="D2649" t="s">
        <v>107</v>
      </c>
      <c r="E2649" s="1">
        <v>1</v>
      </c>
      <c r="F2649" s="1">
        <v>44</v>
      </c>
      <c r="G2649" s="1">
        <v>50</v>
      </c>
      <c r="H2649" s="1">
        <v>44</v>
      </c>
    </row>
    <row r="2650" spans="1:8">
      <c r="A2650">
        <v>165</v>
      </c>
      <c r="B2650" t="s">
        <v>590</v>
      </c>
      <c r="C2650">
        <v>12</v>
      </c>
      <c r="D2650" t="s">
        <v>107</v>
      </c>
      <c r="E2650" s="1">
        <v>1</v>
      </c>
      <c r="F2650" s="1" t="s">
        <v>197</v>
      </c>
      <c r="G2650" s="1">
        <v>52</v>
      </c>
      <c r="H2650" s="1" t="s">
        <v>197</v>
      </c>
    </row>
    <row r="2651" spans="1:8">
      <c r="A2651">
        <v>165</v>
      </c>
      <c r="B2651" t="s">
        <v>590</v>
      </c>
      <c r="C2651">
        <v>13</v>
      </c>
      <c r="D2651" t="s">
        <v>200</v>
      </c>
      <c r="E2651" s="1">
        <v>1</v>
      </c>
      <c r="F2651" s="1" t="s">
        <v>192</v>
      </c>
      <c r="G2651" s="1">
        <v>2</v>
      </c>
      <c r="H2651" s="1" t="s">
        <v>192</v>
      </c>
    </row>
    <row r="2652" spans="1:8">
      <c r="A2652">
        <v>165</v>
      </c>
      <c r="B2652" t="s">
        <v>590</v>
      </c>
      <c r="C2652">
        <v>13</v>
      </c>
      <c r="D2652" t="s">
        <v>200</v>
      </c>
      <c r="E2652" s="1">
        <v>1</v>
      </c>
      <c r="F2652" s="1">
        <v>40</v>
      </c>
      <c r="G2652" s="1">
        <v>10</v>
      </c>
      <c r="H2652" s="1">
        <v>40</v>
      </c>
    </row>
    <row r="2653" spans="1:8">
      <c r="A2653">
        <v>165</v>
      </c>
      <c r="B2653" t="s">
        <v>590</v>
      </c>
      <c r="C2653">
        <v>13</v>
      </c>
      <c r="D2653" t="s">
        <v>200</v>
      </c>
      <c r="E2653" s="1">
        <v>1</v>
      </c>
      <c r="F2653" s="1" t="s">
        <v>193</v>
      </c>
      <c r="G2653" s="1">
        <v>12</v>
      </c>
      <c r="H2653" s="1" t="s">
        <v>193</v>
      </c>
    </row>
    <row r="2654" spans="1:8">
      <c r="A2654">
        <v>165</v>
      </c>
      <c r="B2654" t="s">
        <v>590</v>
      </c>
      <c r="C2654">
        <v>13</v>
      </c>
      <c r="D2654" t="s">
        <v>200</v>
      </c>
      <c r="E2654" s="1">
        <v>1</v>
      </c>
      <c r="F2654" s="1">
        <v>41</v>
      </c>
      <c r="G2654" s="1">
        <v>20</v>
      </c>
      <c r="H2654" s="1">
        <v>41</v>
      </c>
    </row>
    <row r="2655" spans="1:8">
      <c r="A2655">
        <v>165</v>
      </c>
      <c r="B2655" t="s">
        <v>590</v>
      </c>
      <c r="C2655">
        <v>13</v>
      </c>
      <c r="D2655" t="s">
        <v>200</v>
      </c>
      <c r="E2655" s="1">
        <v>1</v>
      </c>
      <c r="F2655" s="1" t="s">
        <v>194</v>
      </c>
      <c r="G2655" s="1">
        <v>22</v>
      </c>
      <c r="H2655" s="1" t="s">
        <v>194</v>
      </c>
    </row>
    <row r="2656" spans="1:8">
      <c r="A2656">
        <v>165</v>
      </c>
      <c r="B2656" t="s">
        <v>590</v>
      </c>
      <c r="C2656">
        <v>13</v>
      </c>
      <c r="D2656" t="s">
        <v>200</v>
      </c>
      <c r="E2656" s="1">
        <v>1</v>
      </c>
      <c r="F2656" s="1">
        <v>42</v>
      </c>
      <c r="G2656" s="1">
        <v>30</v>
      </c>
      <c r="H2656" s="1">
        <v>42</v>
      </c>
    </row>
    <row r="2657" spans="1:8">
      <c r="A2657">
        <v>165</v>
      </c>
      <c r="B2657" t="s">
        <v>590</v>
      </c>
      <c r="C2657">
        <v>13</v>
      </c>
      <c r="D2657" t="s">
        <v>200</v>
      </c>
      <c r="E2657" s="1">
        <v>1</v>
      </c>
      <c r="F2657" s="1" t="s">
        <v>195</v>
      </c>
      <c r="G2657" s="1">
        <v>32</v>
      </c>
      <c r="H2657" s="1" t="s">
        <v>195</v>
      </c>
    </row>
    <row r="2658" spans="1:8">
      <c r="A2658">
        <v>165</v>
      </c>
      <c r="B2658" t="s">
        <v>590</v>
      </c>
      <c r="C2658">
        <v>13</v>
      </c>
      <c r="D2658" t="s">
        <v>200</v>
      </c>
      <c r="E2658" s="1">
        <v>1</v>
      </c>
      <c r="F2658" s="1" t="s">
        <v>196</v>
      </c>
      <c r="G2658" s="1">
        <v>42</v>
      </c>
      <c r="H2658" s="1" t="s">
        <v>196</v>
      </c>
    </row>
    <row r="2659" spans="1:8">
      <c r="A2659">
        <v>165</v>
      </c>
      <c r="B2659" t="s">
        <v>590</v>
      </c>
      <c r="C2659">
        <v>13</v>
      </c>
      <c r="D2659" t="s">
        <v>200</v>
      </c>
      <c r="E2659" s="1">
        <v>1</v>
      </c>
      <c r="F2659" s="1" t="s">
        <v>197</v>
      </c>
      <c r="G2659" s="1">
        <v>52</v>
      </c>
      <c r="H2659" s="1" t="s">
        <v>197</v>
      </c>
    </row>
    <row r="2660" spans="1:8">
      <c r="A2660">
        <v>165</v>
      </c>
      <c r="B2660" t="s">
        <v>590</v>
      </c>
      <c r="C2660">
        <v>13</v>
      </c>
      <c r="D2660" t="s">
        <v>200</v>
      </c>
      <c r="E2660" s="1">
        <v>1</v>
      </c>
      <c r="F2660" s="1" t="s">
        <v>198</v>
      </c>
      <c r="G2660" s="1">
        <v>62</v>
      </c>
      <c r="H2660" s="1" t="s">
        <v>198</v>
      </c>
    </row>
    <row r="2661" spans="1:8">
      <c r="A2661">
        <v>165</v>
      </c>
      <c r="B2661" t="s">
        <v>590</v>
      </c>
      <c r="C2661">
        <v>13</v>
      </c>
      <c r="D2661" t="s">
        <v>200</v>
      </c>
      <c r="E2661" s="1">
        <v>1</v>
      </c>
      <c r="F2661" s="1">
        <v>39</v>
      </c>
      <c r="H2661" s="1">
        <v>39</v>
      </c>
    </row>
    <row r="2662" spans="1:8">
      <c r="A2662">
        <v>165</v>
      </c>
      <c r="B2662" t="s">
        <v>590</v>
      </c>
      <c r="C2662">
        <v>15</v>
      </c>
      <c r="D2662" t="s">
        <v>201</v>
      </c>
      <c r="E2662" s="1">
        <v>4</v>
      </c>
      <c r="F2662" s="1" t="s">
        <v>286</v>
      </c>
      <c r="G2662" s="1">
        <v>70</v>
      </c>
      <c r="H2662" s="1" t="s">
        <v>286</v>
      </c>
    </row>
    <row r="2663" spans="1:8">
      <c r="A2663">
        <v>165</v>
      </c>
      <c r="B2663" t="s">
        <v>590</v>
      </c>
      <c r="C2663">
        <v>21</v>
      </c>
      <c r="D2663" t="s">
        <v>205</v>
      </c>
      <c r="E2663" s="1">
        <v>1</v>
      </c>
      <c r="F2663" s="1" t="s">
        <v>541</v>
      </c>
      <c r="G2663" s="1">
        <v>2</v>
      </c>
      <c r="H2663" s="1" t="s">
        <v>541</v>
      </c>
    </row>
    <row r="2664" spans="1:8">
      <c r="A2664">
        <v>165</v>
      </c>
      <c r="B2664" t="s">
        <v>590</v>
      </c>
      <c r="C2664">
        <v>21</v>
      </c>
      <c r="D2664" t="s">
        <v>205</v>
      </c>
      <c r="E2664" s="1">
        <v>1</v>
      </c>
      <c r="F2664" s="1" t="s">
        <v>328</v>
      </c>
      <c r="G2664" s="1">
        <v>20</v>
      </c>
      <c r="H2664" s="1" t="s">
        <v>328</v>
      </c>
    </row>
    <row r="2665" spans="1:8">
      <c r="A2665">
        <v>165</v>
      </c>
      <c r="B2665" t="s">
        <v>590</v>
      </c>
      <c r="C2665">
        <v>21</v>
      </c>
      <c r="D2665" t="s">
        <v>205</v>
      </c>
      <c r="E2665" s="1">
        <v>1</v>
      </c>
      <c r="F2665" s="1" t="s">
        <v>395</v>
      </c>
      <c r="G2665" s="1">
        <v>22</v>
      </c>
      <c r="H2665" s="1" t="s">
        <v>395</v>
      </c>
    </row>
    <row r="2666" spans="1:8">
      <c r="A2666">
        <v>165</v>
      </c>
      <c r="B2666" t="s">
        <v>590</v>
      </c>
      <c r="C2666">
        <v>21</v>
      </c>
      <c r="D2666" t="s">
        <v>205</v>
      </c>
      <c r="E2666" s="1">
        <v>1</v>
      </c>
      <c r="F2666" s="1" t="s">
        <v>329</v>
      </c>
      <c r="G2666" s="1">
        <v>30</v>
      </c>
      <c r="H2666" s="1" t="s">
        <v>329</v>
      </c>
    </row>
    <row r="2667" spans="1:8">
      <c r="A2667">
        <v>165</v>
      </c>
      <c r="B2667" t="s">
        <v>590</v>
      </c>
      <c r="C2667">
        <v>21</v>
      </c>
      <c r="D2667" t="s">
        <v>205</v>
      </c>
      <c r="E2667" s="1">
        <v>1</v>
      </c>
      <c r="F2667" s="1" t="s">
        <v>323</v>
      </c>
      <c r="G2667" s="1">
        <v>32</v>
      </c>
      <c r="H2667" s="1" t="s">
        <v>323</v>
      </c>
    </row>
    <row r="2668" spans="1:8">
      <c r="A2668">
        <v>165</v>
      </c>
      <c r="B2668" t="s">
        <v>590</v>
      </c>
      <c r="C2668">
        <v>21</v>
      </c>
      <c r="D2668" t="s">
        <v>205</v>
      </c>
      <c r="E2668" s="1">
        <v>1</v>
      </c>
      <c r="F2668" s="1" t="s">
        <v>332</v>
      </c>
      <c r="G2668" s="1">
        <v>40</v>
      </c>
      <c r="H2668" s="1" t="s">
        <v>332</v>
      </c>
    </row>
    <row r="2669" spans="1:8">
      <c r="A2669">
        <v>165</v>
      </c>
      <c r="B2669" t="s">
        <v>590</v>
      </c>
      <c r="C2669">
        <v>21</v>
      </c>
      <c r="D2669" t="s">
        <v>205</v>
      </c>
      <c r="E2669" s="1">
        <v>1</v>
      </c>
      <c r="F2669" s="1" t="s">
        <v>330</v>
      </c>
      <c r="G2669" s="1">
        <v>42</v>
      </c>
      <c r="H2669" s="1" t="s">
        <v>330</v>
      </c>
    </row>
    <row r="2670" spans="1:8">
      <c r="A2670">
        <v>165</v>
      </c>
      <c r="B2670" t="s">
        <v>590</v>
      </c>
      <c r="C2670">
        <v>21</v>
      </c>
      <c r="D2670" t="s">
        <v>205</v>
      </c>
      <c r="E2670" s="1">
        <v>1</v>
      </c>
      <c r="F2670" s="1" t="s">
        <v>287</v>
      </c>
      <c r="G2670" s="1">
        <v>52</v>
      </c>
      <c r="H2670" s="1" t="s">
        <v>287</v>
      </c>
    </row>
    <row r="2671" spans="1:8">
      <c r="A2671">
        <v>165</v>
      </c>
      <c r="B2671" t="s">
        <v>590</v>
      </c>
      <c r="C2671">
        <v>21</v>
      </c>
      <c r="D2671" t="s">
        <v>205</v>
      </c>
      <c r="E2671" s="1">
        <v>1</v>
      </c>
      <c r="F2671" s="1" t="s">
        <v>288</v>
      </c>
      <c r="G2671" s="1">
        <v>62</v>
      </c>
      <c r="H2671" s="1" t="s">
        <v>288</v>
      </c>
    </row>
    <row r="2672" spans="1:8">
      <c r="A2672">
        <v>165</v>
      </c>
      <c r="B2672" t="s">
        <v>590</v>
      </c>
      <c r="C2672">
        <v>22</v>
      </c>
      <c r="D2672" t="s">
        <v>206</v>
      </c>
      <c r="E2672" s="1">
        <v>1</v>
      </c>
      <c r="F2672" s="1" t="s">
        <v>288</v>
      </c>
      <c r="G2672" s="1">
        <v>62</v>
      </c>
      <c r="H2672" s="1" t="s">
        <v>288</v>
      </c>
    </row>
    <row r="2673" spans="1:8">
      <c r="A2673">
        <v>165</v>
      </c>
      <c r="B2673" t="s">
        <v>590</v>
      </c>
      <c r="C2673">
        <v>57</v>
      </c>
      <c r="D2673" t="s">
        <v>183</v>
      </c>
      <c r="E2673" s="1">
        <v>3</v>
      </c>
      <c r="F2673" s="1" t="s">
        <v>338</v>
      </c>
      <c r="G2673" s="1">
        <v>60</v>
      </c>
      <c r="H2673" s="1" t="s">
        <v>338</v>
      </c>
    </row>
    <row r="2674" spans="1:8">
      <c r="A2674">
        <v>165</v>
      </c>
      <c r="B2674" t="s">
        <v>590</v>
      </c>
      <c r="C2674">
        <v>57</v>
      </c>
      <c r="D2674" t="s">
        <v>183</v>
      </c>
      <c r="E2674" s="1">
        <v>66</v>
      </c>
      <c r="F2674" s="1" t="s">
        <v>349</v>
      </c>
      <c r="G2674" s="1">
        <v>30</v>
      </c>
      <c r="H2674" s="1" t="s">
        <v>349</v>
      </c>
    </row>
    <row r="2675" spans="1:8">
      <c r="A2675">
        <v>165</v>
      </c>
      <c r="B2675" t="s">
        <v>590</v>
      </c>
      <c r="C2675">
        <v>57</v>
      </c>
      <c r="D2675" t="s">
        <v>183</v>
      </c>
      <c r="E2675" s="1">
        <v>66</v>
      </c>
      <c r="F2675" s="1" t="s">
        <v>350</v>
      </c>
      <c r="G2675" s="1">
        <v>40</v>
      </c>
      <c r="H2675" s="1" t="s">
        <v>350</v>
      </c>
    </row>
    <row r="2676" spans="1:8">
      <c r="A2676">
        <v>165</v>
      </c>
      <c r="B2676" t="s">
        <v>590</v>
      </c>
      <c r="C2676">
        <v>57</v>
      </c>
      <c r="D2676" t="s">
        <v>183</v>
      </c>
      <c r="E2676" s="1">
        <v>66</v>
      </c>
      <c r="F2676" s="1" t="s">
        <v>351</v>
      </c>
      <c r="G2676" s="1">
        <v>50</v>
      </c>
      <c r="H2676" s="1" t="s">
        <v>351</v>
      </c>
    </row>
    <row r="2677" spans="1:8">
      <c r="A2677">
        <v>165</v>
      </c>
      <c r="B2677" t="s">
        <v>590</v>
      </c>
      <c r="C2677">
        <v>57</v>
      </c>
      <c r="D2677" t="s">
        <v>183</v>
      </c>
      <c r="E2677" s="1">
        <v>66</v>
      </c>
      <c r="F2677" s="1" t="s">
        <v>352</v>
      </c>
      <c r="G2677" s="1">
        <v>60</v>
      </c>
      <c r="H2677" s="1" t="s">
        <v>352</v>
      </c>
    </row>
    <row r="2678" spans="1:8">
      <c r="A2678">
        <v>165</v>
      </c>
      <c r="B2678" t="s">
        <v>590</v>
      </c>
      <c r="C2678">
        <v>57</v>
      </c>
      <c r="D2678" t="s">
        <v>183</v>
      </c>
      <c r="E2678" s="1">
        <v>66</v>
      </c>
      <c r="F2678" s="1" t="s">
        <v>353</v>
      </c>
      <c r="G2678" s="1">
        <v>70</v>
      </c>
      <c r="H2678" s="1" t="s">
        <v>353</v>
      </c>
    </row>
    <row r="2679" spans="1:8">
      <c r="A2679">
        <v>165</v>
      </c>
      <c r="B2679" t="s">
        <v>590</v>
      </c>
      <c r="C2679">
        <v>57</v>
      </c>
      <c r="D2679" t="s">
        <v>183</v>
      </c>
      <c r="G2679" s="1">
        <v>60</v>
      </c>
    </row>
    <row r="2680" spans="1:8">
      <c r="A2680">
        <v>165</v>
      </c>
      <c r="B2680" t="s">
        <v>590</v>
      </c>
      <c r="C2680">
        <v>74</v>
      </c>
      <c r="D2680" t="s">
        <v>235</v>
      </c>
      <c r="E2680" s="1">
        <v>3</v>
      </c>
      <c r="F2680" s="1" t="s">
        <v>321</v>
      </c>
      <c r="G2680" s="1">
        <v>60</v>
      </c>
      <c r="H2680" s="1" t="s">
        <v>321</v>
      </c>
    </row>
    <row r="2681" spans="1:8">
      <c r="A2681">
        <v>166</v>
      </c>
      <c r="B2681" t="s">
        <v>591</v>
      </c>
      <c r="C2681">
        <v>1</v>
      </c>
      <c r="D2681" t="s">
        <v>137</v>
      </c>
      <c r="E2681" s="1">
        <v>1</v>
      </c>
      <c r="F2681" s="1" t="s">
        <v>153</v>
      </c>
      <c r="G2681" s="1">
        <v>92</v>
      </c>
      <c r="H2681" s="1" t="s">
        <v>153</v>
      </c>
    </row>
    <row r="2682" spans="1:8">
      <c r="A2682">
        <v>166</v>
      </c>
      <c r="B2682" t="s">
        <v>591</v>
      </c>
      <c r="C2682">
        <v>1</v>
      </c>
      <c r="D2682" t="s">
        <v>137</v>
      </c>
      <c r="E2682" s="1">
        <v>1</v>
      </c>
      <c r="F2682" s="1">
        <v>17</v>
      </c>
      <c r="G2682" s="1">
        <v>94</v>
      </c>
      <c r="H2682" s="1">
        <v>17</v>
      </c>
    </row>
    <row r="2683" spans="1:8">
      <c r="A2683">
        <v>166</v>
      </c>
      <c r="B2683" t="s">
        <v>591</v>
      </c>
      <c r="C2683">
        <v>1</v>
      </c>
      <c r="D2683" t="s">
        <v>137</v>
      </c>
      <c r="E2683" s="1">
        <v>1</v>
      </c>
      <c r="F2683" s="1" t="s">
        <v>156</v>
      </c>
      <c r="G2683" s="1">
        <v>96</v>
      </c>
      <c r="H2683" s="1" t="s">
        <v>156</v>
      </c>
    </row>
    <row r="2684" spans="1:8">
      <c r="A2684">
        <v>166</v>
      </c>
      <c r="B2684" t="s">
        <v>591</v>
      </c>
      <c r="C2684">
        <v>1</v>
      </c>
      <c r="D2684" t="s">
        <v>137</v>
      </c>
      <c r="E2684" s="1">
        <v>2</v>
      </c>
      <c r="F2684" s="1" t="s">
        <v>159</v>
      </c>
      <c r="G2684" s="1">
        <v>2</v>
      </c>
      <c r="H2684" s="1" t="s">
        <v>159</v>
      </c>
    </row>
    <row r="2685" spans="1:8">
      <c r="A2685">
        <v>166</v>
      </c>
      <c r="B2685" t="s">
        <v>591</v>
      </c>
      <c r="C2685">
        <v>1</v>
      </c>
      <c r="D2685" t="s">
        <v>137</v>
      </c>
      <c r="E2685" s="1">
        <v>2</v>
      </c>
      <c r="F2685" s="1">
        <v>19</v>
      </c>
      <c r="G2685" s="1">
        <v>10</v>
      </c>
      <c r="H2685" s="1">
        <v>19</v>
      </c>
    </row>
    <row r="2686" spans="1:8">
      <c r="A2686">
        <v>166</v>
      </c>
      <c r="B2686" t="s">
        <v>591</v>
      </c>
      <c r="C2686">
        <v>1</v>
      </c>
      <c r="D2686" t="s">
        <v>137</v>
      </c>
      <c r="E2686" s="1">
        <v>2</v>
      </c>
      <c r="F2686" s="1" t="s">
        <v>162</v>
      </c>
      <c r="G2686" s="1">
        <v>12</v>
      </c>
      <c r="H2686" s="1" t="s">
        <v>162</v>
      </c>
    </row>
    <row r="2687" spans="1:8">
      <c r="A2687">
        <v>166</v>
      </c>
      <c r="B2687" t="s">
        <v>591</v>
      </c>
      <c r="C2687">
        <v>1</v>
      </c>
      <c r="D2687" t="s">
        <v>137</v>
      </c>
      <c r="E2687" s="1">
        <v>2</v>
      </c>
      <c r="F2687" s="1">
        <v>20</v>
      </c>
      <c r="G2687" s="1">
        <v>20</v>
      </c>
      <c r="H2687" s="1">
        <v>20</v>
      </c>
    </row>
    <row r="2688" spans="1:8">
      <c r="A2688">
        <v>166</v>
      </c>
      <c r="B2688" t="s">
        <v>591</v>
      </c>
      <c r="C2688">
        <v>1</v>
      </c>
      <c r="D2688" t="s">
        <v>137</v>
      </c>
      <c r="E2688" s="1">
        <v>2</v>
      </c>
      <c r="F2688" s="1" t="s">
        <v>165</v>
      </c>
      <c r="G2688" s="1">
        <v>22</v>
      </c>
      <c r="H2688" s="1" t="s">
        <v>165</v>
      </c>
    </row>
    <row r="2689" spans="1:8">
      <c r="A2689">
        <v>166</v>
      </c>
      <c r="B2689" t="s">
        <v>591</v>
      </c>
      <c r="C2689">
        <v>1</v>
      </c>
      <c r="D2689" t="s">
        <v>137</v>
      </c>
      <c r="E2689" s="1">
        <v>2</v>
      </c>
      <c r="F2689" s="1">
        <v>21</v>
      </c>
      <c r="G2689" s="1">
        <v>30</v>
      </c>
      <c r="H2689" s="1">
        <v>21</v>
      </c>
    </row>
    <row r="2690" spans="1:8">
      <c r="A2690">
        <v>166</v>
      </c>
      <c r="B2690" t="s">
        <v>591</v>
      </c>
      <c r="C2690">
        <v>1</v>
      </c>
      <c r="D2690" t="s">
        <v>137</v>
      </c>
      <c r="E2690" s="1">
        <v>2</v>
      </c>
      <c r="F2690" s="1" t="s">
        <v>168</v>
      </c>
      <c r="G2690" s="1">
        <v>32</v>
      </c>
      <c r="H2690" s="1" t="s">
        <v>168</v>
      </c>
    </row>
    <row r="2691" spans="1:8">
      <c r="A2691">
        <v>166</v>
      </c>
      <c r="B2691" t="s">
        <v>591</v>
      </c>
      <c r="C2691">
        <v>1</v>
      </c>
      <c r="D2691" t="s">
        <v>137</v>
      </c>
      <c r="E2691" s="1">
        <v>2</v>
      </c>
      <c r="F2691" s="1" t="s">
        <v>171</v>
      </c>
      <c r="G2691" s="1">
        <v>42</v>
      </c>
      <c r="H2691" s="1" t="s">
        <v>171</v>
      </c>
    </row>
    <row r="2692" spans="1:8">
      <c r="A2692">
        <v>166</v>
      </c>
      <c r="B2692" t="s">
        <v>591</v>
      </c>
      <c r="C2692">
        <v>1</v>
      </c>
      <c r="D2692" t="s">
        <v>137</v>
      </c>
      <c r="E2692" s="1">
        <v>2</v>
      </c>
      <c r="F2692" s="1" t="s">
        <v>174</v>
      </c>
      <c r="G2692" s="1">
        <v>52</v>
      </c>
      <c r="H2692" s="1" t="s">
        <v>174</v>
      </c>
    </row>
    <row r="2693" spans="1:8">
      <c r="A2693">
        <v>166</v>
      </c>
      <c r="B2693" t="s">
        <v>591</v>
      </c>
      <c r="C2693">
        <v>1</v>
      </c>
      <c r="D2693" t="s">
        <v>137</v>
      </c>
      <c r="E2693" s="1">
        <v>2</v>
      </c>
      <c r="F2693" s="1" t="s">
        <v>177</v>
      </c>
      <c r="G2693" s="1">
        <v>62</v>
      </c>
      <c r="H2693" s="1" t="s">
        <v>177</v>
      </c>
    </row>
    <row r="2694" spans="1:8">
      <c r="A2694">
        <v>166</v>
      </c>
      <c r="B2694" t="s">
        <v>591</v>
      </c>
      <c r="C2694">
        <v>5</v>
      </c>
      <c r="D2694" t="s">
        <v>183</v>
      </c>
      <c r="G2694" s="1">
        <v>60</v>
      </c>
    </row>
    <row r="2695" spans="1:8">
      <c r="A2695">
        <v>166</v>
      </c>
      <c r="B2695" t="s">
        <v>591</v>
      </c>
      <c r="C2695">
        <v>6</v>
      </c>
      <c r="D2695" t="s">
        <v>184</v>
      </c>
      <c r="E2695" s="1">
        <v>1</v>
      </c>
      <c r="F2695" s="1" t="s">
        <v>290</v>
      </c>
      <c r="G2695" s="1">
        <v>10</v>
      </c>
      <c r="H2695" s="1" t="s">
        <v>290</v>
      </c>
    </row>
    <row r="2696" spans="1:8">
      <c r="A2696">
        <v>166</v>
      </c>
      <c r="B2696" t="s">
        <v>591</v>
      </c>
      <c r="C2696">
        <v>6</v>
      </c>
      <c r="D2696" t="s">
        <v>184</v>
      </c>
      <c r="G2696" s="1">
        <v>63</v>
      </c>
    </row>
    <row r="2697" spans="1:8">
      <c r="A2697">
        <v>166</v>
      </c>
      <c r="B2697" t="s">
        <v>591</v>
      </c>
      <c r="C2697">
        <v>11</v>
      </c>
      <c r="D2697" t="s">
        <v>186</v>
      </c>
      <c r="E2697" s="1">
        <v>1</v>
      </c>
      <c r="F2697" s="1" t="s">
        <v>193</v>
      </c>
      <c r="G2697" s="1">
        <v>12</v>
      </c>
      <c r="H2697" s="1" t="s">
        <v>193</v>
      </c>
    </row>
    <row r="2698" spans="1:8">
      <c r="A2698">
        <v>166</v>
      </c>
      <c r="B2698" t="s">
        <v>591</v>
      </c>
      <c r="C2698">
        <v>11</v>
      </c>
      <c r="D2698" t="s">
        <v>186</v>
      </c>
      <c r="E2698" s="1">
        <v>1</v>
      </c>
      <c r="F2698" s="1" t="s">
        <v>194</v>
      </c>
      <c r="G2698" s="1">
        <v>22</v>
      </c>
      <c r="H2698" s="1" t="s">
        <v>194</v>
      </c>
    </row>
    <row r="2699" spans="1:8">
      <c r="A2699">
        <v>166</v>
      </c>
      <c r="B2699" t="s">
        <v>591</v>
      </c>
      <c r="C2699">
        <v>11</v>
      </c>
      <c r="D2699" t="s">
        <v>186</v>
      </c>
      <c r="E2699" s="1">
        <v>1</v>
      </c>
      <c r="F2699" s="1">
        <v>42</v>
      </c>
      <c r="G2699" s="1">
        <v>30</v>
      </c>
      <c r="H2699" s="1">
        <v>42</v>
      </c>
    </row>
    <row r="2700" spans="1:8">
      <c r="A2700">
        <v>166</v>
      </c>
      <c r="B2700" t="s">
        <v>591</v>
      </c>
      <c r="C2700">
        <v>11</v>
      </c>
      <c r="D2700" t="s">
        <v>186</v>
      </c>
      <c r="E2700" s="1">
        <v>1</v>
      </c>
      <c r="F2700" s="1" t="s">
        <v>195</v>
      </c>
      <c r="G2700" s="1">
        <v>32</v>
      </c>
      <c r="H2700" s="1" t="s">
        <v>195</v>
      </c>
    </row>
    <row r="2701" spans="1:8">
      <c r="A2701">
        <v>166</v>
      </c>
      <c r="B2701" t="s">
        <v>591</v>
      </c>
      <c r="C2701">
        <v>11</v>
      </c>
      <c r="D2701" t="s">
        <v>186</v>
      </c>
      <c r="E2701" s="1">
        <v>1</v>
      </c>
      <c r="F2701" s="1">
        <v>43</v>
      </c>
      <c r="G2701" s="1">
        <v>40</v>
      </c>
      <c r="H2701" s="1">
        <v>43</v>
      </c>
    </row>
    <row r="2702" spans="1:8">
      <c r="A2702">
        <v>166</v>
      </c>
      <c r="B2702" t="s">
        <v>591</v>
      </c>
      <c r="C2702">
        <v>11</v>
      </c>
      <c r="D2702" t="s">
        <v>186</v>
      </c>
      <c r="E2702" s="1">
        <v>1</v>
      </c>
      <c r="F2702" s="1" t="s">
        <v>196</v>
      </c>
      <c r="G2702" s="1">
        <v>42</v>
      </c>
      <c r="H2702" s="1" t="s">
        <v>196</v>
      </c>
    </row>
    <row r="2703" spans="1:8">
      <c r="A2703">
        <v>166</v>
      </c>
      <c r="B2703" t="s">
        <v>591</v>
      </c>
      <c r="C2703">
        <v>11</v>
      </c>
      <c r="D2703" t="s">
        <v>186</v>
      </c>
      <c r="E2703" s="1">
        <v>1</v>
      </c>
      <c r="F2703" s="1" t="s">
        <v>197</v>
      </c>
      <c r="G2703" s="1">
        <v>52</v>
      </c>
      <c r="H2703" s="1" t="s">
        <v>197</v>
      </c>
    </row>
    <row r="2704" spans="1:8">
      <c r="A2704">
        <v>166</v>
      </c>
      <c r="B2704" t="s">
        <v>591</v>
      </c>
      <c r="C2704">
        <v>11</v>
      </c>
      <c r="D2704" t="s">
        <v>186</v>
      </c>
      <c r="E2704" s="1">
        <v>1</v>
      </c>
      <c r="F2704" s="1">
        <v>45</v>
      </c>
      <c r="G2704" s="1">
        <v>60</v>
      </c>
      <c r="H2704" s="1">
        <v>45</v>
      </c>
    </row>
    <row r="2705" spans="1:8">
      <c r="A2705">
        <v>166</v>
      </c>
      <c r="B2705" t="s">
        <v>591</v>
      </c>
      <c r="C2705">
        <v>11</v>
      </c>
      <c r="D2705" t="s">
        <v>186</v>
      </c>
      <c r="E2705" s="1">
        <v>1</v>
      </c>
      <c r="F2705" s="1" t="s">
        <v>198</v>
      </c>
      <c r="G2705" s="1">
        <v>62</v>
      </c>
      <c r="H2705" s="1" t="s">
        <v>198</v>
      </c>
    </row>
    <row r="2706" spans="1:8">
      <c r="A2706">
        <v>166</v>
      </c>
      <c r="B2706" t="s">
        <v>591</v>
      </c>
      <c r="C2706">
        <v>11</v>
      </c>
      <c r="D2706" t="s">
        <v>186</v>
      </c>
      <c r="E2706" s="1">
        <v>1</v>
      </c>
      <c r="F2706" s="1" t="s">
        <v>199</v>
      </c>
      <c r="G2706" s="1">
        <v>72</v>
      </c>
      <c r="H2706" s="1" t="s">
        <v>199</v>
      </c>
    </row>
    <row r="2707" spans="1:8">
      <c r="A2707">
        <v>166</v>
      </c>
      <c r="B2707" t="s">
        <v>591</v>
      </c>
      <c r="C2707">
        <v>11</v>
      </c>
      <c r="D2707" t="s">
        <v>186</v>
      </c>
      <c r="G2707" s="1">
        <v>95</v>
      </c>
    </row>
    <row r="2708" spans="1:8">
      <c r="A2708">
        <v>166</v>
      </c>
      <c r="B2708" t="s">
        <v>591</v>
      </c>
      <c r="C2708">
        <v>12</v>
      </c>
      <c r="D2708" t="s">
        <v>107</v>
      </c>
      <c r="E2708" s="1">
        <v>1</v>
      </c>
      <c r="F2708" s="1">
        <v>41</v>
      </c>
      <c r="G2708" s="1">
        <v>20</v>
      </c>
      <c r="H2708" s="1">
        <v>41</v>
      </c>
    </row>
    <row r="2709" spans="1:8">
      <c r="A2709">
        <v>166</v>
      </c>
      <c r="B2709" t="s">
        <v>591</v>
      </c>
      <c r="C2709">
        <v>12</v>
      </c>
      <c r="D2709" t="s">
        <v>107</v>
      </c>
      <c r="E2709" s="1">
        <v>1</v>
      </c>
      <c r="F2709" s="1" t="s">
        <v>195</v>
      </c>
      <c r="G2709" s="1">
        <v>32</v>
      </c>
      <c r="H2709" s="1" t="s">
        <v>195</v>
      </c>
    </row>
    <row r="2710" spans="1:8">
      <c r="A2710">
        <v>166</v>
      </c>
      <c r="B2710" t="s">
        <v>591</v>
      </c>
      <c r="C2710">
        <v>12</v>
      </c>
      <c r="D2710" t="s">
        <v>107</v>
      </c>
      <c r="E2710" s="1">
        <v>1</v>
      </c>
      <c r="F2710" s="1">
        <v>43</v>
      </c>
      <c r="G2710" s="1">
        <v>40</v>
      </c>
      <c r="H2710" s="1">
        <v>43</v>
      </c>
    </row>
    <row r="2711" spans="1:8">
      <c r="A2711">
        <v>166</v>
      </c>
      <c r="B2711" t="s">
        <v>591</v>
      </c>
      <c r="C2711">
        <v>12</v>
      </c>
      <c r="D2711" t="s">
        <v>107</v>
      </c>
      <c r="E2711" s="1">
        <v>1</v>
      </c>
      <c r="F2711" s="1" t="s">
        <v>196</v>
      </c>
      <c r="G2711" s="1">
        <v>42</v>
      </c>
      <c r="H2711" s="1" t="s">
        <v>196</v>
      </c>
    </row>
    <row r="2712" spans="1:8">
      <c r="A2712">
        <v>166</v>
      </c>
      <c r="B2712" t="s">
        <v>591</v>
      </c>
      <c r="C2712">
        <v>12</v>
      </c>
      <c r="D2712" t="s">
        <v>107</v>
      </c>
      <c r="E2712" s="1">
        <v>1</v>
      </c>
      <c r="F2712" s="1">
        <v>44</v>
      </c>
      <c r="G2712" s="1">
        <v>50</v>
      </c>
      <c r="H2712" s="1">
        <v>44</v>
      </c>
    </row>
    <row r="2713" spans="1:8">
      <c r="A2713">
        <v>166</v>
      </c>
      <c r="B2713" t="s">
        <v>591</v>
      </c>
      <c r="C2713">
        <v>12</v>
      </c>
      <c r="D2713" t="s">
        <v>107</v>
      </c>
      <c r="E2713" s="1">
        <v>1</v>
      </c>
      <c r="F2713" s="1" t="s">
        <v>197</v>
      </c>
      <c r="G2713" s="1">
        <v>52</v>
      </c>
      <c r="H2713" s="1" t="s">
        <v>197</v>
      </c>
    </row>
    <row r="2714" spans="1:8">
      <c r="A2714">
        <v>166</v>
      </c>
      <c r="B2714" t="s">
        <v>591</v>
      </c>
      <c r="C2714">
        <v>12</v>
      </c>
      <c r="D2714" t="s">
        <v>107</v>
      </c>
      <c r="E2714" s="1">
        <v>1</v>
      </c>
      <c r="F2714" s="1">
        <v>45</v>
      </c>
      <c r="G2714" s="1">
        <v>60</v>
      </c>
      <c r="H2714" s="1">
        <v>45</v>
      </c>
    </row>
    <row r="2715" spans="1:8">
      <c r="A2715">
        <v>166</v>
      </c>
      <c r="B2715" t="s">
        <v>591</v>
      </c>
      <c r="C2715">
        <v>12</v>
      </c>
      <c r="D2715" t="s">
        <v>107</v>
      </c>
      <c r="E2715" s="1">
        <v>1</v>
      </c>
      <c r="F2715" s="1" t="s">
        <v>198</v>
      </c>
      <c r="G2715" s="1">
        <v>62</v>
      </c>
      <c r="H2715" s="1" t="s">
        <v>198</v>
      </c>
    </row>
    <row r="2716" spans="1:8">
      <c r="A2716">
        <v>166</v>
      </c>
      <c r="B2716" t="s">
        <v>591</v>
      </c>
      <c r="C2716">
        <v>13</v>
      </c>
      <c r="D2716" t="s">
        <v>200</v>
      </c>
      <c r="E2716" s="1">
        <v>1</v>
      </c>
      <c r="F2716" s="1" t="s">
        <v>193</v>
      </c>
      <c r="G2716" s="1">
        <v>12</v>
      </c>
      <c r="H2716" s="1" t="s">
        <v>193</v>
      </c>
    </row>
    <row r="2717" spans="1:8">
      <c r="A2717">
        <v>166</v>
      </c>
      <c r="B2717" t="s">
        <v>591</v>
      </c>
      <c r="C2717">
        <v>13</v>
      </c>
      <c r="D2717" t="s">
        <v>200</v>
      </c>
      <c r="E2717" s="1">
        <v>1</v>
      </c>
      <c r="F2717" s="1">
        <v>41</v>
      </c>
      <c r="G2717" s="1">
        <v>20</v>
      </c>
      <c r="H2717" s="1">
        <v>41</v>
      </c>
    </row>
    <row r="2718" spans="1:8">
      <c r="A2718">
        <v>166</v>
      </c>
      <c r="B2718" t="s">
        <v>591</v>
      </c>
      <c r="C2718">
        <v>13</v>
      </c>
      <c r="D2718" t="s">
        <v>200</v>
      </c>
      <c r="E2718" s="1">
        <v>1</v>
      </c>
      <c r="F2718" s="1" t="s">
        <v>194</v>
      </c>
      <c r="G2718" s="1">
        <v>22</v>
      </c>
      <c r="H2718" s="1" t="s">
        <v>194</v>
      </c>
    </row>
    <row r="2719" spans="1:8">
      <c r="A2719">
        <v>166</v>
      </c>
      <c r="B2719" t="s">
        <v>591</v>
      </c>
      <c r="C2719">
        <v>13</v>
      </c>
      <c r="D2719" t="s">
        <v>200</v>
      </c>
      <c r="E2719" s="1">
        <v>1</v>
      </c>
      <c r="F2719" s="1">
        <v>42</v>
      </c>
      <c r="G2719" s="1">
        <v>30</v>
      </c>
      <c r="H2719" s="1">
        <v>42</v>
      </c>
    </row>
    <row r="2720" spans="1:8">
      <c r="A2720">
        <v>166</v>
      </c>
      <c r="B2720" t="s">
        <v>591</v>
      </c>
      <c r="C2720">
        <v>13</v>
      </c>
      <c r="D2720" t="s">
        <v>200</v>
      </c>
      <c r="E2720" s="1">
        <v>1</v>
      </c>
      <c r="F2720" s="1" t="s">
        <v>195</v>
      </c>
      <c r="G2720" s="1">
        <v>32</v>
      </c>
      <c r="H2720" s="1" t="s">
        <v>195</v>
      </c>
    </row>
    <row r="2721" spans="1:8">
      <c r="A2721">
        <v>166</v>
      </c>
      <c r="B2721" t="s">
        <v>591</v>
      </c>
      <c r="C2721">
        <v>13</v>
      </c>
      <c r="D2721" t="s">
        <v>200</v>
      </c>
      <c r="E2721" s="1">
        <v>1</v>
      </c>
      <c r="F2721" s="1" t="s">
        <v>196</v>
      </c>
      <c r="G2721" s="1">
        <v>42</v>
      </c>
      <c r="H2721" s="1" t="s">
        <v>196</v>
      </c>
    </row>
    <row r="2722" spans="1:8">
      <c r="A2722">
        <v>166</v>
      </c>
      <c r="B2722" t="s">
        <v>591</v>
      </c>
      <c r="C2722">
        <v>13</v>
      </c>
      <c r="D2722" t="s">
        <v>200</v>
      </c>
      <c r="E2722" s="1">
        <v>1</v>
      </c>
      <c r="F2722" s="1">
        <v>44</v>
      </c>
      <c r="G2722" s="1">
        <v>50</v>
      </c>
      <c r="H2722" s="1">
        <v>44</v>
      </c>
    </row>
    <row r="2723" spans="1:8">
      <c r="A2723">
        <v>166</v>
      </c>
      <c r="B2723" t="s">
        <v>591</v>
      </c>
      <c r="C2723">
        <v>13</v>
      </c>
      <c r="D2723" t="s">
        <v>200</v>
      </c>
      <c r="E2723" s="1">
        <v>1</v>
      </c>
      <c r="F2723" s="1" t="s">
        <v>198</v>
      </c>
      <c r="G2723" s="1">
        <v>62</v>
      </c>
      <c r="H2723" s="1" t="s">
        <v>198</v>
      </c>
    </row>
    <row r="2724" spans="1:8">
      <c r="A2724">
        <v>166</v>
      </c>
      <c r="B2724" t="s">
        <v>591</v>
      </c>
      <c r="C2724">
        <v>15</v>
      </c>
      <c r="D2724" t="s">
        <v>201</v>
      </c>
      <c r="E2724" s="1">
        <v>4</v>
      </c>
      <c r="F2724" s="1" t="s">
        <v>286</v>
      </c>
      <c r="G2724" s="1">
        <v>70</v>
      </c>
      <c r="H2724" s="1" t="s">
        <v>286</v>
      </c>
    </row>
    <row r="2725" spans="1:8">
      <c r="A2725">
        <v>166</v>
      </c>
      <c r="B2725" t="s">
        <v>591</v>
      </c>
      <c r="C2725">
        <v>21</v>
      </c>
      <c r="D2725" t="s">
        <v>205</v>
      </c>
      <c r="E2725" s="1">
        <v>1</v>
      </c>
      <c r="F2725" s="1" t="s">
        <v>323</v>
      </c>
      <c r="G2725" s="1">
        <v>32</v>
      </c>
      <c r="H2725" s="1" t="s">
        <v>323</v>
      </c>
    </row>
    <row r="2726" spans="1:8">
      <c r="A2726">
        <v>166</v>
      </c>
      <c r="B2726" t="s">
        <v>591</v>
      </c>
      <c r="C2726">
        <v>21</v>
      </c>
      <c r="D2726" t="s">
        <v>205</v>
      </c>
      <c r="E2726" s="1">
        <v>1</v>
      </c>
      <c r="F2726" s="1" t="s">
        <v>330</v>
      </c>
      <c r="G2726" s="1">
        <v>42</v>
      </c>
      <c r="H2726" s="1" t="s">
        <v>330</v>
      </c>
    </row>
    <row r="2727" spans="1:8">
      <c r="A2727">
        <v>166</v>
      </c>
      <c r="B2727" t="s">
        <v>591</v>
      </c>
      <c r="C2727">
        <v>21</v>
      </c>
      <c r="D2727" t="s">
        <v>205</v>
      </c>
      <c r="E2727" s="1">
        <v>1</v>
      </c>
      <c r="F2727" s="1" t="s">
        <v>288</v>
      </c>
      <c r="G2727" s="1">
        <v>62</v>
      </c>
      <c r="H2727" s="1" t="s">
        <v>288</v>
      </c>
    </row>
    <row r="2728" spans="1:8">
      <c r="A2728">
        <v>166</v>
      </c>
      <c r="B2728" t="s">
        <v>591</v>
      </c>
      <c r="C2728">
        <v>27</v>
      </c>
      <c r="D2728" t="s">
        <v>210</v>
      </c>
      <c r="E2728" s="1">
        <v>1</v>
      </c>
      <c r="F2728" s="1">
        <v>45</v>
      </c>
      <c r="G2728" s="1">
        <v>60</v>
      </c>
      <c r="H2728" s="1">
        <v>45</v>
      </c>
    </row>
    <row r="2729" spans="1:8">
      <c r="A2729">
        <v>166</v>
      </c>
      <c r="B2729" t="s">
        <v>591</v>
      </c>
      <c r="C2729">
        <v>33</v>
      </c>
      <c r="D2729" t="s">
        <v>213</v>
      </c>
      <c r="E2729" s="1">
        <v>1</v>
      </c>
      <c r="F2729" s="1" t="s">
        <v>332</v>
      </c>
      <c r="G2729" s="1">
        <v>10</v>
      </c>
      <c r="H2729" s="1" t="s">
        <v>332</v>
      </c>
    </row>
    <row r="2730" spans="1:8">
      <c r="A2730">
        <v>166</v>
      </c>
      <c r="B2730" t="s">
        <v>591</v>
      </c>
      <c r="C2730">
        <v>33</v>
      </c>
      <c r="D2730" t="s">
        <v>213</v>
      </c>
      <c r="E2730" s="1">
        <v>1</v>
      </c>
      <c r="F2730" s="1" t="s">
        <v>330</v>
      </c>
      <c r="G2730" s="1">
        <v>12</v>
      </c>
      <c r="H2730" s="1" t="s">
        <v>330</v>
      </c>
    </row>
    <row r="2731" spans="1:8">
      <c r="A2731">
        <v>166</v>
      </c>
      <c r="B2731" t="s">
        <v>591</v>
      </c>
      <c r="C2731">
        <v>33</v>
      </c>
      <c r="D2731" t="s">
        <v>213</v>
      </c>
      <c r="E2731" s="1">
        <v>1</v>
      </c>
      <c r="F2731" s="1" t="s">
        <v>331</v>
      </c>
      <c r="G2731" s="1">
        <v>20</v>
      </c>
      <c r="H2731" s="1" t="s">
        <v>331</v>
      </c>
    </row>
    <row r="2732" spans="1:8">
      <c r="A2732">
        <v>166</v>
      </c>
      <c r="B2732" t="s">
        <v>591</v>
      </c>
      <c r="C2732">
        <v>33</v>
      </c>
      <c r="D2732" t="s">
        <v>213</v>
      </c>
      <c r="E2732" s="1">
        <v>1</v>
      </c>
      <c r="F2732" s="1" t="s">
        <v>288</v>
      </c>
      <c r="G2732" s="1">
        <v>32</v>
      </c>
      <c r="H2732" s="1" t="s">
        <v>288</v>
      </c>
    </row>
    <row r="2733" spans="1:8">
      <c r="A2733">
        <v>166</v>
      </c>
      <c r="B2733" t="s">
        <v>591</v>
      </c>
      <c r="C2733">
        <v>57</v>
      </c>
      <c r="D2733" t="s">
        <v>183</v>
      </c>
      <c r="E2733" s="1">
        <v>3</v>
      </c>
      <c r="F2733" s="1" t="s">
        <v>492</v>
      </c>
      <c r="G2733" s="1">
        <v>50</v>
      </c>
      <c r="H2733" s="1" t="s">
        <v>492</v>
      </c>
    </row>
    <row r="2734" spans="1:8">
      <c r="A2734">
        <v>166</v>
      </c>
      <c r="B2734" t="s">
        <v>591</v>
      </c>
      <c r="C2734">
        <v>58</v>
      </c>
      <c r="D2734" t="s">
        <v>226</v>
      </c>
      <c r="E2734" s="1">
        <v>2</v>
      </c>
      <c r="F2734" s="1" t="s">
        <v>561</v>
      </c>
      <c r="G2734" s="1">
        <v>50</v>
      </c>
      <c r="H2734" s="1" t="s">
        <v>561</v>
      </c>
    </row>
    <row r="2735" spans="1:8">
      <c r="A2735">
        <v>166</v>
      </c>
      <c r="B2735" t="s">
        <v>591</v>
      </c>
      <c r="C2735">
        <v>74</v>
      </c>
      <c r="D2735" t="s">
        <v>235</v>
      </c>
      <c r="E2735" s="1">
        <v>3</v>
      </c>
      <c r="F2735" s="1" t="s">
        <v>320</v>
      </c>
      <c r="G2735" s="1">
        <v>50</v>
      </c>
      <c r="H2735" s="1" t="s">
        <v>320</v>
      </c>
    </row>
    <row r="2736" spans="1:8">
      <c r="A2736">
        <v>167</v>
      </c>
      <c r="B2736" t="s">
        <v>592</v>
      </c>
      <c r="C2736">
        <v>1</v>
      </c>
      <c r="D2736" t="s">
        <v>137</v>
      </c>
      <c r="E2736" s="1">
        <v>2</v>
      </c>
      <c r="F2736" s="1" t="s">
        <v>165</v>
      </c>
      <c r="G2736" s="1">
        <v>22</v>
      </c>
      <c r="H2736" s="1" t="s">
        <v>165</v>
      </c>
    </row>
    <row r="2737" spans="1:8">
      <c r="A2737">
        <v>167</v>
      </c>
      <c r="B2737" t="s">
        <v>592</v>
      </c>
      <c r="C2737">
        <v>1</v>
      </c>
      <c r="D2737" t="s">
        <v>137</v>
      </c>
      <c r="E2737" s="1">
        <v>2</v>
      </c>
      <c r="F2737" s="1">
        <v>24</v>
      </c>
      <c r="G2737" s="1">
        <v>60</v>
      </c>
      <c r="H2737" s="1">
        <v>24</v>
      </c>
    </row>
    <row r="2738" spans="1:8">
      <c r="A2738">
        <v>167</v>
      </c>
      <c r="B2738" t="s">
        <v>592</v>
      </c>
      <c r="C2738">
        <v>13</v>
      </c>
      <c r="D2738" t="s">
        <v>200</v>
      </c>
      <c r="E2738" s="1">
        <v>1</v>
      </c>
      <c r="F2738" s="1" t="s">
        <v>196</v>
      </c>
      <c r="G2738" s="1">
        <v>42</v>
      </c>
      <c r="H2738" s="1" t="s">
        <v>196</v>
      </c>
    </row>
    <row r="2739" spans="1:8">
      <c r="A2739">
        <v>167</v>
      </c>
      <c r="B2739" t="s">
        <v>592</v>
      </c>
      <c r="C2739">
        <v>43</v>
      </c>
      <c r="D2739" t="s">
        <v>221</v>
      </c>
      <c r="G2739" s="1">
        <v>60</v>
      </c>
    </row>
    <row r="2740" spans="1:8">
      <c r="A2740">
        <v>169</v>
      </c>
      <c r="B2740" t="s">
        <v>593</v>
      </c>
      <c r="C2740">
        <v>1</v>
      </c>
      <c r="D2740" t="s">
        <v>137</v>
      </c>
      <c r="E2740" s="1">
        <v>2</v>
      </c>
      <c r="F2740" s="1" t="s">
        <v>171</v>
      </c>
      <c r="G2740" s="1">
        <v>42</v>
      </c>
      <c r="H2740" s="1" t="s">
        <v>171</v>
      </c>
    </row>
    <row r="2741" spans="1:8">
      <c r="A2741">
        <v>169</v>
      </c>
      <c r="B2741" t="s">
        <v>593</v>
      </c>
      <c r="C2741">
        <v>11</v>
      </c>
      <c r="D2741" t="s">
        <v>186</v>
      </c>
      <c r="E2741" s="1">
        <v>1</v>
      </c>
      <c r="F2741" s="1" t="s">
        <v>195</v>
      </c>
      <c r="G2741" s="1">
        <v>32</v>
      </c>
      <c r="H2741" s="1" t="s">
        <v>195</v>
      </c>
    </row>
    <row r="2742" spans="1:8">
      <c r="A2742">
        <v>170</v>
      </c>
      <c r="B2742" t="s">
        <v>594</v>
      </c>
      <c r="C2742">
        <v>1</v>
      </c>
      <c r="D2742" t="s">
        <v>137</v>
      </c>
      <c r="E2742" s="1">
        <v>1</v>
      </c>
      <c r="F2742" s="1">
        <v>14</v>
      </c>
      <c r="G2742" s="1">
        <v>70</v>
      </c>
      <c r="H2742" s="1">
        <v>14</v>
      </c>
    </row>
    <row r="2743" spans="1:8">
      <c r="A2743">
        <v>170</v>
      </c>
      <c r="B2743" t="s">
        <v>594</v>
      </c>
      <c r="C2743">
        <v>1</v>
      </c>
      <c r="D2743" t="s">
        <v>137</v>
      </c>
      <c r="E2743" s="1">
        <v>1</v>
      </c>
      <c r="F2743" s="1" t="s">
        <v>147</v>
      </c>
      <c r="G2743" s="1">
        <v>72</v>
      </c>
      <c r="H2743" s="1" t="s">
        <v>147</v>
      </c>
    </row>
    <row r="2744" spans="1:8">
      <c r="A2744">
        <v>170</v>
      </c>
      <c r="B2744" t="s">
        <v>594</v>
      </c>
      <c r="C2744">
        <v>1</v>
      </c>
      <c r="D2744" t="s">
        <v>137</v>
      </c>
      <c r="E2744" s="1">
        <v>1</v>
      </c>
      <c r="F2744" s="1">
        <v>15</v>
      </c>
      <c r="G2744" s="1">
        <v>80</v>
      </c>
      <c r="H2744" s="1">
        <v>15</v>
      </c>
    </row>
    <row r="2745" spans="1:8">
      <c r="A2745">
        <v>170</v>
      </c>
      <c r="B2745" t="s">
        <v>594</v>
      </c>
      <c r="C2745">
        <v>1</v>
      </c>
      <c r="D2745" t="s">
        <v>137</v>
      </c>
      <c r="E2745" s="1">
        <v>1</v>
      </c>
      <c r="F2745" s="1" t="s">
        <v>150</v>
      </c>
      <c r="G2745" s="1">
        <v>82</v>
      </c>
      <c r="H2745" s="1" t="s">
        <v>150</v>
      </c>
    </row>
    <row r="2746" spans="1:8">
      <c r="A2746">
        <v>170</v>
      </c>
      <c r="B2746" t="s">
        <v>594</v>
      </c>
      <c r="C2746">
        <v>1</v>
      </c>
      <c r="D2746" t="s">
        <v>137</v>
      </c>
      <c r="E2746" s="1">
        <v>1</v>
      </c>
      <c r="F2746" s="1">
        <v>16</v>
      </c>
      <c r="G2746" s="1">
        <v>90</v>
      </c>
      <c r="H2746" s="1">
        <v>16</v>
      </c>
    </row>
    <row r="2747" spans="1:8">
      <c r="A2747">
        <v>170</v>
      </c>
      <c r="B2747" t="s">
        <v>594</v>
      </c>
      <c r="C2747">
        <v>1</v>
      </c>
      <c r="D2747" t="s">
        <v>137</v>
      </c>
      <c r="E2747" s="1">
        <v>1</v>
      </c>
      <c r="F2747" s="1" t="s">
        <v>153</v>
      </c>
      <c r="G2747" s="1">
        <v>92</v>
      </c>
      <c r="H2747" s="1" t="s">
        <v>153</v>
      </c>
    </row>
    <row r="2748" spans="1:8">
      <c r="A2748">
        <v>170</v>
      </c>
      <c r="B2748" t="s">
        <v>594</v>
      </c>
      <c r="C2748">
        <v>1</v>
      </c>
      <c r="D2748" t="s">
        <v>137</v>
      </c>
      <c r="E2748" s="1">
        <v>1</v>
      </c>
      <c r="F2748" s="1">
        <v>17</v>
      </c>
      <c r="G2748" s="1">
        <v>94</v>
      </c>
      <c r="H2748" s="1">
        <v>17</v>
      </c>
    </row>
    <row r="2749" spans="1:8">
      <c r="A2749">
        <v>170</v>
      </c>
      <c r="B2749" t="s">
        <v>594</v>
      </c>
      <c r="C2749">
        <v>1</v>
      </c>
      <c r="D2749" t="s">
        <v>137</v>
      </c>
      <c r="E2749" s="1">
        <v>1</v>
      </c>
      <c r="F2749" s="1" t="s">
        <v>156</v>
      </c>
      <c r="G2749" s="1">
        <v>96</v>
      </c>
      <c r="H2749" s="1" t="s">
        <v>156</v>
      </c>
    </row>
    <row r="2750" spans="1:8">
      <c r="A2750">
        <v>170</v>
      </c>
      <c r="B2750" t="s">
        <v>594</v>
      </c>
      <c r="C2750">
        <v>1</v>
      </c>
      <c r="D2750" t="s">
        <v>137</v>
      </c>
      <c r="E2750" s="1">
        <v>2</v>
      </c>
      <c r="F2750" s="1" t="s">
        <v>159</v>
      </c>
      <c r="G2750" s="1">
        <v>2</v>
      </c>
      <c r="H2750" s="1" t="s">
        <v>159</v>
      </c>
    </row>
    <row r="2751" spans="1:8">
      <c r="A2751">
        <v>170</v>
      </c>
      <c r="B2751" t="s">
        <v>594</v>
      </c>
      <c r="C2751">
        <v>1</v>
      </c>
      <c r="D2751" t="s">
        <v>137</v>
      </c>
      <c r="E2751" s="1">
        <v>2</v>
      </c>
      <c r="F2751" s="1">
        <v>19</v>
      </c>
      <c r="G2751" s="1">
        <v>10</v>
      </c>
      <c r="H2751" s="1">
        <v>19</v>
      </c>
    </row>
    <row r="2752" spans="1:8">
      <c r="A2752">
        <v>170</v>
      </c>
      <c r="B2752" t="s">
        <v>594</v>
      </c>
      <c r="C2752">
        <v>1</v>
      </c>
      <c r="D2752" t="s">
        <v>137</v>
      </c>
      <c r="E2752" s="1">
        <v>2</v>
      </c>
      <c r="F2752" s="1" t="s">
        <v>162</v>
      </c>
      <c r="G2752" s="1">
        <v>12</v>
      </c>
      <c r="H2752" s="1" t="s">
        <v>162</v>
      </c>
    </row>
    <row r="2753" spans="1:8">
      <c r="A2753">
        <v>170</v>
      </c>
      <c r="B2753" t="s">
        <v>594</v>
      </c>
      <c r="C2753">
        <v>1</v>
      </c>
      <c r="D2753" t="s">
        <v>137</v>
      </c>
      <c r="E2753" s="1">
        <v>2</v>
      </c>
      <c r="F2753" s="1">
        <v>20</v>
      </c>
      <c r="G2753" s="1">
        <v>20</v>
      </c>
      <c r="H2753" s="1">
        <v>20</v>
      </c>
    </row>
    <row r="2754" spans="1:8">
      <c r="A2754">
        <v>170</v>
      </c>
      <c r="B2754" t="s">
        <v>594</v>
      </c>
      <c r="C2754">
        <v>1</v>
      </c>
      <c r="D2754" t="s">
        <v>137</v>
      </c>
      <c r="E2754" s="1">
        <v>2</v>
      </c>
      <c r="F2754" s="1" t="s">
        <v>165</v>
      </c>
      <c r="G2754" s="1">
        <v>22</v>
      </c>
      <c r="H2754" s="1" t="s">
        <v>165</v>
      </c>
    </row>
    <row r="2755" spans="1:8">
      <c r="A2755">
        <v>170</v>
      </c>
      <c r="B2755" t="s">
        <v>594</v>
      </c>
      <c r="C2755">
        <v>1</v>
      </c>
      <c r="D2755" t="s">
        <v>137</v>
      </c>
      <c r="E2755" s="1">
        <v>2</v>
      </c>
      <c r="F2755" s="1">
        <v>21</v>
      </c>
      <c r="G2755" s="1">
        <v>30</v>
      </c>
      <c r="H2755" s="1">
        <v>21</v>
      </c>
    </row>
    <row r="2756" spans="1:8">
      <c r="A2756">
        <v>170</v>
      </c>
      <c r="B2756" t="s">
        <v>594</v>
      </c>
      <c r="C2756">
        <v>1</v>
      </c>
      <c r="D2756" t="s">
        <v>137</v>
      </c>
      <c r="E2756" s="1">
        <v>2</v>
      </c>
      <c r="F2756" s="1" t="s">
        <v>168</v>
      </c>
      <c r="G2756" s="1">
        <v>32</v>
      </c>
      <c r="H2756" s="1" t="s">
        <v>168</v>
      </c>
    </row>
    <row r="2757" spans="1:8">
      <c r="A2757">
        <v>170</v>
      </c>
      <c r="B2757" t="s">
        <v>594</v>
      </c>
      <c r="C2757">
        <v>1</v>
      </c>
      <c r="D2757" t="s">
        <v>137</v>
      </c>
      <c r="E2757" s="1">
        <v>2</v>
      </c>
      <c r="F2757" s="1">
        <v>22</v>
      </c>
      <c r="G2757" s="1">
        <v>40</v>
      </c>
      <c r="H2757" s="1">
        <v>22</v>
      </c>
    </row>
    <row r="2758" spans="1:8">
      <c r="A2758">
        <v>170</v>
      </c>
      <c r="B2758" t="s">
        <v>594</v>
      </c>
      <c r="C2758">
        <v>1</v>
      </c>
      <c r="D2758" t="s">
        <v>137</v>
      </c>
      <c r="E2758" s="1">
        <v>2</v>
      </c>
      <c r="F2758" s="1" t="s">
        <v>171</v>
      </c>
      <c r="G2758" s="1">
        <v>42</v>
      </c>
      <c r="H2758" s="1" t="s">
        <v>171</v>
      </c>
    </row>
    <row r="2759" spans="1:8">
      <c r="A2759">
        <v>170</v>
      </c>
      <c r="B2759" t="s">
        <v>594</v>
      </c>
      <c r="C2759">
        <v>1</v>
      </c>
      <c r="D2759" t="s">
        <v>137</v>
      </c>
      <c r="E2759" s="1">
        <v>2</v>
      </c>
      <c r="F2759" s="1">
        <v>23</v>
      </c>
      <c r="G2759" s="1">
        <v>50</v>
      </c>
      <c r="H2759" s="1">
        <v>23</v>
      </c>
    </row>
    <row r="2760" spans="1:8">
      <c r="A2760">
        <v>170</v>
      </c>
      <c r="B2760" t="s">
        <v>594</v>
      </c>
      <c r="C2760">
        <v>1</v>
      </c>
      <c r="D2760" t="s">
        <v>137</v>
      </c>
      <c r="E2760" s="1">
        <v>2</v>
      </c>
      <c r="F2760" s="1" t="s">
        <v>174</v>
      </c>
      <c r="G2760" s="1">
        <v>52</v>
      </c>
      <c r="H2760" s="1" t="s">
        <v>174</v>
      </c>
    </row>
    <row r="2761" spans="1:8">
      <c r="A2761">
        <v>170</v>
      </c>
      <c r="B2761" t="s">
        <v>594</v>
      </c>
      <c r="C2761">
        <v>1</v>
      </c>
      <c r="D2761" t="s">
        <v>137</v>
      </c>
      <c r="E2761" s="1">
        <v>2</v>
      </c>
      <c r="F2761" s="1">
        <v>24</v>
      </c>
      <c r="G2761" s="1">
        <v>60</v>
      </c>
      <c r="H2761" s="1">
        <v>24</v>
      </c>
    </row>
    <row r="2762" spans="1:8">
      <c r="A2762">
        <v>170</v>
      </c>
      <c r="B2762" t="s">
        <v>594</v>
      </c>
      <c r="C2762">
        <v>1</v>
      </c>
      <c r="D2762" t="s">
        <v>137</v>
      </c>
      <c r="E2762" s="1">
        <v>2</v>
      </c>
      <c r="F2762" s="1" t="s">
        <v>177</v>
      </c>
      <c r="G2762" s="1">
        <v>62</v>
      </c>
      <c r="H2762" s="1" t="s">
        <v>177</v>
      </c>
    </row>
    <row r="2763" spans="1:8">
      <c r="A2763">
        <v>170</v>
      </c>
      <c r="B2763" t="s">
        <v>594</v>
      </c>
      <c r="C2763">
        <v>1</v>
      </c>
      <c r="D2763" t="s">
        <v>137</v>
      </c>
      <c r="E2763" s="1">
        <v>2</v>
      </c>
      <c r="F2763" s="1" t="s">
        <v>180</v>
      </c>
      <c r="G2763" s="1">
        <v>72</v>
      </c>
      <c r="H2763" s="1" t="s">
        <v>180</v>
      </c>
    </row>
    <row r="2764" spans="1:8">
      <c r="A2764">
        <v>170</v>
      </c>
      <c r="B2764" t="s">
        <v>594</v>
      </c>
      <c r="C2764">
        <v>1</v>
      </c>
      <c r="D2764" t="s">
        <v>137</v>
      </c>
      <c r="E2764" s="1">
        <v>2</v>
      </c>
      <c r="F2764" s="1">
        <v>18</v>
      </c>
      <c r="H2764" s="1">
        <v>18</v>
      </c>
    </row>
    <row r="2765" spans="1:8">
      <c r="A2765">
        <v>170</v>
      </c>
      <c r="B2765" t="s">
        <v>594</v>
      </c>
      <c r="C2765">
        <v>5</v>
      </c>
      <c r="D2765" t="s">
        <v>183</v>
      </c>
      <c r="G2765" s="1">
        <v>50</v>
      </c>
    </row>
    <row r="2766" spans="1:8">
      <c r="A2766">
        <v>170</v>
      </c>
      <c r="B2766" t="s">
        <v>594</v>
      </c>
      <c r="C2766">
        <v>5</v>
      </c>
      <c r="D2766" t="s">
        <v>183</v>
      </c>
      <c r="G2766" s="1">
        <v>60</v>
      </c>
    </row>
    <row r="2767" spans="1:8">
      <c r="A2767">
        <v>170</v>
      </c>
      <c r="B2767" t="s">
        <v>594</v>
      </c>
      <c r="C2767">
        <v>6</v>
      </c>
      <c r="D2767" t="s">
        <v>184</v>
      </c>
      <c r="G2767" s="1">
        <v>63</v>
      </c>
    </row>
    <row r="2768" spans="1:8">
      <c r="A2768">
        <v>170</v>
      </c>
      <c r="B2768" t="s">
        <v>594</v>
      </c>
      <c r="C2768">
        <v>11</v>
      </c>
      <c r="D2768" t="s">
        <v>186</v>
      </c>
      <c r="E2768" s="1">
        <v>1</v>
      </c>
      <c r="F2768" s="1" t="s">
        <v>192</v>
      </c>
      <c r="G2768" s="1">
        <v>2</v>
      </c>
      <c r="H2768" s="1" t="s">
        <v>192</v>
      </c>
    </row>
    <row r="2769" spans="1:8">
      <c r="A2769">
        <v>170</v>
      </c>
      <c r="B2769" t="s">
        <v>594</v>
      </c>
      <c r="C2769">
        <v>11</v>
      </c>
      <c r="D2769" t="s">
        <v>186</v>
      </c>
      <c r="E2769" s="1">
        <v>1</v>
      </c>
      <c r="F2769" s="1">
        <v>40</v>
      </c>
      <c r="G2769" s="1">
        <v>10</v>
      </c>
      <c r="H2769" s="1">
        <v>40</v>
      </c>
    </row>
    <row r="2770" spans="1:8">
      <c r="A2770">
        <v>170</v>
      </c>
      <c r="B2770" t="s">
        <v>594</v>
      </c>
      <c r="C2770">
        <v>11</v>
      </c>
      <c r="D2770" t="s">
        <v>186</v>
      </c>
      <c r="E2770" s="1">
        <v>1</v>
      </c>
      <c r="F2770" s="1" t="s">
        <v>193</v>
      </c>
      <c r="G2770" s="1">
        <v>12</v>
      </c>
      <c r="H2770" s="1" t="s">
        <v>193</v>
      </c>
    </row>
    <row r="2771" spans="1:8">
      <c r="A2771">
        <v>170</v>
      </c>
      <c r="B2771" t="s">
        <v>594</v>
      </c>
      <c r="C2771">
        <v>11</v>
      </c>
      <c r="D2771" t="s">
        <v>186</v>
      </c>
      <c r="E2771" s="1">
        <v>1</v>
      </c>
      <c r="F2771" s="1">
        <v>41</v>
      </c>
      <c r="G2771" s="1">
        <v>20</v>
      </c>
      <c r="H2771" s="1">
        <v>41</v>
      </c>
    </row>
    <row r="2772" spans="1:8">
      <c r="A2772">
        <v>170</v>
      </c>
      <c r="B2772" t="s">
        <v>594</v>
      </c>
      <c r="C2772">
        <v>11</v>
      </c>
      <c r="D2772" t="s">
        <v>186</v>
      </c>
      <c r="E2772" s="1">
        <v>1</v>
      </c>
      <c r="F2772" s="1" t="s">
        <v>194</v>
      </c>
      <c r="G2772" s="1">
        <v>22</v>
      </c>
      <c r="H2772" s="1" t="s">
        <v>194</v>
      </c>
    </row>
    <row r="2773" spans="1:8">
      <c r="A2773">
        <v>170</v>
      </c>
      <c r="B2773" t="s">
        <v>594</v>
      </c>
      <c r="C2773">
        <v>11</v>
      </c>
      <c r="D2773" t="s">
        <v>186</v>
      </c>
      <c r="E2773" s="1">
        <v>1</v>
      </c>
      <c r="F2773" s="1">
        <v>42</v>
      </c>
      <c r="G2773" s="1">
        <v>30</v>
      </c>
      <c r="H2773" s="1">
        <v>42</v>
      </c>
    </row>
    <row r="2774" spans="1:8">
      <c r="A2774">
        <v>170</v>
      </c>
      <c r="B2774" t="s">
        <v>594</v>
      </c>
      <c r="C2774">
        <v>11</v>
      </c>
      <c r="D2774" t="s">
        <v>186</v>
      </c>
      <c r="E2774" s="1">
        <v>1</v>
      </c>
      <c r="F2774" s="1" t="s">
        <v>195</v>
      </c>
      <c r="G2774" s="1">
        <v>32</v>
      </c>
      <c r="H2774" s="1" t="s">
        <v>195</v>
      </c>
    </row>
    <row r="2775" spans="1:8">
      <c r="A2775">
        <v>170</v>
      </c>
      <c r="B2775" t="s">
        <v>594</v>
      </c>
      <c r="C2775">
        <v>11</v>
      </c>
      <c r="D2775" t="s">
        <v>186</v>
      </c>
      <c r="E2775" s="1">
        <v>1</v>
      </c>
      <c r="F2775" s="1">
        <v>43</v>
      </c>
      <c r="G2775" s="1">
        <v>40</v>
      </c>
      <c r="H2775" s="1">
        <v>43</v>
      </c>
    </row>
    <row r="2776" spans="1:8">
      <c r="A2776">
        <v>170</v>
      </c>
      <c r="B2776" t="s">
        <v>594</v>
      </c>
      <c r="C2776">
        <v>11</v>
      </c>
      <c r="D2776" t="s">
        <v>186</v>
      </c>
      <c r="E2776" s="1">
        <v>1</v>
      </c>
      <c r="F2776" s="1" t="s">
        <v>196</v>
      </c>
      <c r="G2776" s="1">
        <v>42</v>
      </c>
      <c r="H2776" s="1" t="s">
        <v>196</v>
      </c>
    </row>
    <row r="2777" spans="1:8">
      <c r="A2777">
        <v>170</v>
      </c>
      <c r="B2777" t="s">
        <v>594</v>
      </c>
      <c r="C2777">
        <v>11</v>
      </c>
      <c r="D2777" t="s">
        <v>186</v>
      </c>
      <c r="E2777" s="1">
        <v>1</v>
      </c>
      <c r="F2777" s="1">
        <v>44</v>
      </c>
      <c r="G2777" s="1">
        <v>50</v>
      </c>
      <c r="H2777" s="1">
        <v>44</v>
      </c>
    </row>
    <row r="2778" spans="1:8">
      <c r="A2778">
        <v>170</v>
      </c>
      <c r="B2778" t="s">
        <v>594</v>
      </c>
      <c r="C2778">
        <v>11</v>
      </c>
      <c r="D2778" t="s">
        <v>186</v>
      </c>
      <c r="E2778" s="1">
        <v>1</v>
      </c>
      <c r="F2778" s="1" t="s">
        <v>197</v>
      </c>
      <c r="G2778" s="1">
        <v>52</v>
      </c>
      <c r="H2778" s="1" t="s">
        <v>197</v>
      </c>
    </row>
    <row r="2779" spans="1:8">
      <c r="A2779">
        <v>170</v>
      </c>
      <c r="B2779" t="s">
        <v>594</v>
      </c>
      <c r="C2779">
        <v>11</v>
      </c>
      <c r="D2779" t="s">
        <v>186</v>
      </c>
      <c r="E2779" s="1">
        <v>1</v>
      </c>
      <c r="F2779" s="1">
        <v>45</v>
      </c>
      <c r="G2779" s="1">
        <v>60</v>
      </c>
      <c r="H2779" s="1">
        <v>45</v>
      </c>
    </row>
    <row r="2780" spans="1:8">
      <c r="A2780">
        <v>170</v>
      </c>
      <c r="B2780" t="s">
        <v>594</v>
      </c>
      <c r="C2780">
        <v>11</v>
      </c>
      <c r="D2780" t="s">
        <v>186</v>
      </c>
      <c r="E2780" s="1">
        <v>1</v>
      </c>
      <c r="F2780" s="1" t="s">
        <v>198</v>
      </c>
      <c r="G2780" s="1">
        <v>62</v>
      </c>
      <c r="H2780" s="1" t="s">
        <v>198</v>
      </c>
    </row>
    <row r="2781" spans="1:8">
      <c r="A2781">
        <v>170</v>
      </c>
      <c r="B2781" t="s">
        <v>594</v>
      </c>
      <c r="C2781">
        <v>11</v>
      </c>
      <c r="D2781" t="s">
        <v>186</v>
      </c>
      <c r="E2781" s="1">
        <v>1</v>
      </c>
      <c r="F2781" s="1" t="s">
        <v>199</v>
      </c>
      <c r="G2781" s="1">
        <v>72</v>
      </c>
      <c r="H2781" s="1" t="s">
        <v>199</v>
      </c>
    </row>
    <row r="2782" spans="1:8">
      <c r="A2782">
        <v>170</v>
      </c>
      <c r="B2782" t="s">
        <v>594</v>
      </c>
      <c r="C2782">
        <v>11</v>
      </c>
      <c r="D2782" t="s">
        <v>186</v>
      </c>
      <c r="G2782" s="1">
        <v>95</v>
      </c>
    </row>
    <row r="2783" spans="1:8">
      <c r="A2783">
        <v>170</v>
      </c>
      <c r="B2783" t="s">
        <v>594</v>
      </c>
      <c r="C2783">
        <v>11</v>
      </c>
      <c r="D2783" t="s">
        <v>186</v>
      </c>
      <c r="G2783" s="1">
        <v>96</v>
      </c>
    </row>
    <row r="2784" spans="1:8">
      <c r="A2784">
        <v>170</v>
      </c>
      <c r="B2784" t="s">
        <v>594</v>
      </c>
      <c r="C2784">
        <v>12</v>
      </c>
      <c r="D2784" t="s">
        <v>107</v>
      </c>
      <c r="E2784" s="1">
        <v>1</v>
      </c>
      <c r="F2784" s="1" t="s">
        <v>195</v>
      </c>
      <c r="G2784" s="1">
        <v>32</v>
      </c>
      <c r="H2784" s="1" t="s">
        <v>195</v>
      </c>
    </row>
    <row r="2785" spans="1:8">
      <c r="A2785">
        <v>170</v>
      </c>
      <c r="B2785" t="s">
        <v>594</v>
      </c>
      <c r="C2785">
        <v>12</v>
      </c>
      <c r="D2785" t="s">
        <v>107</v>
      </c>
      <c r="E2785" s="1">
        <v>1</v>
      </c>
      <c r="F2785" s="1">
        <v>43</v>
      </c>
      <c r="G2785" s="1">
        <v>40</v>
      </c>
      <c r="H2785" s="1">
        <v>43</v>
      </c>
    </row>
    <row r="2786" spans="1:8">
      <c r="A2786">
        <v>170</v>
      </c>
      <c r="B2786" t="s">
        <v>594</v>
      </c>
      <c r="C2786">
        <v>12</v>
      </c>
      <c r="D2786" t="s">
        <v>107</v>
      </c>
      <c r="E2786" s="1">
        <v>1</v>
      </c>
      <c r="F2786" s="1" t="s">
        <v>196</v>
      </c>
      <c r="G2786" s="1">
        <v>42</v>
      </c>
      <c r="H2786" s="1" t="s">
        <v>196</v>
      </c>
    </row>
    <row r="2787" spans="1:8">
      <c r="A2787">
        <v>170</v>
      </c>
      <c r="B2787" t="s">
        <v>594</v>
      </c>
      <c r="C2787">
        <v>12</v>
      </c>
      <c r="D2787" t="s">
        <v>107</v>
      </c>
      <c r="E2787" s="1">
        <v>1</v>
      </c>
      <c r="F2787" s="1">
        <v>44</v>
      </c>
      <c r="G2787" s="1">
        <v>50</v>
      </c>
      <c r="H2787" s="1">
        <v>44</v>
      </c>
    </row>
    <row r="2788" spans="1:8">
      <c r="A2788">
        <v>170</v>
      </c>
      <c r="B2788" t="s">
        <v>594</v>
      </c>
      <c r="C2788">
        <v>12</v>
      </c>
      <c r="D2788" t="s">
        <v>107</v>
      </c>
      <c r="E2788" s="1">
        <v>1</v>
      </c>
      <c r="F2788" s="1" t="s">
        <v>197</v>
      </c>
      <c r="G2788" s="1">
        <v>52</v>
      </c>
      <c r="H2788" s="1" t="s">
        <v>197</v>
      </c>
    </row>
    <row r="2789" spans="1:8">
      <c r="A2789">
        <v>170</v>
      </c>
      <c r="B2789" t="s">
        <v>594</v>
      </c>
      <c r="C2789">
        <v>12</v>
      </c>
      <c r="D2789" t="s">
        <v>107</v>
      </c>
      <c r="E2789" s="1">
        <v>1</v>
      </c>
      <c r="F2789" s="1" t="s">
        <v>198</v>
      </c>
      <c r="G2789" s="1">
        <v>62</v>
      </c>
      <c r="H2789" s="1" t="s">
        <v>198</v>
      </c>
    </row>
    <row r="2790" spans="1:8">
      <c r="A2790">
        <v>170</v>
      </c>
      <c r="B2790" t="s">
        <v>594</v>
      </c>
      <c r="C2790">
        <v>13</v>
      </c>
      <c r="D2790" t="s">
        <v>200</v>
      </c>
      <c r="E2790" s="1">
        <v>1</v>
      </c>
      <c r="F2790" s="1">
        <v>40</v>
      </c>
      <c r="G2790" s="1">
        <v>10</v>
      </c>
      <c r="H2790" s="1">
        <v>40</v>
      </c>
    </row>
    <row r="2791" spans="1:8">
      <c r="A2791">
        <v>170</v>
      </c>
      <c r="B2791" t="s">
        <v>594</v>
      </c>
      <c r="C2791">
        <v>13</v>
      </c>
      <c r="D2791" t="s">
        <v>200</v>
      </c>
      <c r="E2791" s="1">
        <v>1</v>
      </c>
      <c r="F2791" s="1">
        <v>41</v>
      </c>
      <c r="G2791" s="1">
        <v>20</v>
      </c>
      <c r="H2791" s="1">
        <v>41</v>
      </c>
    </row>
    <row r="2792" spans="1:8">
      <c r="A2792">
        <v>170</v>
      </c>
      <c r="B2792" t="s">
        <v>594</v>
      </c>
      <c r="C2792">
        <v>13</v>
      </c>
      <c r="D2792" t="s">
        <v>200</v>
      </c>
      <c r="E2792" s="1">
        <v>1</v>
      </c>
      <c r="F2792" s="1">
        <v>42</v>
      </c>
      <c r="G2792" s="1">
        <v>30</v>
      </c>
      <c r="H2792" s="1">
        <v>42</v>
      </c>
    </row>
    <row r="2793" spans="1:8">
      <c r="A2793">
        <v>170</v>
      </c>
      <c r="B2793" t="s">
        <v>594</v>
      </c>
      <c r="C2793">
        <v>13</v>
      </c>
      <c r="D2793" t="s">
        <v>200</v>
      </c>
      <c r="E2793" s="1">
        <v>1</v>
      </c>
      <c r="F2793" s="1" t="s">
        <v>195</v>
      </c>
      <c r="G2793" s="1">
        <v>32</v>
      </c>
      <c r="H2793" s="1" t="s">
        <v>195</v>
      </c>
    </row>
    <row r="2794" spans="1:8">
      <c r="A2794">
        <v>170</v>
      </c>
      <c r="B2794" t="s">
        <v>594</v>
      </c>
      <c r="C2794">
        <v>13</v>
      </c>
      <c r="D2794" t="s">
        <v>200</v>
      </c>
      <c r="E2794" s="1">
        <v>1</v>
      </c>
      <c r="F2794" s="1">
        <v>43</v>
      </c>
      <c r="G2794" s="1">
        <v>40</v>
      </c>
      <c r="H2794" s="1">
        <v>43</v>
      </c>
    </row>
    <row r="2795" spans="1:8">
      <c r="A2795">
        <v>170</v>
      </c>
      <c r="B2795" t="s">
        <v>594</v>
      </c>
      <c r="C2795">
        <v>13</v>
      </c>
      <c r="D2795" t="s">
        <v>200</v>
      </c>
      <c r="E2795" s="1">
        <v>1</v>
      </c>
      <c r="F2795" s="1" t="s">
        <v>196</v>
      </c>
      <c r="G2795" s="1">
        <v>42</v>
      </c>
      <c r="H2795" s="1" t="s">
        <v>196</v>
      </c>
    </row>
    <row r="2796" spans="1:8">
      <c r="A2796">
        <v>170</v>
      </c>
      <c r="B2796" t="s">
        <v>594</v>
      </c>
      <c r="C2796">
        <v>13</v>
      </c>
      <c r="D2796" t="s">
        <v>200</v>
      </c>
      <c r="E2796" s="1">
        <v>1</v>
      </c>
      <c r="F2796" s="1">
        <v>44</v>
      </c>
      <c r="G2796" s="1">
        <v>50</v>
      </c>
      <c r="H2796" s="1">
        <v>44</v>
      </c>
    </row>
    <row r="2797" spans="1:8">
      <c r="A2797">
        <v>170</v>
      </c>
      <c r="B2797" t="s">
        <v>594</v>
      </c>
      <c r="C2797">
        <v>13</v>
      </c>
      <c r="D2797" t="s">
        <v>200</v>
      </c>
      <c r="E2797" s="1">
        <v>1</v>
      </c>
      <c r="F2797" s="1" t="s">
        <v>197</v>
      </c>
      <c r="G2797" s="1">
        <v>52</v>
      </c>
      <c r="H2797" s="1" t="s">
        <v>197</v>
      </c>
    </row>
    <row r="2798" spans="1:8">
      <c r="A2798">
        <v>170</v>
      </c>
      <c r="B2798" t="s">
        <v>594</v>
      </c>
      <c r="C2798">
        <v>13</v>
      </c>
      <c r="D2798" t="s">
        <v>200</v>
      </c>
      <c r="E2798" s="1">
        <v>1</v>
      </c>
      <c r="F2798" s="1">
        <v>45</v>
      </c>
      <c r="G2798" s="1">
        <v>60</v>
      </c>
      <c r="H2798" s="1">
        <v>45</v>
      </c>
    </row>
    <row r="2799" spans="1:8">
      <c r="A2799">
        <v>170</v>
      </c>
      <c r="B2799" t="s">
        <v>594</v>
      </c>
      <c r="C2799">
        <v>13</v>
      </c>
      <c r="D2799" t="s">
        <v>200</v>
      </c>
      <c r="E2799" s="1">
        <v>1</v>
      </c>
      <c r="F2799" s="1" t="s">
        <v>198</v>
      </c>
      <c r="G2799" s="1">
        <v>62</v>
      </c>
      <c r="H2799" s="1" t="s">
        <v>198</v>
      </c>
    </row>
    <row r="2800" spans="1:8">
      <c r="A2800">
        <v>170</v>
      </c>
      <c r="B2800" t="s">
        <v>594</v>
      </c>
      <c r="C2800">
        <v>13</v>
      </c>
      <c r="D2800" t="s">
        <v>200</v>
      </c>
      <c r="E2800" s="1">
        <v>1</v>
      </c>
      <c r="F2800" s="1" t="s">
        <v>199</v>
      </c>
      <c r="G2800" s="1">
        <v>72</v>
      </c>
      <c r="H2800" s="1" t="s">
        <v>199</v>
      </c>
    </row>
    <row r="2801" spans="1:8">
      <c r="A2801">
        <v>170</v>
      </c>
      <c r="B2801" t="s">
        <v>594</v>
      </c>
      <c r="C2801">
        <v>15</v>
      </c>
      <c r="D2801" t="s">
        <v>201</v>
      </c>
      <c r="E2801" s="1">
        <v>4</v>
      </c>
      <c r="F2801" s="1" t="s">
        <v>286</v>
      </c>
      <c r="G2801" s="1">
        <v>70</v>
      </c>
      <c r="H2801" s="1" t="s">
        <v>286</v>
      </c>
    </row>
    <row r="2802" spans="1:8">
      <c r="A2802">
        <v>170</v>
      </c>
      <c r="B2802" t="s">
        <v>594</v>
      </c>
      <c r="C2802">
        <v>15</v>
      </c>
      <c r="D2802" t="s">
        <v>201</v>
      </c>
      <c r="G2802" s="1">
        <v>70</v>
      </c>
    </row>
    <row r="2803" spans="1:8">
      <c r="A2803">
        <v>170</v>
      </c>
      <c r="B2803" t="s">
        <v>594</v>
      </c>
      <c r="C2803">
        <v>21</v>
      </c>
      <c r="D2803" t="s">
        <v>205</v>
      </c>
      <c r="E2803" s="1">
        <v>1</v>
      </c>
      <c r="F2803" s="1" t="s">
        <v>394</v>
      </c>
      <c r="G2803" s="1">
        <v>12</v>
      </c>
      <c r="H2803" s="1" t="s">
        <v>394</v>
      </c>
    </row>
    <row r="2804" spans="1:8">
      <c r="A2804">
        <v>170</v>
      </c>
      <c r="B2804" t="s">
        <v>594</v>
      </c>
      <c r="C2804">
        <v>21</v>
      </c>
      <c r="D2804" t="s">
        <v>205</v>
      </c>
      <c r="E2804" s="1">
        <v>1</v>
      </c>
      <c r="F2804" s="1" t="s">
        <v>328</v>
      </c>
      <c r="G2804" s="1">
        <v>20</v>
      </c>
      <c r="H2804" s="1" t="s">
        <v>328</v>
      </c>
    </row>
    <row r="2805" spans="1:8">
      <c r="A2805">
        <v>170</v>
      </c>
      <c r="B2805" t="s">
        <v>594</v>
      </c>
      <c r="C2805">
        <v>21</v>
      </c>
      <c r="D2805" t="s">
        <v>205</v>
      </c>
      <c r="E2805" s="1">
        <v>1</v>
      </c>
      <c r="F2805" s="1" t="s">
        <v>329</v>
      </c>
      <c r="G2805" s="1">
        <v>30</v>
      </c>
      <c r="H2805" s="1" t="s">
        <v>329</v>
      </c>
    </row>
    <row r="2806" spans="1:8">
      <c r="A2806">
        <v>170</v>
      </c>
      <c r="B2806" t="s">
        <v>594</v>
      </c>
      <c r="C2806">
        <v>21</v>
      </c>
      <c r="D2806" t="s">
        <v>205</v>
      </c>
      <c r="E2806" s="1">
        <v>1</v>
      </c>
      <c r="F2806" s="1" t="s">
        <v>323</v>
      </c>
      <c r="G2806" s="1">
        <v>32</v>
      </c>
      <c r="H2806" s="1" t="s">
        <v>323</v>
      </c>
    </row>
    <row r="2807" spans="1:8">
      <c r="A2807">
        <v>170</v>
      </c>
      <c r="B2807" t="s">
        <v>594</v>
      </c>
      <c r="C2807">
        <v>21</v>
      </c>
      <c r="D2807" t="s">
        <v>205</v>
      </c>
      <c r="E2807" s="1">
        <v>1</v>
      </c>
      <c r="F2807" s="1" t="s">
        <v>332</v>
      </c>
      <c r="G2807" s="1">
        <v>40</v>
      </c>
      <c r="H2807" s="1" t="s">
        <v>332</v>
      </c>
    </row>
    <row r="2808" spans="1:8">
      <c r="A2808">
        <v>170</v>
      </c>
      <c r="B2808" t="s">
        <v>594</v>
      </c>
      <c r="C2808">
        <v>21</v>
      </c>
      <c r="D2808" t="s">
        <v>205</v>
      </c>
      <c r="E2808" s="1">
        <v>1</v>
      </c>
      <c r="F2808" s="1" t="s">
        <v>330</v>
      </c>
      <c r="G2808" s="1">
        <v>42</v>
      </c>
      <c r="H2808" s="1" t="s">
        <v>330</v>
      </c>
    </row>
    <row r="2809" spans="1:8">
      <c r="A2809">
        <v>170</v>
      </c>
      <c r="B2809" t="s">
        <v>594</v>
      </c>
      <c r="C2809">
        <v>21</v>
      </c>
      <c r="D2809" t="s">
        <v>205</v>
      </c>
      <c r="E2809" s="1">
        <v>1</v>
      </c>
      <c r="F2809" s="1" t="s">
        <v>331</v>
      </c>
      <c r="G2809" s="1">
        <v>50</v>
      </c>
      <c r="H2809" s="1" t="s">
        <v>331</v>
      </c>
    </row>
    <row r="2810" spans="1:8">
      <c r="A2810">
        <v>170</v>
      </c>
      <c r="B2810" t="s">
        <v>594</v>
      </c>
      <c r="C2810">
        <v>21</v>
      </c>
      <c r="D2810" t="s">
        <v>205</v>
      </c>
      <c r="E2810" s="1">
        <v>1</v>
      </c>
      <c r="F2810" s="1" t="s">
        <v>287</v>
      </c>
      <c r="G2810" s="1">
        <v>52</v>
      </c>
      <c r="H2810" s="1" t="s">
        <v>287</v>
      </c>
    </row>
    <row r="2811" spans="1:8">
      <c r="A2811">
        <v>170</v>
      </c>
      <c r="B2811" t="s">
        <v>594</v>
      </c>
      <c r="C2811">
        <v>21</v>
      </c>
      <c r="D2811" t="s">
        <v>205</v>
      </c>
      <c r="E2811" s="1">
        <v>1</v>
      </c>
      <c r="F2811" s="1" t="s">
        <v>288</v>
      </c>
      <c r="G2811" s="1">
        <v>62</v>
      </c>
      <c r="H2811" s="1" t="s">
        <v>288</v>
      </c>
    </row>
    <row r="2812" spans="1:8">
      <c r="A2812">
        <v>170</v>
      </c>
      <c r="B2812" t="s">
        <v>594</v>
      </c>
      <c r="C2812">
        <v>21</v>
      </c>
      <c r="D2812" t="s">
        <v>205</v>
      </c>
      <c r="E2812" s="1">
        <v>1</v>
      </c>
      <c r="F2812" s="1" t="s">
        <v>284</v>
      </c>
      <c r="H2812" s="1" t="s">
        <v>284</v>
      </c>
    </row>
    <row r="2813" spans="1:8">
      <c r="A2813">
        <v>170</v>
      </c>
      <c r="B2813" t="s">
        <v>594</v>
      </c>
      <c r="C2813">
        <v>22</v>
      </c>
      <c r="D2813" t="s">
        <v>206</v>
      </c>
      <c r="E2813" s="1">
        <v>1</v>
      </c>
      <c r="F2813" s="1" t="s">
        <v>288</v>
      </c>
      <c r="G2813" s="1">
        <v>62</v>
      </c>
      <c r="H2813" s="1" t="s">
        <v>288</v>
      </c>
    </row>
    <row r="2814" spans="1:8">
      <c r="A2814">
        <v>170</v>
      </c>
      <c r="B2814" t="s">
        <v>594</v>
      </c>
      <c r="C2814">
        <v>57</v>
      </c>
      <c r="D2814" t="s">
        <v>183</v>
      </c>
      <c r="E2814" s="1">
        <v>3</v>
      </c>
      <c r="F2814" s="1" t="s">
        <v>492</v>
      </c>
      <c r="G2814" s="1">
        <v>50</v>
      </c>
      <c r="H2814" s="1" t="s">
        <v>492</v>
      </c>
    </row>
    <row r="2815" spans="1:8">
      <c r="A2815">
        <v>170</v>
      </c>
      <c r="B2815" t="s">
        <v>594</v>
      </c>
      <c r="C2815">
        <v>57</v>
      </c>
      <c r="D2815" t="s">
        <v>183</v>
      </c>
      <c r="E2815" s="1">
        <v>3</v>
      </c>
      <c r="F2815" s="1" t="s">
        <v>338</v>
      </c>
      <c r="G2815" s="1">
        <v>60</v>
      </c>
      <c r="H2815" s="1" t="s">
        <v>338</v>
      </c>
    </row>
    <row r="2816" spans="1:8">
      <c r="A2816">
        <v>170</v>
      </c>
      <c r="B2816" t="s">
        <v>594</v>
      </c>
      <c r="C2816">
        <v>57</v>
      </c>
      <c r="D2816" t="s">
        <v>183</v>
      </c>
      <c r="G2816" s="1">
        <v>50</v>
      </c>
    </row>
    <row r="2817" spans="1:8">
      <c r="A2817">
        <v>170</v>
      </c>
      <c r="B2817" t="s">
        <v>594</v>
      </c>
      <c r="C2817">
        <v>57</v>
      </c>
      <c r="D2817" t="s">
        <v>183</v>
      </c>
      <c r="G2817" s="1">
        <v>60</v>
      </c>
    </row>
    <row r="2818" spans="1:8">
      <c r="A2818">
        <v>170</v>
      </c>
      <c r="B2818" t="s">
        <v>594</v>
      </c>
      <c r="C2818">
        <v>59</v>
      </c>
      <c r="D2818" t="s">
        <v>227</v>
      </c>
      <c r="E2818" s="1">
        <v>3</v>
      </c>
      <c r="F2818" s="1" t="s">
        <v>295</v>
      </c>
      <c r="G2818" s="1">
        <v>23</v>
      </c>
      <c r="H2818" s="1" t="s">
        <v>295</v>
      </c>
    </row>
    <row r="2819" spans="1:8">
      <c r="A2819">
        <v>170</v>
      </c>
      <c r="B2819" t="s">
        <v>594</v>
      </c>
      <c r="C2819">
        <v>59</v>
      </c>
      <c r="D2819" t="s">
        <v>227</v>
      </c>
      <c r="G2819" s="1">
        <v>23</v>
      </c>
    </row>
    <row r="2820" spans="1:8">
      <c r="A2820">
        <v>170</v>
      </c>
      <c r="B2820" t="s">
        <v>594</v>
      </c>
      <c r="C2820">
        <v>74</v>
      </c>
      <c r="D2820" t="s">
        <v>235</v>
      </c>
      <c r="E2820" s="1">
        <v>3</v>
      </c>
      <c r="F2820" s="1" t="s">
        <v>320</v>
      </c>
      <c r="G2820" s="1">
        <v>50</v>
      </c>
      <c r="H2820" s="1" t="s">
        <v>320</v>
      </c>
    </row>
    <row r="2821" spans="1:8">
      <c r="A2821">
        <v>170</v>
      </c>
      <c r="B2821" t="s">
        <v>594</v>
      </c>
      <c r="C2821">
        <v>74</v>
      </c>
      <c r="D2821" t="s">
        <v>235</v>
      </c>
      <c r="E2821" s="1">
        <v>3</v>
      </c>
      <c r="F2821" s="1" t="s">
        <v>321</v>
      </c>
      <c r="G2821" s="1">
        <v>60</v>
      </c>
      <c r="H2821" s="1" t="s">
        <v>321</v>
      </c>
    </row>
    <row r="2822" spans="1:8">
      <c r="A2822">
        <v>172</v>
      </c>
      <c r="B2822" t="s">
        <v>595</v>
      </c>
      <c r="C2822">
        <v>1</v>
      </c>
      <c r="D2822" t="s">
        <v>137</v>
      </c>
      <c r="E2822" s="1">
        <v>1</v>
      </c>
      <c r="F2822" s="1">
        <v>14</v>
      </c>
      <c r="G2822" s="1">
        <v>70</v>
      </c>
      <c r="H2822" s="1">
        <v>14</v>
      </c>
    </row>
    <row r="2823" spans="1:8">
      <c r="A2823">
        <v>172</v>
      </c>
      <c r="B2823" t="s">
        <v>595</v>
      </c>
      <c r="C2823">
        <v>1</v>
      </c>
      <c r="D2823" t="s">
        <v>137</v>
      </c>
      <c r="E2823" s="1">
        <v>1</v>
      </c>
      <c r="F2823" s="1" t="s">
        <v>147</v>
      </c>
      <c r="G2823" s="1">
        <v>72</v>
      </c>
      <c r="H2823" s="1" t="s">
        <v>147</v>
      </c>
    </row>
    <row r="2824" spans="1:8">
      <c r="A2824">
        <v>172</v>
      </c>
      <c r="B2824" t="s">
        <v>595</v>
      </c>
      <c r="C2824">
        <v>1</v>
      </c>
      <c r="D2824" t="s">
        <v>137</v>
      </c>
      <c r="E2824" s="1">
        <v>1</v>
      </c>
      <c r="F2824" s="1">
        <v>15</v>
      </c>
      <c r="G2824" s="1">
        <v>80</v>
      </c>
      <c r="H2824" s="1">
        <v>15</v>
      </c>
    </row>
    <row r="2825" spans="1:8">
      <c r="A2825">
        <v>172</v>
      </c>
      <c r="B2825" t="s">
        <v>595</v>
      </c>
      <c r="C2825">
        <v>1</v>
      </c>
      <c r="D2825" t="s">
        <v>137</v>
      </c>
      <c r="E2825" s="1">
        <v>1</v>
      </c>
      <c r="F2825" s="1" t="s">
        <v>150</v>
      </c>
      <c r="G2825" s="1">
        <v>82</v>
      </c>
      <c r="H2825" s="1" t="s">
        <v>150</v>
      </c>
    </row>
    <row r="2826" spans="1:8">
      <c r="A2826">
        <v>172</v>
      </c>
      <c r="B2826" t="s">
        <v>595</v>
      </c>
      <c r="C2826">
        <v>1</v>
      </c>
      <c r="D2826" t="s">
        <v>137</v>
      </c>
      <c r="E2826" s="1">
        <v>1</v>
      </c>
      <c r="F2826" s="1">
        <v>16</v>
      </c>
      <c r="G2826" s="1">
        <v>90</v>
      </c>
      <c r="H2826" s="1">
        <v>16</v>
      </c>
    </row>
    <row r="2827" spans="1:8">
      <c r="A2827">
        <v>172</v>
      </c>
      <c r="B2827" t="s">
        <v>595</v>
      </c>
      <c r="C2827">
        <v>1</v>
      </c>
      <c r="D2827" t="s">
        <v>137</v>
      </c>
      <c r="E2827" s="1">
        <v>1</v>
      </c>
      <c r="F2827" s="1" t="s">
        <v>156</v>
      </c>
      <c r="G2827" s="1">
        <v>96</v>
      </c>
      <c r="H2827" s="1" t="s">
        <v>156</v>
      </c>
    </row>
    <row r="2828" spans="1:8">
      <c r="A2828">
        <v>172</v>
      </c>
      <c r="B2828" t="s">
        <v>595</v>
      </c>
      <c r="C2828">
        <v>1</v>
      </c>
      <c r="D2828" t="s">
        <v>137</v>
      </c>
      <c r="E2828" s="1">
        <v>2</v>
      </c>
      <c r="F2828" s="1" t="s">
        <v>159</v>
      </c>
      <c r="G2828" s="1">
        <v>2</v>
      </c>
      <c r="H2828" s="1" t="s">
        <v>159</v>
      </c>
    </row>
    <row r="2829" spans="1:8">
      <c r="A2829">
        <v>172</v>
      </c>
      <c r="B2829" t="s">
        <v>595</v>
      </c>
      <c r="C2829">
        <v>1</v>
      </c>
      <c r="D2829" t="s">
        <v>137</v>
      </c>
      <c r="E2829" s="1">
        <v>2</v>
      </c>
      <c r="F2829" s="1">
        <v>19</v>
      </c>
      <c r="G2829" s="1">
        <v>10</v>
      </c>
      <c r="H2829" s="1">
        <v>19</v>
      </c>
    </row>
    <row r="2830" spans="1:8">
      <c r="A2830">
        <v>172</v>
      </c>
      <c r="B2830" t="s">
        <v>595</v>
      </c>
      <c r="C2830">
        <v>1</v>
      </c>
      <c r="D2830" t="s">
        <v>137</v>
      </c>
      <c r="E2830" s="1">
        <v>2</v>
      </c>
      <c r="F2830" s="1" t="s">
        <v>162</v>
      </c>
      <c r="G2830" s="1">
        <v>12</v>
      </c>
      <c r="H2830" s="1" t="s">
        <v>162</v>
      </c>
    </row>
    <row r="2831" spans="1:8">
      <c r="A2831">
        <v>172</v>
      </c>
      <c r="B2831" t="s">
        <v>595</v>
      </c>
      <c r="C2831">
        <v>1</v>
      </c>
      <c r="D2831" t="s">
        <v>137</v>
      </c>
      <c r="E2831" s="1">
        <v>2</v>
      </c>
      <c r="F2831" s="1">
        <v>20</v>
      </c>
      <c r="G2831" s="1">
        <v>20</v>
      </c>
      <c r="H2831" s="1">
        <v>20</v>
      </c>
    </row>
    <row r="2832" spans="1:8">
      <c r="A2832">
        <v>172</v>
      </c>
      <c r="B2832" t="s">
        <v>595</v>
      </c>
      <c r="C2832">
        <v>1</v>
      </c>
      <c r="D2832" t="s">
        <v>137</v>
      </c>
      <c r="E2832" s="1">
        <v>2</v>
      </c>
      <c r="F2832" s="1" t="s">
        <v>165</v>
      </c>
      <c r="G2832" s="1">
        <v>22</v>
      </c>
      <c r="H2832" s="1" t="s">
        <v>165</v>
      </c>
    </row>
    <row r="2833" spans="1:8">
      <c r="A2833">
        <v>172</v>
      </c>
      <c r="B2833" t="s">
        <v>595</v>
      </c>
      <c r="C2833">
        <v>1</v>
      </c>
      <c r="D2833" t="s">
        <v>137</v>
      </c>
      <c r="E2833" s="1">
        <v>2</v>
      </c>
      <c r="F2833" s="1">
        <v>21</v>
      </c>
      <c r="G2833" s="1">
        <v>30</v>
      </c>
      <c r="H2833" s="1">
        <v>21</v>
      </c>
    </row>
    <row r="2834" spans="1:8">
      <c r="A2834">
        <v>172</v>
      </c>
      <c r="B2834" t="s">
        <v>595</v>
      </c>
      <c r="C2834">
        <v>1</v>
      </c>
      <c r="D2834" t="s">
        <v>137</v>
      </c>
      <c r="E2834" s="1">
        <v>2</v>
      </c>
      <c r="F2834" s="1">
        <v>22</v>
      </c>
      <c r="G2834" s="1">
        <v>40</v>
      </c>
      <c r="H2834" s="1">
        <v>22</v>
      </c>
    </row>
    <row r="2835" spans="1:8">
      <c r="A2835">
        <v>172</v>
      </c>
      <c r="B2835" t="s">
        <v>595</v>
      </c>
      <c r="C2835">
        <v>1</v>
      </c>
      <c r="D2835" t="s">
        <v>137</v>
      </c>
      <c r="E2835" s="1">
        <v>2</v>
      </c>
      <c r="F2835" s="1">
        <v>23</v>
      </c>
      <c r="G2835" s="1">
        <v>50</v>
      </c>
      <c r="H2835" s="1">
        <v>23</v>
      </c>
    </row>
    <row r="2836" spans="1:8">
      <c r="A2836">
        <v>172</v>
      </c>
      <c r="B2836" t="s">
        <v>595</v>
      </c>
      <c r="C2836">
        <v>1</v>
      </c>
      <c r="D2836" t="s">
        <v>137</v>
      </c>
      <c r="E2836" s="1">
        <v>2</v>
      </c>
      <c r="F2836" s="1">
        <v>18</v>
      </c>
      <c r="H2836" s="1">
        <v>18</v>
      </c>
    </row>
    <row r="2837" spans="1:8">
      <c r="A2837">
        <v>172</v>
      </c>
      <c r="B2837" t="s">
        <v>595</v>
      </c>
      <c r="C2837">
        <v>5</v>
      </c>
      <c r="D2837" t="s">
        <v>183</v>
      </c>
      <c r="G2837" s="1">
        <v>60</v>
      </c>
    </row>
    <row r="2838" spans="1:8">
      <c r="A2838">
        <v>172</v>
      </c>
      <c r="B2838" t="s">
        <v>595</v>
      </c>
      <c r="C2838">
        <v>5</v>
      </c>
      <c r="D2838" t="s">
        <v>183</v>
      </c>
      <c r="G2838" s="1">
        <v>80</v>
      </c>
    </row>
    <row r="2839" spans="1:8">
      <c r="A2839">
        <v>172</v>
      </c>
      <c r="B2839" t="s">
        <v>595</v>
      </c>
      <c r="C2839">
        <v>11</v>
      </c>
      <c r="D2839" t="s">
        <v>186</v>
      </c>
      <c r="E2839" s="1">
        <v>1</v>
      </c>
      <c r="F2839" s="1" t="s">
        <v>192</v>
      </c>
      <c r="G2839" s="1">
        <v>2</v>
      </c>
      <c r="H2839" s="1" t="s">
        <v>192</v>
      </c>
    </row>
    <row r="2840" spans="1:8">
      <c r="A2840">
        <v>172</v>
      </c>
      <c r="B2840" t="s">
        <v>595</v>
      </c>
      <c r="C2840">
        <v>11</v>
      </c>
      <c r="D2840" t="s">
        <v>186</v>
      </c>
      <c r="E2840" s="1">
        <v>1</v>
      </c>
      <c r="F2840" s="1" t="s">
        <v>194</v>
      </c>
      <c r="G2840" s="1">
        <v>22</v>
      </c>
      <c r="H2840" s="1" t="s">
        <v>194</v>
      </c>
    </row>
    <row r="2841" spans="1:8">
      <c r="A2841">
        <v>172</v>
      </c>
      <c r="B2841" t="s">
        <v>595</v>
      </c>
      <c r="C2841">
        <v>11</v>
      </c>
      <c r="D2841" t="s">
        <v>186</v>
      </c>
      <c r="E2841" s="1">
        <v>1</v>
      </c>
      <c r="F2841" s="1" t="s">
        <v>195</v>
      </c>
      <c r="G2841" s="1">
        <v>32</v>
      </c>
      <c r="H2841" s="1" t="s">
        <v>195</v>
      </c>
    </row>
    <row r="2842" spans="1:8">
      <c r="A2842">
        <v>172</v>
      </c>
      <c r="B2842" t="s">
        <v>595</v>
      </c>
      <c r="C2842">
        <v>11</v>
      </c>
      <c r="D2842" t="s">
        <v>186</v>
      </c>
      <c r="E2842" s="1">
        <v>1</v>
      </c>
      <c r="F2842" s="1">
        <v>43</v>
      </c>
      <c r="G2842" s="1">
        <v>40</v>
      </c>
      <c r="H2842" s="1">
        <v>43</v>
      </c>
    </row>
    <row r="2843" spans="1:8">
      <c r="A2843">
        <v>172</v>
      </c>
      <c r="B2843" t="s">
        <v>595</v>
      </c>
      <c r="C2843">
        <v>11</v>
      </c>
      <c r="D2843" t="s">
        <v>186</v>
      </c>
      <c r="E2843" s="1">
        <v>1</v>
      </c>
      <c r="F2843" s="1" t="s">
        <v>196</v>
      </c>
      <c r="G2843" s="1">
        <v>42</v>
      </c>
      <c r="H2843" s="1" t="s">
        <v>196</v>
      </c>
    </row>
    <row r="2844" spans="1:8">
      <c r="A2844">
        <v>172</v>
      </c>
      <c r="B2844" t="s">
        <v>595</v>
      </c>
      <c r="C2844">
        <v>11</v>
      </c>
      <c r="D2844" t="s">
        <v>186</v>
      </c>
      <c r="E2844" s="1">
        <v>1</v>
      </c>
      <c r="F2844" s="1">
        <v>44</v>
      </c>
      <c r="G2844" s="1">
        <v>50</v>
      </c>
      <c r="H2844" s="1">
        <v>44</v>
      </c>
    </row>
    <row r="2845" spans="1:8">
      <c r="A2845">
        <v>172</v>
      </c>
      <c r="B2845" t="s">
        <v>595</v>
      </c>
      <c r="C2845">
        <v>11</v>
      </c>
      <c r="D2845" t="s">
        <v>186</v>
      </c>
      <c r="E2845" s="1">
        <v>1</v>
      </c>
      <c r="F2845" s="1" t="s">
        <v>197</v>
      </c>
      <c r="G2845" s="1">
        <v>52</v>
      </c>
      <c r="H2845" s="1" t="s">
        <v>197</v>
      </c>
    </row>
    <row r="2846" spans="1:8">
      <c r="A2846">
        <v>172</v>
      </c>
      <c r="B2846" t="s">
        <v>595</v>
      </c>
      <c r="C2846">
        <v>11</v>
      </c>
      <c r="D2846" t="s">
        <v>186</v>
      </c>
      <c r="E2846" s="1">
        <v>1</v>
      </c>
      <c r="F2846" s="1" t="s">
        <v>198</v>
      </c>
      <c r="G2846" s="1">
        <v>62</v>
      </c>
      <c r="H2846" s="1" t="s">
        <v>198</v>
      </c>
    </row>
    <row r="2847" spans="1:8">
      <c r="A2847">
        <v>172</v>
      </c>
      <c r="B2847" t="s">
        <v>595</v>
      </c>
      <c r="C2847">
        <v>11</v>
      </c>
      <c r="D2847" t="s">
        <v>186</v>
      </c>
      <c r="G2847" s="1">
        <v>80</v>
      </c>
    </row>
    <row r="2848" spans="1:8">
      <c r="A2848">
        <v>172</v>
      </c>
      <c r="B2848" t="s">
        <v>595</v>
      </c>
      <c r="C2848">
        <v>12</v>
      </c>
      <c r="D2848" t="s">
        <v>107</v>
      </c>
      <c r="E2848" s="1">
        <v>1</v>
      </c>
      <c r="F2848" s="1" t="s">
        <v>192</v>
      </c>
      <c r="G2848" s="1">
        <v>2</v>
      </c>
      <c r="H2848" s="1" t="s">
        <v>192</v>
      </c>
    </row>
    <row r="2849" spans="1:8">
      <c r="A2849">
        <v>172</v>
      </c>
      <c r="B2849" t="s">
        <v>595</v>
      </c>
      <c r="C2849">
        <v>12</v>
      </c>
      <c r="D2849" t="s">
        <v>107</v>
      </c>
      <c r="E2849" s="1">
        <v>1</v>
      </c>
      <c r="F2849" s="1">
        <v>40</v>
      </c>
      <c r="G2849" s="1">
        <v>10</v>
      </c>
      <c r="H2849" s="1">
        <v>40</v>
      </c>
    </row>
    <row r="2850" spans="1:8">
      <c r="A2850">
        <v>172</v>
      </c>
      <c r="B2850" t="s">
        <v>595</v>
      </c>
      <c r="C2850">
        <v>12</v>
      </c>
      <c r="D2850" t="s">
        <v>107</v>
      </c>
      <c r="E2850" s="1">
        <v>1</v>
      </c>
      <c r="F2850" s="1" t="s">
        <v>193</v>
      </c>
      <c r="G2850" s="1">
        <v>12</v>
      </c>
      <c r="H2850" s="1" t="s">
        <v>193</v>
      </c>
    </row>
    <row r="2851" spans="1:8">
      <c r="A2851">
        <v>172</v>
      </c>
      <c r="B2851" t="s">
        <v>595</v>
      </c>
      <c r="C2851">
        <v>12</v>
      </c>
      <c r="D2851" t="s">
        <v>107</v>
      </c>
      <c r="E2851" s="1">
        <v>1</v>
      </c>
      <c r="F2851" s="1">
        <v>41</v>
      </c>
      <c r="G2851" s="1">
        <v>20</v>
      </c>
      <c r="H2851" s="1">
        <v>41</v>
      </c>
    </row>
    <row r="2852" spans="1:8">
      <c r="A2852">
        <v>172</v>
      </c>
      <c r="B2852" t="s">
        <v>595</v>
      </c>
      <c r="C2852">
        <v>12</v>
      </c>
      <c r="D2852" t="s">
        <v>107</v>
      </c>
      <c r="E2852" s="1">
        <v>1</v>
      </c>
      <c r="F2852" s="1" t="s">
        <v>194</v>
      </c>
      <c r="G2852" s="1">
        <v>22</v>
      </c>
      <c r="H2852" s="1" t="s">
        <v>194</v>
      </c>
    </row>
    <row r="2853" spans="1:8">
      <c r="A2853">
        <v>172</v>
      </c>
      <c r="B2853" t="s">
        <v>595</v>
      </c>
      <c r="C2853">
        <v>12</v>
      </c>
      <c r="D2853" t="s">
        <v>107</v>
      </c>
      <c r="E2853" s="1">
        <v>1</v>
      </c>
      <c r="F2853" s="1">
        <v>42</v>
      </c>
      <c r="G2853" s="1">
        <v>30</v>
      </c>
      <c r="H2853" s="1">
        <v>42</v>
      </c>
    </row>
    <row r="2854" spans="1:8">
      <c r="A2854">
        <v>172</v>
      </c>
      <c r="B2854" t="s">
        <v>595</v>
      </c>
      <c r="C2854">
        <v>12</v>
      </c>
      <c r="D2854" t="s">
        <v>107</v>
      </c>
      <c r="E2854" s="1">
        <v>1</v>
      </c>
      <c r="F2854" s="1" t="s">
        <v>195</v>
      </c>
      <c r="G2854" s="1">
        <v>32</v>
      </c>
      <c r="H2854" s="1" t="s">
        <v>195</v>
      </c>
    </row>
    <row r="2855" spans="1:8">
      <c r="A2855">
        <v>172</v>
      </c>
      <c r="B2855" t="s">
        <v>595</v>
      </c>
      <c r="C2855">
        <v>12</v>
      </c>
      <c r="D2855" t="s">
        <v>107</v>
      </c>
      <c r="E2855" s="1">
        <v>1</v>
      </c>
      <c r="F2855" s="1">
        <v>43</v>
      </c>
      <c r="G2855" s="1">
        <v>40</v>
      </c>
      <c r="H2855" s="1">
        <v>43</v>
      </c>
    </row>
    <row r="2856" spans="1:8">
      <c r="A2856">
        <v>172</v>
      </c>
      <c r="B2856" t="s">
        <v>595</v>
      </c>
      <c r="C2856">
        <v>12</v>
      </c>
      <c r="D2856" t="s">
        <v>107</v>
      </c>
      <c r="E2856" s="1">
        <v>1</v>
      </c>
      <c r="F2856" s="1" t="s">
        <v>196</v>
      </c>
      <c r="G2856" s="1">
        <v>42</v>
      </c>
      <c r="H2856" s="1" t="s">
        <v>196</v>
      </c>
    </row>
    <row r="2857" spans="1:8">
      <c r="A2857">
        <v>172</v>
      </c>
      <c r="B2857" t="s">
        <v>595</v>
      </c>
      <c r="C2857">
        <v>12</v>
      </c>
      <c r="D2857" t="s">
        <v>107</v>
      </c>
      <c r="E2857" s="1">
        <v>1</v>
      </c>
      <c r="F2857" s="1">
        <v>44</v>
      </c>
      <c r="G2857" s="1">
        <v>50</v>
      </c>
      <c r="H2857" s="1">
        <v>44</v>
      </c>
    </row>
    <row r="2858" spans="1:8">
      <c r="A2858">
        <v>172</v>
      </c>
      <c r="B2858" t="s">
        <v>595</v>
      </c>
      <c r="C2858">
        <v>12</v>
      </c>
      <c r="D2858" t="s">
        <v>107</v>
      </c>
      <c r="E2858" s="1">
        <v>1</v>
      </c>
      <c r="F2858" s="1" t="s">
        <v>197</v>
      </c>
      <c r="G2858" s="1">
        <v>52</v>
      </c>
      <c r="H2858" s="1" t="s">
        <v>197</v>
      </c>
    </row>
    <row r="2859" spans="1:8">
      <c r="A2859">
        <v>172</v>
      </c>
      <c r="B2859" t="s">
        <v>595</v>
      </c>
      <c r="C2859">
        <v>12</v>
      </c>
      <c r="D2859" t="s">
        <v>107</v>
      </c>
      <c r="E2859" s="1">
        <v>1</v>
      </c>
      <c r="F2859" s="1">
        <v>45</v>
      </c>
      <c r="G2859" s="1">
        <v>60</v>
      </c>
      <c r="H2859" s="1">
        <v>45</v>
      </c>
    </row>
    <row r="2860" spans="1:8">
      <c r="A2860">
        <v>172</v>
      </c>
      <c r="B2860" t="s">
        <v>595</v>
      </c>
      <c r="C2860">
        <v>12</v>
      </c>
      <c r="D2860" t="s">
        <v>107</v>
      </c>
      <c r="E2860" s="1">
        <v>1</v>
      </c>
      <c r="F2860" s="1" t="s">
        <v>198</v>
      </c>
      <c r="G2860" s="1">
        <v>62</v>
      </c>
      <c r="H2860" s="1" t="s">
        <v>198</v>
      </c>
    </row>
    <row r="2861" spans="1:8">
      <c r="A2861">
        <v>172</v>
      </c>
      <c r="B2861" t="s">
        <v>595</v>
      </c>
      <c r="C2861">
        <v>12</v>
      </c>
      <c r="D2861" t="s">
        <v>107</v>
      </c>
      <c r="E2861" s="1">
        <v>1</v>
      </c>
      <c r="F2861" s="1" t="s">
        <v>199</v>
      </c>
      <c r="G2861" s="1">
        <v>72</v>
      </c>
      <c r="H2861" s="1" t="s">
        <v>199</v>
      </c>
    </row>
    <row r="2862" spans="1:8">
      <c r="A2862">
        <v>172</v>
      </c>
      <c r="B2862" t="s">
        <v>595</v>
      </c>
      <c r="C2862">
        <v>13</v>
      </c>
      <c r="D2862" t="s">
        <v>200</v>
      </c>
      <c r="E2862" s="1">
        <v>1</v>
      </c>
      <c r="F2862" s="1" t="s">
        <v>192</v>
      </c>
      <c r="G2862" s="1">
        <v>2</v>
      </c>
      <c r="H2862" s="1" t="s">
        <v>192</v>
      </c>
    </row>
    <row r="2863" spans="1:8">
      <c r="A2863">
        <v>172</v>
      </c>
      <c r="B2863" t="s">
        <v>595</v>
      </c>
      <c r="C2863">
        <v>13</v>
      </c>
      <c r="D2863" t="s">
        <v>200</v>
      </c>
      <c r="E2863" s="1">
        <v>1</v>
      </c>
      <c r="F2863" s="1">
        <v>40</v>
      </c>
      <c r="G2863" s="1">
        <v>10</v>
      </c>
      <c r="H2863" s="1">
        <v>40</v>
      </c>
    </row>
    <row r="2864" spans="1:8">
      <c r="A2864">
        <v>172</v>
      </c>
      <c r="B2864" t="s">
        <v>595</v>
      </c>
      <c r="C2864">
        <v>13</v>
      </c>
      <c r="D2864" t="s">
        <v>200</v>
      </c>
      <c r="E2864" s="1">
        <v>1</v>
      </c>
      <c r="F2864" s="1" t="s">
        <v>193</v>
      </c>
      <c r="G2864" s="1">
        <v>12</v>
      </c>
      <c r="H2864" s="1" t="s">
        <v>193</v>
      </c>
    </row>
    <row r="2865" spans="1:8">
      <c r="A2865">
        <v>172</v>
      </c>
      <c r="B2865" t="s">
        <v>595</v>
      </c>
      <c r="C2865">
        <v>13</v>
      </c>
      <c r="D2865" t="s">
        <v>200</v>
      </c>
      <c r="E2865" s="1">
        <v>1</v>
      </c>
      <c r="F2865" s="1">
        <v>41</v>
      </c>
      <c r="G2865" s="1">
        <v>20</v>
      </c>
      <c r="H2865" s="1">
        <v>41</v>
      </c>
    </row>
    <row r="2866" spans="1:8">
      <c r="A2866">
        <v>172</v>
      </c>
      <c r="B2866" t="s">
        <v>595</v>
      </c>
      <c r="C2866">
        <v>13</v>
      </c>
      <c r="D2866" t="s">
        <v>200</v>
      </c>
      <c r="E2866" s="1">
        <v>1</v>
      </c>
      <c r="F2866" s="1" t="s">
        <v>194</v>
      </c>
      <c r="G2866" s="1">
        <v>22</v>
      </c>
      <c r="H2866" s="1" t="s">
        <v>194</v>
      </c>
    </row>
    <row r="2867" spans="1:8">
      <c r="A2867">
        <v>172</v>
      </c>
      <c r="B2867" t="s">
        <v>595</v>
      </c>
      <c r="C2867">
        <v>13</v>
      </c>
      <c r="D2867" t="s">
        <v>200</v>
      </c>
      <c r="E2867" s="1">
        <v>1</v>
      </c>
      <c r="F2867" s="1">
        <v>42</v>
      </c>
      <c r="G2867" s="1">
        <v>30</v>
      </c>
      <c r="H2867" s="1">
        <v>42</v>
      </c>
    </row>
    <row r="2868" spans="1:8">
      <c r="A2868">
        <v>172</v>
      </c>
      <c r="B2868" t="s">
        <v>595</v>
      </c>
      <c r="C2868">
        <v>13</v>
      </c>
      <c r="D2868" t="s">
        <v>200</v>
      </c>
      <c r="E2868" s="1">
        <v>1</v>
      </c>
      <c r="F2868" s="1" t="s">
        <v>195</v>
      </c>
      <c r="G2868" s="1">
        <v>32</v>
      </c>
      <c r="H2868" s="1" t="s">
        <v>195</v>
      </c>
    </row>
    <row r="2869" spans="1:8">
      <c r="A2869">
        <v>172</v>
      </c>
      <c r="B2869" t="s">
        <v>595</v>
      </c>
      <c r="C2869">
        <v>13</v>
      </c>
      <c r="D2869" t="s">
        <v>200</v>
      </c>
      <c r="E2869" s="1">
        <v>1</v>
      </c>
      <c r="F2869" s="1">
        <v>43</v>
      </c>
      <c r="G2869" s="1">
        <v>40</v>
      </c>
      <c r="H2869" s="1">
        <v>43</v>
      </c>
    </row>
    <row r="2870" spans="1:8">
      <c r="A2870">
        <v>172</v>
      </c>
      <c r="B2870" t="s">
        <v>595</v>
      </c>
      <c r="C2870">
        <v>13</v>
      </c>
      <c r="D2870" t="s">
        <v>200</v>
      </c>
      <c r="E2870" s="1">
        <v>1</v>
      </c>
      <c r="F2870" s="1" t="s">
        <v>196</v>
      </c>
      <c r="G2870" s="1">
        <v>42</v>
      </c>
      <c r="H2870" s="1" t="s">
        <v>196</v>
      </c>
    </row>
    <row r="2871" spans="1:8">
      <c r="A2871">
        <v>172</v>
      </c>
      <c r="B2871" t="s">
        <v>595</v>
      </c>
      <c r="C2871">
        <v>13</v>
      </c>
      <c r="D2871" t="s">
        <v>200</v>
      </c>
      <c r="E2871" s="1">
        <v>1</v>
      </c>
      <c r="F2871" s="1">
        <v>44</v>
      </c>
      <c r="G2871" s="1">
        <v>50</v>
      </c>
      <c r="H2871" s="1">
        <v>44</v>
      </c>
    </row>
    <row r="2872" spans="1:8">
      <c r="A2872">
        <v>172</v>
      </c>
      <c r="B2872" t="s">
        <v>595</v>
      </c>
      <c r="C2872">
        <v>13</v>
      </c>
      <c r="D2872" t="s">
        <v>200</v>
      </c>
      <c r="E2872" s="1">
        <v>1</v>
      </c>
      <c r="F2872" s="1" t="s">
        <v>197</v>
      </c>
      <c r="G2872" s="1">
        <v>52</v>
      </c>
      <c r="H2872" s="1" t="s">
        <v>197</v>
      </c>
    </row>
    <row r="2873" spans="1:8">
      <c r="A2873">
        <v>172</v>
      </c>
      <c r="B2873" t="s">
        <v>595</v>
      </c>
      <c r="C2873">
        <v>13</v>
      </c>
      <c r="D2873" t="s">
        <v>200</v>
      </c>
      <c r="E2873" s="1">
        <v>1</v>
      </c>
      <c r="F2873" s="1" t="s">
        <v>198</v>
      </c>
      <c r="G2873" s="1">
        <v>62</v>
      </c>
      <c r="H2873" s="1" t="s">
        <v>198</v>
      </c>
    </row>
    <row r="2874" spans="1:8">
      <c r="A2874">
        <v>172</v>
      </c>
      <c r="B2874" t="s">
        <v>595</v>
      </c>
      <c r="C2874">
        <v>13</v>
      </c>
      <c r="D2874" t="s">
        <v>200</v>
      </c>
      <c r="E2874" s="1">
        <v>1</v>
      </c>
      <c r="F2874" s="1">
        <v>39</v>
      </c>
      <c r="H2874" s="1">
        <v>39</v>
      </c>
    </row>
    <row r="2875" spans="1:8">
      <c r="A2875">
        <v>172</v>
      </c>
      <c r="B2875" t="s">
        <v>595</v>
      </c>
      <c r="C2875">
        <v>13</v>
      </c>
      <c r="D2875" t="s">
        <v>200</v>
      </c>
      <c r="G2875" s="1">
        <v>95</v>
      </c>
    </row>
    <row r="2876" spans="1:8">
      <c r="A2876">
        <v>172</v>
      </c>
      <c r="B2876" t="s">
        <v>595</v>
      </c>
      <c r="C2876">
        <v>13</v>
      </c>
      <c r="D2876" t="s">
        <v>200</v>
      </c>
      <c r="G2876" s="1">
        <v>96</v>
      </c>
    </row>
    <row r="2877" spans="1:8">
      <c r="A2877">
        <v>172</v>
      </c>
      <c r="B2877" t="s">
        <v>595</v>
      </c>
      <c r="C2877">
        <v>57</v>
      </c>
      <c r="D2877" t="s">
        <v>183</v>
      </c>
      <c r="G2877" s="1">
        <v>50</v>
      </c>
    </row>
    <row r="2878" spans="1:8">
      <c r="A2878">
        <v>172</v>
      </c>
      <c r="B2878" t="s">
        <v>595</v>
      </c>
      <c r="C2878">
        <v>62</v>
      </c>
      <c r="D2878" t="s">
        <v>514</v>
      </c>
      <c r="E2878" s="1">
        <v>1</v>
      </c>
      <c r="F2878" s="1" t="s">
        <v>334</v>
      </c>
      <c r="G2878" s="1">
        <v>32</v>
      </c>
      <c r="H2878" s="1" t="s">
        <v>334</v>
      </c>
    </row>
    <row r="2879" spans="1:8">
      <c r="A2879">
        <v>172</v>
      </c>
      <c r="B2879" t="s">
        <v>595</v>
      </c>
      <c r="C2879">
        <v>62</v>
      </c>
      <c r="D2879" t="s">
        <v>514</v>
      </c>
      <c r="E2879" s="1">
        <v>1</v>
      </c>
      <c r="F2879" s="1">
        <v>10</v>
      </c>
      <c r="G2879" s="1">
        <v>40</v>
      </c>
      <c r="H2879" s="1">
        <v>10</v>
      </c>
    </row>
    <row r="2880" spans="1:8">
      <c r="A2880">
        <v>172</v>
      </c>
      <c r="B2880" t="s">
        <v>595</v>
      </c>
      <c r="C2880">
        <v>62</v>
      </c>
      <c r="D2880" t="s">
        <v>514</v>
      </c>
      <c r="E2880" s="1">
        <v>1</v>
      </c>
      <c r="F2880" s="1" t="s">
        <v>335</v>
      </c>
      <c r="G2880" s="1">
        <v>42</v>
      </c>
      <c r="H2880" s="1" t="s">
        <v>335</v>
      </c>
    </row>
    <row r="2881" spans="1:8">
      <c r="A2881">
        <v>172</v>
      </c>
      <c r="B2881" t="s">
        <v>595</v>
      </c>
      <c r="C2881">
        <v>62</v>
      </c>
      <c r="D2881" t="s">
        <v>514</v>
      </c>
      <c r="E2881" s="1">
        <v>1</v>
      </c>
      <c r="F2881" s="1">
        <v>12</v>
      </c>
      <c r="G2881" s="1">
        <v>60</v>
      </c>
      <c r="H2881" s="1">
        <v>12</v>
      </c>
    </row>
    <row r="2882" spans="1:8">
      <c r="A2882">
        <v>172</v>
      </c>
      <c r="B2882" t="s">
        <v>595</v>
      </c>
      <c r="C2882">
        <v>62</v>
      </c>
      <c r="D2882" t="s">
        <v>514</v>
      </c>
      <c r="E2882" s="1">
        <v>1</v>
      </c>
      <c r="F2882" s="1" t="s">
        <v>141</v>
      </c>
      <c r="G2882" s="1">
        <v>62</v>
      </c>
      <c r="H2882" s="1" t="s">
        <v>141</v>
      </c>
    </row>
    <row r="2883" spans="1:8">
      <c r="A2883">
        <v>172</v>
      </c>
      <c r="B2883" t="s">
        <v>595</v>
      </c>
      <c r="C2883">
        <v>62</v>
      </c>
      <c r="D2883" t="s">
        <v>514</v>
      </c>
      <c r="E2883" s="1">
        <v>1</v>
      </c>
      <c r="F2883" s="1" t="s">
        <v>144</v>
      </c>
      <c r="G2883" s="1">
        <v>72</v>
      </c>
      <c r="H2883" s="1" t="s">
        <v>144</v>
      </c>
    </row>
    <row r="2884" spans="1:8">
      <c r="A2884">
        <v>172</v>
      </c>
      <c r="B2884" t="s">
        <v>595</v>
      </c>
      <c r="C2884">
        <v>74</v>
      </c>
      <c r="D2884" t="s">
        <v>235</v>
      </c>
      <c r="E2884" s="1">
        <v>3</v>
      </c>
      <c r="F2884" s="1" t="s">
        <v>320</v>
      </c>
      <c r="G2884" s="1">
        <v>50</v>
      </c>
      <c r="H2884" s="1" t="s">
        <v>320</v>
      </c>
    </row>
    <row r="2885" spans="1:8">
      <c r="A2885">
        <v>175</v>
      </c>
      <c r="B2885" t="s">
        <v>596</v>
      </c>
      <c r="C2885">
        <v>1</v>
      </c>
      <c r="D2885" t="s">
        <v>137</v>
      </c>
      <c r="E2885" s="1">
        <v>1</v>
      </c>
      <c r="F2885" s="1" t="s">
        <v>144</v>
      </c>
      <c r="G2885" s="1">
        <v>62</v>
      </c>
      <c r="H2885" s="1" t="s">
        <v>144</v>
      </c>
    </row>
    <row r="2886" spans="1:8">
      <c r="A2886">
        <v>175</v>
      </c>
      <c r="B2886" t="s">
        <v>596</v>
      </c>
      <c r="C2886">
        <v>1</v>
      </c>
      <c r="D2886" t="s">
        <v>137</v>
      </c>
      <c r="E2886" s="1">
        <v>1</v>
      </c>
      <c r="F2886" s="1">
        <v>14</v>
      </c>
      <c r="G2886" s="1">
        <v>70</v>
      </c>
      <c r="H2886" s="1">
        <v>14</v>
      </c>
    </row>
    <row r="2887" spans="1:8">
      <c r="A2887">
        <v>175</v>
      </c>
      <c r="B2887" t="s">
        <v>596</v>
      </c>
      <c r="C2887">
        <v>1</v>
      </c>
      <c r="D2887" t="s">
        <v>137</v>
      </c>
      <c r="E2887" s="1">
        <v>1</v>
      </c>
      <c r="F2887" s="1" t="s">
        <v>147</v>
      </c>
      <c r="G2887" s="1">
        <v>72</v>
      </c>
      <c r="H2887" s="1" t="s">
        <v>147</v>
      </c>
    </row>
    <row r="2888" spans="1:8">
      <c r="A2888">
        <v>175</v>
      </c>
      <c r="B2888" t="s">
        <v>596</v>
      </c>
      <c r="C2888">
        <v>1</v>
      </c>
      <c r="D2888" t="s">
        <v>137</v>
      </c>
      <c r="E2888" s="1">
        <v>1</v>
      </c>
      <c r="F2888" s="1" t="s">
        <v>150</v>
      </c>
      <c r="G2888" s="1">
        <v>82</v>
      </c>
      <c r="H2888" s="1" t="s">
        <v>150</v>
      </c>
    </row>
    <row r="2889" spans="1:8">
      <c r="A2889">
        <v>175</v>
      </c>
      <c r="B2889" t="s">
        <v>596</v>
      </c>
      <c r="C2889">
        <v>1</v>
      </c>
      <c r="D2889" t="s">
        <v>137</v>
      </c>
      <c r="E2889" s="1">
        <v>1</v>
      </c>
      <c r="F2889" s="1">
        <v>16</v>
      </c>
      <c r="G2889" s="1">
        <v>90</v>
      </c>
      <c r="H2889" s="1">
        <v>16</v>
      </c>
    </row>
    <row r="2890" spans="1:8">
      <c r="A2890">
        <v>175</v>
      </c>
      <c r="B2890" t="s">
        <v>596</v>
      </c>
      <c r="C2890">
        <v>1</v>
      </c>
      <c r="D2890" t="s">
        <v>137</v>
      </c>
      <c r="E2890" s="1">
        <v>1</v>
      </c>
      <c r="F2890" s="1" t="s">
        <v>153</v>
      </c>
      <c r="G2890" s="1">
        <v>92</v>
      </c>
      <c r="H2890" s="1" t="s">
        <v>153</v>
      </c>
    </row>
    <row r="2891" spans="1:8">
      <c r="A2891">
        <v>175</v>
      </c>
      <c r="B2891" t="s">
        <v>596</v>
      </c>
      <c r="C2891">
        <v>1</v>
      </c>
      <c r="D2891" t="s">
        <v>137</v>
      </c>
      <c r="E2891" s="1">
        <v>1</v>
      </c>
      <c r="F2891" s="1">
        <v>17</v>
      </c>
      <c r="G2891" s="1">
        <v>94</v>
      </c>
      <c r="H2891" s="1">
        <v>17</v>
      </c>
    </row>
    <row r="2892" spans="1:8">
      <c r="A2892">
        <v>175</v>
      </c>
      <c r="B2892" t="s">
        <v>596</v>
      </c>
      <c r="C2892">
        <v>1</v>
      </c>
      <c r="D2892" t="s">
        <v>137</v>
      </c>
      <c r="E2892" s="1">
        <v>1</v>
      </c>
      <c r="F2892" s="1" t="s">
        <v>156</v>
      </c>
      <c r="G2892" s="1">
        <v>96</v>
      </c>
      <c r="H2892" s="1" t="s">
        <v>156</v>
      </c>
    </row>
    <row r="2893" spans="1:8">
      <c r="A2893">
        <v>175</v>
      </c>
      <c r="B2893" t="s">
        <v>596</v>
      </c>
      <c r="C2893">
        <v>1</v>
      </c>
      <c r="D2893" t="s">
        <v>137</v>
      </c>
      <c r="E2893" s="1">
        <v>2</v>
      </c>
      <c r="F2893" s="1" t="s">
        <v>159</v>
      </c>
      <c r="G2893" s="1">
        <v>2</v>
      </c>
      <c r="H2893" s="1" t="s">
        <v>159</v>
      </c>
    </row>
    <row r="2894" spans="1:8">
      <c r="A2894">
        <v>175</v>
      </c>
      <c r="B2894" t="s">
        <v>596</v>
      </c>
      <c r="C2894">
        <v>1</v>
      </c>
      <c r="D2894" t="s">
        <v>137</v>
      </c>
      <c r="E2894" s="1">
        <v>2</v>
      </c>
      <c r="F2894" s="1">
        <v>19</v>
      </c>
      <c r="G2894" s="1">
        <v>10</v>
      </c>
      <c r="H2894" s="1">
        <v>19</v>
      </c>
    </row>
    <row r="2895" spans="1:8">
      <c r="A2895">
        <v>175</v>
      </c>
      <c r="B2895" t="s">
        <v>596</v>
      </c>
      <c r="C2895">
        <v>1</v>
      </c>
      <c r="D2895" t="s">
        <v>137</v>
      </c>
      <c r="E2895" s="1">
        <v>2</v>
      </c>
      <c r="F2895" s="1" t="s">
        <v>162</v>
      </c>
      <c r="G2895" s="1">
        <v>12</v>
      </c>
      <c r="H2895" s="1" t="s">
        <v>162</v>
      </c>
    </row>
    <row r="2896" spans="1:8">
      <c r="A2896">
        <v>175</v>
      </c>
      <c r="B2896" t="s">
        <v>596</v>
      </c>
      <c r="C2896">
        <v>1</v>
      </c>
      <c r="D2896" t="s">
        <v>137</v>
      </c>
      <c r="E2896" s="1">
        <v>2</v>
      </c>
      <c r="F2896" s="1">
        <v>20</v>
      </c>
      <c r="G2896" s="1">
        <v>20</v>
      </c>
      <c r="H2896" s="1">
        <v>20</v>
      </c>
    </row>
    <row r="2897" spans="1:8">
      <c r="A2897">
        <v>175</v>
      </c>
      <c r="B2897" t="s">
        <v>596</v>
      </c>
      <c r="C2897">
        <v>1</v>
      </c>
      <c r="D2897" t="s">
        <v>137</v>
      </c>
      <c r="E2897" s="1">
        <v>2</v>
      </c>
      <c r="F2897" s="1" t="s">
        <v>165</v>
      </c>
      <c r="G2897" s="1">
        <v>22</v>
      </c>
      <c r="H2897" s="1" t="s">
        <v>165</v>
      </c>
    </row>
    <row r="2898" spans="1:8">
      <c r="A2898">
        <v>175</v>
      </c>
      <c r="B2898" t="s">
        <v>596</v>
      </c>
      <c r="C2898">
        <v>1</v>
      </c>
      <c r="D2898" t="s">
        <v>137</v>
      </c>
      <c r="E2898" s="1">
        <v>2</v>
      </c>
      <c r="F2898" s="1">
        <v>21</v>
      </c>
      <c r="G2898" s="1">
        <v>30</v>
      </c>
      <c r="H2898" s="1">
        <v>21</v>
      </c>
    </row>
    <row r="2899" spans="1:8">
      <c r="A2899">
        <v>175</v>
      </c>
      <c r="B2899" t="s">
        <v>596</v>
      </c>
      <c r="C2899">
        <v>1</v>
      </c>
      <c r="D2899" t="s">
        <v>137</v>
      </c>
      <c r="E2899" s="1">
        <v>2</v>
      </c>
      <c r="F2899" s="1" t="s">
        <v>168</v>
      </c>
      <c r="G2899" s="1">
        <v>32</v>
      </c>
      <c r="H2899" s="1" t="s">
        <v>168</v>
      </c>
    </row>
    <row r="2900" spans="1:8">
      <c r="A2900">
        <v>175</v>
      </c>
      <c r="B2900" t="s">
        <v>596</v>
      </c>
      <c r="C2900">
        <v>1</v>
      </c>
      <c r="D2900" t="s">
        <v>137</v>
      </c>
      <c r="E2900" s="1">
        <v>2</v>
      </c>
      <c r="F2900" s="1">
        <v>22</v>
      </c>
      <c r="G2900" s="1">
        <v>40</v>
      </c>
      <c r="H2900" s="1">
        <v>22</v>
      </c>
    </row>
    <row r="2901" spans="1:8">
      <c r="A2901">
        <v>175</v>
      </c>
      <c r="B2901" t="s">
        <v>596</v>
      </c>
      <c r="C2901">
        <v>1</v>
      </c>
      <c r="D2901" t="s">
        <v>137</v>
      </c>
      <c r="E2901" s="1">
        <v>2</v>
      </c>
      <c r="F2901" s="1" t="s">
        <v>171</v>
      </c>
      <c r="G2901" s="1">
        <v>42</v>
      </c>
      <c r="H2901" s="1" t="s">
        <v>171</v>
      </c>
    </row>
    <row r="2902" spans="1:8">
      <c r="A2902">
        <v>175</v>
      </c>
      <c r="B2902" t="s">
        <v>596</v>
      </c>
      <c r="C2902">
        <v>1</v>
      </c>
      <c r="D2902" t="s">
        <v>137</v>
      </c>
      <c r="E2902" s="1">
        <v>2</v>
      </c>
      <c r="F2902" s="1">
        <v>23</v>
      </c>
      <c r="G2902" s="1">
        <v>50</v>
      </c>
      <c r="H2902" s="1">
        <v>23</v>
      </c>
    </row>
    <row r="2903" spans="1:8">
      <c r="A2903">
        <v>175</v>
      </c>
      <c r="B2903" t="s">
        <v>596</v>
      </c>
      <c r="C2903">
        <v>1</v>
      </c>
      <c r="D2903" t="s">
        <v>137</v>
      </c>
      <c r="E2903" s="1">
        <v>2</v>
      </c>
      <c r="F2903" s="1" t="s">
        <v>174</v>
      </c>
      <c r="G2903" s="1">
        <v>52</v>
      </c>
      <c r="H2903" s="1" t="s">
        <v>174</v>
      </c>
    </row>
    <row r="2904" spans="1:8">
      <c r="A2904">
        <v>175</v>
      </c>
      <c r="B2904" t="s">
        <v>596</v>
      </c>
      <c r="C2904">
        <v>1</v>
      </c>
      <c r="D2904" t="s">
        <v>137</v>
      </c>
      <c r="E2904" s="1">
        <v>2</v>
      </c>
      <c r="F2904" s="1">
        <v>24</v>
      </c>
      <c r="G2904" s="1">
        <v>60</v>
      </c>
      <c r="H2904" s="1">
        <v>24</v>
      </c>
    </row>
    <row r="2905" spans="1:8">
      <c r="A2905">
        <v>175</v>
      </c>
      <c r="B2905" t="s">
        <v>596</v>
      </c>
      <c r="C2905">
        <v>1</v>
      </c>
      <c r="D2905" t="s">
        <v>137</v>
      </c>
      <c r="E2905" s="1">
        <v>2</v>
      </c>
      <c r="F2905" s="1" t="s">
        <v>177</v>
      </c>
      <c r="G2905" s="1">
        <v>62</v>
      </c>
      <c r="H2905" s="1" t="s">
        <v>177</v>
      </c>
    </row>
    <row r="2906" spans="1:8">
      <c r="A2906">
        <v>175</v>
      </c>
      <c r="B2906" t="s">
        <v>596</v>
      </c>
      <c r="C2906">
        <v>1</v>
      </c>
      <c r="D2906" t="s">
        <v>137</v>
      </c>
      <c r="E2906" s="1">
        <v>2</v>
      </c>
      <c r="F2906" s="1">
        <v>18</v>
      </c>
      <c r="H2906" s="1">
        <v>18</v>
      </c>
    </row>
    <row r="2907" spans="1:8">
      <c r="A2907">
        <v>175</v>
      </c>
      <c r="B2907" t="s">
        <v>596</v>
      </c>
      <c r="C2907">
        <v>5</v>
      </c>
      <c r="D2907" t="s">
        <v>183</v>
      </c>
      <c r="G2907" s="1">
        <v>60</v>
      </c>
    </row>
    <row r="2908" spans="1:8">
      <c r="A2908">
        <v>175</v>
      </c>
      <c r="B2908" t="s">
        <v>596</v>
      </c>
      <c r="C2908">
        <v>6</v>
      </c>
      <c r="D2908" t="s">
        <v>184</v>
      </c>
      <c r="E2908" s="1">
        <v>1</v>
      </c>
      <c r="F2908" s="1" t="s">
        <v>290</v>
      </c>
      <c r="G2908" s="1">
        <v>10</v>
      </c>
      <c r="H2908" s="1" t="s">
        <v>290</v>
      </c>
    </row>
    <row r="2909" spans="1:8">
      <c r="A2909">
        <v>175</v>
      </c>
      <c r="B2909" t="s">
        <v>596</v>
      </c>
      <c r="C2909">
        <v>6</v>
      </c>
      <c r="D2909" t="s">
        <v>184</v>
      </c>
      <c r="G2909" s="1">
        <v>63</v>
      </c>
    </row>
    <row r="2910" spans="1:8">
      <c r="A2910">
        <v>175</v>
      </c>
      <c r="B2910" t="s">
        <v>596</v>
      </c>
      <c r="C2910">
        <v>11</v>
      </c>
      <c r="D2910" t="s">
        <v>186</v>
      </c>
      <c r="E2910" s="1">
        <v>1</v>
      </c>
      <c r="F2910" s="1" t="s">
        <v>192</v>
      </c>
      <c r="G2910" s="1">
        <v>2</v>
      </c>
      <c r="H2910" s="1" t="s">
        <v>192</v>
      </c>
    </row>
    <row r="2911" spans="1:8">
      <c r="A2911">
        <v>175</v>
      </c>
      <c r="B2911" t="s">
        <v>596</v>
      </c>
      <c r="C2911">
        <v>11</v>
      </c>
      <c r="D2911" t="s">
        <v>186</v>
      </c>
      <c r="E2911" s="1">
        <v>1</v>
      </c>
      <c r="F2911" s="1">
        <v>40</v>
      </c>
      <c r="G2911" s="1">
        <v>10</v>
      </c>
      <c r="H2911" s="1">
        <v>40</v>
      </c>
    </row>
    <row r="2912" spans="1:8">
      <c r="A2912">
        <v>175</v>
      </c>
      <c r="B2912" t="s">
        <v>596</v>
      </c>
      <c r="C2912">
        <v>11</v>
      </c>
      <c r="D2912" t="s">
        <v>186</v>
      </c>
      <c r="E2912" s="1">
        <v>1</v>
      </c>
      <c r="F2912" s="1" t="s">
        <v>193</v>
      </c>
      <c r="G2912" s="1">
        <v>12</v>
      </c>
      <c r="H2912" s="1" t="s">
        <v>193</v>
      </c>
    </row>
    <row r="2913" spans="1:8">
      <c r="A2913">
        <v>175</v>
      </c>
      <c r="B2913" t="s">
        <v>596</v>
      </c>
      <c r="C2913">
        <v>11</v>
      </c>
      <c r="D2913" t="s">
        <v>186</v>
      </c>
      <c r="E2913" s="1">
        <v>1</v>
      </c>
      <c r="F2913" s="1">
        <v>41</v>
      </c>
      <c r="G2913" s="1">
        <v>20</v>
      </c>
      <c r="H2913" s="1">
        <v>41</v>
      </c>
    </row>
    <row r="2914" spans="1:8">
      <c r="A2914">
        <v>175</v>
      </c>
      <c r="B2914" t="s">
        <v>596</v>
      </c>
      <c r="C2914">
        <v>11</v>
      </c>
      <c r="D2914" t="s">
        <v>186</v>
      </c>
      <c r="E2914" s="1">
        <v>1</v>
      </c>
      <c r="F2914" s="1" t="s">
        <v>194</v>
      </c>
      <c r="G2914" s="1">
        <v>22</v>
      </c>
      <c r="H2914" s="1" t="s">
        <v>194</v>
      </c>
    </row>
    <row r="2915" spans="1:8">
      <c r="A2915">
        <v>175</v>
      </c>
      <c r="B2915" t="s">
        <v>596</v>
      </c>
      <c r="C2915">
        <v>11</v>
      </c>
      <c r="D2915" t="s">
        <v>186</v>
      </c>
      <c r="E2915" s="1">
        <v>1</v>
      </c>
      <c r="F2915" s="1">
        <v>42</v>
      </c>
      <c r="G2915" s="1">
        <v>30</v>
      </c>
      <c r="H2915" s="1">
        <v>42</v>
      </c>
    </row>
    <row r="2916" spans="1:8">
      <c r="A2916">
        <v>175</v>
      </c>
      <c r="B2916" t="s">
        <v>596</v>
      </c>
      <c r="C2916">
        <v>11</v>
      </c>
      <c r="D2916" t="s">
        <v>186</v>
      </c>
      <c r="E2916" s="1">
        <v>1</v>
      </c>
      <c r="F2916" s="1" t="s">
        <v>195</v>
      </c>
      <c r="G2916" s="1">
        <v>32</v>
      </c>
      <c r="H2916" s="1" t="s">
        <v>195</v>
      </c>
    </row>
    <row r="2917" spans="1:8">
      <c r="A2917">
        <v>175</v>
      </c>
      <c r="B2917" t="s">
        <v>596</v>
      </c>
      <c r="C2917">
        <v>11</v>
      </c>
      <c r="D2917" t="s">
        <v>186</v>
      </c>
      <c r="E2917" s="1">
        <v>1</v>
      </c>
      <c r="F2917" s="1">
        <v>43</v>
      </c>
      <c r="G2917" s="1">
        <v>40</v>
      </c>
      <c r="H2917" s="1">
        <v>43</v>
      </c>
    </row>
    <row r="2918" spans="1:8">
      <c r="A2918">
        <v>175</v>
      </c>
      <c r="B2918" t="s">
        <v>596</v>
      </c>
      <c r="C2918">
        <v>11</v>
      </c>
      <c r="D2918" t="s">
        <v>186</v>
      </c>
      <c r="E2918" s="1">
        <v>1</v>
      </c>
      <c r="F2918" s="1" t="s">
        <v>196</v>
      </c>
      <c r="G2918" s="1">
        <v>42</v>
      </c>
      <c r="H2918" s="1" t="s">
        <v>196</v>
      </c>
    </row>
    <row r="2919" spans="1:8">
      <c r="A2919">
        <v>175</v>
      </c>
      <c r="B2919" t="s">
        <v>596</v>
      </c>
      <c r="C2919">
        <v>11</v>
      </c>
      <c r="D2919" t="s">
        <v>186</v>
      </c>
      <c r="E2919" s="1">
        <v>1</v>
      </c>
      <c r="F2919" s="1">
        <v>44</v>
      </c>
      <c r="G2919" s="1">
        <v>50</v>
      </c>
      <c r="H2919" s="1">
        <v>44</v>
      </c>
    </row>
    <row r="2920" spans="1:8">
      <c r="A2920">
        <v>175</v>
      </c>
      <c r="B2920" t="s">
        <v>596</v>
      </c>
      <c r="C2920">
        <v>11</v>
      </c>
      <c r="D2920" t="s">
        <v>186</v>
      </c>
      <c r="E2920" s="1">
        <v>1</v>
      </c>
      <c r="F2920" s="1" t="s">
        <v>197</v>
      </c>
      <c r="G2920" s="1">
        <v>52</v>
      </c>
      <c r="H2920" s="1" t="s">
        <v>197</v>
      </c>
    </row>
    <row r="2921" spans="1:8">
      <c r="A2921">
        <v>175</v>
      </c>
      <c r="B2921" t="s">
        <v>596</v>
      </c>
      <c r="C2921">
        <v>11</v>
      </c>
      <c r="D2921" t="s">
        <v>186</v>
      </c>
      <c r="E2921" s="1">
        <v>1</v>
      </c>
      <c r="F2921" s="1">
        <v>45</v>
      </c>
      <c r="G2921" s="1">
        <v>60</v>
      </c>
      <c r="H2921" s="1">
        <v>45</v>
      </c>
    </row>
    <row r="2922" spans="1:8">
      <c r="A2922">
        <v>175</v>
      </c>
      <c r="B2922" t="s">
        <v>596</v>
      </c>
      <c r="C2922">
        <v>11</v>
      </c>
      <c r="D2922" t="s">
        <v>186</v>
      </c>
      <c r="E2922" s="1">
        <v>1</v>
      </c>
      <c r="F2922" s="1" t="s">
        <v>198</v>
      </c>
      <c r="G2922" s="1">
        <v>62</v>
      </c>
      <c r="H2922" s="1" t="s">
        <v>198</v>
      </c>
    </row>
    <row r="2923" spans="1:8">
      <c r="A2923">
        <v>175</v>
      </c>
      <c r="B2923" t="s">
        <v>596</v>
      </c>
      <c r="C2923">
        <v>15</v>
      </c>
      <c r="D2923" t="s">
        <v>201</v>
      </c>
      <c r="E2923" s="1">
        <v>4</v>
      </c>
      <c r="F2923" s="1" t="s">
        <v>286</v>
      </c>
      <c r="G2923" s="1">
        <v>70</v>
      </c>
      <c r="H2923" s="1" t="s">
        <v>286</v>
      </c>
    </row>
    <row r="2924" spans="1:8">
      <c r="A2924">
        <v>175</v>
      </c>
      <c r="B2924" t="s">
        <v>596</v>
      </c>
      <c r="C2924">
        <v>16</v>
      </c>
      <c r="D2924" t="s">
        <v>202</v>
      </c>
      <c r="E2924" s="1">
        <v>1</v>
      </c>
      <c r="F2924" s="1" t="s">
        <v>193</v>
      </c>
      <c r="G2924" s="1">
        <v>12</v>
      </c>
      <c r="H2924" s="1" t="s">
        <v>193</v>
      </c>
    </row>
    <row r="2925" spans="1:8">
      <c r="A2925">
        <v>175</v>
      </c>
      <c r="B2925" t="s">
        <v>596</v>
      </c>
      <c r="C2925">
        <v>16</v>
      </c>
      <c r="D2925" t="s">
        <v>202</v>
      </c>
      <c r="E2925" s="1">
        <v>1</v>
      </c>
      <c r="F2925" s="1">
        <v>41</v>
      </c>
      <c r="G2925" s="1">
        <v>20</v>
      </c>
      <c r="H2925" s="1">
        <v>41</v>
      </c>
    </row>
    <row r="2926" spans="1:8">
      <c r="A2926">
        <v>175</v>
      </c>
      <c r="B2926" t="s">
        <v>596</v>
      </c>
      <c r="C2926">
        <v>16</v>
      </c>
      <c r="D2926" t="s">
        <v>202</v>
      </c>
      <c r="E2926" s="1">
        <v>1</v>
      </c>
      <c r="F2926" s="1">
        <v>42</v>
      </c>
      <c r="G2926" s="1">
        <v>30</v>
      </c>
      <c r="H2926" s="1">
        <v>42</v>
      </c>
    </row>
    <row r="2927" spans="1:8">
      <c r="A2927">
        <v>175</v>
      </c>
      <c r="B2927" t="s">
        <v>596</v>
      </c>
      <c r="C2927">
        <v>16</v>
      </c>
      <c r="D2927" t="s">
        <v>202</v>
      </c>
      <c r="E2927" s="1">
        <v>1</v>
      </c>
      <c r="F2927" s="1" t="s">
        <v>195</v>
      </c>
      <c r="G2927" s="1">
        <v>32</v>
      </c>
      <c r="H2927" s="1" t="s">
        <v>195</v>
      </c>
    </row>
    <row r="2928" spans="1:8">
      <c r="A2928">
        <v>175</v>
      </c>
      <c r="B2928" t="s">
        <v>596</v>
      </c>
      <c r="C2928">
        <v>16</v>
      </c>
      <c r="D2928" t="s">
        <v>202</v>
      </c>
      <c r="E2928" s="1">
        <v>1</v>
      </c>
      <c r="F2928" s="1" t="s">
        <v>196</v>
      </c>
      <c r="G2928" s="1">
        <v>42</v>
      </c>
      <c r="H2928" s="1" t="s">
        <v>196</v>
      </c>
    </row>
    <row r="2929" spans="1:8">
      <c r="A2929">
        <v>175</v>
      </c>
      <c r="B2929" t="s">
        <v>596</v>
      </c>
      <c r="C2929">
        <v>16</v>
      </c>
      <c r="D2929" t="s">
        <v>202</v>
      </c>
      <c r="E2929" s="1">
        <v>1</v>
      </c>
      <c r="F2929" s="1">
        <v>44</v>
      </c>
      <c r="G2929" s="1">
        <v>50</v>
      </c>
      <c r="H2929" s="1">
        <v>44</v>
      </c>
    </row>
    <row r="2930" spans="1:8">
      <c r="A2930">
        <v>175</v>
      </c>
      <c r="B2930" t="s">
        <v>596</v>
      </c>
      <c r="C2930">
        <v>16</v>
      </c>
      <c r="D2930" t="s">
        <v>202</v>
      </c>
      <c r="E2930" s="1">
        <v>1</v>
      </c>
      <c r="F2930" s="1" t="s">
        <v>197</v>
      </c>
      <c r="G2930" s="1">
        <v>52</v>
      </c>
      <c r="H2930" s="1" t="s">
        <v>197</v>
      </c>
    </row>
    <row r="2931" spans="1:8">
      <c r="A2931">
        <v>175</v>
      </c>
      <c r="B2931" t="s">
        <v>596</v>
      </c>
      <c r="C2931">
        <v>16</v>
      </c>
      <c r="D2931" t="s">
        <v>202</v>
      </c>
      <c r="E2931" s="1">
        <v>1</v>
      </c>
      <c r="F2931" s="1">
        <v>45</v>
      </c>
      <c r="G2931" s="1">
        <v>60</v>
      </c>
      <c r="H2931" s="1">
        <v>45</v>
      </c>
    </row>
    <row r="2932" spans="1:8">
      <c r="A2932">
        <v>175</v>
      </c>
      <c r="B2932" t="s">
        <v>596</v>
      </c>
      <c r="C2932">
        <v>16</v>
      </c>
      <c r="D2932" t="s">
        <v>202</v>
      </c>
      <c r="E2932" s="1">
        <v>1</v>
      </c>
      <c r="F2932" s="1" t="s">
        <v>198</v>
      </c>
      <c r="G2932" s="1">
        <v>62</v>
      </c>
      <c r="H2932" s="1" t="s">
        <v>198</v>
      </c>
    </row>
    <row r="2933" spans="1:8">
      <c r="A2933">
        <v>175</v>
      </c>
      <c r="B2933" t="s">
        <v>596</v>
      </c>
      <c r="C2933">
        <v>21</v>
      </c>
      <c r="D2933" t="s">
        <v>205</v>
      </c>
      <c r="E2933" s="1">
        <v>1</v>
      </c>
      <c r="F2933" s="1" t="s">
        <v>330</v>
      </c>
      <c r="G2933" s="1">
        <v>42</v>
      </c>
      <c r="H2933" s="1" t="s">
        <v>330</v>
      </c>
    </row>
    <row r="2934" spans="1:8">
      <c r="A2934">
        <v>175</v>
      </c>
      <c r="B2934" t="s">
        <v>596</v>
      </c>
      <c r="C2934">
        <v>21</v>
      </c>
      <c r="D2934" t="s">
        <v>205</v>
      </c>
      <c r="E2934" s="1">
        <v>1</v>
      </c>
      <c r="F2934" s="1" t="s">
        <v>331</v>
      </c>
      <c r="G2934" s="1">
        <v>50</v>
      </c>
      <c r="H2934" s="1" t="s">
        <v>331</v>
      </c>
    </row>
    <row r="2935" spans="1:8">
      <c r="A2935">
        <v>175</v>
      </c>
      <c r="B2935" t="s">
        <v>596</v>
      </c>
      <c r="C2935">
        <v>21</v>
      </c>
      <c r="D2935" t="s">
        <v>205</v>
      </c>
      <c r="E2935" s="1">
        <v>1</v>
      </c>
      <c r="F2935" s="1" t="s">
        <v>288</v>
      </c>
      <c r="G2935" s="1">
        <v>62</v>
      </c>
      <c r="H2935" s="1" t="s">
        <v>288</v>
      </c>
    </row>
    <row r="2936" spans="1:8">
      <c r="A2936">
        <v>175</v>
      </c>
      <c r="B2936" t="s">
        <v>596</v>
      </c>
      <c r="C2936">
        <v>24</v>
      </c>
      <c r="D2936" t="s">
        <v>208</v>
      </c>
      <c r="E2936" s="1">
        <v>1</v>
      </c>
      <c r="F2936" s="1" t="s">
        <v>347</v>
      </c>
      <c r="G2936" s="1">
        <v>30</v>
      </c>
      <c r="H2936" s="1" t="s">
        <v>347</v>
      </c>
    </row>
    <row r="2937" spans="1:8">
      <c r="A2937">
        <v>175</v>
      </c>
      <c r="B2937" t="s">
        <v>596</v>
      </c>
      <c r="C2937">
        <v>27</v>
      </c>
      <c r="D2937" t="s">
        <v>210</v>
      </c>
      <c r="E2937" s="1">
        <v>1</v>
      </c>
      <c r="F2937" s="1">
        <v>45</v>
      </c>
      <c r="G2937" s="1">
        <v>60</v>
      </c>
      <c r="H2937" s="1">
        <v>45</v>
      </c>
    </row>
    <row r="2938" spans="1:8">
      <c r="A2938">
        <v>175</v>
      </c>
      <c r="B2938" t="s">
        <v>596</v>
      </c>
      <c r="C2938">
        <v>31</v>
      </c>
      <c r="D2938" t="s">
        <v>110</v>
      </c>
      <c r="E2938" s="1">
        <v>1</v>
      </c>
      <c r="F2938" s="1" t="s">
        <v>335</v>
      </c>
      <c r="G2938" s="1">
        <v>22</v>
      </c>
      <c r="H2938" s="1" t="s">
        <v>335</v>
      </c>
    </row>
    <row r="2939" spans="1:8">
      <c r="A2939">
        <v>175</v>
      </c>
      <c r="B2939" t="s">
        <v>596</v>
      </c>
      <c r="C2939">
        <v>57</v>
      </c>
      <c r="D2939" t="s">
        <v>183</v>
      </c>
      <c r="G2939" s="1">
        <v>40</v>
      </c>
    </row>
    <row r="2940" spans="1:8">
      <c r="A2940">
        <v>175</v>
      </c>
      <c r="B2940" t="s">
        <v>596</v>
      </c>
      <c r="C2940">
        <v>57</v>
      </c>
      <c r="D2940" t="s">
        <v>183</v>
      </c>
      <c r="G2940" s="1">
        <v>50</v>
      </c>
    </row>
    <row r="2941" spans="1:8">
      <c r="A2941">
        <v>175</v>
      </c>
      <c r="B2941" t="s">
        <v>596</v>
      </c>
      <c r="C2941">
        <v>57</v>
      </c>
      <c r="D2941" t="s">
        <v>183</v>
      </c>
      <c r="G2941" s="1">
        <v>70</v>
      </c>
    </row>
    <row r="2942" spans="1:8">
      <c r="A2942">
        <v>175</v>
      </c>
      <c r="B2942" t="s">
        <v>596</v>
      </c>
      <c r="C2942">
        <v>59</v>
      </c>
      <c r="D2942" t="s">
        <v>227</v>
      </c>
      <c r="E2942" s="1">
        <v>3</v>
      </c>
      <c r="F2942" s="1" t="s">
        <v>295</v>
      </c>
      <c r="G2942" s="1">
        <v>23</v>
      </c>
      <c r="H2942" s="1" t="s">
        <v>295</v>
      </c>
    </row>
    <row r="2943" spans="1:8">
      <c r="A2943">
        <v>175</v>
      </c>
      <c r="B2943" t="s">
        <v>596</v>
      </c>
      <c r="C2943">
        <v>59</v>
      </c>
      <c r="D2943" t="s">
        <v>227</v>
      </c>
      <c r="G2943" s="1">
        <v>23</v>
      </c>
    </row>
    <row r="2944" spans="1:8">
      <c r="A2944">
        <v>175</v>
      </c>
      <c r="B2944" t="s">
        <v>596</v>
      </c>
      <c r="C2944">
        <v>74</v>
      </c>
      <c r="D2944" t="s">
        <v>235</v>
      </c>
      <c r="E2944" s="1">
        <v>3</v>
      </c>
      <c r="F2944" s="1" t="s">
        <v>320</v>
      </c>
      <c r="G2944" s="1">
        <v>50</v>
      </c>
      <c r="H2944" s="1" t="s">
        <v>320</v>
      </c>
    </row>
    <row r="2945" spans="1:8">
      <c r="A2945">
        <v>175</v>
      </c>
      <c r="B2945" t="s">
        <v>596</v>
      </c>
      <c r="C2945">
        <v>74</v>
      </c>
      <c r="D2945" t="s">
        <v>235</v>
      </c>
      <c r="E2945" s="1">
        <v>3</v>
      </c>
      <c r="F2945" s="1" t="s">
        <v>321</v>
      </c>
      <c r="G2945" s="1">
        <v>60</v>
      </c>
      <c r="H2945" s="1" t="s">
        <v>321</v>
      </c>
    </row>
    <row r="2946" spans="1:8">
      <c r="A2946">
        <v>180</v>
      </c>
      <c r="B2946" t="s">
        <v>597</v>
      </c>
      <c r="C2946">
        <v>1</v>
      </c>
      <c r="D2946" t="s">
        <v>137</v>
      </c>
      <c r="E2946" s="1">
        <v>1</v>
      </c>
      <c r="F2946" s="1" t="s">
        <v>144</v>
      </c>
      <c r="G2946" s="1">
        <v>62</v>
      </c>
      <c r="H2946" s="1" t="s">
        <v>144</v>
      </c>
    </row>
    <row r="2947" spans="1:8">
      <c r="A2947">
        <v>180</v>
      </c>
      <c r="B2947" t="s">
        <v>597</v>
      </c>
      <c r="C2947">
        <v>1</v>
      </c>
      <c r="D2947" t="s">
        <v>137</v>
      </c>
      <c r="E2947" s="1">
        <v>1</v>
      </c>
      <c r="F2947" s="1">
        <v>14</v>
      </c>
      <c r="G2947" s="1">
        <v>70</v>
      </c>
      <c r="H2947" s="1">
        <v>14</v>
      </c>
    </row>
    <row r="2948" spans="1:8">
      <c r="A2948">
        <v>180</v>
      </c>
      <c r="B2948" t="s">
        <v>597</v>
      </c>
      <c r="C2948">
        <v>1</v>
      </c>
      <c r="D2948" t="s">
        <v>137</v>
      </c>
      <c r="E2948" s="1">
        <v>1</v>
      </c>
      <c r="F2948" s="1">
        <v>15</v>
      </c>
      <c r="G2948" s="1">
        <v>80</v>
      </c>
      <c r="H2948" s="1">
        <v>15</v>
      </c>
    </row>
    <row r="2949" spans="1:8">
      <c r="A2949">
        <v>180</v>
      </c>
      <c r="B2949" t="s">
        <v>597</v>
      </c>
      <c r="C2949">
        <v>1</v>
      </c>
      <c r="D2949" t="s">
        <v>137</v>
      </c>
      <c r="E2949" s="1">
        <v>1</v>
      </c>
      <c r="F2949" s="1" t="s">
        <v>150</v>
      </c>
      <c r="G2949" s="1">
        <v>82</v>
      </c>
      <c r="H2949" s="1" t="s">
        <v>150</v>
      </c>
    </row>
    <row r="2950" spans="1:8">
      <c r="A2950">
        <v>180</v>
      </c>
      <c r="B2950" t="s">
        <v>597</v>
      </c>
      <c r="C2950">
        <v>1</v>
      </c>
      <c r="D2950" t="s">
        <v>137</v>
      </c>
      <c r="E2950" s="1">
        <v>1</v>
      </c>
      <c r="F2950" s="1">
        <v>16</v>
      </c>
      <c r="G2950" s="1">
        <v>90</v>
      </c>
      <c r="H2950" s="1">
        <v>16</v>
      </c>
    </row>
    <row r="2951" spans="1:8">
      <c r="A2951">
        <v>180</v>
      </c>
      <c r="B2951" t="s">
        <v>597</v>
      </c>
      <c r="C2951">
        <v>1</v>
      </c>
      <c r="D2951" t="s">
        <v>137</v>
      </c>
      <c r="E2951" s="1">
        <v>1</v>
      </c>
      <c r="F2951" s="1" t="s">
        <v>153</v>
      </c>
      <c r="G2951" s="1">
        <v>92</v>
      </c>
      <c r="H2951" s="1" t="s">
        <v>153</v>
      </c>
    </row>
    <row r="2952" spans="1:8">
      <c r="A2952">
        <v>180</v>
      </c>
      <c r="B2952" t="s">
        <v>597</v>
      </c>
      <c r="C2952">
        <v>1</v>
      </c>
      <c r="D2952" t="s">
        <v>137</v>
      </c>
      <c r="E2952" s="1">
        <v>1</v>
      </c>
      <c r="F2952" s="1">
        <v>17</v>
      </c>
      <c r="G2952" s="1">
        <v>94</v>
      </c>
      <c r="H2952" s="1">
        <v>17</v>
      </c>
    </row>
    <row r="2953" spans="1:8">
      <c r="A2953">
        <v>180</v>
      </c>
      <c r="B2953" t="s">
        <v>597</v>
      </c>
      <c r="C2953">
        <v>1</v>
      </c>
      <c r="D2953" t="s">
        <v>137</v>
      </c>
      <c r="E2953" s="1">
        <v>1</v>
      </c>
      <c r="F2953" s="1" t="s">
        <v>156</v>
      </c>
      <c r="G2953" s="1">
        <v>96</v>
      </c>
      <c r="H2953" s="1" t="s">
        <v>156</v>
      </c>
    </row>
    <row r="2954" spans="1:8">
      <c r="A2954">
        <v>180</v>
      </c>
      <c r="B2954" t="s">
        <v>597</v>
      </c>
      <c r="C2954">
        <v>1</v>
      </c>
      <c r="D2954" t="s">
        <v>137</v>
      </c>
      <c r="E2954" s="1">
        <v>2</v>
      </c>
      <c r="F2954" s="1" t="s">
        <v>159</v>
      </c>
      <c r="G2954" s="1">
        <v>2</v>
      </c>
      <c r="H2954" s="1" t="s">
        <v>159</v>
      </c>
    </row>
    <row r="2955" spans="1:8">
      <c r="A2955">
        <v>180</v>
      </c>
      <c r="B2955" t="s">
        <v>597</v>
      </c>
      <c r="C2955">
        <v>1</v>
      </c>
      <c r="D2955" t="s">
        <v>137</v>
      </c>
      <c r="E2955" s="1">
        <v>2</v>
      </c>
      <c r="F2955" s="1">
        <v>19</v>
      </c>
      <c r="G2955" s="1">
        <v>10</v>
      </c>
      <c r="H2955" s="1">
        <v>19</v>
      </c>
    </row>
    <row r="2956" spans="1:8">
      <c r="A2956">
        <v>180</v>
      </c>
      <c r="B2956" t="s">
        <v>597</v>
      </c>
      <c r="C2956">
        <v>1</v>
      </c>
      <c r="D2956" t="s">
        <v>137</v>
      </c>
      <c r="E2956" s="1">
        <v>2</v>
      </c>
      <c r="F2956" s="1" t="s">
        <v>162</v>
      </c>
      <c r="G2956" s="1">
        <v>12</v>
      </c>
      <c r="H2956" s="1" t="s">
        <v>162</v>
      </c>
    </row>
    <row r="2957" spans="1:8">
      <c r="A2957">
        <v>180</v>
      </c>
      <c r="B2957" t="s">
        <v>597</v>
      </c>
      <c r="C2957">
        <v>1</v>
      </c>
      <c r="D2957" t="s">
        <v>137</v>
      </c>
      <c r="E2957" s="1">
        <v>2</v>
      </c>
      <c r="F2957" s="1">
        <v>20</v>
      </c>
      <c r="G2957" s="1">
        <v>20</v>
      </c>
      <c r="H2957" s="1">
        <v>20</v>
      </c>
    </row>
    <row r="2958" spans="1:8">
      <c r="A2958">
        <v>180</v>
      </c>
      <c r="B2958" t="s">
        <v>597</v>
      </c>
      <c r="C2958">
        <v>1</v>
      </c>
      <c r="D2958" t="s">
        <v>137</v>
      </c>
      <c r="E2958" s="1">
        <v>2</v>
      </c>
      <c r="F2958" s="1" t="s">
        <v>165</v>
      </c>
      <c r="G2958" s="1">
        <v>22</v>
      </c>
      <c r="H2958" s="1" t="s">
        <v>165</v>
      </c>
    </row>
    <row r="2959" spans="1:8">
      <c r="A2959">
        <v>180</v>
      </c>
      <c r="B2959" t="s">
        <v>597</v>
      </c>
      <c r="C2959">
        <v>1</v>
      </c>
      <c r="D2959" t="s">
        <v>137</v>
      </c>
      <c r="E2959" s="1">
        <v>2</v>
      </c>
      <c r="F2959" s="1">
        <v>21</v>
      </c>
      <c r="G2959" s="1">
        <v>30</v>
      </c>
      <c r="H2959" s="1">
        <v>21</v>
      </c>
    </row>
    <row r="2960" spans="1:8">
      <c r="A2960">
        <v>180</v>
      </c>
      <c r="B2960" t="s">
        <v>597</v>
      </c>
      <c r="C2960">
        <v>1</v>
      </c>
      <c r="D2960" t="s">
        <v>137</v>
      </c>
      <c r="E2960" s="1">
        <v>2</v>
      </c>
      <c r="F2960" s="1" t="s">
        <v>168</v>
      </c>
      <c r="G2960" s="1">
        <v>32</v>
      </c>
      <c r="H2960" s="1" t="s">
        <v>168</v>
      </c>
    </row>
    <row r="2961" spans="1:8">
      <c r="A2961">
        <v>180</v>
      </c>
      <c r="B2961" t="s">
        <v>597</v>
      </c>
      <c r="C2961">
        <v>1</v>
      </c>
      <c r="D2961" t="s">
        <v>137</v>
      </c>
      <c r="E2961" s="1">
        <v>2</v>
      </c>
      <c r="F2961" s="1">
        <v>18</v>
      </c>
      <c r="H2961" s="1">
        <v>18</v>
      </c>
    </row>
    <row r="2962" spans="1:8">
      <c r="A2962">
        <v>180</v>
      </c>
      <c r="B2962" t="s">
        <v>597</v>
      </c>
      <c r="C2962">
        <v>9</v>
      </c>
      <c r="D2962" t="s">
        <v>185</v>
      </c>
      <c r="E2962" s="1">
        <v>3</v>
      </c>
      <c r="F2962" s="1" t="s">
        <v>598</v>
      </c>
      <c r="G2962" s="1">
        <v>56</v>
      </c>
      <c r="H2962" s="1" t="s">
        <v>598</v>
      </c>
    </row>
    <row r="2963" spans="1:8">
      <c r="A2963">
        <v>180</v>
      </c>
      <c r="B2963" t="s">
        <v>597</v>
      </c>
      <c r="C2963">
        <v>11</v>
      </c>
      <c r="D2963" t="s">
        <v>186</v>
      </c>
      <c r="E2963" s="1">
        <v>1</v>
      </c>
      <c r="F2963" s="1" t="s">
        <v>195</v>
      </c>
      <c r="G2963" s="1">
        <v>32</v>
      </c>
      <c r="H2963" s="1" t="s">
        <v>195</v>
      </c>
    </row>
    <row r="2964" spans="1:8">
      <c r="A2964">
        <v>180</v>
      </c>
      <c r="B2964" t="s">
        <v>597</v>
      </c>
      <c r="C2964">
        <v>11</v>
      </c>
      <c r="D2964" t="s">
        <v>186</v>
      </c>
      <c r="E2964" s="1">
        <v>1</v>
      </c>
      <c r="F2964" s="1" t="s">
        <v>196</v>
      </c>
      <c r="G2964" s="1">
        <v>42</v>
      </c>
      <c r="H2964" s="1" t="s">
        <v>196</v>
      </c>
    </row>
    <row r="2965" spans="1:8">
      <c r="A2965">
        <v>180</v>
      </c>
      <c r="B2965" t="s">
        <v>597</v>
      </c>
      <c r="C2965">
        <v>11</v>
      </c>
      <c r="D2965" t="s">
        <v>186</v>
      </c>
      <c r="E2965" s="1">
        <v>1</v>
      </c>
      <c r="F2965" s="1" t="s">
        <v>198</v>
      </c>
      <c r="G2965" s="1">
        <v>62</v>
      </c>
      <c r="H2965" s="1" t="s">
        <v>198</v>
      </c>
    </row>
    <row r="2966" spans="1:8">
      <c r="A2966">
        <v>180</v>
      </c>
      <c r="B2966" t="s">
        <v>597</v>
      </c>
      <c r="C2966">
        <v>12</v>
      </c>
      <c r="D2966" t="s">
        <v>107</v>
      </c>
      <c r="E2966" s="1">
        <v>1</v>
      </c>
      <c r="F2966" s="1" t="s">
        <v>192</v>
      </c>
      <c r="G2966" s="1">
        <v>2</v>
      </c>
      <c r="H2966" s="1" t="s">
        <v>192</v>
      </c>
    </row>
    <row r="2967" spans="1:8">
      <c r="A2967">
        <v>180</v>
      </c>
      <c r="B2967" t="s">
        <v>597</v>
      </c>
      <c r="C2967">
        <v>12</v>
      </c>
      <c r="D2967" t="s">
        <v>107</v>
      </c>
      <c r="E2967" s="1">
        <v>1</v>
      </c>
      <c r="F2967" s="1" t="s">
        <v>193</v>
      </c>
      <c r="G2967" s="1">
        <v>12</v>
      </c>
      <c r="H2967" s="1" t="s">
        <v>193</v>
      </c>
    </row>
    <row r="2968" spans="1:8">
      <c r="A2968">
        <v>180</v>
      </c>
      <c r="B2968" t="s">
        <v>597</v>
      </c>
      <c r="C2968">
        <v>12</v>
      </c>
      <c r="D2968" t="s">
        <v>107</v>
      </c>
      <c r="E2968" s="1">
        <v>1</v>
      </c>
      <c r="F2968" s="1">
        <v>41</v>
      </c>
      <c r="G2968" s="1">
        <v>20</v>
      </c>
      <c r="H2968" s="1">
        <v>41</v>
      </c>
    </row>
    <row r="2969" spans="1:8">
      <c r="A2969">
        <v>180</v>
      </c>
      <c r="B2969" t="s">
        <v>597</v>
      </c>
      <c r="C2969">
        <v>12</v>
      </c>
      <c r="D2969" t="s">
        <v>107</v>
      </c>
      <c r="E2969" s="1">
        <v>1</v>
      </c>
      <c r="F2969" s="1" t="s">
        <v>194</v>
      </c>
      <c r="G2969" s="1">
        <v>22</v>
      </c>
      <c r="H2969" s="1" t="s">
        <v>194</v>
      </c>
    </row>
    <row r="2970" spans="1:8">
      <c r="A2970">
        <v>180</v>
      </c>
      <c r="B2970" t="s">
        <v>597</v>
      </c>
      <c r="C2970">
        <v>12</v>
      </c>
      <c r="D2970" t="s">
        <v>107</v>
      </c>
      <c r="E2970" s="1">
        <v>1</v>
      </c>
      <c r="F2970" s="1">
        <v>42</v>
      </c>
      <c r="G2970" s="1">
        <v>30</v>
      </c>
      <c r="H2970" s="1">
        <v>42</v>
      </c>
    </row>
    <row r="2971" spans="1:8">
      <c r="A2971">
        <v>180</v>
      </c>
      <c r="B2971" t="s">
        <v>597</v>
      </c>
      <c r="C2971">
        <v>12</v>
      </c>
      <c r="D2971" t="s">
        <v>107</v>
      </c>
      <c r="E2971" s="1">
        <v>1</v>
      </c>
      <c r="F2971" s="1" t="s">
        <v>195</v>
      </c>
      <c r="G2971" s="1">
        <v>32</v>
      </c>
      <c r="H2971" s="1" t="s">
        <v>195</v>
      </c>
    </row>
    <row r="2972" spans="1:8">
      <c r="A2972">
        <v>180</v>
      </c>
      <c r="B2972" t="s">
        <v>597</v>
      </c>
      <c r="C2972">
        <v>12</v>
      </c>
      <c r="D2972" t="s">
        <v>107</v>
      </c>
      <c r="E2972" s="1">
        <v>1</v>
      </c>
      <c r="F2972" s="1">
        <v>43</v>
      </c>
      <c r="G2972" s="1">
        <v>40</v>
      </c>
      <c r="H2972" s="1">
        <v>43</v>
      </c>
    </row>
    <row r="2973" spans="1:8">
      <c r="A2973">
        <v>180</v>
      </c>
      <c r="B2973" t="s">
        <v>597</v>
      </c>
      <c r="C2973">
        <v>12</v>
      </c>
      <c r="D2973" t="s">
        <v>107</v>
      </c>
      <c r="E2973" s="1">
        <v>1</v>
      </c>
      <c r="F2973" s="1" t="s">
        <v>196</v>
      </c>
      <c r="G2973" s="1">
        <v>42</v>
      </c>
      <c r="H2973" s="1" t="s">
        <v>196</v>
      </c>
    </row>
    <row r="2974" spans="1:8">
      <c r="A2974">
        <v>180</v>
      </c>
      <c r="B2974" t="s">
        <v>597</v>
      </c>
      <c r="C2974">
        <v>12</v>
      </c>
      <c r="D2974" t="s">
        <v>107</v>
      </c>
      <c r="E2974" s="1">
        <v>1</v>
      </c>
      <c r="F2974" s="1">
        <v>44</v>
      </c>
      <c r="G2974" s="1">
        <v>50</v>
      </c>
      <c r="H2974" s="1">
        <v>44</v>
      </c>
    </row>
    <row r="2975" spans="1:8">
      <c r="A2975">
        <v>180</v>
      </c>
      <c r="B2975" t="s">
        <v>597</v>
      </c>
      <c r="C2975">
        <v>12</v>
      </c>
      <c r="D2975" t="s">
        <v>107</v>
      </c>
      <c r="E2975" s="1">
        <v>1</v>
      </c>
      <c r="F2975" s="1" t="s">
        <v>197</v>
      </c>
      <c r="G2975" s="1">
        <v>52</v>
      </c>
      <c r="H2975" s="1" t="s">
        <v>197</v>
      </c>
    </row>
    <row r="2976" spans="1:8">
      <c r="A2976">
        <v>180</v>
      </c>
      <c r="B2976" t="s">
        <v>597</v>
      </c>
      <c r="C2976">
        <v>12</v>
      </c>
      <c r="D2976" t="s">
        <v>107</v>
      </c>
      <c r="E2976" s="1">
        <v>1</v>
      </c>
      <c r="F2976" s="1">
        <v>45</v>
      </c>
      <c r="G2976" s="1">
        <v>60</v>
      </c>
      <c r="H2976" s="1">
        <v>45</v>
      </c>
    </row>
    <row r="2977" spans="1:8">
      <c r="A2977">
        <v>180</v>
      </c>
      <c r="B2977" t="s">
        <v>597</v>
      </c>
      <c r="C2977">
        <v>12</v>
      </c>
      <c r="D2977" t="s">
        <v>107</v>
      </c>
      <c r="E2977" s="1">
        <v>1</v>
      </c>
      <c r="F2977" s="1" t="s">
        <v>198</v>
      </c>
      <c r="G2977" s="1">
        <v>62</v>
      </c>
      <c r="H2977" s="1" t="s">
        <v>198</v>
      </c>
    </row>
    <row r="2978" spans="1:8">
      <c r="A2978">
        <v>180</v>
      </c>
      <c r="B2978" t="s">
        <v>597</v>
      </c>
      <c r="C2978">
        <v>12</v>
      </c>
      <c r="D2978" t="s">
        <v>107</v>
      </c>
      <c r="G2978" s="1">
        <v>96</v>
      </c>
    </row>
    <row r="2979" spans="1:8">
      <c r="A2979">
        <v>180</v>
      </c>
      <c r="B2979" t="s">
        <v>597</v>
      </c>
      <c r="C2979">
        <v>13</v>
      </c>
      <c r="D2979" t="s">
        <v>200</v>
      </c>
      <c r="E2979" s="1">
        <v>1</v>
      </c>
      <c r="F2979" s="1">
        <v>40</v>
      </c>
      <c r="G2979" s="1">
        <v>10</v>
      </c>
      <c r="H2979" s="1">
        <v>40</v>
      </c>
    </row>
    <row r="2980" spans="1:8">
      <c r="A2980">
        <v>180</v>
      </c>
      <c r="B2980" t="s">
        <v>597</v>
      </c>
      <c r="C2980">
        <v>13</v>
      </c>
      <c r="D2980" t="s">
        <v>200</v>
      </c>
      <c r="E2980" s="1">
        <v>1</v>
      </c>
      <c r="F2980" s="1" t="s">
        <v>193</v>
      </c>
      <c r="G2980" s="1">
        <v>12</v>
      </c>
      <c r="H2980" s="1" t="s">
        <v>193</v>
      </c>
    </row>
    <row r="2981" spans="1:8">
      <c r="A2981">
        <v>180</v>
      </c>
      <c r="B2981" t="s">
        <v>597</v>
      </c>
      <c r="C2981">
        <v>13</v>
      </c>
      <c r="D2981" t="s">
        <v>200</v>
      </c>
      <c r="E2981" s="1">
        <v>1</v>
      </c>
      <c r="F2981" s="1">
        <v>41</v>
      </c>
      <c r="G2981" s="1">
        <v>20</v>
      </c>
      <c r="H2981" s="1">
        <v>41</v>
      </c>
    </row>
    <row r="2982" spans="1:8">
      <c r="A2982">
        <v>180</v>
      </c>
      <c r="B2982" t="s">
        <v>597</v>
      </c>
      <c r="C2982">
        <v>13</v>
      </c>
      <c r="D2982" t="s">
        <v>200</v>
      </c>
      <c r="E2982" s="1">
        <v>1</v>
      </c>
      <c r="F2982" s="1" t="s">
        <v>194</v>
      </c>
      <c r="G2982" s="1">
        <v>22</v>
      </c>
      <c r="H2982" s="1" t="s">
        <v>194</v>
      </c>
    </row>
    <row r="2983" spans="1:8">
      <c r="A2983">
        <v>180</v>
      </c>
      <c r="B2983" t="s">
        <v>597</v>
      </c>
      <c r="C2983">
        <v>13</v>
      </c>
      <c r="D2983" t="s">
        <v>200</v>
      </c>
      <c r="E2983" s="1">
        <v>1</v>
      </c>
      <c r="F2983" s="1">
        <v>42</v>
      </c>
      <c r="G2983" s="1">
        <v>30</v>
      </c>
      <c r="H2983" s="1">
        <v>42</v>
      </c>
    </row>
    <row r="2984" spans="1:8">
      <c r="A2984">
        <v>180</v>
      </c>
      <c r="B2984" t="s">
        <v>597</v>
      </c>
      <c r="C2984">
        <v>13</v>
      </c>
      <c r="D2984" t="s">
        <v>200</v>
      </c>
      <c r="E2984" s="1">
        <v>1</v>
      </c>
      <c r="F2984" s="1" t="s">
        <v>195</v>
      </c>
      <c r="G2984" s="1">
        <v>32</v>
      </c>
      <c r="H2984" s="1" t="s">
        <v>195</v>
      </c>
    </row>
    <row r="2985" spans="1:8">
      <c r="A2985">
        <v>180</v>
      </c>
      <c r="B2985" t="s">
        <v>597</v>
      </c>
      <c r="C2985">
        <v>13</v>
      </c>
      <c r="D2985" t="s">
        <v>200</v>
      </c>
      <c r="E2985" s="1">
        <v>1</v>
      </c>
      <c r="F2985" s="1">
        <v>43</v>
      </c>
      <c r="G2985" s="1">
        <v>40</v>
      </c>
      <c r="H2985" s="1">
        <v>43</v>
      </c>
    </row>
    <row r="2986" spans="1:8">
      <c r="A2986">
        <v>180</v>
      </c>
      <c r="B2986" t="s">
        <v>597</v>
      </c>
      <c r="C2986">
        <v>13</v>
      </c>
      <c r="D2986" t="s">
        <v>200</v>
      </c>
      <c r="E2986" s="1">
        <v>1</v>
      </c>
      <c r="F2986" s="1" t="s">
        <v>196</v>
      </c>
      <c r="G2986" s="1">
        <v>42</v>
      </c>
      <c r="H2986" s="1" t="s">
        <v>196</v>
      </c>
    </row>
    <row r="2987" spans="1:8">
      <c r="A2987">
        <v>180</v>
      </c>
      <c r="B2987" t="s">
        <v>597</v>
      </c>
      <c r="C2987">
        <v>13</v>
      </c>
      <c r="D2987" t="s">
        <v>200</v>
      </c>
      <c r="E2987" s="1">
        <v>1</v>
      </c>
      <c r="F2987" s="1">
        <v>44</v>
      </c>
      <c r="G2987" s="1">
        <v>50</v>
      </c>
      <c r="H2987" s="1">
        <v>44</v>
      </c>
    </row>
    <row r="2988" spans="1:8">
      <c r="A2988">
        <v>180</v>
      </c>
      <c r="B2988" t="s">
        <v>597</v>
      </c>
      <c r="C2988">
        <v>13</v>
      </c>
      <c r="D2988" t="s">
        <v>200</v>
      </c>
      <c r="E2988" s="1">
        <v>1</v>
      </c>
      <c r="F2988" s="1" t="s">
        <v>197</v>
      </c>
      <c r="G2988" s="1">
        <v>52</v>
      </c>
      <c r="H2988" s="1" t="s">
        <v>197</v>
      </c>
    </row>
    <row r="2989" spans="1:8">
      <c r="A2989">
        <v>180</v>
      </c>
      <c r="B2989" t="s">
        <v>597</v>
      </c>
      <c r="C2989">
        <v>13</v>
      </c>
      <c r="D2989" t="s">
        <v>200</v>
      </c>
      <c r="E2989" s="1">
        <v>1</v>
      </c>
      <c r="F2989" s="1">
        <v>45</v>
      </c>
      <c r="G2989" s="1">
        <v>60</v>
      </c>
      <c r="H2989" s="1">
        <v>45</v>
      </c>
    </row>
    <row r="2990" spans="1:8">
      <c r="A2990">
        <v>180</v>
      </c>
      <c r="B2990" t="s">
        <v>597</v>
      </c>
      <c r="C2990">
        <v>13</v>
      </c>
      <c r="D2990" t="s">
        <v>200</v>
      </c>
      <c r="E2990" s="1">
        <v>1</v>
      </c>
      <c r="F2990" s="1" t="s">
        <v>198</v>
      </c>
      <c r="G2990" s="1">
        <v>62</v>
      </c>
      <c r="H2990" s="1" t="s">
        <v>198</v>
      </c>
    </row>
    <row r="2991" spans="1:8">
      <c r="A2991">
        <v>180</v>
      </c>
      <c r="B2991" t="s">
        <v>597</v>
      </c>
      <c r="C2991">
        <v>13</v>
      </c>
      <c r="D2991" t="s">
        <v>200</v>
      </c>
      <c r="E2991" s="1">
        <v>1</v>
      </c>
      <c r="F2991" s="1">
        <v>39</v>
      </c>
      <c r="H2991" s="1">
        <v>39</v>
      </c>
    </row>
    <row r="2992" spans="1:8">
      <c r="A2992">
        <v>180</v>
      </c>
      <c r="B2992" t="s">
        <v>597</v>
      </c>
      <c r="C2992">
        <v>13</v>
      </c>
      <c r="D2992" t="s">
        <v>200</v>
      </c>
      <c r="G2992" s="1">
        <v>96</v>
      </c>
    </row>
    <row r="2993" spans="1:8">
      <c r="A2993">
        <v>180</v>
      </c>
      <c r="B2993" t="s">
        <v>597</v>
      </c>
      <c r="C2993">
        <v>33</v>
      </c>
      <c r="D2993" t="s">
        <v>213</v>
      </c>
      <c r="G2993" s="1">
        <v>62</v>
      </c>
    </row>
    <row r="2994" spans="1:8">
      <c r="A2994">
        <v>180</v>
      </c>
      <c r="B2994" t="s">
        <v>597</v>
      </c>
      <c r="C2994">
        <v>43</v>
      </c>
      <c r="D2994" t="s">
        <v>221</v>
      </c>
      <c r="G2994" s="1">
        <v>30</v>
      </c>
    </row>
    <row r="2995" spans="1:8">
      <c r="A2995">
        <v>180</v>
      </c>
      <c r="B2995" t="s">
        <v>597</v>
      </c>
      <c r="C2995">
        <v>43</v>
      </c>
      <c r="D2995" t="s">
        <v>221</v>
      </c>
      <c r="G2995" s="1">
        <v>40</v>
      </c>
    </row>
    <row r="2996" spans="1:8">
      <c r="A2996">
        <v>180</v>
      </c>
      <c r="B2996" t="s">
        <v>597</v>
      </c>
      <c r="C2996">
        <v>43</v>
      </c>
      <c r="D2996" t="s">
        <v>221</v>
      </c>
      <c r="G2996" s="1">
        <v>50</v>
      </c>
    </row>
    <row r="2997" spans="1:8">
      <c r="A2997">
        <v>180</v>
      </c>
      <c r="B2997" t="s">
        <v>597</v>
      </c>
      <c r="C2997">
        <v>43</v>
      </c>
      <c r="D2997" t="s">
        <v>221</v>
      </c>
      <c r="G2997" s="1">
        <v>60</v>
      </c>
    </row>
    <row r="2998" spans="1:8">
      <c r="A2998">
        <v>180</v>
      </c>
      <c r="B2998" t="s">
        <v>597</v>
      </c>
      <c r="C2998">
        <v>62</v>
      </c>
      <c r="D2998" t="s">
        <v>514</v>
      </c>
      <c r="E2998" s="1">
        <v>1</v>
      </c>
      <c r="F2998" s="1" t="s">
        <v>335</v>
      </c>
      <c r="G2998" s="1">
        <v>42</v>
      </c>
      <c r="H2998" s="1" t="s">
        <v>335</v>
      </c>
    </row>
    <row r="2999" spans="1:8">
      <c r="A2999">
        <v>180</v>
      </c>
      <c r="B2999" t="s">
        <v>597</v>
      </c>
      <c r="C2999">
        <v>62</v>
      </c>
      <c r="D2999" t="s">
        <v>514</v>
      </c>
      <c r="E2999" s="1">
        <v>1</v>
      </c>
      <c r="F2999" s="1" t="s">
        <v>141</v>
      </c>
      <c r="G2999" s="1">
        <v>62</v>
      </c>
      <c r="H2999" s="1" t="s">
        <v>141</v>
      </c>
    </row>
    <row r="3000" spans="1:8">
      <c r="A3000">
        <v>180</v>
      </c>
      <c r="B3000" t="s">
        <v>597</v>
      </c>
      <c r="C3000">
        <v>74</v>
      </c>
      <c r="D3000" t="s">
        <v>235</v>
      </c>
      <c r="E3000" s="1">
        <v>3</v>
      </c>
      <c r="F3000" s="1" t="s">
        <v>320</v>
      </c>
      <c r="G3000" s="1">
        <v>50</v>
      </c>
      <c r="H3000" s="1" t="s">
        <v>320</v>
      </c>
    </row>
    <row r="3001" spans="1:8">
      <c r="A3001">
        <v>184</v>
      </c>
      <c r="B3001" t="s">
        <v>599</v>
      </c>
      <c r="C3001">
        <v>1</v>
      </c>
      <c r="D3001" t="s">
        <v>137</v>
      </c>
      <c r="E3001" s="1">
        <v>2</v>
      </c>
      <c r="F3001" s="1">
        <v>22</v>
      </c>
      <c r="G3001" s="1">
        <v>40</v>
      </c>
      <c r="H3001" s="1">
        <v>22</v>
      </c>
    </row>
    <row r="3002" spans="1:8">
      <c r="A3002">
        <v>184</v>
      </c>
      <c r="B3002" t="s">
        <v>599</v>
      </c>
      <c r="C3002">
        <v>11</v>
      </c>
      <c r="D3002" t="s">
        <v>186</v>
      </c>
      <c r="E3002" s="1">
        <v>1</v>
      </c>
      <c r="F3002" s="1" t="s">
        <v>198</v>
      </c>
      <c r="G3002" s="1">
        <v>62</v>
      </c>
      <c r="H3002" s="1" t="s">
        <v>198</v>
      </c>
    </row>
    <row r="3003" spans="1:8">
      <c r="A3003">
        <v>184</v>
      </c>
      <c r="B3003" t="s">
        <v>599</v>
      </c>
      <c r="C3003">
        <v>12</v>
      </c>
      <c r="D3003" t="s">
        <v>107</v>
      </c>
      <c r="E3003" s="1">
        <v>1</v>
      </c>
      <c r="F3003" s="1" t="s">
        <v>198</v>
      </c>
      <c r="G3003" s="1">
        <v>62</v>
      </c>
      <c r="H3003" s="1" t="s">
        <v>198</v>
      </c>
    </row>
    <row r="3004" spans="1:8">
      <c r="A3004">
        <v>184</v>
      </c>
      <c r="B3004" t="s">
        <v>599</v>
      </c>
      <c r="C3004">
        <v>57</v>
      </c>
      <c r="D3004" t="s">
        <v>183</v>
      </c>
      <c r="G3004" s="1">
        <v>50</v>
      </c>
    </row>
    <row r="3005" spans="1:8">
      <c r="A3005">
        <v>184</v>
      </c>
      <c r="B3005" t="s">
        <v>599</v>
      </c>
      <c r="C3005">
        <v>74</v>
      </c>
      <c r="D3005" t="s">
        <v>235</v>
      </c>
      <c r="E3005" s="1">
        <v>3</v>
      </c>
      <c r="F3005" s="1" t="s">
        <v>320</v>
      </c>
      <c r="G3005" s="1">
        <v>50</v>
      </c>
      <c r="H3005" s="1" t="s">
        <v>320</v>
      </c>
    </row>
    <row r="3006" spans="1:8">
      <c r="A3006">
        <v>185</v>
      </c>
      <c r="B3006" t="s">
        <v>600</v>
      </c>
      <c r="C3006">
        <v>1</v>
      </c>
      <c r="D3006" t="s">
        <v>137</v>
      </c>
      <c r="E3006" s="1">
        <v>1</v>
      </c>
      <c r="F3006" s="1">
        <v>12</v>
      </c>
      <c r="G3006" s="1">
        <v>50</v>
      </c>
      <c r="H3006" s="1">
        <v>12</v>
      </c>
    </row>
    <row r="3007" spans="1:8">
      <c r="A3007">
        <v>185</v>
      </c>
      <c r="B3007" t="s">
        <v>600</v>
      </c>
      <c r="C3007">
        <v>1</v>
      </c>
      <c r="D3007" t="s">
        <v>137</v>
      </c>
      <c r="E3007" s="1">
        <v>1</v>
      </c>
      <c r="F3007" s="1">
        <v>14</v>
      </c>
      <c r="G3007" s="1">
        <v>70</v>
      </c>
      <c r="H3007" s="1">
        <v>14</v>
      </c>
    </row>
    <row r="3008" spans="1:8">
      <c r="A3008">
        <v>185</v>
      </c>
      <c r="B3008" t="s">
        <v>600</v>
      </c>
      <c r="C3008">
        <v>1</v>
      </c>
      <c r="D3008" t="s">
        <v>137</v>
      </c>
      <c r="E3008" s="1">
        <v>1</v>
      </c>
      <c r="F3008" s="1" t="s">
        <v>147</v>
      </c>
      <c r="G3008" s="1">
        <v>72</v>
      </c>
      <c r="H3008" s="1" t="s">
        <v>147</v>
      </c>
    </row>
    <row r="3009" spans="1:8">
      <c r="A3009">
        <v>185</v>
      </c>
      <c r="B3009" t="s">
        <v>600</v>
      </c>
      <c r="C3009">
        <v>1</v>
      </c>
      <c r="D3009" t="s">
        <v>137</v>
      </c>
      <c r="E3009" s="1">
        <v>1</v>
      </c>
      <c r="F3009" s="1">
        <v>15</v>
      </c>
      <c r="G3009" s="1">
        <v>80</v>
      </c>
      <c r="H3009" s="1">
        <v>15</v>
      </c>
    </row>
    <row r="3010" spans="1:8">
      <c r="A3010">
        <v>185</v>
      </c>
      <c r="B3010" t="s">
        <v>600</v>
      </c>
      <c r="C3010">
        <v>1</v>
      </c>
      <c r="D3010" t="s">
        <v>137</v>
      </c>
      <c r="E3010" s="1">
        <v>1</v>
      </c>
      <c r="F3010" s="1" t="s">
        <v>150</v>
      </c>
      <c r="G3010" s="1">
        <v>82</v>
      </c>
      <c r="H3010" s="1" t="s">
        <v>150</v>
      </c>
    </row>
    <row r="3011" spans="1:8">
      <c r="A3011">
        <v>185</v>
      </c>
      <c r="B3011" t="s">
        <v>600</v>
      </c>
      <c r="C3011">
        <v>1</v>
      </c>
      <c r="D3011" t="s">
        <v>137</v>
      </c>
      <c r="E3011" s="1">
        <v>1</v>
      </c>
      <c r="F3011" s="1">
        <v>16</v>
      </c>
      <c r="G3011" s="1">
        <v>90</v>
      </c>
      <c r="H3011" s="1">
        <v>16</v>
      </c>
    </row>
    <row r="3012" spans="1:8">
      <c r="A3012">
        <v>185</v>
      </c>
      <c r="B3012" t="s">
        <v>600</v>
      </c>
      <c r="C3012">
        <v>1</v>
      </c>
      <c r="D3012" t="s">
        <v>137</v>
      </c>
      <c r="E3012" s="1">
        <v>1</v>
      </c>
      <c r="F3012" s="1" t="s">
        <v>153</v>
      </c>
      <c r="G3012" s="1">
        <v>92</v>
      </c>
      <c r="H3012" s="1" t="s">
        <v>153</v>
      </c>
    </row>
    <row r="3013" spans="1:8">
      <c r="A3013">
        <v>185</v>
      </c>
      <c r="B3013" t="s">
        <v>600</v>
      </c>
      <c r="C3013">
        <v>1</v>
      </c>
      <c r="D3013" t="s">
        <v>137</v>
      </c>
      <c r="E3013" s="1">
        <v>1</v>
      </c>
      <c r="F3013" s="1">
        <v>17</v>
      </c>
      <c r="G3013" s="1">
        <v>94</v>
      </c>
      <c r="H3013" s="1">
        <v>17</v>
      </c>
    </row>
    <row r="3014" spans="1:8">
      <c r="A3014">
        <v>185</v>
      </c>
      <c r="B3014" t="s">
        <v>600</v>
      </c>
      <c r="C3014">
        <v>1</v>
      </c>
      <c r="D3014" t="s">
        <v>137</v>
      </c>
      <c r="E3014" s="1">
        <v>1</v>
      </c>
      <c r="F3014" s="1" t="s">
        <v>156</v>
      </c>
      <c r="G3014" s="1">
        <v>96</v>
      </c>
      <c r="H3014" s="1" t="s">
        <v>156</v>
      </c>
    </row>
    <row r="3015" spans="1:8">
      <c r="A3015">
        <v>185</v>
      </c>
      <c r="B3015" t="s">
        <v>600</v>
      </c>
      <c r="C3015">
        <v>1</v>
      </c>
      <c r="D3015" t="s">
        <v>137</v>
      </c>
      <c r="E3015" s="1">
        <v>2</v>
      </c>
      <c r="F3015" s="1" t="s">
        <v>159</v>
      </c>
      <c r="G3015" s="1">
        <v>2</v>
      </c>
      <c r="H3015" s="1" t="s">
        <v>159</v>
      </c>
    </row>
    <row r="3016" spans="1:8">
      <c r="A3016">
        <v>185</v>
      </c>
      <c r="B3016" t="s">
        <v>600</v>
      </c>
      <c r="C3016">
        <v>1</v>
      </c>
      <c r="D3016" t="s">
        <v>137</v>
      </c>
      <c r="E3016" s="1">
        <v>2</v>
      </c>
      <c r="F3016" s="1">
        <v>19</v>
      </c>
      <c r="G3016" s="1">
        <v>10</v>
      </c>
      <c r="H3016" s="1">
        <v>19</v>
      </c>
    </row>
    <row r="3017" spans="1:8">
      <c r="A3017">
        <v>185</v>
      </c>
      <c r="B3017" t="s">
        <v>600</v>
      </c>
      <c r="C3017">
        <v>1</v>
      </c>
      <c r="D3017" t="s">
        <v>137</v>
      </c>
      <c r="E3017" s="1">
        <v>2</v>
      </c>
      <c r="F3017" s="1" t="s">
        <v>162</v>
      </c>
      <c r="G3017" s="1">
        <v>12</v>
      </c>
      <c r="H3017" s="1" t="s">
        <v>162</v>
      </c>
    </row>
    <row r="3018" spans="1:8">
      <c r="A3018">
        <v>185</v>
      </c>
      <c r="B3018" t="s">
        <v>600</v>
      </c>
      <c r="C3018">
        <v>1</v>
      </c>
      <c r="D3018" t="s">
        <v>137</v>
      </c>
      <c r="E3018" s="1">
        <v>2</v>
      </c>
      <c r="F3018" s="1">
        <v>20</v>
      </c>
      <c r="G3018" s="1">
        <v>20</v>
      </c>
      <c r="H3018" s="1">
        <v>20</v>
      </c>
    </row>
    <row r="3019" spans="1:8">
      <c r="A3019">
        <v>185</v>
      </c>
      <c r="B3019" t="s">
        <v>600</v>
      </c>
      <c r="C3019">
        <v>1</v>
      </c>
      <c r="D3019" t="s">
        <v>137</v>
      </c>
      <c r="E3019" s="1">
        <v>2</v>
      </c>
      <c r="F3019" s="1" t="s">
        <v>165</v>
      </c>
      <c r="G3019" s="1">
        <v>22</v>
      </c>
      <c r="H3019" s="1" t="s">
        <v>165</v>
      </c>
    </row>
    <row r="3020" spans="1:8">
      <c r="A3020">
        <v>185</v>
      </c>
      <c r="B3020" t="s">
        <v>600</v>
      </c>
      <c r="C3020">
        <v>1</v>
      </c>
      <c r="D3020" t="s">
        <v>137</v>
      </c>
      <c r="E3020" s="1">
        <v>2</v>
      </c>
      <c r="F3020" s="1">
        <v>21</v>
      </c>
      <c r="G3020" s="1">
        <v>30</v>
      </c>
      <c r="H3020" s="1">
        <v>21</v>
      </c>
    </row>
    <row r="3021" spans="1:8">
      <c r="A3021">
        <v>185</v>
      </c>
      <c r="B3021" t="s">
        <v>600</v>
      </c>
      <c r="C3021">
        <v>1</v>
      </c>
      <c r="D3021" t="s">
        <v>137</v>
      </c>
      <c r="E3021" s="1">
        <v>2</v>
      </c>
      <c r="F3021" s="1" t="s">
        <v>168</v>
      </c>
      <c r="G3021" s="1">
        <v>32</v>
      </c>
      <c r="H3021" s="1" t="s">
        <v>168</v>
      </c>
    </row>
    <row r="3022" spans="1:8">
      <c r="A3022">
        <v>185</v>
      </c>
      <c r="B3022" t="s">
        <v>600</v>
      </c>
      <c r="C3022">
        <v>1</v>
      </c>
      <c r="D3022" t="s">
        <v>137</v>
      </c>
      <c r="E3022" s="1">
        <v>2</v>
      </c>
      <c r="F3022" s="1" t="s">
        <v>171</v>
      </c>
      <c r="G3022" s="1">
        <v>42</v>
      </c>
      <c r="H3022" s="1" t="s">
        <v>171</v>
      </c>
    </row>
    <row r="3023" spans="1:8">
      <c r="A3023">
        <v>185</v>
      </c>
      <c r="B3023" t="s">
        <v>600</v>
      </c>
      <c r="C3023">
        <v>1</v>
      </c>
      <c r="D3023" t="s">
        <v>137</v>
      </c>
      <c r="E3023" s="1">
        <v>2</v>
      </c>
      <c r="F3023" s="1">
        <v>23</v>
      </c>
      <c r="G3023" s="1">
        <v>50</v>
      </c>
      <c r="H3023" s="1">
        <v>23</v>
      </c>
    </row>
    <row r="3024" spans="1:8">
      <c r="A3024">
        <v>185</v>
      </c>
      <c r="B3024" t="s">
        <v>600</v>
      </c>
      <c r="C3024">
        <v>1</v>
      </c>
      <c r="D3024" t="s">
        <v>137</v>
      </c>
      <c r="E3024" s="1">
        <v>2</v>
      </c>
      <c r="F3024" s="1">
        <v>18</v>
      </c>
      <c r="H3024" s="1">
        <v>18</v>
      </c>
    </row>
    <row r="3025" spans="1:8">
      <c r="A3025">
        <v>185</v>
      </c>
      <c r="B3025" t="s">
        <v>600</v>
      </c>
      <c r="C3025">
        <v>5</v>
      </c>
      <c r="D3025" t="s">
        <v>183</v>
      </c>
      <c r="G3025" s="1">
        <v>50</v>
      </c>
    </row>
    <row r="3026" spans="1:8">
      <c r="A3026">
        <v>185</v>
      </c>
      <c r="B3026" t="s">
        <v>600</v>
      </c>
      <c r="C3026">
        <v>6</v>
      </c>
      <c r="D3026" t="s">
        <v>184</v>
      </c>
      <c r="E3026" s="1">
        <v>1</v>
      </c>
      <c r="F3026" s="1" t="s">
        <v>290</v>
      </c>
      <c r="G3026" s="1">
        <v>10</v>
      </c>
      <c r="H3026" s="1" t="s">
        <v>290</v>
      </c>
    </row>
    <row r="3027" spans="1:8">
      <c r="A3027">
        <v>185</v>
      </c>
      <c r="B3027" t="s">
        <v>600</v>
      </c>
      <c r="C3027">
        <v>6</v>
      </c>
      <c r="D3027" t="s">
        <v>184</v>
      </c>
      <c r="G3027" s="1">
        <v>63</v>
      </c>
    </row>
    <row r="3028" spans="1:8">
      <c r="A3028">
        <v>185</v>
      </c>
      <c r="B3028" t="s">
        <v>600</v>
      </c>
      <c r="C3028">
        <v>11</v>
      </c>
      <c r="D3028" t="s">
        <v>186</v>
      </c>
      <c r="E3028" s="1">
        <v>1</v>
      </c>
      <c r="F3028" s="1" t="s">
        <v>192</v>
      </c>
      <c r="G3028" s="1">
        <v>2</v>
      </c>
      <c r="H3028" s="1" t="s">
        <v>192</v>
      </c>
    </row>
    <row r="3029" spans="1:8">
      <c r="A3029">
        <v>185</v>
      </c>
      <c r="B3029" t="s">
        <v>600</v>
      </c>
      <c r="C3029">
        <v>11</v>
      </c>
      <c r="D3029" t="s">
        <v>186</v>
      </c>
      <c r="E3029" s="1">
        <v>1</v>
      </c>
      <c r="F3029" s="1">
        <v>41</v>
      </c>
      <c r="G3029" s="1">
        <v>20</v>
      </c>
      <c r="H3029" s="1">
        <v>41</v>
      </c>
    </row>
    <row r="3030" spans="1:8">
      <c r="A3030">
        <v>185</v>
      </c>
      <c r="B3030" t="s">
        <v>600</v>
      </c>
      <c r="C3030">
        <v>11</v>
      </c>
      <c r="D3030" t="s">
        <v>186</v>
      </c>
      <c r="E3030" s="1">
        <v>1</v>
      </c>
      <c r="F3030" s="1" t="s">
        <v>194</v>
      </c>
      <c r="G3030" s="1">
        <v>22</v>
      </c>
      <c r="H3030" s="1" t="s">
        <v>194</v>
      </c>
    </row>
    <row r="3031" spans="1:8">
      <c r="A3031">
        <v>185</v>
      </c>
      <c r="B3031" t="s">
        <v>600</v>
      </c>
      <c r="C3031">
        <v>11</v>
      </c>
      <c r="D3031" t="s">
        <v>186</v>
      </c>
      <c r="E3031" s="1">
        <v>1</v>
      </c>
      <c r="F3031" s="1">
        <v>42</v>
      </c>
      <c r="G3031" s="1">
        <v>30</v>
      </c>
      <c r="H3031" s="1">
        <v>42</v>
      </c>
    </row>
    <row r="3032" spans="1:8">
      <c r="A3032">
        <v>185</v>
      </c>
      <c r="B3032" t="s">
        <v>600</v>
      </c>
      <c r="C3032">
        <v>11</v>
      </c>
      <c r="D3032" t="s">
        <v>186</v>
      </c>
      <c r="E3032" s="1">
        <v>1</v>
      </c>
      <c r="F3032" s="1" t="s">
        <v>195</v>
      </c>
      <c r="G3032" s="1">
        <v>32</v>
      </c>
      <c r="H3032" s="1" t="s">
        <v>195</v>
      </c>
    </row>
    <row r="3033" spans="1:8">
      <c r="A3033">
        <v>185</v>
      </c>
      <c r="B3033" t="s">
        <v>600</v>
      </c>
      <c r="C3033">
        <v>11</v>
      </c>
      <c r="D3033" t="s">
        <v>186</v>
      </c>
      <c r="E3033" s="1">
        <v>1</v>
      </c>
      <c r="F3033" s="1">
        <v>43</v>
      </c>
      <c r="G3033" s="1">
        <v>40</v>
      </c>
      <c r="H3033" s="1">
        <v>43</v>
      </c>
    </row>
    <row r="3034" spans="1:8">
      <c r="A3034">
        <v>185</v>
      </c>
      <c r="B3034" t="s">
        <v>600</v>
      </c>
      <c r="C3034">
        <v>11</v>
      </c>
      <c r="D3034" t="s">
        <v>186</v>
      </c>
      <c r="E3034" s="1">
        <v>1</v>
      </c>
      <c r="F3034" s="1" t="s">
        <v>196</v>
      </c>
      <c r="G3034" s="1">
        <v>42</v>
      </c>
      <c r="H3034" s="1" t="s">
        <v>196</v>
      </c>
    </row>
    <row r="3035" spans="1:8">
      <c r="A3035">
        <v>185</v>
      </c>
      <c r="B3035" t="s">
        <v>600</v>
      </c>
      <c r="C3035">
        <v>11</v>
      </c>
      <c r="D3035" t="s">
        <v>186</v>
      </c>
      <c r="E3035" s="1">
        <v>1</v>
      </c>
      <c r="F3035" s="1">
        <v>44</v>
      </c>
      <c r="G3035" s="1">
        <v>50</v>
      </c>
      <c r="H3035" s="1">
        <v>44</v>
      </c>
    </row>
    <row r="3036" spans="1:8">
      <c r="A3036">
        <v>185</v>
      </c>
      <c r="B3036" t="s">
        <v>600</v>
      </c>
      <c r="C3036">
        <v>11</v>
      </c>
      <c r="D3036" t="s">
        <v>186</v>
      </c>
      <c r="E3036" s="1">
        <v>1</v>
      </c>
      <c r="F3036" s="1" t="s">
        <v>197</v>
      </c>
      <c r="G3036" s="1">
        <v>52</v>
      </c>
      <c r="H3036" s="1" t="s">
        <v>197</v>
      </c>
    </row>
    <row r="3037" spans="1:8">
      <c r="A3037">
        <v>185</v>
      </c>
      <c r="B3037" t="s">
        <v>600</v>
      </c>
      <c r="C3037">
        <v>11</v>
      </c>
      <c r="D3037" t="s">
        <v>186</v>
      </c>
      <c r="E3037" s="1">
        <v>1</v>
      </c>
      <c r="F3037" s="1">
        <v>45</v>
      </c>
      <c r="G3037" s="1">
        <v>60</v>
      </c>
      <c r="H3037" s="1">
        <v>45</v>
      </c>
    </row>
    <row r="3038" spans="1:8">
      <c r="A3038">
        <v>185</v>
      </c>
      <c r="B3038" t="s">
        <v>600</v>
      </c>
      <c r="C3038">
        <v>11</v>
      </c>
      <c r="D3038" t="s">
        <v>186</v>
      </c>
      <c r="E3038" s="1">
        <v>1</v>
      </c>
      <c r="F3038" s="1" t="s">
        <v>198</v>
      </c>
      <c r="G3038" s="1">
        <v>62</v>
      </c>
      <c r="H3038" s="1" t="s">
        <v>198</v>
      </c>
    </row>
    <row r="3039" spans="1:8">
      <c r="A3039">
        <v>185</v>
      </c>
      <c r="B3039" t="s">
        <v>600</v>
      </c>
      <c r="C3039">
        <v>11</v>
      </c>
      <c r="D3039" t="s">
        <v>186</v>
      </c>
      <c r="E3039" s="1">
        <v>1</v>
      </c>
      <c r="F3039" s="1">
        <v>39</v>
      </c>
      <c r="H3039" s="1">
        <v>39</v>
      </c>
    </row>
    <row r="3040" spans="1:8">
      <c r="A3040">
        <v>185</v>
      </c>
      <c r="B3040" t="s">
        <v>600</v>
      </c>
      <c r="C3040">
        <v>12</v>
      </c>
      <c r="D3040" t="s">
        <v>107</v>
      </c>
      <c r="E3040" s="1">
        <v>1</v>
      </c>
      <c r="F3040" s="1" t="s">
        <v>193</v>
      </c>
      <c r="G3040" s="1">
        <v>12</v>
      </c>
      <c r="H3040" s="1" t="s">
        <v>193</v>
      </c>
    </row>
    <row r="3041" spans="1:8">
      <c r="A3041">
        <v>185</v>
      </c>
      <c r="B3041" t="s">
        <v>600</v>
      </c>
      <c r="C3041">
        <v>12</v>
      </c>
      <c r="D3041" t="s">
        <v>107</v>
      </c>
      <c r="E3041" s="1">
        <v>1</v>
      </c>
      <c r="F3041" s="1" t="s">
        <v>195</v>
      </c>
      <c r="G3041" s="1">
        <v>32</v>
      </c>
      <c r="H3041" s="1" t="s">
        <v>195</v>
      </c>
    </row>
    <row r="3042" spans="1:8">
      <c r="A3042">
        <v>185</v>
      </c>
      <c r="B3042" t="s">
        <v>600</v>
      </c>
      <c r="C3042">
        <v>12</v>
      </c>
      <c r="D3042" t="s">
        <v>107</v>
      </c>
      <c r="E3042" s="1">
        <v>1</v>
      </c>
      <c r="F3042" s="1">
        <v>43</v>
      </c>
      <c r="G3042" s="1">
        <v>40</v>
      </c>
      <c r="H3042" s="1">
        <v>43</v>
      </c>
    </row>
    <row r="3043" spans="1:8">
      <c r="A3043">
        <v>185</v>
      </c>
      <c r="B3043" t="s">
        <v>600</v>
      </c>
      <c r="C3043">
        <v>12</v>
      </c>
      <c r="D3043" t="s">
        <v>107</v>
      </c>
      <c r="E3043" s="1">
        <v>1</v>
      </c>
      <c r="F3043" s="1" t="s">
        <v>196</v>
      </c>
      <c r="G3043" s="1">
        <v>42</v>
      </c>
      <c r="H3043" s="1" t="s">
        <v>196</v>
      </c>
    </row>
    <row r="3044" spans="1:8">
      <c r="A3044">
        <v>185</v>
      </c>
      <c r="B3044" t="s">
        <v>600</v>
      </c>
      <c r="C3044">
        <v>12</v>
      </c>
      <c r="D3044" t="s">
        <v>107</v>
      </c>
      <c r="E3044" s="1">
        <v>1</v>
      </c>
      <c r="F3044" s="1">
        <v>44</v>
      </c>
      <c r="G3044" s="1">
        <v>50</v>
      </c>
      <c r="H3044" s="1">
        <v>44</v>
      </c>
    </row>
    <row r="3045" spans="1:8">
      <c r="A3045">
        <v>185</v>
      </c>
      <c r="B3045" t="s">
        <v>600</v>
      </c>
      <c r="C3045">
        <v>12</v>
      </c>
      <c r="D3045" t="s">
        <v>107</v>
      </c>
      <c r="E3045" s="1">
        <v>1</v>
      </c>
      <c r="F3045" s="1" t="s">
        <v>197</v>
      </c>
      <c r="G3045" s="1">
        <v>52</v>
      </c>
      <c r="H3045" s="1" t="s">
        <v>197</v>
      </c>
    </row>
    <row r="3046" spans="1:8">
      <c r="A3046">
        <v>185</v>
      </c>
      <c r="B3046" t="s">
        <v>600</v>
      </c>
      <c r="C3046">
        <v>12</v>
      </c>
      <c r="D3046" t="s">
        <v>107</v>
      </c>
      <c r="E3046" s="1">
        <v>1</v>
      </c>
      <c r="F3046" s="1" t="s">
        <v>198</v>
      </c>
      <c r="G3046" s="1">
        <v>62</v>
      </c>
      <c r="H3046" s="1" t="s">
        <v>198</v>
      </c>
    </row>
    <row r="3047" spans="1:8">
      <c r="A3047">
        <v>185</v>
      </c>
      <c r="B3047" t="s">
        <v>600</v>
      </c>
      <c r="C3047">
        <v>13</v>
      </c>
      <c r="D3047" t="s">
        <v>200</v>
      </c>
      <c r="E3047" s="1">
        <v>1</v>
      </c>
      <c r="F3047" s="1" t="s">
        <v>192</v>
      </c>
      <c r="G3047" s="1">
        <v>2</v>
      </c>
      <c r="H3047" s="1" t="s">
        <v>192</v>
      </c>
    </row>
    <row r="3048" spans="1:8">
      <c r="A3048">
        <v>185</v>
      </c>
      <c r="B3048" t="s">
        <v>600</v>
      </c>
      <c r="C3048">
        <v>13</v>
      </c>
      <c r="D3048" t="s">
        <v>200</v>
      </c>
      <c r="E3048" s="1">
        <v>1</v>
      </c>
      <c r="F3048" s="1">
        <v>40</v>
      </c>
      <c r="G3048" s="1">
        <v>10</v>
      </c>
      <c r="H3048" s="1">
        <v>40</v>
      </c>
    </row>
    <row r="3049" spans="1:8">
      <c r="A3049">
        <v>185</v>
      </c>
      <c r="B3049" t="s">
        <v>600</v>
      </c>
      <c r="C3049">
        <v>13</v>
      </c>
      <c r="D3049" t="s">
        <v>200</v>
      </c>
      <c r="E3049" s="1">
        <v>1</v>
      </c>
      <c r="F3049" s="1" t="s">
        <v>193</v>
      </c>
      <c r="G3049" s="1">
        <v>12</v>
      </c>
      <c r="H3049" s="1" t="s">
        <v>193</v>
      </c>
    </row>
    <row r="3050" spans="1:8">
      <c r="A3050">
        <v>185</v>
      </c>
      <c r="B3050" t="s">
        <v>600</v>
      </c>
      <c r="C3050">
        <v>13</v>
      </c>
      <c r="D3050" t="s">
        <v>200</v>
      </c>
      <c r="E3050" s="1">
        <v>1</v>
      </c>
      <c r="F3050" s="1">
        <v>41</v>
      </c>
      <c r="G3050" s="1">
        <v>20</v>
      </c>
      <c r="H3050" s="1">
        <v>41</v>
      </c>
    </row>
    <row r="3051" spans="1:8">
      <c r="A3051">
        <v>185</v>
      </c>
      <c r="B3051" t="s">
        <v>600</v>
      </c>
      <c r="C3051">
        <v>13</v>
      </c>
      <c r="D3051" t="s">
        <v>200</v>
      </c>
      <c r="E3051" s="1">
        <v>1</v>
      </c>
      <c r="F3051" s="1" t="s">
        <v>194</v>
      </c>
      <c r="G3051" s="1">
        <v>22</v>
      </c>
      <c r="H3051" s="1" t="s">
        <v>194</v>
      </c>
    </row>
    <row r="3052" spans="1:8">
      <c r="A3052">
        <v>185</v>
      </c>
      <c r="B3052" t="s">
        <v>600</v>
      </c>
      <c r="C3052">
        <v>13</v>
      </c>
      <c r="D3052" t="s">
        <v>200</v>
      </c>
      <c r="E3052" s="1">
        <v>1</v>
      </c>
      <c r="F3052" s="1">
        <v>42</v>
      </c>
      <c r="G3052" s="1">
        <v>30</v>
      </c>
      <c r="H3052" s="1">
        <v>42</v>
      </c>
    </row>
    <row r="3053" spans="1:8">
      <c r="A3053">
        <v>185</v>
      </c>
      <c r="B3053" t="s">
        <v>600</v>
      </c>
      <c r="C3053">
        <v>13</v>
      </c>
      <c r="D3053" t="s">
        <v>200</v>
      </c>
      <c r="E3053" s="1">
        <v>1</v>
      </c>
      <c r="F3053" s="1" t="s">
        <v>195</v>
      </c>
      <c r="G3053" s="1">
        <v>32</v>
      </c>
      <c r="H3053" s="1" t="s">
        <v>195</v>
      </c>
    </row>
    <row r="3054" spans="1:8">
      <c r="A3054">
        <v>185</v>
      </c>
      <c r="B3054" t="s">
        <v>600</v>
      </c>
      <c r="C3054">
        <v>13</v>
      </c>
      <c r="D3054" t="s">
        <v>200</v>
      </c>
      <c r="E3054" s="1">
        <v>1</v>
      </c>
      <c r="F3054" s="1">
        <v>43</v>
      </c>
      <c r="G3054" s="1">
        <v>40</v>
      </c>
      <c r="H3054" s="1">
        <v>43</v>
      </c>
    </row>
    <row r="3055" spans="1:8">
      <c r="A3055">
        <v>185</v>
      </c>
      <c r="B3055" t="s">
        <v>600</v>
      </c>
      <c r="C3055">
        <v>13</v>
      </c>
      <c r="D3055" t="s">
        <v>200</v>
      </c>
      <c r="E3055" s="1">
        <v>1</v>
      </c>
      <c r="F3055" s="1" t="s">
        <v>196</v>
      </c>
      <c r="G3055" s="1">
        <v>42</v>
      </c>
      <c r="H3055" s="1" t="s">
        <v>196</v>
      </c>
    </row>
    <row r="3056" spans="1:8">
      <c r="A3056">
        <v>185</v>
      </c>
      <c r="B3056" t="s">
        <v>600</v>
      </c>
      <c r="C3056">
        <v>13</v>
      </c>
      <c r="D3056" t="s">
        <v>200</v>
      </c>
      <c r="E3056" s="1">
        <v>1</v>
      </c>
      <c r="F3056" s="1" t="s">
        <v>197</v>
      </c>
      <c r="G3056" s="1">
        <v>52</v>
      </c>
      <c r="H3056" s="1" t="s">
        <v>197</v>
      </c>
    </row>
    <row r="3057" spans="1:8">
      <c r="A3057">
        <v>185</v>
      </c>
      <c r="B3057" t="s">
        <v>600</v>
      </c>
      <c r="C3057">
        <v>13</v>
      </c>
      <c r="D3057" t="s">
        <v>200</v>
      </c>
      <c r="E3057" s="1">
        <v>1</v>
      </c>
      <c r="F3057" s="1">
        <v>39</v>
      </c>
      <c r="H3057" s="1">
        <v>39</v>
      </c>
    </row>
    <row r="3058" spans="1:8">
      <c r="A3058">
        <v>185</v>
      </c>
      <c r="B3058" t="s">
        <v>600</v>
      </c>
      <c r="C3058">
        <v>13</v>
      </c>
      <c r="D3058" t="s">
        <v>200</v>
      </c>
      <c r="G3058" s="1">
        <v>70</v>
      </c>
    </row>
    <row r="3059" spans="1:8">
      <c r="A3059">
        <v>185</v>
      </c>
      <c r="B3059" t="s">
        <v>600</v>
      </c>
      <c r="C3059">
        <v>13</v>
      </c>
      <c r="D3059" t="s">
        <v>200</v>
      </c>
      <c r="G3059" s="1">
        <v>90</v>
      </c>
    </row>
    <row r="3060" spans="1:8">
      <c r="A3060">
        <v>185</v>
      </c>
      <c r="B3060" t="s">
        <v>600</v>
      </c>
      <c r="C3060">
        <v>13</v>
      </c>
      <c r="D3060" t="s">
        <v>200</v>
      </c>
      <c r="G3060" s="1">
        <v>96</v>
      </c>
    </row>
    <row r="3061" spans="1:8">
      <c r="A3061">
        <v>185</v>
      </c>
      <c r="B3061" t="s">
        <v>600</v>
      </c>
      <c r="C3061">
        <v>15</v>
      </c>
      <c r="D3061" t="s">
        <v>201</v>
      </c>
      <c r="E3061" s="1">
        <v>1</v>
      </c>
      <c r="F3061" s="1">
        <v>100</v>
      </c>
      <c r="G3061" s="1">
        <v>80</v>
      </c>
      <c r="H3061" s="1">
        <v>100</v>
      </c>
    </row>
    <row r="3062" spans="1:8">
      <c r="A3062">
        <v>185</v>
      </c>
      <c r="B3062" t="s">
        <v>600</v>
      </c>
      <c r="C3062">
        <v>21</v>
      </c>
      <c r="D3062" t="s">
        <v>205</v>
      </c>
      <c r="E3062" s="1">
        <v>1</v>
      </c>
      <c r="F3062" s="1" t="s">
        <v>394</v>
      </c>
      <c r="G3062" s="1">
        <v>12</v>
      </c>
      <c r="H3062" s="1" t="s">
        <v>394</v>
      </c>
    </row>
    <row r="3063" spans="1:8">
      <c r="A3063">
        <v>185</v>
      </c>
      <c r="B3063" t="s">
        <v>600</v>
      </c>
      <c r="C3063">
        <v>21</v>
      </c>
      <c r="D3063" t="s">
        <v>205</v>
      </c>
      <c r="E3063" s="1">
        <v>1</v>
      </c>
      <c r="F3063" s="1" t="s">
        <v>287</v>
      </c>
      <c r="G3063" s="1">
        <v>52</v>
      </c>
      <c r="H3063" s="1" t="s">
        <v>287</v>
      </c>
    </row>
    <row r="3064" spans="1:8">
      <c r="A3064">
        <v>185</v>
      </c>
      <c r="B3064" t="s">
        <v>600</v>
      </c>
      <c r="C3064">
        <v>21</v>
      </c>
      <c r="D3064" t="s">
        <v>205</v>
      </c>
      <c r="E3064" s="1">
        <v>1</v>
      </c>
      <c r="F3064" s="1" t="s">
        <v>288</v>
      </c>
      <c r="G3064" s="1">
        <v>62</v>
      </c>
      <c r="H3064" s="1" t="s">
        <v>288</v>
      </c>
    </row>
    <row r="3065" spans="1:8">
      <c r="A3065">
        <v>185</v>
      </c>
      <c r="B3065" t="s">
        <v>600</v>
      </c>
      <c r="C3065">
        <v>39</v>
      </c>
      <c r="D3065" t="s">
        <v>218</v>
      </c>
      <c r="E3065" s="1">
        <v>2</v>
      </c>
      <c r="F3065" s="1" t="s">
        <v>405</v>
      </c>
      <c r="G3065" s="1">
        <v>60</v>
      </c>
      <c r="H3065" s="1" t="s">
        <v>405</v>
      </c>
    </row>
    <row r="3066" spans="1:8">
      <c r="A3066">
        <v>185</v>
      </c>
      <c r="B3066" t="s">
        <v>600</v>
      </c>
      <c r="C3066">
        <v>41</v>
      </c>
      <c r="D3066" t="s">
        <v>219</v>
      </c>
      <c r="G3066" s="1">
        <v>91</v>
      </c>
    </row>
    <row r="3067" spans="1:8">
      <c r="A3067">
        <v>185</v>
      </c>
      <c r="B3067" t="s">
        <v>600</v>
      </c>
      <c r="C3067">
        <v>57</v>
      </c>
      <c r="D3067" t="s">
        <v>183</v>
      </c>
      <c r="E3067" s="1">
        <v>3</v>
      </c>
      <c r="F3067" s="1" t="s">
        <v>492</v>
      </c>
      <c r="G3067" s="1">
        <v>50</v>
      </c>
      <c r="H3067" s="1" t="s">
        <v>492</v>
      </c>
    </row>
    <row r="3068" spans="1:8">
      <c r="A3068">
        <v>185</v>
      </c>
      <c r="B3068" t="s">
        <v>600</v>
      </c>
      <c r="C3068">
        <v>74</v>
      </c>
      <c r="D3068" t="s">
        <v>235</v>
      </c>
      <c r="E3068" s="1">
        <v>3</v>
      </c>
      <c r="F3068" s="1" t="s">
        <v>320</v>
      </c>
      <c r="G3068" s="1">
        <v>50</v>
      </c>
      <c r="H3068" s="1" t="s">
        <v>320</v>
      </c>
    </row>
    <row r="3069" spans="1:8">
      <c r="A3069">
        <v>185</v>
      </c>
      <c r="B3069" t="s">
        <v>600</v>
      </c>
      <c r="C3069">
        <v>90</v>
      </c>
      <c r="D3069" t="s">
        <v>244</v>
      </c>
      <c r="G3069" s="1">
        <v>5</v>
      </c>
    </row>
    <row r="3070" spans="1:8">
      <c r="A3070">
        <v>187</v>
      </c>
      <c r="B3070" t="s">
        <v>601</v>
      </c>
      <c r="C3070">
        <v>1</v>
      </c>
      <c r="D3070" t="s">
        <v>137</v>
      </c>
      <c r="E3070" s="1">
        <v>2</v>
      </c>
      <c r="F3070" s="1" t="s">
        <v>162</v>
      </c>
      <c r="G3070" s="1">
        <v>12</v>
      </c>
      <c r="H3070" s="1" t="s">
        <v>162</v>
      </c>
    </row>
    <row r="3071" spans="1:8">
      <c r="A3071">
        <v>187</v>
      </c>
      <c r="B3071" t="s">
        <v>601</v>
      </c>
      <c r="C3071">
        <v>1</v>
      </c>
      <c r="D3071" t="s">
        <v>137</v>
      </c>
      <c r="E3071" s="1">
        <v>2</v>
      </c>
      <c r="F3071" s="1">
        <v>20</v>
      </c>
      <c r="G3071" s="1">
        <v>20</v>
      </c>
      <c r="H3071" s="1">
        <v>20</v>
      </c>
    </row>
    <row r="3072" spans="1:8">
      <c r="A3072">
        <v>187</v>
      </c>
      <c r="B3072" t="s">
        <v>601</v>
      </c>
      <c r="C3072">
        <v>1</v>
      </c>
      <c r="D3072" t="s">
        <v>137</v>
      </c>
      <c r="E3072" s="1">
        <v>2</v>
      </c>
      <c r="F3072" s="1">
        <v>21</v>
      </c>
      <c r="G3072" s="1">
        <v>30</v>
      </c>
      <c r="H3072" s="1">
        <v>21</v>
      </c>
    </row>
    <row r="3073" spans="1:8">
      <c r="A3073">
        <v>187</v>
      </c>
      <c r="B3073" t="s">
        <v>601</v>
      </c>
      <c r="C3073">
        <v>1</v>
      </c>
      <c r="D3073" t="s">
        <v>137</v>
      </c>
      <c r="E3073" s="1">
        <v>2</v>
      </c>
      <c r="F3073" s="1" t="s">
        <v>168</v>
      </c>
      <c r="G3073" s="1">
        <v>32</v>
      </c>
      <c r="H3073" s="1" t="s">
        <v>168</v>
      </c>
    </row>
    <row r="3074" spans="1:8">
      <c r="A3074">
        <v>187</v>
      </c>
      <c r="B3074" t="s">
        <v>601</v>
      </c>
      <c r="C3074">
        <v>1</v>
      </c>
      <c r="D3074" t="s">
        <v>137</v>
      </c>
      <c r="E3074" s="1">
        <v>2</v>
      </c>
      <c r="F3074" s="1" t="s">
        <v>171</v>
      </c>
      <c r="G3074" s="1">
        <v>42</v>
      </c>
      <c r="H3074" s="1" t="s">
        <v>171</v>
      </c>
    </row>
    <row r="3075" spans="1:8">
      <c r="A3075">
        <v>187</v>
      </c>
      <c r="B3075" t="s">
        <v>601</v>
      </c>
      <c r="C3075">
        <v>11</v>
      </c>
      <c r="D3075" t="s">
        <v>186</v>
      </c>
      <c r="E3075" s="1">
        <v>1</v>
      </c>
      <c r="F3075" s="1">
        <v>42</v>
      </c>
      <c r="G3075" s="1">
        <v>30</v>
      </c>
      <c r="H3075" s="1">
        <v>42</v>
      </c>
    </row>
    <row r="3076" spans="1:8">
      <c r="A3076">
        <v>187</v>
      </c>
      <c r="B3076" t="s">
        <v>601</v>
      </c>
      <c r="C3076">
        <v>11</v>
      </c>
      <c r="D3076" t="s">
        <v>186</v>
      </c>
      <c r="E3076" s="1">
        <v>1</v>
      </c>
      <c r="F3076" s="1" t="s">
        <v>197</v>
      </c>
      <c r="G3076" s="1">
        <v>52</v>
      </c>
      <c r="H3076" s="1" t="s">
        <v>197</v>
      </c>
    </row>
    <row r="3077" spans="1:8">
      <c r="A3077">
        <v>187</v>
      </c>
      <c r="B3077" t="s">
        <v>601</v>
      </c>
      <c r="C3077">
        <v>11</v>
      </c>
      <c r="D3077" t="s">
        <v>186</v>
      </c>
      <c r="E3077" s="1">
        <v>1</v>
      </c>
      <c r="F3077" s="1">
        <v>45</v>
      </c>
      <c r="G3077" s="1">
        <v>60</v>
      </c>
      <c r="H3077" s="1">
        <v>45</v>
      </c>
    </row>
    <row r="3078" spans="1:8">
      <c r="A3078">
        <v>187</v>
      </c>
      <c r="B3078" t="s">
        <v>601</v>
      </c>
      <c r="C3078">
        <v>11</v>
      </c>
      <c r="D3078" t="s">
        <v>186</v>
      </c>
      <c r="E3078" s="1">
        <v>1</v>
      </c>
      <c r="F3078" s="1" t="s">
        <v>198</v>
      </c>
      <c r="G3078" s="1">
        <v>62</v>
      </c>
      <c r="H3078" s="1" t="s">
        <v>198</v>
      </c>
    </row>
    <row r="3079" spans="1:8">
      <c r="A3079">
        <v>187</v>
      </c>
      <c r="B3079" t="s">
        <v>601</v>
      </c>
      <c r="C3079">
        <v>12</v>
      </c>
      <c r="D3079" t="s">
        <v>107</v>
      </c>
      <c r="E3079" s="1">
        <v>1</v>
      </c>
      <c r="F3079" s="1" t="s">
        <v>197</v>
      </c>
      <c r="G3079" s="1">
        <v>52</v>
      </c>
      <c r="H3079" s="1" t="s">
        <v>197</v>
      </c>
    </row>
    <row r="3080" spans="1:8">
      <c r="A3080">
        <v>187</v>
      </c>
      <c r="B3080" t="s">
        <v>601</v>
      </c>
      <c r="C3080">
        <v>58</v>
      </c>
      <c r="D3080" t="s">
        <v>226</v>
      </c>
      <c r="E3080" s="1">
        <v>2</v>
      </c>
      <c r="F3080" s="1" t="s">
        <v>561</v>
      </c>
      <c r="G3080" s="1">
        <v>50</v>
      </c>
      <c r="H3080" s="1" t="s">
        <v>561</v>
      </c>
    </row>
    <row r="3081" spans="1:8">
      <c r="A3081">
        <v>187</v>
      </c>
      <c r="B3081" t="s">
        <v>601</v>
      </c>
      <c r="C3081">
        <v>59</v>
      </c>
      <c r="D3081" t="s">
        <v>227</v>
      </c>
      <c r="E3081" s="1">
        <v>3</v>
      </c>
      <c r="F3081" s="1" t="s">
        <v>295</v>
      </c>
      <c r="G3081" s="1">
        <v>23</v>
      </c>
      <c r="H3081" s="1" t="s">
        <v>295</v>
      </c>
    </row>
    <row r="3082" spans="1:8">
      <c r="A3082">
        <v>188</v>
      </c>
      <c r="B3082" t="s">
        <v>602</v>
      </c>
      <c r="C3082">
        <v>1</v>
      </c>
      <c r="D3082" t="s">
        <v>137</v>
      </c>
      <c r="E3082" s="1">
        <v>2</v>
      </c>
      <c r="F3082" s="1" t="s">
        <v>159</v>
      </c>
      <c r="G3082" s="1">
        <v>2</v>
      </c>
      <c r="H3082" s="1" t="s">
        <v>159</v>
      </c>
    </row>
    <row r="3083" spans="1:8">
      <c r="A3083">
        <v>188</v>
      </c>
      <c r="B3083" t="s">
        <v>602</v>
      </c>
      <c r="C3083">
        <v>1</v>
      </c>
      <c r="D3083" t="s">
        <v>137</v>
      </c>
      <c r="E3083" s="1">
        <v>2</v>
      </c>
      <c r="F3083" s="1">
        <v>19</v>
      </c>
      <c r="G3083" s="1">
        <v>10</v>
      </c>
      <c r="H3083" s="1">
        <v>19</v>
      </c>
    </row>
    <row r="3084" spans="1:8">
      <c r="A3084">
        <v>188</v>
      </c>
      <c r="B3084" t="s">
        <v>602</v>
      </c>
      <c r="C3084">
        <v>1</v>
      </c>
      <c r="D3084" t="s">
        <v>137</v>
      </c>
      <c r="E3084" s="1">
        <v>2</v>
      </c>
      <c r="F3084" s="1" t="s">
        <v>162</v>
      </c>
      <c r="G3084" s="1">
        <v>12</v>
      </c>
      <c r="H3084" s="1" t="s">
        <v>162</v>
      </c>
    </row>
    <row r="3085" spans="1:8">
      <c r="A3085">
        <v>188</v>
      </c>
      <c r="B3085" t="s">
        <v>602</v>
      </c>
      <c r="C3085">
        <v>1</v>
      </c>
      <c r="D3085" t="s">
        <v>137</v>
      </c>
      <c r="E3085" s="1">
        <v>2</v>
      </c>
      <c r="F3085" s="1" t="s">
        <v>165</v>
      </c>
      <c r="G3085" s="1">
        <v>22</v>
      </c>
      <c r="H3085" s="1" t="s">
        <v>165</v>
      </c>
    </row>
    <row r="3086" spans="1:8">
      <c r="A3086">
        <v>188</v>
      </c>
      <c r="B3086" t="s">
        <v>602</v>
      </c>
      <c r="C3086">
        <v>1</v>
      </c>
      <c r="D3086" t="s">
        <v>137</v>
      </c>
      <c r="E3086" s="1">
        <v>2</v>
      </c>
      <c r="F3086" s="1">
        <v>21</v>
      </c>
      <c r="G3086" s="1">
        <v>30</v>
      </c>
      <c r="H3086" s="1">
        <v>21</v>
      </c>
    </row>
    <row r="3087" spans="1:8">
      <c r="A3087">
        <v>188</v>
      </c>
      <c r="B3087" t="s">
        <v>602</v>
      </c>
      <c r="C3087">
        <v>1</v>
      </c>
      <c r="D3087" t="s">
        <v>137</v>
      </c>
      <c r="E3087" s="1">
        <v>2</v>
      </c>
      <c r="F3087" s="1" t="s">
        <v>168</v>
      </c>
      <c r="G3087" s="1">
        <v>32</v>
      </c>
      <c r="H3087" s="1" t="s">
        <v>168</v>
      </c>
    </row>
    <row r="3088" spans="1:8">
      <c r="A3088">
        <v>188</v>
      </c>
      <c r="B3088" t="s">
        <v>602</v>
      </c>
      <c r="C3088">
        <v>1</v>
      </c>
      <c r="D3088" t="s">
        <v>137</v>
      </c>
      <c r="E3088" s="1">
        <v>2</v>
      </c>
      <c r="F3088" s="1">
        <v>23</v>
      </c>
      <c r="G3088" s="1">
        <v>50</v>
      </c>
      <c r="H3088" s="1">
        <v>23</v>
      </c>
    </row>
    <row r="3089" spans="1:8">
      <c r="A3089">
        <v>188</v>
      </c>
      <c r="B3089" t="s">
        <v>602</v>
      </c>
      <c r="C3089">
        <v>5</v>
      </c>
      <c r="D3089" t="s">
        <v>183</v>
      </c>
      <c r="G3089" s="1">
        <v>60</v>
      </c>
    </row>
    <row r="3090" spans="1:8">
      <c r="A3090">
        <v>188</v>
      </c>
      <c r="B3090" t="s">
        <v>602</v>
      </c>
      <c r="C3090">
        <v>11</v>
      </c>
      <c r="D3090" t="s">
        <v>186</v>
      </c>
      <c r="E3090" s="1">
        <v>1</v>
      </c>
      <c r="F3090" s="1" t="s">
        <v>193</v>
      </c>
      <c r="G3090" s="1">
        <v>12</v>
      </c>
      <c r="H3090" s="1" t="s">
        <v>193</v>
      </c>
    </row>
    <row r="3091" spans="1:8">
      <c r="A3091">
        <v>188</v>
      </c>
      <c r="B3091" t="s">
        <v>602</v>
      </c>
      <c r="C3091">
        <v>11</v>
      </c>
      <c r="D3091" t="s">
        <v>186</v>
      </c>
      <c r="E3091" s="1">
        <v>1</v>
      </c>
      <c r="F3091" s="1">
        <v>42</v>
      </c>
      <c r="G3091" s="1">
        <v>30</v>
      </c>
      <c r="H3091" s="1">
        <v>42</v>
      </c>
    </row>
    <row r="3092" spans="1:8">
      <c r="A3092">
        <v>188</v>
      </c>
      <c r="B3092" t="s">
        <v>602</v>
      </c>
      <c r="C3092">
        <v>11</v>
      </c>
      <c r="D3092" t="s">
        <v>186</v>
      </c>
      <c r="E3092" s="1">
        <v>1</v>
      </c>
      <c r="F3092" s="1" t="s">
        <v>195</v>
      </c>
      <c r="G3092" s="1">
        <v>32</v>
      </c>
      <c r="H3092" s="1" t="s">
        <v>195</v>
      </c>
    </row>
    <row r="3093" spans="1:8">
      <c r="A3093">
        <v>188</v>
      </c>
      <c r="B3093" t="s">
        <v>602</v>
      </c>
      <c r="C3093">
        <v>11</v>
      </c>
      <c r="D3093" t="s">
        <v>186</v>
      </c>
      <c r="E3093" s="1">
        <v>1</v>
      </c>
      <c r="F3093" s="1" t="s">
        <v>197</v>
      </c>
      <c r="G3093" s="1">
        <v>52</v>
      </c>
      <c r="H3093" s="1" t="s">
        <v>197</v>
      </c>
    </row>
    <row r="3094" spans="1:8">
      <c r="A3094">
        <v>188</v>
      </c>
      <c r="B3094" t="s">
        <v>602</v>
      </c>
      <c r="C3094">
        <v>11</v>
      </c>
      <c r="D3094" t="s">
        <v>186</v>
      </c>
      <c r="E3094" s="1">
        <v>1</v>
      </c>
      <c r="F3094" s="1" t="s">
        <v>199</v>
      </c>
      <c r="G3094" s="1">
        <v>72</v>
      </c>
      <c r="H3094" s="1" t="s">
        <v>199</v>
      </c>
    </row>
    <row r="3095" spans="1:8">
      <c r="A3095">
        <v>188</v>
      </c>
      <c r="B3095" t="s">
        <v>602</v>
      </c>
      <c r="C3095">
        <v>27</v>
      </c>
      <c r="D3095" t="s">
        <v>210</v>
      </c>
      <c r="E3095" s="1">
        <v>1</v>
      </c>
      <c r="F3095" s="1" t="s">
        <v>195</v>
      </c>
      <c r="G3095" s="1">
        <v>32</v>
      </c>
      <c r="H3095" s="1" t="s">
        <v>195</v>
      </c>
    </row>
    <row r="3096" spans="1:8">
      <c r="A3096">
        <v>188</v>
      </c>
      <c r="B3096" t="s">
        <v>602</v>
      </c>
      <c r="C3096">
        <v>27</v>
      </c>
      <c r="D3096" t="s">
        <v>210</v>
      </c>
      <c r="E3096" s="1">
        <v>1</v>
      </c>
      <c r="F3096" s="1" t="s">
        <v>196</v>
      </c>
      <c r="G3096" s="1">
        <v>42</v>
      </c>
      <c r="H3096" s="1" t="s">
        <v>196</v>
      </c>
    </row>
    <row r="3097" spans="1:8">
      <c r="A3097">
        <v>188</v>
      </c>
      <c r="B3097" t="s">
        <v>602</v>
      </c>
      <c r="C3097">
        <v>27</v>
      </c>
      <c r="D3097" t="s">
        <v>210</v>
      </c>
      <c r="E3097" s="1">
        <v>1</v>
      </c>
      <c r="F3097" s="1" t="s">
        <v>197</v>
      </c>
      <c r="G3097" s="1">
        <v>52</v>
      </c>
      <c r="H3097" s="1" t="s">
        <v>197</v>
      </c>
    </row>
    <row r="3098" spans="1:8">
      <c r="A3098">
        <v>188</v>
      </c>
      <c r="B3098" t="s">
        <v>602</v>
      </c>
      <c r="C3098">
        <v>27</v>
      </c>
      <c r="D3098" t="s">
        <v>210</v>
      </c>
      <c r="E3098" s="1">
        <v>1</v>
      </c>
      <c r="F3098" s="1">
        <v>45</v>
      </c>
      <c r="G3098" s="1">
        <v>60</v>
      </c>
      <c r="H3098" s="1">
        <v>45</v>
      </c>
    </row>
    <row r="3099" spans="1:8">
      <c r="A3099">
        <v>188</v>
      </c>
      <c r="B3099" t="s">
        <v>602</v>
      </c>
      <c r="C3099">
        <v>27</v>
      </c>
      <c r="D3099" t="s">
        <v>210</v>
      </c>
      <c r="E3099" s="1">
        <v>1</v>
      </c>
      <c r="F3099" s="1" t="s">
        <v>198</v>
      </c>
      <c r="G3099" s="1">
        <v>62</v>
      </c>
      <c r="H3099" s="1" t="s">
        <v>198</v>
      </c>
    </row>
    <row r="3100" spans="1:8">
      <c r="A3100">
        <v>189</v>
      </c>
      <c r="B3100" t="s">
        <v>603</v>
      </c>
      <c r="C3100">
        <v>11</v>
      </c>
      <c r="D3100" t="s">
        <v>186</v>
      </c>
      <c r="E3100" s="1">
        <v>1</v>
      </c>
      <c r="F3100" s="1">
        <v>42</v>
      </c>
      <c r="G3100" s="1">
        <v>30</v>
      </c>
      <c r="H3100" s="1">
        <v>42</v>
      </c>
    </row>
    <row r="3101" spans="1:8">
      <c r="A3101">
        <v>189</v>
      </c>
      <c r="B3101" t="s">
        <v>603</v>
      </c>
      <c r="C3101">
        <v>11</v>
      </c>
      <c r="D3101" t="s">
        <v>186</v>
      </c>
      <c r="E3101" s="1">
        <v>1</v>
      </c>
      <c r="F3101" s="1" t="s">
        <v>198</v>
      </c>
      <c r="G3101" s="1">
        <v>62</v>
      </c>
      <c r="H3101" s="1" t="s">
        <v>198</v>
      </c>
    </row>
    <row r="3102" spans="1:8">
      <c r="A3102">
        <v>190</v>
      </c>
      <c r="B3102" t="s">
        <v>604</v>
      </c>
      <c r="C3102">
        <v>11</v>
      </c>
      <c r="D3102" t="s">
        <v>186</v>
      </c>
      <c r="E3102" s="1">
        <v>1</v>
      </c>
      <c r="F3102" s="1" t="s">
        <v>198</v>
      </c>
      <c r="G3102" s="1">
        <v>62</v>
      </c>
      <c r="H3102" s="1" t="s">
        <v>198</v>
      </c>
    </row>
    <row r="3103" spans="1:8">
      <c r="A3103">
        <v>190</v>
      </c>
      <c r="B3103" t="s">
        <v>604</v>
      </c>
      <c r="C3103">
        <v>65</v>
      </c>
      <c r="D3103" t="s">
        <v>231</v>
      </c>
      <c r="G3103" s="1">
        <v>40</v>
      </c>
    </row>
    <row r="3104" spans="1:8">
      <c r="A3104">
        <v>191</v>
      </c>
      <c r="B3104" t="s">
        <v>605</v>
      </c>
      <c r="C3104">
        <v>1</v>
      </c>
      <c r="D3104" t="s">
        <v>137</v>
      </c>
      <c r="E3104" s="1">
        <v>2</v>
      </c>
      <c r="F3104" s="1" t="s">
        <v>165</v>
      </c>
      <c r="G3104" s="1">
        <v>22</v>
      </c>
      <c r="H3104" s="1" t="s">
        <v>165</v>
      </c>
    </row>
    <row r="3105" spans="1:8">
      <c r="A3105">
        <v>191</v>
      </c>
      <c r="B3105" t="s">
        <v>605</v>
      </c>
      <c r="C3105">
        <v>1</v>
      </c>
      <c r="D3105" t="s">
        <v>137</v>
      </c>
      <c r="E3105" s="1">
        <v>2</v>
      </c>
      <c r="F3105" s="1">
        <v>21</v>
      </c>
      <c r="G3105" s="1">
        <v>30</v>
      </c>
      <c r="H3105" s="1">
        <v>21</v>
      </c>
    </row>
    <row r="3106" spans="1:8">
      <c r="A3106">
        <v>191</v>
      </c>
      <c r="B3106" t="s">
        <v>605</v>
      </c>
      <c r="C3106">
        <v>1</v>
      </c>
      <c r="D3106" t="s">
        <v>137</v>
      </c>
      <c r="E3106" s="1">
        <v>2</v>
      </c>
      <c r="F3106" s="1" t="s">
        <v>168</v>
      </c>
      <c r="G3106" s="1">
        <v>32</v>
      </c>
      <c r="H3106" s="1" t="s">
        <v>168</v>
      </c>
    </row>
    <row r="3107" spans="1:8">
      <c r="A3107">
        <v>191</v>
      </c>
      <c r="B3107" t="s">
        <v>605</v>
      </c>
      <c r="C3107">
        <v>1</v>
      </c>
      <c r="D3107" t="s">
        <v>137</v>
      </c>
      <c r="E3107" s="1">
        <v>2</v>
      </c>
      <c r="F3107" s="1">
        <v>23</v>
      </c>
      <c r="G3107" s="1">
        <v>50</v>
      </c>
      <c r="H3107" s="1">
        <v>23</v>
      </c>
    </row>
    <row r="3108" spans="1:8">
      <c r="A3108">
        <v>191</v>
      </c>
      <c r="B3108" t="s">
        <v>605</v>
      </c>
      <c r="C3108">
        <v>11</v>
      </c>
      <c r="D3108" t="s">
        <v>186</v>
      </c>
      <c r="E3108" s="1">
        <v>1</v>
      </c>
      <c r="F3108" s="1" t="s">
        <v>194</v>
      </c>
      <c r="G3108" s="1">
        <v>22</v>
      </c>
      <c r="H3108" s="1" t="s">
        <v>194</v>
      </c>
    </row>
    <row r="3109" spans="1:8">
      <c r="A3109">
        <v>191</v>
      </c>
      <c r="B3109" t="s">
        <v>605</v>
      </c>
      <c r="C3109">
        <v>11</v>
      </c>
      <c r="D3109" t="s">
        <v>186</v>
      </c>
      <c r="E3109" s="1">
        <v>1</v>
      </c>
      <c r="F3109" s="1" t="s">
        <v>195</v>
      </c>
      <c r="G3109" s="1">
        <v>32</v>
      </c>
      <c r="H3109" s="1" t="s">
        <v>195</v>
      </c>
    </row>
    <row r="3110" spans="1:8">
      <c r="A3110">
        <v>191</v>
      </c>
      <c r="B3110" t="s">
        <v>605</v>
      </c>
      <c r="C3110">
        <v>11</v>
      </c>
      <c r="D3110" t="s">
        <v>186</v>
      </c>
      <c r="E3110" s="1">
        <v>1</v>
      </c>
      <c r="F3110" s="1" t="s">
        <v>196</v>
      </c>
      <c r="G3110" s="1">
        <v>42</v>
      </c>
      <c r="H3110" s="1" t="s">
        <v>196</v>
      </c>
    </row>
    <row r="3111" spans="1:8">
      <c r="A3111">
        <v>191</v>
      </c>
      <c r="B3111" t="s">
        <v>605</v>
      </c>
      <c r="C3111">
        <v>11</v>
      </c>
      <c r="D3111" t="s">
        <v>186</v>
      </c>
      <c r="E3111" s="1">
        <v>1</v>
      </c>
      <c r="F3111" s="1" t="s">
        <v>198</v>
      </c>
      <c r="G3111" s="1">
        <v>62</v>
      </c>
      <c r="H3111" s="1" t="s">
        <v>198</v>
      </c>
    </row>
    <row r="3112" spans="1:8">
      <c r="A3112">
        <v>191</v>
      </c>
      <c r="B3112" t="s">
        <v>605</v>
      </c>
      <c r="C3112">
        <v>12</v>
      </c>
      <c r="D3112" t="s">
        <v>107</v>
      </c>
      <c r="E3112" s="1">
        <v>1</v>
      </c>
      <c r="F3112" s="1" t="s">
        <v>194</v>
      </c>
      <c r="G3112" s="1">
        <v>22</v>
      </c>
      <c r="H3112" s="1" t="s">
        <v>194</v>
      </c>
    </row>
    <row r="3113" spans="1:8">
      <c r="A3113">
        <v>191</v>
      </c>
      <c r="B3113" t="s">
        <v>605</v>
      </c>
      <c r="C3113">
        <v>12</v>
      </c>
      <c r="D3113" t="s">
        <v>107</v>
      </c>
      <c r="E3113" s="1">
        <v>1</v>
      </c>
      <c r="F3113" s="1">
        <v>44</v>
      </c>
      <c r="G3113" s="1">
        <v>50</v>
      </c>
      <c r="H3113" s="1">
        <v>44</v>
      </c>
    </row>
    <row r="3114" spans="1:8">
      <c r="A3114">
        <v>191</v>
      </c>
      <c r="B3114" t="s">
        <v>605</v>
      </c>
      <c r="C3114">
        <v>12</v>
      </c>
      <c r="D3114" t="s">
        <v>107</v>
      </c>
      <c r="E3114" s="1">
        <v>1</v>
      </c>
      <c r="F3114" s="1" t="s">
        <v>198</v>
      </c>
      <c r="G3114" s="1">
        <v>62</v>
      </c>
      <c r="H3114" s="1" t="s">
        <v>198</v>
      </c>
    </row>
    <row r="3115" spans="1:8">
      <c r="A3115">
        <v>193</v>
      </c>
      <c r="B3115" t="s">
        <v>606</v>
      </c>
      <c r="C3115">
        <v>11</v>
      </c>
      <c r="D3115" t="s">
        <v>186</v>
      </c>
      <c r="E3115" s="1">
        <v>1</v>
      </c>
      <c r="F3115" s="1" t="s">
        <v>198</v>
      </c>
      <c r="G3115" s="1">
        <v>62</v>
      </c>
      <c r="H3115" s="1" t="s">
        <v>198</v>
      </c>
    </row>
    <row r="3116" spans="1:8">
      <c r="A3116">
        <v>193</v>
      </c>
      <c r="B3116" t="s">
        <v>606</v>
      </c>
      <c r="C3116">
        <v>21</v>
      </c>
      <c r="D3116" t="s">
        <v>205</v>
      </c>
      <c r="E3116" s="1">
        <v>1</v>
      </c>
      <c r="F3116" s="1" t="s">
        <v>287</v>
      </c>
      <c r="G3116" s="1">
        <v>52</v>
      </c>
      <c r="H3116" s="1" t="s">
        <v>287</v>
      </c>
    </row>
    <row r="3117" spans="1:8">
      <c r="A3117">
        <v>193</v>
      </c>
      <c r="B3117" t="s">
        <v>606</v>
      </c>
      <c r="C3117">
        <v>57</v>
      </c>
      <c r="D3117" t="s">
        <v>183</v>
      </c>
      <c r="G3117" s="1">
        <v>50</v>
      </c>
    </row>
    <row r="3118" spans="1:8">
      <c r="A3118">
        <v>193</v>
      </c>
      <c r="B3118" t="s">
        <v>606</v>
      </c>
      <c r="C3118">
        <v>58</v>
      </c>
      <c r="D3118" t="s">
        <v>226</v>
      </c>
      <c r="E3118" s="1">
        <v>2</v>
      </c>
      <c r="F3118" s="1" t="s">
        <v>318</v>
      </c>
      <c r="G3118" s="1">
        <v>60</v>
      </c>
      <c r="H3118" s="1" t="s">
        <v>318</v>
      </c>
    </row>
    <row r="3119" spans="1:8">
      <c r="A3119">
        <v>194</v>
      </c>
      <c r="B3119" t="s">
        <v>607</v>
      </c>
      <c r="C3119">
        <v>1</v>
      </c>
      <c r="D3119" t="s">
        <v>137</v>
      </c>
      <c r="E3119" s="1">
        <v>1</v>
      </c>
      <c r="F3119" s="1" t="s">
        <v>156</v>
      </c>
      <c r="G3119" s="1">
        <v>96</v>
      </c>
      <c r="H3119" s="1" t="s">
        <v>156</v>
      </c>
    </row>
    <row r="3120" spans="1:8">
      <c r="A3120">
        <v>194</v>
      </c>
      <c r="B3120" t="s">
        <v>607</v>
      </c>
      <c r="C3120">
        <v>11</v>
      </c>
      <c r="D3120" t="s">
        <v>186</v>
      </c>
      <c r="E3120" s="1">
        <v>1</v>
      </c>
      <c r="F3120" s="1" t="s">
        <v>196</v>
      </c>
      <c r="G3120" s="1">
        <v>42</v>
      </c>
      <c r="H3120" s="1" t="s">
        <v>196</v>
      </c>
    </row>
    <row r="3121" spans="1:8">
      <c r="A3121">
        <v>195</v>
      </c>
      <c r="B3121" t="s">
        <v>608</v>
      </c>
      <c r="C3121">
        <v>1</v>
      </c>
      <c r="D3121" t="s">
        <v>137</v>
      </c>
      <c r="E3121" s="1">
        <v>2</v>
      </c>
      <c r="F3121" s="1" t="s">
        <v>159</v>
      </c>
      <c r="G3121" s="1">
        <v>2</v>
      </c>
      <c r="H3121" s="1" t="s">
        <v>159</v>
      </c>
    </row>
    <row r="3122" spans="1:8">
      <c r="A3122">
        <v>195</v>
      </c>
      <c r="B3122" t="s">
        <v>608</v>
      </c>
      <c r="C3122">
        <v>1</v>
      </c>
      <c r="D3122" t="s">
        <v>137</v>
      </c>
      <c r="E3122" s="1">
        <v>2</v>
      </c>
      <c r="F3122" s="1">
        <v>19</v>
      </c>
      <c r="G3122" s="1">
        <v>10</v>
      </c>
      <c r="H3122" s="1">
        <v>19</v>
      </c>
    </row>
    <row r="3123" spans="1:8">
      <c r="A3123">
        <v>195</v>
      </c>
      <c r="B3123" t="s">
        <v>608</v>
      </c>
      <c r="C3123">
        <v>1</v>
      </c>
      <c r="D3123" t="s">
        <v>137</v>
      </c>
      <c r="E3123" s="1">
        <v>2</v>
      </c>
      <c r="F3123" s="1" t="s">
        <v>162</v>
      </c>
      <c r="G3123" s="1">
        <v>12</v>
      </c>
      <c r="H3123" s="1" t="s">
        <v>162</v>
      </c>
    </row>
    <row r="3124" spans="1:8">
      <c r="A3124">
        <v>195</v>
      </c>
      <c r="B3124" t="s">
        <v>608</v>
      </c>
      <c r="C3124">
        <v>1</v>
      </c>
      <c r="D3124" t="s">
        <v>137</v>
      </c>
      <c r="E3124" s="1">
        <v>2</v>
      </c>
      <c r="F3124" s="1">
        <v>20</v>
      </c>
      <c r="G3124" s="1">
        <v>20</v>
      </c>
      <c r="H3124" s="1">
        <v>20</v>
      </c>
    </row>
    <row r="3125" spans="1:8">
      <c r="A3125">
        <v>195</v>
      </c>
      <c r="B3125" t="s">
        <v>608</v>
      </c>
      <c r="C3125">
        <v>1</v>
      </c>
      <c r="D3125" t="s">
        <v>137</v>
      </c>
      <c r="E3125" s="1">
        <v>2</v>
      </c>
      <c r="F3125" s="1" t="s">
        <v>165</v>
      </c>
      <c r="G3125" s="1">
        <v>22</v>
      </c>
      <c r="H3125" s="1" t="s">
        <v>165</v>
      </c>
    </row>
    <row r="3126" spans="1:8">
      <c r="A3126">
        <v>195</v>
      </c>
      <c r="B3126" t="s">
        <v>608</v>
      </c>
      <c r="C3126">
        <v>1</v>
      </c>
      <c r="D3126" t="s">
        <v>137</v>
      </c>
      <c r="E3126" s="1">
        <v>2</v>
      </c>
      <c r="F3126" s="1">
        <v>21</v>
      </c>
      <c r="G3126" s="1">
        <v>30</v>
      </c>
      <c r="H3126" s="1">
        <v>21</v>
      </c>
    </row>
    <row r="3127" spans="1:8">
      <c r="A3127">
        <v>195</v>
      </c>
      <c r="B3127" t="s">
        <v>608</v>
      </c>
      <c r="C3127">
        <v>1</v>
      </c>
      <c r="D3127" t="s">
        <v>137</v>
      </c>
      <c r="E3127" s="1">
        <v>2</v>
      </c>
      <c r="F3127" s="1" t="s">
        <v>168</v>
      </c>
      <c r="G3127" s="1">
        <v>32</v>
      </c>
      <c r="H3127" s="1" t="s">
        <v>168</v>
      </c>
    </row>
    <row r="3128" spans="1:8">
      <c r="A3128">
        <v>195</v>
      </c>
      <c r="B3128" t="s">
        <v>608</v>
      </c>
      <c r="C3128">
        <v>1</v>
      </c>
      <c r="D3128" t="s">
        <v>137</v>
      </c>
      <c r="E3128" s="1">
        <v>2</v>
      </c>
      <c r="F3128" s="1" t="s">
        <v>171</v>
      </c>
      <c r="G3128" s="1">
        <v>42</v>
      </c>
      <c r="H3128" s="1" t="s">
        <v>171</v>
      </c>
    </row>
    <row r="3129" spans="1:8">
      <c r="A3129">
        <v>195</v>
      </c>
      <c r="B3129" t="s">
        <v>608</v>
      </c>
      <c r="C3129">
        <v>1</v>
      </c>
      <c r="D3129" t="s">
        <v>137</v>
      </c>
      <c r="E3129" s="1">
        <v>2</v>
      </c>
      <c r="F3129" s="1">
        <v>18</v>
      </c>
      <c r="H3129" s="1">
        <v>18</v>
      </c>
    </row>
    <row r="3130" spans="1:8">
      <c r="A3130">
        <v>195</v>
      </c>
      <c r="B3130" t="s">
        <v>608</v>
      </c>
      <c r="C3130">
        <v>11</v>
      </c>
      <c r="D3130" t="s">
        <v>186</v>
      </c>
      <c r="E3130" s="1">
        <v>1</v>
      </c>
      <c r="F3130" s="1" t="s">
        <v>193</v>
      </c>
      <c r="G3130" s="1">
        <v>12</v>
      </c>
      <c r="H3130" s="1" t="s">
        <v>193</v>
      </c>
    </row>
    <row r="3131" spans="1:8">
      <c r="A3131">
        <v>195</v>
      </c>
      <c r="B3131" t="s">
        <v>608</v>
      </c>
      <c r="C3131">
        <v>11</v>
      </c>
      <c r="D3131" t="s">
        <v>186</v>
      </c>
      <c r="E3131" s="1">
        <v>1</v>
      </c>
      <c r="F3131" s="1">
        <v>41</v>
      </c>
      <c r="G3131" s="1">
        <v>20</v>
      </c>
      <c r="H3131" s="1">
        <v>41</v>
      </c>
    </row>
    <row r="3132" spans="1:8">
      <c r="A3132">
        <v>195</v>
      </c>
      <c r="B3132" t="s">
        <v>608</v>
      </c>
      <c r="C3132">
        <v>11</v>
      </c>
      <c r="D3132" t="s">
        <v>186</v>
      </c>
      <c r="E3132" s="1">
        <v>1</v>
      </c>
      <c r="F3132" s="1" t="s">
        <v>194</v>
      </c>
      <c r="G3132" s="1">
        <v>22</v>
      </c>
      <c r="H3132" s="1" t="s">
        <v>194</v>
      </c>
    </row>
    <row r="3133" spans="1:8">
      <c r="A3133">
        <v>195</v>
      </c>
      <c r="B3133" t="s">
        <v>608</v>
      </c>
      <c r="C3133">
        <v>11</v>
      </c>
      <c r="D3133" t="s">
        <v>186</v>
      </c>
      <c r="E3133" s="1">
        <v>1</v>
      </c>
      <c r="F3133" s="1">
        <v>42</v>
      </c>
      <c r="G3133" s="1">
        <v>30</v>
      </c>
      <c r="H3133" s="1">
        <v>42</v>
      </c>
    </row>
    <row r="3134" spans="1:8">
      <c r="A3134">
        <v>195</v>
      </c>
      <c r="B3134" t="s">
        <v>608</v>
      </c>
      <c r="C3134">
        <v>11</v>
      </c>
      <c r="D3134" t="s">
        <v>186</v>
      </c>
      <c r="E3134" s="1">
        <v>1</v>
      </c>
      <c r="F3134" s="1" t="s">
        <v>195</v>
      </c>
      <c r="G3134" s="1">
        <v>32</v>
      </c>
      <c r="H3134" s="1" t="s">
        <v>195</v>
      </c>
    </row>
    <row r="3135" spans="1:8">
      <c r="A3135">
        <v>195</v>
      </c>
      <c r="B3135" t="s">
        <v>608</v>
      </c>
      <c r="C3135">
        <v>11</v>
      </c>
      <c r="D3135" t="s">
        <v>186</v>
      </c>
      <c r="E3135" s="1">
        <v>1</v>
      </c>
      <c r="F3135" s="1">
        <v>43</v>
      </c>
      <c r="G3135" s="1">
        <v>40</v>
      </c>
      <c r="H3135" s="1">
        <v>43</v>
      </c>
    </row>
    <row r="3136" spans="1:8">
      <c r="A3136">
        <v>195</v>
      </c>
      <c r="B3136" t="s">
        <v>608</v>
      </c>
      <c r="C3136">
        <v>11</v>
      </c>
      <c r="D3136" t="s">
        <v>186</v>
      </c>
      <c r="E3136" s="1">
        <v>1</v>
      </c>
      <c r="F3136" s="1">
        <v>44</v>
      </c>
      <c r="G3136" s="1">
        <v>50</v>
      </c>
      <c r="H3136" s="1">
        <v>44</v>
      </c>
    </row>
    <row r="3137" spans="1:8">
      <c r="A3137">
        <v>195</v>
      </c>
      <c r="B3137" t="s">
        <v>608</v>
      </c>
      <c r="C3137">
        <v>11</v>
      </c>
      <c r="D3137" t="s">
        <v>186</v>
      </c>
      <c r="E3137" s="1">
        <v>1</v>
      </c>
      <c r="F3137" s="1" t="s">
        <v>197</v>
      </c>
      <c r="G3137" s="1">
        <v>52</v>
      </c>
      <c r="H3137" s="1" t="s">
        <v>197</v>
      </c>
    </row>
    <row r="3138" spans="1:8">
      <c r="A3138">
        <v>195</v>
      </c>
      <c r="B3138" t="s">
        <v>608</v>
      </c>
      <c r="C3138">
        <v>11</v>
      </c>
      <c r="D3138" t="s">
        <v>186</v>
      </c>
      <c r="E3138" s="1">
        <v>1</v>
      </c>
      <c r="F3138" s="1">
        <v>45</v>
      </c>
      <c r="G3138" s="1">
        <v>60</v>
      </c>
      <c r="H3138" s="1">
        <v>45</v>
      </c>
    </row>
    <row r="3139" spans="1:8">
      <c r="A3139">
        <v>195</v>
      </c>
      <c r="B3139" t="s">
        <v>608</v>
      </c>
      <c r="C3139">
        <v>11</v>
      </c>
      <c r="D3139" t="s">
        <v>186</v>
      </c>
      <c r="E3139" s="1">
        <v>1</v>
      </c>
      <c r="F3139" s="1" t="s">
        <v>198</v>
      </c>
      <c r="G3139" s="1">
        <v>62</v>
      </c>
      <c r="H3139" s="1" t="s">
        <v>198</v>
      </c>
    </row>
    <row r="3140" spans="1:8">
      <c r="A3140">
        <v>195</v>
      </c>
      <c r="B3140" t="s">
        <v>608</v>
      </c>
      <c r="C3140">
        <v>11</v>
      </c>
      <c r="D3140" t="s">
        <v>186</v>
      </c>
      <c r="E3140" s="1">
        <v>1</v>
      </c>
      <c r="F3140" s="1" t="s">
        <v>199</v>
      </c>
      <c r="G3140" s="1">
        <v>72</v>
      </c>
      <c r="H3140" s="1" t="s">
        <v>199</v>
      </c>
    </row>
    <row r="3141" spans="1:8">
      <c r="A3141">
        <v>195</v>
      </c>
      <c r="B3141" t="s">
        <v>608</v>
      </c>
      <c r="C3141">
        <v>12</v>
      </c>
      <c r="D3141" t="s">
        <v>107</v>
      </c>
      <c r="E3141" s="1">
        <v>1</v>
      </c>
      <c r="F3141" s="1" t="s">
        <v>195</v>
      </c>
      <c r="G3141" s="1">
        <v>32</v>
      </c>
      <c r="H3141" s="1" t="s">
        <v>195</v>
      </c>
    </row>
    <row r="3142" spans="1:8">
      <c r="A3142">
        <v>195</v>
      </c>
      <c r="B3142" t="s">
        <v>608</v>
      </c>
      <c r="C3142">
        <v>12</v>
      </c>
      <c r="D3142" t="s">
        <v>107</v>
      </c>
      <c r="E3142" s="1">
        <v>1</v>
      </c>
      <c r="F3142" s="1" t="s">
        <v>196</v>
      </c>
      <c r="G3142" s="1">
        <v>42</v>
      </c>
      <c r="H3142" s="1" t="s">
        <v>196</v>
      </c>
    </row>
    <row r="3143" spans="1:8">
      <c r="A3143">
        <v>195</v>
      </c>
      <c r="B3143" t="s">
        <v>608</v>
      </c>
      <c r="C3143">
        <v>12</v>
      </c>
      <c r="D3143" t="s">
        <v>107</v>
      </c>
      <c r="E3143" s="1">
        <v>1</v>
      </c>
      <c r="F3143" s="1">
        <v>44</v>
      </c>
      <c r="G3143" s="1">
        <v>50</v>
      </c>
      <c r="H3143" s="1">
        <v>44</v>
      </c>
    </row>
    <row r="3144" spans="1:8">
      <c r="A3144">
        <v>195</v>
      </c>
      <c r="B3144" t="s">
        <v>608</v>
      </c>
      <c r="C3144">
        <v>12</v>
      </c>
      <c r="D3144" t="s">
        <v>107</v>
      </c>
      <c r="E3144" s="1">
        <v>1</v>
      </c>
      <c r="F3144" s="1" t="s">
        <v>197</v>
      </c>
      <c r="G3144" s="1">
        <v>52</v>
      </c>
      <c r="H3144" s="1" t="s">
        <v>197</v>
      </c>
    </row>
    <row r="3145" spans="1:8">
      <c r="A3145">
        <v>195</v>
      </c>
      <c r="B3145" t="s">
        <v>608</v>
      </c>
      <c r="C3145">
        <v>12</v>
      </c>
      <c r="D3145" t="s">
        <v>107</v>
      </c>
      <c r="E3145" s="1">
        <v>1</v>
      </c>
      <c r="F3145" s="1">
        <v>45</v>
      </c>
      <c r="G3145" s="1">
        <v>60</v>
      </c>
      <c r="H3145" s="1">
        <v>45</v>
      </c>
    </row>
    <row r="3146" spans="1:8">
      <c r="A3146">
        <v>195</v>
      </c>
      <c r="B3146" t="s">
        <v>608</v>
      </c>
      <c r="C3146">
        <v>12</v>
      </c>
      <c r="D3146" t="s">
        <v>107</v>
      </c>
      <c r="E3146" s="1">
        <v>1</v>
      </c>
      <c r="F3146" s="1" t="s">
        <v>198</v>
      </c>
      <c r="G3146" s="1">
        <v>62</v>
      </c>
      <c r="H3146" s="1" t="s">
        <v>198</v>
      </c>
    </row>
    <row r="3147" spans="1:8">
      <c r="A3147">
        <v>195</v>
      </c>
      <c r="B3147" t="s">
        <v>608</v>
      </c>
      <c r="C3147">
        <v>12</v>
      </c>
      <c r="D3147" t="s">
        <v>107</v>
      </c>
      <c r="E3147" s="1">
        <v>1</v>
      </c>
      <c r="F3147" s="1" t="s">
        <v>199</v>
      </c>
      <c r="G3147" s="1">
        <v>72</v>
      </c>
      <c r="H3147" s="1" t="s">
        <v>199</v>
      </c>
    </row>
    <row r="3148" spans="1:8">
      <c r="A3148">
        <v>195</v>
      </c>
      <c r="B3148" t="s">
        <v>608</v>
      </c>
      <c r="C3148">
        <v>13</v>
      </c>
      <c r="D3148" t="s">
        <v>200</v>
      </c>
      <c r="E3148" s="1">
        <v>1</v>
      </c>
      <c r="F3148" s="1" t="s">
        <v>195</v>
      </c>
      <c r="G3148" s="1">
        <v>32</v>
      </c>
      <c r="H3148" s="1" t="s">
        <v>195</v>
      </c>
    </row>
    <row r="3149" spans="1:8">
      <c r="A3149">
        <v>195</v>
      </c>
      <c r="B3149" t="s">
        <v>608</v>
      </c>
      <c r="C3149">
        <v>13</v>
      </c>
      <c r="D3149" t="s">
        <v>200</v>
      </c>
      <c r="E3149" s="1">
        <v>1</v>
      </c>
      <c r="F3149" s="1">
        <v>43</v>
      </c>
      <c r="G3149" s="1">
        <v>40</v>
      </c>
      <c r="H3149" s="1">
        <v>43</v>
      </c>
    </row>
    <row r="3150" spans="1:8">
      <c r="A3150">
        <v>195</v>
      </c>
      <c r="B3150" t="s">
        <v>608</v>
      </c>
      <c r="C3150">
        <v>13</v>
      </c>
      <c r="D3150" t="s">
        <v>200</v>
      </c>
      <c r="E3150" s="1">
        <v>1</v>
      </c>
      <c r="F3150" s="1" t="s">
        <v>198</v>
      </c>
      <c r="G3150" s="1">
        <v>62</v>
      </c>
      <c r="H3150" s="1" t="s">
        <v>198</v>
      </c>
    </row>
    <row r="3151" spans="1:8">
      <c r="A3151">
        <v>195</v>
      </c>
      <c r="B3151" t="s">
        <v>608</v>
      </c>
      <c r="C3151">
        <v>21</v>
      </c>
      <c r="D3151" t="s">
        <v>205</v>
      </c>
      <c r="E3151" s="1">
        <v>1</v>
      </c>
      <c r="F3151" s="1" t="s">
        <v>395</v>
      </c>
      <c r="G3151" s="1">
        <v>22</v>
      </c>
      <c r="H3151" s="1" t="s">
        <v>395</v>
      </c>
    </row>
    <row r="3152" spans="1:8">
      <c r="A3152">
        <v>195</v>
      </c>
      <c r="B3152" t="s">
        <v>608</v>
      </c>
      <c r="C3152">
        <v>21</v>
      </c>
      <c r="D3152" t="s">
        <v>205</v>
      </c>
      <c r="E3152" s="1">
        <v>1</v>
      </c>
      <c r="F3152" s="1" t="s">
        <v>323</v>
      </c>
      <c r="G3152" s="1">
        <v>32</v>
      </c>
      <c r="H3152" s="1" t="s">
        <v>323</v>
      </c>
    </row>
    <row r="3153" spans="1:8">
      <c r="A3153">
        <v>195</v>
      </c>
      <c r="B3153" t="s">
        <v>608</v>
      </c>
      <c r="C3153">
        <v>21</v>
      </c>
      <c r="D3153" t="s">
        <v>205</v>
      </c>
      <c r="E3153" s="1">
        <v>1</v>
      </c>
      <c r="F3153" s="1" t="s">
        <v>330</v>
      </c>
      <c r="G3153" s="1">
        <v>42</v>
      </c>
      <c r="H3153" s="1" t="s">
        <v>330</v>
      </c>
    </row>
    <row r="3154" spans="1:8">
      <c r="A3154">
        <v>195</v>
      </c>
      <c r="B3154" t="s">
        <v>608</v>
      </c>
      <c r="C3154">
        <v>24</v>
      </c>
      <c r="D3154" t="s">
        <v>208</v>
      </c>
      <c r="E3154" s="1">
        <v>1</v>
      </c>
      <c r="F3154" s="1" t="s">
        <v>284</v>
      </c>
      <c r="G3154" s="1">
        <v>20</v>
      </c>
      <c r="H3154" s="1" t="s">
        <v>284</v>
      </c>
    </row>
    <row r="3155" spans="1:8">
      <c r="A3155">
        <v>195</v>
      </c>
      <c r="B3155" t="s">
        <v>608</v>
      </c>
      <c r="C3155">
        <v>41</v>
      </c>
      <c r="D3155" t="s">
        <v>219</v>
      </c>
      <c r="E3155" s="1">
        <v>1</v>
      </c>
      <c r="F3155" s="1" t="s">
        <v>442</v>
      </c>
      <c r="G3155" s="1">
        <v>10</v>
      </c>
      <c r="H3155" s="1" t="s">
        <v>442</v>
      </c>
    </row>
    <row r="3156" spans="1:8">
      <c r="A3156">
        <v>195</v>
      </c>
      <c r="B3156" t="s">
        <v>608</v>
      </c>
      <c r="C3156">
        <v>41</v>
      </c>
      <c r="D3156" t="s">
        <v>219</v>
      </c>
      <c r="E3156" s="1">
        <v>1</v>
      </c>
      <c r="F3156" s="1" t="s">
        <v>443</v>
      </c>
      <c r="H3156" s="1" t="s">
        <v>443</v>
      </c>
    </row>
    <row r="3157" spans="1:8">
      <c r="A3157">
        <v>195</v>
      </c>
      <c r="B3157" t="s">
        <v>608</v>
      </c>
      <c r="C3157">
        <v>50</v>
      </c>
      <c r="D3157" t="s">
        <v>224</v>
      </c>
      <c r="G3157" s="1">
        <v>10</v>
      </c>
    </row>
    <row r="3158" spans="1:8">
      <c r="A3158">
        <v>195</v>
      </c>
      <c r="B3158" t="s">
        <v>608</v>
      </c>
      <c r="C3158">
        <v>63</v>
      </c>
      <c r="D3158" t="s">
        <v>229</v>
      </c>
      <c r="G3158" s="1">
        <v>10</v>
      </c>
    </row>
    <row r="3159" spans="1:8">
      <c r="A3159">
        <v>195</v>
      </c>
      <c r="B3159" t="s">
        <v>608</v>
      </c>
      <c r="C3159">
        <v>64</v>
      </c>
      <c r="D3159" t="s">
        <v>230</v>
      </c>
      <c r="G3159" s="1">
        <v>10</v>
      </c>
    </row>
    <row r="3160" spans="1:8">
      <c r="A3160">
        <v>195</v>
      </c>
      <c r="B3160" t="s">
        <v>608</v>
      </c>
      <c r="C3160">
        <v>64</v>
      </c>
      <c r="D3160" t="s">
        <v>230</v>
      </c>
      <c r="G3160" s="1">
        <v>15</v>
      </c>
    </row>
    <row r="3161" spans="1:8">
      <c r="A3161">
        <v>195</v>
      </c>
      <c r="B3161" t="s">
        <v>608</v>
      </c>
      <c r="C3161">
        <v>64</v>
      </c>
      <c r="D3161" t="s">
        <v>230</v>
      </c>
      <c r="G3161" s="1">
        <v>20</v>
      </c>
    </row>
    <row r="3162" spans="1:8">
      <c r="A3162">
        <v>195</v>
      </c>
      <c r="B3162" t="s">
        <v>608</v>
      </c>
      <c r="C3162">
        <v>64</v>
      </c>
      <c r="D3162" t="s">
        <v>230</v>
      </c>
      <c r="G3162" s="1">
        <v>25</v>
      </c>
    </row>
    <row r="3163" spans="1:8">
      <c r="A3163">
        <v>195</v>
      </c>
      <c r="B3163" t="s">
        <v>608</v>
      </c>
      <c r="C3163">
        <v>64</v>
      </c>
      <c r="D3163" t="s">
        <v>230</v>
      </c>
      <c r="G3163" s="1">
        <v>30</v>
      </c>
    </row>
    <row r="3164" spans="1:8">
      <c r="A3164">
        <v>195</v>
      </c>
      <c r="B3164" t="s">
        <v>608</v>
      </c>
      <c r="C3164">
        <v>64</v>
      </c>
      <c r="D3164" t="s">
        <v>230</v>
      </c>
      <c r="G3164" s="1">
        <v>35</v>
      </c>
    </row>
    <row r="3165" spans="1:8">
      <c r="A3165">
        <v>195</v>
      </c>
      <c r="B3165" t="s">
        <v>608</v>
      </c>
      <c r="C3165">
        <v>64</v>
      </c>
      <c r="D3165" t="s">
        <v>230</v>
      </c>
      <c r="G3165" s="1">
        <v>40</v>
      </c>
    </row>
    <row r="3166" spans="1:8">
      <c r="A3166">
        <v>195</v>
      </c>
      <c r="B3166" t="s">
        <v>608</v>
      </c>
      <c r="C3166">
        <v>67</v>
      </c>
      <c r="D3166" t="s">
        <v>232</v>
      </c>
      <c r="G3166" s="1">
        <v>10</v>
      </c>
    </row>
    <row r="3167" spans="1:8">
      <c r="A3167">
        <v>195</v>
      </c>
      <c r="B3167" t="s">
        <v>608</v>
      </c>
      <c r="C3167">
        <v>67</v>
      </c>
      <c r="D3167" t="s">
        <v>232</v>
      </c>
      <c r="G3167" s="1">
        <v>30</v>
      </c>
    </row>
    <row r="3168" spans="1:8">
      <c r="A3168">
        <v>195</v>
      </c>
      <c r="B3168" t="s">
        <v>608</v>
      </c>
      <c r="C3168">
        <v>68</v>
      </c>
      <c r="D3168" t="s">
        <v>233</v>
      </c>
      <c r="G3168" s="1">
        <v>40</v>
      </c>
    </row>
    <row r="3169" spans="1:8">
      <c r="A3169">
        <v>195</v>
      </c>
      <c r="B3169" t="s">
        <v>608</v>
      </c>
      <c r="C3169">
        <v>74</v>
      </c>
      <c r="D3169" t="s">
        <v>235</v>
      </c>
      <c r="E3169" s="1">
        <v>3</v>
      </c>
      <c r="F3169" s="1" t="s">
        <v>321</v>
      </c>
      <c r="G3169" s="1">
        <v>60</v>
      </c>
      <c r="H3169" s="1" t="s">
        <v>321</v>
      </c>
    </row>
    <row r="3170" spans="1:8">
      <c r="A3170">
        <v>195</v>
      </c>
      <c r="B3170" t="s">
        <v>608</v>
      </c>
      <c r="C3170">
        <v>74</v>
      </c>
      <c r="D3170" t="s">
        <v>235</v>
      </c>
      <c r="E3170" s="1">
        <v>3</v>
      </c>
      <c r="F3170" s="1" t="s">
        <v>609</v>
      </c>
      <c r="G3170" s="1">
        <v>70</v>
      </c>
      <c r="H3170" s="1" t="s">
        <v>609</v>
      </c>
    </row>
    <row r="3171" spans="1:8">
      <c r="A3171">
        <v>196</v>
      </c>
      <c r="B3171" t="s">
        <v>610</v>
      </c>
      <c r="C3171">
        <v>1</v>
      </c>
      <c r="D3171" t="s">
        <v>137</v>
      </c>
      <c r="E3171" s="1">
        <v>1</v>
      </c>
      <c r="F3171" s="1">
        <v>14</v>
      </c>
      <c r="G3171" s="1">
        <v>70</v>
      </c>
      <c r="H3171" s="1">
        <v>14</v>
      </c>
    </row>
    <row r="3172" spans="1:8">
      <c r="A3172">
        <v>196</v>
      </c>
      <c r="B3172" t="s">
        <v>610</v>
      </c>
      <c r="C3172">
        <v>1</v>
      </c>
      <c r="D3172" t="s">
        <v>137</v>
      </c>
      <c r="E3172" s="1">
        <v>1</v>
      </c>
      <c r="F3172" s="1">
        <v>15</v>
      </c>
      <c r="G3172" s="1">
        <v>80</v>
      </c>
      <c r="H3172" s="1">
        <v>15</v>
      </c>
    </row>
    <row r="3173" spans="1:8">
      <c r="A3173">
        <v>196</v>
      </c>
      <c r="B3173" t="s">
        <v>610</v>
      </c>
      <c r="C3173">
        <v>1</v>
      </c>
      <c r="D3173" t="s">
        <v>137</v>
      </c>
      <c r="E3173" s="1">
        <v>1</v>
      </c>
      <c r="F3173" s="1">
        <v>16</v>
      </c>
      <c r="G3173" s="1">
        <v>90</v>
      </c>
      <c r="H3173" s="1">
        <v>16</v>
      </c>
    </row>
    <row r="3174" spans="1:8">
      <c r="A3174">
        <v>196</v>
      </c>
      <c r="B3174" t="s">
        <v>610</v>
      </c>
      <c r="C3174">
        <v>1</v>
      </c>
      <c r="D3174" t="s">
        <v>137</v>
      </c>
      <c r="E3174" s="1">
        <v>1</v>
      </c>
      <c r="F3174" s="1" t="s">
        <v>153</v>
      </c>
      <c r="G3174" s="1">
        <v>92</v>
      </c>
      <c r="H3174" s="1" t="s">
        <v>153</v>
      </c>
    </row>
    <row r="3175" spans="1:8">
      <c r="A3175">
        <v>196</v>
      </c>
      <c r="B3175" t="s">
        <v>610</v>
      </c>
      <c r="C3175">
        <v>1</v>
      </c>
      <c r="D3175" t="s">
        <v>137</v>
      </c>
      <c r="E3175" s="1">
        <v>1</v>
      </c>
      <c r="F3175" s="1">
        <v>17</v>
      </c>
      <c r="G3175" s="1">
        <v>94</v>
      </c>
      <c r="H3175" s="1">
        <v>17</v>
      </c>
    </row>
    <row r="3176" spans="1:8">
      <c r="A3176">
        <v>196</v>
      </c>
      <c r="B3176" t="s">
        <v>610</v>
      </c>
      <c r="C3176">
        <v>1</v>
      </c>
      <c r="D3176" t="s">
        <v>137</v>
      </c>
      <c r="E3176" s="1">
        <v>1</v>
      </c>
      <c r="F3176" s="1" t="s">
        <v>156</v>
      </c>
      <c r="G3176" s="1">
        <v>96</v>
      </c>
      <c r="H3176" s="1" t="s">
        <v>156</v>
      </c>
    </row>
    <row r="3177" spans="1:8">
      <c r="A3177">
        <v>196</v>
      </c>
      <c r="B3177" t="s">
        <v>610</v>
      </c>
      <c r="C3177">
        <v>1</v>
      </c>
      <c r="D3177" t="s">
        <v>137</v>
      </c>
      <c r="E3177" s="1">
        <v>2</v>
      </c>
      <c r="F3177" s="1" t="s">
        <v>159</v>
      </c>
      <c r="G3177" s="1">
        <v>2</v>
      </c>
      <c r="H3177" s="1" t="s">
        <v>159</v>
      </c>
    </row>
    <row r="3178" spans="1:8">
      <c r="A3178">
        <v>196</v>
      </c>
      <c r="B3178" t="s">
        <v>610</v>
      </c>
      <c r="C3178">
        <v>1</v>
      </c>
      <c r="D3178" t="s">
        <v>137</v>
      </c>
      <c r="E3178" s="1">
        <v>2</v>
      </c>
      <c r="F3178" s="1">
        <v>19</v>
      </c>
      <c r="G3178" s="1">
        <v>10</v>
      </c>
      <c r="H3178" s="1">
        <v>19</v>
      </c>
    </row>
    <row r="3179" spans="1:8">
      <c r="A3179">
        <v>196</v>
      </c>
      <c r="B3179" t="s">
        <v>610</v>
      </c>
      <c r="C3179">
        <v>1</v>
      </c>
      <c r="D3179" t="s">
        <v>137</v>
      </c>
      <c r="E3179" s="1">
        <v>2</v>
      </c>
      <c r="F3179" s="1" t="s">
        <v>162</v>
      </c>
      <c r="G3179" s="1">
        <v>12</v>
      </c>
      <c r="H3179" s="1" t="s">
        <v>162</v>
      </c>
    </row>
    <row r="3180" spans="1:8">
      <c r="A3180">
        <v>196</v>
      </c>
      <c r="B3180" t="s">
        <v>610</v>
      </c>
      <c r="C3180">
        <v>1</v>
      </c>
      <c r="D3180" t="s">
        <v>137</v>
      </c>
      <c r="E3180" s="1">
        <v>2</v>
      </c>
      <c r="F3180" s="1">
        <v>20</v>
      </c>
      <c r="G3180" s="1">
        <v>20</v>
      </c>
      <c r="H3180" s="1">
        <v>20</v>
      </c>
    </row>
    <row r="3181" spans="1:8">
      <c r="A3181">
        <v>196</v>
      </c>
      <c r="B3181" t="s">
        <v>610</v>
      </c>
      <c r="C3181">
        <v>1</v>
      </c>
      <c r="D3181" t="s">
        <v>137</v>
      </c>
      <c r="E3181" s="1">
        <v>2</v>
      </c>
      <c r="F3181" s="1" t="s">
        <v>165</v>
      </c>
      <c r="G3181" s="1">
        <v>22</v>
      </c>
      <c r="H3181" s="1" t="s">
        <v>165</v>
      </c>
    </row>
    <row r="3182" spans="1:8">
      <c r="A3182">
        <v>196</v>
      </c>
      <c r="B3182" t="s">
        <v>610</v>
      </c>
      <c r="C3182">
        <v>1</v>
      </c>
      <c r="D3182" t="s">
        <v>137</v>
      </c>
      <c r="E3182" s="1">
        <v>2</v>
      </c>
      <c r="F3182" s="1">
        <v>21</v>
      </c>
      <c r="G3182" s="1">
        <v>30</v>
      </c>
      <c r="H3182" s="1">
        <v>21</v>
      </c>
    </row>
    <row r="3183" spans="1:8">
      <c r="A3183">
        <v>196</v>
      </c>
      <c r="B3183" t="s">
        <v>610</v>
      </c>
      <c r="C3183">
        <v>1</v>
      </c>
      <c r="D3183" t="s">
        <v>137</v>
      </c>
      <c r="E3183" s="1">
        <v>2</v>
      </c>
      <c r="F3183" s="1" t="s">
        <v>168</v>
      </c>
      <c r="G3183" s="1">
        <v>32</v>
      </c>
      <c r="H3183" s="1" t="s">
        <v>168</v>
      </c>
    </row>
    <row r="3184" spans="1:8">
      <c r="A3184">
        <v>196</v>
      </c>
      <c r="B3184" t="s">
        <v>610</v>
      </c>
      <c r="C3184">
        <v>1</v>
      </c>
      <c r="D3184" t="s">
        <v>137</v>
      </c>
      <c r="E3184" s="1">
        <v>2</v>
      </c>
      <c r="F3184" s="1">
        <v>22</v>
      </c>
      <c r="G3184" s="1">
        <v>40</v>
      </c>
      <c r="H3184" s="1">
        <v>22</v>
      </c>
    </row>
    <row r="3185" spans="1:8">
      <c r="A3185">
        <v>196</v>
      </c>
      <c r="B3185" t="s">
        <v>610</v>
      </c>
      <c r="C3185">
        <v>1</v>
      </c>
      <c r="D3185" t="s">
        <v>137</v>
      </c>
      <c r="E3185" s="1">
        <v>2</v>
      </c>
      <c r="F3185" s="1" t="s">
        <v>171</v>
      </c>
      <c r="G3185" s="1">
        <v>42</v>
      </c>
      <c r="H3185" s="1" t="s">
        <v>171</v>
      </c>
    </row>
    <row r="3186" spans="1:8">
      <c r="A3186">
        <v>196</v>
      </c>
      <c r="B3186" t="s">
        <v>610</v>
      </c>
      <c r="C3186">
        <v>1</v>
      </c>
      <c r="D3186" t="s">
        <v>137</v>
      </c>
      <c r="E3186" s="1">
        <v>2</v>
      </c>
      <c r="F3186" s="1">
        <v>23</v>
      </c>
      <c r="G3186" s="1">
        <v>50</v>
      </c>
      <c r="H3186" s="1">
        <v>23</v>
      </c>
    </row>
    <row r="3187" spans="1:8">
      <c r="A3187">
        <v>196</v>
      </c>
      <c r="B3187" t="s">
        <v>610</v>
      </c>
      <c r="C3187">
        <v>1</v>
      </c>
      <c r="D3187" t="s">
        <v>137</v>
      </c>
      <c r="E3187" s="1">
        <v>2</v>
      </c>
      <c r="F3187" s="1" t="s">
        <v>174</v>
      </c>
      <c r="G3187" s="1">
        <v>52</v>
      </c>
      <c r="H3187" s="1" t="s">
        <v>174</v>
      </c>
    </row>
    <row r="3188" spans="1:8">
      <c r="A3188">
        <v>196</v>
      </c>
      <c r="B3188" t="s">
        <v>610</v>
      </c>
      <c r="C3188">
        <v>1</v>
      </c>
      <c r="D3188" t="s">
        <v>137</v>
      </c>
      <c r="E3188" s="1">
        <v>2</v>
      </c>
      <c r="F3188" s="1">
        <v>24</v>
      </c>
      <c r="G3188" s="1">
        <v>60</v>
      </c>
      <c r="H3188" s="1">
        <v>24</v>
      </c>
    </row>
    <row r="3189" spans="1:8">
      <c r="A3189">
        <v>196</v>
      </c>
      <c r="B3189" t="s">
        <v>610</v>
      </c>
      <c r="C3189">
        <v>1</v>
      </c>
      <c r="D3189" t="s">
        <v>137</v>
      </c>
      <c r="E3189" s="1">
        <v>2</v>
      </c>
      <c r="F3189" s="1" t="s">
        <v>177</v>
      </c>
      <c r="G3189" s="1">
        <v>62</v>
      </c>
      <c r="H3189" s="1" t="s">
        <v>177</v>
      </c>
    </row>
    <row r="3190" spans="1:8">
      <c r="A3190">
        <v>196</v>
      </c>
      <c r="B3190" t="s">
        <v>610</v>
      </c>
      <c r="C3190">
        <v>1</v>
      </c>
      <c r="D3190" t="s">
        <v>137</v>
      </c>
      <c r="E3190" s="1">
        <v>2</v>
      </c>
      <c r="F3190" s="1">
        <v>25</v>
      </c>
      <c r="G3190" s="1">
        <v>70</v>
      </c>
      <c r="H3190" s="1">
        <v>25</v>
      </c>
    </row>
    <row r="3191" spans="1:8">
      <c r="A3191">
        <v>196</v>
      </c>
      <c r="B3191" t="s">
        <v>610</v>
      </c>
      <c r="C3191">
        <v>1</v>
      </c>
      <c r="D3191" t="s">
        <v>137</v>
      </c>
      <c r="E3191" s="1">
        <v>2</v>
      </c>
      <c r="F3191" s="1" t="s">
        <v>180</v>
      </c>
      <c r="G3191" s="1">
        <v>72</v>
      </c>
      <c r="H3191" s="1" t="s">
        <v>180</v>
      </c>
    </row>
    <row r="3192" spans="1:8">
      <c r="A3192">
        <v>196</v>
      </c>
      <c r="B3192" t="s">
        <v>610</v>
      </c>
      <c r="C3192">
        <v>1</v>
      </c>
      <c r="D3192" t="s">
        <v>137</v>
      </c>
      <c r="E3192" s="1">
        <v>2</v>
      </c>
      <c r="F3192" s="1">
        <v>18</v>
      </c>
      <c r="H3192" s="1">
        <v>18</v>
      </c>
    </row>
    <row r="3193" spans="1:8">
      <c r="A3193">
        <v>196</v>
      </c>
      <c r="B3193" t="s">
        <v>610</v>
      </c>
      <c r="C3193">
        <v>11</v>
      </c>
      <c r="D3193" t="s">
        <v>186</v>
      </c>
      <c r="E3193" s="1">
        <v>1</v>
      </c>
      <c r="F3193" s="1" t="s">
        <v>193</v>
      </c>
      <c r="G3193" s="1">
        <v>12</v>
      </c>
      <c r="H3193" s="1" t="s">
        <v>193</v>
      </c>
    </row>
    <row r="3194" spans="1:8">
      <c r="A3194">
        <v>196</v>
      </c>
      <c r="B3194" t="s">
        <v>610</v>
      </c>
      <c r="C3194">
        <v>11</v>
      </c>
      <c r="D3194" t="s">
        <v>186</v>
      </c>
      <c r="E3194" s="1">
        <v>1</v>
      </c>
      <c r="F3194" s="1">
        <v>41</v>
      </c>
      <c r="G3194" s="1">
        <v>20</v>
      </c>
      <c r="H3194" s="1">
        <v>41</v>
      </c>
    </row>
    <row r="3195" spans="1:8">
      <c r="A3195">
        <v>196</v>
      </c>
      <c r="B3195" t="s">
        <v>610</v>
      </c>
      <c r="C3195">
        <v>11</v>
      </c>
      <c r="D3195" t="s">
        <v>186</v>
      </c>
      <c r="E3195" s="1">
        <v>1</v>
      </c>
      <c r="F3195" s="1" t="s">
        <v>194</v>
      </c>
      <c r="G3195" s="1">
        <v>22</v>
      </c>
      <c r="H3195" s="1" t="s">
        <v>194</v>
      </c>
    </row>
    <row r="3196" spans="1:8">
      <c r="A3196">
        <v>196</v>
      </c>
      <c r="B3196" t="s">
        <v>610</v>
      </c>
      <c r="C3196">
        <v>11</v>
      </c>
      <c r="D3196" t="s">
        <v>186</v>
      </c>
      <c r="E3196" s="1">
        <v>1</v>
      </c>
      <c r="F3196" s="1" t="s">
        <v>195</v>
      </c>
      <c r="G3196" s="1">
        <v>32</v>
      </c>
      <c r="H3196" s="1" t="s">
        <v>195</v>
      </c>
    </row>
    <row r="3197" spans="1:8">
      <c r="A3197">
        <v>196</v>
      </c>
      <c r="B3197" t="s">
        <v>610</v>
      </c>
      <c r="C3197">
        <v>11</v>
      </c>
      <c r="D3197" t="s">
        <v>186</v>
      </c>
      <c r="E3197" s="1">
        <v>1</v>
      </c>
      <c r="F3197" s="1">
        <v>43</v>
      </c>
      <c r="G3197" s="1">
        <v>40</v>
      </c>
      <c r="H3197" s="1">
        <v>43</v>
      </c>
    </row>
    <row r="3198" spans="1:8">
      <c r="A3198">
        <v>196</v>
      </c>
      <c r="B3198" t="s">
        <v>610</v>
      </c>
      <c r="C3198">
        <v>11</v>
      </c>
      <c r="D3198" t="s">
        <v>186</v>
      </c>
      <c r="E3198" s="1">
        <v>1</v>
      </c>
      <c r="F3198" s="1" t="s">
        <v>196</v>
      </c>
      <c r="G3198" s="1">
        <v>42</v>
      </c>
      <c r="H3198" s="1" t="s">
        <v>196</v>
      </c>
    </row>
    <row r="3199" spans="1:8">
      <c r="A3199">
        <v>196</v>
      </c>
      <c r="B3199" t="s">
        <v>610</v>
      </c>
      <c r="C3199">
        <v>11</v>
      </c>
      <c r="D3199" t="s">
        <v>186</v>
      </c>
      <c r="E3199" s="1">
        <v>1</v>
      </c>
      <c r="F3199" s="1">
        <v>44</v>
      </c>
      <c r="G3199" s="1">
        <v>50</v>
      </c>
      <c r="H3199" s="1">
        <v>44</v>
      </c>
    </row>
    <row r="3200" spans="1:8">
      <c r="A3200">
        <v>196</v>
      </c>
      <c r="B3200" t="s">
        <v>610</v>
      </c>
      <c r="C3200">
        <v>11</v>
      </c>
      <c r="D3200" t="s">
        <v>186</v>
      </c>
      <c r="E3200" s="1">
        <v>1</v>
      </c>
      <c r="F3200" s="1" t="s">
        <v>197</v>
      </c>
      <c r="G3200" s="1">
        <v>52</v>
      </c>
      <c r="H3200" s="1" t="s">
        <v>197</v>
      </c>
    </row>
    <row r="3201" spans="1:8">
      <c r="A3201">
        <v>196</v>
      </c>
      <c r="B3201" t="s">
        <v>610</v>
      </c>
      <c r="C3201">
        <v>11</v>
      </c>
      <c r="D3201" t="s">
        <v>186</v>
      </c>
      <c r="E3201" s="1">
        <v>1</v>
      </c>
      <c r="F3201" s="1">
        <v>45</v>
      </c>
      <c r="G3201" s="1">
        <v>60</v>
      </c>
      <c r="H3201" s="1">
        <v>45</v>
      </c>
    </row>
    <row r="3202" spans="1:8">
      <c r="A3202">
        <v>196</v>
      </c>
      <c r="B3202" t="s">
        <v>610</v>
      </c>
      <c r="C3202">
        <v>11</v>
      </c>
      <c r="D3202" t="s">
        <v>186</v>
      </c>
      <c r="E3202" s="1">
        <v>1</v>
      </c>
      <c r="F3202" s="1" t="s">
        <v>198</v>
      </c>
      <c r="G3202" s="1">
        <v>62</v>
      </c>
      <c r="H3202" s="1" t="s">
        <v>198</v>
      </c>
    </row>
    <row r="3203" spans="1:8">
      <c r="A3203">
        <v>196</v>
      </c>
      <c r="B3203" t="s">
        <v>610</v>
      </c>
      <c r="C3203">
        <v>11</v>
      </c>
      <c r="D3203" t="s">
        <v>186</v>
      </c>
      <c r="E3203" s="1">
        <v>1</v>
      </c>
      <c r="F3203" s="1" t="s">
        <v>199</v>
      </c>
      <c r="G3203" s="1">
        <v>72</v>
      </c>
      <c r="H3203" s="1" t="s">
        <v>199</v>
      </c>
    </row>
    <row r="3204" spans="1:8">
      <c r="A3204">
        <v>196</v>
      </c>
      <c r="B3204" t="s">
        <v>610</v>
      </c>
      <c r="C3204">
        <v>12</v>
      </c>
      <c r="D3204" t="s">
        <v>107</v>
      </c>
      <c r="E3204" s="1">
        <v>1</v>
      </c>
      <c r="F3204" s="1">
        <v>44</v>
      </c>
      <c r="G3204" s="1">
        <v>50</v>
      </c>
      <c r="H3204" s="1">
        <v>44</v>
      </c>
    </row>
    <row r="3205" spans="1:8">
      <c r="A3205">
        <v>196</v>
      </c>
      <c r="B3205" t="s">
        <v>610</v>
      </c>
      <c r="C3205">
        <v>12</v>
      </c>
      <c r="D3205" t="s">
        <v>107</v>
      </c>
      <c r="E3205" s="1">
        <v>1</v>
      </c>
      <c r="F3205" s="1" t="s">
        <v>198</v>
      </c>
      <c r="G3205" s="1">
        <v>62</v>
      </c>
      <c r="H3205" s="1" t="s">
        <v>198</v>
      </c>
    </row>
    <row r="3206" spans="1:8">
      <c r="A3206">
        <v>196</v>
      </c>
      <c r="B3206" t="s">
        <v>610</v>
      </c>
      <c r="C3206">
        <v>12</v>
      </c>
      <c r="D3206" t="s">
        <v>107</v>
      </c>
      <c r="E3206" s="1">
        <v>1</v>
      </c>
      <c r="F3206" s="1" t="s">
        <v>199</v>
      </c>
      <c r="G3206" s="1">
        <v>72</v>
      </c>
      <c r="H3206" s="1" t="s">
        <v>199</v>
      </c>
    </row>
    <row r="3207" spans="1:8">
      <c r="A3207">
        <v>196</v>
      </c>
      <c r="B3207" t="s">
        <v>610</v>
      </c>
      <c r="C3207">
        <v>13</v>
      </c>
      <c r="D3207" t="s">
        <v>200</v>
      </c>
      <c r="E3207" s="1">
        <v>1</v>
      </c>
      <c r="F3207" s="1" t="s">
        <v>194</v>
      </c>
      <c r="G3207" s="1">
        <v>22</v>
      </c>
      <c r="H3207" s="1" t="s">
        <v>194</v>
      </c>
    </row>
    <row r="3208" spans="1:8">
      <c r="A3208">
        <v>196</v>
      </c>
      <c r="B3208" t="s">
        <v>610</v>
      </c>
      <c r="C3208">
        <v>13</v>
      </c>
      <c r="D3208" t="s">
        <v>200</v>
      </c>
      <c r="E3208" s="1">
        <v>1</v>
      </c>
      <c r="F3208" s="1">
        <v>43</v>
      </c>
      <c r="G3208" s="1">
        <v>40</v>
      </c>
      <c r="H3208" s="1">
        <v>43</v>
      </c>
    </row>
    <row r="3209" spans="1:8">
      <c r="A3209">
        <v>196</v>
      </c>
      <c r="B3209" t="s">
        <v>610</v>
      </c>
      <c r="C3209">
        <v>13</v>
      </c>
      <c r="D3209" t="s">
        <v>200</v>
      </c>
      <c r="E3209" s="1">
        <v>1</v>
      </c>
      <c r="F3209" s="1" t="s">
        <v>196</v>
      </c>
      <c r="G3209" s="1">
        <v>42</v>
      </c>
      <c r="H3209" s="1" t="s">
        <v>196</v>
      </c>
    </row>
    <row r="3210" spans="1:8">
      <c r="A3210">
        <v>196</v>
      </c>
      <c r="B3210" t="s">
        <v>610</v>
      </c>
      <c r="C3210">
        <v>13</v>
      </c>
      <c r="D3210" t="s">
        <v>200</v>
      </c>
      <c r="E3210" s="1">
        <v>1</v>
      </c>
      <c r="F3210" s="1" t="s">
        <v>197</v>
      </c>
      <c r="G3210" s="1">
        <v>52</v>
      </c>
      <c r="H3210" s="1" t="s">
        <v>197</v>
      </c>
    </row>
    <row r="3211" spans="1:8">
      <c r="A3211">
        <v>196</v>
      </c>
      <c r="B3211" t="s">
        <v>610</v>
      </c>
      <c r="C3211">
        <v>13</v>
      </c>
      <c r="D3211" t="s">
        <v>200</v>
      </c>
      <c r="E3211" s="1">
        <v>1</v>
      </c>
      <c r="F3211" s="1">
        <v>45</v>
      </c>
      <c r="G3211" s="1">
        <v>60</v>
      </c>
      <c r="H3211" s="1">
        <v>45</v>
      </c>
    </row>
    <row r="3212" spans="1:8">
      <c r="A3212">
        <v>196</v>
      </c>
      <c r="B3212" t="s">
        <v>610</v>
      </c>
      <c r="C3212">
        <v>13</v>
      </c>
      <c r="D3212" t="s">
        <v>200</v>
      </c>
      <c r="E3212" s="1">
        <v>1</v>
      </c>
      <c r="F3212" s="1" t="s">
        <v>198</v>
      </c>
      <c r="G3212" s="1">
        <v>62</v>
      </c>
      <c r="H3212" s="1" t="s">
        <v>198</v>
      </c>
    </row>
    <row r="3213" spans="1:8">
      <c r="A3213">
        <v>196</v>
      </c>
      <c r="B3213" t="s">
        <v>610</v>
      </c>
      <c r="C3213">
        <v>13</v>
      </c>
      <c r="D3213" t="s">
        <v>200</v>
      </c>
      <c r="E3213" s="1">
        <v>1</v>
      </c>
      <c r="F3213" s="1" t="s">
        <v>199</v>
      </c>
      <c r="G3213" s="1">
        <v>72</v>
      </c>
      <c r="H3213" s="1" t="s">
        <v>199</v>
      </c>
    </row>
    <row r="3214" spans="1:8">
      <c r="A3214">
        <v>196</v>
      </c>
      <c r="B3214" t="s">
        <v>610</v>
      </c>
      <c r="C3214">
        <v>21</v>
      </c>
      <c r="D3214" t="s">
        <v>205</v>
      </c>
      <c r="E3214" s="1">
        <v>1</v>
      </c>
      <c r="F3214" s="1" t="s">
        <v>331</v>
      </c>
      <c r="G3214" s="1">
        <v>50</v>
      </c>
      <c r="H3214" s="1" t="s">
        <v>331</v>
      </c>
    </row>
    <row r="3215" spans="1:8">
      <c r="A3215">
        <v>196</v>
      </c>
      <c r="B3215" t="s">
        <v>610</v>
      </c>
      <c r="C3215">
        <v>21</v>
      </c>
      <c r="D3215" t="s">
        <v>205</v>
      </c>
      <c r="E3215" s="1">
        <v>1</v>
      </c>
      <c r="F3215" s="1" t="s">
        <v>287</v>
      </c>
      <c r="G3215" s="1">
        <v>52</v>
      </c>
      <c r="H3215" s="1" t="s">
        <v>287</v>
      </c>
    </row>
    <row r="3216" spans="1:8">
      <c r="A3216">
        <v>196</v>
      </c>
      <c r="B3216" t="s">
        <v>610</v>
      </c>
      <c r="C3216">
        <v>21</v>
      </c>
      <c r="D3216" t="s">
        <v>205</v>
      </c>
      <c r="E3216" s="1">
        <v>1</v>
      </c>
      <c r="F3216" s="1" t="s">
        <v>288</v>
      </c>
      <c r="G3216" s="1">
        <v>62</v>
      </c>
      <c r="H3216" s="1" t="s">
        <v>288</v>
      </c>
    </row>
    <row r="3217" spans="1:8">
      <c r="A3217">
        <v>196</v>
      </c>
      <c r="B3217" t="s">
        <v>610</v>
      </c>
      <c r="C3217">
        <v>41</v>
      </c>
      <c r="D3217" t="s">
        <v>219</v>
      </c>
      <c r="E3217" s="1">
        <v>1</v>
      </c>
      <c r="F3217" s="1" t="s">
        <v>442</v>
      </c>
      <c r="G3217" s="1">
        <v>10</v>
      </c>
      <c r="H3217" s="1" t="s">
        <v>442</v>
      </c>
    </row>
    <row r="3218" spans="1:8">
      <c r="A3218">
        <v>206</v>
      </c>
      <c r="B3218" t="s">
        <v>611</v>
      </c>
      <c r="C3218">
        <v>6</v>
      </c>
      <c r="D3218" t="s">
        <v>184</v>
      </c>
      <c r="E3218" s="1">
        <v>1</v>
      </c>
      <c r="F3218" s="1" t="s">
        <v>290</v>
      </c>
      <c r="G3218" s="1">
        <v>10</v>
      </c>
      <c r="H3218" s="1" t="s">
        <v>290</v>
      </c>
    </row>
    <row r="3219" spans="1:8">
      <c r="A3219">
        <v>206</v>
      </c>
      <c r="B3219" t="s">
        <v>611</v>
      </c>
      <c r="C3219">
        <v>6</v>
      </c>
      <c r="D3219" t="s">
        <v>184</v>
      </c>
      <c r="G3219" s="1">
        <v>23</v>
      </c>
    </row>
    <row r="3220" spans="1:8">
      <c r="A3220">
        <v>206</v>
      </c>
      <c r="B3220" t="s">
        <v>611</v>
      </c>
      <c r="C3220">
        <v>6</v>
      </c>
      <c r="D3220" t="s">
        <v>184</v>
      </c>
      <c r="G3220" s="1">
        <v>50</v>
      </c>
    </row>
    <row r="3221" spans="1:8">
      <c r="A3221">
        <v>206</v>
      </c>
      <c r="B3221" t="s">
        <v>611</v>
      </c>
      <c r="C3221">
        <v>6</v>
      </c>
      <c r="D3221" t="s">
        <v>184</v>
      </c>
      <c r="G3221" s="1">
        <v>63</v>
      </c>
    </row>
    <row r="3222" spans="1:8">
      <c r="A3222">
        <v>206</v>
      </c>
      <c r="B3222" t="s">
        <v>611</v>
      </c>
      <c r="C3222">
        <v>6</v>
      </c>
      <c r="D3222" t="s">
        <v>184</v>
      </c>
      <c r="G3222" s="1">
        <v>64</v>
      </c>
    </row>
    <row r="3223" spans="1:8">
      <c r="A3223">
        <v>206</v>
      </c>
      <c r="B3223" t="s">
        <v>611</v>
      </c>
      <c r="C3223">
        <v>6</v>
      </c>
      <c r="D3223" t="s">
        <v>184</v>
      </c>
      <c r="G3223" s="1">
        <v>65</v>
      </c>
    </row>
    <row r="3224" spans="1:8">
      <c r="A3224">
        <v>241</v>
      </c>
      <c r="B3224" t="s">
        <v>612</v>
      </c>
      <c r="C3224">
        <v>6</v>
      </c>
      <c r="D3224" t="s">
        <v>184</v>
      </c>
      <c r="G3224" s="1">
        <v>63</v>
      </c>
    </row>
    <row r="3225" spans="1:8">
      <c r="A3225">
        <v>243</v>
      </c>
      <c r="B3225" t="s">
        <v>613</v>
      </c>
      <c r="C3225">
        <v>1</v>
      </c>
      <c r="D3225" t="s">
        <v>137</v>
      </c>
      <c r="E3225" s="1">
        <v>1</v>
      </c>
      <c r="F3225" s="1">
        <v>16</v>
      </c>
      <c r="G3225" s="1">
        <v>90</v>
      </c>
      <c r="H3225" s="1">
        <v>16</v>
      </c>
    </row>
    <row r="3226" spans="1:8">
      <c r="A3226">
        <v>243</v>
      </c>
      <c r="B3226" t="s">
        <v>613</v>
      </c>
      <c r="C3226">
        <v>1</v>
      </c>
      <c r="D3226" t="s">
        <v>137</v>
      </c>
      <c r="E3226" s="1">
        <v>2</v>
      </c>
      <c r="F3226" s="1" t="s">
        <v>168</v>
      </c>
      <c r="G3226" s="1">
        <v>32</v>
      </c>
      <c r="H3226" s="1" t="s">
        <v>168</v>
      </c>
    </row>
    <row r="3227" spans="1:8">
      <c r="A3227">
        <v>243</v>
      </c>
      <c r="B3227" t="s">
        <v>613</v>
      </c>
      <c r="C3227">
        <v>5</v>
      </c>
      <c r="D3227" t="s">
        <v>183</v>
      </c>
      <c r="G3227" s="1">
        <v>60</v>
      </c>
    </row>
    <row r="3228" spans="1:8">
      <c r="A3228">
        <v>243</v>
      </c>
      <c r="B3228" t="s">
        <v>613</v>
      </c>
      <c r="C3228">
        <v>5</v>
      </c>
      <c r="D3228" t="s">
        <v>183</v>
      </c>
      <c r="G3228" s="1">
        <v>70</v>
      </c>
    </row>
    <row r="3229" spans="1:8">
      <c r="A3229">
        <v>243</v>
      </c>
      <c r="B3229" t="s">
        <v>613</v>
      </c>
      <c r="C3229">
        <v>6</v>
      </c>
      <c r="D3229" t="s">
        <v>184</v>
      </c>
      <c r="G3229" s="1">
        <v>23</v>
      </c>
    </row>
    <row r="3230" spans="1:8">
      <c r="A3230">
        <v>243</v>
      </c>
      <c r="B3230" t="s">
        <v>613</v>
      </c>
      <c r="C3230">
        <v>6</v>
      </c>
      <c r="D3230" t="s">
        <v>184</v>
      </c>
      <c r="G3230" s="1">
        <v>63</v>
      </c>
    </row>
    <row r="3231" spans="1:8">
      <c r="A3231">
        <v>243</v>
      </c>
      <c r="B3231" t="s">
        <v>613</v>
      </c>
      <c r="C3231">
        <v>11</v>
      </c>
      <c r="D3231" t="s">
        <v>186</v>
      </c>
      <c r="E3231" s="1">
        <v>1</v>
      </c>
      <c r="F3231" s="1" t="s">
        <v>195</v>
      </c>
      <c r="G3231" s="1">
        <v>32</v>
      </c>
      <c r="H3231" s="1" t="s">
        <v>195</v>
      </c>
    </row>
    <row r="3232" spans="1:8">
      <c r="A3232">
        <v>243</v>
      </c>
      <c r="B3232" t="s">
        <v>613</v>
      </c>
      <c r="C3232">
        <v>11</v>
      </c>
      <c r="D3232" t="s">
        <v>186</v>
      </c>
      <c r="E3232" s="1">
        <v>1</v>
      </c>
      <c r="F3232" s="1">
        <v>43</v>
      </c>
      <c r="G3232" s="1">
        <v>40</v>
      </c>
      <c r="H3232" s="1">
        <v>43</v>
      </c>
    </row>
    <row r="3233" spans="1:8">
      <c r="A3233">
        <v>243</v>
      </c>
      <c r="B3233" t="s">
        <v>613</v>
      </c>
      <c r="C3233">
        <v>11</v>
      </c>
      <c r="D3233" t="s">
        <v>186</v>
      </c>
      <c r="E3233" s="1">
        <v>1</v>
      </c>
      <c r="F3233" s="1" t="s">
        <v>196</v>
      </c>
      <c r="G3233" s="1">
        <v>42</v>
      </c>
      <c r="H3233" s="1" t="s">
        <v>196</v>
      </c>
    </row>
    <row r="3234" spans="1:8">
      <c r="A3234">
        <v>243</v>
      </c>
      <c r="B3234" t="s">
        <v>613</v>
      </c>
      <c r="C3234">
        <v>11</v>
      </c>
      <c r="D3234" t="s">
        <v>186</v>
      </c>
      <c r="E3234" s="1">
        <v>1</v>
      </c>
      <c r="F3234" s="1">
        <v>44</v>
      </c>
      <c r="G3234" s="1">
        <v>50</v>
      </c>
      <c r="H3234" s="1">
        <v>44</v>
      </c>
    </row>
    <row r="3235" spans="1:8">
      <c r="A3235">
        <v>243</v>
      </c>
      <c r="B3235" t="s">
        <v>613</v>
      </c>
      <c r="C3235">
        <v>11</v>
      </c>
      <c r="D3235" t="s">
        <v>186</v>
      </c>
      <c r="E3235" s="1">
        <v>1</v>
      </c>
      <c r="F3235" s="1" t="s">
        <v>197</v>
      </c>
      <c r="G3235" s="1">
        <v>52</v>
      </c>
      <c r="H3235" s="1" t="s">
        <v>197</v>
      </c>
    </row>
    <row r="3236" spans="1:8">
      <c r="A3236">
        <v>243</v>
      </c>
      <c r="B3236" t="s">
        <v>613</v>
      </c>
      <c r="C3236">
        <v>11</v>
      </c>
      <c r="D3236" t="s">
        <v>186</v>
      </c>
      <c r="E3236" s="1">
        <v>1</v>
      </c>
      <c r="F3236" s="1" t="s">
        <v>198</v>
      </c>
      <c r="G3236" s="1">
        <v>62</v>
      </c>
      <c r="H3236" s="1" t="s">
        <v>198</v>
      </c>
    </row>
    <row r="3237" spans="1:8">
      <c r="A3237">
        <v>243</v>
      </c>
      <c r="B3237" t="s">
        <v>613</v>
      </c>
      <c r="C3237">
        <v>11</v>
      </c>
      <c r="D3237" t="s">
        <v>186</v>
      </c>
      <c r="E3237" s="1">
        <v>1</v>
      </c>
      <c r="F3237" s="1">
        <v>46</v>
      </c>
      <c r="G3237" s="1">
        <v>70</v>
      </c>
      <c r="H3237" s="1">
        <v>46</v>
      </c>
    </row>
    <row r="3238" spans="1:8">
      <c r="A3238">
        <v>243</v>
      </c>
      <c r="B3238" t="s">
        <v>613</v>
      </c>
      <c r="C3238">
        <v>11</v>
      </c>
      <c r="D3238" t="s">
        <v>186</v>
      </c>
      <c r="E3238" s="1">
        <v>1</v>
      </c>
      <c r="F3238" s="1" t="s">
        <v>199</v>
      </c>
      <c r="G3238" s="1">
        <v>72</v>
      </c>
      <c r="H3238" s="1" t="s">
        <v>199</v>
      </c>
    </row>
    <row r="3239" spans="1:8">
      <c r="A3239">
        <v>243</v>
      </c>
      <c r="B3239" t="s">
        <v>613</v>
      </c>
      <c r="C3239">
        <v>12</v>
      </c>
      <c r="D3239" t="s">
        <v>107</v>
      </c>
      <c r="E3239" s="1">
        <v>1</v>
      </c>
      <c r="F3239" s="1" t="s">
        <v>194</v>
      </c>
      <c r="G3239" s="1">
        <v>22</v>
      </c>
      <c r="H3239" s="1" t="s">
        <v>194</v>
      </c>
    </row>
    <row r="3240" spans="1:8">
      <c r="A3240">
        <v>243</v>
      </c>
      <c r="B3240" t="s">
        <v>613</v>
      </c>
      <c r="C3240">
        <v>12</v>
      </c>
      <c r="D3240" t="s">
        <v>107</v>
      </c>
      <c r="E3240" s="1">
        <v>1</v>
      </c>
      <c r="F3240" s="1" t="s">
        <v>195</v>
      </c>
      <c r="G3240" s="1">
        <v>32</v>
      </c>
      <c r="H3240" s="1" t="s">
        <v>195</v>
      </c>
    </row>
    <row r="3241" spans="1:8">
      <c r="A3241">
        <v>243</v>
      </c>
      <c r="B3241" t="s">
        <v>613</v>
      </c>
      <c r="C3241">
        <v>12</v>
      </c>
      <c r="D3241" t="s">
        <v>107</v>
      </c>
      <c r="E3241" s="1">
        <v>1</v>
      </c>
      <c r="F3241" s="1">
        <v>43</v>
      </c>
      <c r="G3241" s="1">
        <v>40</v>
      </c>
      <c r="H3241" s="1">
        <v>43</v>
      </c>
    </row>
    <row r="3242" spans="1:8">
      <c r="A3242">
        <v>243</v>
      </c>
      <c r="B3242" t="s">
        <v>613</v>
      </c>
      <c r="C3242">
        <v>12</v>
      </c>
      <c r="D3242" t="s">
        <v>107</v>
      </c>
      <c r="E3242" s="1">
        <v>1</v>
      </c>
      <c r="F3242" s="1" t="s">
        <v>196</v>
      </c>
      <c r="G3242" s="1">
        <v>42</v>
      </c>
      <c r="H3242" s="1" t="s">
        <v>196</v>
      </c>
    </row>
    <row r="3243" spans="1:8">
      <c r="A3243">
        <v>243</v>
      </c>
      <c r="B3243" t="s">
        <v>613</v>
      </c>
      <c r="C3243">
        <v>12</v>
      </c>
      <c r="D3243" t="s">
        <v>107</v>
      </c>
      <c r="E3243" s="1">
        <v>1</v>
      </c>
      <c r="F3243" s="1">
        <v>44</v>
      </c>
      <c r="G3243" s="1">
        <v>50</v>
      </c>
      <c r="H3243" s="1">
        <v>44</v>
      </c>
    </row>
    <row r="3244" spans="1:8">
      <c r="A3244">
        <v>243</v>
      </c>
      <c r="B3244" t="s">
        <v>613</v>
      </c>
      <c r="C3244">
        <v>12</v>
      </c>
      <c r="D3244" t="s">
        <v>107</v>
      </c>
      <c r="E3244" s="1">
        <v>1</v>
      </c>
      <c r="F3244" s="1" t="s">
        <v>197</v>
      </c>
      <c r="G3244" s="1">
        <v>52</v>
      </c>
      <c r="H3244" s="1" t="s">
        <v>197</v>
      </c>
    </row>
    <row r="3245" spans="1:8">
      <c r="A3245">
        <v>243</v>
      </c>
      <c r="B3245" t="s">
        <v>613</v>
      </c>
      <c r="C3245">
        <v>12</v>
      </c>
      <c r="D3245" t="s">
        <v>107</v>
      </c>
      <c r="E3245" s="1">
        <v>1</v>
      </c>
      <c r="F3245" s="1" t="s">
        <v>198</v>
      </c>
      <c r="G3245" s="1">
        <v>62</v>
      </c>
      <c r="H3245" s="1" t="s">
        <v>198</v>
      </c>
    </row>
    <row r="3246" spans="1:8">
      <c r="A3246">
        <v>243</v>
      </c>
      <c r="B3246" t="s">
        <v>613</v>
      </c>
      <c r="C3246">
        <v>13</v>
      </c>
      <c r="D3246" t="s">
        <v>200</v>
      </c>
      <c r="E3246" s="1">
        <v>1</v>
      </c>
      <c r="F3246" s="1">
        <v>40</v>
      </c>
      <c r="G3246" s="1">
        <v>10</v>
      </c>
      <c r="H3246" s="1">
        <v>40</v>
      </c>
    </row>
    <row r="3247" spans="1:8">
      <c r="A3247">
        <v>243</v>
      </c>
      <c r="B3247" t="s">
        <v>613</v>
      </c>
      <c r="C3247">
        <v>13</v>
      </c>
      <c r="D3247" t="s">
        <v>200</v>
      </c>
      <c r="E3247" s="1">
        <v>1</v>
      </c>
      <c r="F3247" s="1">
        <v>41</v>
      </c>
      <c r="G3247" s="1">
        <v>20</v>
      </c>
      <c r="H3247" s="1">
        <v>41</v>
      </c>
    </row>
    <row r="3248" spans="1:8">
      <c r="A3248">
        <v>243</v>
      </c>
      <c r="B3248" t="s">
        <v>613</v>
      </c>
      <c r="C3248">
        <v>13</v>
      </c>
      <c r="D3248" t="s">
        <v>200</v>
      </c>
      <c r="E3248" s="1">
        <v>1</v>
      </c>
      <c r="F3248" s="1" t="s">
        <v>194</v>
      </c>
      <c r="G3248" s="1">
        <v>22</v>
      </c>
      <c r="H3248" s="1" t="s">
        <v>194</v>
      </c>
    </row>
    <row r="3249" spans="1:8">
      <c r="A3249">
        <v>243</v>
      </c>
      <c r="B3249" t="s">
        <v>613</v>
      </c>
      <c r="C3249">
        <v>13</v>
      </c>
      <c r="D3249" t="s">
        <v>200</v>
      </c>
      <c r="E3249" s="1">
        <v>1</v>
      </c>
      <c r="F3249" s="1">
        <v>42</v>
      </c>
      <c r="G3249" s="1">
        <v>30</v>
      </c>
      <c r="H3249" s="1">
        <v>42</v>
      </c>
    </row>
    <row r="3250" spans="1:8">
      <c r="A3250">
        <v>243</v>
      </c>
      <c r="B3250" t="s">
        <v>613</v>
      </c>
      <c r="C3250">
        <v>13</v>
      </c>
      <c r="D3250" t="s">
        <v>200</v>
      </c>
      <c r="E3250" s="1">
        <v>1</v>
      </c>
      <c r="F3250" s="1" t="s">
        <v>195</v>
      </c>
      <c r="G3250" s="1">
        <v>32</v>
      </c>
      <c r="H3250" s="1" t="s">
        <v>195</v>
      </c>
    </row>
    <row r="3251" spans="1:8">
      <c r="A3251">
        <v>243</v>
      </c>
      <c r="B3251" t="s">
        <v>613</v>
      </c>
      <c r="C3251">
        <v>13</v>
      </c>
      <c r="D3251" t="s">
        <v>200</v>
      </c>
      <c r="E3251" s="1">
        <v>1</v>
      </c>
      <c r="F3251" s="1">
        <v>43</v>
      </c>
      <c r="G3251" s="1">
        <v>40</v>
      </c>
      <c r="H3251" s="1">
        <v>43</v>
      </c>
    </row>
    <row r="3252" spans="1:8">
      <c r="A3252">
        <v>243</v>
      </c>
      <c r="B3252" t="s">
        <v>613</v>
      </c>
      <c r="C3252">
        <v>13</v>
      </c>
      <c r="D3252" t="s">
        <v>200</v>
      </c>
      <c r="E3252" s="1">
        <v>1</v>
      </c>
      <c r="F3252" s="1" t="s">
        <v>196</v>
      </c>
      <c r="G3252" s="1">
        <v>42</v>
      </c>
      <c r="H3252" s="1" t="s">
        <v>196</v>
      </c>
    </row>
    <row r="3253" spans="1:8">
      <c r="A3253">
        <v>243</v>
      </c>
      <c r="B3253" t="s">
        <v>613</v>
      </c>
      <c r="C3253">
        <v>13</v>
      </c>
      <c r="D3253" t="s">
        <v>200</v>
      </c>
      <c r="E3253" s="1">
        <v>1</v>
      </c>
      <c r="F3253" s="1">
        <v>44</v>
      </c>
      <c r="G3253" s="1">
        <v>50</v>
      </c>
      <c r="H3253" s="1">
        <v>44</v>
      </c>
    </row>
    <row r="3254" spans="1:8">
      <c r="A3254">
        <v>243</v>
      </c>
      <c r="B3254" t="s">
        <v>613</v>
      </c>
      <c r="C3254">
        <v>13</v>
      </c>
      <c r="D3254" t="s">
        <v>200</v>
      </c>
      <c r="E3254" s="1">
        <v>1</v>
      </c>
      <c r="F3254" s="1" t="s">
        <v>197</v>
      </c>
      <c r="G3254" s="1">
        <v>52</v>
      </c>
      <c r="H3254" s="1" t="s">
        <v>197</v>
      </c>
    </row>
    <row r="3255" spans="1:8">
      <c r="A3255">
        <v>243</v>
      </c>
      <c r="B3255" t="s">
        <v>613</v>
      </c>
      <c r="C3255">
        <v>13</v>
      </c>
      <c r="D3255" t="s">
        <v>200</v>
      </c>
      <c r="E3255" s="1">
        <v>1</v>
      </c>
      <c r="F3255" s="1">
        <v>45</v>
      </c>
      <c r="G3255" s="1">
        <v>60</v>
      </c>
      <c r="H3255" s="1">
        <v>45</v>
      </c>
    </row>
    <row r="3256" spans="1:8">
      <c r="A3256">
        <v>243</v>
      </c>
      <c r="B3256" t="s">
        <v>613</v>
      </c>
      <c r="C3256">
        <v>13</v>
      </c>
      <c r="D3256" t="s">
        <v>200</v>
      </c>
      <c r="E3256" s="1">
        <v>1</v>
      </c>
      <c r="F3256" s="1" t="s">
        <v>198</v>
      </c>
      <c r="G3256" s="1">
        <v>62</v>
      </c>
      <c r="H3256" s="1" t="s">
        <v>198</v>
      </c>
    </row>
    <row r="3257" spans="1:8">
      <c r="A3257">
        <v>243</v>
      </c>
      <c r="B3257" t="s">
        <v>613</v>
      </c>
      <c r="C3257">
        <v>13</v>
      </c>
      <c r="D3257" t="s">
        <v>200</v>
      </c>
      <c r="E3257" s="1">
        <v>1</v>
      </c>
      <c r="F3257" s="1" t="s">
        <v>199</v>
      </c>
      <c r="G3257" s="1">
        <v>72</v>
      </c>
      <c r="H3257" s="1" t="s">
        <v>199</v>
      </c>
    </row>
    <row r="3258" spans="1:8">
      <c r="A3258">
        <v>243</v>
      </c>
      <c r="B3258" t="s">
        <v>613</v>
      </c>
      <c r="C3258">
        <v>13</v>
      </c>
      <c r="D3258" t="s">
        <v>200</v>
      </c>
      <c r="G3258" s="1">
        <v>96</v>
      </c>
    </row>
    <row r="3259" spans="1:8">
      <c r="A3259">
        <v>243</v>
      </c>
      <c r="B3259" t="s">
        <v>613</v>
      </c>
      <c r="C3259">
        <v>21</v>
      </c>
      <c r="D3259" t="s">
        <v>205</v>
      </c>
      <c r="E3259" s="1">
        <v>1</v>
      </c>
      <c r="F3259" s="1" t="s">
        <v>288</v>
      </c>
      <c r="G3259" s="1">
        <v>62</v>
      </c>
      <c r="H3259" s="1" t="s">
        <v>288</v>
      </c>
    </row>
    <row r="3260" spans="1:8">
      <c r="A3260">
        <v>243</v>
      </c>
      <c r="B3260" t="s">
        <v>613</v>
      </c>
      <c r="C3260">
        <v>27</v>
      </c>
      <c r="D3260" t="s">
        <v>210</v>
      </c>
      <c r="E3260" s="1">
        <v>1</v>
      </c>
      <c r="F3260" s="1">
        <v>44</v>
      </c>
      <c r="G3260" s="1">
        <v>50</v>
      </c>
      <c r="H3260" s="1">
        <v>44</v>
      </c>
    </row>
    <row r="3261" spans="1:8">
      <c r="A3261">
        <v>243</v>
      </c>
      <c r="B3261" t="s">
        <v>613</v>
      </c>
      <c r="C3261">
        <v>27</v>
      </c>
      <c r="D3261" t="s">
        <v>210</v>
      </c>
      <c r="E3261" s="1">
        <v>1</v>
      </c>
      <c r="F3261" s="1" t="s">
        <v>199</v>
      </c>
      <c r="G3261" s="1">
        <v>72</v>
      </c>
      <c r="H3261" s="1" t="s">
        <v>199</v>
      </c>
    </row>
    <row r="3262" spans="1:8">
      <c r="A3262">
        <v>243</v>
      </c>
      <c r="B3262" t="s">
        <v>613</v>
      </c>
      <c r="C3262">
        <v>28</v>
      </c>
      <c r="D3262" t="s">
        <v>211</v>
      </c>
      <c r="E3262" s="1">
        <v>1</v>
      </c>
      <c r="F3262" s="1" t="s">
        <v>614</v>
      </c>
      <c r="G3262" s="1">
        <v>2</v>
      </c>
      <c r="H3262" s="1" t="s">
        <v>614</v>
      </c>
    </row>
    <row r="3263" spans="1:8">
      <c r="A3263">
        <v>243</v>
      </c>
      <c r="B3263" t="s">
        <v>613</v>
      </c>
      <c r="C3263">
        <v>28</v>
      </c>
      <c r="D3263" t="s">
        <v>211</v>
      </c>
      <c r="E3263" s="1">
        <v>1</v>
      </c>
      <c r="F3263" s="1" t="s">
        <v>615</v>
      </c>
      <c r="G3263" s="1">
        <v>10</v>
      </c>
      <c r="H3263" s="1" t="s">
        <v>615</v>
      </c>
    </row>
    <row r="3264" spans="1:8">
      <c r="A3264">
        <v>243</v>
      </c>
      <c r="B3264" t="s">
        <v>613</v>
      </c>
      <c r="C3264">
        <v>28</v>
      </c>
      <c r="D3264" t="s">
        <v>211</v>
      </c>
      <c r="E3264" s="1">
        <v>1</v>
      </c>
      <c r="F3264" s="1" t="s">
        <v>616</v>
      </c>
      <c r="G3264" s="1">
        <v>12</v>
      </c>
      <c r="H3264" s="1" t="s">
        <v>616</v>
      </c>
    </row>
    <row r="3265" spans="1:8">
      <c r="A3265">
        <v>243</v>
      </c>
      <c r="B3265" t="s">
        <v>613</v>
      </c>
      <c r="C3265">
        <v>28</v>
      </c>
      <c r="D3265" t="s">
        <v>211</v>
      </c>
      <c r="E3265" s="1">
        <v>1</v>
      </c>
      <c r="F3265" s="1" t="s">
        <v>617</v>
      </c>
      <c r="G3265" s="1">
        <v>20</v>
      </c>
      <c r="H3265" s="1" t="s">
        <v>617</v>
      </c>
    </row>
    <row r="3266" spans="1:8">
      <c r="A3266">
        <v>243</v>
      </c>
      <c r="B3266" t="s">
        <v>613</v>
      </c>
      <c r="C3266">
        <v>28</v>
      </c>
      <c r="D3266" t="s">
        <v>211</v>
      </c>
      <c r="E3266" s="1">
        <v>1</v>
      </c>
      <c r="F3266" s="1" t="s">
        <v>618</v>
      </c>
      <c r="G3266" s="1">
        <v>22</v>
      </c>
      <c r="H3266" s="1" t="s">
        <v>618</v>
      </c>
    </row>
    <row r="3267" spans="1:8">
      <c r="A3267">
        <v>243</v>
      </c>
      <c r="B3267" t="s">
        <v>613</v>
      </c>
      <c r="C3267">
        <v>28</v>
      </c>
      <c r="D3267" t="s">
        <v>211</v>
      </c>
      <c r="E3267" s="1">
        <v>1</v>
      </c>
      <c r="F3267" s="1" t="s">
        <v>293</v>
      </c>
      <c r="G3267" s="1">
        <v>30</v>
      </c>
      <c r="H3267" s="1" t="s">
        <v>293</v>
      </c>
    </row>
    <row r="3268" spans="1:8">
      <c r="A3268">
        <v>243</v>
      </c>
      <c r="B3268" t="s">
        <v>613</v>
      </c>
      <c r="C3268">
        <v>28</v>
      </c>
      <c r="D3268" t="s">
        <v>211</v>
      </c>
      <c r="E3268" s="1">
        <v>1</v>
      </c>
      <c r="F3268" s="1" t="s">
        <v>619</v>
      </c>
      <c r="G3268" s="1">
        <v>32</v>
      </c>
      <c r="H3268" s="1" t="s">
        <v>619</v>
      </c>
    </row>
    <row r="3269" spans="1:8">
      <c r="A3269">
        <v>243</v>
      </c>
      <c r="B3269" t="s">
        <v>613</v>
      </c>
      <c r="C3269">
        <v>28</v>
      </c>
      <c r="D3269" t="s">
        <v>211</v>
      </c>
      <c r="E3269" s="1">
        <v>1</v>
      </c>
      <c r="F3269" s="1" t="s">
        <v>620</v>
      </c>
      <c r="G3269" s="1">
        <v>40</v>
      </c>
      <c r="H3269" s="1" t="s">
        <v>620</v>
      </c>
    </row>
    <row r="3270" spans="1:8">
      <c r="A3270">
        <v>243</v>
      </c>
      <c r="B3270" t="s">
        <v>613</v>
      </c>
      <c r="C3270">
        <v>28</v>
      </c>
      <c r="D3270" t="s">
        <v>211</v>
      </c>
      <c r="E3270" s="1">
        <v>1</v>
      </c>
      <c r="F3270" s="1" t="s">
        <v>621</v>
      </c>
      <c r="G3270" s="1">
        <v>42</v>
      </c>
      <c r="H3270" s="1" t="s">
        <v>621</v>
      </c>
    </row>
    <row r="3271" spans="1:8">
      <c r="A3271">
        <v>243</v>
      </c>
      <c r="B3271" t="s">
        <v>613</v>
      </c>
      <c r="C3271">
        <v>28</v>
      </c>
      <c r="D3271" t="s">
        <v>211</v>
      </c>
      <c r="E3271" s="1">
        <v>1</v>
      </c>
      <c r="F3271" s="1" t="s">
        <v>622</v>
      </c>
      <c r="G3271" s="1">
        <v>50</v>
      </c>
      <c r="H3271" s="1" t="s">
        <v>622</v>
      </c>
    </row>
    <row r="3272" spans="1:8">
      <c r="A3272">
        <v>243</v>
      </c>
      <c r="B3272" t="s">
        <v>613</v>
      </c>
      <c r="C3272">
        <v>28</v>
      </c>
      <c r="D3272" t="s">
        <v>211</v>
      </c>
      <c r="E3272" s="1">
        <v>1</v>
      </c>
      <c r="F3272" s="1" t="s">
        <v>623</v>
      </c>
      <c r="G3272" s="1">
        <v>52</v>
      </c>
      <c r="H3272" s="1" t="s">
        <v>623</v>
      </c>
    </row>
    <row r="3273" spans="1:8">
      <c r="A3273">
        <v>243</v>
      </c>
      <c r="B3273" t="s">
        <v>613</v>
      </c>
      <c r="C3273">
        <v>28</v>
      </c>
      <c r="D3273" t="s">
        <v>211</v>
      </c>
      <c r="E3273" s="1">
        <v>1</v>
      </c>
      <c r="F3273" s="1" t="s">
        <v>624</v>
      </c>
      <c r="G3273" s="1">
        <v>60</v>
      </c>
      <c r="H3273" s="1" t="s">
        <v>624</v>
      </c>
    </row>
    <row r="3274" spans="1:8">
      <c r="A3274">
        <v>243</v>
      </c>
      <c r="B3274" t="s">
        <v>613</v>
      </c>
      <c r="C3274">
        <v>28</v>
      </c>
      <c r="D3274" t="s">
        <v>211</v>
      </c>
      <c r="E3274" s="1">
        <v>1</v>
      </c>
      <c r="F3274" s="1" t="s">
        <v>625</v>
      </c>
      <c r="G3274" s="1">
        <v>62</v>
      </c>
      <c r="H3274" s="1" t="s">
        <v>625</v>
      </c>
    </row>
    <row r="3275" spans="1:8">
      <c r="A3275">
        <v>243</v>
      </c>
      <c r="B3275" t="s">
        <v>613</v>
      </c>
      <c r="C3275">
        <v>28</v>
      </c>
      <c r="D3275" t="s">
        <v>211</v>
      </c>
      <c r="E3275" s="1">
        <v>1</v>
      </c>
      <c r="F3275" s="1" t="s">
        <v>626</v>
      </c>
      <c r="H3275" s="1" t="s">
        <v>626</v>
      </c>
    </row>
    <row r="3276" spans="1:8">
      <c r="A3276">
        <v>243</v>
      </c>
      <c r="B3276" t="s">
        <v>613</v>
      </c>
      <c r="C3276">
        <v>28</v>
      </c>
      <c r="D3276" t="s">
        <v>211</v>
      </c>
      <c r="G3276" s="1">
        <v>80</v>
      </c>
    </row>
    <row r="3277" spans="1:8">
      <c r="A3277">
        <v>243</v>
      </c>
      <c r="B3277" t="s">
        <v>613</v>
      </c>
      <c r="C3277">
        <v>28</v>
      </c>
      <c r="D3277" t="s">
        <v>211</v>
      </c>
      <c r="G3277" s="1">
        <v>86</v>
      </c>
    </row>
    <row r="3278" spans="1:8">
      <c r="A3278">
        <v>243</v>
      </c>
      <c r="B3278" t="s">
        <v>613</v>
      </c>
      <c r="C3278">
        <v>28</v>
      </c>
      <c r="D3278" t="s">
        <v>211</v>
      </c>
      <c r="G3278" s="1">
        <v>90</v>
      </c>
    </row>
    <row r="3279" spans="1:8">
      <c r="A3279">
        <v>243</v>
      </c>
      <c r="B3279" t="s">
        <v>613</v>
      </c>
      <c r="C3279">
        <v>28</v>
      </c>
      <c r="D3279" t="s">
        <v>211</v>
      </c>
      <c r="G3279" s="1">
        <v>92</v>
      </c>
    </row>
    <row r="3280" spans="1:8">
      <c r="A3280">
        <v>243</v>
      </c>
      <c r="B3280" t="s">
        <v>613</v>
      </c>
      <c r="C3280">
        <v>29</v>
      </c>
      <c r="D3280" t="s">
        <v>627</v>
      </c>
      <c r="E3280" s="1">
        <v>1</v>
      </c>
      <c r="F3280" s="1" t="s">
        <v>193</v>
      </c>
      <c r="G3280" s="1">
        <v>2</v>
      </c>
      <c r="H3280" s="1" t="s">
        <v>193</v>
      </c>
    </row>
    <row r="3281" spans="1:8">
      <c r="A3281">
        <v>243</v>
      </c>
      <c r="B3281" t="s">
        <v>613</v>
      </c>
      <c r="C3281">
        <v>29</v>
      </c>
      <c r="D3281" t="s">
        <v>627</v>
      </c>
      <c r="E3281" s="1">
        <v>1</v>
      </c>
      <c r="F3281" s="1" t="s">
        <v>194</v>
      </c>
      <c r="G3281" s="1">
        <v>12</v>
      </c>
      <c r="H3281" s="1" t="s">
        <v>194</v>
      </c>
    </row>
    <row r="3282" spans="1:8">
      <c r="A3282">
        <v>243</v>
      </c>
      <c r="B3282" t="s">
        <v>613</v>
      </c>
      <c r="C3282">
        <v>29</v>
      </c>
      <c r="D3282" t="s">
        <v>627</v>
      </c>
      <c r="E3282" s="1">
        <v>1</v>
      </c>
      <c r="F3282" s="1">
        <v>40</v>
      </c>
      <c r="H3282" s="1">
        <v>40</v>
      </c>
    </row>
    <row r="3283" spans="1:8">
      <c r="A3283">
        <v>243</v>
      </c>
      <c r="B3283" t="s">
        <v>613</v>
      </c>
      <c r="C3283">
        <v>29</v>
      </c>
      <c r="D3283" t="s">
        <v>627</v>
      </c>
      <c r="G3283" s="1">
        <v>92</v>
      </c>
    </row>
    <row r="3284" spans="1:8">
      <c r="A3284">
        <v>243</v>
      </c>
      <c r="B3284" t="s">
        <v>613</v>
      </c>
      <c r="C3284">
        <v>30</v>
      </c>
      <c r="D3284" t="s">
        <v>628</v>
      </c>
      <c r="E3284" s="1">
        <v>1</v>
      </c>
      <c r="F3284" s="1">
        <v>13</v>
      </c>
      <c r="G3284" s="1">
        <v>30</v>
      </c>
      <c r="H3284" s="1">
        <v>13</v>
      </c>
    </row>
    <row r="3285" spans="1:8">
      <c r="A3285">
        <v>243</v>
      </c>
      <c r="B3285" t="s">
        <v>613</v>
      </c>
      <c r="C3285">
        <v>30</v>
      </c>
      <c r="D3285" t="s">
        <v>628</v>
      </c>
      <c r="E3285" s="1">
        <v>1</v>
      </c>
      <c r="F3285" s="1" t="s">
        <v>144</v>
      </c>
      <c r="G3285" s="1">
        <v>32</v>
      </c>
      <c r="H3285" s="1" t="s">
        <v>144</v>
      </c>
    </row>
    <row r="3286" spans="1:8">
      <c r="A3286">
        <v>243</v>
      </c>
      <c r="B3286" t="s">
        <v>613</v>
      </c>
      <c r="C3286">
        <v>30</v>
      </c>
      <c r="D3286" t="s">
        <v>628</v>
      </c>
      <c r="E3286" s="1">
        <v>1</v>
      </c>
      <c r="F3286" s="1">
        <v>14</v>
      </c>
      <c r="G3286" s="1">
        <v>40</v>
      </c>
      <c r="H3286" s="1">
        <v>14</v>
      </c>
    </row>
    <row r="3287" spans="1:8">
      <c r="A3287">
        <v>243</v>
      </c>
      <c r="B3287" t="s">
        <v>613</v>
      </c>
      <c r="C3287">
        <v>30</v>
      </c>
      <c r="D3287" t="s">
        <v>628</v>
      </c>
      <c r="E3287" s="1">
        <v>1</v>
      </c>
      <c r="F3287" s="1" t="s">
        <v>147</v>
      </c>
      <c r="G3287" s="1">
        <v>42</v>
      </c>
      <c r="H3287" s="1" t="s">
        <v>147</v>
      </c>
    </row>
    <row r="3288" spans="1:8">
      <c r="A3288">
        <v>243</v>
      </c>
      <c r="B3288" t="s">
        <v>613</v>
      </c>
      <c r="C3288">
        <v>30</v>
      </c>
      <c r="D3288" t="s">
        <v>628</v>
      </c>
      <c r="E3288" s="1">
        <v>1</v>
      </c>
      <c r="F3288" s="1">
        <v>15</v>
      </c>
      <c r="G3288" s="1">
        <v>50</v>
      </c>
      <c r="H3288" s="1">
        <v>15</v>
      </c>
    </row>
    <row r="3289" spans="1:8">
      <c r="A3289">
        <v>243</v>
      </c>
      <c r="B3289" t="s">
        <v>613</v>
      </c>
      <c r="C3289">
        <v>30</v>
      </c>
      <c r="D3289" t="s">
        <v>628</v>
      </c>
      <c r="E3289" s="1">
        <v>1</v>
      </c>
      <c r="F3289" s="1" t="s">
        <v>150</v>
      </c>
      <c r="G3289" s="1">
        <v>52</v>
      </c>
      <c r="H3289" s="1" t="s">
        <v>150</v>
      </c>
    </row>
    <row r="3290" spans="1:8">
      <c r="A3290">
        <v>243</v>
      </c>
      <c r="B3290" t="s">
        <v>613</v>
      </c>
      <c r="C3290">
        <v>30</v>
      </c>
      <c r="D3290" t="s">
        <v>628</v>
      </c>
      <c r="E3290" s="1">
        <v>1</v>
      </c>
      <c r="F3290" s="1">
        <v>16</v>
      </c>
      <c r="G3290" s="1">
        <v>60</v>
      </c>
      <c r="H3290" s="1">
        <v>16</v>
      </c>
    </row>
    <row r="3291" spans="1:8">
      <c r="A3291">
        <v>243</v>
      </c>
      <c r="B3291" t="s">
        <v>613</v>
      </c>
      <c r="C3291">
        <v>30</v>
      </c>
      <c r="D3291" t="s">
        <v>628</v>
      </c>
      <c r="E3291" s="1">
        <v>1</v>
      </c>
      <c r="F3291" s="1" t="s">
        <v>153</v>
      </c>
      <c r="G3291" s="1">
        <v>62</v>
      </c>
      <c r="H3291" s="1" t="s">
        <v>153</v>
      </c>
    </row>
    <row r="3292" spans="1:8">
      <c r="A3292">
        <v>243</v>
      </c>
      <c r="B3292" t="s">
        <v>613</v>
      </c>
      <c r="C3292">
        <v>30</v>
      </c>
      <c r="D3292" t="s">
        <v>628</v>
      </c>
      <c r="E3292" s="1">
        <v>1</v>
      </c>
      <c r="F3292" s="1">
        <v>17</v>
      </c>
      <c r="G3292" s="1">
        <v>70</v>
      </c>
      <c r="H3292" s="1">
        <v>17</v>
      </c>
    </row>
    <row r="3293" spans="1:8">
      <c r="A3293">
        <v>243</v>
      </c>
      <c r="B3293" t="s">
        <v>613</v>
      </c>
      <c r="C3293">
        <v>30</v>
      </c>
      <c r="D3293" t="s">
        <v>628</v>
      </c>
      <c r="E3293" s="1">
        <v>1</v>
      </c>
      <c r="F3293" s="1" t="s">
        <v>156</v>
      </c>
      <c r="G3293" s="1">
        <v>72</v>
      </c>
      <c r="H3293" s="1" t="s">
        <v>156</v>
      </c>
    </row>
    <row r="3294" spans="1:8">
      <c r="A3294">
        <v>243</v>
      </c>
      <c r="B3294" t="s">
        <v>613</v>
      </c>
      <c r="C3294">
        <v>30</v>
      </c>
      <c r="D3294" t="s">
        <v>628</v>
      </c>
      <c r="E3294" s="1">
        <v>1</v>
      </c>
      <c r="F3294" s="1">
        <v>18</v>
      </c>
      <c r="G3294" s="1">
        <v>80</v>
      </c>
      <c r="H3294" s="1">
        <v>18</v>
      </c>
    </row>
    <row r="3295" spans="1:8">
      <c r="A3295">
        <v>243</v>
      </c>
      <c r="B3295" t="s">
        <v>613</v>
      </c>
      <c r="C3295">
        <v>30</v>
      </c>
      <c r="D3295" t="s">
        <v>628</v>
      </c>
      <c r="E3295" s="1">
        <v>1</v>
      </c>
      <c r="F3295" s="1" t="s">
        <v>159</v>
      </c>
      <c r="G3295" s="1">
        <v>82</v>
      </c>
      <c r="H3295" s="1" t="s">
        <v>159</v>
      </c>
    </row>
    <row r="3296" spans="1:8">
      <c r="A3296">
        <v>243</v>
      </c>
      <c r="B3296" t="s">
        <v>613</v>
      </c>
      <c r="C3296">
        <v>30</v>
      </c>
      <c r="D3296" t="s">
        <v>628</v>
      </c>
      <c r="E3296" s="1">
        <v>1</v>
      </c>
      <c r="F3296" s="1">
        <v>19</v>
      </c>
      <c r="G3296" s="1">
        <v>90</v>
      </c>
      <c r="H3296" s="1">
        <v>19</v>
      </c>
    </row>
    <row r="3297" spans="1:8">
      <c r="A3297">
        <v>243</v>
      </c>
      <c r="B3297" t="s">
        <v>613</v>
      </c>
      <c r="C3297">
        <v>30</v>
      </c>
      <c r="D3297" t="s">
        <v>628</v>
      </c>
      <c r="E3297" s="1">
        <v>1</v>
      </c>
      <c r="F3297" s="1" t="s">
        <v>162</v>
      </c>
      <c r="G3297" s="1">
        <v>92</v>
      </c>
      <c r="H3297" s="1" t="s">
        <v>162</v>
      </c>
    </row>
    <row r="3298" spans="1:8">
      <c r="A3298">
        <v>243</v>
      </c>
      <c r="B3298" t="s">
        <v>613</v>
      </c>
      <c r="C3298">
        <v>30</v>
      </c>
      <c r="D3298" t="s">
        <v>628</v>
      </c>
      <c r="E3298" s="1">
        <v>2</v>
      </c>
      <c r="F3298" s="1" t="s">
        <v>165</v>
      </c>
      <c r="G3298" s="1">
        <v>2</v>
      </c>
      <c r="H3298" s="1" t="s">
        <v>165</v>
      </c>
    </row>
    <row r="3299" spans="1:8">
      <c r="A3299">
        <v>243</v>
      </c>
      <c r="B3299" t="s">
        <v>613</v>
      </c>
      <c r="C3299">
        <v>30</v>
      </c>
      <c r="D3299" t="s">
        <v>628</v>
      </c>
      <c r="E3299" s="1">
        <v>2</v>
      </c>
      <c r="F3299" s="1">
        <v>21</v>
      </c>
      <c r="G3299" s="1">
        <v>10</v>
      </c>
      <c r="H3299" s="1">
        <v>21</v>
      </c>
    </row>
    <row r="3300" spans="1:8">
      <c r="A3300">
        <v>243</v>
      </c>
      <c r="B3300" t="s">
        <v>613</v>
      </c>
      <c r="C3300">
        <v>30</v>
      </c>
      <c r="D3300" t="s">
        <v>628</v>
      </c>
      <c r="E3300" s="1">
        <v>2</v>
      </c>
      <c r="F3300" s="1" t="s">
        <v>168</v>
      </c>
      <c r="G3300" s="1">
        <v>12</v>
      </c>
      <c r="H3300" s="1" t="s">
        <v>168</v>
      </c>
    </row>
    <row r="3301" spans="1:8">
      <c r="A3301">
        <v>243</v>
      </c>
      <c r="B3301" t="s">
        <v>613</v>
      </c>
      <c r="C3301">
        <v>30</v>
      </c>
      <c r="D3301" t="s">
        <v>628</v>
      </c>
      <c r="E3301" s="1">
        <v>2</v>
      </c>
      <c r="F3301" s="1" t="s">
        <v>171</v>
      </c>
      <c r="G3301" s="1">
        <v>22</v>
      </c>
      <c r="H3301" s="1" t="s">
        <v>171</v>
      </c>
    </row>
    <row r="3302" spans="1:8">
      <c r="A3302">
        <v>243</v>
      </c>
      <c r="B3302" t="s">
        <v>613</v>
      </c>
      <c r="C3302">
        <v>30</v>
      </c>
      <c r="D3302" t="s">
        <v>628</v>
      </c>
      <c r="E3302" s="1">
        <v>2</v>
      </c>
      <c r="F3302" s="1">
        <v>20</v>
      </c>
      <c r="H3302" s="1">
        <v>20</v>
      </c>
    </row>
    <row r="3303" spans="1:8">
      <c r="A3303">
        <v>243</v>
      </c>
      <c r="B3303" t="s">
        <v>613</v>
      </c>
      <c r="C3303">
        <v>45</v>
      </c>
      <c r="D3303" t="s">
        <v>223</v>
      </c>
      <c r="E3303" s="1">
        <v>2</v>
      </c>
      <c r="F3303" s="1" t="s">
        <v>490</v>
      </c>
      <c r="G3303" s="1">
        <v>23</v>
      </c>
      <c r="H3303" s="1" t="s">
        <v>513</v>
      </c>
    </row>
    <row r="3304" spans="1:8">
      <c r="A3304">
        <v>243</v>
      </c>
      <c r="B3304" t="s">
        <v>613</v>
      </c>
      <c r="C3304">
        <v>57</v>
      </c>
      <c r="D3304" t="s">
        <v>183</v>
      </c>
      <c r="E3304" s="1">
        <v>3</v>
      </c>
      <c r="F3304" s="1" t="s">
        <v>338</v>
      </c>
      <c r="G3304" s="1">
        <v>60</v>
      </c>
      <c r="H3304" s="1" t="s">
        <v>338</v>
      </c>
    </row>
    <row r="3305" spans="1:8">
      <c r="A3305">
        <v>243</v>
      </c>
      <c r="B3305" t="s">
        <v>613</v>
      </c>
      <c r="C3305">
        <v>57</v>
      </c>
      <c r="D3305" t="s">
        <v>183</v>
      </c>
      <c r="G3305" s="1">
        <v>60</v>
      </c>
    </row>
    <row r="3306" spans="1:8">
      <c r="A3306">
        <v>243</v>
      </c>
      <c r="B3306" t="s">
        <v>613</v>
      </c>
      <c r="C3306">
        <v>59</v>
      </c>
      <c r="D3306" t="s">
        <v>227</v>
      </c>
      <c r="E3306" s="1">
        <v>3</v>
      </c>
      <c r="F3306" s="1" t="s">
        <v>295</v>
      </c>
      <c r="G3306" s="1">
        <v>23</v>
      </c>
      <c r="H3306" s="1" t="s">
        <v>295</v>
      </c>
    </row>
    <row r="3307" spans="1:8">
      <c r="A3307">
        <v>243</v>
      </c>
      <c r="B3307" t="s">
        <v>613</v>
      </c>
      <c r="C3307">
        <v>74</v>
      </c>
      <c r="D3307" t="s">
        <v>235</v>
      </c>
      <c r="E3307" s="1">
        <v>3</v>
      </c>
      <c r="F3307" s="1" t="s">
        <v>321</v>
      </c>
      <c r="G3307" s="1">
        <v>60</v>
      </c>
      <c r="H3307" s="1" t="s">
        <v>321</v>
      </c>
    </row>
    <row r="3308" spans="1:8">
      <c r="A3308">
        <v>245</v>
      </c>
      <c r="B3308" t="s">
        <v>629</v>
      </c>
      <c r="C3308">
        <v>1</v>
      </c>
      <c r="D3308" t="s">
        <v>137</v>
      </c>
      <c r="E3308" s="1">
        <v>2</v>
      </c>
      <c r="F3308" s="1">
        <v>19</v>
      </c>
      <c r="G3308" s="1">
        <v>10</v>
      </c>
      <c r="H3308" s="1">
        <v>19</v>
      </c>
    </row>
    <row r="3309" spans="1:8">
      <c r="A3309">
        <v>245</v>
      </c>
      <c r="B3309" t="s">
        <v>629</v>
      </c>
      <c r="C3309">
        <v>1</v>
      </c>
      <c r="D3309" t="s">
        <v>137</v>
      </c>
      <c r="E3309" s="1">
        <v>2</v>
      </c>
      <c r="F3309" s="1" t="s">
        <v>171</v>
      </c>
      <c r="G3309" s="1">
        <v>42</v>
      </c>
      <c r="H3309" s="1" t="s">
        <v>171</v>
      </c>
    </row>
    <row r="3310" spans="1:8">
      <c r="A3310">
        <v>245</v>
      </c>
      <c r="B3310" t="s">
        <v>629</v>
      </c>
      <c r="C3310">
        <v>1</v>
      </c>
      <c r="D3310" t="s">
        <v>137</v>
      </c>
      <c r="E3310" s="1">
        <v>2</v>
      </c>
      <c r="F3310" s="1">
        <v>23</v>
      </c>
      <c r="G3310" s="1">
        <v>50</v>
      </c>
      <c r="H3310" s="1">
        <v>23</v>
      </c>
    </row>
    <row r="3311" spans="1:8">
      <c r="A3311">
        <v>245</v>
      </c>
      <c r="B3311" t="s">
        <v>629</v>
      </c>
      <c r="C3311">
        <v>1</v>
      </c>
      <c r="D3311" t="s">
        <v>137</v>
      </c>
      <c r="E3311" s="1">
        <v>2</v>
      </c>
      <c r="F3311" s="1" t="s">
        <v>177</v>
      </c>
      <c r="G3311" s="1">
        <v>62</v>
      </c>
      <c r="H3311" s="1" t="s">
        <v>177</v>
      </c>
    </row>
    <row r="3312" spans="1:8">
      <c r="A3312">
        <v>245</v>
      </c>
      <c r="B3312" t="s">
        <v>629</v>
      </c>
      <c r="C3312">
        <v>18</v>
      </c>
      <c r="D3312" t="s">
        <v>204</v>
      </c>
      <c r="E3312" s="1">
        <v>1</v>
      </c>
      <c r="F3312" s="1" t="s">
        <v>195</v>
      </c>
      <c r="G3312" s="1">
        <v>32</v>
      </c>
      <c r="H3312" s="1" t="s">
        <v>195</v>
      </c>
    </row>
    <row r="3313" spans="1:8">
      <c r="A3313">
        <v>245</v>
      </c>
      <c r="B3313" t="s">
        <v>629</v>
      </c>
      <c r="C3313">
        <v>18</v>
      </c>
      <c r="D3313" t="s">
        <v>204</v>
      </c>
      <c r="E3313" s="1">
        <v>1</v>
      </c>
      <c r="F3313" s="1" t="s">
        <v>196</v>
      </c>
      <c r="G3313" s="1">
        <v>42</v>
      </c>
      <c r="H3313" s="1" t="s">
        <v>196</v>
      </c>
    </row>
    <row r="3314" spans="1:8">
      <c r="A3314">
        <v>245</v>
      </c>
      <c r="B3314" t="s">
        <v>629</v>
      </c>
      <c r="C3314">
        <v>18</v>
      </c>
      <c r="D3314" t="s">
        <v>204</v>
      </c>
      <c r="E3314" s="1">
        <v>1</v>
      </c>
      <c r="F3314" s="1">
        <v>44</v>
      </c>
      <c r="G3314" s="1">
        <v>50</v>
      </c>
      <c r="H3314" s="1">
        <v>44</v>
      </c>
    </row>
    <row r="3315" spans="1:8">
      <c r="A3315">
        <v>245</v>
      </c>
      <c r="B3315" t="s">
        <v>629</v>
      </c>
      <c r="C3315">
        <v>18</v>
      </c>
      <c r="D3315" t="s">
        <v>204</v>
      </c>
      <c r="E3315" s="1">
        <v>1</v>
      </c>
      <c r="F3315" s="1">
        <v>45</v>
      </c>
      <c r="G3315" s="1">
        <v>60</v>
      </c>
      <c r="H3315" s="1">
        <v>45</v>
      </c>
    </row>
    <row r="3316" spans="1:8">
      <c r="A3316">
        <v>245</v>
      </c>
      <c r="B3316" t="s">
        <v>629</v>
      </c>
      <c r="C3316">
        <v>22</v>
      </c>
      <c r="D3316" t="s">
        <v>206</v>
      </c>
      <c r="E3316" s="1">
        <v>1</v>
      </c>
      <c r="F3316" s="1" t="s">
        <v>287</v>
      </c>
      <c r="G3316" s="1">
        <v>52</v>
      </c>
      <c r="H3316" s="1" t="s">
        <v>287</v>
      </c>
    </row>
    <row r="3317" spans="1:8">
      <c r="A3317">
        <v>260</v>
      </c>
      <c r="B3317" t="s">
        <v>93</v>
      </c>
      <c r="C3317">
        <v>1</v>
      </c>
      <c r="D3317" t="s">
        <v>137</v>
      </c>
      <c r="E3317" s="1">
        <v>1</v>
      </c>
      <c r="F3317" s="1">
        <v>13</v>
      </c>
      <c r="G3317" s="1">
        <v>60</v>
      </c>
      <c r="H3317" s="1">
        <v>13</v>
      </c>
    </row>
    <row r="3318" spans="1:8">
      <c r="A3318">
        <v>260</v>
      </c>
      <c r="B3318" t="s">
        <v>93</v>
      </c>
      <c r="C3318">
        <v>1</v>
      </c>
      <c r="D3318" t="s">
        <v>137</v>
      </c>
      <c r="E3318" s="1">
        <v>1</v>
      </c>
      <c r="F3318" s="1" t="s">
        <v>144</v>
      </c>
      <c r="G3318" s="1">
        <v>62</v>
      </c>
      <c r="H3318" s="1" t="s">
        <v>144</v>
      </c>
    </row>
    <row r="3319" spans="1:8">
      <c r="A3319">
        <v>260</v>
      </c>
      <c r="B3319" t="s">
        <v>93</v>
      </c>
      <c r="C3319">
        <v>1</v>
      </c>
      <c r="D3319" t="s">
        <v>137</v>
      </c>
      <c r="E3319" s="1">
        <v>1</v>
      </c>
      <c r="F3319" s="1">
        <v>14</v>
      </c>
      <c r="G3319" s="1">
        <v>70</v>
      </c>
      <c r="H3319" s="1">
        <v>14</v>
      </c>
    </row>
    <row r="3320" spans="1:8">
      <c r="A3320">
        <v>260</v>
      </c>
      <c r="B3320" t="s">
        <v>93</v>
      </c>
      <c r="C3320">
        <v>1</v>
      </c>
      <c r="D3320" t="s">
        <v>137</v>
      </c>
      <c r="E3320" s="1">
        <v>1</v>
      </c>
      <c r="F3320" s="1" t="s">
        <v>147</v>
      </c>
      <c r="G3320" s="1">
        <v>72</v>
      </c>
      <c r="H3320" s="1" t="s">
        <v>147</v>
      </c>
    </row>
    <row r="3321" spans="1:8">
      <c r="A3321">
        <v>260</v>
      </c>
      <c r="B3321" t="s">
        <v>93</v>
      </c>
      <c r="C3321">
        <v>1</v>
      </c>
      <c r="D3321" t="s">
        <v>137</v>
      </c>
      <c r="E3321" s="1">
        <v>1</v>
      </c>
      <c r="F3321" s="1">
        <v>15</v>
      </c>
      <c r="G3321" s="1">
        <v>80</v>
      </c>
      <c r="H3321" s="1">
        <v>15</v>
      </c>
    </row>
    <row r="3322" spans="1:8">
      <c r="A3322">
        <v>260</v>
      </c>
      <c r="B3322" t="s">
        <v>93</v>
      </c>
      <c r="C3322">
        <v>1</v>
      </c>
      <c r="D3322" t="s">
        <v>137</v>
      </c>
      <c r="E3322" s="1">
        <v>1</v>
      </c>
      <c r="F3322" s="1" t="s">
        <v>150</v>
      </c>
      <c r="G3322" s="1">
        <v>82</v>
      </c>
      <c r="H3322" s="1" t="s">
        <v>150</v>
      </c>
    </row>
    <row r="3323" spans="1:8">
      <c r="A3323">
        <v>260</v>
      </c>
      <c r="B3323" t="s">
        <v>93</v>
      </c>
      <c r="C3323">
        <v>1</v>
      </c>
      <c r="D3323" t="s">
        <v>137</v>
      </c>
      <c r="E3323" s="1">
        <v>1</v>
      </c>
      <c r="F3323" s="1">
        <v>16</v>
      </c>
      <c r="G3323" s="1">
        <v>90</v>
      </c>
      <c r="H3323" s="1">
        <v>16</v>
      </c>
    </row>
    <row r="3324" spans="1:8">
      <c r="A3324">
        <v>260</v>
      </c>
      <c r="B3324" t="s">
        <v>93</v>
      </c>
      <c r="C3324">
        <v>1</v>
      </c>
      <c r="D3324" t="s">
        <v>137</v>
      </c>
      <c r="E3324" s="1">
        <v>1</v>
      </c>
      <c r="F3324" s="1" t="s">
        <v>153</v>
      </c>
      <c r="G3324" s="1">
        <v>92</v>
      </c>
      <c r="H3324" s="1" t="s">
        <v>153</v>
      </c>
    </row>
    <row r="3325" spans="1:8">
      <c r="A3325">
        <v>260</v>
      </c>
      <c r="B3325" t="s">
        <v>93</v>
      </c>
      <c r="C3325">
        <v>1</v>
      </c>
      <c r="D3325" t="s">
        <v>137</v>
      </c>
      <c r="E3325" s="1">
        <v>1</v>
      </c>
      <c r="F3325" s="1">
        <v>17</v>
      </c>
      <c r="G3325" s="1">
        <v>94</v>
      </c>
      <c r="H3325" s="1">
        <v>17</v>
      </c>
    </row>
    <row r="3326" spans="1:8">
      <c r="A3326">
        <v>260</v>
      </c>
      <c r="B3326" t="s">
        <v>93</v>
      </c>
      <c r="C3326">
        <v>1</v>
      </c>
      <c r="D3326" t="s">
        <v>137</v>
      </c>
      <c r="E3326" s="1">
        <v>1</v>
      </c>
      <c r="F3326" s="1" t="s">
        <v>156</v>
      </c>
      <c r="G3326" s="1">
        <v>96</v>
      </c>
      <c r="H3326" s="1" t="s">
        <v>156</v>
      </c>
    </row>
    <row r="3327" spans="1:8">
      <c r="A3327">
        <v>260</v>
      </c>
      <c r="B3327" t="s">
        <v>93</v>
      </c>
      <c r="C3327">
        <v>1</v>
      </c>
      <c r="D3327" t="s">
        <v>137</v>
      </c>
      <c r="E3327" s="1">
        <v>2</v>
      </c>
      <c r="F3327" s="1" t="s">
        <v>159</v>
      </c>
      <c r="G3327" s="1">
        <v>2</v>
      </c>
      <c r="H3327" s="1" t="s">
        <v>159</v>
      </c>
    </row>
    <row r="3328" spans="1:8">
      <c r="A3328">
        <v>260</v>
      </c>
      <c r="B3328" t="s">
        <v>93</v>
      </c>
      <c r="C3328">
        <v>1</v>
      </c>
      <c r="D3328" t="s">
        <v>137</v>
      </c>
      <c r="E3328" s="1">
        <v>2</v>
      </c>
      <c r="F3328" s="1">
        <v>19</v>
      </c>
      <c r="G3328" s="1">
        <v>10</v>
      </c>
      <c r="H3328" s="1">
        <v>19</v>
      </c>
    </row>
    <row r="3329" spans="1:8">
      <c r="A3329">
        <v>260</v>
      </c>
      <c r="B3329" t="s">
        <v>93</v>
      </c>
      <c r="C3329">
        <v>1</v>
      </c>
      <c r="D3329" t="s">
        <v>137</v>
      </c>
      <c r="E3329" s="1">
        <v>2</v>
      </c>
      <c r="F3329" s="1" t="s">
        <v>162</v>
      </c>
      <c r="G3329" s="1">
        <v>12</v>
      </c>
      <c r="H3329" s="1" t="s">
        <v>162</v>
      </c>
    </row>
    <row r="3330" spans="1:8">
      <c r="A3330">
        <v>260</v>
      </c>
      <c r="B3330" t="s">
        <v>93</v>
      </c>
      <c r="C3330">
        <v>1</v>
      </c>
      <c r="D3330" t="s">
        <v>137</v>
      </c>
      <c r="E3330" s="1">
        <v>2</v>
      </c>
      <c r="F3330" s="1">
        <v>20</v>
      </c>
      <c r="G3330" s="1">
        <v>20</v>
      </c>
      <c r="H3330" s="1">
        <v>20</v>
      </c>
    </row>
    <row r="3331" spans="1:8">
      <c r="A3331">
        <v>260</v>
      </c>
      <c r="B3331" t="s">
        <v>93</v>
      </c>
      <c r="C3331">
        <v>1</v>
      </c>
      <c r="D3331" t="s">
        <v>137</v>
      </c>
      <c r="E3331" s="1">
        <v>2</v>
      </c>
      <c r="F3331" s="1" t="s">
        <v>165</v>
      </c>
      <c r="G3331" s="1">
        <v>22</v>
      </c>
      <c r="H3331" s="1" t="s">
        <v>165</v>
      </c>
    </row>
    <row r="3332" spans="1:8">
      <c r="A3332">
        <v>260</v>
      </c>
      <c r="B3332" t="s">
        <v>93</v>
      </c>
      <c r="C3332">
        <v>1</v>
      </c>
      <c r="D3332" t="s">
        <v>137</v>
      </c>
      <c r="E3332" s="1">
        <v>2</v>
      </c>
      <c r="F3332" s="1">
        <v>21</v>
      </c>
      <c r="G3332" s="1">
        <v>30</v>
      </c>
      <c r="H3332" s="1">
        <v>21</v>
      </c>
    </row>
    <row r="3333" spans="1:8">
      <c r="A3333">
        <v>260</v>
      </c>
      <c r="B3333" t="s">
        <v>93</v>
      </c>
      <c r="C3333">
        <v>1</v>
      </c>
      <c r="D3333" t="s">
        <v>137</v>
      </c>
      <c r="E3333" s="1">
        <v>2</v>
      </c>
      <c r="F3333" s="1" t="s">
        <v>168</v>
      </c>
      <c r="G3333" s="1">
        <v>32</v>
      </c>
      <c r="H3333" s="1" t="s">
        <v>168</v>
      </c>
    </row>
    <row r="3334" spans="1:8">
      <c r="A3334">
        <v>260</v>
      </c>
      <c r="B3334" t="s">
        <v>93</v>
      </c>
      <c r="C3334">
        <v>1</v>
      </c>
      <c r="D3334" t="s">
        <v>137</v>
      </c>
      <c r="E3334" s="1">
        <v>2</v>
      </c>
      <c r="F3334" s="1">
        <v>22</v>
      </c>
      <c r="G3334" s="1">
        <v>40</v>
      </c>
      <c r="H3334" s="1">
        <v>22</v>
      </c>
    </row>
    <row r="3335" spans="1:8">
      <c r="A3335">
        <v>260</v>
      </c>
      <c r="B3335" t="s">
        <v>93</v>
      </c>
      <c r="C3335">
        <v>1</v>
      </c>
      <c r="D3335" t="s">
        <v>137</v>
      </c>
      <c r="E3335" s="1">
        <v>2</v>
      </c>
      <c r="F3335" s="1" t="s">
        <v>171</v>
      </c>
      <c r="G3335" s="1">
        <v>42</v>
      </c>
      <c r="H3335" s="1" t="s">
        <v>171</v>
      </c>
    </row>
    <row r="3336" spans="1:8">
      <c r="A3336">
        <v>260</v>
      </c>
      <c r="B3336" t="s">
        <v>93</v>
      </c>
      <c r="C3336">
        <v>1</v>
      </c>
      <c r="D3336" t="s">
        <v>137</v>
      </c>
      <c r="E3336" s="1">
        <v>2</v>
      </c>
      <c r="F3336" s="1">
        <v>23</v>
      </c>
      <c r="G3336" s="1">
        <v>50</v>
      </c>
      <c r="H3336" s="1">
        <v>23</v>
      </c>
    </row>
    <row r="3337" spans="1:8">
      <c r="A3337">
        <v>260</v>
      </c>
      <c r="B3337" t="s">
        <v>93</v>
      </c>
      <c r="C3337">
        <v>1</v>
      </c>
      <c r="D3337" t="s">
        <v>137</v>
      </c>
      <c r="E3337" s="1">
        <v>2</v>
      </c>
      <c r="F3337" s="1" t="s">
        <v>174</v>
      </c>
      <c r="G3337" s="1">
        <v>52</v>
      </c>
      <c r="H3337" s="1" t="s">
        <v>174</v>
      </c>
    </row>
    <row r="3338" spans="1:8">
      <c r="A3338">
        <v>260</v>
      </c>
      <c r="B3338" t="s">
        <v>93</v>
      </c>
      <c r="C3338">
        <v>1</v>
      </c>
      <c r="D3338" t="s">
        <v>137</v>
      </c>
      <c r="E3338" s="1">
        <v>2</v>
      </c>
      <c r="F3338" s="1">
        <v>24</v>
      </c>
      <c r="G3338" s="1">
        <v>60</v>
      </c>
      <c r="H3338" s="1">
        <v>24</v>
      </c>
    </row>
    <row r="3339" spans="1:8">
      <c r="A3339">
        <v>260</v>
      </c>
      <c r="B3339" t="s">
        <v>93</v>
      </c>
      <c r="C3339">
        <v>1</v>
      </c>
      <c r="D3339" t="s">
        <v>137</v>
      </c>
      <c r="E3339" s="1">
        <v>2</v>
      </c>
      <c r="F3339" s="1" t="s">
        <v>177</v>
      </c>
      <c r="G3339" s="1">
        <v>62</v>
      </c>
      <c r="H3339" s="1" t="s">
        <v>177</v>
      </c>
    </row>
    <row r="3340" spans="1:8">
      <c r="A3340">
        <v>260</v>
      </c>
      <c r="B3340" t="s">
        <v>93</v>
      </c>
      <c r="C3340">
        <v>1</v>
      </c>
      <c r="D3340" t="s">
        <v>137</v>
      </c>
      <c r="E3340" s="1">
        <v>2</v>
      </c>
      <c r="F3340" s="1" t="s">
        <v>180</v>
      </c>
      <c r="G3340" s="1">
        <v>72</v>
      </c>
      <c r="H3340" s="1" t="s">
        <v>180</v>
      </c>
    </row>
    <row r="3341" spans="1:8">
      <c r="A3341">
        <v>260</v>
      </c>
      <c r="B3341" t="s">
        <v>93</v>
      </c>
      <c r="C3341">
        <v>1</v>
      </c>
      <c r="D3341" t="s">
        <v>137</v>
      </c>
      <c r="E3341" s="1">
        <v>2</v>
      </c>
      <c r="F3341" s="1">
        <v>18</v>
      </c>
      <c r="H3341" s="1">
        <v>18</v>
      </c>
    </row>
    <row r="3342" spans="1:8">
      <c r="A3342">
        <v>260</v>
      </c>
      <c r="B3342" t="s">
        <v>93</v>
      </c>
      <c r="C3342">
        <v>2</v>
      </c>
      <c r="D3342" t="s">
        <v>181</v>
      </c>
      <c r="E3342" s="1">
        <v>2</v>
      </c>
      <c r="F3342" s="1">
        <v>9</v>
      </c>
      <c r="H3342" s="1">
        <v>9</v>
      </c>
    </row>
    <row r="3343" spans="1:8">
      <c r="A3343">
        <v>260</v>
      </c>
      <c r="B3343" t="s">
        <v>93</v>
      </c>
      <c r="C3343">
        <v>5</v>
      </c>
      <c r="D3343" t="s">
        <v>183</v>
      </c>
      <c r="G3343" s="1">
        <v>50</v>
      </c>
    </row>
    <row r="3344" spans="1:8">
      <c r="A3344">
        <v>260</v>
      </c>
      <c r="B3344" t="s">
        <v>93</v>
      </c>
      <c r="C3344">
        <v>5</v>
      </c>
      <c r="D3344" t="s">
        <v>183</v>
      </c>
      <c r="G3344" s="1">
        <v>60</v>
      </c>
    </row>
    <row r="3345" spans="1:8">
      <c r="A3345">
        <v>260</v>
      </c>
      <c r="B3345" t="s">
        <v>93</v>
      </c>
      <c r="C3345">
        <v>5</v>
      </c>
      <c r="D3345" t="s">
        <v>183</v>
      </c>
      <c r="G3345" s="1">
        <v>80</v>
      </c>
    </row>
    <row r="3346" spans="1:8">
      <c r="A3346">
        <v>260</v>
      </c>
      <c r="B3346" t="s">
        <v>93</v>
      </c>
      <c r="C3346">
        <v>6</v>
      </c>
      <c r="D3346" t="s">
        <v>184</v>
      </c>
      <c r="G3346" s="1">
        <v>63</v>
      </c>
    </row>
    <row r="3347" spans="1:8">
      <c r="A3347">
        <v>260</v>
      </c>
      <c r="B3347" t="s">
        <v>93</v>
      </c>
      <c r="C3347">
        <v>11</v>
      </c>
      <c r="D3347" t="s">
        <v>186</v>
      </c>
      <c r="E3347" s="1">
        <v>1</v>
      </c>
      <c r="F3347" s="1" t="s">
        <v>192</v>
      </c>
      <c r="G3347" s="1">
        <v>2</v>
      </c>
      <c r="H3347" s="1" t="s">
        <v>192</v>
      </c>
    </row>
    <row r="3348" spans="1:8">
      <c r="A3348">
        <v>260</v>
      </c>
      <c r="B3348" t="s">
        <v>93</v>
      </c>
      <c r="C3348">
        <v>11</v>
      </c>
      <c r="D3348" t="s">
        <v>186</v>
      </c>
      <c r="E3348" s="1">
        <v>1</v>
      </c>
      <c r="F3348" s="1">
        <v>40</v>
      </c>
      <c r="G3348" s="1">
        <v>10</v>
      </c>
      <c r="H3348" s="1">
        <v>40</v>
      </c>
    </row>
    <row r="3349" spans="1:8">
      <c r="A3349">
        <v>260</v>
      </c>
      <c r="B3349" t="s">
        <v>93</v>
      </c>
      <c r="C3349">
        <v>11</v>
      </c>
      <c r="D3349" t="s">
        <v>186</v>
      </c>
      <c r="E3349" s="1">
        <v>1</v>
      </c>
      <c r="F3349" s="1" t="s">
        <v>193</v>
      </c>
      <c r="G3349" s="1">
        <v>12</v>
      </c>
      <c r="H3349" s="1" t="s">
        <v>193</v>
      </c>
    </row>
    <row r="3350" spans="1:8">
      <c r="A3350">
        <v>260</v>
      </c>
      <c r="B3350" t="s">
        <v>93</v>
      </c>
      <c r="C3350">
        <v>11</v>
      </c>
      <c r="D3350" t="s">
        <v>186</v>
      </c>
      <c r="E3350" s="1">
        <v>1</v>
      </c>
      <c r="F3350" s="1">
        <v>41</v>
      </c>
      <c r="G3350" s="1">
        <v>20</v>
      </c>
      <c r="H3350" s="1">
        <v>41</v>
      </c>
    </row>
    <row r="3351" spans="1:8">
      <c r="A3351">
        <v>260</v>
      </c>
      <c r="B3351" t="s">
        <v>93</v>
      </c>
      <c r="C3351">
        <v>11</v>
      </c>
      <c r="D3351" t="s">
        <v>186</v>
      </c>
      <c r="E3351" s="1">
        <v>1</v>
      </c>
      <c r="F3351" s="1" t="s">
        <v>194</v>
      </c>
      <c r="G3351" s="1">
        <v>22</v>
      </c>
      <c r="H3351" s="1" t="s">
        <v>194</v>
      </c>
    </row>
    <row r="3352" spans="1:8">
      <c r="A3352">
        <v>260</v>
      </c>
      <c r="B3352" t="s">
        <v>93</v>
      </c>
      <c r="C3352">
        <v>11</v>
      </c>
      <c r="D3352" t="s">
        <v>186</v>
      </c>
      <c r="E3352" s="1">
        <v>1</v>
      </c>
      <c r="F3352" s="1">
        <v>42</v>
      </c>
      <c r="G3352" s="1">
        <v>30</v>
      </c>
      <c r="H3352" s="1">
        <v>42</v>
      </c>
    </row>
    <row r="3353" spans="1:8">
      <c r="A3353">
        <v>260</v>
      </c>
      <c r="B3353" t="s">
        <v>93</v>
      </c>
      <c r="C3353">
        <v>11</v>
      </c>
      <c r="D3353" t="s">
        <v>186</v>
      </c>
      <c r="E3353" s="1">
        <v>1</v>
      </c>
      <c r="F3353" s="1" t="s">
        <v>195</v>
      </c>
      <c r="G3353" s="1">
        <v>32</v>
      </c>
      <c r="H3353" s="1" t="s">
        <v>195</v>
      </c>
    </row>
    <row r="3354" spans="1:8">
      <c r="A3354">
        <v>260</v>
      </c>
      <c r="B3354" t="s">
        <v>93</v>
      </c>
      <c r="C3354">
        <v>11</v>
      </c>
      <c r="D3354" t="s">
        <v>186</v>
      </c>
      <c r="E3354" s="1">
        <v>1</v>
      </c>
      <c r="F3354" s="1">
        <v>43</v>
      </c>
      <c r="G3354" s="1">
        <v>40</v>
      </c>
      <c r="H3354" s="1">
        <v>43</v>
      </c>
    </row>
    <row r="3355" spans="1:8">
      <c r="A3355">
        <v>260</v>
      </c>
      <c r="B3355" t="s">
        <v>93</v>
      </c>
      <c r="C3355">
        <v>11</v>
      </c>
      <c r="D3355" t="s">
        <v>186</v>
      </c>
      <c r="E3355" s="1">
        <v>1</v>
      </c>
      <c r="F3355" s="1" t="s">
        <v>196</v>
      </c>
      <c r="G3355" s="1">
        <v>42</v>
      </c>
      <c r="H3355" s="1" t="s">
        <v>196</v>
      </c>
    </row>
    <row r="3356" spans="1:8">
      <c r="A3356">
        <v>260</v>
      </c>
      <c r="B3356" t="s">
        <v>93</v>
      </c>
      <c r="C3356">
        <v>11</v>
      </c>
      <c r="D3356" t="s">
        <v>186</v>
      </c>
      <c r="E3356" s="1">
        <v>1</v>
      </c>
      <c r="F3356" s="1">
        <v>44</v>
      </c>
      <c r="G3356" s="1">
        <v>50</v>
      </c>
      <c r="H3356" s="1">
        <v>44</v>
      </c>
    </row>
    <row r="3357" spans="1:8">
      <c r="A3357">
        <v>260</v>
      </c>
      <c r="B3357" t="s">
        <v>93</v>
      </c>
      <c r="C3357">
        <v>11</v>
      </c>
      <c r="D3357" t="s">
        <v>186</v>
      </c>
      <c r="E3357" s="1">
        <v>1</v>
      </c>
      <c r="F3357" s="1" t="s">
        <v>197</v>
      </c>
      <c r="G3357" s="1">
        <v>52</v>
      </c>
      <c r="H3357" s="1" t="s">
        <v>197</v>
      </c>
    </row>
    <row r="3358" spans="1:8">
      <c r="A3358">
        <v>260</v>
      </c>
      <c r="B3358" t="s">
        <v>93</v>
      </c>
      <c r="C3358">
        <v>11</v>
      </c>
      <c r="D3358" t="s">
        <v>186</v>
      </c>
      <c r="E3358" s="1">
        <v>1</v>
      </c>
      <c r="F3358" s="1">
        <v>45</v>
      </c>
      <c r="G3358" s="1">
        <v>60</v>
      </c>
      <c r="H3358" s="1">
        <v>45</v>
      </c>
    </row>
    <row r="3359" spans="1:8">
      <c r="A3359">
        <v>260</v>
      </c>
      <c r="B3359" t="s">
        <v>93</v>
      </c>
      <c r="C3359">
        <v>11</v>
      </c>
      <c r="D3359" t="s">
        <v>186</v>
      </c>
      <c r="E3359" s="1">
        <v>1</v>
      </c>
      <c r="F3359" s="1" t="s">
        <v>198</v>
      </c>
      <c r="G3359" s="1">
        <v>62</v>
      </c>
      <c r="H3359" s="1" t="s">
        <v>198</v>
      </c>
    </row>
    <row r="3360" spans="1:8">
      <c r="A3360">
        <v>260</v>
      </c>
      <c r="B3360" t="s">
        <v>93</v>
      </c>
      <c r="C3360">
        <v>11</v>
      </c>
      <c r="D3360" t="s">
        <v>186</v>
      </c>
      <c r="E3360" s="1">
        <v>1</v>
      </c>
      <c r="F3360" s="1" t="s">
        <v>199</v>
      </c>
      <c r="G3360" s="1">
        <v>72</v>
      </c>
      <c r="H3360" s="1" t="s">
        <v>199</v>
      </c>
    </row>
    <row r="3361" spans="1:8">
      <c r="A3361">
        <v>260</v>
      </c>
      <c r="B3361" t="s">
        <v>93</v>
      </c>
      <c r="C3361">
        <v>11</v>
      </c>
      <c r="D3361" t="s">
        <v>186</v>
      </c>
      <c r="E3361" s="1">
        <v>1</v>
      </c>
      <c r="F3361" s="1">
        <v>39</v>
      </c>
      <c r="H3361" s="1">
        <v>39</v>
      </c>
    </row>
    <row r="3362" spans="1:8">
      <c r="A3362">
        <v>260</v>
      </c>
      <c r="B3362" t="s">
        <v>93</v>
      </c>
      <c r="C3362">
        <v>11</v>
      </c>
      <c r="D3362" t="s">
        <v>186</v>
      </c>
      <c r="G3362" s="1">
        <v>96</v>
      </c>
    </row>
    <row r="3363" spans="1:8">
      <c r="A3363">
        <v>260</v>
      </c>
      <c r="B3363" t="s">
        <v>93</v>
      </c>
      <c r="C3363">
        <v>12</v>
      </c>
      <c r="D3363" t="s">
        <v>107</v>
      </c>
      <c r="E3363" s="1">
        <v>1</v>
      </c>
      <c r="F3363" s="1" t="s">
        <v>195</v>
      </c>
      <c r="G3363" s="1">
        <v>32</v>
      </c>
      <c r="H3363" s="1" t="s">
        <v>195</v>
      </c>
    </row>
    <row r="3364" spans="1:8">
      <c r="A3364">
        <v>260</v>
      </c>
      <c r="B3364" t="s">
        <v>93</v>
      </c>
      <c r="C3364">
        <v>12</v>
      </c>
      <c r="D3364" t="s">
        <v>107</v>
      </c>
      <c r="E3364" s="1">
        <v>1</v>
      </c>
      <c r="F3364" s="1">
        <v>44</v>
      </c>
      <c r="G3364" s="1">
        <v>50</v>
      </c>
      <c r="H3364" s="1">
        <v>44</v>
      </c>
    </row>
    <row r="3365" spans="1:8">
      <c r="A3365">
        <v>260</v>
      </c>
      <c r="B3365" t="s">
        <v>93</v>
      </c>
      <c r="C3365">
        <v>13</v>
      </c>
      <c r="D3365" t="s">
        <v>200</v>
      </c>
      <c r="E3365" s="1">
        <v>1</v>
      </c>
      <c r="F3365" s="1" t="s">
        <v>193</v>
      </c>
      <c r="G3365" s="1">
        <v>12</v>
      </c>
      <c r="H3365" s="1" t="s">
        <v>193</v>
      </c>
    </row>
    <row r="3366" spans="1:8">
      <c r="A3366">
        <v>260</v>
      </c>
      <c r="B3366" t="s">
        <v>93</v>
      </c>
      <c r="C3366">
        <v>13</v>
      </c>
      <c r="D3366" t="s">
        <v>200</v>
      </c>
      <c r="E3366" s="1">
        <v>1</v>
      </c>
      <c r="F3366" s="1">
        <v>42</v>
      </c>
      <c r="G3366" s="1">
        <v>30</v>
      </c>
      <c r="H3366" s="1">
        <v>42</v>
      </c>
    </row>
    <row r="3367" spans="1:8">
      <c r="A3367">
        <v>260</v>
      </c>
      <c r="B3367" t="s">
        <v>93</v>
      </c>
      <c r="C3367">
        <v>13</v>
      </c>
      <c r="D3367" t="s">
        <v>200</v>
      </c>
      <c r="E3367" s="1">
        <v>1</v>
      </c>
      <c r="F3367" s="1" t="s">
        <v>195</v>
      </c>
      <c r="G3367" s="1">
        <v>32</v>
      </c>
      <c r="H3367" s="1" t="s">
        <v>195</v>
      </c>
    </row>
    <row r="3368" spans="1:8">
      <c r="A3368">
        <v>260</v>
      </c>
      <c r="B3368" t="s">
        <v>93</v>
      </c>
      <c r="C3368">
        <v>13</v>
      </c>
      <c r="D3368" t="s">
        <v>200</v>
      </c>
      <c r="E3368" s="1">
        <v>1</v>
      </c>
      <c r="F3368" s="1">
        <v>43</v>
      </c>
      <c r="G3368" s="1">
        <v>40</v>
      </c>
      <c r="H3368" s="1">
        <v>43</v>
      </c>
    </row>
    <row r="3369" spans="1:8">
      <c r="A3369">
        <v>260</v>
      </c>
      <c r="B3369" t="s">
        <v>93</v>
      </c>
      <c r="C3369">
        <v>13</v>
      </c>
      <c r="D3369" t="s">
        <v>200</v>
      </c>
      <c r="E3369" s="1">
        <v>1</v>
      </c>
      <c r="F3369" s="1" t="s">
        <v>196</v>
      </c>
      <c r="G3369" s="1">
        <v>42</v>
      </c>
      <c r="H3369" s="1" t="s">
        <v>196</v>
      </c>
    </row>
    <row r="3370" spans="1:8">
      <c r="A3370">
        <v>260</v>
      </c>
      <c r="B3370" t="s">
        <v>93</v>
      </c>
      <c r="C3370">
        <v>13</v>
      </c>
      <c r="D3370" t="s">
        <v>200</v>
      </c>
      <c r="E3370" s="1">
        <v>1</v>
      </c>
      <c r="F3370" s="1">
        <v>44</v>
      </c>
      <c r="G3370" s="1">
        <v>50</v>
      </c>
      <c r="H3370" s="1">
        <v>44</v>
      </c>
    </row>
    <row r="3371" spans="1:8">
      <c r="A3371">
        <v>260</v>
      </c>
      <c r="B3371" t="s">
        <v>93</v>
      </c>
      <c r="C3371">
        <v>13</v>
      </c>
      <c r="D3371" t="s">
        <v>200</v>
      </c>
      <c r="E3371" s="1">
        <v>1</v>
      </c>
      <c r="F3371" s="1" t="s">
        <v>197</v>
      </c>
      <c r="G3371" s="1">
        <v>52</v>
      </c>
      <c r="H3371" s="1" t="s">
        <v>197</v>
      </c>
    </row>
    <row r="3372" spans="1:8">
      <c r="A3372">
        <v>260</v>
      </c>
      <c r="B3372" t="s">
        <v>93</v>
      </c>
      <c r="C3372">
        <v>13</v>
      </c>
      <c r="D3372" t="s">
        <v>200</v>
      </c>
      <c r="E3372" s="1">
        <v>1</v>
      </c>
      <c r="F3372" s="1">
        <v>45</v>
      </c>
      <c r="G3372" s="1">
        <v>60</v>
      </c>
      <c r="H3372" s="1">
        <v>45</v>
      </c>
    </row>
    <row r="3373" spans="1:8">
      <c r="A3373">
        <v>260</v>
      </c>
      <c r="B3373" t="s">
        <v>93</v>
      </c>
      <c r="C3373">
        <v>13</v>
      </c>
      <c r="D3373" t="s">
        <v>200</v>
      </c>
      <c r="E3373" s="1">
        <v>1</v>
      </c>
      <c r="F3373" s="1" t="s">
        <v>198</v>
      </c>
      <c r="G3373" s="1">
        <v>62</v>
      </c>
      <c r="H3373" s="1" t="s">
        <v>198</v>
      </c>
    </row>
    <row r="3374" spans="1:8">
      <c r="A3374">
        <v>260</v>
      </c>
      <c r="B3374" t="s">
        <v>93</v>
      </c>
      <c r="C3374">
        <v>13</v>
      </c>
      <c r="D3374" t="s">
        <v>200</v>
      </c>
      <c r="G3374" s="1">
        <v>90</v>
      </c>
    </row>
    <row r="3375" spans="1:8">
      <c r="A3375">
        <v>260</v>
      </c>
      <c r="B3375" t="s">
        <v>93</v>
      </c>
      <c r="C3375">
        <v>21</v>
      </c>
      <c r="D3375" t="s">
        <v>205</v>
      </c>
      <c r="E3375" s="1">
        <v>1</v>
      </c>
      <c r="F3375" s="1" t="s">
        <v>329</v>
      </c>
      <c r="G3375" s="1">
        <v>30</v>
      </c>
      <c r="H3375" s="1" t="s">
        <v>329</v>
      </c>
    </row>
    <row r="3376" spans="1:8">
      <c r="A3376">
        <v>260</v>
      </c>
      <c r="B3376" t="s">
        <v>93</v>
      </c>
      <c r="C3376">
        <v>21</v>
      </c>
      <c r="D3376" t="s">
        <v>205</v>
      </c>
      <c r="E3376" s="1">
        <v>1</v>
      </c>
      <c r="F3376" s="1" t="s">
        <v>323</v>
      </c>
      <c r="G3376" s="1">
        <v>32</v>
      </c>
      <c r="H3376" s="1" t="s">
        <v>323</v>
      </c>
    </row>
    <row r="3377" spans="1:8">
      <c r="A3377">
        <v>260</v>
      </c>
      <c r="B3377" t="s">
        <v>93</v>
      </c>
      <c r="C3377">
        <v>21</v>
      </c>
      <c r="D3377" t="s">
        <v>205</v>
      </c>
      <c r="E3377" s="1">
        <v>1</v>
      </c>
      <c r="F3377" s="1" t="s">
        <v>332</v>
      </c>
      <c r="G3377" s="1">
        <v>40</v>
      </c>
      <c r="H3377" s="1" t="s">
        <v>332</v>
      </c>
    </row>
    <row r="3378" spans="1:8">
      <c r="A3378">
        <v>260</v>
      </c>
      <c r="B3378" t="s">
        <v>93</v>
      </c>
      <c r="C3378">
        <v>21</v>
      </c>
      <c r="D3378" t="s">
        <v>205</v>
      </c>
      <c r="E3378" s="1">
        <v>1</v>
      </c>
      <c r="F3378" s="1" t="s">
        <v>330</v>
      </c>
      <c r="G3378" s="1">
        <v>42</v>
      </c>
      <c r="H3378" s="1" t="s">
        <v>330</v>
      </c>
    </row>
    <row r="3379" spans="1:8">
      <c r="A3379">
        <v>260</v>
      </c>
      <c r="B3379" t="s">
        <v>93</v>
      </c>
      <c r="C3379">
        <v>21</v>
      </c>
      <c r="D3379" t="s">
        <v>205</v>
      </c>
      <c r="E3379" s="1">
        <v>1</v>
      </c>
      <c r="F3379" s="1" t="s">
        <v>287</v>
      </c>
      <c r="G3379" s="1">
        <v>52</v>
      </c>
      <c r="H3379" s="1" t="s">
        <v>287</v>
      </c>
    </row>
    <row r="3380" spans="1:8">
      <c r="A3380">
        <v>260</v>
      </c>
      <c r="B3380" t="s">
        <v>93</v>
      </c>
      <c r="C3380">
        <v>21</v>
      </c>
      <c r="D3380" t="s">
        <v>205</v>
      </c>
      <c r="E3380" s="1">
        <v>1</v>
      </c>
      <c r="F3380" s="1" t="s">
        <v>288</v>
      </c>
      <c r="G3380" s="1">
        <v>62</v>
      </c>
      <c r="H3380" s="1" t="s">
        <v>288</v>
      </c>
    </row>
    <row r="3381" spans="1:8">
      <c r="A3381">
        <v>260</v>
      </c>
      <c r="B3381" t="s">
        <v>93</v>
      </c>
      <c r="C3381">
        <v>24</v>
      </c>
      <c r="D3381" t="s">
        <v>208</v>
      </c>
      <c r="E3381" s="1">
        <v>1</v>
      </c>
      <c r="F3381" s="1" t="s">
        <v>373</v>
      </c>
      <c r="G3381" s="1">
        <v>10</v>
      </c>
      <c r="H3381" s="1" t="s">
        <v>373</v>
      </c>
    </row>
    <row r="3382" spans="1:8">
      <c r="A3382">
        <v>260</v>
      </c>
      <c r="B3382" t="s">
        <v>93</v>
      </c>
      <c r="C3382">
        <v>24</v>
      </c>
      <c r="D3382" t="s">
        <v>208</v>
      </c>
      <c r="E3382" s="1">
        <v>1</v>
      </c>
      <c r="F3382" s="1" t="s">
        <v>284</v>
      </c>
      <c r="G3382" s="1">
        <v>20</v>
      </c>
      <c r="H3382" s="1" t="s">
        <v>284</v>
      </c>
    </row>
    <row r="3383" spans="1:8">
      <c r="A3383">
        <v>260</v>
      </c>
      <c r="B3383" t="s">
        <v>93</v>
      </c>
      <c r="C3383">
        <v>24</v>
      </c>
      <c r="D3383" t="s">
        <v>208</v>
      </c>
      <c r="E3383" s="1">
        <v>1</v>
      </c>
      <c r="F3383" s="1" t="s">
        <v>347</v>
      </c>
      <c r="G3383" s="1">
        <v>30</v>
      </c>
      <c r="H3383" s="1" t="s">
        <v>347</v>
      </c>
    </row>
    <row r="3384" spans="1:8">
      <c r="A3384">
        <v>260</v>
      </c>
      <c r="B3384" t="s">
        <v>93</v>
      </c>
      <c r="C3384">
        <v>24</v>
      </c>
      <c r="D3384" t="s">
        <v>208</v>
      </c>
      <c r="E3384" s="1">
        <v>1</v>
      </c>
      <c r="F3384" s="1" t="s">
        <v>374</v>
      </c>
      <c r="H3384" s="1" t="s">
        <v>374</v>
      </c>
    </row>
    <row r="3385" spans="1:8">
      <c r="A3385">
        <v>260</v>
      </c>
      <c r="B3385" t="s">
        <v>93</v>
      </c>
      <c r="C3385">
        <v>24</v>
      </c>
      <c r="D3385" t="s">
        <v>208</v>
      </c>
      <c r="E3385" s="1">
        <v>44</v>
      </c>
      <c r="F3385" s="1" t="s">
        <v>383</v>
      </c>
      <c r="G3385" s="1">
        <v>30</v>
      </c>
      <c r="H3385" s="1" t="s">
        <v>383</v>
      </c>
    </row>
    <row r="3386" spans="1:8">
      <c r="A3386">
        <v>260</v>
      </c>
      <c r="B3386" t="s">
        <v>93</v>
      </c>
      <c r="C3386">
        <v>24</v>
      </c>
      <c r="D3386" t="s">
        <v>208</v>
      </c>
      <c r="E3386" s="1">
        <v>44</v>
      </c>
      <c r="F3386" s="1" t="s">
        <v>384</v>
      </c>
      <c r="G3386" s="1">
        <v>40</v>
      </c>
      <c r="H3386" s="1" t="s">
        <v>384</v>
      </c>
    </row>
    <row r="3387" spans="1:8">
      <c r="A3387">
        <v>260</v>
      </c>
      <c r="B3387" t="s">
        <v>93</v>
      </c>
      <c r="C3387">
        <v>24</v>
      </c>
      <c r="D3387" t="s">
        <v>208</v>
      </c>
      <c r="E3387" s="1">
        <v>45</v>
      </c>
      <c r="F3387" s="1" t="s">
        <v>386</v>
      </c>
      <c r="G3387" s="1">
        <v>40</v>
      </c>
      <c r="H3387" s="1" t="s">
        <v>386</v>
      </c>
    </row>
    <row r="3388" spans="1:8">
      <c r="A3388">
        <v>260</v>
      </c>
      <c r="B3388" t="s">
        <v>93</v>
      </c>
      <c r="C3388">
        <v>24</v>
      </c>
      <c r="D3388" t="s">
        <v>208</v>
      </c>
      <c r="E3388" s="1">
        <v>45</v>
      </c>
      <c r="F3388" s="1" t="s">
        <v>531</v>
      </c>
      <c r="G3388" s="1">
        <v>50</v>
      </c>
      <c r="H3388" s="1" t="s">
        <v>531</v>
      </c>
    </row>
    <row r="3389" spans="1:8">
      <c r="A3389">
        <v>260</v>
      </c>
      <c r="B3389" t="s">
        <v>93</v>
      </c>
      <c r="C3389">
        <v>24</v>
      </c>
      <c r="D3389" t="s">
        <v>208</v>
      </c>
      <c r="E3389" s="1">
        <v>46</v>
      </c>
      <c r="F3389" s="1" t="s">
        <v>630</v>
      </c>
      <c r="G3389" s="1">
        <v>20</v>
      </c>
      <c r="H3389" s="1" t="s">
        <v>630</v>
      </c>
    </row>
    <row r="3390" spans="1:8">
      <c r="A3390">
        <v>260</v>
      </c>
      <c r="B3390" t="s">
        <v>93</v>
      </c>
      <c r="C3390">
        <v>24</v>
      </c>
      <c r="D3390" t="s">
        <v>208</v>
      </c>
      <c r="E3390" s="1">
        <v>46</v>
      </c>
      <c r="F3390" s="1" t="s">
        <v>532</v>
      </c>
      <c r="G3390" s="1">
        <v>30</v>
      </c>
      <c r="H3390" s="1" t="s">
        <v>532</v>
      </c>
    </row>
    <row r="3391" spans="1:8">
      <c r="A3391">
        <v>260</v>
      </c>
      <c r="B3391" t="s">
        <v>93</v>
      </c>
      <c r="C3391">
        <v>24</v>
      </c>
      <c r="D3391" t="s">
        <v>208</v>
      </c>
      <c r="E3391" s="1">
        <v>46</v>
      </c>
      <c r="F3391" s="1" t="s">
        <v>533</v>
      </c>
      <c r="G3391" s="1">
        <v>40</v>
      </c>
      <c r="H3391" s="1" t="s">
        <v>533</v>
      </c>
    </row>
    <row r="3392" spans="1:8">
      <c r="A3392">
        <v>260</v>
      </c>
      <c r="B3392" t="s">
        <v>93</v>
      </c>
      <c r="C3392">
        <v>24</v>
      </c>
      <c r="D3392" t="s">
        <v>208</v>
      </c>
      <c r="E3392" s="1">
        <v>47</v>
      </c>
      <c r="F3392" s="1" t="s">
        <v>631</v>
      </c>
      <c r="G3392" s="1">
        <v>20</v>
      </c>
      <c r="H3392" s="1" t="s">
        <v>631</v>
      </c>
    </row>
    <row r="3393" spans="1:8">
      <c r="A3393">
        <v>260</v>
      </c>
      <c r="B3393" t="s">
        <v>93</v>
      </c>
      <c r="C3393">
        <v>24</v>
      </c>
      <c r="D3393" t="s">
        <v>208</v>
      </c>
      <c r="E3393" s="1">
        <v>47</v>
      </c>
      <c r="F3393" s="1" t="s">
        <v>632</v>
      </c>
      <c r="G3393" s="1">
        <v>40</v>
      </c>
      <c r="H3393" s="1" t="s">
        <v>632</v>
      </c>
    </row>
    <row r="3394" spans="1:8">
      <c r="A3394">
        <v>260</v>
      </c>
      <c r="B3394" t="s">
        <v>93</v>
      </c>
      <c r="C3394">
        <v>24</v>
      </c>
      <c r="D3394" t="s">
        <v>208</v>
      </c>
      <c r="E3394" s="1">
        <v>48</v>
      </c>
      <c r="F3394" s="1" t="s">
        <v>633</v>
      </c>
      <c r="G3394" s="1">
        <v>40</v>
      </c>
      <c r="H3394" s="1" t="s">
        <v>633</v>
      </c>
    </row>
    <row r="3395" spans="1:8">
      <c r="A3395">
        <v>260</v>
      </c>
      <c r="B3395" t="s">
        <v>93</v>
      </c>
      <c r="C3395">
        <v>24</v>
      </c>
      <c r="D3395" t="s">
        <v>208</v>
      </c>
      <c r="G3395" s="1">
        <v>30</v>
      </c>
    </row>
    <row r="3396" spans="1:8">
      <c r="A3396">
        <v>260</v>
      </c>
      <c r="B3396" t="s">
        <v>93</v>
      </c>
      <c r="C3396">
        <v>24</v>
      </c>
      <c r="D3396" t="s">
        <v>208</v>
      </c>
      <c r="G3396" s="1">
        <v>40</v>
      </c>
    </row>
    <row r="3397" spans="1:8">
      <c r="A3397">
        <v>260</v>
      </c>
      <c r="B3397" t="s">
        <v>93</v>
      </c>
      <c r="C3397">
        <v>24</v>
      </c>
      <c r="D3397" t="s">
        <v>208</v>
      </c>
      <c r="G3397" s="1">
        <v>60</v>
      </c>
    </row>
    <row r="3398" spans="1:8">
      <c r="A3398">
        <v>260</v>
      </c>
      <c r="B3398" t="s">
        <v>93</v>
      </c>
      <c r="C3398">
        <v>24</v>
      </c>
      <c r="D3398" t="s">
        <v>208</v>
      </c>
      <c r="G3398" s="1">
        <v>70</v>
      </c>
    </row>
    <row r="3399" spans="1:8">
      <c r="A3399">
        <v>260</v>
      </c>
      <c r="B3399" t="s">
        <v>93</v>
      </c>
      <c r="C3399">
        <v>24</v>
      </c>
      <c r="D3399" t="s">
        <v>208</v>
      </c>
      <c r="G3399" s="1">
        <v>80</v>
      </c>
    </row>
    <row r="3400" spans="1:8">
      <c r="A3400">
        <v>260</v>
      </c>
      <c r="B3400" t="s">
        <v>93</v>
      </c>
      <c r="C3400">
        <v>24</v>
      </c>
      <c r="D3400" t="s">
        <v>208</v>
      </c>
      <c r="G3400" s="1">
        <v>90</v>
      </c>
    </row>
    <row r="3401" spans="1:8">
      <c r="A3401">
        <v>260</v>
      </c>
      <c r="B3401" t="s">
        <v>93</v>
      </c>
      <c r="C3401">
        <v>27</v>
      </c>
      <c r="D3401" t="s">
        <v>210</v>
      </c>
      <c r="E3401" s="1">
        <v>1</v>
      </c>
      <c r="F3401" s="1" t="s">
        <v>197</v>
      </c>
      <c r="G3401" s="1">
        <v>52</v>
      </c>
      <c r="H3401" s="1" t="s">
        <v>197</v>
      </c>
    </row>
    <row r="3402" spans="1:8">
      <c r="A3402">
        <v>260</v>
      </c>
      <c r="B3402" t="s">
        <v>93</v>
      </c>
      <c r="C3402">
        <v>31</v>
      </c>
      <c r="D3402" t="s">
        <v>110</v>
      </c>
      <c r="E3402" s="1">
        <v>1</v>
      </c>
      <c r="F3402" s="1" t="s">
        <v>333</v>
      </c>
      <c r="G3402" s="1">
        <v>2</v>
      </c>
      <c r="H3402" s="1" t="s">
        <v>333</v>
      </c>
    </row>
    <row r="3403" spans="1:8">
      <c r="A3403">
        <v>260</v>
      </c>
      <c r="B3403" t="s">
        <v>93</v>
      </c>
      <c r="C3403">
        <v>31</v>
      </c>
      <c r="D3403" t="s">
        <v>110</v>
      </c>
      <c r="E3403" s="1">
        <v>1</v>
      </c>
      <c r="F3403" s="1">
        <v>9</v>
      </c>
      <c r="G3403" s="1">
        <v>10</v>
      </c>
      <c r="H3403" s="1">
        <v>9</v>
      </c>
    </row>
    <row r="3404" spans="1:8">
      <c r="A3404">
        <v>260</v>
      </c>
      <c r="B3404" t="s">
        <v>93</v>
      </c>
      <c r="C3404">
        <v>31</v>
      </c>
      <c r="D3404" t="s">
        <v>110</v>
      </c>
      <c r="E3404" s="1">
        <v>1</v>
      </c>
      <c r="F3404" s="1" t="s">
        <v>334</v>
      </c>
      <c r="G3404" s="1">
        <v>12</v>
      </c>
      <c r="H3404" s="1" t="s">
        <v>334</v>
      </c>
    </row>
    <row r="3405" spans="1:8">
      <c r="A3405">
        <v>260</v>
      </c>
      <c r="B3405" t="s">
        <v>93</v>
      </c>
      <c r="C3405">
        <v>31</v>
      </c>
      <c r="D3405" t="s">
        <v>110</v>
      </c>
      <c r="E3405" s="1">
        <v>1</v>
      </c>
      <c r="F3405" s="1">
        <v>10</v>
      </c>
      <c r="G3405" s="1">
        <v>20</v>
      </c>
      <c r="H3405" s="1">
        <v>10</v>
      </c>
    </row>
    <row r="3406" spans="1:8">
      <c r="A3406">
        <v>260</v>
      </c>
      <c r="B3406" t="s">
        <v>93</v>
      </c>
      <c r="C3406">
        <v>31</v>
      </c>
      <c r="D3406" t="s">
        <v>110</v>
      </c>
      <c r="E3406" s="1">
        <v>1</v>
      </c>
      <c r="F3406" s="1" t="s">
        <v>335</v>
      </c>
      <c r="G3406" s="1">
        <v>22</v>
      </c>
      <c r="H3406" s="1" t="s">
        <v>335</v>
      </c>
    </row>
    <row r="3407" spans="1:8">
      <c r="A3407">
        <v>260</v>
      </c>
      <c r="B3407" t="s">
        <v>93</v>
      </c>
      <c r="C3407">
        <v>31</v>
      </c>
      <c r="D3407" t="s">
        <v>110</v>
      </c>
      <c r="E3407" s="1">
        <v>1</v>
      </c>
      <c r="F3407" s="1" t="s">
        <v>389</v>
      </c>
      <c r="G3407" s="1">
        <v>32</v>
      </c>
      <c r="H3407" s="1" t="s">
        <v>389</v>
      </c>
    </row>
    <row r="3408" spans="1:8">
      <c r="A3408">
        <v>260</v>
      </c>
      <c r="B3408" t="s">
        <v>93</v>
      </c>
      <c r="C3408">
        <v>31</v>
      </c>
      <c r="D3408" t="s">
        <v>110</v>
      </c>
      <c r="E3408" s="1">
        <v>1</v>
      </c>
      <c r="F3408" s="1">
        <v>8</v>
      </c>
      <c r="H3408" s="1">
        <v>8</v>
      </c>
    </row>
    <row r="3409" spans="1:8">
      <c r="A3409">
        <v>260</v>
      </c>
      <c r="B3409" t="s">
        <v>93</v>
      </c>
      <c r="C3409">
        <v>31</v>
      </c>
      <c r="D3409" t="s">
        <v>110</v>
      </c>
      <c r="G3409" s="1">
        <v>96</v>
      </c>
    </row>
    <row r="3410" spans="1:8">
      <c r="A3410">
        <v>260</v>
      </c>
      <c r="B3410" t="s">
        <v>93</v>
      </c>
      <c r="C3410">
        <v>38</v>
      </c>
      <c r="D3410" t="s">
        <v>217</v>
      </c>
      <c r="E3410" s="1">
        <v>2</v>
      </c>
      <c r="F3410" s="1" t="s">
        <v>408</v>
      </c>
      <c r="G3410" s="1">
        <v>90</v>
      </c>
      <c r="H3410" s="1" t="s">
        <v>408</v>
      </c>
    </row>
    <row r="3411" spans="1:8">
      <c r="A3411">
        <v>260</v>
      </c>
      <c r="B3411" t="s">
        <v>93</v>
      </c>
      <c r="C3411">
        <v>42</v>
      </c>
      <c r="D3411" t="s">
        <v>220</v>
      </c>
      <c r="E3411" s="1">
        <v>1</v>
      </c>
      <c r="F3411" s="1" t="s">
        <v>634</v>
      </c>
      <c r="G3411" s="1">
        <v>50</v>
      </c>
      <c r="H3411" s="1" t="s">
        <v>634</v>
      </c>
    </row>
    <row r="3412" spans="1:8">
      <c r="A3412">
        <v>260</v>
      </c>
      <c r="B3412" t="s">
        <v>93</v>
      </c>
      <c r="C3412">
        <v>42</v>
      </c>
      <c r="D3412" t="s">
        <v>220</v>
      </c>
      <c r="E3412" s="1">
        <v>1</v>
      </c>
      <c r="F3412" s="1" t="s">
        <v>526</v>
      </c>
      <c r="G3412" s="1">
        <v>60</v>
      </c>
      <c r="H3412" s="1" t="s">
        <v>526</v>
      </c>
    </row>
    <row r="3413" spans="1:8">
      <c r="A3413">
        <v>260</v>
      </c>
      <c r="B3413" t="s">
        <v>93</v>
      </c>
      <c r="C3413">
        <v>42</v>
      </c>
      <c r="D3413" t="s">
        <v>220</v>
      </c>
      <c r="E3413" s="1">
        <v>2</v>
      </c>
      <c r="F3413" s="1" t="s">
        <v>512</v>
      </c>
      <c r="G3413" s="1">
        <v>80</v>
      </c>
      <c r="H3413" s="1" t="s">
        <v>512</v>
      </c>
    </row>
    <row r="3414" spans="1:8">
      <c r="A3414">
        <v>260</v>
      </c>
      <c r="B3414" t="s">
        <v>93</v>
      </c>
      <c r="C3414">
        <v>57</v>
      </c>
      <c r="D3414" t="s">
        <v>183</v>
      </c>
      <c r="E3414" s="1">
        <v>3</v>
      </c>
      <c r="F3414" s="1" t="s">
        <v>492</v>
      </c>
      <c r="G3414" s="1">
        <v>50</v>
      </c>
      <c r="H3414" s="1" t="s">
        <v>492</v>
      </c>
    </row>
    <row r="3415" spans="1:8">
      <c r="A3415">
        <v>260</v>
      </c>
      <c r="B3415" t="s">
        <v>93</v>
      </c>
      <c r="C3415">
        <v>57</v>
      </c>
      <c r="D3415" t="s">
        <v>183</v>
      </c>
      <c r="E3415" s="1">
        <v>3</v>
      </c>
      <c r="F3415" s="1" t="s">
        <v>338</v>
      </c>
      <c r="G3415" s="1">
        <v>60</v>
      </c>
      <c r="H3415" s="1" t="s">
        <v>338</v>
      </c>
    </row>
    <row r="3416" spans="1:8">
      <c r="A3416">
        <v>260</v>
      </c>
      <c r="B3416" t="s">
        <v>93</v>
      </c>
      <c r="C3416">
        <v>57</v>
      </c>
      <c r="D3416" t="s">
        <v>183</v>
      </c>
      <c r="G3416" s="1">
        <v>50</v>
      </c>
    </row>
    <row r="3417" spans="1:8">
      <c r="A3417">
        <v>260</v>
      </c>
      <c r="B3417" t="s">
        <v>93</v>
      </c>
      <c r="C3417">
        <v>57</v>
      </c>
      <c r="D3417" t="s">
        <v>183</v>
      </c>
      <c r="G3417" s="1">
        <v>60</v>
      </c>
    </row>
    <row r="3418" spans="1:8">
      <c r="A3418">
        <v>260</v>
      </c>
      <c r="B3418" t="s">
        <v>93</v>
      </c>
      <c r="C3418">
        <v>59</v>
      </c>
      <c r="D3418" t="s">
        <v>227</v>
      </c>
      <c r="G3418" s="1">
        <v>23</v>
      </c>
    </row>
    <row r="3419" spans="1:8">
      <c r="A3419">
        <v>260</v>
      </c>
      <c r="B3419" t="s">
        <v>93</v>
      </c>
      <c r="C3419">
        <v>74</v>
      </c>
      <c r="D3419" t="s">
        <v>235</v>
      </c>
      <c r="E3419" s="1">
        <v>3</v>
      </c>
      <c r="F3419" s="1" t="s">
        <v>320</v>
      </c>
      <c r="G3419" s="1">
        <v>50</v>
      </c>
      <c r="H3419" s="1" t="s">
        <v>320</v>
      </c>
    </row>
    <row r="3420" spans="1:8">
      <c r="A3420">
        <v>260</v>
      </c>
      <c r="B3420" t="s">
        <v>93</v>
      </c>
      <c r="C3420">
        <v>74</v>
      </c>
      <c r="D3420" t="s">
        <v>235</v>
      </c>
      <c r="E3420" s="1">
        <v>3</v>
      </c>
      <c r="F3420" s="1" t="s">
        <v>321</v>
      </c>
      <c r="G3420" s="1">
        <v>60</v>
      </c>
      <c r="H3420" s="1" t="s">
        <v>321</v>
      </c>
    </row>
    <row r="3421" spans="1:8">
      <c r="A3421">
        <v>260</v>
      </c>
      <c r="B3421" t="s">
        <v>93</v>
      </c>
      <c r="C3421">
        <v>78</v>
      </c>
      <c r="D3421" t="s">
        <v>237</v>
      </c>
      <c r="G3421" s="1">
        <v>10</v>
      </c>
    </row>
    <row r="3422" spans="1:8">
      <c r="A3422">
        <v>260</v>
      </c>
      <c r="B3422" t="s">
        <v>93</v>
      </c>
      <c r="C3422">
        <v>78</v>
      </c>
      <c r="D3422" t="s">
        <v>237</v>
      </c>
      <c r="G3422" s="1">
        <v>30</v>
      </c>
    </row>
    <row r="3423" spans="1:8">
      <c r="A3423">
        <v>260</v>
      </c>
      <c r="B3423" t="s">
        <v>93</v>
      </c>
      <c r="C3423">
        <v>78</v>
      </c>
      <c r="D3423" t="s">
        <v>237</v>
      </c>
      <c r="G3423" s="1">
        <v>50</v>
      </c>
    </row>
    <row r="3424" spans="1:8">
      <c r="A3424">
        <v>260</v>
      </c>
      <c r="B3424" t="s">
        <v>93</v>
      </c>
      <c r="C3424">
        <v>82</v>
      </c>
      <c r="D3424" t="s">
        <v>239</v>
      </c>
      <c r="G3424" s="1">
        <v>32</v>
      </c>
    </row>
    <row r="3425" spans="1:8">
      <c r="A3425">
        <v>278</v>
      </c>
      <c r="B3425" t="s">
        <v>635</v>
      </c>
      <c r="C3425">
        <v>1</v>
      </c>
      <c r="D3425" t="s">
        <v>137</v>
      </c>
      <c r="E3425" s="1">
        <v>1</v>
      </c>
      <c r="F3425" s="1">
        <v>13</v>
      </c>
      <c r="G3425" s="1">
        <v>60</v>
      </c>
      <c r="H3425" s="1">
        <v>13</v>
      </c>
    </row>
    <row r="3426" spans="1:8">
      <c r="A3426">
        <v>278</v>
      </c>
      <c r="B3426" t="s">
        <v>635</v>
      </c>
      <c r="C3426">
        <v>1</v>
      </c>
      <c r="D3426" t="s">
        <v>137</v>
      </c>
      <c r="E3426" s="1">
        <v>1</v>
      </c>
      <c r="F3426" s="1">
        <v>14</v>
      </c>
      <c r="G3426" s="1">
        <v>70</v>
      </c>
      <c r="H3426" s="1">
        <v>14</v>
      </c>
    </row>
    <row r="3427" spans="1:8">
      <c r="A3427">
        <v>278</v>
      </c>
      <c r="B3427" t="s">
        <v>635</v>
      </c>
      <c r="C3427">
        <v>1</v>
      </c>
      <c r="D3427" t="s">
        <v>137</v>
      </c>
      <c r="E3427" s="1">
        <v>1</v>
      </c>
      <c r="F3427" s="1">
        <v>16</v>
      </c>
      <c r="G3427" s="1">
        <v>90</v>
      </c>
      <c r="H3427" s="1">
        <v>16</v>
      </c>
    </row>
    <row r="3428" spans="1:8">
      <c r="A3428">
        <v>278</v>
      </c>
      <c r="B3428" t="s">
        <v>635</v>
      </c>
      <c r="C3428">
        <v>1</v>
      </c>
      <c r="D3428" t="s">
        <v>137</v>
      </c>
      <c r="E3428" s="1">
        <v>1</v>
      </c>
      <c r="F3428" s="1" t="s">
        <v>153</v>
      </c>
      <c r="G3428" s="1">
        <v>92</v>
      </c>
      <c r="H3428" s="1" t="s">
        <v>153</v>
      </c>
    </row>
    <row r="3429" spans="1:8">
      <c r="A3429">
        <v>278</v>
      </c>
      <c r="B3429" t="s">
        <v>635</v>
      </c>
      <c r="C3429">
        <v>1</v>
      </c>
      <c r="D3429" t="s">
        <v>137</v>
      </c>
      <c r="E3429" s="1">
        <v>1</v>
      </c>
      <c r="F3429" s="1">
        <v>17</v>
      </c>
      <c r="G3429" s="1">
        <v>94</v>
      </c>
      <c r="H3429" s="1">
        <v>17</v>
      </c>
    </row>
    <row r="3430" spans="1:8">
      <c r="A3430">
        <v>278</v>
      </c>
      <c r="B3430" t="s">
        <v>635</v>
      </c>
      <c r="C3430">
        <v>1</v>
      </c>
      <c r="D3430" t="s">
        <v>137</v>
      </c>
      <c r="E3430" s="1">
        <v>1</v>
      </c>
      <c r="F3430" s="1" t="s">
        <v>156</v>
      </c>
      <c r="G3430" s="1">
        <v>96</v>
      </c>
      <c r="H3430" s="1" t="s">
        <v>156</v>
      </c>
    </row>
    <row r="3431" spans="1:8">
      <c r="A3431">
        <v>278</v>
      </c>
      <c r="B3431" t="s">
        <v>635</v>
      </c>
      <c r="C3431">
        <v>1</v>
      </c>
      <c r="D3431" t="s">
        <v>137</v>
      </c>
      <c r="E3431" s="1">
        <v>2</v>
      </c>
      <c r="F3431" s="1" t="s">
        <v>159</v>
      </c>
      <c r="G3431" s="1">
        <v>2</v>
      </c>
      <c r="H3431" s="1" t="s">
        <v>159</v>
      </c>
    </row>
    <row r="3432" spans="1:8">
      <c r="A3432">
        <v>278</v>
      </c>
      <c r="B3432" t="s">
        <v>635</v>
      </c>
      <c r="C3432">
        <v>1</v>
      </c>
      <c r="D3432" t="s">
        <v>137</v>
      </c>
      <c r="E3432" s="1">
        <v>2</v>
      </c>
      <c r="F3432" s="1">
        <v>19</v>
      </c>
      <c r="G3432" s="1">
        <v>10</v>
      </c>
      <c r="H3432" s="1">
        <v>19</v>
      </c>
    </row>
    <row r="3433" spans="1:8">
      <c r="A3433">
        <v>278</v>
      </c>
      <c r="B3433" t="s">
        <v>635</v>
      </c>
      <c r="C3433">
        <v>1</v>
      </c>
      <c r="D3433" t="s">
        <v>137</v>
      </c>
      <c r="E3433" s="1">
        <v>2</v>
      </c>
      <c r="F3433" s="1" t="s">
        <v>162</v>
      </c>
      <c r="G3433" s="1">
        <v>12</v>
      </c>
      <c r="H3433" s="1" t="s">
        <v>162</v>
      </c>
    </row>
    <row r="3434" spans="1:8">
      <c r="A3434">
        <v>278</v>
      </c>
      <c r="B3434" t="s">
        <v>635</v>
      </c>
      <c r="C3434">
        <v>1</v>
      </c>
      <c r="D3434" t="s">
        <v>137</v>
      </c>
      <c r="E3434" s="1">
        <v>2</v>
      </c>
      <c r="F3434" s="1">
        <v>20</v>
      </c>
      <c r="G3434" s="1">
        <v>20</v>
      </c>
      <c r="H3434" s="1">
        <v>20</v>
      </c>
    </row>
    <row r="3435" spans="1:8">
      <c r="A3435">
        <v>278</v>
      </c>
      <c r="B3435" t="s">
        <v>635</v>
      </c>
      <c r="C3435">
        <v>1</v>
      </c>
      <c r="D3435" t="s">
        <v>137</v>
      </c>
      <c r="E3435" s="1">
        <v>2</v>
      </c>
      <c r="F3435" s="1" t="s">
        <v>165</v>
      </c>
      <c r="G3435" s="1">
        <v>22</v>
      </c>
      <c r="H3435" s="1" t="s">
        <v>165</v>
      </c>
    </row>
    <row r="3436" spans="1:8">
      <c r="A3436">
        <v>278</v>
      </c>
      <c r="B3436" t="s">
        <v>635</v>
      </c>
      <c r="C3436">
        <v>1</v>
      </c>
      <c r="D3436" t="s">
        <v>137</v>
      </c>
      <c r="E3436" s="1">
        <v>2</v>
      </c>
      <c r="F3436" s="1">
        <v>18</v>
      </c>
      <c r="H3436" s="1">
        <v>18</v>
      </c>
    </row>
    <row r="3437" spans="1:8">
      <c r="A3437">
        <v>278</v>
      </c>
      <c r="B3437" t="s">
        <v>635</v>
      </c>
      <c r="C3437">
        <v>5</v>
      </c>
      <c r="D3437" t="s">
        <v>183</v>
      </c>
      <c r="G3437" s="1">
        <v>80</v>
      </c>
    </row>
    <row r="3438" spans="1:8">
      <c r="A3438">
        <v>278</v>
      </c>
      <c r="B3438" t="s">
        <v>635</v>
      </c>
      <c r="C3438">
        <v>11</v>
      </c>
      <c r="D3438" t="s">
        <v>186</v>
      </c>
      <c r="E3438" s="1">
        <v>1</v>
      </c>
      <c r="F3438" s="1" t="s">
        <v>192</v>
      </c>
      <c r="G3438" s="1">
        <v>2</v>
      </c>
      <c r="H3438" s="1" t="s">
        <v>192</v>
      </c>
    </row>
    <row r="3439" spans="1:8">
      <c r="A3439">
        <v>278</v>
      </c>
      <c r="B3439" t="s">
        <v>635</v>
      </c>
      <c r="C3439">
        <v>11</v>
      </c>
      <c r="D3439" t="s">
        <v>186</v>
      </c>
      <c r="E3439" s="1">
        <v>1</v>
      </c>
      <c r="F3439" s="1">
        <v>40</v>
      </c>
      <c r="G3439" s="1">
        <v>10</v>
      </c>
      <c r="H3439" s="1">
        <v>40</v>
      </c>
    </row>
    <row r="3440" spans="1:8">
      <c r="A3440">
        <v>278</v>
      </c>
      <c r="B3440" t="s">
        <v>635</v>
      </c>
      <c r="C3440">
        <v>11</v>
      </c>
      <c r="D3440" t="s">
        <v>186</v>
      </c>
      <c r="E3440" s="1">
        <v>1</v>
      </c>
      <c r="F3440" s="1" t="s">
        <v>193</v>
      </c>
      <c r="G3440" s="1">
        <v>12</v>
      </c>
      <c r="H3440" s="1" t="s">
        <v>193</v>
      </c>
    </row>
    <row r="3441" spans="1:8">
      <c r="A3441">
        <v>278</v>
      </c>
      <c r="B3441" t="s">
        <v>635</v>
      </c>
      <c r="C3441">
        <v>11</v>
      </c>
      <c r="D3441" t="s">
        <v>186</v>
      </c>
      <c r="E3441" s="1">
        <v>1</v>
      </c>
      <c r="F3441" s="1">
        <v>41</v>
      </c>
      <c r="G3441" s="1">
        <v>20</v>
      </c>
      <c r="H3441" s="1">
        <v>41</v>
      </c>
    </row>
    <row r="3442" spans="1:8">
      <c r="A3442">
        <v>278</v>
      </c>
      <c r="B3442" t="s">
        <v>635</v>
      </c>
      <c r="C3442">
        <v>11</v>
      </c>
      <c r="D3442" t="s">
        <v>186</v>
      </c>
      <c r="E3442" s="1">
        <v>1</v>
      </c>
      <c r="F3442" s="1" t="s">
        <v>194</v>
      </c>
      <c r="G3442" s="1">
        <v>22</v>
      </c>
      <c r="H3442" s="1" t="s">
        <v>194</v>
      </c>
    </row>
    <row r="3443" spans="1:8">
      <c r="A3443">
        <v>278</v>
      </c>
      <c r="B3443" t="s">
        <v>635</v>
      </c>
      <c r="C3443">
        <v>11</v>
      </c>
      <c r="D3443" t="s">
        <v>186</v>
      </c>
      <c r="E3443" s="1">
        <v>1</v>
      </c>
      <c r="F3443" s="1">
        <v>42</v>
      </c>
      <c r="G3443" s="1">
        <v>30</v>
      </c>
      <c r="H3443" s="1">
        <v>42</v>
      </c>
    </row>
    <row r="3444" spans="1:8">
      <c r="A3444">
        <v>278</v>
      </c>
      <c r="B3444" t="s">
        <v>635</v>
      </c>
      <c r="C3444">
        <v>11</v>
      </c>
      <c r="D3444" t="s">
        <v>186</v>
      </c>
      <c r="E3444" s="1">
        <v>1</v>
      </c>
      <c r="F3444" s="1">
        <v>43</v>
      </c>
      <c r="G3444" s="1">
        <v>40</v>
      </c>
      <c r="H3444" s="1">
        <v>43</v>
      </c>
    </row>
    <row r="3445" spans="1:8">
      <c r="A3445">
        <v>278</v>
      </c>
      <c r="B3445" t="s">
        <v>635</v>
      </c>
      <c r="C3445">
        <v>11</v>
      </c>
      <c r="D3445" t="s">
        <v>186</v>
      </c>
      <c r="E3445" s="1">
        <v>1</v>
      </c>
      <c r="F3445" s="1">
        <v>44</v>
      </c>
      <c r="G3445" s="1">
        <v>50</v>
      </c>
      <c r="H3445" s="1">
        <v>44</v>
      </c>
    </row>
    <row r="3446" spans="1:8">
      <c r="A3446">
        <v>278</v>
      </c>
      <c r="B3446" t="s">
        <v>635</v>
      </c>
      <c r="C3446">
        <v>11</v>
      </c>
      <c r="D3446" t="s">
        <v>186</v>
      </c>
      <c r="E3446" s="1">
        <v>1</v>
      </c>
      <c r="F3446" s="1" t="s">
        <v>197</v>
      </c>
      <c r="G3446" s="1">
        <v>52</v>
      </c>
      <c r="H3446" s="1" t="s">
        <v>197</v>
      </c>
    </row>
    <row r="3447" spans="1:8">
      <c r="A3447">
        <v>278</v>
      </c>
      <c r="B3447" t="s">
        <v>635</v>
      </c>
      <c r="C3447">
        <v>11</v>
      </c>
      <c r="D3447" t="s">
        <v>186</v>
      </c>
      <c r="E3447" s="1">
        <v>1</v>
      </c>
      <c r="F3447" s="1">
        <v>39</v>
      </c>
      <c r="H3447" s="1">
        <v>39</v>
      </c>
    </row>
    <row r="3448" spans="1:8">
      <c r="A3448">
        <v>278</v>
      </c>
      <c r="B3448" t="s">
        <v>635</v>
      </c>
      <c r="C3448">
        <v>11</v>
      </c>
      <c r="D3448" t="s">
        <v>186</v>
      </c>
      <c r="G3448" s="1">
        <v>92</v>
      </c>
    </row>
    <row r="3449" spans="1:8">
      <c r="A3449">
        <v>278</v>
      </c>
      <c r="B3449" t="s">
        <v>635</v>
      </c>
      <c r="C3449">
        <v>11</v>
      </c>
      <c r="D3449" t="s">
        <v>186</v>
      </c>
      <c r="G3449" s="1">
        <v>96</v>
      </c>
    </row>
    <row r="3450" spans="1:8">
      <c r="A3450">
        <v>278</v>
      </c>
      <c r="B3450" t="s">
        <v>635</v>
      </c>
      <c r="C3450">
        <v>12</v>
      </c>
      <c r="D3450" t="s">
        <v>107</v>
      </c>
      <c r="E3450" s="1">
        <v>1</v>
      </c>
      <c r="F3450" s="1">
        <v>41</v>
      </c>
      <c r="G3450" s="1">
        <v>20</v>
      </c>
      <c r="H3450" s="1">
        <v>41</v>
      </c>
    </row>
    <row r="3451" spans="1:8">
      <c r="A3451">
        <v>278</v>
      </c>
      <c r="B3451" t="s">
        <v>635</v>
      </c>
      <c r="C3451">
        <v>12</v>
      </c>
      <c r="D3451" t="s">
        <v>107</v>
      </c>
      <c r="E3451" s="1">
        <v>1</v>
      </c>
      <c r="F3451" s="1" t="s">
        <v>194</v>
      </c>
      <c r="G3451" s="1">
        <v>22</v>
      </c>
      <c r="H3451" s="1" t="s">
        <v>194</v>
      </c>
    </row>
    <row r="3452" spans="1:8">
      <c r="A3452">
        <v>278</v>
      </c>
      <c r="B3452" t="s">
        <v>635</v>
      </c>
      <c r="C3452">
        <v>12</v>
      </c>
      <c r="D3452" t="s">
        <v>107</v>
      </c>
      <c r="E3452" s="1">
        <v>1</v>
      </c>
      <c r="F3452" s="1" t="s">
        <v>195</v>
      </c>
      <c r="G3452" s="1">
        <v>32</v>
      </c>
      <c r="H3452" s="1" t="s">
        <v>195</v>
      </c>
    </row>
    <row r="3453" spans="1:8">
      <c r="A3453">
        <v>278</v>
      </c>
      <c r="B3453" t="s">
        <v>635</v>
      </c>
      <c r="C3453">
        <v>12</v>
      </c>
      <c r="D3453" t="s">
        <v>107</v>
      </c>
      <c r="E3453" s="1">
        <v>1</v>
      </c>
      <c r="F3453" s="1">
        <v>43</v>
      </c>
      <c r="G3453" s="1">
        <v>40</v>
      </c>
      <c r="H3453" s="1">
        <v>43</v>
      </c>
    </row>
    <row r="3454" spans="1:8">
      <c r="A3454">
        <v>278</v>
      </c>
      <c r="B3454" t="s">
        <v>635</v>
      </c>
      <c r="C3454">
        <v>12</v>
      </c>
      <c r="D3454" t="s">
        <v>107</v>
      </c>
      <c r="E3454" s="1">
        <v>1</v>
      </c>
      <c r="F3454" s="1" t="s">
        <v>196</v>
      </c>
      <c r="G3454" s="1">
        <v>42</v>
      </c>
      <c r="H3454" s="1" t="s">
        <v>196</v>
      </c>
    </row>
    <row r="3455" spans="1:8">
      <c r="A3455">
        <v>278</v>
      </c>
      <c r="B3455" t="s">
        <v>635</v>
      </c>
      <c r="C3455">
        <v>13</v>
      </c>
      <c r="D3455" t="s">
        <v>200</v>
      </c>
      <c r="E3455" s="1">
        <v>1</v>
      </c>
      <c r="F3455" s="1" t="s">
        <v>192</v>
      </c>
      <c r="G3455" s="1">
        <v>2</v>
      </c>
      <c r="H3455" s="1" t="s">
        <v>192</v>
      </c>
    </row>
    <row r="3456" spans="1:8">
      <c r="A3456">
        <v>278</v>
      </c>
      <c r="B3456" t="s">
        <v>635</v>
      </c>
      <c r="C3456">
        <v>13</v>
      </c>
      <c r="D3456" t="s">
        <v>200</v>
      </c>
      <c r="E3456" s="1">
        <v>1</v>
      </c>
      <c r="F3456" s="1" t="s">
        <v>193</v>
      </c>
      <c r="G3456" s="1">
        <v>12</v>
      </c>
      <c r="H3456" s="1" t="s">
        <v>193</v>
      </c>
    </row>
    <row r="3457" spans="1:8">
      <c r="A3457">
        <v>278</v>
      </c>
      <c r="B3457" t="s">
        <v>635</v>
      </c>
      <c r="C3457">
        <v>13</v>
      </c>
      <c r="D3457" t="s">
        <v>200</v>
      </c>
      <c r="E3457" s="1">
        <v>1</v>
      </c>
      <c r="F3457" s="1" t="s">
        <v>194</v>
      </c>
      <c r="G3457" s="1">
        <v>22</v>
      </c>
      <c r="H3457" s="1" t="s">
        <v>194</v>
      </c>
    </row>
    <row r="3458" spans="1:8">
      <c r="A3458">
        <v>278</v>
      </c>
      <c r="B3458" t="s">
        <v>635</v>
      </c>
      <c r="C3458">
        <v>13</v>
      </c>
      <c r="D3458" t="s">
        <v>200</v>
      </c>
      <c r="E3458" s="1">
        <v>1</v>
      </c>
      <c r="F3458" s="1" t="s">
        <v>195</v>
      </c>
      <c r="G3458" s="1">
        <v>32</v>
      </c>
      <c r="H3458" s="1" t="s">
        <v>195</v>
      </c>
    </row>
    <row r="3459" spans="1:8">
      <c r="A3459">
        <v>278</v>
      </c>
      <c r="B3459" t="s">
        <v>635</v>
      </c>
      <c r="C3459">
        <v>13</v>
      </c>
      <c r="D3459" t="s">
        <v>200</v>
      </c>
      <c r="E3459" s="1">
        <v>1</v>
      </c>
      <c r="F3459" s="1">
        <v>43</v>
      </c>
      <c r="G3459" s="1">
        <v>40</v>
      </c>
      <c r="H3459" s="1">
        <v>43</v>
      </c>
    </row>
    <row r="3460" spans="1:8">
      <c r="A3460">
        <v>278</v>
      </c>
      <c r="B3460" t="s">
        <v>635</v>
      </c>
      <c r="C3460">
        <v>13</v>
      </c>
      <c r="D3460" t="s">
        <v>200</v>
      </c>
      <c r="E3460" s="1">
        <v>1</v>
      </c>
      <c r="F3460" s="1" t="s">
        <v>196</v>
      </c>
      <c r="G3460" s="1">
        <v>42</v>
      </c>
      <c r="H3460" s="1" t="s">
        <v>196</v>
      </c>
    </row>
    <row r="3461" spans="1:8">
      <c r="A3461">
        <v>278</v>
      </c>
      <c r="B3461" t="s">
        <v>635</v>
      </c>
      <c r="C3461">
        <v>27</v>
      </c>
      <c r="D3461" t="s">
        <v>210</v>
      </c>
      <c r="E3461" s="1">
        <v>1</v>
      </c>
      <c r="F3461" s="1">
        <v>40</v>
      </c>
      <c r="G3461" s="1">
        <v>10</v>
      </c>
      <c r="H3461" s="1">
        <v>40</v>
      </c>
    </row>
    <row r="3462" spans="1:8">
      <c r="A3462">
        <v>278</v>
      </c>
      <c r="B3462" t="s">
        <v>635</v>
      </c>
      <c r="C3462">
        <v>27</v>
      </c>
      <c r="D3462" t="s">
        <v>210</v>
      </c>
      <c r="E3462" s="1">
        <v>1</v>
      </c>
      <c r="F3462" s="1" t="s">
        <v>193</v>
      </c>
      <c r="G3462" s="1">
        <v>12</v>
      </c>
      <c r="H3462" s="1" t="s">
        <v>193</v>
      </c>
    </row>
    <row r="3463" spans="1:8">
      <c r="A3463">
        <v>278</v>
      </c>
      <c r="B3463" t="s">
        <v>635</v>
      </c>
      <c r="C3463">
        <v>27</v>
      </c>
      <c r="D3463" t="s">
        <v>210</v>
      </c>
      <c r="E3463" s="1">
        <v>1</v>
      </c>
      <c r="F3463" s="1">
        <v>43</v>
      </c>
      <c r="G3463" s="1">
        <v>40</v>
      </c>
      <c r="H3463" s="1">
        <v>43</v>
      </c>
    </row>
    <row r="3464" spans="1:8">
      <c r="A3464">
        <v>284</v>
      </c>
      <c r="B3464" t="s">
        <v>636</v>
      </c>
      <c r="C3464">
        <v>1</v>
      </c>
      <c r="D3464" t="s">
        <v>137</v>
      </c>
      <c r="E3464" s="1">
        <v>2</v>
      </c>
      <c r="F3464" s="1" t="s">
        <v>174</v>
      </c>
      <c r="G3464" s="1">
        <v>52</v>
      </c>
      <c r="H3464" s="1" t="s">
        <v>174</v>
      </c>
    </row>
    <row r="3465" spans="1:8">
      <c r="A3465">
        <v>284</v>
      </c>
      <c r="B3465" t="s">
        <v>636</v>
      </c>
      <c r="C3465">
        <v>11</v>
      </c>
      <c r="D3465" t="s">
        <v>186</v>
      </c>
      <c r="E3465" s="1">
        <v>1</v>
      </c>
      <c r="F3465" s="1" t="s">
        <v>195</v>
      </c>
      <c r="G3465" s="1">
        <v>32</v>
      </c>
      <c r="H3465" s="1" t="s">
        <v>195</v>
      </c>
    </row>
    <row r="3466" spans="1:8">
      <c r="A3466">
        <v>284</v>
      </c>
      <c r="B3466" t="s">
        <v>636</v>
      </c>
      <c r="C3466">
        <v>11</v>
      </c>
      <c r="D3466" t="s">
        <v>186</v>
      </c>
      <c r="E3466" s="1">
        <v>1</v>
      </c>
      <c r="F3466" s="1" t="s">
        <v>196</v>
      </c>
      <c r="G3466" s="1">
        <v>42</v>
      </c>
      <c r="H3466" s="1" t="s">
        <v>196</v>
      </c>
    </row>
    <row r="3467" spans="1:8">
      <c r="A3467">
        <v>284</v>
      </c>
      <c r="B3467" t="s">
        <v>636</v>
      </c>
      <c r="C3467">
        <v>15</v>
      </c>
      <c r="D3467" t="s">
        <v>201</v>
      </c>
      <c r="E3467" s="1">
        <v>4</v>
      </c>
      <c r="F3467" s="1" t="s">
        <v>286</v>
      </c>
      <c r="G3467" s="1">
        <v>70</v>
      </c>
      <c r="H3467" s="1" t="s">
        <v>286</v>
      </c>
    </row>
    <row r="3468" spans="1:8">
      <c r="A3468">
        <v>284</v>
      </c>
      <c r="B3468" t="s">
        <v>636</v>
      </c>
      <c r="C3468">
        <v>21</v>
      </c>
      <c r="D3468" t="s">
        <v>205</v>
      </c>
      <c r="E3468" s="1">
        <v>1</v>
      </c>
      <c r="F3468" s="1" t="s">
        <v>288</v>
      </c>
      <c r="G3468" s="1">
        <v>62</v>
      </c>
      <c r="H3468" s="1" t="s">
        <v>288</v>
      </c>
    </row>
    <row r="3469" spans="1:8">
      <c r="A3469">
        <v>306</v>
      </c>
      <c r="B3469" t="s">
        <v>637</v>
      </c>
      <c r="C3469">
        <v>1</v>
      </c>
      <c r="D3469" t="s">
        <v>137</v>
      </c>
      <c r="E3469" s="1">
        <v>2</v>
      </c>
      <c r="F3469" s="1" t="s">
        <v>159</v>
      </c>
      <c r="G3469" s="1">
        <v>2</v>
      </c>
      <c r="H3469" s="1" t="s">
        <v>159</v>
      </c>
    </row>
    <row r="3470" spans="1:8">
      <c r="A3470">
        <v>306</v>
      </c>
      <c r="B3470" t="s">
        <v>637</v>
      </c>
      <c r="C3470">
        <v>1</v>
      </c>
      <c r="D3470" t="s">
        <v>137</v>
      </c>
      <c r="E3470" s="1">
        <v>2</v>
      </c>
      <c r="F3470" s="1" t="s">
        <v>168</v>
      </c>
      <c r="G3470" s="1">
        <v>32</v>
      </c>
      <c r="H3470" s="1" t="s">
        <v>168</v>
      </c>
    </row>
    <row r="3471" spans="1:8">
      <c r="A3471">
        <v>306</v>
      </c>
      <c r="B3471" t="s">
        <v>637</v>
      </c>
      <c r="C3471">
        <v>6</v>
      </c>
      <c r="D3471" t="s">
        <v>184</v>
      </c>
      <c r="G3471" s="1">
        <v>63</v>
      </c>
    </row>
    <row r="3472" spans="1:8">
      <c r="A3472">
        <v>306</v>
      </c>
      <c r="B3472" t="s">
        <v>637</v>
      </c>
      <c r="C3472">
        <v>11</v>
      </c>
      <c r="D3472" t="s">
        <v>186</v>
      </c>
      <c r="E3472" s="1">
        <v>1</v>
      </c>
      <c r="F3472" s="1">
        <v>44</v>
      </c>
      <c r="G3472" s="1">
        <v>50</v>
      </c>
      <c r="H3472" s="1">
        <v>44</v>
      </c>
    </row>
    <row r="3473" spans="1:8">
      <c r="A3473">
        <v>306</v>
      </c>
      <c r="B3473" t="s">
        <v>637</v>
      </c>
      <c r="C3473">
        <v>24</v>
      </c>
      <c r="D3473" t="s">
        <v>208</v>
      </c>
      <c r="E3473" s="1">
        <v>1</v>
      </c>
      <c r="F3473" s="1" t="s">
        <v>373</v>
      </c>
      <c r="G3473" s="1">
        <v>10</v>
      </c>
      <c r="H3473" s="1" t="s">
        <v>373</v>
      </c>
    </row>
    <row r="3474" spans="1:8">
      <c r="A3474">
        <v>306</v>
      </c>
      <c r="B3474" t="s">
        <v>637</v>
      </c>
      <c r="C3474">
        <v>24</v>
      </c>
      <c r="D3474" t="s">
        <v>208</v>
      </c>
      <c r="E3474" s="1">
        <v>1</v>
      </c>
      <c r="F3474" s="1" t="s">
        <v>374</v>
      </c>
      <c r="H3474" s="1" t="s">
        <v>374</v>
      </c>
    </row>
    <row r="3475" spans="1:8">
      <c r="A3475">
        <v>306</v>
      </c>
      <c r="B3475" t="s">
        <v>637</v>
      </c>
      <c r="C3475">
        <v>24</v>
      </c>
      <c r="D3475" t="s">
        <v>208</v>
      </c>
      <c r="G3475" s="1">
        <v>90</v>
      </c>
    </row>
    <row r="3476" spans="1:8">
      <c r="A3476">
        <v>306</v>
      </c>
      <c r="B3476" t="s">
        <v>637</v>
      </c>
      <c r="C3476">
        <v>41</v>
      </c>
      <c r="D3476" t="s">
        <v>219</v>
      </c>
      <c r="E3476" s="1">
        <v>1</v>
      </c>
      <c r="F3476" s="1" t="s">
        <v>442</v>
      </c>
      <c r="G3476" s="1">
        <v>10</v>
      </c>
      <c r="H3476" s="1" t="s">
        <v>442</v>
      </c>
    </row>
    <row r="3477" spans="1:8">
      <c r="A3477">
        <v>315</v>
      </c>
      <c r="B3477" t="s">
        <v>488</v>
      </c>
      <c r="C3477">
        <v>1</v>
      </c>
      <c r="D3477" t="s">
        <v>137</v>
      </c>
      <c r="E3477" s="1">
        <v>1</v>
      </c>
      <c r="F3477" s="1">
        <v>11</v>
      </c>
      <c r="G3477" s="1">
        <v>40</v>
      </c>
      <c r="H3477" s="1">
        <v>11</v>
      </c>
    </row>
    <row r="3478" spans="1:8">
      <c r="A3478">
        <v>315</v>
      </c>
      <c r="B3478" t="s">
        <v>488</v>
      </c>
      <c r="C3478">
        <v>1</v>
      </c>
      <c r="D3478" t="s">
        <v>137</v>
      </c>
      <c r="E3478" s="1">
        <v>1</v>
      </c>
      <c r="F3478" s="1">
        <v>12</v>
      </c>
      <c r="G3478" s="1">
        <v>50</v>
      </c>
      <c r="H3478" s="1">
        <v>12</v>
      </c>
    </row>
    <row r="3479" spans="1:8">
      <c r="A3479">
        <v>315</v>
      </c>
      <c r="B3479" t="s">
        <v>488</v>
      </c>
      <c r="C3479">
        <v>1</v>
      </c>
      <c r="D3479" t="s">
        <v>137</v>
      </c>
      <c r="E3479" s="1">
        <v>1</v>
      </c>
      <c r="F3479" s="1">
        <v>13</v>
      </c>
      <c r="G3479" s="1">
        <v>60</v>
      </c>
      <c r="H3479" s="1">
        <v>13</v>
      </c>
    </row>
    <row r="3480" spans="1:8">
      <c r="A3480">
        <v>315</v>
      </c>
      <c r="B3480" t="s">
        <v>488</v>
      </c>
      <c r="C3480">
        <v>1</v>
      </c>
      <c r="D3480" t="s">
        <v>137</v>
      </c>
      <c r="E3480" s="1">
        <v>1</v>
      </c>
      <c r="F3480" s="1" t="s">
        <v>144</v>
      </c>
      <c r="G3480" s="1">
        <v>62</v>
      </c>
      <c r="H3480" s="1" t="s">
        <v>144</v>
      </c>
    </row>
    <row r="3481" spans="1:8">
      <c r="A3481">
        <v>315</v>
      </c>
      <c r="B3481" t="s">
        <v>488</v>
      </c>
      <c r="C3481">
        <v>1</v>
      </c>
      <c r="D3481" t="s">
        <v>137</v>
      </c>
      <c r="E3481" s="1">
        <v>1</v>
      </c>
      <c r="F3481" s="1">
        <v>14</v>
      </c>
      <c r="G3481" s="1">
        <v>70</v>
      </c>
      <c r="H3481" s="1">
        <v>14</v>
      </c>
    </row>
    <row r="3482" spans="1:8">
      <c r="A3482">
        <v>315</v>
      </c>
      <c r="B3482" t="s">
        <v>488</v>
      </c>
      <c r="C3482">
        <v>1</v>
      </c>
      <c r="D3482" t="s">
        <v>137</v>
      </c>
      <c r="E3482" s="1">
        <v>1</v>
      </c>
      <c r="F3482" s="1">
        <v>15</v>
      </c>
      <c r="G3482" s="1">
        <v>80</v>
      </c>
      <c r="H3482" s="1">
        <v>15</v>
      </c>
    </row>
    <row r="3483" spans="1:8">
      <c r="A3483">
        <v>315</v>
      </c>
      <c r="B3483" t="s">
        <v>488</v>
      </c>
      <c r="C3483">
        <v>1</v>
      </c>
      <c r="D3483" t="s">
        <v>137</v>
      </c>
      <c r="E3483" s="1">
        <v>1</v>
      </c>
      <c r="F3483" s="1" t="s">
        <v>150</v>
      </c>
      <c r="G3483" s="1">
        <v>82</v>
      </c>
      <c r="H3483" s="1" t="s">
        <v>150</v>
      </c>
    </row>
    <row r="3484" spans="1:8">
      <c r="A3484">
        <v>315</v>
      </c>
      <c r="B3484" t="s">
        <v>488</v>
      </c>
      <c r="C3484">
        <v>1</v>
      </c>
      <c r="D3484" t="s">
        <v>137</v>
      </c>
      <c r="E3484" s="1">
        <v>1</v>
      </c>
      <c r="F3484" s="1">
        <v>16</v>
      </c>
      <c r="G3484" s="1">
        <v>90</v>
      </c>
      <c r="H3484" s="1">
        <v>16</v>
      </c>
    </row>
    <row r="3485" spans="1:8">
      <c r="A3485">
        <v>315</v>
      </c>
      <c r="B3485" t="s">
        <v>488</v>
      </c>
      <c r="C3485">
        <v>1</v>
      </c>
      <c r="D3485" t="s">
        <v>137</v>
      </c>
      <c r="E3485" s="1">
        <v>1</v>
      </c>
      <c r="F3485" s="1">
        <v>17</v>
      </c>
      <c r="G3485" s="1">
        <v>94</v>
      </c>
      <c r="H3485" s="1">
        <v>17</v>
      </c>
    </row>
    <row r="3486" spans="1:8">
      <c r="A3486">
        <v>315</v>
      </c>
      <c r="B3486" t="s">
        <v>488</v>
      </c>
      <c r="C3486">
        <v>1</v>
      </c>
      <c r="D3486" t="s">
        <v>137</v>
      </c>
      <c r="E3486" s="1">
        <v>2</v>
      </c>
      <c r="F3486" s="1">
        <v>18</v>
      </c>
      <c r="H3486" s="1">
        <v>18</v>
      </c>
    </row>
    <row r="3487" spans="1:8">
      <c r="A3487">
        <v>315</v>
      </c>
      <c r="B3487" t="s">
        <v>488</v>
      </c>
      <c r="C3487">
        <v>56</v>
      </c>
      <c r="D3487" t="s">
        <v>544</v>
      </c>
      <c r="G3487" s="1">
        <v>50</v>
      </c>
    </row>
    <row r="3488" spans="1:8">
      <c r="A3488">
        <v>315</v>
      </c>
      <c r="B3488" t="s">
        <v>488</v>
      </c>
      <c r="C3488">
        <v>83</v>
      </c>
      <c r="D3488" t="s">
        <v>240</v>
      </c>
      <c r="G3488" s="1">
        <v>10</v>
      </c>
    </row>
    <row r="3489" spans="1:8">
      <c r="A3489">
        <v>315</v>
      </c>
      <c r="B3489" t="s">
        <v>488</v>
      </c>
      <c r="C3489">
        <v>83</v>
      </c>
      <c r="D3489" t="s">
        <v>240</v>
      </c>
      <c r="G3489" s="1">
        <v>20</v>
      </c>
    </row>
    <row r="3490" spans="1:8">
      <c r="A3490">
        <v>315</v>
      </c>
      <c r="B3490" t="s">
        <v>488</v>
      </c>
      <c r="C3490">
        <v>83</v>
      </c>
      <c r="D3490" t="s">
        <v>240</v>
      </c>
      <c r="G3490" s="1">
        <v>40</v>
      </c>
    </row>
    <row r="3491" spans="1:8">
      <c r="A3491">
        <v>327</v>
      </c>
      <c r="B3491" t="s">
        <v>638</v>
      </c>
      <c r="C3491">
        <v>74</v>
      </c>
      <c r="D3491" t="s">
        <v>235</v>
      </c>
      <c r="E3491" s="1">
        <v>3</v>
      </c>
      <c r="F3491" s="1" t="s">
        <v>321</v>
      </c>
      <c r="G3491" s="1">
        <v>60</v>
      </c>
      <c r="H3491" s="1" t="s">
        <v>321</v>
      </c>
    </row>
    <row r="3492" spans="1:8">
      <c r="A3492">
        <v>327</v>
      </c>
      <c r="B3492" t="s">
        <v>638</v>
      </c>
      <c r="C3492">
        <v>80</v>
      </c>
      <c r="D3492" t="s">
        <v>238</v>
      </c>
      <c r="E3492" s="1">
        <v>1</v>
      </c>
      <c r="F3492" s="1" t="s">
        <v>347</v>
      </c>
      <c r="G3492" s="1">
        <v>20</v>
      </c>
      <c r="H3492" s="1" t="s">
        <v>347</v>
      </c>
    </row>
    <row r="3493" spans="1:8">
      <c r="A3493">
        <v>327</v>
      </c>
      <c r="B3493" t="s">
        <v>638</v>
      </c>
      <c r="C3493">
        <v>80</v>
      </c>
      <c r="D3493" t="s">
        <v>238</v>
      </c>
      <c r="E3493" s="1">
        <v>1</v>
      </c>
      <c r="F3493" s="1" t="s">
        <v>394</v>
      </c>
      <c r="G3493" s="1">
        <v>22</v>
      </c>
      <c r="H3493" s="1" t="s">
        <v>394</v>
      </c>
    </row>
    <row r="3494" spans="1:8">
      <c r="A3494">
        <v>345</v>
      </c>
      <c r="B3494" t="s">
        <v>639</v>
      </c>
      <c r="C3494">
        <v>1</v>
      </c>
      <c r="D3494" t="s">
        <v>137</v>
      </c>
      <c r="E3494" s="1">
        <v>1</v>
      </c>
      <c r="F3494" s="1">
        <v>15</v>
      </c>
      <c r="G3494" s="1">
        <v>80</v>
      </c>
      <c r="H3494" s="1">
        <v>15</v>
      </c>
    </row>
    <row r="3495" spans="1:8">
      <c r="A3495">
        <v>345</v>
      </c>
      <c r="B3495" t="s">
        <v>639</v>
      </c>
      <c r="C3495">
        <v>1</v>
      </c>
      <c r="D3495" t="s">
        <v>137</v>
      </c>
      <c r="E3495" s="1">
        <v>1</v>
      </c>
      <c r="F3495" s="1">
        <v>16</v>
      </c>
      <c r="G3495" s="1">
        <v>90</v>
      </c>
      <c r="H3495" s="1">
        <v>16</v>
      </c>
    </row>
    <row r="3496" spans="1:8">
      <c r="A3496">
        <v>345</v>
      </c>
      <c r="B3496" t="s">
        <v>639</v>
      </c>
      <c r="C3496">
        <v>1</v>
      </c>
      <c r="D3496" t="s">
        <v>137</v>
      </c>
      <c r="E3496" s="1">
        <v>1</v>
      </c>
      <c r="F3496" s="1">
        <v>17</v>
      </c>
      <c r="G3496" s="1">
        <v>94</v>
      </c>
      <c r="H3496" s="1">
        <v>17</v>
      </c>
    </row>
    <row r="3497" spans="1:8">
      <c r="A3497">
        <v>345</v>
      </c>
      <c r="B3497" t="s">
        <v>639</v>
      </c>
      <c r="C3497">
        <v>1</v>
      </c>
      <c r="D3497" t="s">
        <v>137</v>
      </c>
      <c r="E3497" s="1">
        <v>1</v>
      </c>
      <c r="F3497" s="1" t="s">
        <v>156</v>
      </c>
      <c r="G3497" s="1">
        <v>96</v>
      </c>
      <c r="H3497" s="1" t="s">
        <v>156</v>
      </c>
    </row>
    <row r="3498" spans="1:8">
      <c r="A3498">
        <v>345</v>
      </c>
      <c r="B3498" t="s">
        <v>639</v>
      </c>
      <c r="C3498">
        <v>1</v>
      </c>
      <c r="D3498" t="s">
        <v>137</v>
      </c>
      <c r="E3498" s="1">
        <v>2</v>
      </c>
      <c r="F3498" s="1" t="s">
        <v>159</v>
      </c>
      <c r="G3498" s="1">
        <v>2</v>
      </c>
      <c r="H3498" s="1" t="s">
        <v>159</v>
      </c>
    </row>
    <row r="3499" spans="1:8">
      <c r="A3499">
        <v>345</v>
      </c>
      <c r="B3499" t="s">
        <v>639</v>
      </c>
      <c r="C3499">
        <v>1</v>
      </c>
      <c r="D3499" t="s">
        <v>137</v>
      </c>
      <c r="E3499" s="1">
        <v>2</v>
      </c>
      <c r="F3499" s="1">
        <v>19</v>
      </c>
      <c r="G3499" s="1">
        <v>10</v>
      </c>
      <c r="H3499" s="1">
        <v>19</v>
      </c>
    </row>
    <row r="3500" spans="1:8">
      <c r="A3500">
        <v>345</v>
      </c>
      <c r="B3500" t="s">
        <v>639</v>
      </c>
      <c r="C3500">
        <v>1</v>
      </c>
      <c r="D3500" t="s">
        <v>137</v>
      </c>
      <c r="E3500" s="1">
        <v>2</v>
      </c>
      <c r="F3500" s="1" t="s">
        <v>162</v>
      </c>
      <c r="G3500" s="1">
        <v>12</v>
      </c>
      <c r="H3500" s="1" t="s">
        <v>162</v>
      </c>
    </row>
    <row r="3501" spans="1:8">
      <c r="A3501">
        <v>345</v>
      </c>
      <c r="B3501" t="s">
        <v>639</v>
      </c>
      <c r="C3501">
        <v>1</v>
      </c>
      <c r="D3501" t="s">
        <v>137</v>
      </c>
      <c r="E3501" s="1">
        <v>2</v>
      </c>
      <c r="F3501" s="1">
        <v>20</v>
      </c>
      <c r="G3501" s="1">
        <v>20</v>
      </c>
      <c r="H3501" s="1">
        <v>20</v>
      </c>
    </row>
    <row r="3502" spans="1:8">
      <c r="A3502">
        <v>345</v>
      </c>
      <c r="B3502" t="s">
        <v>639</v>
      </c>
      <c r="C3502">
        <v>1</v>
      </c>
      <c r="D3502" t="s">
        <v>137</v>
      </c>
      <c r="E3502" s="1">
        <v>2</v>
      </c>
      <c r="F3502" s="1" t="s">
        <v>165</v>
      </c>
      <c r="G3502" s="1">
        <v>22</v>
      </c>
      <c r="H3502" s="1" t="s">
        <v>165</v>
      </c>
    </row>
    <row r="3503" spans="1:8">
      <c r="A3503">
        <v>345</v>
      </c>
      <c r="B3503" t="s">
        <v>639</v>
      </c>
      <c r="C3503">
        <v>1</v>
      </c>
      <c r="D3503" t="s">
        <v>137</v>
      </c>
      <c r="E3503" s="1">
        <v>2</v>
      </c>
      <c r="F3503" s="1">
        <v>21</v>
      </c>
      <c r="G3503" s="1">
        <v>30</v>
      </c>
      <c r="H3503" s="1">
        <v>21</v>
      </c>
    </row>
    <row r="3504" spans="1:8">
      <c r="A3504">
        <v>345</v>
      </c>
      <c r="B3504" t="s">
        <v>639</v>
      </c>
      <c r="C3504">
        <v>1</v>
      </c>
      <c r="D3504" t="s">
        <v>137</v>
      </c>
      <c r="E3504" s="1">
        <v>2</v>
      </c>
      <c r="F3504" s="1" t="s">
        <v>168</v>
      </c>
      <c r="G3504" s="1">
        <v>32</v>
      </c>
      <c r="H3504" s="1" t="s">
        <v>168</v>
      </c>
    </row>
    <row r="3505" spans="1:8">
      <c r="A3505">
        <v>345</v>
      </c>
      <c r="B3505" t="s">
        <v>639</v>
      </c>
      <c r="C3505">
        <v>1</v>
      </c>
      <c r="D3505" t="s">
        <v>137</v>
      </c>
      <c r="E3505" s="1">
        <v>2</v>
      </c>
      <c r="F3505" s="1">
        <v>22</v>
      </c>
      <c r="G3505" s="1">
        <v>40</v>
      </c>
      <c r="H3505" s="1">
        <v>22</v>
      </c>
    </row>
    <row r="3506" spans="1:8">
      <c r="A3506">
        <v>345</v>
      </c>
      <c r="B3506" t="s">
        <v>639</v>
      </c>
      <c r="C3506">
        <v>1</v>
      </c>
      <c r="D3506" t="s">
        <v>137</v>
      </c>
      <c r="E3506" s="1">
        <v>2</v>
      </c>
      <c r="F3506" s="1">
        <v>18</v>
      </c>
      <c r="H3506" s="1">
        <v>18</v>
      </c>
    </row>
    <row r="3507" spans="1:8">
      <c r="A3507">
        <v>345</v>
      </c>
      <c r="B3507" t="s">
        <v>639</v>
      </c>
      <c r="C3507">
        <v>11</v>
      </c>
      <c r="D3507" t="s">
        <v>186</v>
      </c>
      <c r="E3507" s="1">
        <v>1</v>
      </c>
      <c r="F3507" s="1">
        <v>41</v>
      </c>
      <c r="G3507" s="1">
        <v>20</v>
      </c>
      <c r="H3507" s="1">
        <v>41</v>
      </c>
    </row>
    <row r="3508" spans="1:8">
      <c r="A3508">
        <v>345</v>
      </c>
      <c r="B3508" t="s">
        <v>639</v>
      </c>
      <c r="C3508">
        <v>11</v>
      </c>
      <c r="D3508" t="s">
        <v>186</v>
      </c>
      <c r="E3508" s="1">
        <v>1</v>
      </c>
      <c r="F3508" s="1" t="s">
        <v>194</v>
      </c>
      <c r="G3508" s="1">
        <v>22</v>
      </c>
      <c r="H3508" s="1" t="s">
        <v>194</v>
      </c>
    </row>
    <row r="3509" spans="1:8">
      <c r="A3509">
        <v>345</v>
      </c>
      <c r="B3509" t="s">
        <v>639</v>
      </c>
      <c r="C3509">
        <v>11</v>
      </c>
      <c r="D3509" t="s">
        <v>186</v>
      </c>
      <c r="E3509" s="1">
        <v>1</v>
      </c>
      <c r="F3509" s="1">
        <v>42</v>
      </c>
      <c r="G3509" s="1">
        <v>30</v>
      </c>
      <c r="H3509" s="1">
        <v>42</v>
      </c>
    </row>
    <row r="3510" spans="1:8">
      <c r="A3510">
        <v>345</v>
      </c>
      <c r="B3510" t="s">
        <v>639</v>
      </c>
      <c r="C3510">
        <v>11</v>
      </c>
      <c r="D3510" t="s">
        <v>186</v>
      </c>
      <c r="E3510" s="1">
        <v>1</v>
      </c>
      <c r="F3510" s="1" t="s">
        <v>195</v>
      </c>
      <c r="G3510" s="1">
        <v>32</v>
      </c>
      <c r="H3510" s="1" t="s">
        <v>195</v>
      </c>
    </row>
    <row r="3511" spans="1:8">
      <c r="A3511">
        <v>345</v>
      </c>
      <c r="B3511" t="s">
        <v>639</v>
      </c>
      <c r="C3511">
        <v>11</v>
      </c>
      <c r="D3511" t="s">
        <v>186</v>
      </c>
      <c r="E3511" s="1">
        <v>1</v>
      </c>
      <c r="F3511" s="1" t="s">
        <v>196</v>
      </c>
      <c r="G3511" s="1">
        <v>42</v>
      </c>
      <c r="H3511" s="1" t="s">
        <v>196</v>
      </c>
    </row>
    <row r="3512" spans="1:8">
      <c r="A3512">
        <v>345</v>
      </c>
      <c r="B3512" t="s">
        <v>639</v>
      </c>
      <c r="C3512">
        <v>11</v>
      </c>
      <c r="D3512" t="s">
        <v>186</v>
      </c>
      <c r="E3512" s="1">
        <v>1</v>
      </c>
      <c r="F3512" s="1">
        <v>44</v>
      </c>
      <c r="G3512" s="1">
        <v>50</v>
      </c>
      <c r="H3512" s="1">
        <v>44</v>
      </c>
    </row>
    <row r="3513" spans="1:8">
      <c r="A3513">
        <v>345</v>
      </c>
      <c r="B3513" t="s">
        <v>639</v>
      </c>
      <c r="C3513">
        <v>11</v>
      </c>
      <c r="D3513" t="s">
        <v>186</v>
      </c>
      <c r="E3513" s="1">
        <v>1</v>
      </c>
      <c r="F3513" s="1" t="s">
        <v>197</v>
      </c>
      <c r="G3513" s="1">
        <v>52</v>
      </c>
      <c r="H3513" s="1" t="s">
        <v>197</v>
      </c>
    </row>
    <row r="3514" spans="1:8">
      <c r="A3514">
        <v>345</v>
      </c>
      <c r="B3514" t="s">
        <v>639</v>
      </c>
      <c r="C3514">
        <v>11</v>
      </c>
      <c r="D3514" t="s">
        <v>186</v>
      </c>
      <c r="E3514" s="1">
        <v>1</v>
      </c>
      <c r="F3514" s="1" t="s">
        <v>198</v>
      </c>
      <c r="G3514" s="1">
        <v>62</v>
      </c>
      <c r="H3514" s="1" t="s">
        <v>198</v>
      </c>
    </row>
    <row r="3515" spans="1:8">
      <c r="A3515">
        <v>345</v>
      </c>
      <c r="B3515" t="s">
        <v>639</v>
      </c>
      <c r="C3515">
        <v>11</v>
      </c>
      <c r="D3515" t="s">
        <v>186</v>
      </c>
      <c r="E3515" s="1">
        <v>1</v>
      </c>
      <c r="F3515" s="1" t="s">
        <v>199</v>
      </c>
      <c r="G3515" s="1">
        <v>72</v>
      </c>
      <c r="H3515" s="1" t="s">
        <v>199</v>
      </c>
    </row>
    <row r="3516" spans="1:8">
      <c r="A3516">
        <v>345</v>
      </c>
      <c r="B3516" t="s">
        <v>639</v>
      </c>
      <c r="C3516">
        <v>11</v>
      </c>
      <c r="D3516" t="s">
        <v>186</v>
      </c>
      <c r="E3516" s="1">
        <v>1</v>
      </c>
      <c r="F3516" s="1">
        <v>39</v>
      </c>
      <c r="H3516" s="1">
        <v>39</v>
      </c>
    </row>
    <row r="3517" spans="1:8">
      <c r="A3517">
        <v>345</v>
      </c>
      <c r="B3517" t="s">
        <v>639</v>
      </c>
      <c r="C3517">
        <v>13</v>
      </c>
      <c r="D3517" t="s">
        <v>200</v>
      </c>
      <c r="E3517" s="1">
        <v>1</v>
      </c>
      <c r="F3517" s="1">
        <v>40</v>
      </c>
      <c r="G3517" s="1">
        <v>10</v>
      </c>
      <c r="H3517" s="1">
        <v>40</v>
      </c>
    </row>
    <row r="3518" spans="1:8">
      <c r="A3518">
        <v>345</v>
      </c>
      <c r="B3518" t="s">
        <v>639</v>
      </c>
      <c r="C3518">
        <v>13</v>
      </c>
      <c r="D3518" t="s">
        <v>200</v>
      </c>
      <c r="E3518" s="1">
        <v>1</v>
      </c>
      <c r="F3518" s="1" t="s">
        <v>194</v>
      </c>
      <c r="G3518" s="1">
        <v>22</v>
      </c>
      <c r="H3518" s="1" t="s">
        <v>194</v>
      </c>
    </row>
    <row r="3519" spans="1:8">
      <c r="A3519">
        <v>345</v>
      </c>
      <c r="B3519" t="s">
        <v>639</v>
      </c>
      <c r="C3519">
        <v>13</v>
      </c>
      <c r="D3519" t="s">
        <v>200</v>
      </c>
      <c r="E3519" s="1">
        <v>1</v>
      </c>
      <c r="F3519" s="1">
        <v>42</v>
      </c>
      <c r="G3519" s="1">
        <v>30</v>
      </c>
      <c r="H3519" s="1">
        <v>42</v>
      </c>
    </row>
    <row r="3520" spans="1:8">
      <c r="A3520">
        <v>345</v>
      </c>
      <c r="B3520" t="s">
        <v>639</v>
      </c>
      <c r="C3520">
        <v>13</v>
      </c>
      <c r="D3520" t="s">
        <v>200</v>
      </c>
      <c r="E3520" s="1">
        <v>1</v>
      </c>
      <c r="F3520" s="1" t="s">
        <v>195</v>
      </c>
      <c r="G3520" s="1">
        <v>32</v>
      </c>
      <c r="H3520" s="1" t="s">
        <v>195</v>
      </c>
    </row>
    <row r="3521" spans="1:8">
      <c r="A3521">
        <v>345</v>
      </c>
      <c r="B3521" t="s">
        <v>639</v>
      </c>
      <c r="C3521">
        <v>13</v>
      </c>
      <c r="D3521" t="s">
        <v>200</v>
      </c>
      <c r="E3521" s="1">
        <v>1</v>
      </c>
      <c r="F3521" s="1">
        <v>43</v>
      </c>
      <c r="G3521" s="1">
        <v>40</v>
      </c>
      <c r="H3521" s="1">
        <v>43</v>
      </c>
    </row>
    <row r="3522" spans="1:8">
      <c r="A3522">
        <v>345</v>
      </c>
      <c r="B3522" t="s">
        <v>639</v>
      </c>
      <c r="C3522">
        <v>13</v>
      </c>
      <c r="D3522" t="s">
        <v>200</v>
      </c>
      <c r="E3522" s="1">
        <v>1</v>
      </c>
      <c r="F3522" s="1" t="s">
        <v>196</v>
      </c>
      <c r="G3522" s="1">
        <v>42</v>
      </c>
      <c r="H3522" s="1" t="s">
        <v>196</v>
      </c>
    </row>
    <row r="3523" spans="1:8">
      <c r="A3523">
        <v>345</v>
      </c>
      <c r="B3523" t="s">
        <v>639</v>
      </c>
      <c r="C3523">
        <v>13</v>
      </c>
      <c r="D3523" t="s">
        <v>200</v>
      </c>
      <c r="E3523" s="1">
        <v>1</v>
      </c>
      <c r="F3523" s="1">
        <v>44</v>
      </c>
      <c r="G3523" s="1">
        <v>50</v>
      </c>
      <c r="H3523" s="1">
        <v>44</v>
      </c>
    </row>
    <row r="3524" spans="1:8">
      <c r="A3524">
        <v>345</v>
      </c>
      <c r="B3524" t="s">
        <v>639</v>
      </c>
      <c r="C3524">
        <v>13</v>
      </c>
      <c r="D3524" t="s">
        <v>200</v>
      </c>
      <c r="E3524" s="1">
        <v>1</v>
      </c>
      <c r="F3524" s="1" t="s">
        <v>197</v>
      </c>
      <c r="G3524" s="1">
        <v>52</v>
      </c>
      <c r="H3524" s="1" t="s">
        <v>197</v>
      </c>
    </row>
    <row r="3525" spans="1:8">
      <c r="A3525">
        <v>345</v>
      </c>
      <c r="B3525" t="s">
        <v>639</v>
      </c>
      <c r="C3525">
        <v>13</v>
      </c>
      <c r="D3525" t="s">
        <v>200</v>
      </c>
      <c r="E3525" s="1">
        <v>1</v>
      </c>
      <c r="F3525" s="1" t="s">
        <v>198</v>
      </c>
      <c r="G3525" s="1">
        <v>62</v>
      </c>
      <c r="H3525" s="1" t="s">
        <v>198</v>
      </c>
    </row>
    <row r="3526" spans="1:8">
      <c r="A3526">
        <v>345</v>
      </c>
      <c r="B3526" t="s">
        <v>639</v>
      </c>
      <c r="C3526">
        <v>13</v>
      </c>
      <c r="D3526" t="s">
        <v>200</v>
      </c>
      <c r="E3526" s="1">
        <v>1</v>
      </c>
      <c r="F3526" s="1" t="s">
        <v>199</v>
      </c>
      <c r="G3526" s="1">
        <v>72</v>
      </c>
      <c r="H3526" s="1" t="s">
        <v>199</v>
      </c>
    </row>
    <row r="3527" spans="1:8">
      <c r="A3527">
        <v>345</v>
      </c>
      <c r="B3527" t="s">
        <v>639</v>
      </c>
      <c r="C3527">
        <v>13</v>
      </c>
      <c r="D3527" t="s">
        <v>200</v>
      </c>
      <c r="E3527" s="1">
        <v>1</v>
      </c>
      <c r="F3527" s="1">
        <v>39</v>
      </c>
      <c r="H3527" s="1">
        <v>39</v>
      </c>
    </row>
    <row r="3528" spans="1:8">
      <c r="A3528">
        <v>345</v>
      </c>
      <c r="B3528" t="s">
        <v>639</v>
      </c>
      <c r="C3528">
        <v>21</v>
      </c>
      <c r="D3528" t="s">
        <v>205</v>
      </c>
      <c r="E3528" s="1">
        <v>1</v>
      </c>
      <c r="F3528" s="1" t="s">
        <v>287</v>
      </c>
      <c r="G3528" s="1">
        <v>52</v>
      </c>
      <c r="H3528" s="1" t="s">
        <v>287</v>
      </c>
    </row>
    <row r="3529" spans="1:8">
      <c r="A3529">
        <v>388</v>
      </c>
      <c r="B3529" t="s">
        <v>640</v>
      </c>
      <c r="C3529">
        <v>1</v>
      </c>
      <c r="D3529" t="s">
        <v>137</v>
      </c>
      <c r="E3529" s="1">
        <v>1</v>
      </c>
      <c r="F3529" s="1">
        <v>14</v>
      </c>
      <c r="G3529" s="1">
        <v>70</v>
      </c>
      <c r="H3529" s="1">
        <v>14</v>
      </c>
    </row>
    <row r="3530" spans="1:8">
      <c r="A3530">
        <v>388</v>
      </c>
      <c r="B3530" t="s">
        <v>640</v>
      </c>
      <c r="C3530">
        <v>1</v>
      </c>
      <c r="D3530" t="s">
        <v>137</v>
      </c>
      <c r="E3530" s="1">
        <v>2</v>
      </c>
      <c r="F3530" s="1">
        <v>20</v>
      </c>
      <c r="G3530" s="1">
        <v>20</v>
      </c>
      <c r="H3530" s="1">
        <v>20</v>
      </c>
    </row>
    <row r="3531" spans="1:8">
      <c r="A3531">
        <v>388</v>
      </c>
      <c r="B3531" t="s">
        <v>640</v>
      </c>
      <c r="C3531">
        <v>2</v>
      </c>
      <c r="D3531" t="s">
        <v>181</v>
      </c>
      <c r="E3531" s="1">
        <v>2</v>
      </c>
      <c r="F3531" s="1">
        <v>11</v>
      </c>
      <c r="G3531" s="1">
        <v>20</v>
      </c>
      <c r="H3531" s="1">
        <v>11</v>
      </c>
    </row>
    <row r="3532" spans="1:8">
      <c r="A3532">
        <v>388</v>
      </c>
      <c r="B3532" t="s">
        <v>640</v>
      </c>
      <c r="C3532">
        <v>2</v>
      </c>
      <c r="D3532" t="s">
        <v>181</v>
      </c>
      <c r="E3532" s="1">
        <v>2</v>
      </c>
      <c r="F3532" s="1">
        <v>13</v>
      </c>
      <c r="G3532" s="1">
        <v>42</v>
      </c>
      <c r="H3532" s="1">
        <v>13</v>
      </c>
    </row>
    <row r="3533" spans="1:8">
      <c r="A3533">
        <v>388</v>
      </c>
      <c r="B3533" t="s">
        <v>640</v>
      </c>
      <c r="C3533">
        <v>2</v>
      </c>
      <c r="D3533" t="s">
        <v>181</v>
      </c>
      <c r="E3533" s="1">
        <v>2</v>
      </c>
      <c r="F3533" s="1">
        <v>14</v>
      </c>
      <c r="G3533" s="1">
        <v>50</v>
      </c>
      <c r="H3533" s="1">
        <v>14</v>
      </c>
    </row>
    <row r="3534" spans="1:8">
      <c r="A3534">
        <v>388</v>
      </c>
      <c r="B3534" t="s">
        <v>640</v>
      </c>
      <c r="C3534">
        <v>11</v>
      </c>
      <c r="D3534" t="s">
        <v>186</v>
      </c>
      <c r="E3534" s="1">
        <v>1</v>
      </c>
      <c r="F3534" s="1">
        <v>42</v>
      </c>
      <c r="G3534" s="1">
        <v>30</v>
      </c>
      <c r="H3534" s="1">
        <v>42</v>
      </c>
    </row>
    <row r="3535" spans="1:8">
      <c r="A3535">
        <v>388</v>
      </c>
      <c r="B3535" t="s">
        <v>640</v>
      </c>
      <c r="C3535">
        <v>11</v>
      </c>
      <c r="D3535" t="s">
        <v>186</v>
      </c>
      <c r="E3535" s="1">
        <v>1</v>
      </c>
      <c r="F3535" s="1">
        <v>43</v>
      </c>
      <c r="G3535" s="1">
        <v>40</v>
      </c>
      <c r="H3535" s="1">
        <v>43</v>
      </c>
    </row>
    <row r="3536" spans="1:8">
      <c r="A3536">
        <v>388</v>
      </c>
      <c r="B3536" t="s">
        <v>640</v>
      </c>
      <c r="C3536">
        <v>11</v>
      </c>
      <c r="D3536" t="s">
        <v>186</v>
      </c>
      <c r="E3536" s="1">
        <v>1</v>
      </c>
      <c r="F3536" s="1" t="s">
        <v>197</v>
      </c>
      <c r="G3536" s="1">
        <v>52</v>
      </c>
      <c r="H3536" s="1" t="s">
        <v>197</v>
      </c>
    </row>
    <row r="3537" spans="1:8">
      <c r="A3537">
        <v>388</v>
      </c>
      <c r="B3537" t="s">
        <v>640</v>
      </c>
      <c r="C3537">
        <v>11</v>
      </c>
      <c r="D3537" t="s">
        <v>186</v>
      </c>
      <c r="E3537" s="1">
        <v>1</v>
      </c>
      <c r="F3537" s="1">
        <v>45</v>
      </c>
      <c r="G3537" s="1">
        <v>60</v>
      </c>
      <c r="H3537" s="1">
        <v>45</v>
      </c>
    </row>
    <row r="3538" spans="1:8">
      <c r="A3538">
        <v>388</v>
      </c>
      <c r="B3538" t="s">
        <v>640</v>
      </c>
      <c r="C3538">
        <v>11</v>
      </c>
      <c r="D3538" t="s">
        <v>186</v>
      </c>
      <c r="E3538" s="1">
        <v>1</v>
      </c>
      <c r="F3538" s="1" t="s">
        <v>198</v>
      </c>
      <c r="G3538" s="1">
        <v>62</v>
      </c>
      <c r="H3538" s="1" t="s">
        <v>198</v>
      </c>
    </row>
    <row r="3539" spans="1:8">
      <c r="A3539">
        <v>388</v>
      </c>
      <c r="B3539" t="s">
        <v>640</v>
      </c>
      <c r="C3539">
        <v>11</v>
      </c>
      <c r="D3539" t="s">
        <v>186</v>
      </c>
      <c r="E3539" s="1">
        <v>1</v>
      </c>
      <c r="F3539" s="1" t="s">
        <v>199</v>
      </c>
      <c r="G3539" s="1">
        <v>72</v>
      </c>
      <c r="H3539" s="1" t="s">
        <v>199</v>
      </c>
    </row>
    <row r="3540" spans="1:8">
      <c r="A3540">
        <v>388</v>
      </c>
      <c r="B3540" t="s">
        <v>640</v>
      </c>
      <c r="C3540">
        <v>12</v>
      </c>
      <c r="D3540" t="s">
        <v>107</v>
      </c>
      <c r="E3540" s="1">
        <v>1</v>
      </c>
      <c r="F3540" s="1" t="s">
        <v>197</v>
      </c>
      <c r="G3540" s="1">
        <v>52</v>
      </c>
      <c r="H3540" s="1" t="s">
        <v>197</v>
      </c>
    </row>
    <row r="3541" spans="1:8">
      <c r="A3541">
        <v>404</v>
      </c>
      <c r="B3541" t="s">
        <v>641</v>
      </c>
    </row>
    <row r="3542" spans="1:8">
      <c r="A3542">
        <v>990</v>
      </c>
      <c r="B3542" t="s">
        <v>642</v>
      </c>
      <c r="C3542">
        <v>2</v>
      </c>
      <c r="D3542" t="s">
        <v>181</v>
      </c>
      <c r="E3542" s="1">
        <v>1</v>
      </c>
      <c r="F3542" s="1">
        <v>5</v>
      </c>
      <c r="G3542" s="1">
        <v>70</v>
      </c>
      <c r="H3542" s="1">
        <v>5</v>
      </c>
    </row>
    <row r="3543" spans="1:8">
      <c r="A3543">
        <v>990</v>
      </c>
      <c r="B3543" t="s">
        <v>642</v>
      </c>
      <c r="C3543">
        <v>2</v>
      </c>
      <c r="D3543" t="s">
        <v>181</v>
      </c>
      <c r="E3543" s="1">
        <v>1</v>
      </c>
      <c r="F3543" s="1">
        <v>7</v>
      </c>
      <c r="G3543" s="1">
        <v>92</v>
      </c>
      <c r="H3543" s="1">
        <v>7</v>
      </c>
    </row>
    <row r="3544" spans="1:8">
      <c r="A3544">
        <v>990</v>
      </c>
      <c r="B3544" t="s">
        <v>642</v>
      </c>
      <c r="C3544">
        <v>2</v>
      </c>
      <c r="D3544" t="s">
        <v>181</v>
      </c>
      <c r="E3544" s="1">
        <v>1</v>
      </c>
      <c r="F3544" s="1">
        <v>8</v>
      </c>
      <c r="G3544" s="1">
        <v>94</v>
      </c>
      <c r="H3544" s="1">
        <v>8</v>
      </c>
    </row>
    <row r="3545" spans="1:8">
      <c r="A3545">
        <v>990</v>
      </c>
      <c r="B3545" t="s">
        <v>642</v>
      </c>
      <c r="C3545">
        <v>2</v>
      </c>
      <c r="D3545" t="s">
        <v>181</v>
      </c>
      <c r="E3545" s="1">
        <v>1</v>
      </c>
      <c r="F3545" s="1" t="s">
        <v>333</v>
      </c>
      <c r="G3545" s="1">
        <v>96</v>
      </c>
      <c r="H3545" s="1" t="s">
        <v>333</v>
      </c>
    </row>
    <row r="3546" spans="1:8">
      <c r="A3546">
        <v>990</v>
      </c>
      <c r="B3546" t="s">
        <v>642</v>
      </c>
      <c r="C3546">
        <v>2</v>
      </c>
      <c r="D3546" t="s">
        <v>181</v>
      </c>
      <c r="E3546" s="1">
        <v>2</v>
      </c>
      <c r="F3546" s="1">
        <v>9</v>
      </c>
      <c r="G3546" s="1">
        <v>2</v>
      </c>
      <c r="H3546" s="1">
        <v>9</v>
      </c>
    </row>
    <row r="3547" spans="1:8">
      <c r="A3547">
        <v>990</v>
      </c>
      <c r="B3547" t="s">
        <v>642</v>
      </c>
      <c r="C3547">
        <v>2</v>
      </c>
      <c r="D3547" t="s">
        <v>181</v>
      </c>
      <c r="E3547" s="1">
        <v>2</v>
      </c>
      <c r="F3547" s="1">
        <v>10</v>
      </c>
      <c r="G3547" s="1">
        <v>10</v>
      </c>
      <c r="H3547" s="1">
        <v>10</v>
      </c>
    </row>
    <row r="3548" spans="1:8">
      <c r="A3548">
        <v>990</v>
      </c>
      <c r="B3548" t="s">
        <v>642</v>
      </c>
      <c r="C3548">
        <v>2</v>
      </c>
      <c r="D3548" t="s">
        <v>181</v>
      </c>
      <c r="E3548" s="1">
        <v>2</v>
      </c>
      <c r="F3548" s="1">
        <v>10</v>
      </c>
      <c r="G3548" s="1">
        <v>12</v>
      </c>
      <c r="H3548" s="1">
        <v>10</v>
      </c>
    </row>
    <row r="3549" spans="1:8">
      <c r="A3549">
        <v>990</v>
      </c>
      <c r="B3549" t="s">
        <v>642</v>
      </c>
      <c r="C3549">
        <v>2</v>
      </c>
      <c r="D3549" t="s">
        <v>181</v>
      </c>
      <c r="E3549" s="1">
        <v>2</v>
      </c>
      <c r="F3549" s="1">
        <v>11</v>
      </c>
      <c r="G3549" s="1">
        <v>20</v>
      </c>
      <c r="H3549" s="1">
        <v>11</v>
      </c>
    </row>
    <row r="3550" spans="1:8">
      <c r="A3550">
        <v>990</v>
      </c>
      <c r="B3550" t="s">
        <v>642</v>
      </c>
      <c r="C3550">
        <v>2</v>
      </c>
      <c r="D3550" t="s">
        <v>181</v>
      </c>
      <c r="E3550" s="1">
        <v>2</v>
      </c>
      <c r="F3550" s="1" t="s">
        <v>389</v>
      </c>
      <c r="G3550" s="1">
        <v>22</v>
      </c>
      <c r="H3550" s="1" t="s">
        <v>389</v>
      </c>
    </row>
    <row r="3551" spans="1:8">
      <c r="A3551">
        <v>990</v>
      </c>
      <c r="B3551" t="s">
        <v>642</v>
      </c>
      <c r="C3551">
        <v>2</v>
      </c>
      <c r="D3551" t="s">
        <v>181</v>
      </c>
      <c r="E3551" s="1">
        <v>2</v>
      </c>
      <c r="F3551" s="1">
        <v>12</v>
      </c>
      <c r="G3551" s="1">
        <v>30</v>
      </c>
      <c r="H3551" s="1">
        <v>12</v>
      </c>
    </row>
    <row r="3552" spans="1:8">
      <c r="A3552">
        <v>990</v>
      </c>
      <c r="B3552" t="s">
        <v>642</v>
      </c>
      <c r="C3552">
        <v>2</v>
      </c>
      <c r="D3552" t="s">
        <v>181</v>
      </c>
      <c r="E3552" s="1">
        <v>2</v>
      </c>
      <c r="F3552" s="1">
        <v>12</v>
      </c>
      <c r="G3552" s="1">
        <v>32</v>
      </c>
      <c r="H3552" s="1">
        <v>12</v>
      </c>
    </row>
    <row r="3553" spans="1:8">
      <c r="A3553">
        <v>990</v>
      </c>
      <c r="B3553" t="s">
        <v>642</v>
      </c>
      <c r="C3553">
        <v>2</v>
      </c>
      <c r="D3553" t="s">
        <v>181</v>
      </c>
      <c r="E3553" s="1">
        <v>2</v>
      </c>
      <c r="F3553" s="1">
        <v>13</v>
      </c>
      <c r="G3553" s="1">
        <v>40</v>
      </c>
      <c r="H3553" s="1">
        <v>13</v>
      </c>
    </row>
    <row r="3554" spans="1:8">
      <c r="A3554">
        <v>990</v>
      </c>
      <c r="B3554" t="s">
        <v>642</v>
      </c>
      <c r="C3554">
        <v>2</v>
      </c>
      <c r="D3554" t="s">
        <v>181</v>
      </c>
      <c r="E3554" s="1">
        <v>2</v>
      </c>
      <c r="F3554" s="1">
        <v>13</v>
      </c>
      <c r="G3554" s="1">
        <v>42</v>
      </c>
      <c r="H3554" s="1">
        <v>13</v>
      </c>
    </row>
    <row r="3555" spans="1:8">
      <c r="A3555">
        <v>990</v>
      </c>
      <c r="B3555" t="s">
        <v>642</v>
      </c>
      <c r="C3555">
        <v>2</v>
      </c>
      <c r="D3555" t="s">
        <v>181</v>
      </c>
      <c r="E3555" s="1">
        <v>2</v>
      </c>
      <c r="F3555" s="1" t="s">
        <v>147</v>
      </c>
      <c r="G3555" s="1">
        <v>52</v>
      </c>
      <c r="H3555" s="1" t="s">
        <v>147</v>
      </c>
    </row>
    <row r="3556" spans="1:8">
      <c r="A3556">
        <v>990</v>
      </c>
      <c r="B3556" t="s">
        <v>642</v>
      </c>
      <c r="C3556">
        <v>2</v>
      </c>
      <c r="D3556" t="s">
        <v>181</v>
      </c>
      <c r="E3556" s="1">
        <v>2</v>
      </c>
      <c r="F3556" s="1">
        <v>16</v>
      </c>
      <c r="G3556" s="1">
        <v>70</v>
      </c>
      <c r="H3556" s="1">
        <v>16</v>
      </c>
    </row>
    <row r="3557" spans="1:8">
      <c r="A3557">
        <v>990</v>
      </c>
      <c r="B3557" t="s">
        <v>642</v>
      </c>
      <c r="C3557">
        <v>2</v>
      </c>
      <c r="D3557" t="s">
        <v>181</v>
      </c>
      <c r="E3557" s="1">
        <v>2</v>
      </c>
      <c r="F3557" s="1">
        <v>9</v>
      </c>
      <c r="H3557" s="1">
        <v>9</v>
      </c>
    </row>
    <row r="3558" spans="1:8">
      <c r="A3558">
        <v>990</v>
      </c>
      <c r="B3558" t="s">
        <v>642</v>
      </c>
      <c r="C3558">
        <v>11</v>
      </c>
      <c r="D3558" t="s">
        <v>186</v>
      </c>
      <c r="E3558" s="1">
        <v>1</v>
      </c>
      <c r="F3558" s="1" t="s">
        <v>193</v>
      </c>
      <c r="G3558" s="1">
        <v>12</v>
      </c>
      <c r="H3558" s="1" t="s">
        <v>193</v>
      </c>
    </row>
    <row r="3559" spans="1:8">
      <c r="A3559">
        <v>990</v>
      </c>
      <c r="B3559" t="s">
        <v>642</v>
      </c>
      <c r="C3559">
        <v>11</v>
      </c>
      <c r="D3559" t="s">
        <v>186</v>
      </c>
      <c r="E3559" s="1">
        <v>1</v>
      </c>
      <c r="F3559" s="1" t="s">
        <v>195</v>
      </c>
      <c r="G3559" s="1">
        <v>32</v>
      </c>
      <c r="H3559" s="1" t="s">
        <v>195</v>
      </c>
    </row>
    <row r="3560" spans="1:8">
      <c r="A3560">
        <v>990</v>
      </c>
      <c r="B3560" t="s">
        <v>642</v>
      </c>
      <c r="C3560">
        <v>11</v>
      </c>
      <c r="D3560" t="s">
        <v>186</v>
      </c>
      <c r="E3560" s="1">
        <v>1</v>
      </c>
      <c r="F3560" s="1">
        <v>45</v>
      </c>
      <c r="G3560" s="1">
        <v>60</v>
      </c>
      <c r="H3560" s="1">
        <v>45</v>
      </c>
    </row>
    <row r="3561" spans="1:8">
      <c r="A3561">
        <v>990</v>
      </c>
      <c r="B3561" t="s">
        <v>642</v>
      </c>
      <c r="C3561">
        <v>24</v>
      </c>
      <c r="D3561" t="s">
        <v>208</v>
      </c>
      <c r="G3561" s="1">
        <v>60</v>
      </c>
    </row>
    <row r="3562" spans="1:8">
      <c r="A3562">
        <v>990</v>
      </c>
      <c r="B3562" t="s">
        <v>642</v>
      </c>
      <c r="C3562">
        <v>24</v>
      </c>
      <c r="D3562" t="s">
        <v>208</v>
      </c>
      <c r="G3562" s="1">
        <v>80</v>
      </c>
    </row>
    <row r="3563" spans="1:8">
      <c r="A3563">
        <v>990</v>
      </c>
      <c r="B3563" t="s">
        <v>642</v>
      </c>
      <c r="C3563">
        <v>24</v>
      </c>
      <c r="D3563" t="s">
        <v>208</v>
      </c>
      <c r="G3563" s="1">
        <v>90</v>
      </c>
    </row>
    <row r="3564" spans="1:8">
      <c r="A3564">
        <v>990</v>
      </c>
      <c r="B3564" t="s">
        <v>642</v>
      </c>
      <c r="C3564">
        <v>33</v>
      </c>
      <c r="D3564" t="s">
        <v>213</v>
      </c>
      <c r="G3564" s="1">
        <v>70</v>
      </c>
    </row>
    <row r="3565" spans="1:8">
      <c r="A3565">
        <v>990</v>
      </c>
      <c r="B3565" t="s">
        <v>642</v>
      </c>
      <c r="C3565">
        <v>39</v>
      </c>
      <c r="D3565" t="s">
        <v>218</v>
      </c>
      <c r="E3565" s="1">
        <v>1</v>
      </c>
      <c r="F3565" s="1" t="s">
        <v>432</v>
      </c>
      <c r="G3565" s="1">
        <v>80</v>
      </c>
      <c r="H3565" s="1" t="s">
        <v>432</v>
      </c>
    </row>
    <row r="3566" spans="1:8">
      <c r="A3566">
        <v>990</v>
      </c>
      <c r="B3566" t="s">
        <v>642</v>
      </c>
      <c r="C3566">
        <v>41</v>
      </c>
      <c r="D3566" t="s">
        <v>219</v>
      </c>
      <c r="E3566" s="1">
        <v>1</v>
      </c>
      <c r="F3566" s="1" t="s">
        <v>442</v>
      </c>
      <c r="G3566" s="1">
        <v>10</v>
      </c>
      <c r="H3566" s="1" t="s">
        <v>442</v>
      </c>
    </row>
    <row r="3567" spans="1:8">
      <c r="A3567">
        <v>990</v>
      </c>
      <c r="B3567" t="s">
        <v>642</v>
      </c>
      <c r="C3567">
        <v>41</v>
      </c>
      <c r="D3567" t="s">
        <v>219</v>
      </c>
      <c r="E3567" s="1">
        <v>1</v>
      </c>
      <c r="F3567" s="1" t="s">
        <v>443</v>
      </c>
      <c r="H3567" s="1" t="s">
        <v>443</v>
      </c>
    </row>
    <row r="3568" spans="1:8">
      <c r="A3568">
        <v>990</v>
      </c>
      <c r="B3568" t="s">
        <v>642</v>
      </c>
      <c r="C3568">
        <v>41</v>
      </c>
      <c r="D3568" t="s">
        <v>219</v>
      </c>
      <c r="G3568" s="1">
        <v>30</v>
      </c>
    </row>
    <row r="3569" spans="1:8">
      <c r="A3569">
        <v>990</v>
      </c>
      <c r="B3569" t="s">
        <v>642</v>
      </c>
      <c r="C3569">
        <v>41</v>
      </c>
      <c r="D3569" t="s">
        <v>219</v>
      </c>
      <c r="G3569" s="1">
        <v>70</v>
      </c>
    </row>
    <row r="3570" spans="1:8">
      <c r="A3570">
        <v>990</v>
      </c>
      <c r="B3570" t="s">
        <v>642</v>
      </c>
      <c r="C3570">
        <v>41</v>
      </c>
      <c r="D3570" t="s">
        <v>219</v>
      </c>
      <c r="G3570" s="1">
        <v>90</v>
      </c>
    </row>
    <row r="3571" spans="1:8">
      <c r="A3571">
        <v>990</v>
      </c>
      <c r="B3571" t="s">
        <v>642</v>
      </c>
      <c r="C3571">
        <v>41</v>
      </c>
      <c r="D3571" t="s">
        <v>219</v>
      </c>
      <c r="G3571" s="1">
        <v>91</v>
      </c>
    </row>
    <row r="3572" spans="1:8">
      <c r="A3572">
        <v>990</v>
      </c>
      <c r="B3572" t="s">
        <v>642</v>
      </c>
      <c r="C3572">
        <v>44</v>
      </c>
      <c r="D3572" t="s">
        <v>222</v>
      </c>
      <c r="E3572" s="1">
        <v>4</v>
      </c>
      <c r="F3572" s="1" t="s">
        <v>643</v>
      </c>
      <c r="G3572" s="1">
        <v>44</v>
      </c>
      <c r="H3572" s="1" t="s">
        <v>643</v>
      </c>
    </row>
    <row r="3573" spans="1:8">
      <c r="A3573">
        <v>990</v>
      </c>
      <c r="B3573" t="s">
        <v>642</v>
      </c>
      <c r="C3573">
        <v>44</v>
      </c>
      <c r="D3573" t="s">
        <v>222</v>
      </c>
      <c r="E3573" s="1">
        <v>5</v>
      </c>
      <c r="F3573" s="1" t="s">
        <v>644</v>
      </c>
      <c r="H3573" s="1" t="s">
        <v>644</v>
      </c>
    </row>
    <row r="3574" spans="1:8">
      <c r="A3574">
        <v>990</v>
      </c>
      <c r="B3574" t="s">
        <v>642</v>
      </c>
      <c r="C3574">
        <v>44</v>
      </c>
      <c r="D3574" t="s">
        <v>222</v>
      </c>
      <c r="G3574" s="1">
        <v>30</v>
      </c>
    </row>
    <row r="3575" spans="1:8">
      <c r="A3575">
        <v>990</v>
      </c>
      <c r="B3575" t="s">
        <v>642</v>
      </c>
      <c r="C3575">
        <v>45</v>
      </c>
      <c r="D3575" t="s">
        <v>223</v>
      </c>
      <c r="E3575" s="1">
        <v>1</v>
      </c>
      <c r="F3575" s="1" t="s">
        <v>336</v>
      </c>
      <c r="G3575" s="1">
        <v>1</v>
      </c>
      <c r="H3575" s="1" t="s">
        <v>645</v>
      </c>
    </row>
    <row r="3576" spans="1:8">
      <c r="A3576">
        <v>990</v>
      </c>
      <c r="B3576" t="s">
        <v>642</v>
      </c>
      <c r="C3576">
        <v>45</v>
      </c>
      <c r="D3576" t="s">
        <v>223</v>
      </c>
      <c r="E3576" s="1">
        <v>1</v>
      </c>
      <c r="F3576" s="1" t="s">
        <v>324</v>
      </c>
      <c r="G3576" s="1">
        <v>14</v>
      </c>
      <c r="H3576" s="1" t="s">
        <v>325</v>
      </c>
    </row>
    <row r="3577" spans="1:8">
      <c r="A3577">
        <v>990</v>
      </c>
      <c r="B3577" t="s">
        <v>642</v>
      </c>
      <c r="C3577">
        <v>45</v>
      </c>
      <c r="D3577" t="s">
        <v>223</v>
      </c>
      <c r="E3577" s="1">
        <v>1</v>
      </c>
      <c r="F3577" s="1" t="s">
        <v>646</v>
      </c>
      <c r="G3577" s="1">
        <v>74</v>
      </c>
      <c r="H3577" s="1" t="s">
        <v>647</v>
      </c>
    </row>
    <row r="3578" spans="1:8">
      <c r="A3578">
        <v>990</v>
      </c>
      <c r="B3578" t="s">
        <v>642</v>
      </c>
      <c r="C3578">
        <v>45</v>
      </c>
      <c r="D3578" t="s">
        <v>223</v>
      </c>
      <c r="E3578" s="1">
        <v>2</v>
      </c>
      <c r="F3578" s="1" t="s">
        <v>524</v>
      </c>
      <c r="G3578" s="1">
        <v>24</v>
      </c>
      <c r="H3578" s="1" t="s">
        <v>524</v>
      </c>
    </row>
    <row r="3579" spans="1:8">
      <c r="A3579">
        <v>990</v>
      </c>
      <c r="B3579" t="s">
        <v>642</v>
      </c>
      <c r="C3579">
        <v>55</v>
      </c>
      <c r="D3579" t="s">
        <v>648</v>
      </c>
      <c r="G3579" s="1">
        <v>12</v>
      </c>
    </row>
    <row r="3580" spans="1:8">
      <c r="A3580">
        <v>990</v>
      </c>
      <c r="B3580" t="s">
        <v>642</v>
      </c>
      <c r="C3580">
        <v>86</v>
      </c>
      <c r="D3580" t="s">
        <v>243</v>
      </c>
      <c r="E3580" s="1">
        <v>4</v>
      </c>
      <c r="F3580" s="1" t="s">
        <v>643</v>
      </c>
      <c r="G3580" s="1">
        <v>1</v>
      </c>
      <c r="H3580" s="1" t="s">
        <v>643</v>
      </c>
    </row>
    <row r="3581" spans="1:8">
      <c r="A3581">
        <v>995</v>
      </c>
      <c r="B3581" t="s">
        <v>649</v>
      </c>
      <c r="C3581">
        <v>1</v>
      </c>
      <c r="D3581" t="s">
        <v>137</v>
      </c>
      <c r="E3581" s="1">
        <v>1</v>
      </c>
      <c r="F3581" s="1">
        <v>14</v>
      </c>
      <c r="G3581" s="1">
        <v>70</v>
      </c>
      <c r="H3581" s="1">
        <v>14</v>
      </c>
    </row>
    <row r="3582" spans="1:8">
      <c r="A3582">
        <v>995</v>
      </c>
      <c r="B3582" t="s">
        <v>649</v>
      </c>
      <c r="C3582">
        <v>1</v>
      </c>
      <c r="D3582" t="s">
        <v>137</v>
      </c>
      <c r="E3582" s="1">
        <v>1</v>
      </c>
      <c r="F3582" s="1">
        <v>15</v>
      </c>
      <c r="G3582" s="1">
        <v>80</v>
      </c>
      <c r="H3582" s="1">
        <v>15</v>
      </c>
    </row>
    <row r="3583" spans="1:8">
      <c r="A3583">
        <v>995</v>
      </c>
      <c r="B3583" t="s">
        <v>649</v>
      </c>
      <c r="C3583">
        <v>1</v>
      </c>
      <c r="D3583" t="s">
        <v>137</v>
      </c>
      <c r="E3583" s="1">
        <v>1</v>
      </c>
      <c r="F3583" s="1" t="s">
        <v>150</v>
      </c>
      <c r="G3583" s="1">
        <v>82</v>
      </c>
      <c r="H3583" s="1" t="s">
        <v>150</v>
      </c>
    </row>
    <row r="3584" spans="1:8">
      <c r="A3584">
        <v>995</v>
      </c>
      <c r="B3584" t="s">
        <v>649</v>
      </c>
      <c r="C3584">
        <v>1</v>
      </c>
      <c r="D3584" t="s">
        <v>137</v>
      </c>
      <c r="E3584" s="1">
        <v>1</v>
      </c>
      <c r="F3584" s="1">
        <v>16</v>
      </c>
      <c r="G3584" s="1">
        <v>90</v>
      </c>
      <c r="H3584" s="1">
        <v>16</v>
      </c>
    </row>
    <row r="3585" spans="1:8">
      <c r="A3585">
        <v>995</v>
      </c>
      <c r="B3585" t="s">
        <v>649</v>
      </c>
      <c r="C3585">
        <v>1</v>
      </c>
      <c r="D3585" t="s">
        <v>137</v>
      </c>
      <c r="E3585" s="1">
        <v>1</v>
      </c>
      <c r="F3585" s="1" t="s">
        <v>153</v>
      </c>
      <c r="G3585" s="1">
        <v>92</v>
      </c>
      <c r="H3585" s="1" t="s">
        <v>153</v>
      </c>
    </row>
    <row r="3586" spans="1:8">
      <c r="A3586">
        <v>995</v>
      </c>
      <c r="B3586" t="s">
        <v>649</v>
      </c>
      <c r="C3586">
        <v>1</v>
      </c>
      <c r="D3586" t="s">
        <v>137</v>
      </c>
      <c r="E3586" s="1">
        <v>1</v>
      </c>
      <c r="F3586" s="1">
        <v>17</v>
      </c>
      <c r="G3586" s="1">
        <v>94</v>
      </c>
      <c r="H3586" s="1">
        <v>17</v>
      </c>
    </row>
    <row r="3587" spans="1:8">
      <c r="A3587">
        <v>995</v>
      </c>
      <c r="B3587" t="s">
        <v>649</v>
      </c>
      <c r="C3587">
        <v>1</v>
      </c>
      <c r="D3587" t="s">
        <v>137</v>
      </c>
      <c r="E3587" s="1">
        <v>1</v>
      </c>
      <c r="F3587" s="1" t="s">
        <v>156</v>
      </c>
      <c r="G3587" s="1">
        <v>96</v>
      </c>
      <c r="H3587" s="1" t="s">
        <v>156</v>
      </c>
    </row>
    <row r="3588" spans="1:8">
      <c r="A3588">
        <v>995</v>
      </c>
      <c r="B3588" t="s">
        <v>649</v>
      </c>
      <c r="C3588">
        <v>1</v>
      </c>
      <c r="D3588" t="s">
        <v>137</v>
      </c>
      <c r="E3588" s="1">
        <v>2</v>
      </c>
      <c r="F3588" s="1" t="s">
        <v>159</v>
      </c>
      <c r="G3588" s="1">
        <v>2</v>
      </c>
      <c r="H3588" s="1" t="s">
        <v>159</v>
      </c>
    </row>
    <row r="3589" spans="1:8">
      <c r="A3589">
        <v>995</v>
      </c>
      <c r="B3589" t="s">
        <v>649</v>
      </c>
      <c r="C3589">
        <v>1</v>
      </c>
      <c r="D3589" t="s">
        <v>137</v>
      </c>
      <c r="E3589" s="1">
        <v>2</v>
      </c>
      <c r="F3589" s="1">
        <v>19</v>
      </c>
      <c r="G3589" s="1">
        <v>10</v>
      </c>
      <c r="H3589" s="1">
        <v>19</v>
      </c>
    </row>
    <row r="3590" spans="1:8">
      <c r="A3590">
        <v>995</v>
      </c>
      <c r="B3590" t="s">
        <v>649</v>
      </c>
      <c r="C3590">
        <v>1</v>
      </c>
      <c r="D3590" t="s">
        <v>137</v>
      </c>
      <c r="E3590" s="1">
        <v>2</v>
      </c>
      <c r="F3590" s="1" t="s">
        <v>162</v>
      </c>
      <c r="G3590" s="1">
        <v>12</v>
      </c>
      <c r="H3590" s="1" t="s">
        <v>162</v>
      </c>
    </row>
    <row r="3591" spans="1:8">
      <c r="A3591">
        <v>995</v>
      </c>
      <c r="B3591" t="s">
        <v>649</v>
      </c>
      <c r="C3591">
        <v>1</v>
      </c>
      <c r="D3591" t="s">
        <v>137</v>
      </c>
      <c r="E3591" s="1">
        <v>2</v>
      </c>
      <c r="F3591" s="1">
        <v>20</v>
      </c>
      <c r="G3591" s="1">
        <v>20</v>
      </c>
      <c r="H3591" s="1">
        <v>20</v>
      </c>
    </row>
    <row r="3592" spans="1:8">
      <c r="A3592">
        <v>995</v>
      </c>
      <c r="B3592" t="s">
        <v>649</v>
      </c>
      <c r="C3592">
        <v>1</v>
      </c>
      <c r="D3592" t="s">
        <v>137</v>
      </c>
      <c r="E3592" s="1">
        <v>2</v>
      </c>
      <c r="F3592" s="1" t="s">
        <v>165</v>
      </c>
      <c r="G3592" s="1">
        <v>22</v>
      </c>
      <c r="H3592" s="1" t="s">
        <v>165</v>
      </c>
    </row>
    <row r="3593" spans="1:8">
      <c r="A3593">
        <v>995</v>
      </c>
      <c r="B3593" t="s">
        <v>649</v>
      </c>
      <c r="C3593">
        <v>1</v>
      </c>
      <c r="D3593" t="s">
        <v>137</v>
      </c>
      <c r="E3593" s="1">
        <v>2</v>
      </c>
      <c r="F3593" s="1">
        <v>21</v>
      </c>
      <c r="G3593" s="1">
        <v>30</v>
      </c>
      <c r="H3593" s="1">
        <v>21</v>
      </c>
    </row>
    <row r="3594" spans="1:8">
      <c r="A3594">
        <v>995</v>
      </c>
      <c r="B3594" t="s">
        <v>649</v>
      </c>
      <c r="C3594">
        <v>1</v>
      </c>
      <c r="D3594" t="s">
        <v>137</v>
      </c>
      <c r="E3594" s="1">
        <v>2</v>
      </c>
      <c r="F3594" s="1" t="s">
        <v>168</v>
      </c>
      <c r="G3594" s="1">
        <v>32</v>
      </c>
      <c r="H3594" s="1" t="s">
        <v>168</v>
      </c>
    </row>
    <row r="3595" spans="1:8">
      <c r="A3595">
        <v>995</v>
      </c>
      <c r="B3595" t="s">
        <v>649</v>
      </c>
      <c r="C3595">
        <v>1</v>
      </c>
      <c r="D3595" t="s">
        <v>137</v>
      </c>
      <c r="E3595" s="1">
        <v>2</v>
      </c>
      <c r="F3595" s="1">
        <v>18</v>
      </c>
      <c r="H3595" s="1">
        <v>18</v>
      </c>
    </row>
    <row r="3596" spans="1:8">
      <c r="A3596">
        <v>995</v>
      </c>
      <c r="B3596" t="s">
        <v>649</v>
      </c>
      <c r="C3596">
        <v>11</v>
      </c>
      <c r="D3596" t="s">
        <v>186</v>
      </c>
      <c r="E3596" s="1">
        <v>1</v>
      </c>
      <c r="F3596" s="1">
        <v>40</v>
      </c>
      <c r="G3596" s="1">
        <v>10</v>
      </c>
      <c r="H3596" s="1">
        <v>40</v>
      </c>
    </row>
    <row r="3597" spans="1:8">
      <c r="A3597">
        <v>995</v>
      </c>
      <c r="B3597" t="s">
        <v>649</v>
      </c>
      <c r="C3597">
        <v>11</v>
      </c>
      <c r="D3597" t="s">
        <v>186</v>
      </c>
      <c r="E3597" s="1">
        <v>1</v>
      </c>
      <c r="F3597" s="1" t="s">
        <v>193</v>
      </c>
      <c r="G3597" s="1">
        <v>12</v>
      </c>
      <c r="H3597" s="1" t="s">
        <v>193</v>
      </c>
    </row>
    <row r="3598" spans="1:8">
      <c r="A3598">
        <v>995</v>
      </c>
      <c r="B3598" t="s">
        <v>649</v>
      </c>
      <c r="C3598">
        <v>11</v>
      </c>
      <c r="D3598" t="s">
        <v>186</v>
      </c>
      <c r="E3598" s="1">
        <v>1</v>
      </c>
      <c r="F3598" s="1">
        <v>41</v>
      </c>
      <c r="G3598" s="1">
        <v>20</v>
      </c>
      <c r="H3598" s="1">
        <v>41</v>
      </c>
    </row>
    <row r="3599" spans="1:8">
      <c r="A3599">
        <v>995</v>
      </c>
      <c r="B3599" t="s">
        <v>649</v>
      </c>
      <c r="C3599">
        <v>11</v>
      </c>
      <c r="D3599" t="s">
        <v>186</v>
      </c>
      <c r="E3599" s="1">
        <v>1</v>
      </c>
      <c r="F3599" s="1" t="s">
        <v>194</v>
      </c>
      <c r="G3599" s="1">
        <v>22</v>
      </c>
      <c r="H3599" s="1" t="s">
        <v>194</v>
      </c>
    </row>
    <row r="3600" spans="1:8">
      <c r="A3600">
        <v>995</v>
      </c>
      <c r="B3600" t="s">
        <v>649</v>
      </c>
      <c r="C3600">
        <v>11</v>
      </c>
      <c r="D3600" t="s">
        <v>186</v>
      </c>
      <c r="E3600" s="1">
        <v>1</v>
      </c>
      <c r="F3600" s="1">
        <v>42</v>
      </c>
      <c r="G3600" s="1">
        <v>30</v>
      </c>
      <c r="H3600" s="1">
        <v>42</v>
      </c>
    </row>
    <row r="3601" spans="1:8">
      <c r="A3601">
        <v>995</v>
      </c>
      <c r="B3601" t="s">
        <v>649</v>
      </c>
      <c r="C3601">
        <v>11</v>
      </c>
      <c r="D3601" t="s">
        <v>186</v>
      </c>
      <c r="E3601" s="1">
        <v>1</v>
      </c>
      <c r="F3601" s="1" t="s">
        <v>195</v>
      </c>
      <c r="G3601" s="1">
        <v>32</v>
      </c>
      <c r="H3601" s="1" t="s">
        <v>195</v>
      </c>
    </row>
    <row r="3602" spans="1:8">
      <c r="A3602">
        <v>995</v>
      </c>
      <c r="B3602" t="s">
        <v>649</v>
      </c>
      <c r="C3602">
        <v>11</v>
      </c>
      <c r="D3602" t="s">
        <v>186</v>
      </c>
      <c r="E3602" s="1">
        <v>1</v>
      </c>
      <c r="F3602" s="1">
        <v>43</v>
      </c>
      <c r="G3602" s="1">
        <v>40</v>
      </c>
      <c r="H3602" s="1">
        <v>43</v>
      </c>
    </row>
    <row r="3603" spans="1:8">
      <c r="A3603">
        <v>995</v>
      </c>
      <c r="B3603" t="s">
        <v>649</v>
      </c>
      <c r="C3603">
        <v>11</v>
      </c>
      <c r="D3603" t="s">
        <v>186</v>
      </c>
      <c r="E3603" s="1">
        <v>1</v>
      </c>
      <c r="F3603" s="1">
        <v>44</v>
      </c>
      <c r="G3603" s="1">
        <v>50</v>
      </c>
      <c r="H3603" s="1">
        <v>44</v>
      </c>
    </row>
    <row r="3604" spans="1:8">
      <c r="A3604">
        <v>995</v>
      </c>
      <c r="B3604" t="s">
        <v>649</v>
      </c>
      <c r="C3604">
        <v>12</v>
      </c>
      <c r="D3604" t="s">
        <v>107</v>
      </c>
      <c r="E3604" s="1">
        <v>1</v>
      </c>
      <c r="F3604" s="1">
        <v>40</v>
      </c>
      <c r="G3604" s="1">
        <v>10</v>
      </c>
      <c r="H3604" s="1">
        <v>40</v>
      </c>
    </row>
    <row r="3605" spans="1:8">
      <c r="A3605">
        <v>995</v>
      </c>
      <c r="B3605" t="s">
        <v>649</v>
      </c>
      <c r="C3605">
        <v>12</v>
      </c>
      <c r="D3605" t="s">
        <v>107</v>
      </c>
      <c r="E3605" s="1">
        <v>1</v>
      </c>
      <c r="F3605" s="1" t="s">
        <v>193</v>
      </c>
      <c r="G3605" s="1">
        <v>12</v>
      </c>
      <c r="H3605" s="1" t="s">
        <v>193</v>
      </c>
    </row>
    <row r="3606" spans="1:8">
      <c r="A3606">
        <v>995</v>
      </c>
      <c r="B3606" t="s">
        <v>649</v>
      </c>
      <c r="C3606">
        <v>12</v>
      </c>
      <c r="D3606" t="s">
        <v>107</v>
      </c>
      <c r="E3606" s="1">
        <v>1</v>
      </c>
      <c r="F3606" s="1">
        <v>41</v>
      </c>
      <c r="G3606" s="1">
        <v>20</v>
      </c>
      <c r="H3606" s="1">
        <v>41</v>
      </c>
    </row>
    <row r="3607" spans="1:8">
      <c r="A3607">
        <v>995</v>
      </c>
      <c r="B3607" t="s">
        <v>649</v>
      </c>
      <c r="C3607">
        <v>12</v>
      </c>
      <c r="D3607" t="s">
        <v>107</v>
      </c>
      <c r="E3607" s="1">
        <v>1</v>
      </c>
      <c r="F3607" s="1" t="s">
        <v>194</v>
      </c>
      <c r="G3607" s="1">
        <v>22</v>
      </c>
      <c r="H3607" s="1" t="s">
        <v>194</v>
      </c>
    </row>
    <row r="3608" spans="1:8">
      <c r="A3608">
        <v>995</v>
      </c>
      <c r="B3608" t="s">
        <v>649</v>
      </c>
      <c r="C3608">
        <v>12</v>
      </c>
      <c r="D3608" t="s">
        <v>107</v>
      </c>
      <c r="E3608" s="1">
        <v>1</v>
      </c>
      <c r="F3608" s="1">
        <v>42</v>
      </c>
      <c r="G3608" s="1">
        <v>30</v>
      </c>
      <c r="H3608" s="1">
        <v>42</v>
      </c>
    </row>
    <row r="3609" spans="1:8">
      <c r="A3609">
        <v>995</v>
      </c>
      <c r="B3609" t="s">
        <v>649</v>
      </c>
      <c r="C3609">
        <v>12</v>
      </c>
      <c r="D3609" t="s">
        <v>107</v>
      </c>
      <c r="E3609" s="1">
        <v>1</v>
      </c>
      <c r="F3609" s="1" t="s">
        <v>195</v>
      </c>
      <c r="G3609" s="1">
        <v>32</v>
      </c>
      <c r="H3609" s="1" t="s">
        <v>195</v>
      </c>
    </row>
    <row r="3610" spans="1:8">
      <c r="A3610">
        <v>995</v>
      </c>
      <c r="B3610" t="s">
        <v>649</v>
      </c>
      <c r="C3610">
        <v>12</v>
      </c>
      <c r="D3610" t="s">
        <v>107</v>
      </c>
      <c r="E3610" s="1">
        <v>1</v>
      </c>
      <c r="F3610" s="1">
        <v>43</v>
      </c>
      <c r="G3610" s="1">
        <v>40</v>
      </c>
      <c r="H3610" s="1">
        <v>43</v>
      </c>
    </row>
    <row r="3611" spans="1:8">
      <c r="A3611">
        <v>995</v>
      </c>
      <c r="B3611" t="s">
        <v>649</v>
      </c>
      <c r="C3611">
        <v>12</v>
      </c>
      <c r="D3611" t="s">
        <v>107</v>
      </c>
      <c r="E3611" s="1">
        <v>1</v>
      </c>
      <c r="F3611" s="1" t="s">
        <v>196</v>
      </c>
      <c r="G3611" s="1">
        <v>42</v>
      </c>
      <c r="H3611" s="1" t="s">
        <v>196</v>
      </c>
    </row>
    <row r="3612" spans="1:8">
      <c r="A3612">
        <v>995</v>
      </c>
      <c r="B3612" t="s">
        <v>649</v>
      </c>
      <c r="C3612">
        <v>12</v>
      </c>
      <c r="D3612" t="s">
        <v>107</v>
      </c>
      <c r="E3612" s="1">
        <v>1</v>
      </c>
      <c r="F3612" s="1">
        <v>44</v>
      </c>
      <c r="G3612" s="1">
        <v>50</v>
      </c>
      <c r="H3612" s="1">
        <v>44</v>
      </c>
    </row>
    <row r="3613" spans="1:8">
      <c r="A3613">
        <v>995</v>
      </c>
      <c r="B3613" t="s">
        <v>649</v>
      </c>
      <c r="C3613">
        <v>12</v>
      </c>
      <c r="D3613" t="s">
        <v>107</v>
      </c>
      <c r="E3613" s="1">
        <v>1</v>
      </c>
      <c r="F3613" s="1" t="s">
        <v>197</v>
      </c>
      <c r="G3613" s="1">
        <v>52</v>
      </c>
      <c r="H3613" s="1" t="s">
        <v>197</v>
      </c>
    </row>
    <row r="3614" spans="1:8">
      <c r="A3614">
        <v>995</v>
      </c>
      <c r="B3614" t="s">
        <v>649</v>
      </c>
      <c r="C3614">
        <v>12</v>
      </c>
      <c r="D3614" t="s">
        <v>107</v>
      </c>
      <c r="E3614" s="1">
        <v>1</v>
      </c>
      <c r="F3614" s="1" t="s">
        <v>199</v>
      </c>
      <c r="G3614" s="1">
        <v>72</v>
      </c>
      <c r="H3614" s="1" t="s">
        <v>199</v>
      </c>
    </row>
    <row r="3615" spans="1:8">
      <c r="A3615">
        <v>995</v>
      </c>
      <c r="B3615" t="s">
        <v>649</v>
      </c>
      <c r="C3615">
        <v>12</v>
      </c>
      <c r="D3615" t="s">
        <v>107</v>
      </c>
      <c r="G3615" s="1">
        <v>95</v>
      </c>
    </row>
    <row r="3616" spans="1:8">
      <c r="A3616">
        <v>995</v>
      </c>
      <c r="B3616" t="s">
        <v>649</v>
      </c>
      <c r="C3616">
        <v>13</v>
      </c>
      <c r="D3616" t="s">
        <v>200</v>
      </c>
      <c r="E3616" s="1">
        <v>1</v>
      </c>
      <c r="F3616" s="1" t="s">
        <v>192</v>
      </c>
      <c r="G3616" s="1">
        <v>2</v>
      </c>
      <c r="H3616" s="1" t="s">
        <v>192</v>
      </c>
    </row>
    <row r="3617" spans="1:8">
      <c r="A3617">
        <v>995</v>
      </c>
      <c r="B3617" t="s">
        <v>649</v>
      </c>
      <c r="C3617">
        <v>13</v>
      </c>
      <c r="D3617" t="s">
        <v>200</v>
      </c>
      <c r="E3617" s="1">
        <v>1</v>
      </c>
      <c r="F3617" s="1">
        <v>40</v>
      </c>
      <c r="G3617" s="1">
        <v>10</v>
      </c>
      <c r="H3617" s="1">
        <v>40</v>
      </c>
    </row>
    <row r="3618" spans="1:8">
      <c r="A3618">
        <v>995</v>
      </c>
      <c r="B3618" t="s">
        <v>649</v>
      </c>
      <c r="C3618">
        <v>13</v>
      </c>
      <c r="D3618" t="s">
        <v>200</v>
      </c>
      <c r="E3618" s="1">
        <v>1</v>
      </c>
      <c r="F3618" s="1" t="s">
        <v>193</v>
      </c>
      <c r="G3618" s="1">
        <v>12</v>
      </c>
      <c r="H3618" s="1" t="s">
        <v>193</v>
      </c>
    </row>
    <row r="3619" spans="1:8">
      <c r="A3619">
        <v>995</v>
      </c>
      <c r="B3619" t="s">
        <v>649</v>
      </c>
      <c r="C3619">
        <v>13</v>
      </c>
      <c r="D3619" t="s">
        <v>200</v>
      </c>
      <c r="E3619" s="1">
        <v>1</v>
      </c>
      <c r="F3619" s="1">
        <v>41</v>
      </c>
      <c r="G3619" s="1">
        <v>20</v>
      </c>
      <c r="H3619" s="1">
        <v>41</v>
      </c>
    </row>
    <row r="3620" spans="1:8">
      <c r="A3620">
        <v>995</v>
      </c>
      <c r="B3620" t="s">
        <v>649</v>
      </c>
      <c r="C3620">
        <v>13</v>
      </c>
      <c r="D3620" t="s">
        <v>200</v>
      </c>
      <c r="E3620" s="1">
        <v>1</v>
      </c>
      <c r="F3620" s="1" t="s">
        <v>194</v>
      </c>
      <c r="G3620" s="1">
        <v>22</v>
      </c>
      <c r="H3620" s="1" t="s">
        <v>194</v>
      </c>
    </row>
    <row r="3621" spans="1:8">
      <c r="A3621">
        <v>995</v>
      </c>
      <c r="B3621" t="s">
        <v>649</v>
      </c>
      <c r="C3621">
        <v>13</v>
      </c>
      <c r="D3621" t="s">
        <v>200</v>
      </c>
      <c r="E3621" s="1">
        <v>1</v>
      </c>
      <c r="F3621" s="1">
        <v>42</v>
      </c>
      <c r="G3621" s="1">
        <v>30</v>
      </c>
      <c r="H3621" s="1">
        <v>42</v>
      </c>
    </row>
    <row r="3622" spans="1:8">
      <c r="A3622">
        <v>995</v>
      </c>
      <c r="B3622" t="s">
        <v>649</v>
      </c>
      <c r="C3622">
        <v>13</v>
      </c>
      <c r="D3622" t="s">
        <v>200</v>
      </c>
      <c r="E3622" s="1">
        <v>1</v>
      </c>
      <c r="F3622" s="1" t="s">
        <v>195</v>
      </c>
      <c r="G3622" s="1">
        <v>32</v>
      </c>
      <c r="H3622" s="1" t="s">
        <v>195</v>
      </c>
    </row>
    <row r="3623" spans="1:8">
      <c r="A3623">
        <v>995</v>
      </c>
      <c r="B3623" t="s">
        <v>649</v>
      </c>
      <c r="C3623">
        <v>13</v>
      </c>
      <c r="D3623" t="s">
        <v>200</v>
      </c>
      <c r="E3623" s="1">
        <v>1</v>
      </c>
      <c r="F3623" s="1">
        <v>43</v>
      </c>
      <c r="G3623" s="1">
        <v>40</v>
      </c>
      <c r="H3623" s="1">
        <v>43</v>
      </c>
    </row>
    <row r="3624" spans="1:8">
      <c r="A3624">
        <v>995</v>
      </c>
      <c r="B3624" t="s">
        <v>649</v>
      </c>
      <c r="C3624">
        <v>13</v>
      </c>
      <c r="D3624" t="s">
        <v>200</v>
      </c>
      <c r="E3624" s="1">
        <v>1</v>
      </c>
      <c r="F3624" s="1" t="s">
        <v>196</v>
      </c>
      <c r="G3624" s="1">
        <v>42</v>
      </c>
      <c r="H3624" s="1" t="s">
        <v>196</v>
      </c>
    </row>
    <row r="3625" spans="1:8">
      <c r="A3625">
        <v>995</v>
      </c>
      <c r="B3625" t="s">
        <v>649</v>
      </c>
      <c r="C3625">
        <v>13</v>
      </c>
      <c r="D3625" t="s">
        <v>200</v>
      </c>
      <c r="E3625" s="1">
        <v>1</v>
      </c>
      <c r="F3625" s="1">
        <v>44</v>
      </c>
      <c r="G3625" s="1">
        <v>50</v>
      </c>
      <c r="H3625" s="1">
        <v>44</v>
      </c>
    </row>
    <row r="3626" spans="1:8">
      <c r="A3626">
        <v>995</v>
      </c>
      <c r="B3626" t="s">
        <v>649</v>
      </c>
      <c r="C3626">
        <v>13</v>
      </c>
      <c r="D3626" t="s">
        <v>200</v>
      </c>
      <c r="E3626" s="1">
        <v>1</v>
      </c>
      <c r="F3626" s="1" t="s">
        <v>197</v>
      </c>
      <c r="G3626" s="1">
        <v>52</v>
      </c>
      <c r="H3626" s="1" t="s">
        <v>197</v>
      </c>
    </row>
    <row r="3627" spans="1:8">
      <c r="A3627">
        <v>995</v>
      </c>
      <c r="B3627" t="s">
        <v>649</v>
      </c>
      <c r="C3627">
        <v>13</v>
      </c>
      <c r="D3627" t="s">
        <v>200</v>
      </c>
      <c r="E3627" s="1">
        <v>1</v>
      </c>
      <c r="F3627" s="1">
        <v>39</v>
      </c>
      <c r="H3627" s="1">
        <v>39</v>
      </c>
    </row>
    <row r="3628" spans="1:8">
      <c r="A3628">
        <v>995</v>
      </c>
      <c r="B3628" t="s">
        <v>649</v>
      </c>
      <c r="C3628">
        <v>13</v>
      </c>
      <c r="D3628" t="s">
        <v>200</v>
      </c>
      <c r="G3628" s="1">
        <v>92</v>
      </c>
    </row>
    <row r="3629" spans="1:8">
      <c r="A3629">
        <v>995</v>
      </c>
      <c r="B3629" t="s">
        <v>649</v>
      </c>
      <c r="C3629">
        <v>13</v>
      </c>
      <c r="D3629" t="s">
        <v>200</v>
      </c>
      <c r="G3629" s="1">
        <v>96</v>
      </c>
    </row>
    <row r="3630" spans="1:8">
      <c r="A3630">
        <v>995</v>
      </c>
      <c r="B3630" t="s">
        <v>649</v>
      </c>
      <c r="C3630">
        <v>21</v>
      </c>
      <c r="D3630" t="s">
        <v>205</v>
      </c>
      <c r="E3630" s="1">
        <v>1</v>
      </c>
      <c r="F3630" s="1" t="s">
        <v>323</v>
      </c>
      <c r="G3630" s="1">
        <v>32</v>
      </c>
      <c r="H3630" s="1" t="s">
        <v>323</v>
      </c>
    </row>
    <row r="3631" spans="1:8">
      <c r="A3631">
        <v>995</v>
      </c>
      <c r="B3631" t="s">
        <v>649</v>
      </c>
      <c r="C3631">
        <v>27</v>
      </c>
      <c r="D3631" t="s">
        <v>210</v>
      </c>
      <c r="E3631" s="1">
        <v>1</v>
      </c>
      <c r="F3631" s="1" t="s">
        <v>196</v>
      </c>
      <c r="G3631" s="1">
        <v>42</v>
      </c>
      <c r="H3631" s="1" t="s">
        <v>196</v>
      </c>
    </row>
    <row r="3632" spans="1:8">
      <c r="A3632">
        <v>995</v>
      </c>
      <c r="B3632" t="s">
        <v>649</v>
      </c>
      <c r="C3632">
        <v>39</v>
      </c>
      <c r="D3632" t="s">
        <v>218</v>
      </c>
      <c r="E3632" s="1">
        <v>1</v>
      </c>
      <c r="F3632" s="1" t="s">
        <v>399</v>
      </c>
      <c r="G3632" s="1">
        <v>50</v>
      </c>
      <c r="H3632" s="1" t="s">
        <v>399</v>
      </c>
    </row>
    <row r="3633" spans="1:8">
      <c r="A3633">
        <v>995</v>
      </c>
      <c r="B3633" t="s">
        <v>649</v>
      </c>
      <c r="C3633">
        <v>51</v>
      </c>
      <c r="D3633" t="s">
        <v>225</v>
      </c>
      <c r="G3633" s="1">
        <v>10</v>
      </c>
    </row>
    <row r="3634" spans="1:8">
      <c r="A3634">
        <v>995</v>
      </c>
      <c r="B3634" t="s">
        <v>649</v>
      </c>
      <c r="C3634">
        <v>51</v>
      </c>
      <c r="D3634" t="s">
        <v>225</v>
      </c>
      <c r="G3634" s="1">
        <v>20</v>
      </c>
    </row>
    <row r="3635" spans="1:8">
      <c r="A3635">
        <v>995</v>
      </c>
      <c r="B3635" t="s">
        <v>649</v>
      </c>
      <c r="C3635">
        <v>51</v>
      </c>
      <c r="D3635" t="s">
        <v>225</v>
      </c>
      <c r="G3635" s="1">
        <v>30</v>
      </c>
    </row>
    <row r="3636" spans="1:8">
      <c r="A3636">
        <v>995</v>
      </c>
      <c r="B3636" t="s">
        <v>649</v>
      </c>
      <c r="C3636">
        <v>51</v>
      </c>
      <c r="D3636" t="s">
        <v>225</v>
      </c>
      <c r="G3636" s="1">
        <v>40</v>
      </c>
    </row>
    <row r="3637" spans="1:8">
      <c r="A3637">
        <v>995</v>
      </c>
      <c r="B3637" t="s">
        <v>649</v>
      </c>
      <c r="C3637">
        <v>90</v>
      </c>
      <c r="D3637" t="s">
        <v>244</v>
      </c>
    </row>
    <row r="3638" spans="1:8">
      <c r="A3638">
        <v>999</v>
      </c>
      <c r="B3638" t="s">
        <v>650</v>
      </c>
      <c r="C3638">
        <v>1</v>
      </c>
      <c r="D3638" t="s">
        <v>137</v>
      </c>
      <c r="E3638" s="1">
        <v>1</v>
      </c>
      <c r="F3638" s="1">
        <v>13</v>
      </c>
      <c r="G3638" s="1">
        <v>60</v>
      </c>
      <c r="H3638" s="1">
        <v>13</v>
      </c>
    </row>
    <row r="3639" spans="1:8">
      <c r="A3639">
        <v>999</v>
      </c>
      <c r="B3639" t="s">
        <v>650</v>
      </c>
      <c r="C3639">
        <v>6</v>
      </c>
      <c r="D3639" t="s">
        <v>184</v>
      </c>
      <c r="G3639" s="1">
        <v>63</v>
      </c>
    </row>
    <row r="3640" spans="1:8">
      <c r="A3640">
        <v>999</v>
      </c>
      <c r="B3640" t="s">
        <v>650</v>
      </c>
      <c r="C3640">
        <v>11</v>
      </c>
      <c r="D3640" t="s">
        <v>186</v>
      </c>
      <c r="E3640" s="1">
        <v>1</v>
      </c>
      <c r="F3640" s="1">
        <v>39</v>
      </c>
      <c r="H3640" s="1">
        <v>39</v>
      </c>
    </row>
    <row r="3641" spans="1:8">
      <c r="A3641">
        <v>999</v>
      </c>
      <c r="B3641" t="s">
        <v>650</v>
      </c>
      <c r="C3641">
        <v>13</v>
      </c>
      <c r="D3641" t="s">
        <v>200</v>
      </c>
      <c r="G3641" s="1">
        <v>95</v>
      </c>
    </row>
    <row r="3642" spans="1:8">
      <c r="A3642">
        <v>999</v>
      </c>
      <c r="B3642" t="s">
        <v>650</v>
      </c>
      <c r="C3642">
        <v>41</v>
      </c>
      <c r="D3642" t="s">
        <v>219</v>
      </c>
      <c r="E3642" s="1">
        <v>1</v>
      </c>
      <c r="F3642" s="1" t="s">
        <v>511</v>
      </c>
      <c r="G3642" s="1">
        <v>20</v>
      </c>
      <c r="H3642" s="1" t="s">
        <v>511</v>
      </c>
    </row>
    <row r="3643" spans="1:8">
      <c r="A3643">
        <v>999</v>
      </c>
      <c r="B3643" t="s">
        <v>650</v>
      </c>
      <c r="C3643">
        <v>41</v>
      </c>
      <c r="D3643" t="s">
        <v>219</v>
      </c>
      <c r="G3643" s="1">
        <v>90</v>
      </c>
    </row>
    <row r="3644" spans="1:8">
      <c r="A3644">
        <v>999</v>
      </c>
      <c r="B3644" t="s">
        <v>650</v>
      </c>
      <c r="C3644">
        <v>41</v>
      </c>
      <c r="D3644" t="s">
        <v>219</v>
      </c>
      <c r="G3644" s="1">
        <v>91</v>
      </c>
    </row>
    <row r="3645" spans="1:8">
      <c r="A3645">
        <v>999</v>
      </c>
      <c r="B3645" t="s">
        <v>650</v>
      </c>
      <c r="C3645">
        <v>43</v>
      </c>
      <c r="D3645" t="s">
        <v>221</v>
      </c>
      <c r="G3645" s="1">
        <v>40</v>
      </c>
    </row>
    <row r="3646" spans="1:8">
      <c r="A3646">
        <v>999</v>
      </c>
      <c r="B3646" t="s">
        <v>650</v>
      </c>
      <c r="C3646">
        <v>90</v>
      </c>
      <c r="D3646" t="s">
        <v>244</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06232-A7FC-4635-90D9-41E39933A69B}">
  <sheetPr codeName="גיליון27"/>
  <dimension ref="A1:T35"/>
  <sheetViews>
    <sheetView rightToLeft="1" topLeftCell="A13" workbookViewId="0">
      <pane ySplit="624" activePane="bottomLeft"/>
      <selection activeCell="H17" sqref="H17"/>
      <selection pane="bottomLeft" activeCell="Q2" sqref="Q2:Q13"/>
    </sheetView>
  </sheetViews>
  <sheetFormatPr defaultRowHeight="14.4"/>
  <sheetData>
    <row r="1" spans="1:17">
      <c r="A1" s="593" t="s">
        <v>658</v>
      </c>
      <c r="B1" s="593"/>
      <c r="C1" s="593"/>
      <c r="D1" s="593"/>
      <c r="E1" s="593"/>
      <c r="F1" s="593"/>
      <c r="G1" s="593"/>
      <c r="H1" s="593"/>
      <c r="I1" s="593"/>
      <c r="J1" s="593"/>
      <c r="K1" s="593"/>
      <c r="L1" s="593"/>
    </row>
    <row r="2" spans="1:17">
      <c r="A2" s="593" t="s">
        <v>659</v>
      </c>
      <c r="B2" s="593"/>
      <c r="C2" s="593"/>
      <c r="D2" s="593"/>
      <c r="E2" s="593"/>
      <c r="F2" s="593"/>
      <c r="G2" s="593"/>
      <c r="H2" s="593"/>
      <c r="I2" s="593"/>
      <c r="J2" s="593"/>
      <c r="K2" s="593"/>
      <c r="L2" s="593"/>
      <c r="Q2" t="s">
        <v>1222</v>
      </c>
    </row>
    <row r="3" spans="1:17">
      <c r="A3" s="593" t="s">
        <v>660</v>
      </c>
      <c r="B3" s="593"/>
      <c r="C3" s="593"/>
      <c r="D3" s="593"/>
      <c r="E3" s="593"/>
      <c r="F3" s="593"/>
      <c r="G3" s="593"/>
      <c r="H3" s="593"/>
      <c r="I3" s="593"/>
      <c r="J3" s="593"/>
      <c r="K3" s="593"/>
      <c r="L3" s="593"/>
      <c r="Q3" t="s">
        <v>1079</v>
      </c>
    </row>
    <row r="4" spans="1:17">
      <c r="A4" s="593" t="s">
        <v>661</v>
      </c>
      <c r="B4" s="593"/>
      <c r="C4" s="593"/>
      <c r="D4" s="593"/>
      <c r="E4" s="593"/>
      <c r="F4" s="593"/>
      <c r="G4" s="593"/>
      <c r="H4" s="593"/>
      <c r="I4" s="593"/>
      <c r="J4" s="593"/>
      <c r="K4" s="593"/>
      <c r="L4" s="593"/>
    </row>
    <row r="5" spans="1:17">
      <c r="A5" s="593" t="s">
        <v>662</v>
      </c>
      <c r="B5" s="593"/>
      <c r="C5" s="593"/>
      <c r="D5" s="593"/>
      <c r="E5" s="593"/>
      <c r="F5" s="593"/>
      <c r="G5" s="593"/>
      <c r="H5" s="593"/>
      <c r="I5" s="593"/>
      <c r="J5" s="593"/>
      <c r="K5" s="593"/>
      <c r="L5" s="593"/>
      <c r="Q5" t="s">
        <v>1223</v>
      </c>
    </row>
    <row r="6" spans="1:17">
      <c r="A6" s="593" t="s">
        <v>663</v>
      </c>
      <c r="B6" s="593"/>
      <c r="C6" s="593"/>
      <c r="D6" s="593"/>
      <c r="E6" s="593"/>
      <c r="F6" s="593"/>
      <c r="G6" s="593"/>
      <c r="H6" s="593"/>
      <c r="I6" s="593"/>
      <c r="J6" s="593"/>
      <c r="K6" s="593"/>
      <c r="L6" s="593"/>
      <c r="Q6" t="s">
        <v>1224</v>
      </c>
    </row>
    <row r="7" spans="1:17">
      <c r="A7" s="593" t="s">
        <v>664</v>
      </c>
      <c r="B7" s="593"/>
      <c r="C7" s="593"/>
      <c r="D7" s="593"/>
      <c r="E7" s="593"/>
      <c r="F7" s="593"/>
      <c r="G7" s="593"/>
      <c r="H7" s="593"/>
      <c r="I7" s="593"/>
      <c r="J7" s="593"/>
      <c r="K7" s="593"/>
      <c r="L7" s="593"/>
      <c r="M7" s="211"/>
      <c r="N7" s="211"/>
      <c r="Q7" t="s">
        <v>1225</v>
      </c>
    </row>
    <row r="8" spans="1:17">
      <c r="A8" s="593" t="s">
        <v>663</v>
      </c>
      <c r="B8" s="593"/>
      <c r="C8" s="593"/>
      <c r="D8" s="593"/>
      <c r="E8" s="593"/>
      <c r="F8" s="593"/>
      <c r="G8" s="593"/>
      <c r="H8" s="593"/>
      <c r="I8" s="593"/>
      <c r="J8" s="593"/>
      <c r="K8" s="593"/>
      <c r="L8" s="593"/>
      <c r="M8" s="211"/>
      <c r="N8" s="211"/>
      <c r="Q8" t="s">
        <v>1226</v>
      </c>
    </row>
    <row r="9" spans="1:17">
      <c r="A9" s="593" t="s">
        <v>665</v>
      </c>
      <c r="B9" s="593"/>
      <c r="C9" s="593"/>
      <c r="D9" s="593"/>
      <c r="E9" s="593"/>
      <c r="F9" s="593"/>
      <c r="G9" s="593"/>
      <c r="H9" s="593"/>
      <c r="I9" s="593"/>
      <c r="J9" s="593"/>
      <c r="K9" s="593"/>
      <c r="L9" s="593"/>
      <c r="M9" s="211"/>
      <c r="N9" s="211"/>
      <c r="Q9" t="s">
        <v>1227</v>
      </c>
    </row>
    <row r="10" spans="1:17">
      <c r="A10" s="593" t="s">
        <v>666</v>
      </c>
      <c r="B10" s="593"/>
      <c r="C10" s="593"/>
      <c r="D10" s="593"/>
      <c r="E10" s="593"/>
      <c r="F10" s="593"/>
      <c r="G10" s="593"/>
      <c r="H10" s="593"/>
      <c r="I10" s="593"/>
      <c r="J10" s="593"/>
      <c r="K10" s="593"/>
      <c r="L10" s="593"/>
      <c r="M10" s="211"/>
      <c r="N10" s="211"/>
      <c r="Q10" t="s">
        <v>1228</v>
      </c>
    </row>
    <row r="11" spans="1:17">
      <c r="A11" s="593" t="s">
        <v>667</v>
      </c>
      <c r="B11" s="593"/>
      <c r="C11" s="593"/>
      <c r="D11" s="593"/>
      <c r="E11" s="593"/>
      <c r="F11" s="593"/>
      <c r="G11" s="593"/>
      <c r="H11" s="593"/>
      <c r="I11" s="593"/>
      <c r="J11" s="593"/>
      <c r="K11" s="593"/>
      <c r="L11" s="593"/>
      <c r="M11" s="211"/>
      <c r="N11" s="211"/>
      <c r="Q11" t="s">
        <v>1229</v>
      </c>
    </row>
    <row r="12" spans="1:17" ht="15" thickBot="1">
      <c r="Q12" t="s">
        <v>1230</v>
      </c>
    </row>
    <row r="13" spans="1:17" ht="16.8" thickTop="1" thickBot="1">
      <c r="A13" s="210" t="s">
        <v>668</v>
      </c>
      <c r="B13" s="210" t="s">
        <v>669</v>
      </c>
      <c r="C13" s="210" t="s">
        <v>670</v>
      </c>
      <c r="D13" s="210" t="s">
        <v>671</v>
      </c>
      <c r="E13" s="210" t="s">
        <v>672</v>
      </c>
      <c r="F13" s="210" t="s">
        <v>673</v>
      </c>
      <c r="G13" s="210" t="s">
        <v>674</v>
      </c>
      <c r="H13" s="210" t="s">
        <v>675</v>
      </c>
      <c r="I13" s="210" t="s">
        <v>676</v>
      </c>
      <c r="J13" s="210" t="s">
        <v>677</v>
      </c>
      <c r="K13" s="210" t="s">
        <v>678</v>
      </c>
      <c r="L13" s="210" t="s">
        <v>679</v>
      </c>
      <c r="M13" s="210" t="s">
        <v>680</v>
      </c>
      <c r="N13" s="210" t="s">
        <v>681</v>
      </c>
      <c r="Q13" t="s">
        <v>1231</v>
      </c>
    </row>
    <row r="14" spans="1:17" ht="76.2" thickTop="1" thickBot="1">
      <c r="A14" s="213" t="s">
        <v>682</v>
      </c>
      <c r="B14" s="213" t="s">
        <v>683</v>
      </c>
      <c r="C14" s="212">
        <v>99</v>
      </c>
      <c r="D14" s="212">
        <v>98.7</v>
      </c>
      <c r="E14" s="212">
        <v>98.9</v>
      </c>
      <c r="F14" s="212">
        <v>99.4</v>
      </c>
      <c r="G14" s="212">
        <v>99.4</v>
      </c>
      <c r="H14" s="212">
        <v>100.1</v>
      </c>
      <c r="I14" s="212">
        <v>101.2</v>
      </c>
      <c r="J14" s="212">
        <v>101.9</v>
      </c>
      <c r="K14" s="212">
        <v>101.4</v>
      </c>
      <c r="L14" s="212">
        <v>101.5</v>
      </c>
      <c r="M14" s="212">
        <v>101.9</v>
      </c>
      <c r="N14" s="212">
        <v>102.5</v>
      </c>
    </row>
    <row r="15" spans="1:17" ht="75.599999999999994" thickBot="1">
      <c r="A15" s="213" t="s">
        <v>682</v>
      </c>
      <c r="B15" s="213" t="s">
        <v>684</v>
      </c>
      <c r="C15" s="212">
        <v>102.5</v>
      </c>
      <c r="D15" s="212">
        <v>102.3</v>
      </c>
      <c r="E15" s="212">
        <v>102.6</v>
      </c>
      <c r="F15" s="212">
        <v>104.1</v>
      </c>
      <c r="G15" s="212">
        <v>104.8</v>
      </c>
      <c r="H15" s="212">
        <v>104.9</v>
      </c>
      <c r="I15" s="212">
        <v>106.1</v>
      </c>
      <c r="J15" s="212">
        <v>107</v>
      </c>
      <c r="K15" s="212">
        <v>107</v>
      </c>
      <c r="L15" s="212">
        <v>107.1</v>
      </c>
      <c r="M15" s="212">
        <v>106.5</v>
      </c>
      <c r="N15" s="212">
        <v>106.4</v>
      </c>
    </row>
    <row r="16" spans="1:17" ht="75">
      <c r="A16" s="213" t="s">
        <v>682</v>
      </c>
      <c r="B16" s="213" t="s">
        <v>685</v>
      </c>
      <c r="C16" s="212">
        <v>105.8357</v>
      </c>
      <c r="D16" s="212">
        <v>105.7306</v>
      </c>
      <c r="E16" s="212">
        <v>106.2561</v>
      </c>
      <c r="F16" s="212">
        <v>107.30710000000001</v>
      </c>
      <c r="G16" s="212">
        <v>107.72750000000001</v>
      </c>
      <c r="H16" s="212">
        <v>108.6734</v>
      </c>
      <c r="I16" s="212">
        <v>109.8295</v>
      </c>
      <c r="J16" s="212">
        <v>110.355</v>
      </c>
      <c r="K16" s="212">
        <v>110.0397</v>
      </c>
      <c r="L16" s="212">
        <v>110.2499</v>
      </c>
      <c r="M16" s="212">
        <v>110.5652</v>
      </c>
      <c r="N16" s="212">
        <v>110.5652</v>
      </c>
    </row>
    <row r="17" spans="1:20" ht="75.599999999999994" thickBot="1">
      <c r="A17" s="213" t="s">
        <v>682</v>
      </c>
      <c r="B17" s="213" t="s">
        <v>686</v>
      </c>
      <c r="C17" s="212">
        <v>109.8295</v>
      </c>
      <c r="D17" s="212">
        <v>109.5142</v>
      </c>
      <c r="E17" s="212">
        <v>109.6193</v>
      </c>
      <c r="F17" s="212">
        <v>110.5652</v>
      </c>
      <c r="G17" s="212">
        <v>110.98560000000001</v>
      </c>
      <c r="H17" s="212">
        <v>111.3009</v>
      </c>
      <c r="I17" s="212">
        <v>111.82640000000001</v>
      </c>
      <c r="J17" s="212">
        <v>112.3519</v>
      </c>
      <c r="K17" s="212">
        <v>112.66719999999999</v>
      </c>
      <c r="L17" s="212">
        <v>112.9825</v>
      </c>
      <c r="M17" s="212">
        <v>113.08759999999999</v>
      </c>
      <c r="N17" s="212">
        <v>113.508</v>
      </c>
    </row>
    <row r="18" spans="1:20" ht="75.599999999999994" thickBot="1">
      <c r="A18" s="213" t="s">
        <v>682</v>
      </c>
      <c r="B18" s="213" t="s">
        <v>687</v>
      </c>
      <c r="C18" s="212">
        <v>113.741322</v>
      </c>
      <c r="D18" s="212">
        <v>114.0758553</v>
      </c>
      <c r="E18" s="212">
        <v>114.2988775</v>
      </c>
      <c r="F18" s="212">
        <v>114.9679441</v>
      </c>
      <c r="G18" s="212">
        <v>115.5254996</v>
      </c>
      <c r="H18" s="212">
        <v>115.97154399999999</v>
      </c>
      <c r="I18" s="212">
        <v>115.6370107</v>
      </c>
      <c r="J18" s="212">
        <v>116.1945662</v>
      </c>
      <c r="K18" s="212">
        <v>115.97154399999999</v>
      </c>
      <c r="L18" s="212">
        <v>116.0830551</v>
      </c>
      <c r="M18" s="212">
        <v>115.97154399999999</v>
      </c>
      <c r="N18" s="212">
        <v>115.97154399999999</v>
      </c>
    </row>
    <row r="19" spans="1:20" ht="75.599999999999994" thickBot="1">
      <c r="A19" s="213" t="s">
        <v>682</v>
      </c>
      <c r="B19" s="213" t="s">
        <v>688</v>
      </c>
      <c r="C19" s="212">
        <v>115.97154399999999</v>
      </c>
      <c r="D19" s="212">
        <v>115.97154399999999</v>
      </c>
      <c r="E19" s="212">
        <v>116.4175884</v>
      </c>
      <c r="F19" s="212">
        <v>117.4211883</v>
      </c>
      <c r="G19" s="212">
        <v>117.4211883</v>
      </c>
      <c r="H19" s="212">
        <v>117.08665499999999</v>
      </c>
      <c r="I19" s="212">
        <v>117.19816609999999</v>
      </c>
      <c r="J19" s="212">
        <v>118.42478819999999</v>
      </c>
      <c r="K19" s="212">
        <v>118.42478819999999</v>
      </c>
      <c r="L19" s="212">
        <v>118.20176600000001</v>
      </c>
      <c r="M19" s="212">
        <v>117.6442105</v>
      </c>
      <c r="N19" s="212">
        <v>117.8672327</v>
      </c>
    </row>
    <row r="20" spans="1:20" ht="75.599999999999994" thickBot="1">
      <c r="A20" s="213" t="s">
        <v>682</v>
      </c>
      <c r="B20" s="213" t="s">
        <v>689</v>
      </c>
      <c r="C20" s="212">
        <v>117.6616062316</v>
      </c>
      <c r="D20" s="212">
        <v>117.6616062316</v>
      </c>
      <c r="E20" s="212">
        <v>117.896225586</v>
      </c>
      <c r="F20" s="212">
        <v>118.36546429480001</v>
      </c>
      <c r="G20" s="212">
        <v>118.482773972</v>
      </c>
      <c r="H20" s="212">
        <v>119.4212513896</v>
      </c>
      <c r="I20" s="212">
        <v>119.7731804212</v>
      </c>
      <c r="J20" s="212">
        <v>120.00779977560001</v>
      </c>
      <c r="K20" s="212">
        <v>120.00779977560001</v>
      </c>
      <c r="L20" s="212">
        <v>120.3597288072</v>
      </c>
      <c r="M20" s="212">
        <v>119.89049009839999</v>
      </c>
      <c r="N20" s="212">
        <v>120.00779977560001</v>
      </c>
    </row>
    <row r="21" spans="1:20" ht="75.599999999999994" thickBot="1">
      <c r="A21" s="213" t="s">
        <v>682</v>
      </c>
      <c r="B21" s="213" t="s">
        <v>690</v>
      </c>
      <c r="C21" s="212">
        <v>119.3039417124</v>
      </c>
      <c r="D21" s="212">
        <v>119.06932235799999</v>
      </c>
      <c r="E21" s="212">
        <v>119.4212513896</v>
      </c>
      <c r="F21" s="212">
        <v>119.5385610668</v>
      </c>
      <c r="G21" s="212">
        <v>119.655870744</v>
      </c>
      <c r="H21" s="212">
        <v>120.00779977560001</v>
      </c>
      <c r="I21" s="212">
        <v>120.1251094528</v>
      </c>
      <c r="J21" s="212">
        <v>120.00779977560001</v>
      </c>
      <c r="K21" s="212">
        <v>119.655870744</v>
      </c>
      <c r="L21" s="212">
        <v>120.00779977560001</v>
      </c>
      <c r="M21" s="212">
        <v>119.7731804212</v>
      </c>
      <c r="N21" s="212">
        <v>119.7731804212</v>
      </c>
    </row>
    <row r="22" spans="1:20" ht="75.599999999999994" thickBot="1">
      <c r="A22" s="213" t="s">
        <v>682</v>
      </c>
      <c r="B22" s="213" t="s">
        <v>691</v>
      </c>
      <c r="C22" s="212">
        <v>118.698623778</v>
      </c>
      <c r="D22" s="212">
        <v>117.8610326828</v>
      </c>
      <c r="E22" s="212">
        <v>118.22000029509999</v>
      </c>
      <c r="F22" s="212">
        <v>118.9379355195</v>
      </c>
      <c r="G22" s="212">
        <v>119.17724726100001</v>
      </c>
      <c r="H22" s="212">
        <v>119.5362148733</v>
      </c>
      <c r="I22" s="212">
        <v>119.7755266147</v>
      </c>
      <c r="J22" s="212">
        <v>119.5362148733</v>
      </c>
      <c r="K22" s="212">
        <v>119.0575913903</v>
      </c>
      <c r="L22" s="212">
        <v>119.17724726100001</v>
      </c>
      <c r="M22" s="212">
        <v>118.698623778</v>
      </c>
      <c r="N22" s="212">
        <v>118.5789679073</v>
      </c>
    </row>
    <row r="23" spans="1:20" ht="75.599999999999994" thickBot="1">
      <c r="A23" s="213" t="s">
        <v>682</v>
      </c>
      <c r="B23" s="213" t="s">
        <v>692</v>
      </c>
      <c r="C23" s="212">
        <v>117.9806885536</v>
      </c>
      <c r="D23" s="212">
        <v>117.6217209414</v>
      </c>
      <c r="E23" s="212">
        <v>117.3824091999</v>
      </c>
      <c r="F23" s="212">
        <v>117.8610326828</v>
      </c>
      <c r="G23" s="212">
        <v>118.22000029509999</v>
      </c>
      <c r="H23" s="212">
        <v>118.5789679073</v>
      </c>
      <c r="I23" s="212">
        <v>119.0575913903</v>
      </c>
      <c r="J23" s="212">
        <v>118.698623778</v>
      </c>
      <c r="K23" s="212">
        <v>118.5789679073</v>
      </c>
      <c r="L23" s="212">
        <v>118.8182796488</v>
      </c>
      <c r="M23" s="212">
        <v>118.33965616579999</v>
      </c>
      <c r="N23" s="212">
        <v>118.33965616579999</v>
      </c>
    </row>
    <row r="24" spans="1:20" ht="75.599999999999994" thickBot="1">
      <c r="A24" s="213" t="s">
        <v>682</v>
      </c>
      <c r="B24" s="213" t="s">
        <v>693</v>
      </c>
      <c r="C24" s="212">
        <v>118.1029768535</v>
      </c>
      <c r="D24" s="212">
        <v>118.1029768535</v>
      </c>
      <c r="E24" s="212">
        <v>118.457995822</v>
      </c>
      <c r="F24" s="212">
        <v>118.6946751343</v>
      </c>
      <c r="G24" s="212">
        <v>119.168033759</v>
      </c>
      <c r="H24" s="212">
        <v>118.33965616579999</v>
      </c>
      <c r="I24" s="212">
        <v>118.2213165097</v>
      </c>
      <c r="J24" s="212">
        <v>118.57633547810001</v>
      </c>
      <c r="K24" s="212">
        <v>118.6946751343</v>
      </c>
      <c r="L24" s="212">
        <v>119.0496941028</v>
      </c>
      <c r="M24" s="212">
        <v>118.6946751343</v>
      </c>
      <c r="N24" s="212">
        <v>118.81301479050001</v>
      </c>
    </row>
    <row r="25" spans="1:20" ht="75.599999999999994" thickBot="1">
      <c r="A25" s="213" t="s">
        <v>682</v>
      </c>
      <c r="B25" s="213" t="s">
        <v>694</v>
      </c>
      <c r="C25" s="212">
        <v>118.2213165097</v>
      </c>
      <c r="D25" s="212">
        <v>118.33965616579999</v>
      </c>
      <c r="E25" s="212">
        <v>118.6946751343</v>
      </c>
      <c r="F25" s="212">
        <v>119.168033759</v>
      </c>
      <c r="G25" s="212">
        <v>119.7597320398</v>
      </c>
      <c r="H25" s="212">
        <v>119.87807169600001</v>
      </c>
      <c r="I25" s="212">
        <v>119.87807169600001</v>
      </c>
      <c r="J25" s="212">
        <v>119.9964113521</v>
      </c>
      <c r="K25" s="212">
        <v>120.1147510083</v>
      </c>
      <c r="L25" s="212">
        <v>120.46976997679999</v>
      </c>
      <c r="M25" s="212">
        <v>120.1147510083</v>
      </c>
      <c r="N25" s="212">
        <v>119.7597320398</v>
      </c>
    </row>
    <row r="26" spans="1:20" ht="75.599999999999994" thickBot="1">
      <c r="A26" s="213" t="s">
        <v>682</v>
      </c>
      <c r="B26" s="213" t="s">
        <v>695</v>
      </c>
      <c r="C26" s="212">
        <v>119.6425757802</v>
      </c>
      <c r="D26" s="212">
        <v>119.76209883289999</v>
      </c>
      <c r="E26" s="212">
        <v>120.3597140966</v>
      </c>
      <c r="F26" s="212">
        <v>120.7182832547</v>
      </c>
      <c r="G26" s="212">
        <v>121.5549446238</v>
      </c>
      <c r="H26" s="212">
        <v>120.8378063075</v>
      </c>
      <c r="I26" s="212">
        <v>120.4792371493</v>
      </c>
      <c r="J26" s="212">
        <v>120.7182832547</v>
      </c>
      <c r="K26" s="212">
        <v>120.4792371493</v>
      </c>
      <c r="L26" s="212">
        <v>120.95732936020001</v>
      </c>
      <c r="M26" s="212">
        <v>120.4792371493</v>
      </c>
      <c r="N26" s="212">
        <v>120.4792371493</v>
      </c>
    </row>
    <row r="27" spans="1:20" ht="75.599999999999994" thickBot="1">
      <c r="A27" s="213" t="s">
        <v>682</v>
      </c>
      <c r="B27" s="213" t="s">
        <v>696</v>
      </c>
      <c r="C27" s="212">
        <v>120.0011449384</v>
      </c>
      <c r="D27" s="212">
        <v>119.8816218857</v>
      </c>
      <c r="E27" s="212">
        <v>120.3597140966</v>
      </c>
      <c r="F27" s="212">
        <v>120.0011449384</v>
      </c>
      <c r="G27" s="212">
        <v>119.6425757802</v>
      </c>
      <c r="H27" s="212">
        <v>119.5230527275</v>
      </c>
      <c r="I27" s="212">
        <v>119.76209883289999</v>
      </c>
      <c r="J27" s="212">
        <v>119.76209883289999</v>
      </c>
      <c r="K27" s="212">
        <v>119.6425757802</v>
      </c>
      <c r="L27" s="212">
        <v>120.0011449384</v>
      </c>
      <c r="M27" s="212">
        <v>119.76209883289999</v>
      </c>
      <c r="N27" s="212">
        <v>119.6425757802</v>
      </c>
    </row>
    <row r="28" spans="1:20" ht="75.599999999999994" thickBot="1">
      <c r="A28" s="213" t="s">
        <v>682</v>
      </c>
      <c r="B28" s="213" t="s">
        <v>697</v>
      </c>
      <c r="C28" s="212">
        <v>119.52197701999999</v>
      </c>
      <c r="D28" s="212">
        <v>119.8816218857</v>
      </c>
      <c r="E28" s="212">
        <v>120.60091161699999</v>
      </c>
      <c r="F28" s="212">
        <v>120.9605564826</v>
      </c>
      <c r="G28" s="212">
        <v>121.4400829702</v>
      </c>
      <c r="H28" s="212">
        <v>121.5599645921</v>
      </c>
      <c r="I28" s="212">
        <v>122.0394910796</v>
      </c>
      <c r="J28" s="212">
        <v>122.3991359453</v>
      </c>
      <c r="K28" s="212">
        <v>122.638899189</v>
      </c>
      <c r="L28" s="212">
        <v>122.75878081090001</v>
      </c>
      <c r="M28" s="212">
        <v>122.638899189</v>
      </c>
      <c r="N28" s="212">
        <v>122.99854405470001</v>
      </c>
    </row>
    <row r="29" spans="1:20" ht="75.599999999999994" thickBot="1">
      <c r="A29" s="213" t="s">
        <v>682</v>
      </c>
      <c r="B29" s="213" t="s">
        <v>698</v>
      </c>
      <c r="C29" s="212">
        <v>123.2383072985</v>
      </c>
      <c r="D29" s="212">
        <v>124.07747865170001</v>
      </c>
      <c r="E29" s="212">
        <v>124.796768383</v>
      </c>
      <c r="F29" s="212">
        <v>125.75582135809999</v>
      </c>
      <c r="G29" s="212">
        <v>126.4751110894</v>
      </c>
      <c r="H29" s="212">
        <v>126.9546375769</v>
      </c>
      <c r="I29" s="212">
        <v>128.3932170395</v>
      </c>
      <c r="J29" s="212">
        <v>128.03357217390001</v>
      </c>
      <c r="K29" s="212">
        <v>128.2733354177</v>
      </c>
      <c r="L29" s="212">
        <v>128.99262514899999</v>
      </c>
      <c r="M29" s="212">
        <v>129.11250677090001</v>
      </c>
      <c r="N29" s="212">
        <v>129.4721516365</v>
      </c>
    </row>
    <row r="30" spans="1:20" ht="75.599999999999994" thickBot="1">
      <c r="A30" s="213" t="s">
        <v>682</v>
      </c>
      <c r="B30" s="213" t="s">
        <v>699</v>
      </c>
      <c r="C30" s="212">
        <v>129.87459424119999</v>
      </c>
      <c r="D30" s="212">
        <v>130.5093674291</v>
      </c>
      <c r="E30" s="212">
        <v>131.01718597940001</v>
      </c>
      <c r="F30" s="212">
        <v>132.03282308000001</v>
      </c>
      <c r="G30" s="212">
        <v>132.28673235510001</v>
      </c>
      <c r="H30" s="212">
        <v>132.28673235510001</v>
      </c>
      <c r="I30" s="212">
        <v>132.6675962679</v>
      </c>
      <c r="J30" s="212">
        <v>133.3023694558</v>
      </c>
      <c r="K30" s="212">
        <v>133.17541481820001</v>
      </c>
      <c r="L30" s="212">
        <v>133.81018800609999</v>
      </c>
      <c r="M30" s="212">
        <v>133.42932409330001</v>
      </c>
      <c r="N30" s="212">
        <v>133.3023694558</v>
      </c>
    </row>
    <row r="31" spans="1:20" ht="75.599999999999994" thickBot="1">
      <c r="A31" s="213" t="s">
        <v>682</v>
      </c>
      <c r="B31" s="213" t="s">
        <v>700</v>
      </c>
      <c r="C31" s="212">
        <v>133.3023694558</v>
      </c>
      <c r="D31" s="212">
        <v>133.81018800609999</v>
      </c>
      <c r="E31" s="212">
        <v>134.57191583150001</v>
      </c>
      <c r="F31" s="212">
        <v>135.7145075697</v>
      </c>
      <c r="G31" s="212">
        <v>135.96841684489999</v>
      </c>
      <c r="H31" s="212">
        <v>136.0953714824</v>
      </c>
      <c r="I31" s="212">
        <v>136.8570993079</v>
      </c>
      <c r="J31" s="212">
        <v>138.12664568369999</v>
      </c>
      <c r="K31" s="212">
        <v>137.8727364085</v>
      </c>
      <c r="L31" s="212">
        <v>138.50750959640001</v>
      </c>
      <c r="M31" s="212">
        <v>137.9996910461</v>
      </c>
      <c r="N31" s="212">
        <v>137.6188271334</v>
      </c>
    </row>
    <row r="32" spans="1:20" ht="75.599999999999994" thickBot="1">
      <c r="A32" s="213" t="s">
        <v>682</v>
      </c>
      <c r="B32" s="213" t="s">
        <v>701</v>
      </c>
      <c r="C32" s="212">
        <v>138.39451996899999</v>
      </c>
      <c r="D32" s="213"/>
      <c r="E32" s="213"/>
      <c r="F32" s="213"/>
      <c r="G32" s="213"/>
      <c r="H32" s="213"/>
      <c r="I32" s="213"/>
      <c r="J32" s="213"/>
      <c r="K32" s="213"/>
      <c r="L32" s="213"/>
      <c r="M32" s="213"/>
      <c r="N32" s="213"/>
      <c r="S32" s="14">
        <f>+N31/M30</f>
        <v>1.0313986679357716</v>
      </c>
      <c r="T32" s="214">
        <f>+N31/C31</f>
        <v>1.0323809523808294</v>
      </c>
    </row>
    <row r="35" spans="14:14">
      <c r="N35">
        <f>+C32/N31</f>
        <v>1.0056365313653493</v>
      </c>
    </row>
  </sheetData>
  <mergeCells count="11">
    <mergeCell ref="A1:L1"/>
    <mergeCell ref="A2:L2"/>
    <mergeCell ref="A3:L3"/>
    <mergeCell ref="A4:L4"/>
    <mergeCell ref="A10:L10"/>
    <mergeCell ref="A11:L11"/>
    <mergeCell ref="A5:L5"/>
    <mergeCell ref="A6:L6"/>
    <mergeCell ref="A7:L7"/>
    <mergeCell ref="A8:L8"/>
    <mergeCell ref="A9:L9"/>
  </mergeCells>
  <phoneticPr fontId="37"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B984F-8C5A-43CF-8110-2D33FDAF2DD8}">
  <sheetPr codeName="גיליון28"/>
  <dimension ref="A1:F3646"/>
  <sheetViews>
    <sheetView rightToLeft="1" workbookViewId="0">
      <selection activeCell="H13" sqref="H13"/>
    </sheetView>
  </sheetViews>
  <sheetFormatPr defaultRowHeight="14.4"/>
  <cols>
    <col min="2" max="2" width="25.6640625" bestFit="1" customWidth="1"/>
    <col min="3" max="6" width="8.88671875" style="1"/>
  </cols>
  <sheetData>
    <row r="1" spans="1:6" ht="28.8">
      <c r="A1" s="188" t="s">
        <v>54</v>
      </c>
      <c r="B1" s="188" t="s">
        <v>131</v>
      </c>
      <c r="C1" s="215" t="s">
        <v>17</v>
      </c>
      <c r="D1" s="215" t="s">
        <v>132</v>
      </c>
      <c r="E1" s="215" t="s">
        <v>268</v>
      </c>
      <c r="F1" s="215" t="s">
        <v>269</v>
      </c>
    </row>
    <row r="2" spans="1:6">
      <c r="A2">
        <v>1</v>
      </c>
      <c r="B2" t="s">
        <v>137</v>
      </c>
      <c r="C2" s="1">
        <v>1</v>
      </c>
      <c r="D2" s="1">
        <v>13</v>
      </c>
      <c r="E2" s="1">
        <v>60</v>
      </c>
      <c r="F2" s="1">
        <v>13</v>
      </c>
    </row>
    <row r="3" spans="1:6">
      <c r="A3">
        <v>1</v>
      </c>
      <c r="B3" t="s">
        <v>137</v>
      </c>
      <c r="C3" s="1">
        <v>1</v>
      </c>
      <c r="D3" s="1" t="s">
        <v>144</v>
      </c>
      <c r="E3" s="1">
        <v>62</v>
      </c>
      <c r="F3" s="1" t="s">
        <v>144</v>
      </c>
    </row>
    <row r="4" spans="1:6">
      <c r="A4">
        <v>1</v>
      </c>
      <c r="B4" t="s">
        <v>137</v>
      </c>
      <c r="C4" s="1">
        <v>1</v>
      </c>
      <c r="D4" s="1">
        <v>14</v>
      </c>
      <c r="E4" s="1">
        <v>70</v>
      </c>
      <c r="F4" s="1">
        <v>14</v>
      </c>
    </row>
    <row r="5" spans="1:6">
      <c r="A5">
        <v>1</v>
      </c>
      <c r="B5" t="s">
        <v>137</v>
      </c>
      <c r="C5" s="1">
        <v>1</v>
      </c>
      <c r="D5" s="1" t="s">
        <v>147</v>
      </c>
      <c r="E5" s="1">
        <v>72</v>
      </c>
      <c r="F5" s="1" t="s">
        <v>147</v>
      </c>
    </row>
    <row r="6" spans="1:6">
      <c r="A6">
        <v>1</v>
      </c>
      <c r="B6" t="s">
        <v>137</v>
      </c>
      <c r="C6" s="1">
        <v>1</v>
      </c>
      <c r="D6" s="1">
        <v>15</v>
      </c>
      <c r="E6" s="1">
        <v>80</v>
      </c>
      <c r="F6" s="1">
        <v>15</v>
      </c>
    </row>
    <row r="7" spans="1:6">
      <c r="A7">
        <v>1</v>
      </c>
      <c r="B7" t="s">
        <v>137</v>
      </c>
      <c r="C7" s="1">
        <v>1</v>
      </c>
      <c r="D7" s="1" t="s">
        <v>150</v>
      </c>
      <c r="E7" s="1">
        <v>82</v>
      </c>
      <c r="F7" s="1" t="s">
        <v>150</v>
      </c>
    </row>
    <row r="8" spans="1:6">
      <c r="A8">
        <v>1</v>
      </c>
      <c r="B8" t="s">
        <v>137</v>
      </c>
      <c r="C8" s="1">
        <v>1</v>
      </c>
      <c r="D8" s="1">
        <v>16</v>
      </c>
      <c r="E8" s="1">
        <v>90</v>
      </c>
      <c r="F8" s="1">
        <v>16</v>
      </c>
    </row>
    <row r="9" spans="1:6">
      <c r="A9">
        <v>1</v>
      </c>
      <c r="B9" t="s">
        <v>137</v>
      </c>
      <c r="C9" s="1">
        <v>1</v>
      </c>
      <c r="D9" s="1" t="s">
        <v>153</v>
      </c>
      <c r="E9" s="1">
        <v>92</v>
      </c>
      <c r="F9" s="1" t="s">
        <v>153</v>
      </c>
    </row>
    <row r="10" spans="1:6">
      <c r="A10">
        <v>1</v>
      </c>
      <c r="B10" t="s">
        <v>137</v>
      </c>
      <c r="C10" s="1">
        <v>1</v>
      </c>
      <c r="D10" s="1">
        <v>17</v>
      </c>
      <c r="E10" s="1">
        <v>94</v>
      </c>
      <c r="F10" s="1">
        <v>17</v>
      </c>
    </row>
    <row r="11" spans="1:6">
      <c r="A11">
        <v>1</v>
      </c>
      <c r="B11" t="s">
        <v>137</v>
      </c>
      <c r="C11" s="1">
        <v>1</v>
      </c>
      <c r="D11" s="1" t="s">
        <v>156</v>
      </c>
      <c r="E11" s="1">
        <v>96</v>
      </c>
      <c r="F11" s="1" t="s">
        <v>156</v>
      </c>
    </row>
    <row r="12" spans="1:6">
      <c r="A12">
        <v>1</v>
      </c>
      <c r="B12" t="s">
        <v>137</v>
      </c>
      <c r="C12" s="1">
        <v>2</v>
      </c>
      <c r="D12" s="1">
        <v>18</v>
      </c>
      <c r="F12" s="1">
        <v>18</v>
      </c>
    </row>
    <row r="13" spans="1:6">
      <c r="A13">
        <v>1</v>
      </c>
      <c r="B13" t="s">
        <v>137</v>
      </c>
      <c r="C13" s="1">
        <v>2</v>
      </c>
      <c r="D13" s="1" t="s">
        <v>159</v>
      </c>
      <c r="E13" s="1">
        <v>2</v>
      </c>
      <c r="F13" s="1" t="s">
        <v>159</v>
      </c>
    </row>
    <row r="14" spans="1:6">
      <c r="A14">
        <v>1</v>
      </c>
      <c r="B14" t="s">
        <v>137</v>
      </c>
      <c r="C14" s="1">
        <v>2</v>
      </c>
      <c r="D14" s="1">
        <v>19</v>
      </c>
      <c r="E14" s="1">
        <v>10</v>
      </c>
      <c r="F14" s="1">
        <v>19</v>
      </c>
    </row>
    <row r="15" spans="1:6">
      <c r="A15">
        <v>1</v>
      </c>
      <c r="B15" t="s">
        <v>137</v>
      </c>
      <c r="C15" s="1">
        <v>2</v>
      </c>
      <c r="D15" s="1" t="s">
        <v>162</v>
      </c>
      <c r="E15" s="1">
        <v>12</v>
      </c>
      <c r="F15" s="1" t="s">
        <v>162</v>
      </c>
    </row>
    <row r="16" spans="1:6">
      <c r="A16">
        <v>1</v>
      </c>
      <c r="B16" t="s">
        <v>137</v>
      </c>
      <c r="C16" s="1">
        <v>2</v>
      </c>
      <c r="D16" s="1">
        <v>20</v>
      </c>
      <c r="E16" s="1">
        <v>20</v>
      </c>
      <c r="F16" s="1">
        <v>20</v>
      </c>
    </row>
    <row r="17" spans="1:6">
      <c r="A17">
        <v>1</v>
      </c>
      <c r="B17" t="s">
        <v>137</v>
      </c>
      <c r="C17" s="1">
        <v>2</v>
      </c>
      <c r="D17" s="1" t="s">
        <v>165</v>
      </c>
      <c r="E17" s="1">
        <v>22</v>
      </c>
      <c r="F17" s="1" t="s">
        <v>165</v>
      </c>
    </row>
    <row r="18" spans="1:6">
      <c r="A18">
        <v>1</v>
      </c>
      <c r="B18" t="s">
        <v>137</v>
      </c>
      <c r="C18" s="1">
        <v>2</v>
      </c>
      <c r="D18" s="1">
        <v>21</v>
      </c>
      <c r="E18" s="1">
        <v>30</v>
      </c>
      <c r="F18" s="1">
        <v>21</v>
      </c>
    </row>
    <row r="19" spans="1:6">
      <c r="A19">
        <v>1</v>
      </c>
      <c r="B19" t="s">
        <v>137</v>
      </c>
      <c r="C19" s="1">
        <v>2</v>
      </c>
      <c r="D19" s="1" t="s">
        <v>168</v>
      </c>
      <c r="E19" s="1">
        <v>32</v>
      </c>
      <c r="F19" s="1" t="s">
        <v>168</v>
      </c>
    </row>
    <row r="20" spans="1:6">
      <c r="A20">
        <v>1</v>
      </c>
      <c r="B20" t="s">
        <v>137</v>
      </c>
      <c r="C20" s="1">
        <v>2</v>
      </c>
      <c r="D20" s="1">
        <v>22</v>
      </c>
      <c r="E20" s="1">
        <v>40</v>
      </c>
      <c r="F20" s="1">
        <v>22</v>
      </c>
    </row>
    <row r="21" spans="1:6">
      <c r="A21">
        <v>1</v>
      </c>
      <c r="B21" t="s">
        <v>137</v>
      </c>
      <c r="C21" s="1">
        <v>2</v>
      </c>
      <c r="D21" s="1" t="s">
        <v>171</v>
      </c>
      <c r="E21" s="1">
        <v>42</v>
      </c>
      <c r="F21" s="1" t="s">
        <v>171</v>
      </c>
    </row>
    <row r="22" spans="1:6">
      <c r="A22">
        <v>1</v>
      </c>
      <c r="B22" t="s">
        <v>137</v>
      </c>
      <c r="C22" s="1">
        <v>2</v>
      </c>
      <c r="D22" s="1">
        <v>23</v>
      </c>
      <c r="E22" s="1">
        <v>50</v>
      </c>
      <c r="F22" s="1">
        <v>23</v>
      </c>
    </row>
    <row r="23" spans="1:6">
      <c r="A23">
        <v>1</v>
      </c>
      <c r="B23" t="s">
        <v>137</v>
      </c>
      <c r="C23" s="1">
        <v>2</v>
      </c>
      <c r="D23" s="1" t="s">
        <v>174</v>
      </c>
      <c r="E23" s="1">
        <v>52</v>
      </c>
      <c r="F23" s="1" t="s">
        <v>174</v>
      </c>
    </row>
    <row r="24" spans="1:6">
      <c r="A24">
        <v>1</v>
      </c>
      <c r="B24" t="s">
        <v>137</v>
      </c>
      <c r="C24" s="1">
        <v>2</v>
      </c>
      <c r="D24" s="1">
        <v>24</v>
      </c>
      <c r="E24" s="1">
        <v>60</v>
      </c>
      <c r="F24" s="1">
        <v>24</v>
      </c>
    </row>
    <row r="25" spans="1:6">
      <c r="A25">
        <v>1</v>
      </c>
      <c r="B25" t="s">
        <v>137</v>
      </c>
      <c r="C25" s="1">
        <v>2</v>
      </c>
      <c r="D25" s="1" t="s">
        <v>177</v>
      </c>
      <c r="E25" s="1">
        <v>62</v>
      </c>
      <c r="F25" s="1" t="s">
        <v>177</v>
      </c>
    </row>
    <row r="26" spans="1:6">
      <c r="A26">
        <v>1</v>
      </c>
      <c r="B26" t="s">
        <v>137</v>
      </c>
      <c r="C26" s="1">
        <v>2</v>
      </c>
      <c r="D26" s="1">
        <v>25</v>
      </c>
      <c r="E26" s="1">
        <v>70</v>
      </c>
      <c r="F26" s="1">
        <v>25</v>
      </c>
    </row>
    <row r="27" spans="1:6">
      <c r="A27">
        <v>1</v>
      </c>
      <c r="B27" t="s">
        <v>137</v>
      </c>
      <c r="C27" s="1">
        <v>2</v>
      </c>
      <c r="D27" s="1" t="s">
        <v>180</v>
      </c>
      <c r="E27" s="1">
        <v>72</v>
      </c>
      <c r="F27" s="1" t="s">
        <v>180</v>
      </c>
    </row>
    <row r="28" spans="1:6">
      <c r="A28">
        <v>5</v>
      </c>
      <c r="B28" t="s">
        <v>183</v>
      </c>
      <c r="E28" s="1">
        <v>50</v>
      </c>
    </row>
    <row r="29" spans="1:6">
      <c r="A29">
        <v>5</v>
      </c>
      <c r="B29" t="s">
        <v>183</v>
      </c>
      <c r="E29" s="1">
        <v>60</v>
      </c>
    </row>
    <row r="30" spans="1:6">
      <c r="A30">
        <v>5</v>
      </c>
      <c r="B30" t="s">
        <v>183</v>
      </c>
      <c r="E30" s="1">
        <v>62</v>
      </c>
    </row>
    <row r="31" spans="1:6">
      <c r="A31">
        <v>6</v>
      </c>
      <c r="B31" t="s">
        <v>184</v>
      </c>
      <c r="C31" s="1">
        <v>1</v>
      </c>
      <c r="D31" s="1" t="s">
        <v>290</v>
      </c>
      <c r="E31" s="1">
        <v>10</v>
      </c>
      <c r="F31" s="1" t="s">
        <v>290</v>
      </c>
    </row>
    <row r="32" spans="1:6">
      <c r="A32">
        <v>6</v>
      </c>
      <c r="B32" t="s">
        <v>184</v>
      </c>
      <c r="E32" s="1">
        <v>23</v>
      </c>
    </row>
    <row r="33" spans="1:6">
      <c r="A33">
        <v>6</v>
      </c>
      <c r="B33" t="s">
        <v>184</v>
      </c>
      <c r="E33" s="1">
        <v>22</v>
      </c>
    </row>
    <row r="34" spans="1:6">
      <c r="A34">
        <v>6</v>
      </c>
      <c r="B34" t="s">
        <v>184</v>
      </c>
      <c r="E34" s="1">
        <v>50</v>
      </c>
    </row>
    <row r="35" spans="1:6">
      <c r="A35">
        <v>6</v>
      </c>
      <c r="B35" t="s">
        <v>184</v>
      </c>
      <c r="E35" s="1">
        <v>63</v>
      </c>
    </row>
    <row r="36" spans="1:6">
      <c r="A36">
        <v>9</v>
      </c>
      <c r="B36" t="s">
        <v>185</v>
      </c>
      <c r="C36" s="1">
        <v>3</v>
      </c>
      <c r="D36" s="1" t="s">
        <v>278</v>
      </c>
      <c r="E36" s="1">
        <v>32</v>
      </c>
      <c r="F36" s="1" t="s">
        <v>278</v>
      </c>
    </row>
    <row r="37" spans="1:6">
      <c r="A37">
        <v>9</v>
      </c>
      <c r="B37" t="s">
        <v>185</v>
      </c>
      <c r="C37" s="1">
        <v>3</v>
      </c>
      <c r="D37" s="1" t="s">
        <v>279</v>
      </c>
      <c r="E37" s="1">
        <v>40</v>
      </c>
      <c r="F37" s="1" t="s">
        <v>279</v>
      </c>
    </row>
    <row r="38" spans="1:6">
      <c r="A38">
        <v>9</v>
      </c>
      <c r="B38" t="s">
        <v>185</v>
      </c>
      <c r="C38" s="1">
        <v>3</v>
      </c>
      <c r="D38" s="1" t="s">
        <v>280</v>
      </c>
      <c r="E38" s="1">
        <v>50</v>
      </c>
      <c r="F38" s="1" t="s">
        <v>280</v>
      </c>
    </row>
    <row r="39" spans="1:6">
      <c r="A39">
        <v>9</v>
      </c>
      <c r="B39" t="s">
        <v>185</v>
      </c>
      <c r="C39" s="1">
        <v>3</v>
      </c>
      <c r="D39" s="1" t="s">
        <v>281</v>
      </c>
      <c r="E39" s="1">
        <v>52</v>
      </c>
      <c r="F39" s="1" t="s">
        <v>281</v>
      </c>
    </row>
    <row r="40" spans="1:6">
      <c r="A40">
        <v>9</v>
      </c>
      <c r="B40" t="s">
        <v>185</v>
      </c>
      <c r="C40" s="1">
        <v>3</v>
      </c>
      <c r="D40" s="1" t="s">
        <v>282</v>
      </c>
      <c r="E40" s="1">
        <v>60</v>
      </c>
      <c r="F40" s="1" t="s">
        <v>282</v>
      </c>
    </row>
    <row r="41" spans="1:6">
      <c r="A41">
        <v>9</v>
      </c>
      <c r="B41" t="s">
        <v>185</v>
      </c>
      <c r="C41" s="1">
        <v>3</v>
      </c>
      <c r="D41" s="1" t="s">
        <v>283</v>
      </c>
      <c r="E41" s="1">
        <v>62</v>
      </c>
      <c r="F41" s="1" t="s">
        <v>283</v>
      </c>
    </row>
    <row r="42" spans="1:6">
      <c r="A42">
        <v>9</v>
      </c>
      <c r="B42" t="s">
        <v>185</v>
      </c>
      <c r="C42" s="1">
        <v>1</v>
      </c>
      <c r="D42" s="1" t="s">
        <v>272</v>
      </c>
      <c r="E42" s="1">
        <v>30</v>
      </c>
      <c r="F42" s="1" t="s">
        <v>272</v>
      </c>
    </row>
    <row r="43" spans="1:6">
      <c r="A43">
        <v>9</v>
      </c>
      <c r="B43" t="s">
        <v>185</v>
      </c>
      <c r="C43" s="1">
        <v>1</v>
      </c>
      <c r="D43" s="1" t="s">
        <v>273</v>
      </c>
      <c r="E43" s="1">
        <v>42</v>
      </c>
      <c r="F43" s="1" t="s">
        <v>273</v>
      </c>
    </row>
    <row r="44" spans="1:6">
      <c r="A44">
        <v>9</v>
      </c>
      <c r="B44" t="s">
        <v>185</v>
      </c>
      <c r="C44" s="1">
        <v>1</v>
      </c>
      <c r="D44" s="1" t="s">
        <v>274</v>
      </c>
      <c r="E44" s="1">
        <v>50</v>
      </c>
      <c r="F44" s="1" t="s">
        <v>274</v>
      </c>
    </row>
    <row r="45" spans="1:6">
      <c r="A45">
        <v>9</v>
      </c>
      <c r="B45" t="s">
        <v>185</v>
      </c>
      <c r="C45" s="1">
        <v>1</v>
      </c>
      <c r="D45" s="1" t="s">
        <v>275</v>
      </c>
      <c r="E45" s="1">
        <v>52</v>
      </c>
      <c r="F45" s="1" t="s">
        <v>275</v>
      </c>
    </row>
    <row r="46" spans="1:6">
      <c r="A46">
        <v>9</v>
      </c>
      <c r="B46" t="s">
        <v>185</v>
      </c>
      <c r="C46" s="1">
        <v>1</v>
      </c>
      <c r="D46" s="1" t="s">
        <v>276</v>
      </c>
      <c r="E46" s="1">
        <v>60</v>
      </c>
      <c r="F46" s="1" t="s">
        <v>276</v>
      </c>
    </row>
    <row r="47" spans="1:6">
      <c r="A47">
        <v>9</v>
      </c>
      <c r="B47" t="s">
        <v>185</v>
      </c>
      <c r="C47" s="1">
        <v>1</v>
      </c>
      <c r="D47" s="1" t="s">
        <v>277</v>
      </c>
      <c r="E47" s="1">
        <v>62</v>
      </c>
      <c r="F47" s="1" t="s">
        <v>277</v>
      </c>
    </row>
    <row r="48" spans="1:6">
      <c r="A48">
        <v>11</v>
      </c>
      <c r="B48" t="s">
        <v>186</v>
      </c>
      <c r="C48" s="1">
        <v>1</v>
      </c>
      <c r="D48" s="1">
        <v>39</v>
      </c>
      <c r="F48" s="1">
        <v>39</v>
      </c>
    </row>
    <row r="49" spans="1:6">
      <c r="A49">
        <v>11</v>
      </c>
      <c r="B49" t="s">
        <v>186</v>
      </c>
      <c r="C49" s="1">
        <v>1</v>
      </c>
      <c r="D49" s="1" t="s">
        <v>192</v>
      </c>
      <c r="E49" s="1">
        <v>2</v>
      </c>
      <c r="F49" s="1" t="s">
        <v>192</v>
      </c>
    </row>
    <row r="50" spans="1:6">
      <c r="A50">
        <v>11</v>
      </c>
      <c r="B50" t="s">
        <v>186</v>
      </c>
      <c r="C50" s="1">
        <v>1</v>
      </c>
      <c r="D50" s="1">
        <v>40</v>
      </c>
      <c r="E50" s="1">
        <v>10</v>
      </c>
      <c r="F50" s="1">
        <v>40</v>
      </c>
    </row>
    <row r="51" spans="1:6">
      <c r="A51">
        <v>11</v>
      </c>
      <c r="B51" t="s">
        <v>186</v>
      </c>
      <c r="C51" s="1">
        <v>1</v>
      </c>
      <c r="D51" s="1" t="s">
        <v>193</v>
      </c>
      <c r="E51" s="1">
        <v>12</v>
      </c>
      <c r="F51" s="1" t="s">
        <v>193</v>
      </c>
    </row>
    <row r="52" spans="1:6">
      <c r="A52">
        <v>11</v>
      </c>
      <c r="B52" t="s">
        <v>186</v>
      </c>
      <c r="C52" s="1">
        <v>1</v>
      </c>
      <c r="D52" s="1">
        <v>41</v>
      </c>
      <c r="E52" s="1">
        <v>20</v>
      </c>
      <c r="F52" s="1">
        <v>41</v>
      </c>
    </row>
    <row r="53" spans="1:6">
      <c r="A53">
        <v>11</v>
      </c>
      <c r="B53" t="s">
        <v>186</v>
      </c>
      <c r="C53" s="1">
        <v>1</v>
      </c>
      <c r="D53" s="1" t="s">
        <v>194</v>
      </c>
      <c r="E53" s="1">
        <v>22</v>
      </c>
      <c r="F53" s="1" t="s">
        <v>194</v>
      </c>
    </row>
    <row r="54" spans="1:6">
      <c r="A54">
        <v>11</v>
      </c>
      <c r="B54" t="s">
        <v>186</v>
      </c>
      <c r="C54" s="1">
        <v>1</v>
      </c>
      <c r="D54" s="1">
        <v>42</v>
      </c>
      <c r="E54" s="1">
        <v>30</v>
      </c>
      <c r="F54" s="1">
        <v>42</v>
      </c>
    </row>
    <row r="55" spans="1:6">
      <c r="A55">
        <v>11</v>
      </c>
      <c r="B55" t="s">
        <v>186</v>
      </c>
      <c r="C55" s="1">
        <v>1</v>
      </c>
      <c r="D55" s="1" t="s">
        <v>195</v>
      </c>
      <c r="E55" s="1">
        <v>32</v>
      </c>
      <c r="F55" s="1" t="s">
        <v>195</v>
      </c>
    </row>
    <row r="56" spans="1:6">
      <c r="A56">
        <v>11</v>
      </c>
      <c r="B56" t="s">
        <v>186</v>
      </c>
      <c r="C56" s="1">
        <v>1</v>
      </c>
      <c r="D56" s="1">
        <v>43</v>
      </c>
      <c r="E56" s="1">
        <v>40</v>
      </c>
      <c r="F56" s="1">
        <v>43</v>
      </c>
    </row>
    <row r="57" spans="1:6">
      <c r="A57">
        <v>11</v>
      </c>
      <c r="B57" t="s">
        <v>186</v>
      </c>
      <c r="C57" s="1">
        <v>1</v>
      </c>
      <c r="D57" s="1" t="s">
        <v>196</v>
      </c>
      <c r="E57" s="1">
        <v>42</v>
      </c>
      <c r="F57" s="1" t="s">
        <v>196</v>
      </c>
    </row>
    <row r="58" spans="1:6">
      <c r="A58">
        <v>11</v>
      </c>
      <c r="B58" t="s">
        <v>186</v>
      </c>
      <c r="C58" s="1">
        <v>1</v>
      </c>
      <c r="D58" s="1">
        <v>44</v>
      </c>
      <c r="E58" s="1">
        <v>50</v>
      </c>
      <c r="F58" s="1">
        <v>44</v>
      </c>
    </row>
    <row r="59" spans="1:6">
      <c r="A59">
        <v>11</v>
      </c>
      <c r="B59" t="s">
        <v>186</v>
      </c>
      <c r="C59" s="1">
        <v>1</v>
      </c>
      <c r="D59" s="1" t="s">
        <v>197</v>
      </c>
      <c r="E59" s="1">
        <v>52</v>
      </c>
      <c r="F59" s="1" t="s">
        <v>197</v>
      </c>
    </row>
    <row r="60" spans="1:6">
      <c r="A60">
        <v>11</v>
      </c>
      <c r="B60" t="s">
        <v>186</v>
      </c>
      <c r="C60" s="1">
        <v>1</v>
      </c>
      <c r="D60" s="1">
        <v>45</v>
      </c>
      <c r="E60" s="1">
        <v>60</v>
      </c>
      <c r="F60" s="1">
        <v>45</v>
      </c>
    </row>
    <row r="61" spans="1:6">
      <c r="A61">
        <v>11</v>
      </c>
      <c r="B61" t="s">
        <v>186</v>
      </c>
      <c r="C61" s="1">
        <v>1</v>
      </c>
      <c r="D61" s="1" t="s">
        <v>198</v>
      </c>
      <c r="E61" s="1">
        <v>62</v>
      </c>
      <c r="F61" s="1" t="s">
        <v>198</v>
      </c>
    </row>
    <row r="62" spans="1:6">
      <c r="A62">
        <v>11</v>
      </c>
      <c r="B62" t="s">
        <v>186</v>
      </c>
      <c r="C62" s="1">
        <v>1</v>
      </c>
      <c r="D62" s="1">
        <v>46</v>
      </c>
      <c r="E62" s="1">
        <v>70</v>
      </c>
      <c r="F62" s="1">
        <v>46</v>
      </c>
    </row>
    <row r="63" spans="1:6">
      <c r="A63">
        <v>11</v>
      </c>
      <c r="B63" t="s">
        <v>186</v>
      </c>
      <c r="C63" s="1">
        <v>1</v>
      </c>
      <c r="D63" s="1" t="s">
        <v>199</v>
      </c>
      <c r="E63" s="1">
        <v>72</v>
      </c>
      <c r="F63" s="1" t="s">
        <v>199</v>
      </c>
    </row>
    <row r="64" spans="1:6">
      <c r="A64">
        <v>11</v>
      </c>
      <c r="B64" t="s">
        <v>186</v>
      </c>
      <c r="E64" s="1">
        <v>92</v>
      </c>
    </row>
    <row r="65" spans="1:6">
      <c r="A65">
        <v>11</v>
      </c>
      <c r="B65" t="s">
        <v>186</v>
      </c>
      <c r="E65" s="1">
        <v>95</v>
      </c>
    </row>
    <row r="66" spans="1:6">
      <c r="A66">
        <v>11</v>
      </c>
      <c r="B66" t="s">
        <v>186</v>
      </c>
      <c r="E66" s="1">
        <v>96</v>
      </c>
    </row>
    <row r="67" spans="1:6">
      <c r="A67">
        <v>11</v>
      </c>
      <c r="B67" t="s">
        <v>186</v>
      </c>
      <c r="E67" s="1">
        <v>80</v>
      </c>
    </row>
    <row r="68" spans="1:6">
      <c r="A68">
        <v>12</v>
      </c>
      <c r="B68" t="s">
        <v>107</v>
      </c>
      <c r="C68" s="1">
        <v>1</v>
      </c>
      <c r="D68" s="1">
        <v>40</v>
      </c>
      <c r="E68" s="1">
        <v>10</v>
      </c>
      <c r="F68" s="1">
        <v>40</v>
      </c>
    </row>
    <row r="69" spans="1:6">
      <c r="A69">
        <v>12</v>
      </c>
      <c r="B69" t="s">
        <v>107</v>
      </c>
      <c r="C69" s="1">
        <v>1</v>
      </c>
      <c r="D69" s="1" t="s">
        <v>193</v>
      </c>
      <c r="E69" s="1">
        <v>12</v>
      </c>
      <c r="F69" s="1" t="s">
        <v>193</v>
      </c>
    </row>
    <row r="70" spans="1:6">
      <c r="A70">
        <v>12</v>
      </c>
      <c r="B70" t="s">
        <v>107</v>
      </c>
      <c r="C70" s="1">
        <v>1</v>
      </c>
      <c r="D70" s="1" t="s">
        <v>194</v>
      </c>
      <c r="E70" s="1">
        <v>22</v>
      </c>
      <c r="F70" s="1" t="s">
        <v>194</v>
      </c>
    </row>
    <row r="71" spans="1:6">
      <c r="A71">
        <v>12</v>
      </c>
      <c r="B71" t="s">
        <v>107</v>
      </c>
      <c r="C71" s="1">
        <v>1</v>
      </c>
      <c r="D71" s="1">
        <v>42</v>
      </c>
      <c r="E71" s="1">
        <v>30</v>
      </c>
      <c r="F71" s="1">
        <v>42</v>
      </c>
    </row>
    <row r="72" spans="1:6">
      <c r="A72">
        <v>12</v>
      </c>
      <c r="B72" t="s">
        <v>107</v>
      </c>
      <c r="C72" s="1">
        <v>1</v>
      </c>
      <c r="D72" s="1" t="s">
        <v>195</v>
      </c>
      <c r="E72" s="1">
        <v>32</v>
      </c>
      <c r="F72" s="1" t="s">
        <v>195</v>
      </c>
    </row>
    <row r="73" spans="1:6">
      <c r="A73">
        <v>12</v>
      </c>
      <c r="B73" t="s">
        <v>107</v>
      </c>
      <c r="C73" s="1">
        <v>1</v>
      </c>
      <c r="D73" s="1">
        <v>43</v>
      </c>
      <c r="E73" s="1">
        <v>40</v>
      </c>
      <c r="F73" s="1">
        <v>43</v>
      </c>
    </row>
    <row r="74" spans="1:6">
      <c r="A74">
        <v>12</v>
      </c>
      <c r="B74" t="s">
        <v>107</v>
      </c>
      <c r="C74" s="1">
        <v>1</v>
      </c>
      <c r="D74" s="1" t="s">
        <v>196</v>
      </c>
      <c r="E74" s="1">
        <v>42</v>
      </c>
      <c r="F74" s="1" t="s">
        <v>196</v>
      </c>
    </row>
    <row r="75" spans="1:6">
      <c r="A75">
        <v>12</v>
      </c>
      <c r="B75" t="s">
        <v>107</v>
      </c>
      <c r="C75" s="1">
        <v>1</v>
      </c>
      <c r="D75" s="1">
        <v>44</v>
      </c>
      <c r="E75" s="1">
        <v>50</v>
      </c>
      <c r="F75" s="1">
        <v>44</v>
      </c>
    </row>
    <row r="76" spans="1:6">
      <c r="A76">
        <v>12</v>
      </c>
      <c r="B76" t="s">
        <v>107</v>
      </c>
      <c r="C76" s="1">
        <v>1</v>
      </c>
      <c r="D76" s="1" t="s">
        <v>197</v>
      </c>
      <c r="E76" s="1">
        <v>52</v>
      </c>
      <c r="F76" s="1" t="s">
        <v>197</v>
      </c>
    </row>
    <row r="77" spans="1:6">
      <c r="A77">
        <v>12</v>
      </c>
      <c r="B77" t="s">
        <v>107</v>
      </c>
      <c r="C77" s="1">
        <v>1</v>
      </c>
      <c r="D77" s="1" t="s">
        <v>198</v>
      </c>
      <c r="E77" s="1">
        <v>62</v>
      </c>
      <c r="F77" s="1" t="s">
        <v>198</v>
      </c>
    </row>
    <row r="78" spans="1:6">
      <c r="A78">
        <v>12</v>
      </c>
      <c r="B78" t="s">
        <v>107</v>
      </c>
      <c r="C78" s="1">
        <v>1</v>
      </c>
      <c r="D78" s="1" t="s">
        <v>199</v>
      </c>
      <c r="E78" s="1">
        <v>72</v>
      </c>
      <c r="F78" s="1" t="s">
        <v>199</v>
      </c>
    </row>
    <row r="79" spans="1:6">
      <c r="A79">
        <v>13</v>
      </c>
      <c r="B79" t="s">
        <v>200</v>
      </c>
      <c r="C79" s="1">
        <v>1</v>
      </c>
      <c r="D79" s="1">
        <v>39</v>
      </c>
      <c r="F79" s="1">
        <v>39</v>
      </c>
    </row>
    <row r="80" spans="1:6">
      <c r="A80">
        <v>13</v>
      </c>
      <c r="B80" t="s">
        <v>200</v>
      </c>
      <c r="C80" s="1">
        <v>1</v>
      </c>
      <c r="D80" s="1" t="s">
        <v>192</v>
      </c>
      <c r="E80" s="1">
        <v>2</v>
      </c>
      <c r="F80" s="1" t="s">
        <v>192</v>
      </c>
    </row>
    <row r="81" spans="1:6">
      <c r="A81">
        <v>13</v>
      </c>
      <c r="B81" t="s">
        <v>200</v>
      </c>
      <c r="C81" s="1">
        <v>1</v>
      </c>
      <c r="D81" s="1">
        <v>40</v>
      </c>
      <c r="E81" s="1">
        <v>10</v>
      </c>
      <c r="F81" s="1">
        <v>40</v>
      </c>
    </row>
    <row r="82" spans="1:6">
      <c r="A82">
        <v>13</v>
      </c>
      <c r="B82" t="s">
        <v>200</v>
      </c>
      <c r="C82" s="1">
        <v>1</v>
      </c>
      <c r="D82" s="1" t="s">
        <v>193</v>
      </c>
      <c r="E82" s="1">
        <v>12</v>
      </c>
      <c r="F82" s="1" t="s">
        <v>193</v>
      </c>
    </row>
    <row r="83" spans="1:6">
      <c r="A83">
        <v>13</v>
      </c>
      <c r="B83" t="s">
        <v>200</v>
      </c>
      <c r="C83" s="1">
        <v>1</v>
      </c>
      <c r="D83" s="1">
        <v>41</v>
      </c>
      <c r="E83" s="1">
        <v>20</v>
      </c>
      <c r="F83" s="1">
        <v>41</v>
      </c>
    </row>
    <row r="84" spans="1:6">
      <c r="A84">
        <v>13</v>
      </c>
      <c r="B84" t="s">
        <v>200</v>
      </c>
      <c r="C84" s="1">
        <v>1</v>
      </c>
      <c r="D84" s="1" t="s">
        <v>194</v>
      </c>
      <c r="E84" s="1">
        <v>22</v>
      </c>
      <c r="F84" s="1" t="s">
        <v>194</v>
      </c>
    </row>
    <row r="85" spans="1:6">
      <c r="A85">
        <v>13</v>
      </c>
      <c r="B85" t="s">
        <v>200</v>
      </c>
      <c r="C85" s="1">
        <v>1</v>
      </c>
      <c r="D85" s="1">
        <v>42</v>
      </c>
      <c r="E85" s="1">
        <v>30</v>
      </c>
      <c r="F85" s="1">
        <v>42</v>
      </c>
    </row>
    <row r="86" spans="1:6">
      <c r="A86">
        <v>13</v>
      </c>
      <c r="B86" t="s">
        <v>200</v>
      </c>
      <c r="C86" s="1">
        <v>1</v>
      </c>
      <c r="D86" s="1" t="s">
        <v>195</v>
      </c>
      <c r="E86" s="1">
        <v>32</v>
      </c>
      <c r="F86" s="1" t="s">
        <v>195</v>
      </c>
    </row>
    <row r="87" spans="1:6">
      <c r="A87">
        <v>13</v>
      </c>
      <c r="B87" t="s">
        <v>200</v>
      </c>
      <c r="C87" s="1">
        <v>1</v>
      </c>
      <c r="D87" s="1">
        <v>43</v>
      </c>
      <c r="E87" s="1">
        <v>40</v>
      </c>
      <c r="F87" s="1">
        <v>43</v>
      </c>
    </row>
    <row r="88" spans="1:6">
      <c r="A88">
        <v>13</v>
      </c>
      <c r="B88" t="s">
        <v>200</v>
      </c>
      <c r="C88" s="1">
        <v>1</v>
      </c>
      <c r="D88" s="1" t="s">
        <v>196</v>
      </c>
      <c r="E88" s="1">
        <v>42</v>
      </c>
      <c r="F88" s="1" t="s">
        <v>196</v>
      </c>
    </row>
    <row r="89" spans="1:6">
      <c r="A89">
        <v>13</v>
      </c>
      <c r="B89" t="s">
        <v>200</v>
      </c>
      <c r="C89" s="1">
        <v>1</v>
      </c>
      <c r="D89" s="1">
        <v>44</v>
      </c>
      <c r="E89" s="1">
        <v>50</v>
      </c>
      <c r="F89" s="1">
        <v>44</v>
      </c>
    </row>
    <row r="90" spans="1:6">
      <c r="A90">
        <v>13</v>
      </c>
      <c r="B90" t="s">
        <v>200</v>
      </c>
      <c r="C90" s="1">
        <v>1</v>
      </c>
      <c r="D90" s="1" t="s">
        <v>197</v>
      </c>
      <c r="E90" s="1">
        <v>52</v>
      </c>
      <c r="F90" s="1" t="s">
        <v>197</v>
      </c>
    </row>
    <row r="91" spans="1:6">
      <c r="A91">
        <v>13</v>
      </c>
      <c r="B91" t="s">
        <v>200</v>
      </c>
      <c r="C91" s="1">
        <v>1</v>
      </c>
      <c r="D91" s="1">
        <v>45</v>
      </c>
      <c r="E91" s="1">
        <v>60</v>
      </c>
      <c r="F91" s="1">
        <v>45</v>
      </c>
    </row>
    <row r="92" spans="1:6">
      <c r="A92">
        <v>13</v>
      </c>
      <c r="B92" t="s">
        <v>200</v>
      </c>
      <c r="C92" s="1">
        <v>1</v>
      </c>
      <c r="D92" s="1" t="s">
        <v>198</v>
      </c>
      <c r="E92" s="1">
        <v>62</v>
      </c>
      <c r="F92" s="1" t="s">
        <v>198</v>
      </c>
    </row>
    <row r="93" spans="1:6">
      <c r="A93">
        <v>13</v>
      </c>
      <c r="B93" t="s">
        <v>200</v>
      </c>
      <c r="C93" s="1">
        <v>1</v>
      </c>
      <c r="D93" s="1">
        <v>46</v>
      </c>
      <c r="E93" s="1">
        <v>70</v>
      </c>
      <c r="F93" s="1">
        <v>46</v>
      </c>
    </row>
    <row r="94" spans="1:6">
      <c r="A94">
        <v>13</v>
      </c>
      <c r="B94" t="s">
        <v>200</v>
      </c>
      <c r="C94" s="1">
        <v>1</v>
      </c>
      <c r="D94" s="1" t="s">
        <v>199</v>
      </c>
      <c r="E94" s="1">
        <v>72</v>
      </c>
      <c r="F94" s="1" t="s">
        <v>199</v>
      </c>
    </row>
    <row r="95" spans="1:6">
      <c r="A95">
        <v>13</v>
      </c>
      <c r="B95" t="s">
        <v>200</v>
      </c>
      <c r="E95" s="1">
        <v>96</v>
      </c>
    </row>
    <row r="96" spans="1:6">
      <c r="A96">
        <v>15</v>
      </c>
      <c r="B96" t="s">
        <v>201</v>
      </c>
      <c r="C96" s="1">
        <v>4</v>
      </c>
      <c r="D96" s="1" t="s">
        <v>286</v>
      </c>
      <c r="E96" s="1">
        <v>70</v>
      </c>
      <c r="F96" s="1" t="s">
        <v>286</v>
      </c>
    </row>
    <row r="97" spans="1:6">
      <c r="A97">
        <v>15</v>
      </c>
      <c r="B97" t="s">
        <v>201</v>
      </c>
      <c r="E97" s="1">
        <v>70</v>
      </c>
    </row>
    <row r="98" spans="1:6">
      <c r="A98">
        <v>17</v>
      </c>
      <c r="B98" t="s">
        <v>203</v>
      </c>
      <c r="C98" s="1">
        <v>1</v>
      </c>
      <c r="D98" s="1" t="s">
        <v>292</v>
      </c>
      <c r="E98" s="1">
        <v>54</v>
      </c>
      <c r="F98" s="1" t="s">
        <v>292</v>
      </c>
    </row>
    <row r="99" spans="1:6">
      <c r="A99">
        <v>17</v>
      </c>
      <c r="B99" t="s">
        <v>203</v>
      </c>
      <c r="C99" s="1">
        <v>1</v>
      </c>
      <c r="D99" s="1" t="s">
        <v>291</v>
      </c>
      <c r="E99" s="1">
        <v>25</v>
      </c>
      <c r="F99" s="1" t="s">
        <v>291</v>
      </c>
    </row>
    <row r="100" spans="1:6">
      <c r="A100">
        <v>18</v>
      </c>
      <c r="B100" t="s">
        <v>204</v>
      </c>
      <c r="C100" s="1">
        <v>1</v>
      </c>
      <c r="D100" s="1" t="s">
        <v>194</v>
      </c>
      <c r="E100" s="1">
        <v>22</v>
      </c>
      <c r="F100" s="1" t="s">
        <v>194</v>
      </c>
    </row>
    <row r="101" spans="1:6">
      <c r="A101">
        <v>18</v>
      </c>
      <c r="B101" t="s">
        <v>204</v>
      </c>
      <c r="C101" s="1">
        <v>1</v>
      </c>
      <c r="D101" s="1" t="s">
        <v>195</v>
      </c>
      <c r="E101" s="1">
        <v>32</v>
      </c>
      <c r="F101" s="1" t="s">
        <v>195</v>
      </c>
    </row>
    <row r="102" spans="1:6">
      <c r="A102">
        <v>18</v>
      </c>
      <c r="B102" t="s">
        <v>204</v>
      </c>
      <c r="C102" s="1">
        <v>1</v>
      </c>
      <c r="D102" s="1">
        <v>43</v>
      </c>
      <c r="E102" s="1">
        <v>40</v>
      </c>
      <c r="F102" s="1">
        <v>43</v>
      </c>
    </row>
    <row r="103" spans="1:6">
      <c r="A103">
        <v>18</v>
      </c>
      <c r="B103" t="s">
        <v>204</v>
      </c>
      <c r="C103" s="1">
        <v>1</v>
      </c>
      <c r="D103" s="1" t="s">
        <v>196</v>
      </c>
      <c r="E103" s="1">
        <v>42</v>
      </c>
      <c r="F103" s="1" t="s">
        <v>196</v>
      </c>
    </row>
    <row r="104" spans="1:6">
      <c r="A104">
        <v>18</v>
      </c>
      <c r="B104" t="s">
        <v>204</v>
      </c>
      <c r="C104" s="1">
        <v>1</v>
      </c>
      <c r="D104" s="1" t="s">
        <v>197</v>
      </c>
      <c r="E104" s="1">
        <v>52</v>
      </c>
      <c r="F104" s="1" t="s">
        <v>197</v>
      </c>
    </row>
    <row r="105" spans="1:6">
      <c r="A105">
        <v>18</v>
      </c>
      <c r="B105" t="s">
        <v>204</v>
      </c>
      <c r="C105" s="1">
        <v>1</v>
      </c>
      <c r="D105" s="1">
        <v>45</v>
      </c>
      <c r="E105" s="1">
        <v>60</v>
      </c>
      <c r="F105" s="1">
        <v>45</v>
      </c>
    </row>
    <row r="106" spans="1:6">
      <c r="A106">
        <v>18</v>
      </c>
      <c r="B106" t="s">
        <v>204</v>
      </c>
      <c r="C106" s="1">
        <v>1</v>
      </c>
      <c r="D106" s="1" t="s">
        <v>199</v>
      </c>
      <c r="E106" s="1">
        <v>72</v>
      </c>
      <c r="F106" s="1" t="s">
        <v>199</v>
      </c>
    </row>
    <row r="107" spans="1:6">
      <c r="A107">
        <v>21</v>
      </c>
      <c r="B107" t="s">
        <v>205</v>
      </c>
      <c r="C107" s="1">
        <v>1</v>
      </c>
      <c r="D107" s="1" t="s">
        <v>284</v>
      </c>
      <c r="F107" s="1" t="s">
        <v>284</v>
      </c>
    </row>
    <row r="108" spans="1:6">
      <c r="A108">
        <v>21</v>
      </c>
      <c r="B108" t="s">
        <v>205</v>
      </c>
      <c r="C108" s="1">
        <v>1</v>
      </c>
      <c r="D108" s="1" t="s">
        <v>328</v>
      </c>
      <c r="E108" s="1">
        <v>20</v>
      </c>
      <c r="F108" s="1" t="s">
        <v>328</v>
      </c>
    </row>
    <row r="109" spans="1:6">
      <c r="A109">
        <v>21</v>
      </c>
      <c r="B109" t="s">
        <v>205</v>
      </c>
      <c r="C109" s="1">
        <v>1</v>
      </c>
      <c r="D109" s="1" t="s">
        <v>329</v>
      </c>
      <c r="E109" s="1">
        <v>30</v>
      </c>
      <c r="F109" s="1" t="s">
        <v>329</v>
      </c>
    </row>
    <row r="110" spans="1:6">
      <c r="A110">
        <v>21</v>
      </c>
      <c r="B110" t="s">
        <v>205</v>
      </c>
      <c r="C110" s="1">
        <v>1</v>
      </c>
      <c r="D110" s="1" t="s">
        <v>323</v>
      </c>
      <c r="E110" s="1">
        <v>32</v>
      </c>
      <c r="F110" s="1" t="s">
        <v>323</v>
      </c>
    </row>
    <row r="111" spans="1:6">
      <c r="A111">
        <v>21</v>
      </c>
      <c r="B111" t="s">
        <v>205</v>
      </c>
      <c r="C111" s="1">
        <v>1</v>
      </c>
      <c r="D111" s="1" t="s">
        <v>330</v>
      </c>
      <c r="E111" s="1">
        <v>42</v>
      </c>
      <c r="F111" s="1" t="s">
        <v>330</v>
      </c>
    </row>
    <row r="112" spans="1:6">
      <c r="A112">
        <v>21</v>
      </c>
      <c r="B112" t="s">
        <v>205</v>
      </c>
      <c r="C112" s="1">
        <v>1</v>
      </c>
      <c r="D112" s="1" t="s">
        <v>331</v>
      </c>
      <c r="E112" s="1">
        <v>50</v>
      </c>
      <c r="F112" s="1" t="s">
        <v>331</v>
      </c>
    </row>
    <row r="113" spans="1:6">
      <c r="A113">
        <v>21</v>
      </c>
      <c r="B113" t="s">
        <v>205</v>
      </c>
      <c r="C113" s="1">
        <v>1</v>
      </c>
      <c r="D113" s="1" t="s">
        <v>287</v>
      </c>
      <c r="E113" s="1">
        <v>52</v>
      </c>
      <c r="F113" s="1" t="s">
        <v>287</v>
      </c>
    </row>
    <row r="114" spans="1:6">
      <c r="A114">
        <v>21</v>
      </c>
      <c r="B114" t="s">
        <v>205</v>
      </c>
      <c r="C114" s="1">
        <v>1</v>
      </c>
      <c r="D114" s="1" t="s">
        <v>288</v>
      </c>
      <c r="E114" s="1">
        <v>62</v>
      </c>
      <c r="F114" s="1" t="s">
        <v>288</v>
      </c>
    </row>
    <row r="115" spans="1:6">
      <c r="A115">
        <v>22</v>
      </c>
      <c r="B115" t="s">
        <v>206</v>
      </c>
      <c r="C115" s="1">
        <v>1</v>
      </c>
      <c r="D115" s="1" t="s">
        <v>332</v>
      </c>
      <c r="E115" s="1">
        <v>40</v>
      </c>
      <c r="F115" s="1" t="s">
        <v>332</v>
      </c>
    </row>
    <row r="116" spans="1:6">
      <c r="A116">
        <v>22</v>
      </c>
      <c r="B116" t="s">
        <v>206</v>
      </c>
      <c r="C116" s="1">
        <v>1</v>
      </c>
      <c r="D116" s="1" t="s">
        <v>287</v>
      </c>
      <c r="E116" s="1">
        <v>52</v>
      </c>
      <c r="F116" s="1" t="s">
        <v>287</v>
      </c>
    </row>
    <row r="117" spans="1:6">
      <c r="A117">
        <v>24</v>
      </c>
      <c r="B117" t="s">
        <v>208</v>
      </c>
      <c r="C117" s="1">
        <v>1</v>
      </c>
      <c r="D117" s="1" t="s">
        <v>284</v>
      </c>
      <c r="E117" s="1">
        <v>20</v>
      </c>
      <c r="F117" s="1" t="s">
        <v>284</v>
      </c>
    </row>
    <row r="118" spans="1:6">
      <c r="A118">
        <v>24</v>
      </c>
      <c r="B118" t="s">
        <v>208</v>
      </c>
      <c r="E118" s="1">
        <v>90</v>
      </c>
    </row>
    <row r="119" spans="1:6">
      <c r="A119">
        <v>27</v>
      </c>
      <c r="B119" t="s">
        <v>210</v>
      </c>
      <c r="C119" s="1">
        <v>1</v>
      </c>
      <c r="D119" s="1">
        <v>40</v>
      </c>
      <c r="E119" s="1">
        <v>10</v>
      </c>
      <c r="F119" s="1">
        <v>40</v>
      </c>
    </row>
    <row r="120" spans="1:6">
      <c r="A120">
        <v>27</v>
      </c>
      <c r="B120" t="s">
        <v>210</v>
      </c>
      <c r="C120" s="1">
        <v>1</v>
      </c>
      <c r="D120" s="1" t="s">
        <v>194</v>
      </c>
      <c r="E120" s="1">
        <v>22</v>
      </c>
      <c r="F120" s="1" t="s">
        <v>194</v>
      </c>
    </row>
    <row r="121" spans="1:6">
      <c r="A121">
        <v>27</v>
      </c>
      <c r="B121" t="s">
        <v>210</v>
      </c>
      <c r="C121" s="1">
        <v>1</v>
      </c>
      <c r="D121" s="1">
        <v>42</v>
      </c>
      <c r="E121" s="1">
        <v>30</v>
      </c>
      <c r="F121" s="1">
        <v>42</v>
      </c>
    </row>
    <row r="122" spans="1:6">
      <c r="A122">
        <v>27</v>
      </c>
      <c r="B122" t="s">
        <v>210</v>
      </c>
      <c r="C122" s="1">
        <v>1</v>
      </c>
      <c r="D122" s="1" t="s">
        <v>195</v>
      </c>
      <c r="E122" s="1">
        <v>32</v>
      </c>
      <c r="F122" s="1" t="s">
        <v>195</v>
      </c>
    </row>
    <row r="123" spans="1:6">
      <c r="A123">
        <v>27</v>
      </c>
      <c r="B123" t="s">
        <v>210</v>
      </c>
      <c r="C123" s="1">
        <v>1</v>
      </c>
      <c r="D123" s="1" t="s">
        <v>196</v>
      </c>
      <c r="E123" s="1">
        <v>42</v>
      </c>
      <c r="F123" s="1" t="s">
        <v>196</v>
      </c>
    </row>
    <row r="124" spans="1:6">
      <c r="A124">
        <v>27</v>
      </c>
      <c r="B124" t="s">
        <v>210</v>
      </c>
      <c r="C124" s="1">
        <v>1</v>
      </c>
      <c r="D124" s="1">
        <v>44</v>
      </c>
      <c r="E124" s="1">
        <v>50</v>
      </c>
      <c r="F124" s="1">
        <v>44</v>
      </c>
    </row>
    <row r="125" spans="1:6">
      <c r="A125">
        <v>27</v>
      </c>
      <c r="B125" t="s">
        <v>210</v>
      </c>
      <c r="C125" s="1">
        <v>1</v>
      </c>
      <c r="D125" s="1">
        <v>45</v>
      </c>
      <c r="E125" s="1">
        <v>60</v>
      </c>
      <c r="F125" s="1">
        <v>45</v>
      </c>
    </row>
    <row r="126" spans="1:6">
      <c r="A126">
        <v>27</v>
      </c>
      <c r="B126" t="s">
        <v>210</v>
      </c>
      <c r="C126" s="1">
        <v>1</v>
      </c>
      <c r="D126" s="1" t="s">
        <v>198</v>
      </c>
      <c r="E126" s="1">
        <v>62</v>
      </c>
      <c r="F126" s="1" t="s">
        <v>198</v>
      </c>
    </row>
    <row r="127" spans="1:6">
      <c r="A127">
        <v>27</v>
      </c>
      <c r="B127" t="s">
        <v>210</v>
      </c>
      <c r="C127" s="1">
        <v>1</v>
      </c>
      <c r="D127" s="1">
        <v>46</v>
      </c>
      <c r="E127" s="1">
        <v>70</v>
      </c>
      <c r="F127" s="1">
        <v>46</v>
      </c>
    </row>
    <row r="128" spans="1:6">
      <c r="A128">
        <v>27</v>
      </c>
      <c r="B128" t="s">
        <v>210</v>
      </c>
      <c r="E128" s="1">
        <v>96</v>
      </c>
    </row>
    <row r="129" spans="1:6">
      <c r="A129">
        <v>28</v>
      </c>
      <c r="B129" t="s">
        <v>211</v>
      </c>
      <c r="C129" s="1">
        <v>1</v>
      </c>
      <c r="D129" s="1" t="s">
        <v>293</v>
      </c>
      <c r="E129" s="1">
        <v>30</v>
      </c>
      <c r="F129" s="1" t="s">
        <v>293</v>
      </c>
    </row>
    <row r="130" spans="1:6">
      <c r="A130">
        <v>31</v>
      </c>
      <c r="B130" t="s">
        <v>110</v>
      </c>
      <c r="C130" s="1">
        <v>1</v>
      </c>
      <c r="D130" s="1" t="s">
        <v>333</v>
      </c>
      <c r="E130" s="1">
        <v>2</v>
      </c>
      <c r="F130" s="1" t="s">
        <v>333</v>
      </c>
    </row>
    <row r="131" spans="1:6">
      <c r="A131">
        <v>31</v>
      </c>
      <c r="B131" t="s">
        <v>110</v>
      </c>
      <c r="C131" s="1">
        <v>1</v>
      </c>
      <c r="D131" s="1" t="s">
        <v>334</v>
      </c>
      <c r="E131" s="1">
        <v>12</v>
      </c>
      <c r="F131" s="1" t="s">
        <v>334</v>
      </c>
    </row>
    <row r="132" spans="1:6">
      <c r="A132">
        <v>31</v>
      </c>
      <c r="B132" t="s">
        <v>110</v>
      </c>
      <c r="C132" s="1">
        <v>1</v>
      </c>
      <c r="D132" s="1" t="s">
        <v>335</v>
      </c>
      <c r="E132" s="1">
        <v>22</v>
      </c>
      <c r="F132" s="1" t="s">
        <v>335</v>
      </c>
    </row>
    <row r="133" spans="1:6">
      <c r="A133">
        <v>31</v>
      </c>
      <c r="B133" t="s">
        <v>110</v>
      </c>
      <c r="E133" s="1">
        <v>91</v>
      </c>
    </row>
    <row r="134" spans="1:6">
      <c r="A134">
        <v>38</v>
      </c>
      <c r="B134" t="s">
        <v>217</v>
      </c>
      <c r="C134" s="1">
        <v>4</v>
      </c>
      <c r="D134" s="1" t="s">
        <v>294</v>
      </c>
      <c r="E134" s="1">
        <v>60</v>
      </c>
      <c r="F134" s="1" t="s">
        <v>294</v>
      </c>
    </row>
    <row r="135" spans="1:6">
      <c r="A135">
        <v>43</v>
      </c>
      <c r="B135" t="s">
        <v>221</v>
      </c>
      <c r="E135" s="1">
        <v>60</v>
      </c>
    </row>
    <row r="136" spans="1:6">
      <c r="A136">
        <v>43</v>
      </c>
      <c r="B136" t="s">
        <v>221</v>
      </c>
      <c r="E136" s="1">
        <v>40</v>
      </c>
    </row>
    <row r="137" spans="1:6">
      <c r="A137">
        <v>45</v>
      </c>
      <c r="B137" t="s">
        <v>223</v>
      </c>
      <c r="C137" s="1">
        <v>1</v>
      </c>
      <c r="D137" s="1" t="s">
        <v>324</v>
      </c>
      <c r="E137" s="1">
        <v>14</v>
      </c>
      <c r="F137" s="1" t="s">
        <v>325</v>
      </c>
    </row>
    <row r="138" spans="1:6">
      <c r="A138">
        <v>45</v>
      </c>
      <c r="B138" t="s">
        <v>223</v>
      </c>
      <c r="C138" s="1">
        <v>1</v>
      </c>
      <c r="D138" s="1" t="s">
        <v>336</v>
      </c>
      <c r="E138" s="1">
        <v>13</v>
      </c>
      <c r="F138" s="1" t="s">
        <v>337</v>
      </c>
    </row>
    <row r="139" spans="1:6">
      <c r="A139">
        <v>57</v>
      </c>
      <c r="B139" t="s">
        <v>183</v>
      </c>
      <c r="C139" s="1">
        <v>3</v>
      </c>
      <c r="D139" s="1" t="s">
        <v>339</v>
      </c>
      <c r="E139" s="1">
        <v>70</v>
      </c>
      <c r="F139" s="1" t="s">
        <v>339</v>
      </c>
    </row>
    <row r="140" spans="1:6">
      <c r="A140">
        <v>57</v>
      </c>
      <c r="B140" t="s">
        <v>183</v>
      </c>
      <c r="C140" s="1">
        <v>3</v>
      </c>
      <c r="D140" s="1" t="s">
        <v>338</v>
      </c>
      <c r="E140" s="1">
        <v>60</v>
      </c>
      <c r="F140" s="1" t="s">
        <v>338</v>
      </c>
    </row>
    <row r="141" spans="1:6">
      <c r="A141">
        <v>57</v>
      </c>
      <c r="B141" t="s">
        <v>183</v>
      </c>
      <c r="C141" s="1">
        <v>3</v>
      </c>
      <c r="D141" s="1" t="s">
        <v>340</v>
      </c>
      <c r="E141" s="1">
        <v>90</v>
      </c>
      <c r="F141" s="1" t="s">
        <v>340</v>
      </c>
    </row>
    <row r="142" spans="1:6">
      <c r="A142">
        <v>57</v>
      </c>
      <c r="B142" t="s">
        <v>183</v>
      </c>
      <c r="E142" s="1">
        <v>50</v>
      </c>
    </row>
    <row r="143" spans="1:6">
      <c r="A143">
        <v>57</v>
      </c>
      <c r="B143" t="s">
        <v>183</v>
      </c>
      <c r="E143" s="1">
        <v>60</v>
      </c>
    </row>
    <row r="144" spans="1:6">
      <c r="A144">
        <v>57</v>
      </c>
      <c r="B144" t="s">
        <v>183</v>
      </c>
      <c r="E144" s="1">
        <v>40</v>
      </c>
    </row>
    <row r="145" spans="1:6">
      <c r="A145">
        <v>58</v>
      </c>
      <c r="B145" t="s">
        <v>226</v>
      </c>
      <c r="C145" s="1">
        <v>2</v>
      </c>
      <c r="D145" s="1" t="s">
        <v>318</v>
      </c>
      <c r="E145" s="1">
        <v>60</v>
      </c>
      <c r="F145" s="1" t="s">
        <v>318</v>
      </c>
    </row>
    <row r="146" spans="1:6">
      <c r="A146">
        <v>58</v>
      </c>
      <c r="B146" t="s">
        <v>226</v>
      </c>
      <c r="C146" s="1">
        <v>3</v>
      </c>
      <c r="D146" s="1" t="s">
        <v>319</v>
      </c>
      <c r="E146" s="1">
        <v>60</v>
      </c>
      <c r="F146" s="1" t="s">
        <v>319</v>
      </c>
    </row>
    <row r="147" spans="1:6">
      <c r="A147">
        <v>59</v>
      </c>
      <c r="B147" t="s">
        <v>227</v>
      </c>
      <c r="C147" s="1">
        <v>3</v>
      </c>
      <c r="D147" s="1" t="s">
        <v>295</v>
      </c>
      <c r="E147" s="1">
        <v>23</v>
      </c>
      <c r="F147" s="1" t="s">
        <v>295</v>
      </c>
    </row>
    <row r="148" spans="1:6">
      <c r="A148">
        <v>59</v>
      </c>
      <c r="B148" t="s">
        <v>227</v>
      </c>
      <c r="E148" s="1">
        <v>23</v>
      </c>
    </row>
    <row r="149" spans="1:6">
      <c r="A149">
        <v>74</v>
      </c>
      <c r="B149" t="s">
        <v>235</v>
      </c>
      <c r="C149" s="1">
        <v>4</v>
      </c>
      <c r="D149" s="1" t="s">
        <v>341</v>
      </c>
      <c r="E149" s="1">
        <v>30</v>
      </c>
      <c r="F149" s="1" t="s">
        <v>341</v>
      </c>
    </row>
    <row r="150" spans="1:6">
      <c r="A150">
        <v>74</v>
      </c>
      <c r="B150" t="s">
        <v>235</v>
      </c>
      <c r="C150" s="1">
        <v>3</v>
      </c>
      <c r="D150" s="1" t="s">
        <v>321</v>
      </c>
      <c r="E150" s="1">
        <v>60</v>
      </c>
      <c r="F150" s="1" t="s">
        <v>321</v>
      </c>
    </row>
    <row r="151" spans="1:6">
      <c r="A151">
        <v>74</v>
      </c>
      <c r="B151" t="s">
        <v>235</v>
      </c>
      <c r="C151" s="1">
        <v>3</v>
      </c>
      <c r="D151" s="1" t="s">
        <v>320</v>
      </c>
      <c r="E151" s="1">
        <v>50</v>
      </c>
      <c r="F151" s="1" t="s">
        <v>320</v>
      </c>
    </row>
    <row r="152" spans="1:6">
      <c r="A152">
        <v>74</v>
      </c>
      <c r="B152" t="s">
        <v>235</v>
      </c>
      <c r="C152" s="1">
        <v>3</v>
      </c>
      <c r="D152" s="1" t="s">
        <v>326</v>
      </c>
      <c r="E152" s="1">
        <v>40</v>
      </c>
      <c r="F152" s="1" t="s">
        <v>326</v>
      </c>
    </row>
    <row r="153" spans="1:6">
      <c r="A153">
        <v>76</v>
      </c>
      <c r="B153" t="s">
        <v>270</v>
      </c>
      <c r="E153" s="1">
        <v>35</v>
      </c>
    </row>
    <row r="154" spans="1:6">
      <c r="A154">
        <v>77</v>
      </c>
      <c r="B154" t="s">
        <v>236</v>
      </c>
      <c r="C154" s="1">
        <v>2</v>
      </c>
      <c r="D154" s="1" t="s">
        <v>299</v>
      </c>
      <c r="F154" s="1" t="s">
        <v>299</v>
      </c>
    </row>
    <row r="155" spans="1:6">
      <c r="A155">
        <v>77</v>
      </c>
      <c r="B155" t="s">
        <v>236</v>
      </c>
      <c r="C155" s="1">
        <v>3</v>
      </c>
      <c r="D155" s="1" t="s">
        <v>300</v>
      </c>
      <c r="F155" s="1" t="s">
        <v>300</v>
      </c>
    </row>
    <row r="156" spans="1:6">
      <c r="A156">
        <v>77</v>
      </c>
      <c r="B156" t="s">
        <v>236</v>
      </c>
      <c r="C156" s="1">
        <v>1</v>
      </c>
      <c r="D156" s="1" t="s">
        <v>297</v>
      </c>
      <c r="E156" s="1">
        <v>50</v>
      </c>
      <c r="F156" s="1" t="s">
        <v>297</v>
      </c>
    </row>
    <row r="157" spans="1:6">
      <c r="A157">
        <v>77</v>
      </c>
      <c r="B157" t="s">
        <v>236</v>
      </c>
      <c r="C157" s="1">
        <v>1</v>
      </c>
      <c r="D157" s="1" t="s">
        <v>298</v>
      </c>
      <c r="E157" s="1">
        <v>54</v>
      </c>
      <c r="F157" s="1" t="s">
        <v>298</v>
      </c>
    </row>
    <row r="158" spans="1:6">
      <c r="A158">
        <v>77</v>
      </c>
      <c r="B158" t="s">
        <v>236</v>
      </c>
      <c r="C158" s="1">
        <v>1</v>
      </c>
      <c r="D158" s="1" t="s">
        <v>296</v>
      </c>
      <c r="E158" s="1">
        <v>25</v>
      </c>
      <c r="F158" s="1" t="s">
        <v>296</v>
      </c>
    </row>
    <row r="159" spans="1:6">
      <c r="A159">
        <v>77</v>
      </c>
      <c r="B159" t="s">
        <v>236</v>
      </c>
      <c r="E159" s="1">
        <v>50</v>
      </c>
    </row>
    <row r="160" spans="1:6">
      <c r="A160">
        <v>77</v>
      </c>
      <c r="B160" t="s">
        <v>236</v>
      </c>
      <c r="E160" s="1">
        <v>60</v>
      </c>
    </row>
    <row r="161" spans="1:6">
      <c r="A161">
        <v>77</v>
      </c>
      <c r="B161" t="s">
        <v>236</v>
      </c>
      <c r="E161" s="1">
        <v>66</v>
      </c>
    </row>
    <row r="162" spans="1:6">
      <c r="A162">
        <v>77</v>
      </c>
      <c r="B162" t="s">
        <v>236</v>
      </c>
      <c r="E162" s="1">
        <v>68</v>
      </c>
    </row>
    <row r="163" spans="1:6">
      <c r="A163">
        <v>77</v>
      </c>
      <c r="B163" t="s">
        <v>236</v>
      </c>
      <c r="E163" s="1">
        <v>90</v>
      </c>
    </row>
    <row r="164" spans="1:6">
      <c r="A164">
        <v>77</v>
      </c>
      <c r="B164" t="s">
        <v>236</v>
      </c>
      <c r="E164" s="1">
        <v>94</v>
      </c>
    </row>
    <row r="165" spans="1:6">
      <c r="A165">
        <v>77</v>
      </c>
      <c r="B165" t="s">
        <v>236</v>
      </c>
      <c r="E165" s="1">
        <v>96</v>
      </c>
    </row>
    <row r="166" spans="1:6">
      <c r="A166">
        <v>82</v>
      </c>
      <c r="B166" t="s">
        <v>239</v>
      </c>
      <c r="E166" s="1">
        <v>32</v>
      </c>
    </row>
    <row r="167" spans="1:6">
      <c r="A167">
        <v>82</v>
      </c>
      <c r="B167" t="s">
        <v>239</v>
      </c>
      <c r="E167" s="1">
        <v>52</v>
      </c>
    </row>
    <row r="168" spans="1:6">
      <c r="A168">
        <v>82</v>
      </c>
      <c r="B168" t="s">
        <v>239</v>
      </c>
      <c r="E168" s="1">
        <v>12</v>
      </c>
    </row>
    <row r="169" spans="1:6">
      <c r="A169">
        <v>91</v>
      </c>
      <c r="B169" t="s">
        <v>245</v>
      </c>
      <c r="C169" s="1">
        <v>9</v>
      </c>
      <c r="D169" s="1" t="s">
        <v>304</v>
      </c>
      <c r="E169" s="1">
        <v>4</v>
      </c>
      <c r="F169" s="1" t="s">
        <v>304</v>
      </c>
    </row>
    <row r="170" spans="1:6">
      <c r="A170">
        <v>91</v>
      </c>
      <c r="B170" t="s">
        <v>245</v>
      </c>
      <c r="C170" s="1">
        <v>7</v>
      </c>
      <c r="D170" s="1" t="s">
        <v>303</v>
      </c>
      <c r="E170" s="1">
        <v>14</v>
      </c>
      <c r="F170" s="1" t="s">
        <v>303</v>
      </c>
    </row>
    <row r="171" spans="1:6">
      <c r="A171">
        <v>91</v>
      </c>
      <c r="B171" t="s">
        <v>245</v>
      </c>
      <c r="C171" s="1">
        <v>7</v>
      </c>
      <c r="D171" s="1" t="s">
        <v>302</v>
      </c>
      <c r="E171" s="1">
        <v>12</v>
      </c>
      <c r="F171" s="1" t="s">
        <v>302</v>
      </c>
    </row>
    <row r="172" spans="1:6">
      <c r="A172">
        <v>91</v>
      </c>
      <c r="B172" t="s">
        <v>245</v>
      </c>
      <c r="C172" s="1">
        <v>6</v>
      </c>
      <c r="D172" s="1" t="s">
        <v>301</v>
      </c>
      <c r="F172" s="1" t="s">
        <v>301</v>
      </c>
    </row>
    <row r="173" spans="1:6">
      <c r="A173">
        <v>91</v>
      </c>
      <c r="B173" t="s">
        <v>245</v>
      </c>
      <c r="C173" s="1">
        <v>1</v>
      </c>
      <c r="D173" s="1" t="s">
        <v>297</v>
      </c>
      <c r="E173" s="1">
        <v>50</v>
      </c>
      <c r="F173" s="1" t="s">
        <v>297</v>
      </c>
    </row>
    <row r="174" spans="1:6">
      <c r="A174">
        <v>91</v>
      </c>
      <c r="B174" t="s">
        <v>245</v>
      </c>
      <c r="C174" s="1">
        <v>1</v>
      </c>
      <c r="D174" s="1" t="s">
        <v>298</v>
      </c>
      <c r="E174" s="1">
        <v>54</v>
      </c>
      <c r="F174" s="1" t="s">
        <v>298</v>
      </c>
    </row>
    <row r="175" spans="1:6">
      <c r="A175">
        <v>92</v>
      </c>
      <c r="B175" t="s">
        <v>246</v>
      </c>
      <c r="C175" s="1">
        <v>31</v>
      </c>
      <c r="D175" s="1" t="s">
        <v>292</v>
      </c>
      <c r="E175" s="1">
        <v>54</v>
      </c>
      <c r="F175" s="1" t="s">
        <v>292</v>
      </c>
    </row>
    <row r="176" spans="1:6">
      <c r="A176">
        <v>92</v>
      </c>
      <c r="B176" t="s">
        <v>246</v>
      </c>
      <c r="C176" s="1">
        <v>1</v>
      </c>
      <c r="D176" s="1" t="s">
        <v>298</v>
      </c>
      <c r="E176" s="1">
        <v>54</v>
      </c>
      <c r="F176" s="1" t="s">
        <v>298</v>
      </c>
    </row>
    <row r="177" spans="1:6">
      <c r="A177">
        <v>92</v>
      </c>
      <c r="B177" t="s">
        <v>246</v>
      </c>
      <c r="C177" s="1">
        <v>31</v>
      </c>
      <c r="D177" s="1" t="s">
        <v>291</v>
      </c>
      <c r="E177" s="1">
        <v>25</v>
      </c>
      <c r="F177" s="1" t="s">
        <v>291</v>
      </c>
    </row>
    <row r="178" spans="1:6">
      <c r="A178">
        <v>92</v>
      </c>
      <c r="B178" t="s">
        <v>246</v>
      </c>
      <c r="C178" s="1">
        <v>1</v>
      </c>
      <c r="D178" s="1" t="s">
        <v>296</v>
      </c>
      <c r="E178" s="1">
        <v>25</v>
      </c>
      <c r="F178" s="1" t="s">
        <v>296</v>
      </c>
    </row>
    <row r="179" spans="1:6">
      <c r="A179">
        <v>92</v>
      </c>
      <c r="B179" t="s">
        <v>246</v>
      </c>
      <c r="E179" s="1">
        <v>96</v>
      </c>
    </row>
    <row r="180" spans="1:6">
      <c r="A180">
        <v>93</v>
      </c>
      <c r="B180" t="s">
        <v>247</v>
      </c>
      <c r="C180" s="1">
        <v>9</v>
      </c>
      <c r="D180" s="1" t="s">
        <v>304</v>
      </c>
      <c r="E180" s="1">
        <v>4</v>
      </c>
      <c r="F180" s="1" t="s">
        <v>304</v>
      </c>
    </row>
    <row r="181" spans="1:6">
      <c r="A181">
        <v>93</v>
      </c>
      <c r="B181" t="s">
        <v>247</v>
      </c>
      <c r="C181" s="1">
        <v>7</v>
      </c>
      <c r="D181" s="1" t="s">
        <v>306</v>
      </c>
      <c r="E181" s="1">
        <v>7</v>
      </c>
      <c r="F181" s="1" t="s">
        <v>306</v>
      </c>
    </row>
    <row r="182" spans="1:6">
      <c r="A182">
        <v>93</v>
      </c>
      <c r="B182" t="s">
        <v>247</v>
      </c>
      <c r="C182" s="1">
        <v>6</v>
      </c>
      <c r="D182" s="1" t="s">
        <v>305</v>
      </c>
      <c r="E182" s="1">
        <v>10</v>
      </c>
      <c r="F182" s="1" t="s">
        <v>305</v>
      </c>
    </row>
    <row r="183" spans="1:6">
      <c r="A183">
        <v>95</v>
      </c>
      <c r="B183" t="s">
        <v>248</v>
      </c>
      <c r="C183" s="1">
        <v>6</v>
      </c>
      <c r="D183" s="1" t="s">
        <v>301</v>
      </c>
      <c r="F183" s="1" t="s">
        <v>301</v>
      </c>
    </row>
    <row r="184" spans="1:6">
      <c r="A184">
        <v>95</v>
      </c>
      <c r="B184" t="s">
        <v>248</v>
      </c>
      <c r="C184" s="1">
        <v>4</v>
      </c>
      <c r="D184" s="1" t="s">
        <v>307</v>
      </c>
      <c r="F184" s="1" t="s">
        <v>307</v>
      </c>
    </row>
    <row r="185" spans="1:6">
      <c r="A185">
        <v>95</v>
      </c>
      <c r="B185" t="s">
        <v>248</v>
      </c>
      <c r="C185" s="1">
        <v>5</v>
      </c>
      <c r="D185" s="1" t="s">
        <v>308</v>
      </c>
      <c r="F185" s="1" t="s">
        <v>308</v>
      </c>
    </row>
    <row r="186" spans="1:6">
      <c r="A186">
        <v>96</v>
      </c>
      <c r="B186" t="s">
        <v>249</v>
      </c>
      <c r="C186" s="1">
        <v>7</v>
      </c>
      <c r="D186" s="1" t="s">
        <v>311</v>
      </c>
      <c r="E186" s="1">
        <v>10</v>
      </c>
      <c r="F186" s="1" t="s">
        <v>311</v>
      </c>
    </row>
    <row r="187" spans="1:6">
      <c r="A187">
        <v>96</v>
      </c>
      <c r="B187" t="s">
        <v>249</v>
      </c>
      <c r="C187" s="1">
        <v>6</v>
      </c>
      <c r="D187" s="1" t="s">
        <v>310</v>
      </c>
      <c r="E187" s="1">
        <v>10</v>
      </c>
      <c r="F187" s="1" t="s">
        <v>310</v>
      </c>
    </row>
    <row r="188" spans="1:6">
      <c r="A188">
        <v>96</v>
      </c>
      <c r="B188" t="s">
        <v>249</v>
      </c>
      <c r="C188" s="1">
        <v>5</v>
      </c>
      <c r="D188" s="1" t="s">
        <v>309</v>
      </c>
      <c r="E188" s="1">
        <v>12</v>
      </c>
      <c r="F188" s="1" t="s">
        <v>309</v>
      </c>
    </row>
    <row r="189" spans="1:6">
      <c r="A189">
        <v>98</v>
      </c>
      <c r="B189" t="s">
        <v>250</v>
      </c>
      <c r="C189" s="1">
        <v>9</v>
      </c>
      <c r="D189" s="1" t="s">
        <v>304</v>
      </c>
      <c r="E189" s="1">
        <v>4</v>
      </c>
      <c r="F189" s="1" t="s">
        <v>304</v>
      </c>
    </row>
    <row r="190" spans="1:6">
      <c r="A190">
        <v>98</v>
      </c>
      <c r="B190" t="s">
        <v>250</v>
      </c>
      <c r="C190" s="1">
        <v>7</v>
      </c>
      <c r="D190" s="1" t="s">
        <v>306</v>
      </c>
      <c r="E190" s="1">
        <v>7</v>
      </c>
      <c r="F190" s="1" t="s">
        <v>306</v>
      </c>
    </row>
    <row r="191" spans="1:6">
      <c r="A191">
        <v>98</v>
      </c>
      <c r="B191" t="s">
        <v>250</v>
      </c>
      <c r="C191" s="1">
        <v>6</v>
      </c>
      <c r="D191" s="1" t="s">
        <v>301</v>
      </c>
      <c r="F191" s="1" t="s">
        <v>301</v>
      </c>
    </row>
    <row r="192" spans="1:6">
      <c r="A192">
        <v>98</v>
      </c>
      <c r="B192" t="s">
        <v>250</v>
      </c>
      <c r="C192" s="1">
        <v>6</v>
      </c>
      <c r="D192" s="1" t="s">
        <v>312</v>
      </c>
      <c r="E192" s="1">
        <v>4</v>
      </c>
      <c r="F192" s="1" t="s">
        <v>312</v>
      </c>
    </row>
    <row r="193" spans="1:6">
      <c r="A193">
        <v>98</v>
      </c>
      <c r="B193" t="s">
        <v>250</v>
      </c>
      <c r="C193" s="1">
        <v>6</v>
      </c>
      <c r="D193" s="1" t="s">
        <v>313</v>
      </c>
      <c r="E193" s="1">
        <v>7</v>
      </c>
      <c r="F193" s="1" t="s">
        <v>313</v>
      </c>
    </row>
    <row r="194" spans="1:6">
      <c r="A194">
        <v>98</v>
      </c>
      <c r="B194" t="s">
        <v>250</v>
      </c>
      <c r="C194" s="1">
        <v>5</v>
      </c>
      <c r="D194" s="1" t="s">
        <v>308</v>
      </c>
      <c r="F194" s="1" t="s">
        <v>308</v>
      </c>
    </row>
    <row r="195" spans="1:6">
      <c r="A195">
        <v>98</v>
      </c>
      <c r="B195" t="s">
        <v>250</v>
      </c>
      <c r="C195" s="1">
        <v>8</v>
      </c>
      <c r="D195" s="1" t="s">
        <v>314</v>
      </c>
      <c r="F195" s="1" t="s">
        <v>314</v>
      </c>
    </row>
    <row r="196" spans="1:6">
      <c r="A196">
        <v>99</v>
      </c>
      <c r="B196" t="s">
        <v>251</v>
      </c>
      <c r="C196" s="1">
        <v>9</v>
      </c>
      <c r="D196" s="1" t="s">
        <v>316</v>
      </c>
      <c r="F196" s="1" t="s">
        <v>316</v>
      </c>
    </row>
    <row r="197" spans="1:6">
      <c r="A197">
        <v>99</v>
      </c>
      <c r="B197" t="s">
        <v>251</v>
      </c>
      <c r="C197" s="1">
        <v>7</v>
      </c>
      <c r="D197" s="1" t="s">
        <v>315</v>
      </c>
      <c r="E197" s="1">
        <v>10</v>
      </c>
      <c r="F197" s="1" t="s">
        <v>315</v>
      </c>
    </row>
    <row r="365" spans="1:6">
      <c r="A365">
        <v>11</v>
      </c>
      <c r="B365" t="s">
        <v>186</v>
      </c>
      <c r="C365" s="1">
        <v>1</v>
      </c>
      <c r="D365" s="1">
        <v>45</v>
      </c>
      <c r="E365" s="1">
        <v>60</v>
      </c>
      <c r="F365" s="1">
        <v>45</v>
      </c>
    </row>
    <row r="366" spans="1:6">
      <c r="A366">
        <v>1</v>
      </c>
      <c r="B366" t="s">
        <v>137</v>
      </c>
      <c r="C366" s="1">
        <v>1</v>
      </c>
      <c r="D366" s="1">
        <v>12</v>
      </c>
      <c r="E366" s="1">
        <v>50</v>
      </c>
      <c r="F366" s="1">
        <v>12</v>
      </c>
    </row>
    <row r="367" spans="1:6">
      <c r="A367">
        <v>1</v>
      </c>
      <c r="B367" t="s">
        <v>137</v>
      </c>
      <c r="C367" s="1">
        <v>1</v>
      </c>
      <c r="D367" s="1">
        <v>13</v>
      </c>
      <c r="E367" s="1">
        <v>60</v>
      </c>
      <c r="F367" s="1">
        <v>13</v>
      </c>
    </row>
    <row r="368" spans="1:6">
      <c r="A368">
        <v>1</v>
      </c>
      <c r="B368" t="s">
        <v>137</v>
      </c>
      <c r="C368" s="1">
        <v>1</v>
      </c>
      <c r="D368" s="1" t="s">
        <v>144</v>
      </c>
      <c r="E368" s="1">
        <v>62</v>
      </c>
      <c r="F368" s="1" t="s">
        <v>144</v>
      </c>
    </row>
    <row r="369" spans="1:6">
      <c r="A369">
        <v>1</v>
      </c>
      <c r="B369" t="s">
        <v>137</v>
      </c>
      <c r="C369" s="1">
        <v>1</v>
      </c>
      <c r="D369" s="1">
        <v>14</v>
      </c>
      <c r="E369" s="1">
        <v>70</v>
      </c>
      <c r="F369" s="1">
        <v>14</v>
      </c>
    </row>
    <row r="370" spans="1:6">
      <c r="A370">
        <v>1</v>
      </c>
      <c r="B370" t="s">
        <v>137</v>
      </c>
      <c r="C370" s="1">
        <v>1</v>
      </c>
      <c r="D370" s="1" t="s">
        <v>147</v>
      </c>
      <c r="E370" s="1">
        <v>72</v>
      </c>
      <c r="F370" s="1" t="s">
        <v>147</v>
      </c>
    </row>
    <row r="371" spans="1:6">
      <c r="A371">
        <v>1</v>
      </c>
      <c r="B371" t="s">
        <v>137</v>
      </c>
      <c r="C371" s="1">
        <v>1</v>
      </c>
      <c r="D371" s="1">
        <v>15</v>
      </c>
      <c r="E371" s="1">
        <v>80</v>
      </c>
      <c r="F371" s="1">
        <v>15</v>
      </c>
    </row>
    <row r="372" spans="1:6">
      <c r="A372">
        <v>1</v>
      </c>
      <c r="B372" t="s">
        <v>137</v>
      </c>
      <c r="C372" s="1">
        <v>1</v>
      </c>
      <c r="D372" s="1" t="s">
        <v>150</v>
      </c>
      <c r="E372" s="1">
        <v>82</v>
      </c>
      <c r="F372" s="1" t="s">
        <v>150</v>
      </c>
    </row>
    <row r="373" spans="1:6">
      <c r="A373">
        <v>1</v>
      </c>
      <c r="B373" t="s">
        <v>137</v>
      </c>
      <c r="C373" s="1">
        <v>1</v>
      </c>
      <c r="D373" s="1">
        <v>16</v>
      </c>
      <c r="E373" s="1">
        <v>90</v>
      </c>
      <c r="F373" s="1">
        <v>16</v>
      </c>
    </row>
    <row r="374" spans="1:6">
      <c r="A374">
        <v>1</v>
      </c>
      <c r="B374" t="s">
        <v>137</v>
      </c>
      <c r="C374" s="1">
        <v>1</v>
      </c>
      <c r="D374" s="1" t="s">
        <v>153</v>
      </c>
      <c r="E374" s="1">
        <v>92</v>
      </c>
      <c r="F374" s="1" t="s">
        <v>153</v>
      </c>
    </row>
    <row r="375" spans="1:6">
      <c r="A375">
        <v>1</v>
      </c>
      <c r="B375" t="s">
        <v>137</v>
      </c>
      <c r="C375" s="1">
        <v>1</v>
      </c>
      <c r="D375" s="1">
        <v>17</v>
      </c>
      <c r="E375" s="1">
        <v>94</v>
      </c>
      <c r="F375" s="1">
        <v>17</v>
      </c>
    </row>
    <row r="376" spans="1:6">
      <c r="A376">
        <v>1</v>
      </c>
      <c r="B376" t="s">
        <v>137</v>
      </c>
      <c r="C376" s="1">
        <v>1</v>
      </c>
      <c r="D376" s="1" t="s">
        <v>156</v>
      </c>
      <c r="E376" s="1">
        <v>96</v>
      </c>
      <c r="F376" s="1" t="s">
        <v>156</v>
      </c>
    </row>
    <row r="377" spans="1:6">
      <c r="A377">
        <v>1</v>
      </c>
      <c r="B377" t="s">
        <v>137</v>
      </c>
      <c r="C377" s="1">
        <v>2</v>
      </c>
      <c r="D377" s="1" t="s">
        <v>159</v>
      </c>
      <c r="E377" s="1">
        <v>2</v>
      </c>
      <c r="F377" s="1" t="s">
        <v>159</v>
      </c>
    </row>
    <row r="378" spans="1:6">
      <c r="A378">
        <v>1</v>
      </c>
      <c r="B378" t="s">
        <v>137</v>
      </c>
      <c r="C378" s="1">
        <v>2</v>
      </c>
      <c r="D378" s="1">
        <v>19</v>
      </c>
      <c r="E378" s="1">
        <v>10</v>
      </c>
      <c r="F378" s="1">
        <v>19</v>
      </c>
    </row>
    <row r="379" spans="1:6">
      <c r="A379">
        <v>1</v>
      </c>
      <c r="B379" t="s">
        <v>137</v>
      </c>
      <c r="C379" s="1">
        <v>2</v>
      </c>
      <c r="D379" s="1" t="s">
        <v>162</v>
      </c>
      <c r="E379" s="1">
        <v>12</v>
      </c>
      <c r="F379" s="1" t="s">
        <v>162</v>
      </c>
    </row>
    <row r="380" spans="1:6">
      <c r="A380">
        <v>1</v>
      </c>
      <c r="B380" t="s">
        <v>137</v>
      </c>
      <c r="C380" s="1">
        <v>2</v>
      </c>
      <c r="D380" s="1">
        <v>20</v>
      </c>
      <c r="E380" s="1">
        <v>20</v>
      </c>
      <c r="F380" s="1">
        <v>20</v>
      </c>
    </row>
    <row r="381" spans="1:6">
      <c r="A381">
        <v>1</v>
      </c>
      <c r="B381" t="s">
        <v>137</v>
      </c>
      <c r="C381" s="1">
        <v>2</v>
      </c>
      <c r="D381" s="1" t="s">
        <v>165</v>
      </c>
      <c r="E381" s="1">
        <v>22</v>
      </c>
      <c r="F381" s="1" t="s">
        <v>165</v>
      </c>
    </row>
    <row r="382" spans="1:6">
      <c r="A382">
        <v>1</v>
      </c>
      <c r="B382" t="s">
        <v>137</v>
      </c>
      <c r="C382" s="1">
        <v>2</v>
      </c>
      <c r="D382" s="1">
        <v>21</v>
      </c>
      <c r="E382" s="1">
        <v>30</v>
      </c>
      <c r="F382" s="1">
        <v>21</v>
      </c>
    </row>
    <row r="383" spans="1:6">
      <c r="A383">
        <v>1</v>
      </c>
      <c r="B383" t="s">
        <v>137</v>
      </c>
      <c r="C383" s="1">
        <v>2</v>
      </c>
      <c r="D383" s="1" t="s">
        <v>168</v>
      </c>
      <c r="E383" s="1">
        <v>32</v>
      </c>
      <c r="F383" s="1" t="s">
        <v>168</v>
      </c>
    </row>
    <row r="384" spans="1:6">
      <c r="A384">
        <v>1</v>
      </c>
      <c r="B384" t="s">
        <v>137</v>
      </c>
      <c r="C384" s="1">
        <v>2</v>
      </c>
      <c r="D384" s="1">
        <v>22</v>
      </c>
      <c r="E384" s="1">
        <v>40</v>
      </c>
      <c r="F384" s="1">
        <v>22</v>
      </c>
    </row>
    <row r="385" spans="1:6">
      <c r="A385">
        <v>1</v>
      </c>
      <c r="B385" t="s">
        <v>137</v>
      </c>
      <c r="C385" s="1">
        <v>2</v>
      </c>
      <c r="D385" s="1" t="s">
        <v>171</v>
      </c>
      <c r="E385" s="1">
        <v>42</v>
      </c>
      <c r="F385" s="1" t="s">
        <v>171</v>
      </c>
    </row>
    <row r="386" spans="1:6">
      <c r="A386">
        <v>1</v>
      </c>
      <c r="B386" t="s">
        <v>137</v>
      </c>
      <c r="C386" s="1">
        <v>2</v>
      </c>
      <c r="D386" s="1">
        <v>23</v>
      </c>
      <c r="E386" s="1">
        <v>50</v>
      </c>
      <c r="F386" s="1">
        <v>23</v>
      </c>
    </row>
    <row r="387" spans="1:6">
      <c r="A387">
        <v>1</v>
      </c>
      <c r="B387" t="s">
        <v>137</v>
      </c>
      <c r="C387" s="1">
        <v>2</v>
      </c>
      <c r="D387" s="1" t="s">
        <v>174</v>
      </c>
      <c r="E387" s="1">
        <v>52</v>
      </c>
      <c r="F387" s="1" t="s">
        <v>174</v>
      </c>
    </row>
    <row r="388" spans="1:6">
      <c r="A388">
        <v>1</v>
      </c>
      <c r="B388" t="s">
        <v>137</v>
      </c>
      <c r="C388" s="1">
        <v>2</v>
      </c>
      <c r="D388" s="1">
        <v>24</v>
      </c>
      <c r="E388" s="1">
        <v>60</v>
      </c>
      <c r="F388" s="1">
        <v>24</v>
      </c>
    </row>
    <row r="389" spans="1:6">
      <c r="A389">
        <v>1</v>
      </c>
      <c r="B389" t="s">
        <v>137</v>
      </c>
      <c r="C389" s="1">
        <v>2</v>
      </c>
      <c r="D389" s="1" t="s">
        <v>177</v>
      </c>
      <c r="E389" s="1">
        <v>62</v>
      </c>
      <c r="F389" s="1" t="s">
        <v>177</v>
      </c>
    </row>
    <row r="390" spans="1:6">
      <c r="A390">
        <v>1</v>
      </c>
      <c r="B390" t="s">
        <v>137</v>
      </c>
      <c r="C390" s="1">
        <v>2</v>
      </c>
      <c r="D390" s="1" t="s">
        <v>180</v>
      </c>
      <c r="E390" s="1">
        <v>72</v>
      </c>
      <c r="F390" s="1" t="s">
        <v>180</v>
      </c>
    </row>
    <row r="391" spans="1:6">
      <c r="A391">
        <v>1</v>
      </c>
      <c r="B391" t="s">
        <v>137</v>
      </c>
      <c r="C391" s="1">
        <v>2</v>
      </c>
      <c r="D391" s="1">
        <v>18</v>
      </c>
      <c r="F391" s="1">
        <v>18</v>
      </c>
    </row>
    <row r="392" spans="1:6">
      <c r="A392">
        <v>5</v>
      </c>
      <c r="B392" t="s">
        <v>183</v>
      </c>
      <c r="E392" s="1">
        <v>50</v>
      </c>
    </row>
    <row r="393" spans="1:6">
      <c r="A393">
        <v>5</v>
      </c>
      <c r="B393" t="s">
        <v>183</v>
      </c>
      <c r="E393" s="1">
        <v>60</v>
      </c>
    </row>
    <row r="394" spans="1:6">
      <c r="A394">
        <v>6</v>
      </c>
      <c r="B394" t="s">
        <v>184</v>
      </c>
      <c r="C394" s="1">
        <v>1</v>
      </c>
      <c r="D394" s="1" t="s">
        <v>290</v>
      </c>
      <c r="E394" s="1">
        <v>10</v>
      </c>
      <c r="F394" s="1" t="s">
        <v>290</v>
      </c>
    </row>
    <row r="395" spans="1:6">
      <c r="A395">
        <v>6</v>
      </c>
      <c r="B395" t="s">
        <v>184</v>
      </c>
      <c r="E395" s="1">
        <v>63</v>
      </c>
    </row>
    <row r="396" spans="1:6">
      <c r="A396">
        <v>7</v>
      </c>
      <c r="B396" t="s">
        <v>344</v>
      </c>
      <c r="E396" s="1">
        <v>80</v>
      </c>
    </row>
    <row r="397" spans="1:6">
      <c r="A397">
        <v>8</v>
      </c>
      <c r="B397" t="s">
        <v>345</v>
      </c>
      <c r="C397" s="1">
        <v>1</v>
      </c>
      <c r="D397" s="1" t="s">
        <v>144</v>
      </c>
      <c r="E397" s="1">
        <v>2</v>
      </c>
      <c r="F397" s="1" t="s">
        <v>144</v>
      </c>
    </row>
    <row r="398" spans="1:6">
      <c r="A398">
        <v>8</v>
      </c>
      <c r="B398" t="s">
        <v>345</v>
      </c>
      <c r="C398" s="1">
        <v>1</v>
      </c>
      <c r="D398" s="1">
        <v>14</v>
      </c>
      <c r="E398" s="1">
        <v>10</v>
      </c>
      <c r="F398" s="1">
        <v>14</v>
      </c>
    </row>
    <row r="399" spans="1:6">
      <c r="A399">
        <v>8</v>
      </c>
      <c r="B399" t="s">
        <v>345</v>
      </c>
      <c r="C399" s="1">
        <v>1</v>
      </c>
      <c r="D399" s="1" t="s">
        <v>147</v>
      </c>
      <c r="E399" s="1">
        <v>12</v>
      </c>
      <c r="F399" s="1" t="s">
        <v>147</v>
      </c>
    </row>
    <row r="400" spans="1:6">
      <c r="A400">
        <v>8</v>
      </c>
      <c r="B400" t="s">
        <v>345</v>
      </c>
      <c r="C400" s="1">
        <v>1</v>
      </c>
      <c r="D400" s="1">
        <v>15</v>
      </c>
      <c r="E400" s="1">
        <v>20</v>
      </c>
      <c r="F400" s="1">
        <v>15</v>
      </c>
    </row>
    <row r="401" spans="1:6">
      <c r="A401">
        <v>8</v>
      </c>
      <c r="B401" t="s">
        <v>345</v>
      </c>
      <c r="C401" s="1">
        <v>1</v>
      </c>
      <c r="D401" s="1" t="s">
        <v>150</v>
      </c>
      <c r="E401" s="1">
        <v>22</v>
      </c>
      <c r="F401" s="1" t="s">
        <v>150</v>
      </c>
    </row>
    <row r="402" spans="1:6">
      <c r="A402">
        <v>8</v>
      </c>
      <c r="B402" t="s">
        <v>345</v>
      </c>
      <c r="C402" s="1">
        <v>1</v>
      </c>
      <c r="D402" s="1">
        <v>16</v>
      </c>
      <c r="E402" s="1">
        <v>30</v>
      </c>
      <c r="F402" s="1">
        <v>16</v>
      </c>
    </row>
    <row r="403" spans="1:6">
      <c r="A403">
        <v>8</v>
      </c>
      <c r="B403" t="s">
        <v>345</v>
      </c>
      <c r="C403" s="1">
        <v>1</v>
      </c>
      <c r="D403" s="1" t="s">
        <v>153</v>
      </c>
      <c r="E403" s="1">
        <v>32</v>
      </c>
      <c r="F403" s="1" t="s">
        <v>153</v>
      </c>
    </row>
    <row r="404" spans="1:6">
      <c r="A404">
        <v>8</v>
      </c>
      <c r="B404" t="s">
        <v>345</v>
      </c>
      <c r="C404" s="1">
        <v>1</v>
      </c>
      <c r="D404" s="1">
        <v>17</v>
      </c>
      <c r="E404" s="1">
        <v>40</v>
      </c>
      <c r="F404" s="1">
        <v>17</v>
      </c>
    </row>
    <row r="405" spans="1:6">
      <c r="A405">
        <v>8</v>
      </c>
      <c r="B405" t="s">
        <v>345</v>
      </c>
      <c r="C405" s="1">
        <v>1</v>
      </c>
      <c r="D405" s="1" t="s">
        <v>156</v>
      </c>
      <c r="E405" s="1">
        <v>42</v>
      </c>
      <c r="F405" s="1" t="s">
        <v>156</v>
      </c>
    </row>
    <row r="406" spans="1:6">
      <c r="A406">
        <v>8</v>
      </c>
      <c r="B406" t="s">
        <v>345</v>
      </c>
      <c r="C406" s="1">
        <v>1</v>
      </c>
      <c r="D406" s="1">
        <v>13</v>
      </c>
      <c r="F406" s="1">
        <v>13</v>
      </c>
    </row>
    <row r="407" spans="1:6">
      <c r="A407">
        <v>8</v>
      </c>
      <c r="B407" t="s">
        <v>345</v>
      </c>
      <c r="E407" s="1">
        <v>72</v>
      </c>
    </row>
    <row r="408" spans="1:6">
      <c r="A408">
        <v>8</v>
      </c>
      <c r="B408" t="s">
        <v>345</v>
      </c>
      <c r="E408" s="1">
        <v>80</v>
      </c>
    </row>
    <row r="409" spans="1:6">
      <c r="A409">
        <v>8</v>
      </c>
      <c r="B409" t="s">
        <v>345</v>
      </c>
      <c r="E409" s="1">
        <v>82</v>
      </c>
    </row>
    <row r="410" spans="1:6">
      <c r="A410">
        <v>8</v>
      </c>
      <c r="B410" t="s">
        <v>345</v>
      </c>
      <c r="E410" s="1">
        <v>90</v>
      </c>
    </row>
    <row r="411" spans="1:6">
      <c r="A411">
        <v>8</v>
      </c>
      <c r="B411" t="s">
        <v>345</v>
      </c>
      <c r="E411" s="1">
        <v>92</v>
      </c>
    </row>
    <row r="412" spans="1:6">
      <c r="A412">
        <v>11</v>
      </c>
      <c r="B412" t="s">
        <v>186</v>
      </c>
      <c r="C412" s="1">
        <v>1</v>
      </c>
      <c r="D412" s="1" t="s">
        <v>192</v>
      </c>
      <c r="E412" s="1">
        <v>2</v>
      </c>
      <c r="F412" s="1" t="s">
        <v>192</v>
      </c>
    </row>
    <row r="413" spans="1:6">
      <c r="A413">
        <v>11</v>
      </c>
      <c r="B413" t="s">
        <v>186</v>
      </c>
      <c r="C413" s="1">
        <v>1</v>
      </c>
      <c r="D413" s="1">
        <v>40</v>
      </c>
      <c r="E413" s="1">
        <v>10</v>
      </c>
      <c r="F413" s="1">
        <v>40</v>
      </c>
    </row>
    <row r="414" spans="1:6">
      <c r="A414">
        <v>11</v>
      </c>
      <c r="B414" t="s">
        <v>186</v>
      </c>
      <c r="C414" s="1">
        <v>1</v>
      </c>
      <c r="D414" s="1" t="s">
        <v>193</v>
      </c>
      <c r="E414" s="1">
        <v>12</v>
      </c>
      <c r="F414" s="1" t="s">
        <v>193</v>
      </c>
    </row>
    <row r="415" spans="1:6">
      <c r="A415">
        <v>11</v>
      </c>
      <c r="B415" t="s">
        <v>186</v>
      </c>
      <c r="C415" s="1">
        <v>1</v>
      </c>
      <c r="D415" s="1">
        <v>41</v>
      </c>
      <c r="E415" s="1">
        <v>20</v>
      </c>
      <c r="F415" s="1">
        <v>41</v>
      </c>
    </row>
    <row r="416" spans="1:6">
      <c r="A416">
        <v>11</v>
      </c>
      <c r="B416" t="s">
        <v>186</v>
      </c>
      <c r="C416" s="1">
        <v>1</v>
      </c>
      <c r="D416" s="1" t="s">
        <v>194</v>
      </c>
      <c r="E416" s="1">
        <v>22</v>
      </c>
      <c r="F416" s="1" t="s">
        <v>194</v>
      </c>
    </row>
    <row r="417" spans="1:6">
      <c r="A417">
        <v>11</v>
      </c>
      <c r="B417" t="s">
        <v>186</v>
      </c>
      <c r="C417" s="1">
        <v>1</v>
      </c>
      <c r="D417" s="1">
        <v>42</v>
      </c>
      <c r="E417" s="1">
        <v>30</v>
      </c>
      <c r="F417" s="1">
        <v>42</v>
      </c>
    </row>
    <row r="418" spans="1:6">
      <c r="A418">
        <v>11</v>
      </c>
      <c r="B418" t="s">
        <v>186</v>
      </c>
      <c r="C418" s="1">
        <v>1</v>
      </c>
      <c r="D418" s="1" t="s">
        <v>195</v>
      </c>
      <c r="E418" s="1">
        <v>32</v>
      </c>
      <c r="F418" s="1" t="s">
        <v>195</v>
      </c>
    </row>
    <row r="419" spans="1:6">
      <c r="A419">
        <v>11</v>
      </c>
      <c r="B419" t="s">
        <v>186</v>
      </c>
      <c r="C419" s="1">
        <v>1</v>
      </c>
      <c r="D419" s="1">
        <v>43</v>
      </c>
      <c r="E419" s="1">
        <v>40</v>
      </c>
      <c r="F419" s="1">
        <v>43</v>
      </c>
    </row>
    <row r="420" spans="1:6">
      <c r="A420">
        <v>11</v>
      </c>
      <c r="B420" t="s">
        <v>186</v>
      </c>
      <c r="C420" s="1">
        <v>1</v>
      </c>
      <c r="D420" s="1" t="s">
        <v>196</v>
      </c>
      <c r="E420" s="1">
        <v>42</v>
      </c>
      <c r="F420" s="1" t="s">
        <v>196</v>
      </c>
    </row>
    <row r="421" spans="1:6">
      <c r="A421">
        <v>11</v>
      </c>
      <c r="B421" t="s">
        <v>186</v>
      </c>
      <c r="C421" s="1">
        <v>1</v>
      </c>
      <c r="D421" s="1">
        <v>44</v>
      </c>
      <c r="E421" s="1">
        <v>50</v>
      </c>
      <c r="F421" s="1">
        <v>44</v>
      </c>
    </row>
    <row r="422" spans="1:6">
      <c r="A422">
        <v>11</v>
      </c>
      <c r="B422" t="s">
        <v>186</v>
      </c>
      <c r="C422" s="1">
        <v>1</v>
      </c>
      <c r="D422" s="1" t="s">
        <v>197</v>
      </c>
      <c r="E422" s="1">
        <v>52</v>
      </c>
      <c r="F422" s="1" t="s">
        <v>197</v>
      </c>
    </row>
    <row r="423" spans="1:6">
      <c r="A423">
        <v>11</v>
      </c>
      <c r="B423" t="s">
        <v>186</v>
      </c>
      <c r="C423" s="1">
        <v>1</v>
      </c>
      <c r="D423" s="1">
        <v>45</v>
      </c>
      <c r="E423" s="1">
        <v>60</v>
      </c>
      <c r="F423" s="1">
        <v>45</v>
      </c>
    </row>
    <row r="424" spans="1:6">
      <c r="A424">
        <v>11</v>
      </c>
      <c r="B424" t="s">
        <v>186</v>
      </c>
      <c r="C424" s="1">
        <v>1</v>
      </c>
      <c r="D424" s="1" t="s">
        <v>198</v>
      </c>
      <c r="E424" s="1">
        <v>62</v>
      </c>
      <c r="F424" s="1" t="s">
        <v>198</v>
      </c>
    </row>
    <row r="425" spans="1:6">
      <c r="A425">
        <v>11</v>
      </c>
      <c r="B425" t="s">
        <v>186</v>
      </c>
      <c r="C425" s="1">
        <v>1</v>
      </c>
      <c r="D425" s="1">
        <v>46</v>
      </c>
      <c r="E425" s="1">
        <v>70</v>
      </c>
      <c r="F425" s="1">
        <v>46</v>
      </c>
    </row>
    <row r="426" spans="1:6">
      <c r="A426">
        <v>11</v>
      </c>
      <c r="B426" t="s">
        <v>186</v>
      </c>
      <c r="C426" s="1">
        <v>1</v>
      </c>
      <c r="D426" s="1" t="s">
        <v>199</v>
      </c>
      <c r="E426" s="1">
        <v>72</v>
      </c>
      <c r="F426" s="1" t="s">
        <v>199</v>
      </c>
    </row>
    <row r="427" spans="1:6">
      <c r="A427">
        <v>11</v>
      </c>
      <c r="B427" t="s">
        <v>186</v>
      </c>
      <c r="C427" s="1">
        <v>1</v>
      </c>
      <c r="D427" s="1">
        <v>39</v>
      </c>
      <c r="F427" s="1">
        <v>39</v>
      </c>
    </row>
    <row r="428" spans="1:6">
      <c r="A428">
        <v>11</v>
      </c>
      <c r="B428" t="s">
        <v>186</v>
      </c>
      <c r="E428" s="1">
        <v>90</v>
      </c>
    </row>
    <row r="429" spans="1:6">
      <c r="A429">
        <v>11</v>
      </c>
      <c r="B429" t="s">
        <v>186</v>
      </c>
      <c r="E429" s="1">
        <v>92</v>
      </c>
    </row>
    <row r="430" spans="1:6">
      <c r="A430">
        <v>11</v>
      </c>
      <c r="B430" t="s">
        <v>186</v>
      </c>
      <c r="E430" s="1">
        <v>95</v>
      </c>
    </row>
    <row r="431" spans="1:6">
      <c r="A431">
        <v>11</v>
      </c>
      <c r="B431" t="s">
        <v>186</v>
      </c>
      <c r="E431" s="1">
        <v>96</v>
      </c>
    </row>
    <row r="432" spans="1:6">
      <c r="A432">
        <v>12</v>
      </c>
      <c r="B432" t="s">
        <v>107</v>
      </c>
      <c r="C432" s="1">
        <v>1</v>
      </c>
      <c r="D432" s="1" t="s">
        <v>192</v>
      </c>
      <c r="E432" s="1">
        <v>2</v>
      </c>
      <c r="F432" s="1" t="s">
        <v>192</v>
      </c>
    </row>
    <row r="433" spans="1:6">
      <c r="A433">
        <v>12</v>
      </c>
      <c r="B433" t="s">
        <v>107</v>
      </c>
      <c r="C433" s="1">
        <v>1</v>
      </c>
      <c r="D433" s="1">
        <v>40</v>
      </c>
      <c r="E433" s="1">
        <v>10</v>
      </c>
      <c r="F433" s="1">
        <v>40</v>
      </c>
    </row>
    <row r="434" spans="1:6">
      <c r="A434">
        <v>12</v>
      </c>
      <c r="B434" t="s">
        <v>107</v>
      </c>
      <c r="C434" s="1">
        <v>1</v>
      </c>
      <c r="D434" s="1" t="s">
        <v>193</v>
      </c>
      <c r="E434" s="1">
        <v>12</v>
      </c>
      <c r="F434" s="1" t="s">
        <v>193</v>
      </c>
    </row>
    <row r="435" spans="1:6">
      <c r="A435">
        <v>12</v>
      </c>
      <c r="B435" t="s">
        <v>107</v>
      </c>
      <c r="C435" s="1">
        <v>1</v>
      </c>
      <c r="D435" s="1">
        <v>41</v>
      </c>
      <c r="E435" s="1">
        <v>20</v>
      </c>
      <c r="F435" s="1">
        <v>41</v>
      </c>
    </row>
    <row r="436" spans="1:6">
      <c r="A436">
        <v>12</v>
      </c>
      <c r="B436" t="s">
        <v>107</v>
      </c>
      <c r="C436" s="1">
        <v>1</v>
      </c>
      <c r="D436" s="1" t="s">
        <v>194</v>
      </c>
      <c r="E436" s="1">
        <v>22</v>
      </c>
      <c r="F436" s="1" t="s">
        <v>194</v>
      </c>
    </row>
    <row r="437" spans="1:6">
      <c r="A437">
        <v>12</v>
      </c>
      <c r="B437" t="s">
        <v>107</v>
      </c>
      <c r="C437" s="1">
        <v>1</v>
      </c>
      <c r="D437" s="1">
        <v>42</v>
      </c>
      <c r="E437" s="1">
        <v>30</v>
      </c>
      <c r="F437" s="1">
        <v>42</v>
      </c>
    </row>
    <row r="438" spans="1:6">
      <c r="A438">
        <v>12</v>
      </c>
      <c r="B438" t="s">
        <v>107</v>
      </c>
      <c r="C438" s="1">
        <v>1</v>
      </c>
      <c r="D438" s="1" t="s">
        <v>195</v>
      </c>
      <c r="E438" s="1">
        <v>32</v>
      </c>
      <c r="F438" s="1" t="s">
        <v>195</v>
      </c>
    </row>
    <row r="439" spans="1:6">
      <c r="A439">
        <v>12</v>
      </c>
      <c r="B439" t="s">
        <v>107</v>
      </c>
      <c r="C439" s="1">
        <v>1</v>
      </c>
      <c r="D439" s="1">
        <v>43</v>
      </c>
      <c r="E439" s="1">
        <v>40</v>
      </c>
      <c r="F439" s="1">
        <v>43</v>
      </c>
    </row>
    <row r="440" spans="1:6">
      <c r="A440">
        <v>12</v>
      </c>
      <c r="B440" t="s">
        <v>107</v>
      </c>
      <c r="C440" s="1">
        <v>1</v>
      </c>
      <c r="D440" s="1" t="s">
        <v>196</v>
      </c>
      <c r="E440" s="1">
        <v>42</v>
      </c>
      <c r="F440" s="1" t="s">
        <v>196</v>
      </c>
    </row>
    <row r="441" spans="1:6">
      <c r="A441">
        <v>12</v>
      </c>
      <c r="B441" t="s">
        <v>107</v>
      </c>
      <c r="C441" s="1">
        <v>1</v>
      </c>
      <c r="D441" s="1">
        <v>44</v>
      </c>
      <c r="E441" s="1">
        <v>50</v>
      </c>
      <c r="F441" s="1">
        <v>44</v>
      </c>
    </row>
    <row r="442" spans="1:6">
      <c r="A442">
        <v>12</v>
      </c>
      <c r="B442" t="s">
        <v>107</v>
      </c>
      <c r="C442" s="1">
        <v>1</v>
      </c>
      <c r="D442" s="1" t="s">
        <v>197</v>
      </c>
      <c r="E442" s="1">
        <v>52</v>
      </c>
      <c r="F442" s="1" t="s">
        <v>197</v>
      </c>
    </row>
    <row r="443" spans="1:6">
      <c r="A443">
        <v>12</v>
      </c>
      <c r="B443" t="s">
        <v>107</v>
      </c>
      <c r="C443" s="1">
        <v>1</v>
      </c>
      <c r="D443" s="1">
        <v>45</v>
      </c>
      <c r="E443" s="1">
        <v>60</v>
      </c>
      <c r="F443" s="1">
        <v>45</v>
      </c>
    </row>
    <row r="444" spans="1:6">
      <c r="A444">
        <v>12</v>
      </c>
      <c r="B444" t="s">
        <v>107</v>
      </c>
      <c r="C444" s="1">
        <v>1</v>
      </c>
      <c r="D444" s="1" t="s">
        <v>198</v>
      </c>
      <c r="E444" s="1">
        <v>62</v>
      </c>
      <c r="F444" s="1" t="s">
        <v>198</v>
      </c>
    </row>
    <row r="445" spans="1:6">
      <c r="A445">
        <v>12</v>
      </c>
      <c r="B445" t="s">
        <v>107</v>
      </c>
      <c r="C445" s="1">
        <v>1</v>
      </c>
      <c r="D445" s="1">
        <v>39</v>
      </c>
      <c r="F445" s="1">
        <v>39</v>
      </c>
    </row>
    <row r="446" spans="1:6">
      <c r="A446">
        <v>12</v>
      </c>
      <c r="B446" t="s">
        <v>107</v>
      </c>
      <c r="E446" s="1">
        <v>96</v>
      </c>
    </row>
    <row r="447" spans="1:6">
      <c r="A447">
        <v>13</v>
      </c>
      <c r="B447" t="s">
        <v>200</v>
      </c>
      <c r="C447" s="1">
        <v>1</v>
      </c>
      <c r="D447" s="1" t="s">
        <v>192</v>
      </c>
      <c r="E447" s="1">
        <v>2</v>
      </c>
      <c r="F447" s="1" t="s">
        <v>192</v>
      </c>
    </row>
    <row r="448" spans="1:6">
      <c r="A448">
        <v>13</v>
      </c>
      <c r="B448" t="s">
        <v>200</v>
      </c>
      <c r="C448" s="1">
        <v>1</v>
      </c>
      <c r="D448" s="1">
        <v>40</v>
      </c>
      <c r="E448" s="1">
        <v>10</v>
      </c>
      <c r="F448" s="1">
        <v>40</v>
      </c>
    </row>
    <row r="449" spans="1:6">
      <c r="A449">
        <v>13</v>
      </c>
      <c r="B449" t="s">
        <v>200</v>
      </c>
      <c r="C449" s="1">
        <v>1</v>
      </c>
      <c r="D449" s="1" t="s">
        <v>193</v>
      </c>
      <c r="E449" s="1">
        <v>12</v>
      </c>
      <c r="F449" s="1" t="s">
        <v>193</v>
      </c>
    </row>
    <row r="450" spans="1:6">
      <c r="A450">
        <v>13</v>
      </c>
      <c r="B450" t="s">
        <v>200</v>
      </c>
      <c r="C450" s="1">
        <v>1</v>
      </c>
      <c r="D450" s="1">
        <v>41</v>
      </c>
      <c r="E450" s="1">
        <v>20</v>
      </c>
      <c r="F450" s="1">
        <v>41</v>
      </c>
    </row>
    <row r="451" spans="1:6">
      <c r="A451">
        <v>13</v>
      </c>
      <c r="B451" t="s">
        <v>200</v>
      </c>
      <c r="C451" s="1">
        <v>1</v>
      </c>
      <c r="D451" s="1" t="s">
        <v>194</v>
      </c>
      <c r="E451" s="1">
        <v>22</v>
      </c>
      <c r="F451" s="1" t="s">
        <v>194</v>
      </c>
    </row>
    <row r="452" spans="1:6">
      <c r="A452">
        <v>13</v>
      </c>
      <c r="B452" t="s">
        <v>200</v>
      </c>
      <c r="C452" s="1">
        <v>1</v>
      </c>
      <c r="D452" s="1">
        <v>42</v>
      </c>
      <c r="E452" s="1">
        <v>30</v>
      </c>
      <c r="F452" s="1">
        <v>42</v>
      </c>
    </row>
    <row r="453" spans="1:6">
      <c r="A453">
        <v>13</v>
      </c>
      <c r="B453" t="s">
        <v>200</v>
      </c>
      <c r="C453" s="1">
        <v>1</v>
      </c>
      <c r="D453" s="1" t="s">
        <v>195</v>
      </c>
      <c r="E453" s="1">
        <v>32</v>
      </c>
      <c r="F453" s="1" t="s">
        <v>195</v>
      </c>
    </row>
    <row r="454" spans="1:6">
      <c r="A454">
        <v>13</v>
      </c>
      <c r="B454" t="s">
        <v>200</v>
      </c>
      <c r="C454" s="1">
        <v>1</v>
      </c>
      <c r="D454" s="1">
        <v>43</v>
      </c>
      <c r="E454" s="1">
        <v>40</v>
      </c>
      <c r="F454" s="1">
        <v>43</v>
      </c>
    </row>
    <row r="455" spans="1:6">
      <c r="A455">
        <v>13</v>
      </c>
      <c r="B455" t="s">
        <v>200</v>
      </c>
      <c r="C455" s="1">
        <v>1</v>
      </c>
      <c r="D455" s="1" t="s">
        <v>196</v>
      </c>
      <c r="E455" s="1">
        <v>42</v>
      </c>
      <c r="F455" s="1" t="s">
        <v>196</v>
      </c>
    </row>
    <row r="456" spans="1:6">
      <c r="A456">
        <v>13</v>
      </c>
      <c r="B456" t="s">
        <v>200</v>
      </c>
      <c r="C456" s="1">
        <v>1</v>
      </c>
      <c r="D456" s="1">
        <v>44</v>
      </c>
      <c r="E456" s="1">
        <v>50</v>
      </c>
      <c r="F456" s="1">
        <v>44</v>
      </c>
    </row>
    <row r="457" spans="1:6">
      <c r="A457">
        <v>13</v>
      </c>
      <c r="B457" t="s">
        <v>200</v>
      </c>
      <c r="C457" s="1">
        <v>1</v>
      </c>
      <c r="D457" s="1" t="s">
        <v>197</v>
      </c>
      <c r="E457" s="1">
        <v>52</v>
      </c>
      <c r="F457" s="1" t="s">
        <v>197</v>
      </c>
    </row>
    <row r="458" spans="1:6">
      <c r="A458">
        <v>13</v>
      </c>
      <c r="B458" t="s">
        <v>200</v>
      </c>
      <c r="C458" s="1">
        <v>1</v>
      </c>
      <c r="D458" s="1">
        <v>45</v>
      </c>
      <c r="E458" s="1">
        <v>60</v>
      </c>
      <c r="F458" s="1">
        <v>45</v>
      </c>
    </row>
    <row r="459" spans="1:6">
      <c r="A459">
        <v>13</v>
      </c>
      <c r="B459" t="s">
        <v>200</v>
      </c>
      <c r="C459" s="1">
        <v>1</v>
      </c>
      <c r="D459" s="1" t="s">
        <v>198</v>
      </c>
      <c r="E459" s="1">
        <v>62</v>
      </c>
      <c r="F459" s="1" t="s">
        <v>198</v>
      </c>
    </row>
    <row r="460" spans="1:6">
      <c r="A460">
        <v>13</v>
      </c>
      <c r="B460" t="s">
        <v>200</v>
      </c>
      <c r="C460" s="1">
        <v>1</v>
      </c>
      <c r="D460" s="1">
        <v>39</v>
      </c>
      <c r="F460" s="1">
        <v>39</v>
      </c>
    </row>
    <row r="461" spans="1:6">
      <c r="A461">
        <v>13</v>
      </c>
      <c r="B461" t="s">
        <v>200</v>
      </c>
      <c r="E461" s="1">
        <v>80</v>
      </c>
    </row>
    <row r="462" spans="1:6">
      <c r="A462">
        <v>13</v>
      </c>
      <c r="B462" t="s">
        <v>200</v>
      </c>
      <c r="E462" s="1">
        <v>90</v>
      </c>
    </row>
    <row r="463" spans="1:6">
      <c r="A463">
        <v>13</v>
      </c>
      <c r="B463" t="s">
        <v>200</v>
      </c>
      <c r="E463" s="1">
        <v>95</v>
      </c>
    </row>
    <row r="464" spans="1:6">
      <c r="A464">
        <v>15</v>
      </c>
      <c r="B464" t="s">
        <v>201</v>
      </c>
      <c r="C464" s="1">
        <v>4</v>
      </c>
      <c r="D464" s="1" t="s">
        <v>286</v>
      </c>
      <c r="E464" s="1">
        <v>70</v>
      </c>
      <c r="F464" s="1" t="s">
        <v>286</v>
      </c>
    </row>
    <row r="465" spans="1:6">
      <c r="A465">
        <v>16</v>
      </c>
      <c r="B465" t="s">
        <v>202</v>
      </c>
      <c r="C465" s="1">
        <v>1</v>
      </c>
      <c r="D465" s="1" t="s">
        <v>192</v>
      </c>
      <c r="E465" s="1">
        <v>2</v>
      </c>
      <c r="F465" s="1" t="s">
        <v>192</v>
      </c>
    </row>
    <row r="466" spans="1:6">
      <c r="A466">
        <v>16</v>
      </c>
      <c r="B466" t="s">
        <v>202</v>
      </c>
      <c r="C466" s="1">
        <v>1</v>
      </c>
      <c r="D466" s="1">
        <v>40</v>
      </c>
      <c r="E466" s="1">
        <v>10</v>
      </c>
      <c r="F466" s="1">
        <v>40</v>
      </c>
    </row>
    <row r="467" spans="1:6">
      <c r="A467">
        <v>16</v>
      </c>
      <c r="B467" t="s">
        <v>202</v>
      </c>
      <c r="C467" s="1">
        <v>1</v>
      </c>
      <c r="D467" s="1" t="s">
        <v>193</v>
      </c>
      <c r="E467" s="1">
        <v>12</v>
      </c>
      <c r="F467" s="1" t="s">
        <v>193</v>
      </c>
    </row>
    <row r="468" spans="1:6">
      <c r="A468">
        <v>16</v>
      </c>
      <c r="B468" t="s">
        <v>202</v>
      </c>
      <c r="C468" s="1">
        <v>1</v>
      </c>
      <c r="D468" s="1">
        <v>41</v>
      </c>
      <c r="E468" s="1">
        <v>20</v>
      </c>
      <c r="F468" s="1">
        <v>41</v>
      </c>
    </row>
    <row r="469" spans="1:6">
      <c r="A469">
        <v>16</v>
      </c>
      <c r="B469" t="s">
        <v>202</v>
      </c>
      <c r="C469" s="1">
        <v>1</v>
      </c>
      <c r="D469" s="1" t="s">
        <v>194</v>
      </c>
      <c r="E469" s="1">
        <v>22</v>
      </c>
      <c r="F469" s="1" t="s">
        <v>194</v>
      </c>
    </row>
    <row r="470" spans="1:6">
      <c r="A470">
        <v>16</v>
      </c>
      <c r="B470" t="s">
        <v>202</v>
      </c>
      <c r="C470" s="1">
        <v>1</v>
      </c>
      <c r="D470" s="1">
        <v>42</v>
      </c>
      <c r="E470" s="1">
        <v>30</v>
      </c>
      <c r="F470" s="1">
        <v>42</v>
      </c>
    </row>
    <row r="471" spans="1:6">
      <c r="A471">
        <v>16</v>
      </c>
      <c r="B471" t="s">
        <v>202</v>
      </c>
      <c r="C471" s="1">
        <v>1</v>
      </c>
      <c r="D471" s="1" t="s">
        <v>195</v>
      </c>
      <c r="E471" s="1">
        <v>32</v>
      </c>
      <c r="F471" s="1" t="s">
        <v>195</v>
      </c>
    </row>
    <row r="472" spans="1:6">
      <c r="A472">
        <v>16</v>
      </c>
      <c r="B472" t="s">
        <v>202</v>
      </c>
      <c r="C472" s="1">
        <v>1</v>
      </c>
      <c r="D472" s="1">
        <v>43</v>
      </c>
      <c r="E472" s="1">
        <v>40</v>
      </c>
      <c r="F472" s="1">
        <v>43</v>
      </c>
    </row>
    <row r="473" spans="1:6">
      <c r="A473">
        <v>16</v>
      </c>
      <c r="B473" t="s">
        <v>202</v>
      </c>
      <c r="C473" s="1">
        <v>1</v>
      </c>
      <c r="D473" s="1" t="s">
        <v>196</v>
      </c>
      <c r="E473" s="1">
        <v>42</v>
      </c>
      <c r="F473" s="1" t="s">
        <v>196</v>
      </c>
    </row>
    <row r="474" spans="1:6">
      <c r="A474">
        <v>16</v>
      </c>
      <c r="B474" t="s">
        <v>202</v>
      </c>
      <c r="C474" s="1">
        <v>1</v>
      </c>
      <c r="D474" s="1">
        <v>44</v>
      </c>
      <c r="E474" s="1">
        <v>50</v>
      </c>
      <c r="F474" s="1">
        <v>44</v>
      </c>
    </row>
    <row r="475" spans="1:6">
      <c r="A475">
        <v>16</v>
      </c>
      <c r="B475" t="s">
        <v>202</v>
      </c>
      <c r="C475" s="1">
        <v>1</v>
      </c>
      <c r="D475" s="1" t="s">
        <v>197</v>
      </c>
      <c r="E475" s="1">
        <v>52</v>
      </c>
      <c r="F475" s="1" t="s">
        <v>197</v>
      </c>
    </row>
    <row r="476" spans="1:6">
      <c r="A476">
        <v>16</v>
      </c>
      <c r="B476" t="s">
        <v>202</v>
      </c>
      <c r="C476" s="1">
        <v>1</v>
      </c>
      <c r="D476" s="1">
        <v>45</v>
      </c>
      <c r="E476" s="1">
        <v>60</v>
      </c>
      <c r="F476" s="1">
        <v>45</v>
      </c>
    </row>
    <row r="477" spans="1:6">
      <c r="A477">
        <v>16</v>
      </c>
      <c r="B477" t="s">
        <v>202</v>
      </c>
      <c r="C477" s="1">
        <v>1</v>
      </c>
      <c r="D477" s="1" t="s">
        <v>198</v>
      </c>
      <c r="E477" s="1">
        <v>62</v>
      </c>
      <c r="F477" s="1" t="s">
        <v>198</v>
      </c>
    </row>
    <row r="478" spans="1:6">
      <c r="A478">
        <v>16</v>
      </c>
      <c r="B478" t="s">
        <v>202</v>
      </c>
      <c r="C478" s="1">
        <v>1</v>
      </c>
      <c r="D478" s="1">
        <v>46</v>
      </c>
      <c r="E478" s="1">
        <v>72</v>
      </c>
      <c r="F478" s="1">
        <v>46</v>
      </c>
    </row>
    <row r="479" spans="1:6">
      <c r="A479">
        <v>16</v>
      </c>
      <c r="B479" t="s">
        <v>202</v>
      </c>
      <c r="C479" s="1">
        <v>1</v>
      </c>
      <c r="D479" s="1">
        <v>39</v>
      </c>
      <c r="F479" s="1">
        <v>39</v>
      </c>
    </row>
    <row r="480" spans="1:6">
      <c r="A480">
        <v>16</v>
      </c>
      <c r="B480" t="s">
        <v>202</v>
      </c>
      <c r="E480" s="1">
        <v>55</v>
      </c>
    </row>
    <row r="481" spans="1:6">
      <c r="A481">
        <v>16</v>
      </c>
      <c r="B481" t="s">
        <v>202</v>
      </c>
      <c r="E481" s="1">
        <v>92</v>
      </c>
    </row>
    <row r="482" spans="1:6">
      <c r="A482">
        <v>20</v>
      </c>
      <c r="B482" t="s">
        <v>346</v>
      </c>
      <c r="C482" s="1">
        <v>2</v>
      </c>
      <c r="D482" s="1" t="s">
        <v>347</v>
      </c>
      <c r="E482" s="1">
        <v>20</v>
      </c>
      <c r="F482" s="1" t="s">
        <v>347</v>
      </c>
    </row>
    <row r="483" spans="1:6">
      <c r="A483">
        <v>20</v>
      </c>
      <c r="B483" t="s">
        <v>346</v>
      </c>
      <c r="C483" s="1">
        <v>2</v>
      </c>
      <c r="D483" s="1" t="s">
        <v>328</v>
      </c>
      <c r="E483" s="1">
        <v>30</v>
      </c>
      <c r="F483" s="1" t="s">
        <v>328</v>
      </c>
    </row>
    <row r="484" spans="1:6">
      <c r="A484">
        <v>20</v>
      </c>
      <c r="B484" t="s">
        <v>346</v>
      </c>
      <c r="C484" s="1">
        <v>2</v>
      </c>
      <c r="D484" s="1" t="s">
        <v>332</v>
      </c>
      <c r="E484" s="1">
        <v>50</v>
      </c>
      <c r="F484" s="1" t="s">
        <v>332</v>
      </c>
    </row>
    <row r="485" spans="1:6">
      <c r="A485">
        <v>20</v>
      </c>
      <c r="B485" t="s">
        <v>346</v>
      </c>
      <c r="C485" s="1">
        <v>3</v>
      </c>
      <c r="D485" s="1" t="s">
        <v>348</v>
      </c>
      <c r="E485" s="1">
        <v>20</v>
      </c>
      <c r="F485" s="1" t="s">
        <v>348</v>
      </c>
    </row>
    <row r="486" spans="1:6">
      <c r="A486">
        <v>20</v>
      </c>
      <c r="B486" t="s">
        <v>346</v>
      </c>
      <c r="C486" s="1">
        <v>3</v>
      </c>
      <c r="D486" s="1" t="s">
        <v>349</v>
      </c>
      <c r="E486" s="1">
        <v>30</v>
      </c>
      <c r="F486" s="1" t="s">
        <v>349</v>
      </c>
    </row>
    <row r="487" spans="1:6">
      <c r="A487">
        <v>20</v>
      </c>
      <c r="B487" t="s">
        <v>346</v>
      </c>
      <c r="C487" s="1">
        <v>3</v>
      </c>
      <c r="D487" s="1" t="s">
        <v>350</v>
      </c>
      <c r="E487" s="1">
        <v>40</v>
      </c>
      <c r="F487" s="1" t="s">
        <v>350</v>
      </c>
    </row>
    <row r="488" spans="1:6">
      <c r="A488">
        <v>20</v>
      </c>
      <c r="B488" t="s">
        <v>346</v>
      </c>
      <c r="C488" s="1">
        <v>3</v>
      </c>
      <c r="D488" s="1" t="s">
        <v>351</v>
      </c>
      <c r="E488" s="1">
        <v>50</v>
      </c>
      <c r="F488" s="1" t="s">
        <v>351</v>
      </c>
    </row>
    <row r="489" spans="1:6">
      <c r="A489">
        <v>20</v>
      </c>
      <c r="B489" t="s">
        <v>346</v>
      </c>
      <c r="C489" s="1">
        <v>3</v>
      </c>
      <c r="D489" s="1" t="s">
        <v>352</v>
      </c>
      <c r="E489" s="1">
        <v>60</v>
      </c>
      <c r="F489" s="1" t="s">
        <v>352</v>
      </c>
    </row>
    <row r="490" spans="1:6">
      <c r="A490">
        <v>20</v>
      </c>
      <c r="B490" t="s">
        <v>346</v>
      </c>
      <c r="C490" s="1">
        <v>3</v>
      </c>
      <c r="D490" s="1" t="s">
        <v>353</v>
      </c>
      <c r="E490" s="1">
        <v>70</v>
      </c>
      <c r="F490" s="1" t="s">
        <v>353</v>
      </c>
    </row>
    <row r="491" spans="1:6">
      <c r="A491">
        <v>20</v>
      </c>
      <c r="B491" t="s">
        <v>346</v>
      </c>
      <c r="C491" s="1">
        <v>3</v>
      </c>
      <c r="D491" s="1" t="s">
        <v>354</v>
      </c>
      <c r="E491" s="1">
        <v>80</v>
      </c>
      <c r="F491" s="1" t="s">
        <v>354</v>
      </c>
    </row>
    <row r="492" spans="1:6">
      <c r="A492">
        <v>20</v>
      </c>
      <c r="B492" t="s">
        <v>346</v>
      </c>
      <c r="C492" s="1">
        <v>4</v>
      </c>
      <c r="D492" s="1" t="s">
        <v>355</v>
      </c>
      <c r="E492" s="1">
        <v>20</v>
      </c>
      <c r="F492" s="1" t="s">
        <v>355</v>
      </c>
    </row>
    <row r="493" spans="1:6">
      <c r="A493">
        <v>20</v>
      </c>
      <c r="B493" t="s">
        <v>346</v>
      </c>
      <c r="C493" s="1">
        <v>4</v>
      </c>
      <c r="D493" s="1" t="s">
        <v>356</v>
      </c>
      <c r="E493" s="1">
        <v>30</v>
      </c>
      <c r="F493" s="1" t="s">
        <v>356</v>
      </c>
    </row>
    <row r="494" spans="1:6">
      <c r="A494">
        <v>20</v>
      </c>
      <c r="B494" t="s">
        <v>346</v>
      </c>
      <c r="C494" s="1">
        <v>4</v>
      </c>
      <c r="D494" s="1" t="s">
        <v>357</v>
      </c>
      <c r="E494" s="1">
        <v>40</v>
      </c>
      <c r="F494" s="1" t="s">
        <v>357</v>
      </c>
    </row>
    <row r="495" spans="1:6">
      <c r="A495">
        <v>20</v>
      </c>
      <c r="B495" t="s">
        <v>346</v>
      </c>
      <c r="C495" s="1">
        <v>4</v>
      </c>
      <c r="D495" s="1" t="s">
        <v>358</v>
      </c>
      <c r="E495" s="1">
        <v>50</v>
      </c>
      <c r="F495" s="1" t="s">
        <v>358</v>
      </c>
    </row>
    <row r="496" spans="1:6">
      <c r="A496">
        <v>20</v>
      </c>
      <c r="B496" t="s">
        <v>346</v>
      </c>
      <c r="C496" s="1">
        <v>4</v>
      </c>
      <c r="D496" s="1" t="s">
        <v>359</v>
      </c>
      <c r="E496" s="1">
        <v>60</v>
      </c>
      <c r="F496" s="1" t="s">
        <v>359</v>
      </c>
    </row>
    <row r="497" spans="1:6">
      <c r="A497">
        <v>20</v>
      </c>
      <c r="B497" t="s">
        <v>346</v>
      </c>
      <c r="C497" s="1">
        <v>4</v>
      </c>
      <c r="D497" s="1" t="s">
        <v>360</v>
      </c>
      <c r="E497" s="1">
        <v>70</v>
      </c>
      <c r="F497" s="1" t="s">
        <v>360</v>
      </c>
    </row>
    <row r="498" spans="1:6">
      <c r="A498">
        <v>20</v>
      </c>
      <c r="B498" t="s">
        <v>346</v>
      </c>
      <c r="C498" s="1">
        <v>4</v>
      </c>
      <c r="D498" s="1" t="s">
        <v>361</v>
      </c>
      <c r="E498" s="1">
        <v>80</v>
      </c>
      <c r="F498" s="1" t="s">
        <v>361</v>
      </c>
    </row>
    <row r="499" spans="1:6">
      <c r="A499">
        <v>20</v>
      </c>
      <c r="B499" t="s">
        <v>346</v>
      </c>
      <c r="C499" s="1">
        <v>5</v>
      </c>
      <c r="D499" s="1" t="s">
        <v>362</v>
      </c>
      <c r="E499" s="1">
        <v>20</v>
      </c>
      <c r="F499" s="1" t="s">
        <v>362</v>
      </c>
    </row>
    <row r="500" spans="1:6">
      <c r="A500">
        <v>20</v>
      </c>
      <c r="B500" t="s">
        <v>346</v>
      </c>
      <c r="C500" s="1">
        <v>5</v>
      </c>
      <c r="D500" s="1" t="s">
        <v>363</v>
      </c>
      <c r="E500" s="1">
        <v>30</v>
      </c>
      <c r="F500" s="1" t="s">
        <v>363</v>
      </c>
    </row>
    <row r="501" spans="1:6">
      <c r="A501">
        <v>20</v>
      </c>
      <c r="B501" t="s">
        <v>346</v>
      </c>
      <c r="C501" s="1">
        <v>5</v>
      </c>
      <c r="D501" s="1" t="s">
        <v>364</v>
      </c>
      <c r="E501" s="1">
        <v>40</v>
      </c>
      <c r="F501" s="1" t="s">
        <v>364</v>
      </c>
    </row>
    <row r="502" spans="1:6">
      <c r="A502">
        <v>20</v>
      </c>
      <c r="B502" t="s">
        <v>346</v>
      </c>
      <c r="C502" s="1">
        <v>5</v>
      </c>
      <c r="D502" s="1" t="s">
        <v>365</v>
      </c>
      <c r="E502" s="1">
        <v>50</v>
      </c>
      <c r="F502" s="1" t="s">
        <v>365</v>
      </c>
    </row>
    <row r="503" spans="1:6">
      <c r="A503">
        <v>20</v>
      </c>
      <c r="B503" t="s">
        <v>346</v>
      </c>
      <c r="C503" s="1">
        <v>5</v>
      </c>
      <c r="D503" s="1" t="s">
        <v>366</v>
      </c>
      <c r="E503" s="1">
        <v>60</v>
      </c>
      <c r="F503" s="1" t="s">
        <v>366</v>
      </c>
    </row>
    <row r="504" spans="1:6">
      <c r="A504">
        <v>20</v>
      </c>
      <c r="B504" t="s">
        <v>346</v>
      </c>
      <c r="C504" s="1">
        <v>5</v>
      </c>
      <c r="D504" s="1" t="s">
        <v>367</v>
      </c>
      <c r="E504" s="1">
        <v>70</v>
      </c>
      <c r="F504" s="1" t="s">
        <v>367</v>
      </c>
    </row>
    <row r="505" spans="1:6">
      <c r="A505">
        <v>20</v>
      </c>
      <c r="B505" t="s">
        <v>346</v>
      </c>
      <c r="C505" s="1">
        <v>5</v>
      </c>
      <c r="D505" s="1" t="s">
        <v>368</v>
      </c>
      <c r="E505" s="1">
        <v>80</v>
      </c>
      <c r="F505" s="1" t="s">
        <v>368</v>
      </c>
    </row>
    <row r="506" spans="1:6">
      <c r="A506">
        <v>20</v>
      </c>
      <c r="B506" t="s">
        <v>346</v>
      </c>
      <c r="C506" s="1">
        <v>5</v>
      </c>
      <c r="D506" s="1" t="s">
        <v>369</v>
      </c>
      <c r="E506" s="1">
        <v>90</v>
      </c>
      <c r="F506" s="1" t="s">
        <v>369</v>
      </c>
    </row>
    <row r="507" spans="1:6">
      <c r="A507">
        <v>20</v>
      </c>
      <c r="B507" t="s">
        <v>346</v>
      </c>
      <c r="C507" s="1">
        <v>6</v>
      </c>
      <c r="D507" s="1" t="s">
        <v>370</v>
      </c>
      <c r="E507" s="1">
        <v>50</v>
      </c>
      <c r="F507" s="1" t="s">
        <v>370</v>
      </c>
    </row>
    <row r="508" spans="1:6">
      <c r="A508">
        <v>20</v>
      </c>
      <c r="B508" t="s">
        <v>346</v>
      </c>
      <c r="C508" s="1">
        <v>6</v>
      </c>
      <c r="D508" s="1" t="s">
        <v>371</v>
      </c>
      <c r="E508" s="1">
        <v>80</v>
      </c>
      <c r="F508" s="1" t="s">
        <v>371</v>
      </c>
    </row>
    <row r="509" spans="1:6">
      <c r="A509">
        <v>20</v>
      </c>
      <c r="B509" t="s">
        <v>346</v>
      </c>
      <c r="C509" s="1">
        <v>6</v>
      </c>
      <c r="D509" s="1" t="s">
        <v>372</v>
      </c>
      <c r="F509" s="1" t="s">
        <v>372</v>
      </c>
    </row>
    <row r="510" spans="1:6">
      <c r="A510">
        <v>21</v>
      </c>
      <c r="B510" t="s">
        <v>205</v>
      </c>
      <c r="C510" s="1">
        <v>1</v>
      </c>
      <c r="D510" s="1" t="s">
        <v>328</v>
      </c>
      <c r="E510" s="1">
        <v>20</v>
      </c>
      <c r="F510" s="1" t="s">
        <v>328</v>
      </c>
    </row>
    <row r="511" spans="1:6">
      <c r="A511">
        <v>21</v>
      </c>
      <c r="B511" t="s">
        <v>205</v>
      </c>
      <c r="C511" s="1">
        <v>1</v>
      </c>
      <c r="D511" s="1" t="s">
        <v>323</v>
      </c>
      <c r="E511" s="1">
        <v>32</v>
      </c>
      <c r="F511" s="1" t="s">
        <v>323</v>
      </c>
    </row>
    <row r="512" spans="1:6">
      <c r="A512">
        <v>21</v>
      </c>
      <c r="B512" t="s">
        <v>205</v>
      </c>
      <c r="C512" s="1">
        <v>1</v>
      </c>
      <c r="D512" s="1" t="s">
        <v>332</v>
      </c>
      <c r="E512" s="1">
        <v>40</v>
      </c>
      <c r="F512" s="1" t="s">
        <v>332</v>
      </c>
    </row>
    <row r="513" spans="1:6">
      <c r="A513">
        <v>21</v>
      </c>
      <c r="B513" t="s">
        <v>205</v>
      </c>
      <c r="C513" s="1">
        <v>1</v>
      </c>
      <c r="D513" s="1" t="s">
        <v>330</v>
      </c>
      <c r="E513" s="1">
        <v>42</v>
      </c>
      <c r="F513" s="1" t="s">
        <v>330</v>
      </c>
    </row>
    <row r="514" spans="1:6">
      <c r="A514">
        <v>21</v>
      </c>
      <c r="B514" t="s">
        <v>205</v>
      </c>
      <c r="C514" s="1">
        <v>1</v>
      </c>
      <c r="D514" s="1" t="s">
        <v>331</v>
      </c>
      <c r="E514" s="1">
        <v>50</v>
      </c>
      <c r="F514" s="1" t="s">
        <v>331</v>
      </c>
    </row>
    <row r="515" spans="1:6">
      <c r="A515">
        <v>21</v>
      </c>
      <c r="B515" t="s">
        <v>205</v>
      </c>
      <c r="C515" s="1">
        <v>1</v>
      </c>
      <c r="D515" s="1" t="s">
        <v>288</v>
      </c>
      <c r="E515" s="1">
        <v>62</v>
      </c>
      <c r="F515" s="1" t="s">
        <v>288</v>
      </c>
    </row>
    <row r="516" spans="1:6">
      <c r="A516">
        <v>24</v>
      </c>
      <c r="B516" t="s">
        <v>208</v>
      </c>
      <c r="C516" s="1">
        <v>1</v>
      </c>
      <c r="D516" s="1" t="s">
        <v>373</v>
      </c>
      <c r="E516" s="1">
        <v>10</v>
      </c>
      <c r="F516" s="1" t="s">
        <v>373</v>
      </c>
    </row>
    <row r="517" spans="1:6">
      <c r="A517">
        <v>24</v>
      </c>
      <c r="B517" t="s">
        <v>208</v>
      </c>
      <c r="C517" s="1">
        <v>1</v>
      </c>
      <c r="D517" s="1" t="s">
        <v>284</v>
      </c>
      <c r="E517" s="1">
        <v>20</v>
      </c>
      <c r="F517" s="1" t="s">
        <v>284</v>
      </c>
    </row>
    <row r="518" spans="1:6">
      <c r="A518">
        <v>24</v>
      </c>
      <c r="B518" t="s">
        <v>208</v>
      </c>
      <c r="C518" s="1">
        <v>1</v>
      </c>
      <c r="D518" s="1" t="s">
        <v>347</v>
      </c>
      <c r="E518" s="1">
        <v>30</v>
      </c>
      <c r="F518" s="1" t="s">
        <v>347</v>
      </c>
    </row>
    <row r="519" spans="1:6">
      <c r="A519">
        <v>24</v>
      </c>
      <c r="B519" t="s">
        <v>208</v>
      </c>
      <c r="C519" s="1">
        <v>1</v>
      </c>
      <c r="D519" s="1" t="s">
        <v>374</v>
      </c>
      <c r="F519" s="1" t="s">
        <v>374</v>
      </c>
    </row>
    <row r="520" spans="1:6">
      <c r="A520">
        <v>24</v>
      </c>
      <c r="B520" t="s">
        <v>208</v>
      </c>
      <c r="C520" s="1">
        <v>42</v>
      </c>
      <c r="D520" s="1" t="s">
        <v>375</v>
      </c>
      <c r="E520" s="1">
        <v>20</v>
      </c>
      <c r="F520" s="1" t="s">
        <v>375</v>
      </c>
    </row>
    <row r="521" spans="1:6">
      <c r="A521">
        <v>24</v>
      </c>
      <c r="B521" t="s">
        <v>208</v>
      </c>
      <c r="C521" s="1">
        <v>42</v>
      </c>
      <c r="D521" s="1" t="s">
        <v>376</v>
      </c>
      <c r="E521" s="1">
        <v>30</v>
      </c>
      <c r="F521" s="1" t="s">
        <v>376</v>
      </c>
    </row>
    <row r="522" spans="1:6">
      <c r="A522">
        <v>24</v>
      </c>
      <c r="B522" t="s">
        <v>208</v>
      </c>
      <c r="C522" s="1">
        <v>42</v>
      </c>
      <c r="D522" s="1" t="s">
        <v>377</v>
      </c>
      <c r="E522" s="1">
        <v>40</v>
      </c>
      <c r="F522" s="1" t="s">
        <v>377</v>
      </c>
    </row>
    <row r="523" spans="1:6">
      <c r="A523">
        <v>24</v>
      </c>
      <c r="B523" t="s">
        <v>208</v>
      </c>
      <c r="C523" s="1">
        <v>42</v>
      </c>
      <c r="D523" s="1" t="s">
        <v>378</v>
      </c>
      <c r="E523" s="1">
        <v>50</v>
      </c>
      <c r="F523" s="1" t="s">
        <v>378</v>
      </c>
    </row>
    <row r="524" spans="1:6">
      <c r="A524">
        <v>24</v>
      </c>
      <c r="B524" t="s">
        <v>208</v>
      </c>
      <c r="C524" s="1">
        <v>43</v>
      </c>
      <c r="D524" s="1" t="s">
        <v>379</v>
      </c>
      <c r="E524" s="1">
        <v>20</v>
      </c>
      <c r="F524" s="1" t="s">
        <v>379</v>
      </c>
    </row>
    <row r="525" spans="1:6">
      <c r="A525">
        <v>24</v>
      </c>
      <c r="B525" t="s">
        <v>208</v>
      </c>
      <c r="C525" s="1">
        <v>43</v>
      </c>
      <c r="D525" s="1" t="s">
        <v>380</v>
      </c>
      <c r="E525" s="1">
        <v>30</v>
      </c>
      <c r="F525" s="1" t="s">
        <v>380</v>
      </c>
    </row>
    <row r="526" spans="1:6">
      <c r="A526">
        <v>24</v>
      </c>
      <c r="B526" t="s">
        <v>208</v>
      </c>
      <c r="C526" s="1">
        <v>43</v>
      </c>
      <c r="D526" s="1" t="s">
        <v>381</v>
      </c>
      <c r="E526" s="1">
        <v>40</v>
      </c>
      <c r="F526" s="1" t="s">
        <v>381</v>
      </c>
    </row>
    <row r="527" spans="1:6">
      <c r="A527">
        <v>24</v>
      </c>
      <c r="B527" t="s">
        <v>208</v>
      </c>
      <c r="C527" s="1">
        <v>43</v>
      </c>
      <c r="D527" s="1" t="s">
        <v>382</v>
      </c>
      <c r="E527" s="1">
        <v>50</v>
      </c>
      <c r="F527" s="1" t="s">
        <v>382</v>
      </c>
    </row>
    <row r="528" spans="1:6">
      <c r="A528">
        <v>24</v>
      </c>
      <c r="B528" t="s">
        <v>208</v>
      </c>
      <c r="C528" s="1">
        <v>44</v>
      </c>
      <c r="D528" s="1" t="s">
        <v>383</v>
      </c>
      <c r="E528" s="1">
        <v>30</v>
      </c>
      <c r="F528" s="1" t="s">
        <v>383</v>
      </c>
    </row>
    <row r="529" spans="1:6">
      <c r="A529">
        <v>24</v>
      </c>
      <c r="B529" t="s">
        <v>208</v>
      </c>
      <c r="C529" s="1">
        <v>44</v>
      </c>
      <c r="D529" s="1" t="s">
        <v>384</v>
      </c>
      <c r="E529" s="1">
        <v>40</v>
      </c>
      <c r="F529" s="1" t="s">
        <v>384</v>
      </c>
    </row>
    <row r="530" spans="1:6">
      <c r="A530">
        <v>24</v>
      </c>
      <c r="B530" t="s">
        <v>208</v>
      </c>
      <c r="C530" s="1">
        <v>44</v>
      </c>
      <c r="D530" s="1" t="s">
        <v>385</v>
      </c>
      <c r="E530" s="1">
        <v>50</v>
      </c>
      <c r="F530" s="1" t="s">
        <v>385</v>
      </c>
    </row>
    <row r="531" spans="1:6">
      <c r="A531">
        <v>24</v>
      </c>
      <c r="B531" t="s">
        <v>208</v>
      </c>
      <c r="C531" s="1">
        <v>45</v>
      </c>
      <c r="D531" s="1" t="s">
        <v>386</v>
      </c>
      <c r="E531" s="1">
        <v>40</v>
      </c>
      <c r="F531" s="1" t="s">
        <v>386</v>
      </c>
    </row>
    <row r="532" spans="1:6">
      <c r="A532">
        <v>24</v>
      </c>
      <c r="B532" t="s">
        <v>208</v>
      </c>
      <c r="C532" s="1">
        <v>46</v>
      </c>
      <c r="D532" s="1" t="s">
        <v>387</v>
      </c>
      <c r="E532" s="1">
        <v>50</v>
      </c>
      <c r="F532" s="1" t="s">
        <v>387</v>
      </c>
    </row>
    <row r="533" spans="1:6">
      <c r="A533">
        <v>24</v>
      </c>
      <c r="B533" t="s">
        <v>208</v>
      </c>
      <c r="C533" s="1">
        <v>47</v>
      </c>
      <c r="D533" s="1" t="s">
        <v>388</v>
      </c>
      <c r="E533" s="1">
        <v>50</v>
      </c>
      <c r="F533" s="1" t="s">
        <v>388</v>
      </c>
    </row>
    <row r="534" spans="1:6">
      <c r="A534">
        <v>24</v>
      </c>
      <c r="B534" t="s">
        <v>208</v>
      </c>
      <c r="E534" s="1">
        <v>10</v>
      </c>
    </row>
    <row r="535" spans="1:6">
      <c r="A535">
        <v>24</v>
      </c>
      <c r="B535" t="s">
        <v>208</v>
      </c>
      <c r="E535" s="1">
        <v>20</v>
      </c>
    </row>
    <row r="536" spans="1:6">
      <c r="A536">
        <v>24</v>
      </c>
      <c r="B536" t="s">
        <v>208</v>
      </c>
      <c r="E536" s="1">
        <v>30</v>
      </c>
    </row>
    <row r="537" spans="1:6">
      <c r="A537">
        <v>24</v>
      </c>
      <c r="B537" t="s">
        <v>208</v>
      </c>
      <c r="E537" s="1">
        <v>40</v>
      </c>
    </row>
    <row r="538" spans="1:6">
      <c r="A538">
        <v>24</v>
      </c>
      <c r="B538" t="s">
        <v>208</v>
      </c>
      <c r="E538" s="1">
        <v>50</v>
      </c>
    </row>
    <row r="539" spans="1:6">
      <c r="A539">
        <v>24</v>
      </c>
      <c r="B539" t="s">
        <v>208</v>
      </c>
      <c r="E539" s="1">
        <v>60</v>
      </c>
    </row>
    <row r="540" spans="1:6">
      <c r="A540">
        <v>24</v>
      </c>
      <c r="B540" t="s">
        <v>208</v>
      </c>
      <c r="E540" s="1">
        <v>70</v>
      </c>
    </row>
    <row r="541" spans="1:6">
      <c r="A541">
        <v>24</v>
      </c>
      <c r="B541" t="s">
        <v>208</v>
      </c>
      <c r="E541" s="1">
        <v>80</v>
      </c>
    </row>
    <row r="542" spans="1:6">
      <c r="A542">
        <v>24</v>
      </c>
      <c r="B542" t="s">
        <v>208</v>
      </c>
      <c r="E542" s="1">
        <v>90</v>
      </c>
    </row>
    <row r="543" spans="1:6">
      <c r="A543">
        <v>27</v>
      </c>
      <c r="B543" t="s">
        <v>210</v>
      </c>
      <c r="E543" s="1">
        <v>90</v>
      </c>
    </row>
    <row r="544" spans="1:6">
      <c r="A544">
        <v>31</v>
      </c>
      <c r="B544" t="s">
        <v>110</v>
      </c>
      <c r="C544" s="1">
        <v>1</v>
      </c>
      <c r="D544" s="1" t="s">
        <v>333</v>
      </c>
      <c r="E544" s="1">
        <v>2</v>
      </c>
      <c r="F544" s="1" t="s">
        <v>333</v>
      </c>
    </row>
    <row r="545" spans="1:6">
      <c r="A545">
        <v>31</v>
      </c>
      <c r="B545" t="s">
        <v>110</v>
      </c>
      <c r="C545" s="1">
        <v>1</v>
      </c>
      <c r="D545" s="1">
        <v>9</v>
      </c>
      <c r="E545" s="1">
        <v>10</v>
      </c>
      <c r="F545" s="1">
        <v>9</v>
      </c>
    </row>
    <row r="546" spans="1:6">
      <c r="A546">
        <v>31</v>
      </c>
      <c r="B546" t="s">
        <v>110</v>
      </c>
      <c r="C546" s="1">
        <v>1</v>
      </c>
      <c r="D546" s="1" t="s">
        <v>334</v>
      </c>
      <c r="E546" s="1">
        <v>12</v>
      </c>
      <c r="F546" s="1" t="s">
        <v>334</v>
      </c>
    </row>
    <row r="547" spans="1:6">
      <c r="A547">
        <v>31</v>
      </c>
      <c r="B547" t="s">
        <v>110</v>
      </c>
      <c r="C547" s="1">
        <v>1</v>
      </c>
      <c r="D547" s="1">
        <v>10</v>
      </c>
      <c r="E547" s="1">
        <v>20</v>
      </c>
      <c r="F547" s="1">
        <v>10</v>
      </c>
    </row>
    <row r="548" spans="1:6">
      <c r="A548">
        <v>31</v>
      </c>
      <c r="B548" t="s">
        <v>110</v>
      </c>
      <c r="C548" s="1">
        <v>1</v>
      </c>
      <c r="D548" s="1" t="s">
        <v>335</v>
      </c>
      <c r="E548" s="1">
        <v>22</v>
      </c>
      <c r="F548" s="1" t="s">
        <v>335</v>
      </c>
    </row>
    <row r="549" spans="1:6">
      <c r="A549">
        <v>31</v>
      </c>
      <c r="B549" t="s">
        <v>110</v>
      </c>
      <c r="C549" s="1">
        <v>1</v>
      </c>
      <c r="D549" s="1">
        <v>11</v>
      </c>
      <c r="E549" s="1">
        <v>30</v>
      </c>
      <c r="F549" s="1">
        <v>11</v>
      </c>
    </row>
    <row r="550" spans="1:6">
      <c r="A550">
        <v>31</v>
      </c>
      <c r="B550" t="s">
        <v>110</v>
      </c>
      <c r="C550" s="1">
        <v>1</v>
      </c>
      <c r="D550" s="1" t="s">
        <v>389</v>
      </c>
      <c r="E550" s="1">
        <v>32</v>
      </c>
      <c r="F550" s="1" t="s">
        <v>389</v>
      </c>
    </row>
    <row r="551" spans="1:6">
      <c r="A551">
        <v>31</v>
      </c>
      <c r="B551" t="s">
        <v>110</v>
      </c>
      <c r="C551" s="1">
        <v>1</v>
      </c>
      <c r="D551" s="1">
        <v>12</v>
      </c>
      <c r="E551" s="1">
        <v>40</v>
      </c>
      <c r="F551" s="1">
        <v>12</v>
      </c>
    </row>
    <row r="552" spans="1:6">
      <c r="A552">
        <v>31</v>
      </c>
      <c r="B552" t="s">
        <v>110</v>
      </c>
      <c r="C552" s="1">
        <v>1</v>
      </c>
      <c r="D552" s="1" t="s">
        <v>141</v>
      </c>
      <c r="E552" s="1">
        <v>42</v>
      </c>
      <c r="F552" s="1" t="s">
        <v>141</v>
      </c>
    </row>
    <row r="553" spans="1:6">
      <c r="A553">
        <v>31</v>
      </c>
      <c r="B553" t="s">
        <v>110</v>
      </c>
      <c r="C553" s="1">
        <v>1</v>
      </c>
      <c r="D553" s="1">
        <v>8</v>
      </c>
      <c r="F553" s="1">
        <v>8</v>
      </c>
    </row>
    <row r="554" spans="1:6">
      <c r="A554">
        <v>31</v>
      </c>
      <c r="B554" t="s">
        <v>110</v>
      </c>
      <c r="C554" s="1">
        <v>2</v>
      </c>
      <c r="D554" s="1" t="s">
        <v>390</v>
      </c>
      <c r="E554" s="1">
        <v>40</v>
      </c>
      <c r="F554" s="1" t="s">
        <v>390</v>
      </c>
    </row>
    <row r="555" spans="1:6">
      <c r="A555">
        <v>31</v>
      </c>
      <c r="B555" t="s">
        <v>110</v>
      </c>
      <c r="C555" s="1">
        <v>2</v>
      </c>
      <c r="D555" s="1" t="s">
        <v>391</v>
      </c>
      <c r="E555" s="1">
        <v>50</v>
      </c>
      <c r="F555" s="1" t="s">
        <v>391</v>
      </c>
    </row>
    <row r="556" spans="1:6">
      <c r="A556">
        <v>31</v>
      </c>
      <c r="B556" t="s">
        <v>110</v>
      </c>
      <c r="C556" s="1">
        <v>2</v>
      </c>
      <c r="D556" s="1" t="s">
        <v>392</v>
      </c>
      <c r="E556" s="1">
        <v>60</v>
      </c>
      <c r="F556" s="1" t="s">
        <v>392</v>
      </c>
    </row>
    <row r="557" spans="1:6">
      <c r="A557">
        <v>31</v>
      </c>
      <c r="B557" t="s">
        <v>110</v>
      </c>
      <c r="E557" s="1">
        <v>70</v>
      </c>
    </row>
    <row r="558" spans="1:6">
      <c r="A558">
        <v>31</v>
      </c>
      <c r="B558" t="s">
        <v>110</v>
      </c>
      <c r="E558" s="1">
        <v>75</v>
      </c>
    </row>
    <row r="559" spans="1:6">
      <c r="A559">
        <v>31</v>
      </c>
      <c r="B559" t="s">
        <v>110</v>
      </c>
      <c r="E559" s="1">
        <v>80</v>
      </c>
    </row>
    <row r="560" spans="1:6">
      <c r="A560">
        <v>31</v>
      </c>
      <c r="B560" t="s">
        <v>110</v>
      </c>
      <c r="E560" s="1">
        <v>85</v>
      </c>
    </row>
    <row r="561" spans="1:6">
      <c r="A561">
        <v>31</v>
      </c>
      <c r="B561" t="s">
        <v>110</v>
      </c>
      <c r="E561" s="1">
        <v>90</v>
      </c>
    </row>
    <row r="562" spans="1:6">
      <c r="A562">
        <v>31</v>
      </c>
      <c r="B562" t="s">
        <v>110</v>
      </c>
      <c r="E562" s="1">
        <v>91</v>
      </c>
    </row>
    <row r="563" spans="1:6">
      <c r="A563">
        <v>31</v>
      </c>
      <c r="B563" t="s">
        <v>110</v>
      </c>
      <c r="E563" s="1">
        <v>95</v>
      </c>
    </row>
    <row r="564" spans="1:6">
      <c r="A564">
        <v>31</v>
      </c>
      <c r="B564" t="s">
        <v>110</v>
      </c>
      <c r="E564" s="1">
        <v>96</v>
      </c>
    </row>
    <row r="565" spans="1:6">
      <c r="A565">
        <v>32</v>
      </c>
      <c r="B565" t="s">
        <v>212</v>
      </c>
      <c r="C565" s="1">
        <v>1</v>
      </c>
      <c r="D565" s="1" t="s">
        <v>333</v>
      </c>
      <c r="E565" s="1">
        <v>2</v>
      </c>
      <c r="F565" s="1" t="s">
        <v>333</v>
      </c>
    </row>
    <row r="566" spans="1:6">
      <c r="A566">
        <v>32</v>
      </c>
      <c r="B566" t="s">
        <v>212</v>
      </c>
      <c r="E566" s="1">
        <v>92</v>
      </c>
    </row>
    <row r="567" spans="1:6">
      <c r="A567">
        <v>32</v>
      </c>
      <c r="B567" t="s">
        <v>212</v>
      </c>
      <c r="E567" s="1">
        <v>96</v>
      </c>
    </row>
    <row r="568" spans="1:6">
      <c r="A568">
        <v>33</v>
      </c>
      <c r="B568" t="s">
        <v>213</v>
      </c>
      <c r="C568" s="1">
        <v>1</v>
      </c>
      <c r="D568" s="1" t="s">
        <v>323</v>
      </c>
      <c r="E568" s="1">
        <v>2</v>
      </c>
      <c r="F568" s="1" t="s">
        <v>323</v>
      </c>
    </row>
    <row r="569" spans="1:6">
      <c r="A569">
        <v>33</v>
      </c>
      <c r="B569" t="s">
        <v>213</v>
      </c>
      <c r="C569" s="1">
        <v>1</v>
      </c>
      <c r="D569" s="1" t="s">
        <v>332</v>
      </c>
      <c r="E569" s="1">
        <v>10</v>
      </c>
      <c r="F569" s="1" t="s">
        <v>332</v>
      </c>
    </row>
    <row r="570" spans="1:6">
      <c r="A570">
        <v>33</v>
      </c>
      <c r="B570" t="s">
        <v>213</v>
      </c>
      <c r="C570" s="1">
        <v>1</v>
      </c>
      <c r="D570" s="1" t="s">
        <v>330</v>
      </c>
      <c r="E570" s="1">
        <v>12</v>
      </c>
      <c r="F570" s="1" t="s">
        <v>330</v>
      </c>
    </row>
    <row r="571" spans="1:6">
      <c r="A571">
        <v>33</v>
      </c>
      <c r="B571" t="s">
        <v>213</v>
      </c>
      <c r="C571" s="1">
        <v>1</v>
      </c>
      <c r="D571" s="1" t="s">
        <v>331</v>
      </c>
      <c r="E571" s="1">
        <v>20</v>
      </c>
      <c r="F571" s="1" t="s">
        <v>331</v>
      </c>
    </row>
    <row r="572" spans="1:6">
      <c r="A572">
        <v>33</v>
      </c>
      <c r="B572" t="s">
        <v>213</v>
      </c>
      <c r="C572" s="1">
        <v>1</v>
      </c>
      <c r="D572" s="1" t="s">
        <v>287</v>
      </c>
      <c r="E572" s="1">
        <v>22</v>
      </c>
      <c r="F572" s="1" t="s">
        <v>287</v>
      </c>
    </row>
    <row r="573" spans="1:6">
      <c r="A573">
        <v>33</v>
      </c>
      <c r="B573" t="s">
        <v>213</v>
      </c>
      <c r="C573" s="1">
        <v>1</v>
      </c>
      <c r="D573" s="1" t="s">
        <v>288</v>
      </c>
      <c r="E573" s="1">
        <v>32</v>
      </c>
      <c r="F573" s="1" t="s">
        <v>288</v>
      </c>
    </row>
    <row r="574" spans="1:6">
      <c r="A574">
        <v>33</v>
      </c>
      <c r="B574" t="s">
        <v>213</v>
      </c>
      <c r="C574" s="1">
        <v>1</v>
      </c>
      <c r="D574" s="1" t="s">
        <v>329</v>
      </c>
      <c r="F574" s="1" t="s">
        <v>329</v>
      </c>
    </row>
    <row r="575" spans="1:6">
      <c r="A575">
        <v>33</v>
      </c>
      <c r="B575" t="s">
        <v>213</v>
      </c>
      <c r="E575" s="1">
        <v>32</v>
      </c>
    </row>
    <row r="576" spans="1:6">
      <c r="A576">
        <v>33</v>
      </c>
      <c r="B576" t="s">
        <v>213</v>
      </c>
      <c r="E576" s="1">
        <v>42</v>
      </c>
    </row>
    <row r="577" spans="1:6">
      <c r="A577">
        <v>33</v>
      </c>
      <c r="B577" t="s">
        <v>213</v>
      </c>
      <c r="E577" s="1">
        <v>50</v>
      </c>
    </row>
    <row r="578" spans="1:6">
      <c r="A578">
        <v>33</v>
      </c>
      <c r="B578" t="s">
        <v>213</v>
      </c>
      <c r="E578" s="1">
        <v>52</v>
      </c>
    </row>
    <row r="579" spans="1:6">
      <c r="A579">
        <v>33</v>
      </c>
      <c r="B579" t="s">
        <v>213</v>
      </c>
      <c r="E579" s="1">
        <v>60</v>
      </c>
    </row>
    <row r="580" spans="1:6">
      <c r="A580">
        <v>33</v>
      </c>
      <c r="B580" t="s">
        <v>213</v>
      </c>
      <c r="E580" s="1">
        <v>62</v>
      </c>
    </row>
    <row r="581" spans="1:6">
      <c r="A581">
        <v>33</v>
      </c>
      <c r="B581" t="s">
        <v>213</v>
      </c>
      <c r="E581" s="1">
        <v>70</v>
      </c>
    </row>
    <row r="582" spans="1:6">
      <c r="A582">
        <v>33</v>
      </c>
      <c r="B582" t="s">
        <v>213</v>
      </c>
      <c r="E582" s="1">
        <v>72</v>
      </c>
    </row>
    <row r="583" spans="1:6">
      <c r="A583">
        <v>33</v>
      </c>
      <c r="B583" t="s">
        <v>213</v>
      </c>
      <c r="E583" s="1">
        <v>80</v>
      </c>
    </row>
    <row r="584" spans="1:6">
      <c r="A584">
        <v>33</v>
      </c>
      <c r="B584" t="s">
        <v>213</v>
      </c>
      <c r="E584" s="1">
        <v>82</v>
      </c>
    </row>
    <row r="585" spans="1:6">
      <c r="A585">
        <v>33</v>
      </c>
      <c r="B585" t="s">
        <v>213</v>
      </c>
      <c r="E585" s="1">
        <v>90</v>
      </c>
    </row>
    <row r="586" spans="1:6">
      <c r="A586">
        <v>33</v>
      </c>
      <c r="B586" t="s">
        <v>213</v>
      </c>
      <c r="E586" s="1">
        <v>92</v>
      </c>
    </row>
    <row r="587" spans="1:6">
      <c r="A587">
        <v>34</v>
      </c>
      <c r="B587" t="s">
        <v>393</v>
      </c>
      <c r="C587" s="1">
        <v>1</v>
      </c>
      <c r="D587" s="1" t="s">
        <v>394</v>
      </c>
      <c r="E587" s="1">
        <v>2</v>
      </c>
      <c r="F587" s="1" t="s">
        <v>394</v>
      </c>
    </row>
    <row r="588" spans="1:6">
      <c r="A588">
        <v>34</v>
      </c>
      <c r="B588" t="s">
        <v>393</v>
      </c>
      <c r="C588" s="1">
        <v>1</v>
      </c>
      <c r="D588" s="1" t="s">
        <v>328</v>
      </c>
      <c r="E588" s="1">
        <v>10</v>
      </c>
      <c r="F588" s="1" t="s">
        <v>328</v>
      </c>
    </row>
    <row r="589" spans="1:6">
      <c r="A589">
        <v>34</v>
      </c>
      <c r="B589" t="s">
        <v>393</v>
      </c>
      <c r="C589" s="1">
        <v>1</v>
      </c>
      <c r="D589" s="1" t="s">
        <v>395</v>
      </c>
      <c r="E589" s="1">
        <v>12</v>
      </c>
      <c r="F589" s="1" t="s">
        <v>395</v>
      </c>
    </row>
    <row r="590" spans="1:6">
      <c r="A590">
        <v>34</v>
      </c>
      <c r="B590" t="s">
        <v>393</v>
      </c>
      <c r="C590" s="1">
        <v>1</v>
      </c>
      <c r="D590" s="1" t="s">
        <v>329</v>
      </c>
      <c r="E590" s="1">
        <v>20</v>
      </c>
      <c r="F590" s="1" t="s">
        <v>329</v>
      </c>
    </row>
    <row r="591" spans="1:6">
      <c r="A591">
        <v>34</v>
      </c>
      <c r="B591" t="s">
        <v>393</v>
      </c>
      <c r="C591" s="1">
        <v>1</v>
      </c>
      <c r="D591" s="1" t="s">
        <v>323</v>
      </c>
      <c r="E591" s="1">
        <v>22</v>
      </c>
      <c r="F591" s="1" t="s">
        <v>323</v>
      </c>
    </row>
    <row r="592" spans="1:6">
      <c r="A592">
        <v>34</v>
      </c>
      <c r="B592" t="s">
        <v>393</v>
      </c>
      <c r="C592" s="1">
        <v>1</v>
      </c>
      <c r="D592" s="1" t="s">
        <v>332</v>
      </c>
      <c r="E592" s="1">
        <v>30</v>
      </c>
      <c r="F592" s="1" t="s">
        <v>332</v>
      </c>
    </row>
    <row r="593" spans="1:6">
      <c r="A593">
        <v>34</v>
      </c>
      <c r="B593" t="s">
        <v>393</v>
      </c>
      <c r="C593" s="1">
        <v>1</v>
      </c>
      <c r="D593" s="1" t="s">
        <v>330</v>
      </c>
      <c r="E593" s="1">
        <v>32</v>
      </c>
      <c r="F593" s="1" t="s">
        <v>330</v>
      </c>
    </row>
    <row r="594" spans="1:6">
      <c r="A594">
        <v>34</v>
      </c>
      <c r="B594" t="s">
        <v>393</v>
      </c>
      <c r="C594" s="1">
        <v>1</v>
      </c>
      <c r="D594" s="1" t="s">
        <v>331</v>
      </c>
      <c r="E594" s="1">
        <v>40</v>
      </c>
      <c r="F594" s="1" t="s">
        <v>331</v>
      </c>
    </row>
    <row r="595" spans="1:6">
      <c r="A595">
        <v>34</v>
      </c>
      <c r="B595" t="s">
        <v>393</v>
      </c>
      <c r="C595" s="1">
        <v>1</v>
      </c>
      <c r="D595" s="1" t="s">
        <v>287</v>
      </c>
      <c r="E595" s="1">
        <v>42</v>
      </c>
      <c r="F595" s="1" t="s">
        <v>287</v>
      </c>
    </row>
    <row r="596" spans="1:6">
      <c r="A596">
        <v>34</v>
      </c>
      <c r="B596" t="s">
        <v>393</v>
      </c>
      <c r="C596" s="1">
        <v>1</v>
      </c>
      <c r="D596" s="1" t="s">
        <v>347</v>
      </c>
      <c r="F596" s="1" t="s">
        <v>347</v>
      </c>
    </row>
    <row r="597" spans="1:6">
      <c r="A597">
        <v>34</v>
      </c>
      <c r="B597" t="s">
        <v>393</v>
      </c>
      <c r="E597" s="1">
        <v>40</v>
      </c>
    </row>
    <row r="598" spans="1:6">
      <c r="A598">
        <v>34</v>
      </c>
      <c r="B598" t="s">
        <v>393</v>
      </c>
      <c r="E598" s="1">
        <v>80</v>
      </c>
    </row>
    <row r="599" spans="1:6">
      <c r="A599">
        <v>34</v>
      </c>
      <c r="B599" t="s">
        <v>393</v>
      </c>
      <c r="E599" s="1">
        <v>90</v>
      </c>
    </row>
    <row r="600" spans="1:6">
      <c r="A600">
        <v>34</v>
      </c>
      <c r="B600" t="s">
        <v>393</v>
      </c>
      <c r="E600" s="1">
        <v>92</v>
      </c>
    </row>
    <row r="601" spans="1:6">
      <c r="A601">
        <v>38</v>
      </c>
      <c r="B601" t="s">
        <v>217</v>
      </c>
      <c r="C601" s="1">
        <v>1</v>
      </c>
      <c r="D601" s="1" t="s">
        <v>396</v>
      </c>
      <c r="E601" s="1">
        <v>20</v>
      </c>
      <c r="F601" s="1" t="s">
        <v>396</v>
      </c>
    </row>
    <row r="602" spans="1:6">
      <c r="A602">
        <v>38</v>
      </c>
      <c r="B602" t="s">
        <v>217</v>
      </c>
      <c r="C602" s="1">
        <v>1</v>
      </c>
      <c r="D602" s="1" t="s">
        <v>397</v>
      </c>
      <c r="E602" s="1">
        <v>30</v>
      </c>
      <c r="F602" s="1" t="s">
        <v>397</v>
      </c>
    </row>
    <row r="603" spans="1:6">
      <c r="A603">
        <v>38</v>
      </c>
      <c r="B603" t="s">
        <v>217</v>
      </c>
      <c r="C603" s="1">
        <v>1</v>
      </c>
      <c r="D603" s="1" t="s">
        <v>398</v>
      </c>
      <c r="E603" s="1">
        <v>40</v>
      </c>
      <c r="F603" s="1" t="s">
        <v>398</v>
      </c>
    </row>
    <row r="604" spans="1:6">
      <c r="A604">
        <v>38</v>
      </c>
      <c r="B604" t="s">
        <v>217</v>
      </c>
      <c r="C604" s="1">
        <v>1</v>
      </c>
      <c r="D604" s="1" t="s">
        <v>399</v>
      </c>
      <c r="E604" s="1">
        <v>50</v>
      </c>
      <c r="F604" s="1" t="s">
        <v>399</v>
      </c>
    </row>
    <row r="605" spans="1:6">
      <c r="A605">
        <v>38</v>
      </c>
      <c r="B605" t="s">
        <v>217</v>
      </c>
      <c r="C605" s="1">
        <v>1</v>
      </c>
      <c r="D605" s="1" t="s">
        <v>400</v>
      </c>
      <c r="E605" s="1">
        <v>70</v>
      </c>
      <c r="F605" s="1" t="s">
        <v>400</v>
      </c>
    </row>
    <row r="606" spans="1:6">
      <c r="A606">
        <v>38</v>
      </c>
      <c r="B606" t="s">
        <v>217</v>
      </c>
      <c r="C606" s="1">
        <v>2</v>
      </c>
      <c r="D606" s="1" t="s">
        <v>401</v>
      </c>
      <c r="E606" s="1">
        <v>20</v>
      </c>
      <c r="F606" s="1" t="s">
        <v>401</v>
      </c>
    </row>
    <row r="607" spans="1:6">
      <c r="A607">
        <v>38</v>
      </c>
      <c r="B607" t="s">
        <v>217</v>
      </c>
      <c r="C607" s="1">
        <v>2</v>
      </c>
      <c r="D607" s="1" t="s">
        <v>402</v>
      </c>
      <c r="E607" s="1">
        <v>30</v>
      </c>
      <c r="F607" s="1" t="s">
        <v>402</v>
      </c>
    </row>
    <row r="608" spans="1:6">
      <c r="A608">
        <v>38</v>
      </c>
      <c r="B608" t="s">
        <v>217</v>
      </c>
      <c r="C608" s="1">
        <v>2</v>
      </c>
      <c r="D608" s="1" t="s">
        <v>403</v>
      </c>
      <c r="E608" s="1">
        <v>40</v>
      </c>
      <c r="F608" s="1" t="s">
        <v>403</v>
      </c>
    </row>
    <row r="609" spans="1:6">
      <c r="A609">
        <v>38</v>
      </c>
      <c r="B609" t="s">
        <v>217</v>
      </c>
      <c r="C609" s="1">
        <v>2</v>
      </c>
      <c r="D609" s="1" t="s">
        <v>404</v>
      </c>
      <c r="E609" s="1">
        <v>50</v>
      </c>
      <c r="F609" s="1" t="s">
        <v>404</v>
      </c>
    </row>
    <row r="610" spans="1:6">
      <c r="A610">
        <v>38</v>
      </c>
      <c r="B610" t="s">
        <v>217</v>
      </c>
      <c r="C610" s="1">
        <v>2</v>
      </c>
      <c r="D610" s="1" t="s">
        <v>405</v>
      </c>
      <c r="E610" s="1">
        <v>60</v>
      </c>
      <c r="F610" s="1" t="s">
        <v>405</v>
      </c>
    </row>
    <row r="611" spans="1:6">
      <c r="A611">
        <v>38</v>
      </c>
      <c r="B611" t="s">
        <v>217</v>
      </c>
      <c r="C611" s="1">
        <v>2</v>
      </c>
      <c r="D611" s="1" t="s">
        <v>406</v>
      </c>
      <c r="E611" s="1">
        <v>70</v>
      </c>
      <c r="F611" s="1" t="s">
        <v>406</v>
      </c>
    </row>
    <row r="612" spans="1:6">
      <c r="A612">
        <v>38</v>
      </c>
      <c r="B612" t="s">
        <v>217</v>
      </c>
      <c r="C612" s="1">
        <v>2</v>
      </c>
      <c r="D612" s="1" t="s">
        <v>407</v>
      </c>
      <c r="E612" s="1">
        <v>80</v>
      </c>
      <c r="F612" s="1" t="s">
        <v>407</v>
      </c>
    </row>
    <row r="613" spans="1:6">
      <c r="A613">
        <v>38</v>
      </c>
      <c r="B613" t="s">
        <v>217</v>
      </c>
      <c r="C613" s="1">
        <v>2</v>
      </c>
      <c r="D613" s="1" t="s">
        <v>408</v>
      </c>
      <c r="E613" s="1">
        <v>90</v>
      </c>
      <c r="F613" s="1" t="s">
        <v>408</v>
      </c>
    </row>
    <row r="614" spans="1:6">
      <c r="A614">
        <v>38</v>
      </c>
      <c r="B614" t="s">
        <v>217</v>
      </c>
      <c r="C614" s="1">
        <v>4</v>
      </c>
      <c r="D614" s="1" t="s">
        <v>409</v>
      </c>
      <c r="E614" s="1">
        <v>20</v>
      </c>
      <c r="F614" s="1" t="s">
        <v>409</v>
      </c>
    </row>
    <row r="615" spans="1:6">
      <c r="A615">
        <v>38</v>
      </c>
      <c r="B615" t="s">
        <v>217</v>
      </c>
      <c r="C615" s="1">
        <v>4</v>
      </c>
      <c r="D615" s="1" t="s">
        <v>410</v>
      </c>
      <c r="E615" s="1">
        <v>30</v>
      </c>
      <c r="F615" s="1" t="s">
        <v>410</v>
      </c>
    </row>
    <row r="616" spans="1:6">
      <c r="A616">
        <v>38</v>
      </c>
      <c r="B616" t="s">
        <v>217</v>
      </c>
      <c r="C616" s="1">
        <v>4</v>
      </c>
      <c r="D616" s="1" t="s">
        <v>411</v>
      </c>
      <c r="E616" s="1">
        <v>40</v>
      </c>
      <c r="F616" s="1" t="s">
        <v>411</v>
      </c>
    </row>
    <row r="617" spans="1:6">
      <c r="A617">
        <v>38</v>
      </c>
      <c r="B617" t="s">
        <v>217</v>
      </c>
      <c r="C617" s="1">
        <v>4</v>
      </c>
      <c r="D617" s="1" t="s">
        <v>412</v>
      </c>
      <c r="E617" s="1">
        <v>50</v>
      </c>
      <c r="F617" s="1" t="s">
        <v>412</v>
      </c>
    </row>
    <row r="618" spans="1:6">
      <c r="A618">
        <v>38</v>
      </c>
      <c r="B618" t="s">
        <v>217</v>
      </c>
      <c r="C618" s="1">
        <v>4</v>
      </c>
      <c r="D618" s="1" t="s">
        <v>294</v>
      </c>
      <c r="E618" s="1">
        <v>60</v>
      </c>
      <c r="F618" s="1" t="s">
        <v>294</v>
      </c>
    </row>
    <row r="619" spans="1:6">
      <c r="A619">
        <v>38</v>
      </c>
      <c r="B619" t="s">
        <v>217</v>
      </c>
      <c r="C619" s="1">
        <v>4</v>
      </c>
      <c r="D619" s="1" t="s">
        <v>413</v>
      </c>
      <c r="E619" s="1">
        <v>70</v>
      </c>
      <c r="F619" s="1" t="s">
        <v>413</v>
      </c>
    </row>
    <row r="620" spans="1:6">
      <c r="A620">
        <v>38</v>
      </c>
      <c r="B620" t="s">
        <v>217</v>
      </c>
      <c r="C620" s="1">
        <v>4</v>
      </c>
      <c r="D620" s="1" t="s">
        <v>414</v>
      </c>
      <c r="E620" s="1">
        <v>80</v>
      </c>
      <c r="F620" s="1" t="s">
        <v>414</v>
      </c>
    </row>
    <row r="621" spans="1:6">
      <c r="A621">
        <v>38</v>
      </c>
      <c r="B621" t="s">
        <v>217</v>
      </c>
      <c r="C621" s="1">
        <v>4</v>
      </c>
      <c r="D621" s="1" t="s">
        <v>415</v>
      </c>
      <c r="E621" s="1">
        <v>90</v>
      </c>
      <c r="F621" s="1" t="s">
        <v>415</v>
      </c>
    </row>
    <row r="622" spans="1:6">
      <c r="A622">
        <v>38</v>
      </c>
      <c r="B622" t="s">
        <v>217</v>
      </c>
      <c r="C622" s="1">
        <v>6</v>
      </c>
      <c r="D622" s="1" t="s">
        <v>416</v>
      </c>
      <c r="E622" s="1">
        <v>30</v>
      </c>
      <c r="F622" s="1" t="s">
        <v>416</v>
      </c>
    </row>
    <row r="623" spans="1:6">
      <c r="A623">
        <v>38</v>
      </c>
      <c r="B623" t="s">
        <v>217</v>
      </c>
      <c r="C623" s="1">
        <v>6</v>
      </c>
      <c r="D623" s="1" t="s">
        <v>417</v>
      </c>
      <c r="E623" s="1">
        <v>40</v>
      </c>
      <c r="F623" s="1" t="s">
        <v>417</v>
      </c>
    </row>
    <row r="624" spans="1:6">
      <c r="A624">
        <v>38</v>
      </c>
      <c r="B624" t="s">
        <v>217</v>
      </c>
      <c r="C624" s="1">
        <v>6</v>
      </c>
      <c r="D624" s="1" t="s">
        <v>418</v>
      </c>
      <c r="E624" s="1">
        <v>50</v>
      </c>
      <c r="F624" s="1" t="s">
        <v>418</v>
      </c>
    </row>
    <row r="625" spans="1:6">
      <c r="A625">
        <v>38</v>
      </c>
      <c r="B625" t="s">
        <v>217</v>
      </c>
      <c r="C625" s="1">
        <v>6</v>
      </c>
      <c r="D625" s="1" t="s">
        <v>419</v>
      </c>
      <c r="E625" s="1">
        <v>60</v>
      </c>
      <c r="F625" s="1" t="s">
        <v>419</v>
      </c>
    </row>
    <row r="626" spans="1:6">
      <c r="A626">
        <v>38</v>
      </c>
      <c r="B626" t="s">
        <v>217</v>
      </c>
      <c r="C626" s="1">
        <v>6</v>
      </c>
      <c r="D626" s="1" t="s">
        <v>420</v>
      </c>
      <c r="E626" s="1">
        <v>70</v>
      </c>
      <c r="F626" s="1" t="s">
        <v>420</v>
      </c>
    </row>
    <row r="627" spans="1:6">
      <c r="A627">
        <v>38</v>
      </c>
      <c r="B627" t="s">
        <v>217</v>
      </c>
      <c r="C627" s="1">
        <v>6</v>
      </c>
      <c r="D627" s="1" t="s">
        <v>421</v>
      </c>
      <c r="E627" s="1">
        <v>80</v>
      </c>
      <c r="F627" s="1" t="s">
        <v>421</v>
      </c>
    </row>
    <row r="628" spans="1:6">
      <c r="A628">
        <v>38</v>
      </c>
      <c r="B628" t="s">
        <v>217</v>
      </c>
      <c r="C628" s="1">
        <v>6</v>
      </c>
      <c r="D628" s="1" t="s">
        <v>422</v>
      </c>
      <c r="E628" s="1">
        <v>90</v>
      </c>
      <c r="F628" s="1" t="s">
        <v>422</v>
      </c>
    </row>
    <row r="629" spans="1:6">
      <c r="A629">
        <v>38</v>
      </c>
      <c r="B629" t="s">
        <v>217</v>
      </c>
      <c r="C629" s="1">
        <v>7</v>
      </c>
      <c r="D629" s="1" t="s">
        <v>423</v>
      </c>
      <c r="E629" s="1">
        <v>2</v>
      </c>
      <c r="F629" s="1" t="s">
        <v>423</v>
      </c>
    </row>
    <row r="630" spans="1:6">
      <c r="A630">
        <v>38</v>
      </c>
      <c r="B630" t="s">
        <v>217</v>
      </c>
      <c r="C630" s="1">
        <v>7</v>
      </c>
      <c r="D630" s="1" t="s">
        <v>424</v>
      </c>
      <c r="E630" s="1">
        <v>4</v>
      </c>
      <c r="F630" s="1" t="s">
        <v>424</v>
      </c>
    </row>
    <row r="631" spans="1:6">
      <c r="A631">
        <v>38</v>
      </c>
      <c r="B631" t="s">
        <v>217</v>
      </c>
      <c r="C631" s="1">
        <v>7</v>
      </c>
      <c r="D631" s="1" t="s">
        <v>425</v>
      </c>
      <c r="F631" s="1" t="s">
        <v>425</v>
      </c>
    </row>
    <row r="632" spans="1:6">
      <c r="A632">
        <v>38</v>
      </c>
      <c r="B632" t="s">
        <v>217</v>
      </c>
      <c r="C632" s="1">
        <v>8</v>
      </c>
      <c r="D632" s="1" t="s">
        <v>426</v>
      </c>
      <c r="E632" s="1">
        <v>90</v>
      </c>
      <c r="F632" s="1" t="s">
        <v>426</v>
      </c>
    </row>
    <row r="633" spans="1:6">
      <c r="A633">
        <v>38</v>
      </c>
      <c r="B633" t="s">
        <v>217</v>
      </c>
      <c r="C633" s="1">
        <v>9</v>
      </c>
      <c r="D633" s="1" t="s">
        <v>427</v>
      </c>
      <c r="E633" s="1">
        <v>2</v>
      </c>
      <c r="F633" s="1" t="s">
        <v>427</v>
      </c>
    </row>
    <row r="634" spans="1:6">
      <c r="A634">
        <v>38</v>
      </c>
      <c r="B634" t="s">
        <v>217</v>
      </c>
      <c r="C634" s="1">
        <v>9</v>
      </c>
      <c r="D634" s="1" t="s">
        <v>428</v>
      </c>
      <c r="E634" s="1">
        <v>4</v>
      </c>
      <c r="F634" s="1" t="s">
        <v>428</v>
      </c>
    </row>
    <row r="635" spans="1:6">
      <c r="A635">
        <v>38</v>
      </c>
      <c r="B635" t="s">
        <v>217</v>
      </c>
      <c r="C635" s="1">
        <v>9</v>
      </c>
      <c r="D635" s="1" t="s">
        <v>429</v>
      </c>
      <c r="F635" s="1" t="s">
        <v>429</v>
      </c>
    </row>
    <row r="636" spans="1:6">
      <c r="A636">
        <v>39</v>
      </c>
      <c r="B636" t="s">
        <v>218</v>
      </c>
      <c r="C636" s="1">
        <v>1</v>
      </c>
      <c r="D636" s="1" t="s">
        <v>430</v>
      </c>
      <c r="E636" s="1">
        <v>10</v>
      </c>
      <c r="F636" s="1" t="s">
        <v>430</v>
      </c>
    </row>
    <row r="637" spans="1:6">
      <c r="A637">
        <v>39</v>
      </c>
      <c r="B637" t="s">
        <v>218</v>
      </c>
      <c r="C637" s="1">
        <v>1</v>
      </c>
      <c r="D637" s="1" t="s">
        <v>396</v>
      </c>
      <c r="E637" s="1">
        <v>20</v>
      </c>
      <c r="F637" s="1" t="s">
        <v>396</v>
      </c>
    </row>
    <row r="638" spans="1:6">
      <c r="A638">
        <v>39</v>
      </c>
      <c r="B638" t="s">
        <v>218</v>
      </c>
      <c r="C638" s="1">
        <v>1</v>
      </c>
      <c r="D638" s="1" t="s">
        <v>397</v>
      </c>
      <c r="E638" s="1">
        <v>30</v>
      </c>
      <c r="F638" s="1" t="s">
        <v>397</v>
      </c>
    </row>
    <row r="639" spans="1:6">
      <c r="A639">
        <v>39</v>
      </c>
      <c r="B639" t="s">
        <v>218</v>
      </c>
      <c r="C639" s="1">
        <v>1</v>
      </c>
      <c r="D639" s="1" t="s">
        <v>398</v>
      </c>
      <c r="E639" s="1">
        <v>40</v>
      </c>
      <c r="F639" s="1" t="s">
        <v>398</v>
      </c>
    </row>
    <row r="640" spans="1:6">
      <c r="A640">
        <v>39</v>
      </c>
      <c r="B640" t="s">
        <v>218</v>
      </c>
      <c r="C640" s="1">
        <v>1</v>
      </c>
      <c r="D640" s="1" t="s">
        <v>399</v>
      </c>
      <c r="E640" s="1">
        <v>50</v>
      </c>
      <c r="F640" s="1" t="s">
        <v>399</v>
      </c>
    </row>
    <row r="641" spans="1:6">
      <c r="A641">
        <v>39</v>
      </c>
      <c r="B641" t="s">
        <v>218</v>
      </c>
      <c r="C641" s="1">
        <v>1</v>
      </c>
      <c r="D641" s="1" t="s">
        <v>431</v>
      </c>
      <c r="E641" s="1">
        <v>60</v>
      </c>
      <c r="F641" s="1" t="s">
        <v>431</v>
      </c>
    </row>
    <row r="642" spans="1:6">
      <c r="A642">
        <v>39</v>
      </c>
      <c r="B642" t="s">
        <v>218</v>
      </c>
      <c r="C642" s="1">
        <v>1</v>
      </c>
      <c r="D642" s="1" t="s">
        <v>400</v>
      </c>
      <c r="E642" s="1">
        <v>70</v>
      </c>
      <c r="F642" s="1" t="s">
        <v>400</v>
      </c>
    </row>
    <row r="643" spans="1:6">
      <c r="A643">
        <v>39</v>
      </c>
      <c r="B643" t="s">
        <v>218</v>
      </c>
      <c r="C643" s="1">
        <v>1</v>
      </c>
      <c r="D643" s="1" t="s">
        <v>432</v>
      </c>
      <c r="E643" s="1">
        <v>80</v>
      </c>
      <c r="F643" s="1" t="s">
        <v>432</v>
      </c>
    </row>
    <row r="644" spans="1:6">
      <c r="A644">
        <v>39</v>
      </c>
      <c r="B644" t="s">
        <v>218</v>
      </c>
      <c r="C644" s="1">
        <v>1</v>
      </c>
      <c r="D644" s="1" t="s">
        <v>433</v>
      </c>
      <c r="E644" s="1">
        <v>90</v>
      </c>
      <c r="F644" s="1" t="s">
        <v>433</v>
      </c>
    </row>
    <row r="645" spans="1:6">
      <c r="A645">
        <v>39</v>
      </c>
      <c r="B645" t="s">
        <v>218</v>
      </c>
      <c r="C645" s="1">
        <v>2</v>
      </c>
      <c r="D645" s="1" t="s">
        <v>434</v>
      </c>
      <c r="E645" s="1">
        <v>10</v>
      </c>
      <c r="F645" s="1" t="s">
        <v>434</v>
      </c>
    </row>
    <row r="646" spans="1:6">
      <c r="A646">
        <v>39</v>
      </c>
      <c r="B646" t="s">
        <v>218</v>
      </c>
      <c r="C646" s="1">
        <v>2</v>
      </c>
      <c r="D646" s="1" t="s">
        <v>401</v>
      </c>
      <c r="E646" s="1">
        <v>20</v>
      </c>
      <c r="F646" s="1" t="s">
        <v>401</v>
      </c>
    </row>
    <row r="647" spans="1:6">
      <c r="A647">
        <v>39</v>
      </c>
      <c r="B647" t="s">
        <v>218</v>
      </c>
      <c r="C647" s="1">
        <v>2</v>
      </c>
      <c r="D647" s="1" t="s">
        <v>402</v>
      </c>
      <c r="E647" s="1">
        <v>30</v>
      </c>
      <c r="F647" s="1" t="s">
        <v>402</v>
      </c>
    </row>
    <row r="648" spans="1:6">
      <c r="A648">
        <v>39</v>
      </c>
      <c r="B648" t="s">
        <v>218</v>
      </c>
      <c r="C648" s="1">
        <v>2</v>
      </c>
      <c r="D648" s="1" t="s">
        <v>403</v>
      </c>
      <c r="E648" s="1">
        <v>40</v>
      </c>
      <c r="F648" s="1" t="s">
        <v>403</v>
      </c>
    </row>
    <row r="649" spans="1:6">
      <c r="A649">
        <v>39</v>
      </c>
      <c r="B649" t="s">
        <v>218</v>
      </c>
      <c r="C649" s="1">
        <v>2</v>
      </c>
      <c r="D649" s="1" t="s">
        <v>404</v>
      </c>
      <c r="E649" s="1">
        <v>50</v>
      </c>
      <c r="F649" s="1" t="s">
        <v>404</v>
      </c>
    </row>
    <row r="650" spans="1:6">
      <c r="A650">
        <v>39</v>
      </c>
      <c r="B650" t="s">
        <v>218</v>
      </c>
      <c r="C650" s="1">
        <v>2</v>
      </c>
      <c r="D650" s="1" t="s">
        <v>405</v>
      </c>
      <c r="E650" s="1">
        <v>60</v>
      </c>
      <c r="F650" s="1" t="s">
        <v>405</v>
      </c>
    </row>
    <row r="651" spans="1:6">
      <c r="A651">
        <v>39</v>
      </c>
      <c r="B651" t="s">
        <v>218</v>
      </c>
      <c r="C651" s="1">
        <v>2</v>
      </c>
      <c r="D651" s="1" t="s">
        <v>406</v>
      </c>
      <c r="E651" s="1">
        <v>70</v>
      </c>
      <c r="F651" s="1" t="s">
        <v>406</v>
      </c>
    </row>
    <row r="652" spans="1:6">
      <c r="A652">
        <v>39</v>
      </c>
      <c r="B652" t="s">
        <v>218</v>
      </c>
      <c r="C652" s="1">
        <v>2</v>
      </c>
      <c r="D652" s="1" t="s">
        <v>407</v>
      </c>
      <c r="E652" s="1">
        <v>80</v>
      </c>
      <c r="F652" s="1" t="s">
        <v>407</v>
      </c>
    </row>
    <row r="653" spans="1:6">
      <c r="A653">
        <v>39</v>
      </c>
      <c r="B653" t="s">
        <v>218</v>
      </c>
      <c r="C653" s="1">
        <v>2</v>
      </c>
      <c r="D653" s="1" t="s">
        <v>408</v>
      </c>
      <c r="E653" s="1">
        <v>90</v>
      </c>
      <c r="F653" s="1" t="s">
        <v>408</v>
      </c>
    </row>
    <row r="654" spans="1:6">
      <c r="A654">
        <v>39</v>
      </c>
      <c r="B654" t="s">
        <v>218</v>
      </c>
      <c r="C654" s="1">
        <v>3</v>
      </c>
      <c r="D654" s="1" t="s">
        <v>435</v>
      </c>
      <c r="F654" s="1" t="s">
        <v>435</v>
      </c>
    </row>
    <row r="655" spans="1:6">
      <c r="A655">
        <v>39</v>
      </c>
      <c r="B655" t="s">
        <v>218</v>
      </c>
      <c r="C655" s="1">
        <v>4</v>
      </c>
      <c r="D655" s="1" t="s">
        <v>409</v>
      </c>
      <c r="E655" s="1">
        <v>20</v>
      </c>
      <c r="F655" s="1" t="s">
        <v>409</v>
      </c>
    </row>
    <row r="656" spans="1:6">
      <c r="A656">
        <v>39</v>
      </c>
      <c r="B656" t="s">
        <v>218</v>
      </c>
      <c r="C656" s="1">
        <v>4</v>
      </c>
      <c r="D656" s="1" t="s">
        <v>410</v>
      </c>
      <c r="E656" s="1">
        <v>30</v>
      </c>
      <c r="F656" s="1" t="s">
        <v>410</v>
      </c>
    </row>
    <row r="657" spans="1:6">
      <c r="A657">
        <v>39</v>
      </c>
      <c r="B657" t="s">
        <v>218</v>
      </c>
      <c r="C657" s="1">
        <v>4</v>
      </c>
      <c r="D657" s="1" t="s">
        <v>411</v>
      </c>
      <c r="E657" s="1">
        <v>40</v>
      </c>
      <c r="F657" s="1" t="s">
        <v>411</v>
      </c>
    </row>
    <row r="658" spans="1:6">
      <c r="A658">
        <v>39</v>
      </c>
      <c r="B658" t="s">
        <v>218</v>
      </c>
      <c r="C658" s="1">
        <v>4</v>
      </c>
      <c r="D658" s="1" t="s">
        <v>412</v>
      </c>
      <c r="E658" s="1">
        <v>50</v>
      </c>
      <c r="F658" s="1" t="s">
        <v>412</v>
      </c>
    </row>
    <row r="659" spans="1:6">
      <c r="A659">
        <v>39</v>
      </c>
      <c r="B659" t="s">
        <v>218</v>
      </c>
      <c r="C659" s="1">
        <v>4</v>
      </c>
      <c r="D659" s="1" t="s">
        <v>294</v>
      </c>
      <c r="E659" s="1">
        <v>60</v>
      </c>
      <c r="F659" s="1" t="s">
        <v>294</v>
      </c>
    </row>
    <row r="660" spans="1:6">
      <c r="A660">
        <v>39</v>
      </c>
      <c r="B660" t="s">
        <v>218</v>
      </c>
      <c r="C660" s="1">
        <v>4</v>
      </c>
      <c r="D660" s="1" t="s">
        <v>413</v>
      </c>
      <c r="E660" s="1">
        <v>70</v>
      </c>
      <c r="F660" s="1" t="s">
        <v>413</v>
      </c>
    </row>
    <row r="661" spans="1:6">
      <c r="A661">
        <v>39</v>
      </c>
      <c r="B661" t="s">
        <v>218</v>
      </c>
      <c r="C661" s="1">
        <v>4</v>
      </c>
      <c r="D661" s="1" t="s">
        <v>414</v>
      </c>
      <c r="E661" s="1">
        <v>80</v>
      </c>
      <c r="F661" s="1" t="s">
        <v>414</v>
      </c>
    </row>
    <row r="662" spans="1:6">
      <c r="A662">
        <v>39</v>
      </c>
      <c r="B662" t="s">
        <v>218</v>
      </c>
      <c r="C662" s="1">
        <v>4</v>
      </c>
      <c r="D662" s="1" t="s">
        <v>415</v>
      </c>
      <c r="E662" s="1">
        <v>90</v>
      </c>
      <c r="F662" s="1" t="s">
        <v>415</v>
      </c>
    </row>
    <row r="663" spans="1:6">
      <c r="A663">
        <v>39</v>
      </c>
      <c r="B663" t="s">
        <v>218</v>
      </c>
      <c r="C663" s="1">
        <v>5</v>
      </c>
      <c r="D663" s="1" t="s">
        <v>436</v>
      </c>
      <c r="F663" s="1" t="s">
        <v>436</v>
      </c>
    </row>
    <row r="664" spans="1:6">
      <c r="A664">
        <v>39</v>
      </c>
      <c r="B664" t="s">
        <v>218</v>
      </c>
      <c r="C664" s="1">
        <v>6</v>
      </c>
      <c r="D664" s="1" t="s">
        <v>437</v>
      </c>
      <c r="E664" s="1">
        <v>20</v>
      </c>
      <c r="F664" s="1" t="s">
        <v>437</v>
      </c>
    </row>
    <row r="665" spans="1:6">
      <c r="A665">
        <v>39</v>
      </c>
      <c r="B665" t="s">
        <v>218</v>
      </c>
      <c r="C665" s="1">
        <v>6</v>
      </c>
      <c r="D665" s="1" t="s">
        <v>416</v>
      </c>
      <c r="E665" s="1">
        <v>30</v>
      </c>
      <c r="F665" s="1" t="s">
        <v>416</v>
      </c>
    </row>
    <row r="666" spans="1:6">
      <c r="A666">
        <v>39</v>
      </c>
      <c r="B666" t="s">
        <v>218</v>
      </c>
      <c r="C666" s="1">
        <v>6</v>
      </c>
      <c r="D666" s="1" t="s">
        <v>417</v>
      </c>
      <c r="E666" s="1">
        <v>40</v>
      </c>
      <c r="F666" s="1" t="s">
        <v>417</v>
      </c>
    </row>
    <row r="667" spans="1:6">
      <c r="A667">
        <v>39</v>
      </c>
      <c r="B667" t="s">
        <v>218</v>
      </c>
      <c r="C667" s="1">
        <v>6</v>
      </c>
      <c r="D667" s="1" t="s">
        <v>418</v>
      </c>
      <c r="E667" s="1">
        <v>50</v>
      </c>
      <c r="F667" s="1" t="s">
        <v>418</v>
      </c>
    </row>
    <row r="668" spans="1:6">
      <c r="A668">
        <v>39</v>
      </c>
      <c r="B668" t="s">
        <v>218</v>
      </c>
      <c r="C668" s="1">
        <v>6</v>
      </c>
      <c r="D668" s="1" t="s">
        <v>419</v>
      </c>
      <c r="E668" s="1">
        <v>60</v>
      </c>
      <c r="F668" s="1" t="s">
        <v>419</v>
      </c>
    </row>
    <row r="669" spans="1:6">
      <c r="A669">
        <v>39</v>
      </c>
      <c r="B669" t="s">
        <v>218</v>
      </c>
      <c r="C669" s="1">
        <v>6</v>
      </c>
      <c r="D669" s="1" t="s">
        <v>420</v>
      </c>
      <c r="E669" s="1">
        <v>70</v>
      </c>
      <c r="F669" s="1" t="s">
        <v>420</v>
      </c>
    </row>
    <row r="670" spans="1:6">
      <c r="A670">
        <v>39</v>
      </c>
      <c r="B670" t="s">
        <v>218</v>
      </c>
      <c r="C670" s="1">
        <v>6</v>
      </c>
      <c r="D670" s="1" t="s">
        <v>421</v>
      </c>
      <c r="E670" s="1">
        <v>80</v>
      </c>
      <c r="F670" s="1" t="s">
        <v>421</v>
      </c>
    </row>
    <row r="671" spans="1:6">
      <c r="A671">
        <v>39</v>
      </c>
      <c r="B671" t="s">
        <v>218</v>
      </c>
      <c r="C671" s="1">
        <v>6</v>
      </c>
      <c r="D671" s="1" t="s">
        <v>422</v>
      </c>
      <c r="E671" s="1">
        <v>90</v>
      </c>
      <c r="F671" s="1" t="s">
        <v>422</v>
      </c>
    </row>
    <row r="672" spans="1:6">
      <c r="A672">
        <v>39</v>
      </c>
      <c r="B672" t="s">
        <v>218</v>
      </c>
      <c r="C672" s="1">
        <v>7</v>
      </c>
      <c r="D672" s="1" t="s">
        <v>423</v>
      </c>
      <c r="E672" s="1">
        <v>2</v>
      </c>
      <c r="F672" s="1" t="s">
        <v>423</v>
      </c>
    </row>
    <row r="673" spans="1:6">
      <c r="A673">
        <v>39</v>
      </c>
      <c r="B673" t="s">
        <v>218</v>
      </c>
      <c r="C673" s="1">
        <v>7</v>
      </c>
      <c r="D673" s="1" t="s">
        <v>425</v>
      </c>
      <c r="F673" s="1" t="s">
        <v>425</v>
      </c>
    </row>
    <row r="674" spans="1:6">
      <c r="A674">
        <v>39</v>
      </c>
      <c r="B674" t="s">
        <v>218</v>
      </c>
      <c r="C674" s="1">
        <v>8</v>
      </c>
      <c r="D674" s="1" t="s">
        <v>438</v>
      </c>
      <c r="E674" s="1">
        <v>30</v>
      </c>
      <c r="F674" s="1" t="s">
        <v>438</v>
      </c>
    </row>
    <row r="675" spans="1:6">
      <c r="A675">
        <v>39</v>
      </c>
      <c r="B675" t="s">
        <v>218</v>
      </c>
      <c r="C675" s="1">
        <v>8</v>
      </c>
      <c r="D675" s="1" t="s">
        <v>439</v>
      </c>
      <c r="E675" s="1">
        <v>50</v>
      </c>
      <c r="F675" s="1" t="s">
        <v>439</v>
      </c>
    </row>
    <row r="676" spans="1:6">
      <c r="A676">
        <v>39</v>
      </c>
      <c r="B676" t="s">
        <v>218</v>
      </c>
      <c r="C676" s="1">
        <v>8</v>
      </c>
      <c r="D676" s="1" t="s">
        <v>440</v>
      </c>
      <c r="E676" s="1">
        <v>70</v>
      </c>
      <c r="F676" s="1" t="s">
        <v>440</v>
      </c>
    </row>
    <row r="677" spans="1:6">
      <c r="A677">
        <v>39</v>
      </c>
      <c r="B677" t="s">
        <v>218</v>
      </c>
      <c r="C677" s="1">
        <v>8</v>
      </c>
      <c r="D677" s="1" t="s">
        <v>441</v>
      </c>
      <c r="E677" s="1">
        <v>80</v>
      </c>
      <c r="F677" s="1" t="s">
        <v>441</v>
      </c>
    </row>
    <row r="678" spans="1:6">
      <c r="A678">
        <v>39</v>
      </c>
      <c r="B678" t="s">
        <v>218</v>
      </c>
      <c r="C678" s="1">
        <v>8</v>
      </c>
      <c r="D678" s="1" t="s">
        <v>426</v>
      </c>
      <c r="E678" s="1">
        <v>90</v>
      </c>
      <c r="F678" s="1" t="s">
        <v>426</v>
      </c>
    </row>
    <row r="679" spans="1:6">
      <c r="A679">
        <v>39</v>
      </c>
      <c r="B679" t="s">
        <v>218</v>
      </c>
      <c r="C679" s="1">
        <v>9</v>
      </c>
      <c r="D679" s="1" t="s">
        <v>429</v>
      </c>
      <c r="F679" s="1" t="s">
        <v>429</v>
      </c>
    </row>
    <row r="680" spans="1:6">
      <c r="A680">
        <v>41</v>
      </c>
      <c r="B680" t="s">
        <v>219</v>
      </c>
      <c r="C680" s="1">
        <v>1</v>
      </c>
      <c r="D680" s="1" t="s">
        <v>442</v>
      </c>
      <c r="E680" s="1">
        <v>10</v>
      </c>
      <c r="F680" s="1" t="s">
        <v>442</v>
      </c>
    </row>
    <row r="681" spans="1:6">
      <c r="A681">
        <v>41</v>
      </c>
      <c r="B681" t="s">
        <v>219</v>
      </c>
      <c r="C681" s="1">
        <v>1</v>
      </c>
      <c r="D681" s="1" t="s">
        <v>443</v>
      </c>
      <c r="F681" s="1" t="s">
        <v>443</v>
      </c>
    </row>
    <row r="682" spans="1:6">
      <c r="A682">
        <v>41</v>
      </c>
      <c r="B682" t="s">
        <v>219</v>
      </c>
      <c r="E682" s="1">
        <v>10</v>
      </c>
    </row>
    <row r="683" spans="1:6">
      <c r="A683">
        <v>41</v>
      </c>
      <c r="B683" t="s">
        <v>219</v>
      </c>
      <c r="E683" s="1">
        <v>20</v>
      </c>
    </row>
    <row r="684" spans="1:6">
      <c r="A684">
        <v>41</v>
      </c>
      <c r="B684" t="s">
        <v>219</v>
      </c>
      <c r="E684" s="1">
        <v>30</v>
      </c>
    </row>
    <row r="685" spans="1:6">
      <c r="A685">
        <v>41</v>
      </c>
      <c r="B685" t="s">
        <v>219</v>
      </c>
      <c r="E685" s="1">
        <v>40</v>
      </c>
    </row>
    <row r="686" spans="1:6">
      <c r="A686">
        <v>41</v>
      </c>
      <c r="B686" t="s">
        <v>219</v>
      </c>
      <c r="E686" s="1">
        <v>50</v>
      </c>
    </row>
    <row r="687" spans="1:6">
      <c r="A687">
        <v>41</v>
      </c>
      <c r="B687" t="s">
        <v>219</v>
      </c>
      <c r="E687" s="1">
        <v>60</v>
      </c>
    </row>
    <row r="688" spans="1:6">
      <c r="A688">
        <v>41</v>
      </c>
      <c r="B688" t="s">
        <v>219</v>
      </c>
      <c r="E688" s="1">
        <v>70</v>
      </c>
    </row>
    <row r="689" spans="1:6">
      <c r="A689">
        <v>41</v>
      </c>
      <c r="B689" t="s">
        <v>219</v>
      </c>
      <c r="E689" s="1">
        <v>90</v>
      </c>
    </row>
    <row r="690" spans="1:6">
      <c r="A690">
        <v>41</v>
      </c>
      <c r="B690" t="s">
        <v>219</v>
      </c>
      <c r="E690" s="1">
        <v>91</v>
      </c>
    </row>
    <row r="691" spans="1:6">
      <c r="A691">
        <v>41</v>
      </c>
      <c r="B691" t="s">
        <v>219</v>
      </c>
      <c r="E691" s="1">
        <v>92</v>
      </c>
    </row>
    <row r="692" spans="1:6">
      <c r="A692">
        <v>43</v>
      </c>
      <c r="B692" t="s">
        <v>221</v>
      </c>
      <c r="E692" s="1">
        <v>50</v>
      </c>
    </row>
    <row r="693" spans="1:6">
      <c r="A693">
        <v>43</v>
      </c>
      <c r="B693" t="s">
        <v>221</v>
      </c>
      <c r="E693" s="1">
        <v>60</v>
      </c>
    </row>
    <row r="694" spans="1:6">
      <c r="A694">
        <v>46</v>
      </c>
      <c r="B694" t="s">
        <v>444</v>
      </c>
      <c r="C694" s="1">
        <v>1</v>
      </c>
      <c r="D694" s="1">
        <v>39</v>
      </c>
      <c r="F694" s="1">
        <v>39</v>
      </c>
    </row>
    <row r="695" spans="1:6">
      <c r="A695">
        <v>47</v>
      </c>
      <c r="B695" t="s">
        <v>445</v>
      </c>
      <c r="C695" s="1">
        <v>2</v>
      </c>
      <c r="D695" s="1" t="s">
        <v>446</v>
      </c>
      <c r="E695" s="1">
        <v>30</v>
      </c>
      <c r="F695" s="1" t="s">
        <v>446</v>
      </c>
    </row>
    <row r="696" spans="1:6">
      <c r="A696">
        <v>47</v>
      </c>
      <c r="B696" t="s">
        <v>445</v>
      </c>
      <c r="C696" s="1">
        <v>3</v>
      </c>
      <c r="D696" s="1" t="s">
        <v>447</v>
      </c>
      <c r="E696" s="1">
        <v>30</v>
      </c>
      <c r="F696" s="1" t="s">
        <v>447</v>
      </c>
    </row>
    <row r="697" spans="1:6">
      <c r="A697">
        <v>47</v>
      </c>
      <c r="B697" t="s">
        <v>445</v>
      </c>
      <c r="C697" s="1">
        <v>3</v>
      </c>
      <c r="D697" s="1" t="s">
        <v>448</v>
      </c>
      <c r="E697" s="1">
        <v>40</v>
      </c>
      <c r="F697" s="1" t="s">
        <v>448</v>
      </c>
    </row>
    <row r="698" spans="1:6">
      <c r="A698">
        <v>47</v>
      </c>
      <c r="B698" t="s">
        <v>445</v>
      </c>
      <c r="C698" s="1">
        <v>3</v>
      </c>
      <c r="D698" s="1" t="s">
        <v>449</v>
      </c>
      <c r="E698" s="1">
        <v>50</v>
      </c>
      <c r="F698" s="1" t="s">
        <v>449</v>
      </c>
    </row>
    <row r="699" spans="1:6">
      <c r="A699">
        <v>47</v>
      </c>
      <c r="B699" t="s">
        <v>445</v>
      </c>
      <c r="C699" s="1">
        <v>3</v>
      </c>
      <c r="D699" s="1" t="s">
        <v>450</v>
      </c>
      <c r="E699" s="1">
        <v>60</v>
      </c>
      <c r="F699" s="1" t="s">
        <v>450</v>
      </c>
    </row>
    <row r="700" spans="1:6">
      <c r="A700">
        <v>47</v>
      </c>
      <c r="B700" t="s">
        <v>445</v>
      </c>
      <c r="C700" s="1">
        <v>3</v>
      </c>
      <c r="D700" s="1" t="s">
        <v>451</v>
      </c>
      <c r="E700" s="1">
        <v>70</v>
      </c>
      <c r="F700" s="1" t="s">
        <v>451</v>
      </c>
    </row>
    <row r="701" spans="1:6">
      <c r="A701">
        <v>47</v>
      </c>
      <c r="B701" t="s">
        <v>445</v>
      </c>
      <c r="C701" s="1">
        <v>4</v>
      </c>
      <c r="D701" s="1" t="s">
        <v>452</v>
      </c>
      <c r="E701" s="1">
        <v>20</v>
      </c>
      <c r="F701" s="1" t="s">
        <v>452</v>
      </c>
    </row>
    <row r="702" spans="1:6">
      <c r="A702">
        <v>47</v>
      </c>
      <c r="B702" t="s">
        <v>445</v>
      </c>
      <c r="C702" s="1">
        <v>4</v>
      </c>
      <c r="D702" s="1" t="s">
        <v>453</v>
      </c>
      <c r="E702" s="1">
        <v>30</v>
      </c>
      <c r="F702" s="1" t="s">
        <v>453</v>
      </c>
    </row>
    <row r="703" spans="1:6">
      <c r="A703">
        <v>47</v>
      </c>
      <c r="B703" t="s">
        <v>445</v>
      </c>
      <c r="C703" s="1">
        <v>4</v>
      </c>
      <c r="D703" s="1" t="s">
        <v>454</v>
      </c>
      <c r="E703" s="1">
        <v>40</v>
      </c>
      <c r="F703" s="1" t="s">
        <v>454</v>
      </c>
    </row>
    <row r="704" spans="1:6">
      <c r="A704">
        <v>47</v>
      </c>
      <c r="B704" t="s">
        <v>445</v>
      </c>
      <c r="C704" s="1">
        <v>4</v>
      </c>
      <c r="D704" s="1" t="s">
        <v>455</v>
      </c>
      <c r="E704" s="1">
        <v>50</v>
      </c>
      <c r="F704" s="1" t="s">
        <v>455</v>
      </c>
    </row>
    <row r="705" spans="1:6">
      <c r="A705">
        <v>47</v>
      </c>
      <c r="B705" t="s">
        <v>445</v>
      </c>
      <c r="C705" s="1">
        <v>4</v>
      </c>
      <c r="D705" s="1" t="s">
        <v>456</v>
      </c>
      <c r="E705" s="1">
        <v>60</v>
      </c>
      <c r="F705" s="1" t="s">
        <v>456</v>
      </c>
    </row>
    <row r="706" spans="1:6">
      <c r="A706">
        <v>47</v>
      </c>
      <c r="B706" t="s">
        <v>445</v>
      </c>
      <c r="C706" s="1">
        <v>4</v>
      </c>
      <c r="D706" s="1" t="s">
        <v>457</v>
      </c>
      <c r="E706" s="1">
        <v>70</v>
      </c>
      <c r="F706" s="1" t="s">
        <v>457</v>
      </c>
    </row>
    <row r="707" spans="1:6">
      <c r="A707">
        <v>47</v>
      </c>
      <c r="B707" t="s">
        <v>445</v>
      </c>
      <c r="C707" s="1">
        <v>4</v>
      </c>
      <c r="D707" s="1" t="s">
        <v>458</v>
      </c>
      <c r="E707" s="1">
        <v>80</v>
      </c>
      <c r="F707" s="1" t="s">
        <v>458</v>
      </c>
    </row>
    <row r="708" spans="1:6">
      <c r="A708">
        <v>47</v>
      </c>
      <c r="B708" t="s">
        <v>445</v>
      </c>
      <c r="C708" s="1">
        <v>5</v>
      </c>
      <c r="D708" s="1" t="s">
        <v>459</v>
      </c>
      <c r="E708" s="1">
        <v>20</v>
      </c>
      <c r="F708" s="1" t="s">
        <v>459</v>
      </c>
    </row>
    <row r="709" spans="1:6">
      <c r="A709">
        <v>47</v>
      </c>
      <c r="B709" t="s">
        <v>445</v>
      </c>
      <c r="C709" s="1">
        <v>5</v>
      </c>
      <c r="D709" s="1" t="s">
        <v>460</v>
      </c>
      <c r="E709" s="1">
        <v>30</v>
      </c>
      <c r="F709" s="1" t="s">
        <v>460</v>
      </c>
    </row>
    <row r="710" spans="1:6">
      <c r="A710">
        <v>47</v>
      </c>
      <c r="B710" t="s">
        <v>445</v>
      </c>
      <c r="C710" s="1">
        <v>5</v>
      </c>
      <c r="D710" s="1" t="s">
        <v>461</v>
      </c>
      <c r="E710" s="1">
        <v>40</v>
      </c>
      <c r="F710" s="1" t="s">
        <v>461</v>
      </c>
    </row>
    <row r="711" spans="1:6">
      <c r="A711">
        <v>47</v>
      </c>
      <c r="B711" t="s">
        <v>445</v>
      </c>
      <c r="C711" s="1">
        <v>5</v>
      </c>
      <c r="D711" s="1" t="s">
        <v>462</v>
      </c>
      <c r="E711" s="1">
        <v>50</v>
      </c>
      <c r="F711" s="1" t="s">
        <v>462</v>
      </c>
    </row>
    <row r="712" spans="1:6">
      <c r="A712">
        <v>47</v>
      </c>
      <c r="B712" t="s">
        <v>445</v>
      </c>
      <c r="C712" s="1">
        <v>5</v>
      </c>
      <c r="D712" s="1" t="s">
        <v>463</v>
      </c>
      <c r="E712" s="1">
        <v>60</v>
      </c>
      <c r="F712" s="1" t="s">
        <v>463</v>
      </c>
    </row>
    <row r="713" spans="1:6">
      <c r="A713">
        <v>47</v>
      </c>
      <c r="B713" t="s">
        <v>445</v>
      </c>
      <c r="C713" s="1">
        <v>5</v>
      </c>
      <c r="D713" s="1" t="s">
        <v>464</v>
      </c>
      <c r="E713" s="1">
        <v>70</v>
      </c>
      <c r="F713" s="1" t="s">
        <v>464</v>
      </c>
    </row>
    <row r="714" spans="1:6">
      <c r="A714">
        <v>47</v>
      </c>
      <c r="B714" t="s">
        <v>445</v>
      </c>
      <c r="C714" s="1">
        <v>5</v>
      </c>
      <c r="D714" s="1" t="s">
        <v>465</v>
      </c>
      <c r="E714" s="1">
        <v>80</v>
      </c>
      <c r="F714" s="1" t="s">
        <v>465</v>
      </c>
    </row>
    <row r="715" spans="1:6">
      <c r="A715">
        <v>47</v>
      </c>
      <c r="B715" t="s">
        <v>445</v>
      </c>
      <c r="C715" s="1">
        <v>5</v>
      </c>
      <c r="D715" s="1" t="s">
        <v>466</v>
      </c>
      <c r="E715" s="1">
        <v>90</v>
      </c>
      <c r="F715" s="1" t="s">
        <v>466</v>
      </c>
    </row>
    <row r="716" spans="1:6">
      <c r="A716">
        <v>47</v>
      </c>
      <c r="B716" t="s">
        <v>445</v>
      </c>
      <c r="C716" s="1">
        <v>6</v>
      </c>
      <c r="D716" s="1" t="s">
        <v>467</v>
      </c>
      <c r="E716" s="1">
        <v>50</v>
      </c>
      <c r="F716" s="1" t="s">
        <v>467</v>
      </c>
    </row>
    <row r="717" spans="1:6">
      <c r="A717">
        <v>47</v>
      </c>
      <c r="B717" t="s">
        <v>445</v>
      </c>
      <c r="C717" s="1">
        <v>6</v>
      </c>
      <c r="D717" s="1" t="s">
        <v>468</v>
      </c>
      <c r="E717" s="1">
        <v>70</v>
      </c>
      <c r="F717" s="1" t="s">
        <v>468</v>
      </c>
    </row>
    <row r="718" spans="1:6">
      <c r="A718">
        <v>47</v>
      </c>
      <c r="B718" t="s">
        <v>445</v>
      </c>
      <c r="C718" s="1">
        <v>6</v>
      </c>
      <c r="D718" s="1" t="s">
        <v>469</v>
      </c>
      <c r="E718" s="1">
        <v>80</v>
      </c>
      <c r="F718" s="1" t="s">
        <v>469</v>
      </c>
    </row>
    <row r="719" spans="1:6">
      <c r="A719">
        <v>47</v>
      </c>
      <c r="B719" t="s">
        <v>445</v>
      </c>
      <c r="C719" s="1">
        <v>6</v>
      </c>
      <c r="D719" s="1" t="s">
        <v>470</v>
      </c>
      <c r="E719" s="1">
        <v>90</v>
      </c>
      <c r="F719" s="1" t="s">
        <v>470</v>
      </c>
    </row>
    <row r="720" spans="1:6">
      <c r="A720">
        <v>49</v>
      </c>
      <c r="B720" t="s">
        <v>471</v>
      </c>
      <c r="C720" s="1">
        <v>2</v>
      </c>
      <c r="D720" s="1" t="s">
        <v>347</v>
      </c>
      <c r="E720" s="1">
        <v>20</v>
      </c>
      <c r="F720" s="1" t="s">
        <v>347</v>
      </c>
    </row>
    <row r="721" spans="1:6">
      <c r="A721">
        <v>49</v>
      </c>
      <c r="B721" t="s">
        <v>471</v>
      </c>
      <c r="C721" s="1">
        <v>2</v>
      </c>
      <c r="D721" s="1" t="s">
        <v>328</v>
      </c>
      <c r="E721" s="1">
        <v>30</v>
      </c>
      <c r="F721" s="1" t="s">
        <v>328</v>
      </c>
    </row>
    <row r="722" spans="1:6">
      <c r="A722">
        <v>49</v>
      </c>
      <c r="B722" t="s">
        <v>471</v>
      </c>
      <c r="C722" s="1">
        <v>2</v>
      </c>
      <c r="D722" s="1" t="s">
        <v>329</v>
      </c>
      <c r="E722" s="1">
        <v>40</v>
      </c>
      <c r="F722" s="1" t="s">
        <v>329</v>
      </c>
    </row>
    <row r="723" spans="1:6">
      <c r="A723">
        <v>49</v>
      </c>
      <c r="B723" t="s">
        <v>471</v>
      </c>
      <c r="C723" s="1">
        <v>2</v>
      </c>
      <c r="D723" s="1" t="s">
        <v>331</v>
      </c>
      <c r="E723" s="1">
        <v>60</v>
      </c>
      <c r="F723" s="1" t="s">
        <v>331</v>
      </c>
    </row>
    <row r="724" spans="1:6">
      <c r="A724">
        <v>49</v>
      </c>
      <c r="B724" t="s">
        <v>471</v>
      </c>
      <c r="C724" s="1">
        <v>3</v>
      </c>
      <c r="D724" s="1" t="s">
        <v>348</v>
      </c>
      <c r="E724" s="1">
        <v>20</v>
      </c>
      <c r="F724" s="1" t="s">
        <v>348</v>
      </c>
    </row>
    <row r="725" spans="1:6">
      <c r="A725">
        <v>49</v>
      </c>
      <c r="B725" t="s">
        <v>471</v>
      </c>
      <c r="C725" s="1">
        <v>3</v>
      </c>
      <c r="D725" s="1" t="s">
        <v>349</v>
      </c>
      <c r="E725" s="1">
        <v>30</v>
      </c>
      <c r="F725" s="1" t="s">
        <v>349</v>
      </c>
    </row>
    <row r="726" spans="1:6">
      <c r="A726">
        <v>49</v>
      </c>
      <c r="B726" t="s">
        <v>471</v>
      </c>
      <c r="C726" s="1">
        <v>3</v>
      </c>
      <c r="D726" s="1" t="s">
        <v>350</v>
      </c>
      <c r="E726" s="1">
        <v>40</v>
      </c>
      <c r="F726" s="1" t="s">
        <v>350</v>
      </c>
    </row>
    <row r="727" spans="1:6">
      <c r="A727">
        <v>49</v>
      </c>
      <c r="B727" t="s">
        <v>471</v>
      </c>
      <c r="C727" s="1">
        <v>3</v>
      </c>
      <c r="D727" s="1" t="s">
        <v>351</v>
      </c>
      <c r="E727" s="1">
        <v>50</v>
      </c>
      <c r="F727" s="1" t="s">
        <v>351</v>
      </c>
    </row>
    <row r="728" spans="1:6">
      <c r="A728">
        <v>49</v>
      </c>
      <c r="B728" t="s">
        <v>471</v>
      </c>
      <c r="C728" s="1">
        <v>3</v>
      </c>
      <c r="D728" s="1" t="s">
        <v>352</v>
      </c>
      <c r="E728" s="1">
        <v>60</v>
      </c>
      <c r="F728" s="1" t="s">
        <v>352</v>
      </c>
    </row>
    <row r="729" spans="1:6">
      <c r="A729">
        <v>49</v>
      </c>
      <c r="B729" t="s">
        <v>471</v>
      </c>
      <c r="C729" s="1">
        <v>3</v>
      </c>
      <c r="D729" s="1" t="s">
        <v>353</v>
      </c>
      <c r="E729" s="1">
        <v>70</v>
      </c>
      <c r="F729" s="1" t="s">
        <v>353</v>
      </c>
    </row>
    <row r="730" spans="1:6">
      <c r="A730">
        <v>49</v>
      </c>
      <c r="B730" t="s">
        <v>471</v>
      </c>
      <c r="C730" s="1">
        <v>3</v>
      </c>
      <c r="D730" s="1" t="s">
        <v>354</v>
      </c>
      <c r="E730" s="1">
        <v>80</v>
      </c>
      <c r="F730" s="1" t="s">
        <v>354</v>
      </c>
    </row>
    <row r="731" spans="1:6">
      <c r="A731">
        <v>49</v>
      </c>
      <c r="B731" t="s">
        <v>471</v>
      </c>
      <c r="C731" s="1">
        <v>3</v>
      </c>
      <c r="D731" s="1" t="s">
        <v>472</v>
      </c>
      <c r="E731" s="1">
        <v>90</v>
      </c>
      <c r="F731" s="1" t="s">
        <v>472</v>
      </c>
    </row>
    <row r="732" spans="1:6">
      <c r="A732">
        <v>49</v>
      </c>
      <c r="B732" t="s">
        <v>471</v>
      </c>
      <c r="C732" s="1">
        <v>4</v>
      </c>
      <c r="D732" s="1" t="s">
        <v>473</v>
      </c>
      <c r="E732" s="1">
        <v>10</v>
      </c>
      <c r="F732" s="1" t="s">
        <v>473</v>
      </c>
    </row>
    <row r="733" spans="1:6">
      <c r="A733">
        <v>49</v>
      </c>
      <c r="B733" t="s">
        <v>471</v>
      </c>
      <c r="C733" s="1">
        <v>4</v>
      </c>
      <c r="D733" s="1" t="s">
        <v>474</v>
      </c>
      <c r="E733" s="1">
        <v>30</v>
      </c>
      <c r="F733" s="1" t="s">
        <v>474</v>
      </c>
    </row>
    <row r="734" spans="1:6">
      <c r="A734">
        <v>49</v>
      </c>
      <c r="B734" t="s">
        <v>471</v>
      </c>
      <c r="C734" s="1">
        <v>4</v>
      </c>
      <c r="D734" s="1" t="s">
        <v>475</v>
      </c>
      <c r="E734" s="1">
        <v>40</v>
      </c>
      <c r="F734" s="1" t="s">
        <v>475</v>
      </c>
    </row>
    <row r="735" spans="1:6">
      <c r="A735">
        <v>49</v>
      </c>
      <c r="B735" t="s">
        <v>471</v>
      </c>
      <c r="C735" s="1">
        <v>4</v>
      </c>
      <c r="D735" s="1" t="s">
        <v>476</v>
      </c>
      <c r="E735" s="1">
        <v>50</v>
      </c>
      <c r="F735" s="1" t="s">
        <v>476</v>
      </c>
    </row>
    <row r="736" spans="1:6">
      <c r="A736">
        <v>49</v>
      </c>
      <c r="B736" t="s">
        <v>471</v>
      </c>
      <c r="C736" s="1">
        <v>4</v>
      </c>
      <c r="D736" s="1" t="s">
        <v>477</v>
      </c>
      <c r="E736" s="1">
        <v>60</v>
      </c>
      <c r="F736" s="1" t="s">
        <v>477</v>
      </c>
    </row>
    <row r="737" spans="1:6">
      <c r="A737">
        <v>49</v>
      </c>
      <c r="B737" t="s">
        <v>471</v>
      </c>
      <c r="C737" s="1">
        <v>4</v>
      </c>
      <c r="D737" s="1" t="s">
        <v>478</v>
      </c>
      <c r="E737" s="1">
        <v>70</v>
      </c>
      <c r="F737" s="1" t="s">
        <v>478</v>
      </c>
    </row>
    <row r="738" spans="1:6">
      <c r="A738">
        <v>49</v>
      </c>
      <c r="B738" t="s">
        <v>471</v>
      </c>
      <c r="C738" s="1">
        <v>4</v>
      </c>
      <c r="D738" s="1" t="s">
        <v>479</v>
      </c>
      <c r="E738" s="1">
        <v>80</v>
      </c>
      <c r="F738" s="1" t="s">
        <v>479</v>
      </c>
    </row>
    <row r="739" spans="1:6">
      <c r="A739">
        <v>49</v>
      </c>
      <c r="B739" t="s">
        <v>471</v>
      </c>
      <c r="C739" s="1">
        <v>4</v>
      </c>
      <c r="D739" s="1" t="s">
        <v>434</v>
      </c>
      <c r="F739" s="1" t="s">
        <v>434</v>
      </c>
    </row>
    <row r="740" spans="1:6">
      <c r="A740">
        <v>49</v>
      </c>
      <c r="B740" t="s">
        <v>471</v>
      </c>
      <c r="C740" s="1">
        <v>5</v>
      </c>
      <c r="D740" s="1" t="s">
        <v>480</v>
      </c>
      <c r="E740" s="1">
        <v>20</v>
      </c>
      <c r="F740" s="1" t="s">
        <v>480</v>
      </c>
    </row>
    <row r="741" spans="1:6">
      <c r="A741">
        <v>49</v>
      </c>
      <c r="B741" t="s">
        <v>471</v>
      </c>
      <c r="C741" s="1">
        <v>5</v>
      </c>
      <c r="D741" s="1" t="s">
        <v>481</v>
      </c>
      <c r="E741" s="1">
        <v>40</v>
      </c>
      <c r="F741" s="1" t="s">
        <v>481</v>
      </c>
    </row>
    <row r="742" spans="1:6">
      <c r="A742">
        <v>49</v>
      </c>
      <c r="B742" t="s">
        <v>471</v>
      </c>
      <c r="C742" s="1">
        <v>5</v>
      </c>
      <c r="D742" s="1" t="s">
        <v>482</v>
      </c>
      <c r="E742" s="1">
        <v>50</v>
      </c>
      <c r="F742" s="1" t="s">
        <v>482</v>
      </c>
    </row>
    <row r="743" spans="1:6">
      <c r="A743">
        <v>49</v>
      </c>
      <c r="B743" t="s">
        <v>471</v>
      </c>
      <c r="C743" s="1">
        <v>5</v>
      </c>
      <c r="D743" s="1" t="s">
        <v>483</v>
      </c>
      <c r="E743" s="1">
        <v>60</v>
      </c>
      <c r="F743" s="1" t="s">
        <v>483</v>
      </c>
    </row>
    <row r="744" spans="1:6">
      <c r="A744">
        <v>49</v>
      </c>
      <c r="B744" t="s">
        <v>471</v>
      </c>
      <c r="C744" s="1">
        <v>5</v>
      </c>
      <c r="D744" s="1" t="s">
        <v>484</v>
      </c>
      <c r="E744" s="1">
        <v>70</v>
      </c>
      <c r="F744" s="1" t="s">
        <v>484</v>
      </c>
    </row>
    <row r="745" spans="1:6">
      <c r="A745">
        <v>49</v>
      </c>
      <c r="B745" t="s">
        <v>471</v>
      </c>
      <c r="C745" s="1">
        <v>5</v>
      </c>
      <c r="D745" s="1" t="s">
        <v>485</v>
      </c>
      <c r="E745" s="1">
        <v>80</v>
      </c>
      <c r="F745" s="1" t="s">
        <v>485</v>
      </c>
    </row>
    <row r="746" spans="1:6">
      <c r="A746">
        <v>49</v>
      </c>
      <c r="B746" t="s">
        <v>471</v>
      </c>
      <c r="C746" s="1">
        <v>5</v>
      </c>
      <c r="D746" s="1" t="s">
        <v>486</v>
      </c>
      <c r="E746" s="1">
        <v>90</v>
      </c>
      <c r="F746" s="1" t="s">
        <v>486</v>
      </c>
    </row>
    <row r="747" spans="1:6">
      <c r="A747">
        <v>49</v>
      </c>
      <c r="B747" t="s">
        <v>471</v>
      </c>
      <c r="C747" s="1">
        <v>6</v>
      </c>
      <c r="D747" s="1" t="s">
        <v>371</v>
      </c>
      <c r="E747" s="1">
        <v>80</v>
      </c>
      <c r="F747" s="1" t="s">
        <v>371</v>
      </c>
    </row>
    <row r="748" spans="1:6">
      <c r="A748">
        <v>57</v>
      </c>
      <c r="B748" t="s">
        <v>183</v>
      </c>
      <c r="E748" s="1">
        <v>60</v>
      </c>
    </row>
    <row r="749" spans="1:6">
      <c r="A749">
        <v>58</v>
      </c>
      <c r="B749" t="s">
        <v>226</v>
      </c>
      <c r="C749" s="1">
        <v>1</v>
      </c>
      <c r="D749" s="1" t="s">
        <v>487</v>
      </c>
      <c r="E749" s="1">
        <v>60</v>
      </c>
      <c r="F749" s="1" t="s">
        <v>487</v>
      </c>
    </row>
    <row r="750" spans="1:6">
      <c r="A750">
        <v>58</v>
      </c>
      <c r="B750" t="s">
        <v>226</v>
      </c>
      <c r="C750" s="1">
        <v>3</v>
      </c>
      <c r="D750" s="1" t="s">
        <v>319</v>
      </c>
      <c r="E750" s="1">
        <v>60</v>
      </c>
      <c r="F750" s="1" t="s">
        <v>319</v>
      </c>
    </row>
    <row r="751" spans="1:6">
      <c r="A751">
        <v>74</v>
      </c>
      <c r="B751" t="s">
        <v>235</v>
      </c>
      <c r="C751" s="1">
        <v>3</v>
      </c>
      <c r="D751" s="1" t="s">
        <v>326</v>
      </c>
      <c r="E751" s="1">
        <v>40</v>
      </c>
      <c r="F751" s="1" t="s">
        <v>326</v>
      </c>
    </row>
    <row r="752" spans="1:6">
      <c r="A752">
        <v>74</v>
      </c>
      <c r="B752" t="s">
        <v>235</v>
      </c>
      <c r="C752" s="1">
        <v>3</v>
      </c>
      <c r="D752" s="1" t="s">
        <v>320</v>
      </c>
      <c r="E752" s="1">
        <v>50</v>
      </c>
      <c r="F752" s="1" t="s">
        <v>320</v>
      </c>
    </row>
    <row r="753" spans="1:6">
      <c r="A753">
        <v>74</v>
      </c>
      <c r="B753" t="s">
        <v>235</v>
      </c>
      <c r="C753" s="1">
        <v>3</v>
      </c>
      <c r="D753" s="1" t="s">
        <v>321</v>
      </c>
      <c r="E753" s="1">
        <v>60</v>
      </c>
      <c r="F753" s="1" t="s">
        <v>321</v>
      </c>
    </row>
    <row r="754" spans="1:6">
      <c r="A754">
        <v>90</v>
      </c>
      <c r="B754" t="s">
        <v>244</v>
      </c>
    </row>
    <row r="756" spans="1:6">
      <c r="A756">
        <v>1</v>
      </c>
      <c r="B756" t="s">
        <v>137</v>
      </c>
      <c r="C756" s="1">
        <v>1</v>
      </c>
      <c r="D756" s="1" t="s">
        <v>144</v>
      </c>
      <c r="E756" s="1">
        <v>62</v>
      </c>
      <c r="F756" s="1" t="s">
        <v>144</v>
      </c>
    </row>
    <row r="757" spans="1:6">
      <c r="A757">
        <v>1</v>
      </c>
      <c r="B757" t="s">
        <v>137</v>
      </c>
      <c r="C757" s="1">
        <v>1</v>
      </c>
      <c r="D757" s="1">
        <v>14</v>
      </c>
      <c r="E757" s="1">
        <v>70</v>
      </c>
      <c r="F757" s="1">
        <v>14</v>
      </c>
    </row>
    <row r="758" spans="1:6">
      <c r="A758">
        <v>1</v>
      </c>
      <c r="B758" t="s">
        <v>137</v>
      </c>
      <c r="C758" s="1">
        <v>1</v>
      </c>
      <c r="D758" s="1" t="s">
        <v>147</v>
      </c>
      <c r="E758" s="1">
        <v>72</v>
      </c>
      <c r="F758" s="1" t="s">
        <v>147</v>
      </c>
    </row>
    <row r="759" spans="1:6">
      <c r="A759">
        <v>1</v>
      </c>
      <c r="B759" t="s">
        <v>137</v>
      </c>
      <c r="C759" s="1">
        <v>1</v>
      </c>
      <c r="D759" s="1">
        <v>15</v>
      </c>
      <c r="E759" s="1">
        <v>80</v>
      </c>
      <c r="F759" s="1">
        <v>15</v>
      </c>
    </row>
    <row r="760" spans="1:6">
      <c r="A760">
        <v>1</v>
      </c>
      <c r="B760" t="s">
        <v>137</v>
      </c>
      <c r="C760" s="1">
        <v>1</v>
      </c>
      <c r="D760" s="1" t="s">
        <v>150</v>
      </c>
      <c r="E760" s="1">
        <v>82</v>
      </c>
      <c r="F760" s="1" t="s">
        <v>150</v>
      </c>
    </row>
    <row r="761" spans="1:6">
      <c r="A761">
        <v>1</v>
      </c>
      <c r="B761" t="s">
        <v>137</v>
      </c>
      <c r="C761" s="1">
        <v>1</v>
      </c>
      <c r="D761" s="1">
        <v>16</v>
      </c>
      <c r="E761" s="1">
        <v>90</v>
      </c>
      <c r="F761" s="1">
        <v>16</v>
      </c>
    </row>
    <row r="762" spans="1:6">
      <c r="A762">
        <v>1</v>
      </c>
      <c r="B762" t="s">
        <v>137</v>
      </c>
      <c r="C762" s="1">
        <v>1</v>
      </c>
      <c r="D762" s="1" t="s">
        <v>153</v>
      </c>
      <c r="E762" s="1">
        <v>92</v>
      </c>
      <c r="F762" s="1" t="s">
        <v>153</v>
      </c>
    </row>
    <row r="763" spans="1:6">
      <c r="A763">
        <v>1</v>
      </c>
      <c r="B763" t="s">
        <v>137</v>
      </c>
      <c r="C763" s="1">
        <v>1</v>
      </c>
      <c r="D763" s="1">
        <v>17</v>
      </c>
      <c r="E763" s="1">
        <v>94</v>
      </c>
      <c r="F763" s="1">
        <v>17</v>
      </c>
    </row>
    <row r="764" spans="1:6">
      <c r="A764">
        <v>1</v>
      </c>
      <c r="B764" t="s">
        <v>137</v>
      </c>
      <c r="C764" s="1">
        <v>1</v>
      </c>
      <c r="D764" s="1" t="s">
        <v>156</v>
      </c>
      <c r="E764" s="1">
        <v>96</v>
      </c>
      <c r="F764" s="1" t="s">
        <v>156</v>
      </c>
    </row>
    <row r="765" spans="1:6">
      <c r="A765">
        <v>1</v>
      </c>
      <c r="B765" t="s">
        <v>137</v>
      </c>
      <c r="C765" s="1">
        <v>2</v>
      </c>
      <c r="D765" s="1" t="s">
        <v>159</v>
      </c>
      <c r="E765" s="1">
        <v>2</v>
      </c>
      <c r="F765" s="1" t="s">
        <v>159</v>
      </c>
    </row>
    <row r="766" spans="1:6">
      <c r="A766">
        <v>1</v>
      </c>
      <c r="B766" t="s">
        <v>137</v>
      </c>
      <c r="C766" s="1">
        <v>2</v>
      </c>
      <c r="D766" s="1">
        <v>19</v>
      </c>
      <c r="E766" s="1">
        <v>10</v>
      </c>
      <c r="F766" s="1">
        <v>19</v>
      </c>
    </row>
    <row r="767" spans="1:6">
      <c r="A767">
        <v>1</v>
      </c>
      <c r="B767" t="s">
        <v>137</v>
      </c>
      <c r="C767" s="1">
        <v>2</v>
      </c>
      <c r="D767" s="1" t="s">
        <v>162</v>
      </c>
      <c r="E767" s="1">
        <v>12</v>
      </c>
      <c r="F767" s="1" t="s">
        <v>162</v>
      </c>
    </row>
    <row r="768" spans="1:6">
      <c r="A768">
        <v>1</v>
      </c>
      <c r="B768" t="s">
        <v>137</v>
      </c>
      <c r="C768" s="1">
        <v>2</v>
      </c>
      <c r="D768" s="1">
        <v>20</v>
      </c>
      <c r="E768" s="1">
        <v>20</v>
      </c>
      <c r="F768" s="1">
        <v>20</v>
      </c>
    </row>
    <row r="769" spans="1:6">
      <c r="A769">
        <v>1</v>
      </c>
      <c r="B769" t="s">
        <v>137</v>
      </c>
      <c r="C769" s="1">
        <v>2</v>
      </c>
      <c r="D769" s="1" t="s">
        <v>165</v>
      </c>
      <c r="E769" s="1">
        <v>22</v>
      </c>
      <c r="F769" s="1" t="s">
        <v>165</v>
      </c>
    </row>
    <row r="770" spans="1:6">
      <c r="A770">
        <v>1</v>
      </c>
      <c r="B770" t="s">
        <v>137</v>
      </c>
      <c r="C770" s="1">
        <v>2</v>
      </c>
      <c r="D770" s="1">
        <v>21</v>
      </c>
      <c r="E770" s="1">
        <v>30</v>
      </c>
      <c r="F770" s="1">
        <v>21</v>
      </c>
    </row>
    <row r="771" spans="1:6">
      <c r="A771">
        <v>1</v>
      </c>
      <c r="B771" t="s">
        <v>137</v>
      </c>
      <c r="C771" s="1">
        <v>2</v>
      </c>
      <c r="D771" s="1" t="s">
        <v>168</v>
      </c>
      <c r="E771" s="1">
        <v>32</v>
      </c>
      <c r="F771" s="1" t="s">
        <v>168</v>
      </c>
    </row>
    <row r="772" spans="1:6">
      <c r="A772">
        <v>1</v>
      </c>
      <c r="B772" t="s">
        <v>137</v>
      </c>
      <c r="C772" s="1">
        <v>2</v>
      </c>
      <c r="D772" s="1">
        <v>22</v>
      </c>
      <c r="E772" s="1">
        <v>40</v>
      </c>
      <c r="F772" s="1">
        <v>22</v>
      </c>
    </row>
    <row r="773" spans="1:6">
      <c r="A773">
        <v>1</v>
      </c>
      <c r="B773" t="s">
        <v>137</v>
      </c>
      <c r="C773" s="1">
        <v>2</v>
      </c>
      <c r="D773" s="1">
        <v>23</v>
      </c>
      <c r="E773" s="1">
        <v>50</v>
      </c>
      <c r="F773" s="1">
        <v>23</v>
      </c>
    </row>
    <row r="774" spans="1:6">
      <c r="A774">
        <v>1</v>
      </c>
      <c r="B774" t="s">
        <v>137</v>
      </c>
      <c r="C774" s="1">
        <v>2</v>
      </c>
      <c r="D774" s="1">
        <v>18</v>
      </c>
      <c r="F774" s="1">
        <v>18</v>
      </c>
    </row>
    <row r="775" spans="1:6">
      <c r="A775">
        <v>5</v>
      </c>
      <c r="B775" t="s">
        <v>183</v>
      </c>
      <c r="E775" s="1">
        <v>60</v>
      </c>
    </row>
    <row r="776" spans="1:6">
      <c r="A776">
        <v>6</v>
      </c>
      <c r="B776" t="s">
        <v>184</v>
      </c>
      <c r="C776" s="1">
        <v>1</v>
      </c>
      <c r="D776" s="1" t="s">
        <v>290</v>
      </c>
      <c r="E776" s="1">
        <v>10</v>
      </c>
      <c r="F776" s="1" t="s">
        <v>290</v>
      </c>
    </row>
    <row r="777" spans="1:6">
      <c r="A777">
        <v>6</v>
      </c>
      <c r="B777" t="s">
        <v>184</v>
      </c>
      <c r="E777" s="1">
        <v>63</v>
      </c>
    </row>
    <row r="778" spans="1:6">
      <c r="A778">
        <v>11</v>
      </c>
      <c r="B778" t="s">
        <v>186</v>
      </c>
      <c r="C778" s="1">
        <v>1</v>
      </c>
      <c r="D778" s="1" t="s">
        <v>192</v>
      </c>
      <c r="E778" s="1">
        <v>2</v>
      </c>
      <c r="F778" s="1" t="s">
        <v>192</v>
      </c>
    </row>
    <row r="779" spans="1:6">
      <c r="A779">
        <v>11</v>
      </c>
      <c r="B779" t="s">
        <v>186</v>
      </c>
      <c r="C779" s="1">
        <v>1</v>
      </c>
      <c r="D779" s="1">
        <v>40</v>
      </c>
      <c r="E779" s="1">
        <v>10</v>
      </c>
      <c r="F779" s="1">
        <v>40</v>
      </c>
    </row>
    <row r="780" spans="1:6">
      <c r="A780">
        <v>11</v>
      </c>
      <c r="B780" t="s">
        <v>186</v>
      </c>
      <c r="C780" s="1">
        <v>1</v>
      </c>
      <c r="D780" s="1" t="s">
        <v>193</v>
      </c>
      <c r="E780" s="1">
        <v>12</v>
      </c>
      <c r="F780" s="1" t="s">
        <v>193</v>
      </c>
    </row>
    <row r="781" spans="1:6">
      <c r="A781">
        <v>11</v>
      </c>
      <c r="B781" t="s">
        <v>186</v>
      </c>
      <c r="C781" s="1">
        <v>1</v>
      </c>
      <c r="D781" s="1">
        <v>41</v>
      </c>
      <c r="E781" s="1">
        <v>20</v>
      </c>
      <c r="F781" s="1">
        <v>41</v>
      </c>
    </row>
    <row r="782" spans="1:6">
      <c r="A782">
        <v>11</v>
      </c>
      <c r="B782" t="s">
        <v>186</v>
      </c>
      <c r="C782" s="1">
        <v>1</v>
      </c>
      <c r="D782" s="1" t="s">
        <v>194</v>
      </c>
      <c r="E782" s="1">
        <v>22</v>
      </c>
      <c r="F782" s="1" t="s">
        <v>194</v>
      </c>
    </row>
    <row r="783" spans="1:6">
      <c r="A783">
        <v>11</v>
      </c>
      <c r="B783" t="s">
        <v>186</v>
      </c>
      <c r="C783" s="1">
        <v>1</v>
      </c>
      <c r="D783" s="1">
        <v>42</v>
      </c>
      <c r="E783" s="1">
        <v>30</v>
      </c>
      <c r="F783" s="1">
        <v>42</v>
      </c>
    </row>
    <row r="784" spans="1:6">
      <c r="A784">
        <v>11</v>
      </c>
      <c r="B784" t="s">
        <v>186</v>
      </c>
      <c r="C784" s="1">
        <v>1</v>
      </c>
      <c r="D784" s="1" t="s">
        <v>195</v>
      </c>
      <c r="E784" s="1">
        <v>32</v>
      </c>
      <c r="F784" s="1" t="s">
        <v>195</v>
      </c>
    </row>
    <row r="785" spans="1:6">
      <c r="A785">
        <v>11</v>
      </c>
      <c r="B785" t="s">
        <v>186</v>
      </c>
      <c r="C785" s="1">
        <v>1</v>
      </c>
      <c r="D785" s="1">
        <v>43</v>
      </c>
      <c r="E785" s="1">
        <v>40</v>
      </c>
      <c r="F785" s="1">
        <v>43</v>
      </c>
    </row>
    <row r="786" spans="1:6">
      <c r="A786">
        <v>11</v>
      </c>
      <c r="B786" t="s">
        <v>186</v>
      </c>
      <c r="C786" s="1">
        <v>1</v>
      </c>
      <c r="D786" s="1" t="s">
        <v>196</v>
      </c>
      <c r="E786" s="1">
        <v>42</v>
      </c>
      <c r="F786" s="1" t="s">
        <v>196</v>
      </c>
    </row>
    <row r="787" spans="1:6">
      <c r="A787">
        <v>11</v>
      </c>
      <c r="B787" t="s">
        <v>186</v>
      </c>
      <c r="C787" s="1">
        <v>1</v>
      </c>
      <c r="D787" s="1">
        <v>44</v>
      </c>
      <c r="E787" s="1">
        <v>50</v>
      </c>
      <c r="F787" s="1">
        <v>44</v>
      </c>
    </row>
    <row r="788" spans="1:6">
      <c r="A788">
        <v>11</v>
      </c>
      <c r="B788" t="s">
        <v>186</v>
      </c>
      <c r="C788" s="1">
        <v>1</v>
      </c>
      <c r="D788" s="1" t="s">
        <v>197</v>
      </c>
      <c r="E788" s="1">
        <v>52</v>
      </c>
      <c r="F788" s="1" t="s">
        <v>197</v>
      </c>
    </row>
    <row r="789" spans="1:6">
      <c r="A789">
        <v>11</v>
      </c>
      <c r="B789" t="s">
        <v>186</v>
      </c>
      <c r="C789" s="1">
        <v>1</v>
      </c>
      <c r="D789" s="1">
        <v>45</v>
      </c>
      <c r="E789" s="1">
        <v>60</v>
      </c>
      <c r="F789" s="1">
        <v>45</v>
      </c>
    </row>
    <row r="790" spans="1:6">
      <c r="A790">
        <v>11</v>
      </c>
      <c r="B790" t="s">
        <v>186</v>
      </c>
      <c r="C790" s="1">
        <v>1</v>
      </c>
      <c r="D790" s="1" t="s">
        <v>198</v>
      </c>
      <c r="E790" s="1">
        <v>62</v>
      </c>
      <c r="F790" s="1" t="s">
        <v>198</v>
      </c>
    </row>
    <row r="791" spans="1:6">
      <c r="A791">
        <v>11</v>
      </c>
      <c r="B791" t="s">
        <v>186</v>
      </c>
      <c r="C791" s="1">
        <v>1</v>
      </c>
      <c r="D791" s="1" t="s">
        <v>199</v>
      </c>
      <c r="E791" s="1">
        <v>72</v>
      </c>
      <c r="F791" s="1" t="s">
        <v>199</v>
      </c>
    </row>
    <row r="792" spans="1:6">
      <c r="A792">
        <v>11</v>
      </c>
      <c r="B792" t="s">
        <v>186</v>
      </c>
      <c r="C792" s="1">
        <v>1</v>
      </c>
      <c r="D792" s="1">
        <v>39</v>
      </c>
      <c r="F792" s="1">
        <v>39</v>
      </c>
    </row>
    <row r="793" spans="1:6">
      <c r="A793">
        <v>11</v>
      </c>
      <c r="B793" t="s">
        <v>186</v>
      </c>
      <c r="E793" s="1">
        <v>96</v>
      </c>
    </row>
    <row r="794" spans="1:6">
      <c r="A794">
        <v>15</v>
      </c>
      <c r="B794" t="s">
        <v>201</v>
      </c>
      <c r="C794" s="1">
        <v>1</v>
      </c>
      <c r="D794" s="1" t="s">
        <v>489</v>
      </c>
      <c r="E794" s="1">
        <v>70</v>
      </c>
      <c r="F794" s="1" t="s">
        <v>489</v>
      </c>
    </row>
    <row r="795" spans="1:6">
      <c r="A795">
        <v>21</v>
      </c>
      <c r="B795" t="s">
        <v>205</v>
      </c>
      <c r="C795" s="1">
        <v>1</v>
      </c>
      <c r="D795" s="1" t="s">
        <v>329</v>
      </c>
      <c r="E795" s="1">
        <v>30</v>
      </c>
      <c r="F795" s="1" t="s">
        <v>329</v>
      </c>
    </row>
    <row r="796" spans="1:6">
      <c r="A796">
        <v>21</v>
      </c>
      <c r="B796" t="s">
        <v>205</v>
      </c>
      <c r="C796" s="1">
        <v>1</v>
      </c>
      <c r="D796" s="1" t="s">
        <v>288</v>
      </c>
      <c r="E796" s="1">
        <v>62</v>
      </c>
      <c r="F796" s="1" t="s">
        <v>288</v>
      </c>
    </row>
    <row r="797" spans="1:6">
      <c r="A797">
        <v>24</v>
      </c>
      <c r="B797" t="s">
        <v>208</v>
      </c>
      <c r="C797" s="1">
        <v>1</v>
      </c>
      <c r="D797" s="1" t="s">
        <v>374</v>
      </c>
      <c r="F797" s="1" t="s">
        <v>374</v>
      </c>
    </row>
    <row r="798" spans="1:6">
      <c r="A798">
        <v>45</v>
      </c>
      <c r="B798" t="s">
        <v>223</v>
      </c>
      <c r="C798" s="1">
        <v>1</v>
      </c>
      <c r="D798" s="1" t="s">
        <v>324</v>
      </c>
      <c r="E798" s="1">
        <v>4</v>
      </c>
      <c r="F798" s="1" t="s">
        <v>325</v>
      </c>
    </row>
    <row r="799" spans="1:6">
      <c r="A799">
        <v>45</v>
      </c>
      <c r="B799" t="s">
        <v>223</v>
      </c>
      <c r="C799" s="1">
        <v>1</v>
      </c>
      <c r="D799" s="1" t="s">
        <v>336</v>
      </c>
      <c r="E799" s="1">
        <v>13</v>
      </c>
      <c r="F799" s="1" t="s">
        <v>337</v>
      </c>
    </row>
    <row r="800" spans="1:6">
      <c r="A800">
        <v>45</v>
      </c>
      <c r="B800" t="s">
        <v>223</v>
      </c>
      <c r="C800" s="1">
        <v>2</v>
      </c>
      <c r="D800" s="1" t="s">
        <v>490</v>
      </c>
      <c r="E800" s="1">
        <v>21</v>
      </c>
      <c r="F800" s="1" t="s">
        <v>491</v>
      </c>
    </row>
    <row r="801" spans="1:6">
      <c r="A801">
        <v>57</v>
      </c>
      <c r="B801" t="s">
        <v>183</v>
      </c>
      <c r="C801" s="1">
        <v>3</v>
      </c>
      <c r="D801" s="1" t="s">
        <v>492</v>
      </c>
      <c r="E801" s="1">
        <v>50</v>
      </c>
      <c r="F801" s="1" t="s">
        <v>492</v>
      </c>
    </row>
    <row r="802" spans="1:6">
      <c r="A802">
        <v>59</v>
      </c>
      <c r="B802" t="s">
        <v>227</v>
      </c>
      <c r="E802" s="1">
        <v>23</v>
      </c>
    </row>
    <row r="803" spans="1:6">
      <c r="A803">
        <v>60</v>
      </c>
      <c r="B803" t="s">
        <v>493</v>
      </c>
      <c r="C803" s="1">
        <v>1</v>
      </c>
      <c r="D803" s="1">
        <v>10</v>
      </c>
      <c r="F803" s="1">
        <v>10</v>
      </c>
    </row>
    <row r="804" spans="1:6">
      <c r="A804">
        <v>60</v>
      </c>
      <c r="B804" t="s">
        <v>493</v>
      </c>
      <c r="E804" s="1">
        <v>60</v>
      </c>
    </row>
    <row r="805" spans="1:6">
      <c r="A805">
        <v>83</v>
      </c>
      <c r="B805" t="s">
        <v>240</v>
      </c>
      <c r="E805" s="1">
        <v>10</v>
      </c>
    </row>
    <row r="806" spans="1:6">
      <c r="A806">
        <v>83</v>
      </c>
      <c r="B806" t="s">
        <v>240</v>
      </c>
      <c r="E806" s="1">
        <v>14</v>
      </c>
    </row>
    <row r="807" spans="1:6">
      <c r="A807">
        <v>83</v>
      </c>
      <c r="B807" t="s">
        <v>240</v>
      </c>
      <c r="E807" s="1">
        <v>20</v>
      </c>
    </row>
    <row r="808" spans="1:6">
      <c r="A808">
        <v>83</v>
      </c>
      <c r="B808" t="s">
        <v>240</v>
      </c>
      <c r="E808" s="1">
        <v>30</v>
      </c>
    </row>
    <row r="809" spans="1:6">
      <c r="A809">
        <v>83</v>
      </c>
      <c r="B809" t="s">
        <v>240</v>
      </c>
      <c r="E809" s="1">
        <v>32</v>
      </c>
    </row>
    <row r="810" spans="1:6">
      <c r="A810">
        <v>83</v>
      </c>
      <c r="B810" t="s">
        <v>240</v>
      </c>
      <c r="E810" s="1">
        <v>40</v>
      </c>
    </row>
    <row r="811" spans="1:6">
      <c r="A811">
        <v>83</v>
      </c>
      <c r="B811" t="s">
        <v>240</v>
      </c>
      <c r="E811" s="1">
        <v>50</v>
      </c>
    </row>
    <row r="812" spans="1:6">
      <c r="A812">
        <v>84</v>
      </c>
      <c r="B812" t="s">
        <v>241</v>
      </c>
      <c r="E812" s="1">
        <v>10</v>
      </c>
    </row>
    <row r="813" spans="1:6">
      <c r="A813">
        <v>84</v>
      </c>
      <c r="B813" t="s">
        <v>241</v>
      </c>
      <c r="E813" s="1">
        <v>20</v>
      </c>
    </row>
    <row r="814" spans="1:6">
      <c r="A814">
        <v>84</v>
      </c>
      <c r="B814" t="s">
        <v>241</v>
      </c>
      <c r="E814" s="1">
        <v>21</v>
      </c>
    </row>
    <row r="815" spans="1:6">
      <c r="A815">
        <v>84</v>
      </c>
      <c r="B815" t="s">
        <v>241</v>
      </c>
      <c r="E815" s="1">
        <v>30</v>
      </c>
    </row>
    <row r="816" spans="1:6">
      <c r="A816">
        <v>1</v>
      </c>
      <c r="B816" t="s">
        <v>137</v>
      </c>
      <c r="C816" s="1">
        <v>1</v>
      </c>
      <c r="D816" s="1" t="s">
        <v>150</v>
      </c>
      <c r="E816" s="1">
        <v>82</v>
      </c>
      <c r="F816" s="1" t="s">
        <v>150</v>
      </c>
    </row>
    <row r="817" spans="1:6">
      <c r="A817">
        <v>1</v>
      </c>
      <c r="B817" t="s">
        <v>137</v>
      </c>
      <c r="C817" s="1">
        <v>1</v>
      </c>
      <c r="D817" s="1">
        <v>16</v>
      </c>
      <c r="E817" s="1">
        <v>90</v>
      </c>
      <c r="F817" s="1">
        <v>16</v>
      </c>
    </row>
    <row r="818" spans="1:6">
      <c r="A818">
        <v>1</v>
      </c>
      <c r="B818" t="s">
        <v>137</v>
      </c>
      <c r="C818" s="1">
        <v>1</v>
      </c>
      <c r="D818" s="1">
        <v>17</v>
      </c>
      <c r="E818" s="1">
        <v>94</v>
      </c>
      <c r="F818" s="1">
        <v>17</v>
      </c>
    </row>
    <row r="819" spans="1:6">
      <c r="A819">
        <v>1</v>
      </c>
      <c r="B819" t="s">
        <v>137</v>
      </c>
      <c r="C819" s="1">
        <v>1</v>
      </c>
      <c r="D819" s="1" t="s">
        <v>156</v>
      </c>
      <c r="E819" s="1">
        <v>96</v>
      </c>
      <c r="F819" s="1" t="s">
        <v>156</v>
      </c>
    </row>
    <row r="820" spans="1:6">
      <c r="A820">
        <v>1</v>
      </c>
      <c r="B820" t="s">
        <v>137</v>
      </c>
      <c r="C820" s="1">
        <v>2</v>
      </c>
      <c r="D820" s="1" t="s">
        <v>159</v>
      </c>
      <c r="E820" s="1">
        <v>2</v>
      </c>
      <c r="F820" s="1" t="s">
        <v>159</v>
      </c>
    </row>
    <row r="821" spans="1:6">
      <c r="A821">
        <v>1</v>
      </c>
      <c r="B821" t="s">
        <v>137</v>
      </c>
      <c r="C821" s="1">
        <v>2</v>
      </c>
      <c r="D821" s="1">
        <v>19</v>
      </c>
      <c r="E821" s="1">
        <v>10</v>
      </c>
      <c r="F821" s="1">
        <v>19</v>
      </c>
    </row>
    <row r="822" spans="1:6">
      <c r="A822">
        <v>1</v>
      </c>
      <c r="B822" t="s">
        <v>137</v>
      </c>
      <c r="C822" s="1">
        <v>2</v>
      </c>
      <c r="D822" s="1" t="s">
        <v>162</v>
      </c>
      <c r="E822" s="1">
        <v>12</v>
      </c>
      <c r="F822" s="1" t="s">
        <v>162</v>
      </c>
    </row>
    <row r="823" spans="1:6">
      <c r="A823">
        <v>1</v>
      </c>
      <c r="B823" t="s">
        <v>137</v>
      </c>
      <c r="C823" s="1">
        <v>2</v>
      </c>
      <c r="D823" s="1">
        <v>20</v>
      </c>
      <c r="E823" s="1">
        <v>20</v>
      </c>
      <c r="F823" s="1">
        <v>20</v>
      </c>
    </row>
    <row r="824" spans="1:6">
      <c r="A824">
        <v>1</v>
      </c>
      <c r="B824" t="s">
        <v>137</v>
      </c>
      <c r="C824" s="1">
        <v>2</v>
      </c>
      <c r="D824" s="1" t="s">
        <v>165</v>
      </c>
      <c r="E824" s="1">
        <v>22</v>
      </c>
      <c r="F824" s="1" t="s">
        <v>165</v>
      </c>
    </row>
    <row r="825" spans="1:6">
      <c r="A825">
        <v>1</v>
      </c>
      <c r="B825" t="s">
        <v>137</v>
      </c>
      <c r="C825" s="1">
        <v>2</v>
      </c>
      <c r="D825" s="1">
        <v>21</v>
      </c>
      <c r="E825" s="1">
        <v>30</v>
      </c>
      <c r="F825" s="1">
        <v>21</v>
      </c>
    </row>
    <row r="826" spans="1:6">
      <c r="A826">
        <v>1</v>
      </c>
      <c r="B826" t="s">
        <v>137</v>
      </c>
      <c r="C826" s="1">
        <v>2</v>
      </c>
      <c r="D826" s="1" t="s">
        <v>168</v>
      </c>
      <c r="E826" s="1">
        <v>32</v>
      </c>
      <c r="F826" s="1" t="s">
        <v>168</v>
      </c>
    </row>
    <row r="827" spans="1:6">
      <c r="A827">
        <v>1</v>
      </c>
      <c r="B827" t="s">
        <v>137</v>
      </c>
      <c r="C827" s="1">
        <v>2</v>
      </c>
      <c r="D827" s="1">
        <v>22</v>
      </c>
      <c r="E827" s="1">
        <v>40</v>
      </c>
      <c r="F827" s="1">
        <v>22</v>
      </c>
    </row>
    <row r="828" spans="1:6">
      <c r="A828">
        <v>1</v>
      </c>
      <c r="B828" t="s">
        <v>137</v>
      </c>
      <c r="C828" s="1">
        <v>2</v>
      </c>
      <c r="D828" s="1">
        <v>18</v>
      </c>
      <c r="F828" s="1">
        <v>18</v>
      </c>
    </row>
    <row r="829" spans="1:6">
      <c r="A829">
        <v>6</v>
      </c>
      <c r="B829" t="s">
        <v>184</v>
      </c>
      <c r="E829" s="1">
        <v>63</v>
      </c>
    </row>
    <row r="830" spans="1:6">
      <c r="A830">
        <v>9</v>
      </c>
      <c r="B830" t="s">
        <v>185</v>
      </c>
      <c r="C830" s="1">
        <v>1</v>
      </c>
      <c r="D830" s="1" t="s">
        <v>495</v>
      </c>
      <c r="E830" s="1">
        <v>12</v>
      </c>
      <c r="F830" s="1" t="s">
        <v>495</v>
      </c>
    </row>
    <row r="831" spans="1:6">
      <c r="A831">
        <v>9</v>
      </c>
      <c r="B831" t="s">
        <v>185</v>
      </c>
      <c r="C831" s="1">
        <v>1</v>
      </c>
      <c r="D831" s="1" t="s">
        <v>496</v>
      </c>
      <c r="E831" s="1">
        <v>22</v>
      </c>
      <c r="F831" s="1" t="s">
        <v>496</v>
      </c>
    </row>
    <row r="832" spans="1:6">
      <c r="A832">
        <v>9</v>
      </c>
      <c r="B832" t="s">
        <v>185</v>
      </c>
      <c r="C832" s="1">
        <v>1</v>
      </c>
      <c r="D832" s="1" t="s">
        <v>272</v>
      </c>
      <c r="E832" s="1">
        <v>30</v>
      </c>
      <c r="F832" s="1" t="s">
        <v>272</v>
      </c>
    </row>
    <row r="833" spans="1:6">
      <c r="A833">
        <v>9</v>
      </c>
      <c r="B833" t="s">
        <v>185</v>
      </c>
      <c r="C833" s="1">
        <v>1</v>
      </c>
      <c r="D833" s="1" t="s">
        <v>497</v>
      </c>
      <c r="E833" s="1">
        <v>40</v>
      </c>
      <c r="F833" s="1" t="s">
        <v>497</v>
      </c>
    </row>
    <row r="834" spans="1:6">
      <c r="A834">
        <v>9</v>
      </c>
      <c r="B834" t="s">
        <v>185</v>
      </c>
      <c r="C834" s="1">
        <v>1</v>
      </c>
      <c r="D834" s="1" t="s">
        <v>273</v>
      </c>
      <c r="E834" s="1">
        <v>42</v>
      </c>
      <c r="F834" s="1" t="s">
        <v>273</v>
      </c>
    </row>
    <row r="835" spans="1:6">
      <c r="A835">
        <v>9</v>
      </c>
      <c r="B835" t="s">
        <v>185</v>
      </c>
      <c r="C835" s="1">
        <v>1</v>
      </c>
      <c r="D835" s="1" t="s">
        <v>274</v>
      </c>
      <c r="E835" s="1">
        <v>50</v>
      </c>
      <c r="F835" s="1" t="s">
        <v>274</v>
      </c>
    </row>
    <row r="836" spans="1:6">
      <c r="A836">
        <v>9</v>
      </c>
      <c r="B836" t="s">
        <v>185</v>
      </c>
      <c r="C836" s="1">
        <v>1</v>
      </c>
      <c r="D836" s="1" t="s">
        <v>275</v>
      </c>
      <c r="E836" s="1">
        <v>52</v>
      </c>
      <c r="F836" s="1" t="s">
        <v>275</v>
      </c>
    </row>
    <row r="837" spans="1:6">
      <c r="A837">
        <v>9</v>
      </c>
      <c r="B837" t="s">
        <v>185</v>
      </c>
      <c r="C837" s="1">
        <v>1</v>
      </c>
      <c r="D837" s="1" t="s">
        <v>498</v>
      </c>
      <c r="E837" s="1">
        <v>54</v>
      </c>
      <c r="F837" s="1" t="s">
        <v>498</v>
      </c>
    </row>
    <row r="838" spans="1:6">
      <c r="A838">
        <v>9</v>
      </c>
      <c r="B838" t="s">
        <v>185</v>
      </c>
      <c r="C838" s="1">
        <v>1</v>
      </c>
      <c r="D838" s="1" t="s">
        <v>276</v>
      </c>
      <c r="E838" s="1">
        <v>60</v>
      </c>
      <c r="F838" s="1" t="s">
        <v>276</v>
      </c>
    </row>
    <row r="839" spans="1:6">
      <c r="A839">
        <v>9</v>
      </c>
      <c r="B839" t="s">
        <v>185</v>
      </c>
      <c r="C839" s="1">
        <v>1</v>
      </c>
      <c r="D839" s="1" t="s">
        <v>277</v>
      </c>
      <c r="E839" s="1">
        <v>62</v>
      </c>
      <c r="F839" s="1" t="s">
        <v>277</v>
      </c>
    </row>
    <row r="840" spans="1:6">
      <c r="A840">
        <v>9</v>
      </c>
      <c r="B840" t="s">
        <v>185</v>
      </c>
      <c r="C840" s="1">
        <v>3</v>
      </c>
      <c r="D840" s="1" t="s">
        <v>499</v>
      </c>
      <c r="E840" s="1">
        <v>2</v>
      </c>
      <c r="F840" s="1" t="s">
        <v>499</v>
      </c>
    </row>
    <row r="841" spans="1:6">
      <c r="A841">
        <v>9</v>
      </c>
      <c r="B841" t="s">
        <v>185</v>
      </c>
      <c r="C841" s="1">
        <v>3</v>
      </c>
      <c r="D841" s="1" t="s">
        <v>500</v>
      </c>
      <c r="E841" s="1">
        <v>10</v>
      </c>
      <c r="F841" s="1" t="s">
        <v>500</v>
      </c>
    </row>
    <row r="842" spans="1:6">
      <c r="A842">
        <v>9</v>
      </c>
      <c r="B842" t="s">
        <v>185</v>
      </c>
      <c r="C842" s="1">
        <v>3</v>
      </c>
      <c r="D842" s="1" t="s">
        <v>501</v>
      </c>
      <c r="E842" s="1">
        <v>12</v>
      </c>
      <c r="F842" s="1" t="s">
        <v>501</v>
      </c>
    </row>
    <row r="843" spans="1:6">
      <c r="A843">
        <v>9</v>
      </c>
      <c r="B843" t="s">
        <v>185</v>
      </c>
      <c r="C843" s="1">
        <v>3</v>
      </c>
      <c r="D843" s="1" t="s">
        <v>502</v>
      </c>
      <c r="E843" s="1">
        <v>20</v>
      </c>
      <c r="F843" s="1" t="s">
        <v>502</v>
      </c>
    </row>
    <row r="844" spans="1:6">
      <c r="A844">
        <v>9</v>
      </c>
      <c r="B844" t="s">
        <v>185</v>
      </c>
      <c r="C844" s="1">
        <v>3</v>
      </c>
      <c r="D844" s="1" t="s">
        <v>503</v>
      </c>
      <c r="E844" s="1">
        <v>22</v>
      </c>
      <c r="F844" s="1" t="s">
        <v>503</v>
      </c>
    </row>
    <row r="845" spans="1:6">
      <c r="A845">
        <v>9</v>
      </c>
      <c r="B845" t="s">
        <v>185</v>
      </c>
      <c r="C845" s="1">
        <v>3</v>
      </c>
      <c r="D845" s="1" t="s">
        <v>504</v>
      </c>
      <c r="E845" s="1">
        <v>30</v>
      </c>
      <c r="F845" s="1" t="s">
        <v>504</v>
      </c>
    </row>
    <row r="846" spans="1:6">
      <c r="A846">
        <v>9</v>
      </c>
      <c r="B846" t="s">
        <v>185</v>
      </c>
      <c r="C846" s="1">
        <v>3</v>
      </c>
      <c r="D846" s="1" t="s">
        <v>278</v>
      </c>
      <c r="E846" s="1">
        <v>32</v>
      </c>
      <c r="F846" s="1" t="s">
        <v>278</v>
      </c>
    </row>
    <row r="847" spans="1:6">
      <c r="A847">
        <v>9</v>
      </c>
      <c r="B847" t="s">
        <v>185</v>
      </c>
      <c r="C847" s="1">
        <v>3</v>
      </c>
      <c r="D847" s="1" t="s">
        <v>279</v>
      </c>
      <c r="E847" s="1">
        <v>40</v>
      </c>
      <c r="F847" s="1" t="s">
        <v>279</v>
      </c>
    </row>
    <row r="848" spans="1:6">
      <c r="A848">
        <v>9</v>
      </c>
      <c r="B848" t="s">
        <v>185</v>
      </c>
      <c r="C848" s="1">
        <v>3</v>
      </c>
      <c r="D848" s="1" t="s">
        <v>505</v>
      </c>
      <c r="E848" s="1">
        <v>42</v>
      </c>
      <c r="F848" s="1" t="s">
        <v>505</v>
      </c>
    </row>
    <row r="849" spans="1:6">
      <c r="A849">
        <v>9</v>
      </c>
      <c r="B849" t="s">
        <v>185</v>
      </c>
      <c r="C849" s="1">
        <v>3</v>
      </c>
      <c r="D849" s="1" t="s">
        <v>280</v>
      </c>
      <c r="E849" s="1">
        <v>50</v>
      </c>
      <c r="F849" s="1" t="s">
        <v>280</v>
      </c>
    </row>
    <row r="850" spans="1:6">
      <c r="A850">
        <v>9</v>
      </c>
      <c r="B850" t="s">
        <v>185</v>
      </c>
      <c r="C850" s="1">
        <v>3</v>
      </c>
      <c r="D850" s="1" t="s">
        <v>281</v>
      </c>
      <c r="E850" s="1">
        <v>52</v>
      </c>
      <c r="F850" s="1" t="s">
        <v>281</v>
      </c>
    </row>
    <row r="851" spans="1:6">
      <c r="A851">
        <v>9</v>
      </c>
      <c r="B851" t="s">
        <v>185</v>
      </c>
      <c r="C851" s="1">
        <v>3</v>
      </c>
      <c r="D851" s="1" t="s">
        <v>282</v>
      </c>
      <c r="E851" s="1">
        <v>60</v>
      </c>
      <c r="F851" s="1" t="s">
        <v>282</v>
      </c>
    </row>
    <row r="852" spans="1:6">
      <c r="A852">
        <v>9</v>
      </c>
      <c r="B852" t="s">
        <v>185</v>
      </c>
      <c r="C852" s="1">
        <v>3</v>
      </c>
      <c r="D852" s="1" t="s">
        <v>283</v>
      </c>
      <c r="E852" s="1">
        <v>62</v>
      </c>
      <c r="F852" s="1" t="s">
        <v>283</v>
      </c>
    </row>
    <row r="853" spans="1:6">
      <c r="A853">
        <v>11</v>
      </c>
      <c r="B853" t="s">
        <v>186</v>
      </c>
      <c r="C853" s="1">
        <v>1</v>
      </c>
      <c r="D853" s="1">
        <v>40</v>
      </c>
      <c r="E853" s="1">
        <v>10</v>
      </c>
      <c r="F853" s="1">
        <v>40</v>
      </c>
    </row>
    <row r="854" spans="1:6">
      <c r="A854">
        <v>11</v>
      </c>
      <c r="B854" t="s">
        <v>186</v>
      </c>
      <c r="C854" s="1">
        <v>1</v>
      </c>
      <c r="D854" s="1" t="s">
        <v>193</v>
      </c>
      <c r="E854" s="1">
        <v>12</v>
      </c>
      <c r="F854" s="1" t="s">
        <v>193</v>
      </c>
    </row>
    <row r="855" spans="1:6">
      <c r="A855">
        <v>11</v>
      </c>
      <c r="B855" t="s">
        <v>186</v>
      </c>
      <c r="C855" s="1">
        <v>1</v>
      </c>
      <c r="D855" s="1" t="s">
        <v>196</v>
      </c>
      <c r="E855" s="1">
        <v>42</v>
      </c>
      <c r="F855" s="1" t="s">
        <v>196</v>
      </c>
    </row>
    <row r="856" spans="1:6">
      <c r="A856">
        <v>15</v>
      </c>
      <c r="B856" t="s">
        <v>201</v>
      </c>
      <c r="C856" s="1">
        <v>4</v>
      </c>
      <c r="D856" s="1" t="s">
        <v>286</v>
      </c>
      <c r="E856" s="1">
        <v>70</v>
      </c>
      <c r="F856" s="1" t="s">
        <v>286</v>
      </c>
    </row>
    <row r="857" spans="1:6">
      <c r="A857">
        <v>21</v>
      </c>
      <c r="B857" t="s">
        <v>205</v>
      </c>
      <c r="C857" s="1">
        <v>1</v>
      </c>
      <c r="D857" s="1" t="s">
        <v>330</v>
      </c>
      <c r="E857" s="1">
        <v>42</v>
      </c>
      <c r="F857" s="1" t="s">
        <v>330</v>
      </c>
    </row>
    <row r="858" spans="1:6">
      <c r="A858">
        <v>21</v>
      </c>
      <c r="B858" t="s">
        <v>205</v>
      </c>
      <c r="C858" s="1">
        <v>1</v>
      </c>
      <c r="D858" s="1" t="s">
        <v>288</v>
      </c>
      <c r="E858" s="1">
        <v>62</v>
      </c>
      <c r="F858" s="1" t="s">
        <v>288</v>
      </c>
    </row>
    <row r="859" spans="1:6">
      <c r="A859">
        <v>59</v>
      </c>
      <c r="B859" t="s">
        <v>227</v>
      </c>
      <c r="C859" s="1">
        <v>3</v>
      </c>
      <c r="D859" s="1" t="s">
        <v>295</v>
      </c>
      <c r="E859" s="1">
        <v>23</v>
      </c>
      <c r="F859" s="1" t="s">
        <v>295</v>
      </c>
    </row>
    <row r="860" spans="1:6">
      <c r="A860">
        <v>59</v>
      </c>
      <c r="B860" t="s">
        <v>227</v>
      </c>
      <c r="E860" s="1">
        <v>23</v>
      </c>
    </row>
    <row r="861" spans="1:6">
      <c r="A861">
        <v>82</v>
      </c>
      <c r="B861" t="s">
        <v>239</v>
      </c>
      <c r="E861" s="1">
        <v>32</v>
      </c>
    </row>
    <row r="862" spans="1:6">
      <c r="A862">
        <v>1</v>
      </c>
      <c r="B862" t="s">
        <v>137</v>
      </c>
      <c r="C862" s="1">
        <v>1</v>
      </c>
      <c r="D862" s="1">
        <v>13</v>
      </c>
      <c r="E862" s="1">
        <v>60</v>
      </c>
      <c r="F862" s="1">
        <v>13</v>
      </c>
    </row>
    <row r="863" spans="1:6">
      <c r="A863">
        <v>1</v>
      </c>
      <c r="B863" t="s">
        <v>137</v>
      </c>
      <c r="C863" s="1">
        <v>1</v>
      </c>
      <c r="D863" s="1" t="s">
        <v>144</v>
      </c>
      <c r="E863" s="1">
        <v>62</v>
      </c>
      <c r="F863" s="1" t="s">
        <v>144</v>
      </c>
    </row>
    <row r="864" spans="1:6">
      <c r="A864">
        <v>1</v>
      </c>
      <c r="B864" t="s">
        <v>137</v>
      </c>
      <c r="C864" s="1">
        <v>1</v>
      </c>
      <c r="D864" s="1">
        <v>14</v>
      </c>
      <c r="E864" s="1">
        <v>70</v>
      </c>
      <c r="F864" s="1">
        <v>14</v>
      </c>
    </row>
    <row r="865" spans="1:6">
      <c r="A865">
        <v>1</v>
      </c>
      <c r="B865" t="s">
        <v>137</v>
      </c>
      <c r="C865" s="1">
        <v>1</v>
      </c>
      <c r="D865" s="1" t="s">
        <v>147</v>
      </c>
      <c r="E865" s="1">
        <v>72</v>
      </c>
      <c r="F865" s="1" t="s">
        <v>147</v>
      </c>
    </row>
    <row r="866" spans="1:6">
      <c r="A866">
        <v>1</v>
      </c>
      <c r="B866" t="s">
        <v>137</v>
      </c>
      <c r="C866" s="1">
        <v>1</v>
      </c>
      <c r="D866" s="1">
        <v>15</v>
      </c>
      <c r="E866" s="1">
        <v>80</v>
      </c>
      <c r="F866" s="1">
        <v>15</v>
      </c>
    </row>
    <row r="867" spans="1:6">
      <c r="A867">
        <v>1</v>
      </c>
      <c r="B867" t="s">
        <v>137</v>
      </c>
      <c r="C867" s="1">
        <v>1</v>
      </c>
      <c r="D867" s="1" t="s">
        <v>150</v>
      </c>
      <c r="E867" s="1">
        <v>82</v>
      </c>
      <c r="F867" s="1" t="s">
        <v>150</v>
      </c>
    </row>
    <row r="868" spans="1:6">
      <c r="A868">
        <v>1</v>
      </c>
      <c r="B868" t="s">
        <v>137</v>
      </c>
      <c r="C868" s="1">
        <v>1</v>
      </c>
      <c r="D868" s="1">
        <v>16</v>
      </c>
      <c r="E868" s="1">
        <v>90</v>
      </c>
      <c r="F868" s="1">
        <v>16</v>
      </c>
    </row>
    <row r="869" spans="1:6">
      <c r="A869">
        <v>1</v>
      </c>
      <c r="B869" t="s">
        <v>137</v>
      </c>
      <c r="C869" s="1">
        <v>1</v>
      </c>
      <c r="D869" s="1" t="s">
        <v>153</v>
      </c>
      <c r="E869" s="1">
        <v>92</v>
      </c>
      <c r="F869" s="1" t="s">
        <v>153</v>
      </c>
    </row>
    <row r="870" spans="1:6">
      <c r="A870">
        <v>1</v>
      </c>
      <c r="B870" t="s">
        <v>137</v>
      </c>
      <c r="C870" s="1">
        <v>1</v>
      </c>
      <c r="D870" s="1">
        <v>17</v>
      </c>
      <c r="E870" s="1">
        <v>94</v>
      </c>
      <c r="F870" s="1">
        <v>17</v>
      </c>
    </row>
    <row r="871" spans="1:6">
      <c r="A871">
        <v>1</v>
      </c>
      <c r="B871" t="s">
        <v>137</v>
      </c>
      <c r="C871" s="1">
        <v>1</v>
      </c>
      <c r="D871" s="1" t="s">
        <v>156</v>
      </c>
      <c r="E871" s="1">
        <v>96</v>
      </c>
      <c r="F871" s="1" t="s">
        <v>156</v>
      </c>
    </row>
    <row r="872" spans="1:6">
      <c r="A872">
        <v>1</v>
      </c>
      <c r="B872" t="s">
        <v>137</v>
      </c>
      <c r="C872" s="1">
        <v>2</v>
      </c>
      <c r="D872" s="1" t="s">
        <v>159</v>
      </c>
      <c r="E872" s="1">
        <v>2</v>
      </c>
      <c r="F872" s="1" t="s">
        <v>159</v>
      </c>
    </row>
    <row r="873" spans="1:6">
      <c r="A873">
        <v>1</v>
      </c>
      <c r="B873" t="s">
        <v>137</v>
      </c>
      <c r="C873" s="1">
        <v>2</v>
      </c>
      <c r="D873" s="1">
        <v>19</v>
      </c>
      <c r="E873" s="1">
        <v>10</v>
      </c>
      <c r="F873" s="1">
        <v>19</v>
      </c>
    </row>
    <row r="874" spans="1:6">
      <c r="A874">
        <v>1</v>
      </c>
      <c r="B874" t="s">
        <v>137</v>
      </c>
      <c r="C874" s="1">
        <v>2</v>
      </c>
      <c r="D874" s="1" t="s">
        <v>162</v>
      </c>
      <c r="E874" s="1">
        <v>12</v>
      </c>
      <c r="F874" s="1" t="s">
        <v>162</v>
      </c>
    </row>
    <row r="875" spans="1:6">
      <c r="A875">
        <v>1</v>
      </c>
      <c r="B875" t="s">
        <v>137</v>
      </c>
      <c r="C875" s="1">
        <v>2</v>
      </c>
      <c r="D875" s="1">
        <v>20</v>
      </c>
      <c r="E875" s="1">
        <v>20</v>
      </c>
      <c r="F875" s="1">
        <v>20</v>
      </c>
    </row>
    <row r="876" spans="1:6">
      <c r="A876">
        <v>1</v>
      </c>
      <c r="B876" t="s">
        <v>137</v>
      </c>
      <c r="C876" s="1">
        <v>2</v>
      </c>
      <c r="D876" s="1" t="s">
        <v>165</v>
      </c>
      <c r="E876" s="1">
        <v>22</v>
      </c>
      <c r="F876" s="1" t="s">
        <v>165</v>
      </c>
    </row>
    <row r="877" spans="1:6">
      <c r="A877">
        <v>1</v>
      </c>
      <c r="B877" t="s">
        <v>137</v>
      </c>
      <c r="C877" s="1">
        <v>2</v>
      </c>
      <c r="D877" s="1">
        <v>21</v>
      </c>
      <c r="E877" s="1">
        <v>30</v>
      </c>
      <c r="F877" s="1">
        <v>21</v>
      </c>
    </row>
    <row r="878" spans="1:6">
      <c r="A878">
        <v>1</v>
      </c>
      <c r="B878" t="s">
        <v>137</v>
      </c>
      <c r="C878" s="1">
        <v>2</v>
      </c>
      <c r="D878" s="1" t="s">
        <v>168</v>
      </c>
      <c r="E878" s="1">
        <v>32</v>
      </c>
      <c r="F878" s="1" t="s">
        <v>168</v>
      </c>
    </row>
    <row r="879" spans="1:6">
      <c r="A879">
        <v>1</v>
      </c>
      <c r="B879" t="s">
        <v>137</v>
      </c>
      <c r="C879" s="1">
        <v>2</v>
      </c>
      <c r="D879" s="1">
        <v>22</v>
      </c>
      <c r="E879" s="1">
        <v>40</v>
      </c>
      <c r="F879" s="1">
        <v>22</v>
      </c>
    </row>
    <row r="880" spans="1:6">
      <c r="A880">
        <v>1</v>
      </c>
      <c r="B880" t="s">
        <v>137</v>
      </c>
      <c r="C880" s="1">
        <v>2</v>
      </c>
      <c r="D880" s="1" t="s">
        <v>171</v>
      </c>
      <c r="E880" s="1">
        <v>42</v>
      </c>
      <c r="F880" s="1" t="s">
        <v>171</v>
      </c>
    </row>
    <row r="881" spans="1:6">
      <c r="A881">
        <v>1</v>
      </c>
      <c r="B881" t="s">
        <v>137</v>
      </c>
      <c r="C881" s="1">
        <v>2</v>
      </c>
      <c r="D881" s="1">
        <v>23</v>
      </c>
      <c r="E881" s="1">
        <v>50</v>
      </c>
      <c r="F881" s="1">
        <v>23</v>
      </c>
    </row>
    <row r="882" spans="1:6">
      <c r="A882">
        <v>1</v>
      </c>
      <c r="B882" t="s">
        <v>137</v>
      </c>
      <c r="C882" s="1">
        <v>2</v>
      </c>
      <c r="D882" s="1" t="s">
        <v>174</v>
      </c>
      <c r="E882" s="1">
        <v>52</v>
      </c>
      <c r="F882" s="1" t="s">
        <v>174</v>
      </c>
    </row>
    <row r="883" spans="1:6">
      <c r="A883">
        <v>1</v>
      </c>
      <c r="B883" t="s">
        <v>137</v>
      </c>
      <c r="C883" s="1">
        <v>2</v>
      </c>
      <c r="D883" s="1">
        <v>24</v>
      </c>
      <c r="E883" s="1">
        <v>60</v>
      </c>
      <c r="F883" s="1">
        <v>24</v>
      </c>
    </row>
    <row r="884" spans="1:6">
      <c r="A884">
        <v>1</v>
      </c>
      <c r="B884" t="s">
        <v>137</v>
      </c>
      <c r="C884" s="1">
        <v>2</v>
      </c>
      <c r="D884" s="1" t="s">
        <v>177</v>
      </c>
      <c r="E884" s="1">
        <v>62</v>
      </c>
      <c r="F884" s="1" t="s">
        <v>177</v>
      </c>
    </row>
    <row r="885" spans="1:6">
      <c r="A885">
        <v>1</v>
      </c>
      <c r="B885" t="s">
        <v>137</v>
      </c>
      <c r="C885" s="1">
        <v>2</v>
      </c>
      <c r="D885" s="1">
        <v>18</v>
      </c>
      <c r="F885" s="1">
        <v>18</v>
      </c>
    </row>
    <row r="886" spans="1:6">
      <c r="A886">
        <v>2</v>
      </c>
      <c r="B886" t="s">
        <v>181</v>
      </c>
      <c r="C886" s="1">
        <v>2</v>
      </c>
      <c r="D886" s="1" t="s">
        <v>153</v>
      </c>
      <c r="E886" s="1">
        <v>72</v>
      </c>
      <c r="F886" s="1" t="s">
        <v>153</v>
      </c>
    </row>
    <row r="887" spans="1:6">
      <c r="A887">
        <v>6</v>
      </c>
      <c r="B887" t="s">
        <v>184</v>
      </c>
      <c r="C887" s="1">
        <v>1</v>
      </c>
      <c r="D887" s="1" t="s">
        <v>290</v>
      </c>
      <c r="E887" s="1">
        <v>10</v>
      </c>
      <c r="F887" s="1" t="s">
        <v>290</v>
      </c>
    </row>
    <row r="888" spans="1:6">
      <c r="A888">
        <v>6</v>
      </c>
      <c r="B888" t="s">
        <v>184</v>
      </c>
      <c r="E888" s="1">
        <v>63</v>
      </c>
    </row>
    <row r="889" spans="1:6">
      <c r="A889">
        <v>11</v>
      </c>
      <c r="B889" t="s">
        <v>186</v>
      </c>
      <c r="C889" s="1">
        <v>1</v>
      </c>
      <c r="D889" s="1" t="s">
        <v>192</v>
      </c>
      <c r="E889" s="1">
        <v>2</v>
      </c>
      <c r="F889" s="1" t="s">
        <v>192</v>
      </c>
    </row>
    <row r="890" spans="1:6">
      <c r="A890">
        <v>11</v>
      </c>
      <c r="B890" t="s">
        <v>186</v>
      </c>
      <c r="C890" s="1">
        <v>1</v>
      </c>
      <c r="D890" s="1">
        <v>40</v>
      </c>
      <c r="E890" s="1">
        <v>10</v>
      </c>
      <c r="F890" s="1">
        <v>40</v>
      </c>
    </row>
    <row r="891" spans="1:6">
      <c r="A891">
        <v>11</v>
      </c>
      <c r="B891" t="s">
        <v>186</v>
      </c>
      <c r="C891" s="1">
        <v>1</v>
      </c>
      <c r="D891" s="1" t="s">
        <v>193</v>
      </c>
      <c r="E891" s="1">
        <v>12</v>
      </c>
      <c r="F891" s="1" t="s">
        <v>193</v>
      </c>
    </row>
    <row r="892" spans="1:6">
      <c r="A892">
        <v>11</v>
      </c>
      <c r="B892" t="s">
        <v>186</v>
      </c>
      <c r="C892" s="1">
        <v>1</v>
      </c>
      <c r="D892" s="1">
        <v>41</v>
      </c>
      <c r="E892" s="1">
        <v>20</v>
      </c>
      <c r="F892" s="1">
        <v>41</v>
      </c>
    </row>
    <row r="893" spans="1:6">
      <c r="A893">
        <v>11</v>
      </c>
      <c r="B893" t="s">
        <v>186</v>
      </c>
      <c r="C893" s="1">
        <v>1</v>
      </c>
      <c r="D893" s="1" t="s">
        <v>194</v>
      </c>
      <c r="E893" s="1">
        <v>22</v>
      </c>
      <c r="F893" s="1" t="s">
        <v>194</v>
      </c>
    </row>
    <row r="894" spans="1:6">
      <c r="A894">
        <v>11</v>
      </c>
      <c r="B894" t="s">
        <v>186</v>
      </c>
      <c r="C894" s="1">
        <v>1</v>
      </c>
      <c r="D894" s="1">
        <v>42</v>
      </c>
      <c r="E894" s="1">
        <v>30</v>
      </c>
      <c r="F894" s="1">
        <v>42</v>
      </c>
    </row>
    <row r="895" spans="1:6">
      <c r="A895">
        <v>11</v>
      </c>
      <c r="B895" t="s">
        <v>186</v>
      </c>
      <c r="C895" s="1">
        <v>1</v>
      </c>
      <c r="D895" s="1" t="s">
        <v>195</v>
      </c>
      <c r="E895" s="1">
        <v>32</v>
      </c>
      <c r="F895" s="1" t="s">
        <v>195</v>
      </c>
    </row>
    <row r="896" spans="1:6">
      <c r="A896">
        <v>11</v>
      </c>
      <c r="B896" t="s">
        <v>186</v>
      </c>
      <c r="C896" s="1">
        <v>1</v>
      </c>
      <c r="D896" s="1">
        <v>43</v>
      </c>
      <c r="E896" s="1">
        <v>40</v>
      </c>
      <c r="F896" s="1">
        <v>43</v>
      </c>
    </row>
    <row r="897" spans="1:6">
      <c r="A897">
        <v>11</v>
      </c>
      <c r="B897" t="s">
        <v>186</v>
      </c>
      <c r="C897" s="1">
        <v>1</v>
      </c>
      <c r="D897" s="1" t="s">
        <v>196</v>
      </c>
      <c r="E897" s="1">
        <v>42</v>
      </c>
      <c r="F897" s="1" t="s">
        <v>196</v>
      </c>
    </row>
    <row r="898" spans="1:6">
      <c r="A898">
        <v>11</v>
      </c>
      <c r="B898" t="s">
        <v>186</v>
      </c>
      <c r="C898" s="1">
        <v>1</v>
      </c>
      <c r="D898" s="1">
        <v>44</v>
      </c>
      <c r="E898" s="1">
        <v>50</v>
      </c>
      <c r="F898" s="1">
        <v>44</v>
      </c>
    </row>
    <row r="899" spans="1:6">
      <c r="A899">
        <v>11</v>
      </c>
      <c r="B899" t="s">
        <v>186</v>
      </c>
      <c r="C899" s="1">
        <v>1</v>
      </c>
      <c r="D899" s="1" t="s">
        <v>197</v>
      </c>
      <c r="E899" s="1">
        <v>52</v>
      </c>
      <c r="F899" s="1" t="s">
        <v>197</v>
      </c>
    </row>
    <row r="900" spans="1:6">
      <c r="A900">
        <v>11</v>
      </c>
      <c r="B900" t="s">
        <v>186</v>
      </c>
      <c r="C900" s="1">
        <v>1</v>
      </c>
      <c r="D900" s="1">
        <v>45</v>
      </c>
      <c r="E900" s="1">
        <v>60</v>
      </c>
      <c r="F900" s="1">
        <v>45</v>
      </c>
    </row>
    <row r="901" spans="1:6">
      <c r="A901">
        <v>11</v>
      </c>
      <c r="B901" t="s">
        <v>186</v>
      </c>
      <c r="C901" s="1">
        <v>1</v>
      </c>
      <c r="D901" s="1" t="s">
        <v>198</v>
      </c>
      <c r="E901" s="1">
        <v>62</v>
      </c>
      <c r="F901" s="1" t="s">
        <v>198</v>
      </c>
    </row>
    <row r="902" spans="1:6">
      <c r="A902">
        <v>11</v>
      </c>
      <c r="B902" t="s">
        <v>186</v>
      </c>
      <c r="C902" s="1">
        <v>1</v>
      </c>
      <c r="D902" s="1" t="s">
        <v>199</v>
      </c>
      <c r="E902" s="1">
        <v>72</v>
      </c>
      <c r="F902" s="1" t="s">
        <v>199</v>
      </c>
    </row>
    <row r="903" spans="1:6">
      <c r="A903">
        <v>11</v>
      </c>
      <c r="B903" t="s">
        <v>186</v>
      </c>
      <c r="C903" s="1">
        <v>1</v>
      </c>
      <c r="D903" s="1">
        <v>39</v>
      </c>
      <c r="F903" s="1">
        <v>39</v>
      </c>
    </row>
    <row r="904" spans="1:6">
      <c r="A904">
        <v>11</v>
      </c>
      <c r="B904" t="s">
        <v>186</v>
      </c>
      <c r="E904" s="1">
        <v>82</v>
      </c>
    </row>
    <row r="905" spans="1:6">
      <c r="A905">
        <v>11</v>
      </c>
      <c r="B905" t="s">
        <v>186</v>
      </c>
      <c r="E905" s="1">
        <v>95</v>
      </c>
    </row>
    <row r="906" spans="1:6">
      <c r="A906">
        <v>11</v>
      </c>
      <c r="B906" t="s">
        <v>186</v>
      </c>
      <c r="E906" s="1">
        <v>96</v>
      </c>
    </row>
    <row r="907" spans="1:6">
      <c r="A907">
        <v>12</v>
      </c>
      <c r="B907" t="s">
        <v>107</v>
      </c>
      <c r="C907" s="1">
        <v>1</v>
      </c>
      <c r="D907" s="1">
        <v>42</v>
      </c>
      <c r="E907" s="1">
        <v>30</v>
      </c>
      <c r="F907" s="1">
        <v>42</v>
      </c>
    </row>
    <row r="908" spans="1:6">
      <c r="A908">
        <v>12</v>
      </c>
      <c r="B908" t="s">
        <v>107</v>
      </c>
      <c r="C908" s="1">
        <v>1</v>
      </c>
      <c r="D908" s="1" t="s">
        <v>196</v>
      </c>
      <c r="E908" s="1">
        <v>42</v>
      </c>
      <c r="F908" s="1" t="s">
        <v>196</v>
      </c>
    </row>
    <row r="909" spans="1:6">
      <c r="A909">
        <v>12</v>
      </c>
      <c r="B909" t="s">
        <v>107</v>
      </c>
      <c r="C909" s="1">
        <v>1</v>
      </c>
      <c r="D909" s="1">
        <v>44</v>
      </c>
      <c r="E909" s="1">
        <v>50</v>
      </c>
      <c r="F909" s="1">
        <v>44</v>
      </c>
    </row>
    <row r="910" spans="1:6">
      <c r="A910">
        <v>13</v>
      </c>
      <c r="B910" t="s">
        <v>200</v>
      </c>
      <c r="C910" s="1">
        <v>1</v>
      </c>
      <c r="D910" s="1" t="s">
        <v>192</v>
      </c>
      <c r="E910" s="1">
        <v>2</v>
      </c>
      <c r="F910" s="1" t="s">
        <v>192</v>
      </c>
    </row>
    <row r="911" spans="1:6">
      <c r="A911">
        <v>13</v>
      </c>
      <c r="B911" t="s">
        <v>200</v>
      </c>
      <c r="C911" s="1">
        <v>1</v>
      </c>
      <c r="D911" s="1">
        <v>40</v>
      </c>
      <c r="E911" s="1">
        <v>10</v>
      </c>
      <c r="F911" s="1">
        <v>40</v>
      </c>
    </row>
    <row r="912" spans="1:6">
      <c r="A912">
        <v>13</v>
      </c>
      <c r="B912" t="s">
        <v>200</v>
      </c>
      <c r="C912" s="1">
        <v>1</v>
      </c>
      <c r="D912" s="1" t="s">
        <v>193</v>
      </c>
      <c r="E912" s="1">
        <v>12</v>
      </c>
      <c r="F912" s="1" t="s">
        <v>193</v>
      </c>
    </row>
    <row r="913" spans="1:6">
      <c r="A913">
        <v>13</v>
      </c>
      <c r="B913" t="s">
        <v>200</v>
      </c>
      <c r="C913" s="1">
        <v>1</v>
      </c>
      <c r="D913" s="1">
        <v>41</v>
      </c>
      <c r="E913" s="1">
        <v>20</v>
      </c>
      <c r="F913" s="1">
        <v>41</v>
      </c>
    </row>
    <row r="914" spans="1:6">
      <c r="A914">
        <v>13</v>
      </c>
      <c r="B914" t="s">
        <v>200</v>
      </c>
      <c r="C914" s="1">
        <v>1</v>
      </c>
      <c r="D914" s="1" t="s">
        <v>194</v>
      </c>
      <c r="E914" s="1">
        <v>22</v>
      </c>
      <c r="F914" s="1" t="s">
        <v>194</v>
      </c>
    </row>
    <row r="915" spans="1:6">
      <c r="A915">
        <v>13</v>
      </c>
      <c r="B915" t="s">
        <v>200</v>
      </c>
      <c r="C915" s="1">
        <v>1</v>
      </c>
      <c r="D915" s="1" t="s">
        <v>195</v>
      </c>
      <c r="E915" s="1">
        <v>32</v>
      </c>
      <c r="F915" s="1" t="s">
        <v>195</v>
      </c>
    </row>
    <row r="916" spans="1:6">
      <c r="A916">
        <v>13</v>
      </c>
      <c r="B916" t="s">
        <v>200</v>
      </c>
      <c r="C916" s="1">
        <v>1</v>
      </c>
      <c r="D916" s="1">
        <v>43</v>
      </c>
      <c r="E916" s="1">
        <v>40</v>
      </c>
      <c r="F916" s="1">
        <v>43</v>
      </c>
    </row>
    <row r="917" spans="1:6">
      <c r="A917">
        <v>13</v>
      </c>
      <c r="B917" t="s">
        <v>200</v>
      </c>
      <c r="C917" s="1">
        <v>1</v>
      </c>
      <c r="D917" s="1">
        <v>44</v>
      </c>
      <c r="E917" s="1">
        <v>50</v>
      </c>
      <c r="F917" s="1">
        <v>44</v>
      </c>
    </row>
    <row r="918" spans="1:6">
      <c r="A918">
        <v>13</v>
      </c>
      <c r="B918" t="s">
        <v>200</v>
      </c>
      <c r="C918" s="1">
        <v>1</v>
      </c>
      <c r="D918" s="1" t="s">
        <v>197</v>
      </c>
      <c r="E918" s="1">
        <v>52</v>
      </c>
      <c r="F918" s="1" t="s">
        <v>197</v>
      </c>
    </row>
    <row r="919" spans="1:6">
      <c r="A919">
        <v>13</v>
      </c>
      <c r="B919" t="s">
        <v>200</v>
      </c>
      <c r="C919" s="1">
        <v>1</v>
      </c>
      <c r="D919" s="1" t="s">
        <v>198</v>
      </c>
      <c r="E919" s="1">
        <v>62</v>
      </c>
      <c r="F919" s="1" t="s">
        <v>198</v>
      </c>
    </row>
    <row r="920" spans="1:6">
      <c r="A920">
        <v>15</v>
      </c>
      <c r="B920" t="s">
        <v>201</v>
      </c>
      <c r="C920" s="1">
        <v>1</v>
      </c>
      <c r="D920" s="1">
        <v>100</v>
      </c>
      <c r="E920" s="1">
        <v>80</v>
      </c>
      <c r="F920" s="1">
        <v>100</v>
      </c>
    </row>
    <row r="921" spans="1:6">
      <c r="A921">
        <v>15</v>
      </c>
      <c r="B921" t="s">
        <v>201</v>
      </c>
      <c r="C921" s="1">
        <v>4</v>
      </c>
      <c r="D921" s="1" t="s">
        <v>286</v>
      </c>
      <c r="E921" s="1">
        <v>70</v>
      </c>
      <c r="F921" s="1" t="s">
        <v>286</v>
      </c>
    </row>
    <row r="922" spans="1:6">
      <c r="A922">
        <v>16</v>
      </c>
      <c r="B922" t="s">
        <v>202</v>
      </c>
      <c r="C922" s="1">
        <v>1</v>
      </c>
      <c r="D922" s="1" t="s">
        <v>196</v>
      </c>
      <c r="E922" s="1">
        <v>42</v>
      </c>
      <c r="F922" s="1" t="s">
        <v>196</v>
      </c>
    </row>
    <row r="923" spans="1:6">
      <c r="A923">
        <v>16</v>
      </c>
      <c r="B923" t="s">
        <v>202</v>
      </c>
      <c r="C923" s="1">
        <v>1</v>
      </c>
      <c r="D923" s="1">
        <v>44</v>
      </c>
      <c r="E923" s="1">
        <v>50</v>
      </c>
      <c r="F923" s="1">
        <v>44</v>
      </c>
    </row>
    <row r="924" spans="1:6">
      <c r="A924">
        <v>16</v>
      </c>
      <c r="B924" t="s">
        <v>202</v>
      </c>
      <c r="C924" s="1">
        <v>1</v>
      </c>
      <c r="D924" s="1" t="s">
        <v>197</v>
      </c>
      <c r="E924" s="1">
        <v>52</v>
      </c>
      <c r="F924" s="1" t="s">
        <v>197</v>
      </c>
    </row>
    <row r="925" spans="1:6">
      <c r="A925">
        <v>16</v>
      </c>
      <c r="B925" t="s">
        <v>202</v>
      </c>
      <c r="C925" s="1">
        <v>1</v>
      </c>
      <c r="D925" s="1">
        <v>45</v>
      </c>
      <c r="E925" s="1">
        <v>60</v>
      </c>
      <c r="F925" s="1">
        <v>45</v>
      </c>
    </row>
    <row r="926" spans="1:6">
      <c r="A926">
        <v>16</v>
      </c>
      <c r="B926" t="s">
        <v>202</v>
      </c>
      <c r="C926" s="1">
        <v>1</v>
      </c>
      <c r="D926" s="1" t="s">
        <v>198</v>
      </c>
      <c r="E926" s="1">
        <v>62</v>
      </c>
      <c r="F926" s="1" t="s">
        <v>198</v>
      </c>
    </row>
    <row r="927" spans="1:6">
      <c r="A927">
        <v>21</v>
      </c>
      <c r="B927" t="s">
        <v>205</v>
      </c>
      <c r="C927" s="1">
        <v>1</v>
      </c>
      <c r="D927" s="1" t="s">
        <v>323</v>
      </c>
      <c r="E927" s="1">
        <v>32</v>
      </c>
      <c r="F927" s="1" t="s">
        <v>323</v>
      </c>
    </row>
    <row r="928" spans="1:6">
      <c r="A928">
        <v>21</v>
      </c>
      <c r="B928" t="s">
        <v>205</v>
      </c>
      <c r="C928" s="1">
        <v>1</v>
      </c>
      <c r="D928" s="1" t="s">
        <v>330</v>
      </c>
      <c r="E928" s="1">
        <v>42</v>
      </c>
      <c r="F928" s="1" t="s">
        <v>330</v>
      </c>
    </row>
    <row r="929" spans="1:6">
      <c r="A929">
        <v>21</v>
      </c>
      <c r="B929" t="s">
        <v>205</v>
      </c>
      <c r="C929" s="1">
        <v>1</v>
      </c>
      <c r="D929" s="1" t="s">
        <v>287</v>
      </c>
      <c r="E929" s="1">
        <v>52</v>
      </c>
      <c r="F929" s="1" t="s">
        <v>287</v>
      </c>
    </row>
    <row r="930" spans="1:6">
      <c r="A930">
        <v>21</v>
      </c>
      <c r="B930" t="s">
        <v>205</v>
      </c>
      <c r="C930" s="1">
        <v>1</v>
      </c>
      <c r="D930" s="1" t="s">
        <v>288</v>
      </c>
      <c r="E930" s="1">
        <v>62</v>
      </c>
      <c r="F930" s="1" t="s">
        <v>288</v>
      </c>
    </row>
    <row r="931" spans="1:6">
      <c r="A931">
        <v>21</v>
      </c>
      <c r="B931" t="s">
        <v>205</v>
      </c>
      <c r="C931" s="1">
        <v>1</v>
      </c>
      <c r="D931" s="1" t="s">
        <v>284</v>
      </c>
      <c r="F931" s="1" t="s">
        <v>284</v>
      </c>
    </row>
    <row r="932" spans="1:6">
      <c r="A932">
        <v>24</v>
      </c>
      <c r="B932" t="s">
        <v>208</v>
      </c>
      <c r="C932" s="1">
        <v>1</v>
      </c>
      <c r="D932" s="1" t="s">
        <v>374</v>
      </c>
      <c r="F932" s="1" t="s">
        <v>374</v>
      </c>
    </row>
    <row r="933" spans="1:6">
      <c r="A933">
        <v>24</v>
      </c>
      <c r="B933" t="s">
        <v>208</v>
      </c>
      <c r="E933" s="1">
        <v>80</v>
      </c>
    </row>
    <row r="934" spans="1:6">
      <c r="A934">
        <v>24</v>
      </c>
      <c r="B934" t="s">
        <v>208</v>
      </c>
      <c r="E934" s="1">
        <v>90</v>
      </c>
    </row>
    <row r="935" spans="1:6">
      <c r="A935">
        <v>27</v>
      </c>
      <c r="B935" t="s">
        <v>210</v>
      </c>
      <c r="C935" s="1">
        <v>1</v>
      </c>
      <c r="D935" s="1" t="s">
        <v>195</v>
      </c>
      <c r="E935" s="1">
        <v>32</v>
      </c>
      <c r="F935" s="1" t="s">
        <v>195</v>
      </c>
    </row>
    <row r="936" spans="1:6">
      <c r="A936">
        <v>27</v>
      </c>
      <c r="B936" t="s">
        <v>210</v>
      </c>
      <c r="C936" s="1">
        <v>1</v>
      </c>
      <c r="D936" s="1">
        <v>43</v>
      </c>
      <c r="E936" s="1">
        <v>40</v>
      </c>
      <c r="F936" s="1">
        <v>43</v>
      </c>
    </row>
    <row r="937" spans="1:6">
      <c r="A937">
        <v>27</v>
      </c>
      <c r="B937" t="s">
        <v>210</v>
      </c>
      <c r="C937" s="1">
        <v>1</v>
      </c>
      <c r="D937" s="1" t="s">
        <v>196</v>
      </c>
      <c r="E937" s="1">
        <v>42</v>
      </c>
      <c r="F937" s="1" t="s">
        <v>196</v>
      </c>
    </row>
    <row r="938" spans="1:6">
      <c r="A938">
        <v>27</v>
      </c>
      <c r="B938" t="s">
        <v>210</v>
      </c>
      <c r="C938" s="1">
        <v>1</v>
      </c>
      <c r="D938" s="1">
        <v>44</v>
      </c>
      <c r="E938" s="1">
        <v>50</v>
      </c>
      <c r="F938" s="1">
        <v>44</v>
      </c>
    </row>
    <row r="939" spans="1:6">
      <c r="A939">
        <v>27</v>
      </c>
      <c r="B939" t="s">
        <v>210</v>
      </c>
      <c r="C939" s="1">
        <v>1</v>
      </c>
      <c r="D939" s="1" t="s">
        <v>197</v>
      </c>
      <c r="E939" s="1">
        <v>52</v>
      </c>
      <c r="F939" s="1" t="s">
        <v>197</v>
      </c>
    </row>
    <row r="940" spans="1:6">
      <c r="A940">
        <v>27</v>
      </c>
      <c r="B940" t="s">
        <v>210</v>
      </c>
      <c r="C940" s="1">
        <v>1</v>
      </c>
      <c r="D940" s="1">
        <v>45</v>
      </c>
      <c r="E940" s="1">
        <v>60</v>
      </c>
      <c r="F940" s="1">
        <v>45</v>
      </c>
    </row>
    <row r="941" spans="1:6">
      <c r="A941">
        <v>27</v>
      </c>
      <c r="B941" t="s">
        <v>210</v>
      </c>
      <c r="E941" s="1">
        <v>96</v>
      </c>
    </row>
    <row r="942" spans="1:6">
      <c r="A942">
        <v>28</v>
      </c>
      <c r="B942" t="s">
        <v>211</v>
      </c>
      <c r="E942" s="1">
        <v>80</v>
      </c>
    </row>
    <row r="943" spans="1:6">
      <c r="A943">
        <v>31</v>
      </c>
      <c r="B943" t="s">
        <v>110</v>
      </c>
      <c r="C943" s="1">
        <v>1</v>
      </c>
      <c r="D943" s="1" t="s">
        <v>333</v>
      </c>
      <c r="E943" s="1">
        <v>2</v>
      </c>
      <c r="F943" s="1" t="s">
        <v>333</v>
      </c>
    </row>
    <row r="944" spans="1:6">
      <c r="A944">
        <v>31</v>
      </c>
      <c r="B944" t="s">
        <v>110</v>
      </c>
      <c r="C944" s="1">
        <v>1</v>
      </c>
      <c r="D944" s="1">
        <v>9</v>
      </c>
      <c r="E944" s="1">
        <v>10</v>
      </c>
      <c r="F944" s="1">
        <v>9</v>
      </c>
    </row>
    <row r="945" spans="1:6">
      <c r="A945">
        <v>31</v>
      </c>
      <c r="B945" t="s">
        <v>110</v>
      </c>
      <c r="C945" s="1">
        <v>1</v>
      </c>
      <c r="D945" s="1" t="s">
        <v>334</v>
      </c>
      <c r="E945" s="1">
        <v>12</v>
      </c>
      <c r="F945" s="1" t="s">
        <v>334</v>
      </c>
    </row>
    <row r="946" spans="1:6">
      <c r="A946">
        <v>35</v>
      </c>
      <c r="B946" t="s">
        <v>214</v>
      </c>
      <c r="E946" s="1">
        <v>10</v>
      </c>
    </row>
    <row r="947" spans="1:6">
      <c r="A947">
        <v>35</v>
      </c>
      <c r="B947" t="s">
        <v>214</v>
      </c>
      <c r="E947" s="1">
        <v>20</v>
      </c>
    </row>
    <row r="948" spans="1:6">
      <c r="A948">
        <v>35</v>
      </c>
      <c r="B948" t="s">
        <v>214</v>
      </c>
      <c r="E948" s="1">
        <v>30</v>
      </c>
    </row>
    <row r="949" spans="1:6">
      <c r="A949">
        <v>35</v>
      </c>
      <c r="B949" t="s">
        <v>214</v>
      </c>
      <c r="E949" s="1">
        <v>40</v>
      </c>
    </row>
    <row r="950" spans="1:6">
      <c r="A950">
        <v>37</v>
      </c>
      <c r="B950" t="s">
        <v>216</v>
      </c>
      <c r="C950" s="1">
        <v>1</v>
      </c>
      <c r="D950" s="1" t="s">
        <v>507</v>
      </c>
      <c r="E950" s="1">
        <v>10</v>
      </c>
      <c r="F950" s="1" t="s">
        <v>507</v>
      </c>
    </row>
    <row r="951" spans="1:6">
      <c r="A951">
        <v>37</v>
      </c>
      <c r="B951" t="s">
        <v>216</v>
      </c>
      <c r="C951" s="1">
        <v>1</v>
      </c>
      <c r="D951" s="1" t="s">
        <v>508</v>
      </c>
      <c r="E951" s="1">
        <v>20</v>
      </c>
      <c r="F951" s="1" t="s">
        <v>508</v>
      </c>
    </row>
    <row r="952" spans="1:6">
      <c r="A952">
        <v>37</v>
      </c>
      <c r="B952" t="s">
        <v>216</v>
      </c>
      <c r="C952" s="1">
        <v>1</v>
      </c>
      <c r="D952" s="1" t="s">
        <v>509</v>
      </c>
      <c r="E952" s="1">
        <v>30</v>
      </c>
      <c r="F952" s="1" t="s">
        <v>509</v>
      </c>
    </row>
    <row r="953" spans="1:6">
      <c r="A953">
        <v>37</v>
      </c>
      <c r="B953" t="s">
        <v>216</v>
      </c>
      <c r="C953" s="1">
        <v>1</v>
      </c>
      <c r="D953" s="1" t="s">
        <v>510</v>
      </c>
      <c r="E953" s="1">
        <v>40</v>
      </c>
      <c r="F953" s="1" t="s">
        <v>510</v>
      </c>
    </row>
    <row r="954" spans="1:6">
      <c r="A954">
        <v>37</v>
      </c>
      <c r="B954" t="s">
        <v>216</v>
      </c>
      <c r="E954" s="1">
        <v>30</v>
      </c>
    </row>
    <row r="955" spans="1:6">
      <c r="A955">
        <v>37</v>
      </c>
      <c r="B955" t="s">
        <v>216</v>
      </c>
      <c r="E955" s="1">
        <v>40</v>
      </c>
    </row>
    <row r="956" spans="1:6">
      <c r="A956">
        <v>38</v>
      </c>
      <c r="B956" t="s">
        <v>217</v>
      </c>
      <c r="C956" s="1">
        <v>1</v>
      </c>
      <c r="D956" s="1" t="s">
        <v>397</v>
      </c>
      <c r="E956" s="1">
        <v>30</v>
      </c>
      <c r="F956" s="1" t="s">
        <v>397</v>
      </c>
    </row>
    <row r="957" spans="1:6">
      <c r="A957">
        <v>38</v>
      </c>
      <c r="B957" t="s">
        <v>217</v>
      </c>
      <c r="C957" s="1">
        <v>2</v>
      </c>
      <c r="D957" s="1" t="s">
        <v>402</v>
      </c>
      <c r="E957" s="1">
        <v>30</v>
      </c>
      <c r="F957" s="1" t="s">
        <v>402</v>
      </c>
    </row>
    <row r="958" spans="1:6">
      <c r="A958">
        <v>38</v>
      </c>
      <c r="B958" t="s">
        <v>217</v>
      </c>
      <c r="C958" s="1">
        <v>2</v>
      </c>
      <c r="D958" s="1" t="s">
        <v>403</v>
      </c>
      <c r="E958" s="1">
        <v>40</v>
      </c>
      <c r="F958" s="1" t="s">
        <v>403</v>
      </c>
    </row>
    <row r="959" spans="1:6">
      <c r="A959">
        <v>38</v>
      </c>
      <c r="B959" t="s">
        <v>217</v>
      </c>
      <c r="C959" s="1">
        <v>4</v>
      </c>
      <c r="D959" s="1" t="s">
        <v>410</v>
      </c>
      <c r="E959" s="1">
        <v>30</v>
      </c>
      <c r="F959" s="1" t="s">
        <v>410</v>
      </c>
    </row>
    <row r="960" spans="1:6">
      <c r="A960">
        <v>41</v>
      </c>
      <c r="B960" t="s">
        <v>219</v>
      </c>
      <c r="C960" s="1">
        <v>1</v>
      </c>
      <c r="D960" s="1" t="s">
        <v>442</v>
      </c>
      <c r="E960" s="1">
        <v>10</v>
      </c>
      <c r="F960" s="1" t="s">
        <v>442</v>
      </c>
    </row>
    <row r="961" spans="1:6">
      <c r="A961">
        <v>41</v>
      </c>
      <c r="B961" t="s">
        <v>219</v>
      </c>
      <c r="C961" s="1">
        <v>1</v>
      </c>
      <c r="D961" s="1" t="s">
        <v>511</v>
      </c>
      <c r="E961" s="1">
        <v>20</v>
      </c>
      <c r="F961" s="1" t="s">
        <v>511</v>
      </c>
    </row>
    <row r="962" spans="1:6">
      <c r="A962">
        <v>41</v>
      </c>
      <c r="B962" t="s">
        <v>219</v>
      </c>
      <c r="C962" s="1">
        <v>1</v>
      </c>
      <c r="D962" s="1" t="s">
        <v>443</v>
      </c>
      <c r="F962" s="1" t="s">
        <v>443</v>
      </c>
    </row>
    <row r="963" spans="1:6">
      <c r="A963">
        <v>41</v>
      </c>
      <c r="B963" t="s">
        <v>219</v>
      </c>
      <c r="E963" s="1">
        <v>10</v>
      </c>
    </row>
    <row r="964" spans="1:6">
      <c r="A964">
        <v>41</v>
      </c>
      <c r="B964" t="s">
        <v>219</v>
      </c>
      <c r="E964" s="1">
        <v>20</v>
      </c>
    </row>
    <row r="965" spans="1:6">
      <c r="A965">
        <v>41</v>
      </c>
      <c r="B965" t="s">
        <v>219</v>
      </c>
      <c r="E965" s="1">
        <v>30</v>
      </c>
    </row>
    <row r="966" spans="1:6">
      <c r="A966">
        <v>41</v>
      </c>
      <c r="B966" t="s">
        <v>219</v>
      </c>
      <c r="E966" s="1">
        <v>50</v>
      </c>
    </row>
    <row r="967" spans="1:6">
      <c r="A967">
        <v>41</v>
      </c>
      <c r="B967" t="s">
        <v>219</v>
      </c>
      <c r="E967" s="1">
        <v>70</v>
      </c>
    </row>
    <row r="968" spans="1:6">
      <c r="A968">
        <v>41</v>
      </c>
      <c r="B968" t="s">
        <v>219</v>
      </c>
      <c r="E968" s="1">
        <v>80</v>
      </c>
    </row>
    <row r="969" spans="1:6">
      <c r="A969">
        <v>41</v>
      </c>
      <c r="B969" t="s">
        <v>219</v>
      </c>
      <c r="E969" s="1">
        <v>90</v>
      </c>
    </row>
    <row r="970" spans="1:6">
      <c r="A970">
        <v>41</v>
      </c>
      <c r="B970" t="s">
        <v>219</v>
      </c>
      <c r="E970" s="1">
        <v>91</v>
      </c>
    </row>
    <row r="971" spans="1:6">
      <c r="A971">
        <v>41</v>
      </c>
      <c r="B971" t="s">
        <v>219</v>
      </c>
      <c r="E971" s="1">
        <v>97</v>
      </c>
    </row>
    <row r="972" spans="1:6">
      <c r="A972">
        <v>42</v>
      </c>
      <c r="B972" t="s">
        <v>220</v>
      </c>
      <c r="C972" s="1">
        <v>2</v>
      </c>
      <c r="D972" s="1" t="s">
        <v>512</v>
      </c>
      <c r="E972" s="1">
        <v>80</v>
      </c>
      <c r="F972" s="1" t="s">
        <v>512</v>
      </c>
    </row>
    <row r="973" spans="1:6">
      <c r="A973">
        <v>45</v>
      </c>
      <c r="B973" t="s">
        <v>223</v>
      </c>
      <c r="C973" s="1">
        <v>2</v>
      </c>
      <c r="D973" s="1" t="s">
        <v>490</v>
      </c>
      <c r="E973" s="1">
        <v>23</v>
      </c>
      <c r="F973" s="1" t="s">
        <v>513</v>
      </c>
    </row>
    <row r="974" spans="1:6">
      <c r="A974">
        <v>50</v>
      </c>
      <c r="B974" t="s">
        <v>224</v>
      </c>
      <c r="E974" s="1">
        <v>10</v>
      </c>
    </row>
    <row r="975" spans="1:6">
      <c r="A975">
        <v>50</v>
      </c>
      <c r="B975" t="s">
        <v>224</v>
      </c>
      <c r="E975" s="1">
        <v>15</v>
      </c>
    </row>
    <row r="976" spans="1:6">
      <c r="A976">
        <v>50</v>
      </c>
      <c r="B976" t="s">
        <v>224</v>
      </c>
      <c r="E976" s="1">
        <v>20</v>
      </c>
    </row>
    <row r="977" spans="1:6">
      <c r="A977">
        <v>50</v>
      </c>
      <c r="B977" t="s">
        <v>224</v>
      </c>
      <c r="E977" s="1">
        <v>30</v>
      </c>
    </row>
    <row r="978" spans="1:6">
      <c r="A978">
        <v>50</v>
      </c>
      <c r="B978" t="s">
        <v>224</v>
      </c>
      <c r="E978" s="1">
        <v>40</v>
      </c>
    </row>
    <row r="979" spans="1:6">
      <c r="A979">
        <v>57</v>
      </c>
      <c r="B979" t="s">
        <v>183</v>
      </c>
      <c r="C979" s="1">
        <v>3</v>
      </c>
      <c r="D979" s="1" t="s">
        <v>492</v>
      </c>
      <c r="E979" s="1">
        <v>50</v>
      </c>
      <c r="F979" s="1" t="s">
        <v>492</v>
      </c>
    </row>
    <row r="980" spans="1:6">
      <c r="A980">
        <v>57</v>
      </c>
      <c r="B980" t="s">
        <v>183</v>
      </c>
      <c r="C980" s="1">
        <v>3</v>
      </c>
      <c r="D980" s="1" t="s">
        <v>338</v>
      </c>
      <c r="E980" s="1">
        <v>60</v>
      </c>
      <c r="F980" s="1" t="s">
        <v>338</v>
      </c>
    </row>
    <row r="981" spans="1:6">
      <c r="A981">
        <v>57</v>
      </c>
      <c r="B981" t="s">
        <v>183</v>
      </c>
      <c r="E981" s="1">
        <v>50</v>
      </c>
    </row>
    <row r="982" spans="1:6">
      <c r="A982">
        <v>57</v>
      </c>
      <c r="B982" t="s">
        <v>183</v>
      </c>
      <c r="E982" s="1">
        <v>60</v>
      </c>
    </row>
    <row r="983" spans="1:6">
      <c r="A983">
        <v>58</v>
      </c>
      <c r="B983" t="s">
        <v>226</v>
      </c>
      <c r="C983" s="1">
        <v>1</v>
      </c>
      <c r="D983" s="1" t="s">
        <v>487</v>
      </c>
      <c r="E983" s="1">
        <v>60</v>
      </c>
      <c r="F983" s="1" t="s">
        <v>487</v>
      </c>
    </row>
    <row r="984" spans="1:6">
      <c r="A984">
        <v>58</v>
      </c>
      <c r="B984" t="s">
        <v>226</v>
      </c>
      <c r="C984" s="1">
        <v>3</v>
      </c>
      <c r="D984" s="1" t="s">
        <v>319</v>
      </c>
      <c r="E984" s="1">
        <v>60</v>
      </c>
      <c r="F984" s="1" t="s">
        <v>319</v>
      </c>
    </row>
    <row r="985" spans="1:6">
      <c r="A985">
        <v>59</v>
      </c>
      <c r="B985" t="s">
        <v>227</v>
      </c>
      <c r="C985" s="1">
        <v>3</v>
      </c>
      <c r="D985" s="1" t="s">
        <v>295</v>
      </c>
      <c r="E985" s="1">
        <v>23</v>
      </c>
      <c r="F985" s="1" t="s">
        <v>295</v>
      </c>
    </row>
    <row r="986" spans="1:6">
      <c r="A986">
        <v>59</v>
      </c>
      <c r="B986" t="s">
        <v>227</v>
      </c>
      <c r="E986" s="1">
        <v>23</v>
      </c>
    </row>
    <row r="987" spans="1:6">
      <c r="A987">
        <v>62</v>
      </c>
      <c r="B987" t="s">
        <v>514</v>
      </c>
      <c r="C987" s="1">
        <v>1</v>
      </c>
      <c r="D987" s="1">
        <v>13</v>
      </c>
      <c r="E987" s="1">
        <v>70</v>
      </c>
      <c r="F987" s="1">
        <v>13</v>
      </c>
    </row>
    <row r="988" spans="1:6">
      <c r="A988">
        <v>63</v>
      </c>
      <c r="B988" t="s">
        <v>229</v>
      </c>
      <c r="E988" s="1">
        <v>10</v>
      </c>
    </row>
    <row r="989" spans="1:6">
      <c r="A989">
        <v>63</v>
      </c>
      <c r="B989" t="s">
        <v>229</v>
      </c>
      <c r="E989" s="1">
        <v>20</v>
      </c>
    </row>
    <row r="990" spans="1:6">
      <c r="A990">
        <v>63</v>
      </c>
      <c r="B990" t="s">
        <v>229</v>
      </c>
      <c r="E990" s="1">
        <v>30</v>
      </c>
    </row>
    <row r="991" spans="1:6">
      <c r="A991">
        <v>63</v>
      </c>
      <c r="B991" t="s">
        <v>229</v>
      </c>
      <c r="E991" s="1">
        <v>40</v>
      </c>
    </row>
    <row r="992" spans="1:6">
      <c r="A992">
        <v>64</v>
      </c>
      <c r="B992" t="s">
        <v>230</v>
      </c>
      <c r="E992" s="1">
        <v>10</v>
      </c>
    </row>
    <row r="993" spans="1:6">
      <c r="A993">
        <v>64</v>
      </c>
      <c r="B993" t="s">
        <v>230</v>
      </c>
      <c r="E993" s="1">
        <v>20</v>
      </c>
    </row>
    <row r="994" spans="1:6">
      <c r="A994">
        <v>64</v>
      </c>
      <c r="B994" t="s">
        <v>230</v>
      </c>
      <c r="E994" s="1">
        <v>25</v>
      </c>
    </row>
    <row r="995" spans="1:6">
      <c r="A995">
        <v>64</v>
      </c>
      <c r="B995" t="s">
        <v>230</v>
      </c>
      <c r="E995" s="1">
        <v>30</v>
      </c>
    </row>
    <row r="996" spans="1:6">
      <c r="A996">
        <v>64</v>
      </c>
      <c r="B996" t="s">
        <v>230</v>
      </c>
      <c r="E996" s="1">
        <v>40</v>
      </c>
    </row>
    <row r="997" spans="1:6">
      <c r="A997">
        <v>65</v>
      </c>
      <c r="B997" t="s">
        <v>231</v>
      </c>
      <c r="C997" s="1">
        <v>1</v>
      </c>
      <c r="D997" s="1" t="s">
        <v>515</v>
      </c>
      <c r="E997" s="1">
        <v>30</v>
      </c>
      <c r="F997" s="1" t="s">
        <v>515</v>
      </c>
    </row>
    <row r="998" spans="1:6">
      <c r="A998">
        <v>65</v>
      </c>
      <c r="B998" t="s">
        <v>231</v>
      </c>
      <c r="C998" s="1">
        <v>1</v>
      </c>
      <c r="D998" s="1" t="s">
        <v>516</v>
      </c>
      <c r="E998" s="1">
        <v>40</v>
      </c>
      <c r="F998" s="1" t="s">
        <v>516</v>
      </c>
    </row>
    <row r="999" spans="1:6">
      <c r="A999">
        <v>67</v>
      </c>
      <c r="B999" t="s">
        <v>232</v>
      </c>
      <c r="E999" s="1">
        <v>20</v>
      </c>
    </row>
    <row r="1000" spans="1:6">
      <c r="A1000">
        <v>67</v>
      </c>
      <c r="B1000" t="s">
        <v>232</v>
      </c>
      <c r="E1000" s="1">
        <v>40</v>
      </c>
    </row>
    <row r="1001" spans="1:6">
      <c r="A1001">
        <v>68</v>
      </c>
      <c r="B1001" t="s">
        <v>233</v>
      </c>
      <c r="E1001" s="1">
        <v>30</v>
      </c>
    </row>
    <row r="1002" spans="1:6">
      <c r="A1002">
        <v>68</v>
      </c>
      <c r="B1002" t="s">
        <v>233</v>
      </c>
      <c r="E1002" s="1">
        <v>40</v>
      </c>
    </row>
    <row r="1003" spans="1:6">
      <c r="A1003">
        <v>74</v>
      </c>
      <c r="B1003" t="s">
        <v>235</v>
      </c>
      <c r="C1003" s="1">
        <v>3</v>
      </c>
      <c r="D1003" s="1" t="s">
        <v>320</v>
      </c>
      <c r="E1003" s="1">
        <v>50</v>
      </c>
      <c r="F1003" s="1" t="s">
        <v>320</v>
      </c>
    </row>
    <row r="1004" spans="1:6">
      <c r="A1004">
        <v>74</v>
      </c>
      <c r="B1004" t="s">
        <v>235</v>
      </c>
      <c r="C1004" s="1">
        <v>3</v>
      </c>
      <c r="D1004" s="1" t="s">
        <v>321</v>
      </c>
      <c r="E1004" s="1">
        <v>60</v>
      </c>
      <c r="F1004" s="1" t="s">
        <v>321</v>
      </c>
    </row>
    <row r="1005" spans="1:6">
      <c r="A1005">
        <v>80</v>
      </c>
      <c r="B1005" t="s">
        <v>238</v>
      </c>
      <c r="C1005" s="1">
        <v>1</v>
      </c>
      <c r="D1005" s="1" t="s">
        <v>284</v>
      </c>
      <c r="E1005" s="1">
        <v>10</v>
      </c>
      <c r="F1005" s="1" t="s">
        <v>284</v>
      </c>
    </row>
    <row r="1006" spans="1:6">
      <c r="A1006">
        <v>80</v>
      </c>
      <c r="B1006" t="s">
        <v>238</v>
      </c>
      <c r="C1006" s="1">
        <v>1</v>
      </c>
      <c r="D1006" s="1" t="s">
        <v>347</v>
      </c>
      <c r="E1006" s="1">
        <v>20</v>
      </c>
      <c r="F1006" s="1" t="s">
        <v>347</v>
      </c>
    </row>
    <row r="1007" spans="1:6">
      <c r="A1007">
        <v>80</v>
      </c>
      <c r="B1007" t="s">
        <v>238</v>
      </c>
      <c r="C1007" s="1">
        <v>1</v>
      </c>
      <c r="D1007" s="1" t="s">
        <v>394</v>
      </c>
      <c r="E1007" s="1">
        <v>22</v>
      </c>
      <c r="F1007" s="1" t="s">
        <v>394</v>
      </c>
    </row>
    <row r="1008" spans="1:6">
      <c r="A1008">
        <v>80</v>
      </c>
      <c r="B1008" t="s">
        <v>238</v>
      </c>
      <c r="C1008" s="1">
        <v>1</v>
      </c>
      <c r="D1008" s="1" t="s">
        <v>328</v>
      </c>
      <c r="E1008" s="1">
        <v>30</v>
      </c>
      <c r="F1008" s="1" t="s">
        <v>328</v>
      </c>
    </row>
    <row r="1009" spans="1:6">
      <c r="A1009">
        <v>80</v>
      </c>
      <c r="B1009" t="s">
        <v>238</v>
      </c>
      <c r="E1009" s="1">
        <v>80</v>
      </c>
    </row>
    <row r="1010" spans="1:6">
      <c r="A1010">
        <v>1</v>
      </c>
      <c r="B1010" t="s">
        <v>137</v>
      </c>
      <c r="C1010" s="1">
        <v>1</v>
      </c>
      <c r="D1010" s="1">
        <v>13</v>
      </c>
      <c r="E1010" s="1">
        <v>60</v>
      </c>
      <c r="F1010" s="1">
        <v>13</v>
      </c>
    </row>
    <row r="1011" spans="1:6">
      <c r="A1011">
        <v>1</v>
      </c>
      <c r="B1011" t="s">
        <v>137</v>
      </c>
      <c r="C1011" s="1">
        <v>1</v>
      </c>
      <c r="D1011" s="1" t="s">
        <v>144</v>
      </c>
      <c r="E1011" s="1">
        <v>62</v>
      </c>
      <c r="F1011" s="1" t="s">
        <v>144</v>
      </c>
    </row>
    <row r="1012" spans="1:6">
      <c r="A1012">
        <v>1</v>
      </c>
      <c r="B1012" t="s">
        <v>137</v>
      </c>
      <c r="C1012" s="1">
        <v>1</v>
      </c>
      <c r="D1012" s="1">
        <v>14</v>
      </c>
      <c r="E1012" s="1">
        <v>70</v>
      </c>
      <c r="F1012" s="1">
        <v>14</v>
      </c>
    </row>
    <row r="1013" spans="1:6">
      <c r="A1013">
        <v>1</v>
      </c>
      <c r="B1013" t="s">
        <v>137</v>
      </c>
      <c r="C1013" s="1">
        <v>1</v>
      </c>
      <c r="D1013" s="1" t="s">
        <v>147</v>
      </c>
      <c r="E1013" s="1">
        <v>72</v>
      </c>
      <c r="F1013" s="1" t="s">
        <v>147</v>
      </c>
    </row>
    <row r="1014" spans="1:6">
      <c r="A1014">
        <v>1</v>
      </c>
      <c r="B1014" t="s">
        <v>137</v>
      </c>
      <c r="C1014" s="1">
        <v>1</v>
      </c>
      <c r="D1014" s="1">
        <v>15</v>
      </c>
      <c r="E1014" s="1">
        <v>80</v>
      </c>
      <c r="F1014" s="1">
        <v>15</v>
      </c>
    </row>
    <row r="1015" spans="1:6">
      <c r="A1015">
        <v>1</v>
      </c>
      <c r="B1015" t="s">
        <v>137</v>
      </c>
      <c r="C1015" s="1">
        <v>1</v>
      </c>
      <c r="D1015" s="1" t="s">
        <v>150</v>
      </c>
      <c r="E1015" s="1">
        <v>82</v>
      </c>
      <c r="F1015" s="1" t="s">
        <v>150</v>
      </c>
    </row>
    <row r="1016" spans="1:6">
      <c r="A1016">
        <v>1</v>
      </c>
      <c r="B1016" t="s">
        <v>137</v>
      </c>
      <c r="C1016" s="1">
        <v>1</v>
      </c>
      <c r="D1016" s="1">
        <v>16</v>
      </c>
      <c r="E1016" s="1">
        <v>90</v>
      </c>
      <c r="F1016" s="1">
        <v>16</v>
      </c>
    </row>
    <row r="1017" spans="1:6">
      <c r="A1017">
        <v>1</v>
      </c>
      <c r="B1017" t="s">
        <v>137</v>
      </c>
      <c r="C1017" s="1">
        <v>1</v>
      </c>
      <c r="D1017" s="1" t="s">
        <v>153</v>
      </c>
      <c r="E1017" s="1">
        <v>92</v>
      </c>
      <c r="F1017" s="1" t="s">
        <v>153</v>
      </c>
    </row>
    <row r="1018" spans="1:6">
      <c r="A1018">
        <v>1</v>
      </c>
      <c r="B1018" t="s">
        <v>137</v>
      </c>
      <c r="C1018" s="1">
        <v>1</v>
      </c>
      <c r="D1018" s="1">
        <v>17</v>
      </c>
      <c r="E1018" s="1">
        <v>94</v>
      </c>
      <c r="F1018" s="1">
        <v>17</v>
      </c>
    </row>
    <row r="1019" spans="1:6">
      <c r="A1019">
        <v>1</v>
      </c>
      <c r="B1019" t="s">
        <v>137</v>
      </c>
      <c r="C1019" s="1">
        <v>1</v>
      </c>
      <c r="D1019" s="1" t="s">
        <v>156</v>
      </c>
      <c r="E1019" s="1">
        <v>96</v>
      </c>
      <c r="F1019" s="1" t="s">
        <v>156</v>
      </c>
    </row>
    <row r="1020" spans="1:6">
      <c r="A1020">
        <v>1</v>
      </c>
      <c r="B1020" t="s">
        <v>137</v>
      </c>
      <c r="C1020" s="1">
        <v>2</v>
      </c>
      <c r="D1020" s="1" t="s">
        <v>159</v>
      </c>
      <c r="E1020" s="1">
        <v>2</v>
      </c>
      <c r="F1020" s="1" t="s">
        <v>159</v>
      </c>
    </row>
    <row r="1021" spans="1:6">
      <c r="A1021">
        <v>1</v>
      </c>
      <c r="B1021" t="s">
        <v>137</v>
      </c>
      <c r="C1021" s="1">
        <v>2</v>
      </c>
      <c r="D1021" s="1">
        <v>19</v>
      </c>
      <c r="E1021" s="1">
        <v>10</v>
      </c>
      <c r="F1021" s="1">
        <v>19</v>
      </c>
    </row>
    <row r="1022" spans="1:6">
      <c r="A1022">
        <v>1</v>
      </c>
      <c r="B1022" t="s">
        <v>137</v>
      </c>
      <c r="C1022" s="1">
        <v>2</v>
      </c>
      <c r="D1022" s="1" t="s">
        <v>162</v>
      </c>
      <c r="E1022" s="1">
        <v>12</v>
      </c>
      <c r="F1022" s="1" t="s">
        <v>162</v>
      </c>
    </row>
    <row r="1023" spans="1:6">
      <c r="A1023">
        <v>1</v>
      </c>
      <c r="B1023" t="s">
        <v>137</v>
      </c>
      <c r="C1023" s="1">
        <v>2</v>
      </c>
      <c r="D1023" s="1">
        <v>20</v>
      </c>
      <c r="E1023" s="1">
        <v>20</v>
      </c>
      <c r="F1023" s="1">
        <v>20</v>
      </c>
    </row>
    <row r="1024" spans="1:6">
      <c r="A1024">
        <v>1</v>
      </c>
      <c r="B1024" t="s">
        <v>137</v>
      </c>
      <c r="C1024" s="1">
        <v>2</v>
      </c>
      <c r="D1024" s="1" t="s">
        <v>165</v>
      </c>
      <c r="E1024" s="1">
        <v>22</v>
      </c>
      <c r="F1024" s="1" t="s">
        <v>165</v>
      </c>
    </row>
    <row r="1025" spans="1:6">
      <c r="A1025">
        <v>1</v>
      </c>
      <c r="B1025" t="s">
        <v>137</v>
      </c>
      <c r="C1025" s="1">
        <v>2</v>
      </c>
      <c r="D1025" s="1">
        <v>21</v>
      </c>
      <c r="E1025" s="1">
        <v>30</v>
      </c>
      <c r="F1025" s="1">
        <v>21</v>
      </c>
    </row>
    <row r="1026" spans="1:6">
      <c r="A1026">
        <v>1</v>
      </c>
      <c r="B1026" t="s">
        <v>137</v>
      </c>
      <c r="C1026" s="1">
        <v>2</v>
      </c>
      <c r="D1026" s="1" t="s">
        <v>168</v>
      </c>
      <c r="E1026" s="1">
        <v>32</v>
      </c>
      <c r="F1026" s="1" t="s">
        <v>168</v>
      </c>
    </row>
    <row r="1027" spans="1:6">
      <c r="A1027">
        <v>1</v>
      </c>
      <c r="B1027" t="s">
        <v>137</v>
      </c>
      <c r="C1027" s="1">
        <v>2</v>
      </c>
      <c r="D1027" s="1">
        <v>22</v>
      </c>
      <c r="E1027" s="1">
        <v>40</v>
      </c>
      <c r="F1027" s="1">
        <v>22</v>
      </c>
    </row>
    <row r="1028" spans="1:6">
      <c r="A1028">
        <v>1</v>
      </c>
      <c r="B1028" t="s">
        <v>137</v>
      </c>
      <c r="C1028" s="1">
        <v>2</v>
      </c>
      <c r="D1028" s="1" t="s">
        <v>171</v>
      </c>
      <c r="E1028" s="1">
        <v>42</v>
      </c>
      <c r="F1028" s="1" t="s">
        <v>171</v>
      </c>
    </row>
    <row r="1029" spans="1:6">
      <c r="A1029">
        <v>1</v>
      </c>
      <c r="B1029" t="s">
        <v>137</v>
      </c>
      <c r="C1029" s="1">
        <v>2</v>
      </c>
      <c r="D1029" s="1">
        <v>23</v>
      </c>
      <c r="E1029" s="1">
        <v>50</v>
      </c>
      <c r="F1029" s="1">
        <v>23</v>
      </c>
    </row>
    <row r="1030" spans="1:6">
      <c r="A1030">
        <v>1</v>
      </c>
      <c r="B1030" t="s">
        <v>137</v>
      </c>
      <c r="C1030" s="1">
        <v>2</v>
      </c>
      <c r="D1030" s="1" t="s">
        <v>174</v>
      </c>
      <c r="E1030" s="1">
        <v>52</v>
      </c>
      <c r="F1030" s="1" t="s">
        <v>174</v>
      </c>
    </row>
    <row r="1031" spans="1:6">
      <c r="A1031">
        <v>1</v>
      </c>
      <c r="B1031" t="s">
        <v>137</v>
      </c>
      <c r="C1031" s="1">
        <v>2</v>
      </c>
      <c r="D1031" s="1">
        <v>24</v>
      </c>
      <c r="E1031" s="1">
        <v>60</v>
      </c>
      <c r="F1031" s="1">
        <v>24</v>
      </c>
    </row>
    <row r="1032" spans="1:6">
      <c r="A1032">
        <v>1</v>
      </c>
      <c r="B1032" t="s">
        <v>137</v>
      </c>
      <c r="C1032" s="1">
        <v>2</v>
      </c>
      <c r="D1032" s="1" t="s">
        <v>180</v>
      </c>
      <c r="E1032" s="1">
        <v>72</v>
      </c>
      <c r="F1032" s="1" t="s">
        <v>180</v>
      </c>
    </row>
    <row r="1033" spans="1:6">
      <c r="A1033">
        <v>1</v>
      </c>
      <c r="B1033" t="s">
        <v>137</v>
      </c>
      <c r="C1033" s="1">
        <v>2</v>
      </c>
      <c r="D1033" s="1">
        <v>18</v>
      </c>
      <c r="F1033" s="1">
        <v>18</v>
      </c>
    </row>
    <row r="1034" spans="1:6">
      <c r="A1034">
        <v>5</v>
      </c>
      <c r="B1034" t="s">
        <v>183</v>
      </c>
      <c r="E1034" s="1">
        <v>40</v>
      </c>
    </row>
    <row r="1035" spans="1:6">
      <c r="A1035">
        <v>5</v>
      </c>
      <c r="B1035" t="s">
        <v>183</v>
      </c>
      <c r="E1035" s="1">
        <v>50</v>
      </c>
    </row>
    <row r="1036" spans="1:6">
      <c r="A1036">
        <v>5</v>
      </c>
      <c r="B1036" t="s">
        <v>183</v>
      </c>
      <c r="E1036" s="1">
        <v>60</v>
      </c>
    </row>
    <row r="1037" spans="1:6">
      <c r="A1037">
        <v>6</v>
      </c>
      <c r="B1037" t="s">
        <v>184</v>
      </c>
      <c r="E1037" s="1">
        <v>63</v>
      </c>
    </row>
    <row r="1038" spans="1:6">
      <c r="A1038">
        <v>11</v>
      </c>
      <c r="B1038" t="s">
        <v>186</v>
      </c>
      <c r="C1038" s="1">
        <v>1</v>
      </c>
      <c r="D1038" s="1" t="s">
        <v>192</v>
      </c>
      <c r="E1038" s="1">
        <v>2</v>
      </c>
      <c r="F1038" s="1" t="s">
        <v>192</v>
      </c>
    </row>
    <row r="1039" spans="1:6">
      <c r="A1039">
        <v>11</v>
      </c>
      <c r="B1039" t="s">
        <v>186</v>
      </c>
      <c r="C1039" s="1">
        <v>1</v>
      </c>
      <c r="D1039" s="1">
        <v>40</v>
      </c>
      <c r="E1039" s="1">
        <v>10</v>
      </c>
      <c r="F1039" s="1">
        <v>40</v>
      </c>
    </row>
    <row r="1040" spans="1:6">
      <c r="A1040">
        <v>11</v>
      </c>
      <c r="B1040" t="s">
        <v>186</v>
      </c>
      <c r="C1040" s="1">
        <v>1</v>
      </c>
      <c r="D1040" s="1" t="s">
        <v>193</v>
      </c>
      <c r="E1040" s="1">
        <v>12</v>
      </c>
      <c r="F1040" s="1" t="s">
        <v>193</v>
      </c>
    </row>
    <row r="1041" spans="1:6">
      <c r="A1041">
        <v>11</v>
      </c>
      <c r="B1041" t="s">
        <v>186</v>
      </c>
      <c r="C1041" s="1">
        <v>1</v>
      </c>
      <c r="D1041" s="1">
        <v>41</v>
      </c>
      <c r="E1041" s="1">
        <v>20</v>
      </c>
      <c r="F1041" s="1">
        <v>41</v>
      </c>
    </row>
    <row r="1042" spans="1:6">
      <c r="A1042">
        <v>11</v>
      </c>
      <c r="B1042" t="s">
        <v>186</v>
      </c>
      <c r="C1042" s="1">
        <v>1</v>
      </c>
      <c r="D1042" s="1" t="s">
        <v>194</v>
      </c>
      <c r="E1042" s="1">
        <v>22</v>
      </c>
      <c r="F1042" s="1" t="s">
        <v>194</v>
      </c>
    </row>
    <row r="1043" spans="1:6">
      <c r="A1043">
        <v>11</v>
      </c>
      <c r="B1043" t="s">
        <v>186</v>
      </c>
      <c r="C1043" s="1">
        <v>1</v>
      </c>
      <c r="D1043" s="1">
        <v>42</v>
      </c>
      <c r="E1043" s="1">
        <v>30</v>
      </c>
      <c r="F1043" s="1">
        <v>42</v>
      </c>
    </row>
    <row r="1044" spans="1:6">
      <c r="A1044">
        <v>11</v>
      </c>
      <c r="B1044" t="s">
        <v>186</v>
      </c>
      <c r="C1044" s="1">
        <v>1</v>
      </c>
      <c r="D1044" s="1" t="s">
        <v>195</v>
      </c>
      <c r="E1044" s="1">
        <v>32</v>
      </c>
      <c r="F1044" s="1" t="s">
        <v>195</v>
      </c>
    </row>
    <row r="1045" spans="1:6">
      <c r="A1045">
        <v>11</v>
      </c>
      <c r="B1045" t="s">
        <v>186</v>
      </c>
      <c r="C1045" s="1">
        <v>1</v>
      </c>
      <c r="D1045" s="1">
        <v>43</v>
      </c>
      <c r="E1045" s="1">
        <v>40</v>
      </c>
      <c r="F1045" s="1">
        <v>43</v>
      </c>
    </row>
    <row r="1046" spans="1:6">
      <c r="A1046">
        <v>11</v>
      </c>
      <c r="B1046" t="s">
        <v>186</v>
      </c>
      <c r="C1046" s="1">
        <v>1</v>
      </c>
      <c r="D1046" s="1" t="s">
        <v>196</v>
      </c>
      <c r="E1046" s="1">
        <v>42</v>
      </c>
      <c r="F1046" s="1" t="s">
        <v>196</v>
      </c>
    </row>
    <row r="1047" spans="1:6">
      <c r="A1047">
        <v>11</v>
      </c>
      <c r="B1047" t="s">
        <v>186</v>
      </c>
      <c r="C1047" s="1">
        <v>1</v>
      </c>
      <c r="D1047" s="1">
        <v>44</v>
      </c>
      <c r="E1047" s="1">
        <v>50</v>
      </c>
      <c r="F1047" s="1">
        <v>44</v>
      </c>
    </row>
    <row r="1048" spans="1:6">
      <c r="A1048">
        <v>11</v>
      </c>
      <c r="B1048" t="s">
        <v>186</v>
      </c>
      <c r="C1048" s="1">
        <v>1</v>
      </c>
      <c r="D1048" s="1" t="s">
        <v>197</v>
      </c>
      <c r="E1048" s="1">
        <v>52</v>
      </c>
      <c r="F1048" s="1" t="s">
        <v>197</v>
      </c>
    </row>
    <row r="1049" spans="1:6">
      <c r="A1049">
        <v>11</v>
      </c>
      <c r="B1049" t="s">
        <v>186</v>
      </c>
      <c r="C1049" s="1">
        <v>1</v>
      </c>
      <c r="D1049" s="1">
        <v>45</v>
      </c>
      <c r="E1049" s="1">
        <v>60</v>
      </c>
      <c r="F1049" s="1">
        <v>45</v>
      </c>
    </row>
    <row r="1050" spans="1:6">
      <c r="A1050">
        <v>11</v>
      </c>
      <c r="B1050" t="s">
        <v>186</v>
      </c>
      <c r="C1050" s="1">
        <v>1</v>
      </c>
      <c r="D1050" s="1" t="s">
        <v>198</v>
      </c>
      <c r="E1050" s="1">
        <v>62</v>
      </c>
      <c r="F1050" s="1" t="s">
        <v>198</v>
      </c>
    </row>
    <row r="1051" spans="1:6">
      <c r="A1051">
        <v>11</v>
      </c>
      <c r="B1051" t="s">
        <v>186</v>
      </c>
      <c r="C1051" s="1">
        <v>1</v>
      </c>
      <c r="D1051" s="1" t="s">
        <v>199</v>
      </c>
      <c r="E1051" s="1">
        <v>72</v>
      </c>
      <c r="F1051" s="1" t="s">
        <v>199</v>
      </c>
    </row>
    <row r="1052" spans="1:6">
      <c r="A1052">
        <v>11</v>
      </c>
      <c r="B1052" t="s">
        <v>186</v>
      </c>
      <c r="E1052" s="1">
        <v>96</v>
      </c>
    </row>
    <row r="1053" spans="1:6">
      <c r="A1053">
        <v>12</v>
      </c>
      <c r="B1053" t="s">
        <v>107</v>
      </c>
      <c r="C1053" s="1">
        <v>1</v>
      </c>
      <c r="D1053" s="1" t="s">
        <v>192</v>
      </c>
      <c r="E1053" s="1">
        <v>2</v>
      </c>
      <c r="F1053" s="1" t="s">
        <v>192</v>
      </c>
    </row>
    <row r="1054" spans="1:6">
      <c r="A1054">
        <v>12</v>
      </c>
      <c r="B1054" t="s">
        <v>107</v>
      </c>
      <c r="C1054" s="1">
        <v>1</v>
      </c>
      <c r="D1054" s="1">
        <v>40</v>
      </c>
      <c r="E1054" s="1">
        <v>10</v>
      </c>
      <c r="F1054" s="1">
        <v>40</v>
      </c>
    </row>
    <row r="1055" spans="1:6">
      <c r="A1055">
        <v>12</v>
      </c>
      <c r="B1055" t="s">
        <v>107</v>
      </c>
      <c r="C1055" s="1">
        <v>1</v>
      </c>
      <c r="D1055" s="1" t="s">
        <v>193</v>
      </c>
      <c r="E1055" s="1">
        <v>12</v>
      </c>
      <c r="F1055" s="1" t="s">
        <v>193</v>
      </c>
    </row>
    <row r="1056" spans="1:6">
      <c r="A1056">
        <v>12</v>
      </c>
      <c r="B1056" t="s">
        <v>107</v>
      </c>
      <c r="C1056" s="1">
        <v>1</v>
      </c>
      <c r="D1056" s="1">
        <v>41</v>
      </c>
      <c r="E1056" s="1">
        <v>20</v>
      </c>
      <c r="F1056" s="1">
        <v>41</v>
      </c>
    </row>
    <row r="1057" spans="1:6">
      <c r="A1057">
        <v>12</v>
      </c>
      <c r="B1057" t="s">
        <v>107</v>
      </c>
      <c r="C1057" s="1">
        <v>1</v>
      </c>
      <c r="D1057" s="1" t="s">
        <v>194</v>
      </c>
      <c r="E1057" s="1">
        <v>22</v>
      </c>
      <c r="F1057" s="1" t="s">
        <v>194</v>
      </c>
    </row>
    <row r="1058" spans="1:6">
      <c r="A1058">
        <v>12</v>
      </c>
      <c r="B1058" t="s">
        <v>107</v>
      </c>
      <c r="C1058" s="1">
        <v>1</v>
      </c>
      <c r="D1058" s="1">
        <v>42</v>
      </c>
      <c r="E1058" s="1">
        <v>30</v>
      </c>
      <c r="F1058" s="1">
        <v>42</v>
      </c>
    </row>
    <row r="1059" spans="1:6">
      <c r="A1059">
        <v>12</v>
      </c>
      <c r="B1059" t="s">
        <v>107</v>
      </c>
      <c r="C1059" s="1">
        <v>1</v>
      </c>
      <c r="D1059" s="1" t="s">
        <v>195</v>
      </c>
      <c r="E1059" s="1">
        <v>32</v>
      </c>
      <c r="F1059" s="1" t="s">
        <v>195</v>
      </c>
    </row>
    <row r="1060" spans="1:6">
      <c r="A1060">
        <v>12</v>
      </c>
      <c r="B1060" t="s">
        <v>107</v>
      </c>
      <c r="C1060" s="1">
        <v>1</v>
      </c>
      <c r="D1060" s="1">
        <v>43</v>
      </c>
      <c r="E1060" s="1">
        <v>40</v>
      </c>
      <c r="F1060" s="1">
        <v>43</v>
      </c>
    </row>
    <row r="1061" spans="1:6">
      <c r="A1061">
        <v>12</v>
      </c>
      <c r="B1061" t="s">
        <v>107</v>
      </c>
      <c r="C1061" s="1">
        <v>1</v>
      </c>
      <c r="D1061" s="1" t="s">
        <v>196</v>
      </c>
      <c r="E1061" s="1">
        <v>42</v>
      </c>
      <c r="F1061" s="1" t="s">
        <v>196</v>
      </c>
    </row>
    <row r="1062" spans="1:6">
      <c r="A1062">
        <v>12</v>
      </c>
      <c r="B1062" t="s">
        <v>107</v>
      </c>
      <c r="C1062" s="1">
        <v>1</v>
      </c>
      <c r="D1062" s="1">
        <v>44</v>
      </c>
      <c r="E1062" s="1">
        <v>50</v>
      </c>
      <c r="F1062" s="1">
        <v>44</v>
      </c>
    </row>
    <row r="1063" spans="1:6">
      <c r="A1063">
        <v>12</v>
      </c>
      <c r="B1063" t="s">
        <v>107</v>
      </c>
      <c r="C1063" s="1">
        <v>1</v>
      </c>
      <c r="D1063" s="1" t="s">
        <v>197</v>
      </c>
      <c r="E1063" s="1">
        <v>52</v>
      </c>
      <c r="F1063" s="1" t="s">
        <v>197</v>
      </c>
    </row>
    <row r="1064" spans="1:6">
      <c r="A1064">
        <v>12</v>
      </c>
      <c r="B1064" t="s">
        <v>107</v>
      </c>
      <c r="C1064" s="1">
        <v>1</v>
      </c>
      <c r="D1064" s="1">
        <v>45</v>
      </c>
      <c r="E1064" s="1">
        <v>60</v>
      </c>
      <c r="F1064" s="1">
        <v>45</v>
      </c>
    </row>
    <row r="1065" spans="1:6">
      <c r="A1065">
        <v>12</v>
      </c>
      <c r="B1065" t="s">
        <v>107</v>
      </c>
      <c r="C1065" s="1">
        <v>1</v>
      </c>
      <c r="D1065" s="1" t="s">
        <v>198</v>
      </c>
      <c r="E1065" s="1">
        <v>62</v>
      </c>
      <c r="F1065" s="1" t="s">
        <v>198</v>
      </c>
    </row>
    <row r="1066" spans="1:6">
      <c r="A1066">
        <v>12</v>
      </c>
      <c r="B1066" t="s">
        <v>107</v>
      </c>
      <c r="C1066" s="1">
        <v>1</v>
      </c>
      <c r="D1066" s="1" t="s">
        <v>199</v>
      </c>
      <c r="E1066" s="1">
        <v>72</v>
      </c>
      <c r="F1066" s="1" t="s">
        <v>199</v>
      </c>
    </row>
    <row r="1067" spans="1:6">
      <c r="A1067">
        <v>12</v>
      </c>
      <c r="B1067" t="s">
        <v>107</v>
      </c>
      <c r="C1067" s="1">
        <v>1</v>
      </c>
      <c r="D1067" s="1">
        <v>39</v>
      </c>
      <c r="F1067" s="1">
        <v>39</v>
      </c>
    </row>
    <row r="1068" spans="1:6">
      <c r="A1068">
        <v>12</v>
      </c>
      <c r="B1068" t="s">
        <v>107</v>
      </c>
      <c r="E1068" s="1">
        <v>95</v>
      </c>
    </row>
    <row r="1069" spans="1:6">
      <c r="A1069">
        <v>12</v>
      </c>
      <c r="B1069" t="s">
        <v>107</v>
      </c>
      <c r="E1069" s="1">
        <v>96</v>
      </c>
    </row>
    <row r="1070" spans="1:6">
      <c r="A1070">
        <v>13</v>
      </c>
      <c r="B1070" t="s">
        <v>200</v>
      </c>
      <c r="C1070" s="1">
        <v>1</v>
      </c>
      <c r="D1070" s="1" t="s">
        <v>192</v>
      </c>
      <c r="E1070" s="1">
        <v>2</v>
      </c>
      <c r="F1070" s="1" t="s">
        <v>192</v>
      </c>
    </row>
    <row r="1071" spans="1:6">
      <c r="A1071">
        <v>13</v>
      </c>
      <c r="B1071" t="s">
        <v>200</v>
      </c>
      <c r="C1071" s="1">
        <v>1</v>
      </c>
      <c r="D1071" s="1">
        <v>40</v>
      </c>
      <c r="E1071" s="1">
        <v>10</v>
      </c>
      <c r="F1071" s="1">
        <v>40</v>
      </c>
    </row>
    <row r="1072" spans="1:6">
      <c r="A1072">
        <v>13</v>
      </c>
      <c r="B1072" t="s">
        <v>200</v>
      </c>
      <c r="C1072" s="1">
        <v>1</v>
      </c>
      <c r="D1072" s="1" t="s">
        <v>193</v>
      </c>
      <c r="E1072" s="1">
        <v>12</v>
      </c>
      <c r="F1072" s="1" t="s">
        <v>193</v>
      </c>
    </row>
    <row r="1073" spans="1:6">
      <c r="A1073">
        <v>13</v>
      </c>
      <c r="B1073" t="s">
        <v>200</v>
      </c>
      <c r="C1073" s="1">
        <v>1</v>
      </c>
      <c r="D1073" s="1">
        <v>41</v>
      </c>
      <c r="E1073" s="1">
        <v>20</v>
      </c>
      <c r="F1073" s="1">
        <v>41</v>
      </c>
    </row>
    <row r="1074" spans="1:6">
      <c r="A1074">
        <v>13</v>
      </c>
      <c r="B1074" t="s">
        <v>200</v>
      </c>
      <c r="C1074" s="1">
        <v>1</v>
      </c>
      <c r="D1074" s="1" t="s">
        <v>194</v>
      </c>
      <c r="E1074" s="1">
        <v>22</v>
      </c>
      <c r="F1074" s="1" t="s">
        <v>194</v>
      </c>
    </row>
    <row r="1075" spans="1:6">
      <c r="A1075">
        <v>13</v>
      </c>
      <c r="B1075" t="s">
        <v>200</v>
      </c>
      <c r="C1075" s="1">
        <v>1</v>
      </c>
      <c r="D1075" s="1">
        <v>42</v>
      </c>
      <c r="E1075" s="1">
        <v>30</v>
      </c>
      <c r="F1075" s="1">
        <v>42</v>
      </c>
    </row>
    <row r="1076" spans="1:6">
      <c r="A1076">
        <v>13</v>
      </c>
      <c r="B1076" t="s">
        <v>200</v>
      </c>
      <c r="C1076" s="1">
        <v>1</v>
      </c>
      <c r="D1076" s="1" t="s">
        <v>195</v>
      </c>
      <c r="E1076" s="1">
        <v>32</v>
      </c>
      <c r="F1076" s="1" t="s">
        <v>195</v>
      </c>
    </row>
    <row r="1077" spans="1:6">
      <c r="A1077">
        <v>13</v>
      </c>
      <c r="B1077" t="s">
        <v>200</v>
      </c>
      <c r="C1077" s="1">
        <v>1</v>
      </c>
      <c r="D1077" s="1">
        <v>43</v>
      </c>
      <c r="E1077" s="1">
        <v>40</v>
      </c>
      <c r="F1077" s="1">
        <v>43</v>
      </c>
    </row>
    <row r="1078" spans="1:6">
      <c r="A1078">
        <v>13</v>
      </c>
      <c r="B1078" t="s">
        <v>200</v>
      </c>
      <c r="C1078" s="1">
        <v>1</v>
      </c>
      <c r="D1078" s="1" t="s">
        <v>196</v>
      </c>
      <c r="E1078" s="1">
        <v>42</v>
      </c>
      <c r="F1078" s="1" t="s">
        <v>196</v>
      </c>
    </row>
    <row r="1079" spans="1:6">
      <c r="A1079">
        <v>13</v>
      </c>
      <c r="B1079" t="s">
        <v>200</v>
      </c>
      <c r="C1079" s="1">
        <v>1</v>
      </c>
      <c r="D1079" s="1">
        <v>44</v>
      </c>
      <c r="E1079" s="1">
        <v>50</v>
      </c>
      <c r="F1079" s="1">
        <v>44</v>
      </c>
    </row>
    <row r="1080" spans="1:6">
      <c r="A1080">
        <v>13</v>
      </c>
      <c r="B1080" t="s">
        <v>200</v>
      </c>
      <c r="C1080" s="1">
        <v>1</v>
      </c>
      <c r="D1080" s="1" t="s">
        <v>197</v>
      </c>
      <c r="E1080" s="1">
        <v>52</v>
      </c>
      <c r="F1080" s="1" t="s">
        <v>197</v>
      </c>
    </row>
    <row r="1081" spans="1:6">
      <c r="A1081">
        <v>13</v>
      </c>
      <c r="B1081" t="s">
        <v>200</v>
      </c>
      <c r="C1081" s="1">
        <v>1</v>
      </c>
      <c r="D1081" s="1">
        <v>45</v>
      </c>
      <c r="E1081" s="1">
        <v>60</v>
      </c>
      <c r="F1081" s="1">
        <v>45</v>
      </c>
    </row>
    <row r="1082" spans="1:6">
      <c r="A1082">
        <v>13</v>
      </c>
      <c r="B1082" t="s">
        <v>200</v>
      </c>
      <c r="C1082" s="1">
        <v>1</v>
      </c>
      <c r="D1082" s="1" t="s">
        <v>198</v>
      </c>
      <c r="E1082" s="1">
        <v>62</v>
      </c>
      <c r="F1082" s="1" t="s">
        <v>198</v>
      </c>
    </row>
    <row r="1083" spans="1:6">
      <c r="A1083">
        <v>13</v>
      </c>
      <c r="B1083" t="s">
        <v>200</v>
      </c>
      <c r="C1083" s="1">
        <v>1</v>
      </c>
      <c r="D1083" s="1" t="s">
        <v>199</v>
      </c>
      <c r="E1083" s="1">
        <v>72</v>
      </c>
      <c r="F1083" s="1" t="s">
        <v>199</v>
      </c>
    </row>
    <row r="1084" spans="1:6">
      <c r="A1084">
        <v>13</v>
      </c>
      <c r="B1084" t="s">
        <v>200</v>
      </c>
      <c r="C1084" s="1">
        <v>1</v>
      </c>
      <c r="D1084" s="1">
        <v>39</v>
      </c>
      <c r="F1084" s="1">
        <v>39</v>
      </c>
    </row>
    <row r="1085" spans="1:6">
      <c r="A1085">
        <v>13</v>
      </c>
      <c r="B1085" t="s">
        <v>200</v>
      </c>
      <c r="E1085" s="1">
        <v>80</v>
      </c>
    </row>
    <row r="1086" spans="1:6">
      <c r="A1086">
        <v>13</v>
      </c>
      <c r="B1086" t="s">
        <v>200</v>
      </c>
      <c r="E1086" s="1">
        <v>95</v>
      </c>
    </row>
    <row r="1087" spans="1:6">
      <c r="A1087">
        <v>13</v>
      </c>
      <c r="B1087" t="s">
        <v>200</v>
      </c>
      <c r="E1087" s="1">
        <v>96</v>
      </c>
    </row>
    <row r="1088" spans="1:6">
      <c r="A1088">
        <v>15</v>
      </c>
      <c r="B1088" t="s">
        <v>201</v>
      </c>
      <c r="C1088" s="1">
        <v>1</v>
      </c>
      <c r="D1088" s="1">
        <v>100</v>
      </c>
      <c r="E1088" s="1">
        <v>80</v>
      </c>
      <c r="F1088" s="1">
        <v>100</v>
      </c>
    </row>
    <row r="1089" spans="1:6">
      <c r="A1089">
        <v>15</v>
      </c>
      <c r="B1089" t="s">
        <v>201</v>
      </c>
      <c r="C1089" s="1">
        <v>4</v>
      </c>
      <c r="D1089" s="1" t="s">
        <v>286</v>
      </c>
      <c r="E1089" s="1">
        <v>70</v>
      </c>
      <c r="F1089" s="1" t="s">
        <v>286</v>
      </c>
    </row>
    <row r="1090" spans="1:6">
      <c r="A1090">
        <v>21</v>
      </c>
      <c r="B1090" t="s">
        <v>205</v>
      </c>
      <c r="C1090" s="1">
        <v>1</v>
      </c>
      <c r="D1090" s="1" t="s">
        <v>347</v>
      </c>
      <c r="E1090" s="1">
        <v>10</v>
      </c>
      <c r="F1090" s="1" t="s">
        <v>347</v>
      </c>
    </row>
    <row r="1091" spans="1:6">
      <c r="A1091">
        <v>21</v>
      </c>
      <c r="B1091" t="s">
        <v>205</v>
      </c>
      <c r="C1091" s="1">
        <v>1</v>
      </c>
      <c r="D1091" s="1" t="s">
        <v>395</v>
      </c>
      <c r="E1091" s="1">
        <v>22</v>
      </c>
      <c r="F1091" s="1" t="s">
        <v>395</v>
      </c>
    </row>
    <row r="1092" spans="1:6">
      <c r="A1092">
        <v>21</v>
      </c>
      <c r="B1092" t="s">
        <v>205</v>
      </c>
      <c r="C1092" s="1">
        <v>1</v>
      </c>
      <c r="D1092" s="1" t="s">
        <v>330</v>
      </c>
      <c r="E1092" s="1">
        <v>42</v>
      </c>
      <c r="F1092" s="1" t="s">
        <v>330</v>
      </c>
    </row>
    <row r="1093" spans="1:6">
      <c r="A1093">
        <v>21</v>
      </c>
      <c r="B1093" t="s">
        <v>205</v>
      </c>
      <c r="C1093" s="1">
        <v>1</v>
      </c>
      <c r="D1093" s="1" t="s">
        <v>287</v>
      </c>
      <c r="E1093" s="1">
        <v>52</v>
      </c>
      <c r="F1093" s="1" t="s">
        <v>287</v>
      </c>
    </row>
    <row r="1094" spans="1:6">
      <c r="A1094">
        <v>21</v>
      </c>
      <c r="B1094" t="s">
        <v>205</v>
      </c>
      <c r="C1094" s="1">
        <v>1</v>
      </c>
      <c r="D1094" s="1" t="s">
        <v>288</v>
      </c>
      <c r="E1094" s="1">
        <v>62</v>
      </c>
      <c r="F1094" s="1" t="s">
        <v>288</v>
      </c>
    </row>
    <row r="1095" spans="1:6">
      <c r="A1095">
        <v>24</v>
      </c>
      <c r="B1095" t="s">
        <v>208</v>
      </c>
      <c r="E1095" s="1">
        <v>80</v>
      </c>
    </row>
    <row r="1096" spans="1:6">
      <c r="A1096">
        <v>27</v>
      </c>
      <c r="B1096" t="s">
        <v>210</v>
      </c>
      <c r="C1096" s="1">
        <v>1</v>
      </c>
      <c r="D1096" s="1" t="s">
        <v>195</v>
      </c>
      <c r="E1096" s="1">
        <v>32</v>
      </c>
      <c r="F1096" s="1" t="s">
        <v>195</v>
      </c>
    </row>
    <row r="1097" spans="1:6">
      <c r="A1097">
        <v>27</v>
      </c>
      <c r="B1097" t="s">
        <v>210</v>
      </c>
      <c r="C1097" s="1">
        <v>1</v>
      </c>
      <c r="D1097" s="1">
        <v>43</v>
      </c>
      <c r="E1097" s="1">
        <v>40</v>
      </c>
      <c r="F1097" s="1">
        <v>43</v>
      </c>
    </row>
    <row r="1098" spans="1:6">
      <c r="A1098">
        <v>31</v>
      </c>
      <c r="B1098" t="s">
        <v>110</v>
      </c>
      <c r="C1098" s="1">
        <v>1</v>
      </c>
      <c r="D1098" s="1" t="s">
        <v>335</v>
      </c>
      <c r="E1098" s="1">
        <v>22</v>
      </c>
      <c r="F1098" s="1" t="s">
        <v>335</v>
      </c>
    </row>
    <row r="1099" spans="1:6">
      <c r="A1099">
        <v>31</v>
      </c>
      <c r="B1099" t="s">
        <v>110</v>
      </c>
      <c r="E1099" s="1">
        <v>95</v>
      </c>
    </row>
    <row r="1100" spans="1:6">
      <c r="A1100">
        <v>32</v>
      </c>
      <c r="B1100" t="s">
        <v>212</v>
      </c>
      <c r="C1100" s="1">
        <v>1</v>
      </c>
      <c r="D1100" s="1" t="s">
        <v>333</v>
      </c>
      <c r="E1100" s="1">
        <v>2</v>
      </c>
      <c r="F1100" s="1" t="s">
        <v>333</v>
      </c>
    </row>
    <row r="1101" spans="1:6">
      <c r="A1101">
        <v>32</v>
      </c>
      <c r="B1101" t="s">
        <v>212</v>
      </c>
      <c r="C1101" s="1">
        <v>1</v>
      </c>
      <c r="D1101" s="1">
        <v>9</v>
      </c>
      <c r="E1101" s="1">
        <v>10</v>
      </c>
      <c r="F1101" s="1">
        <v>9</v>
      </c>
    </row>
    <row r="1102" spans="1:6">
      <c r="A1102">
        <v>32</v>
      </c>
      <c r="B1102" t="s">
        <v>212</v>
      </c>
      <c r="C1102" s="1">
        <v>1</v>
      </c>
      <c r="D1102" s="1" t="s">
        <v>334</v>
      </c>
      <c r="E1102" s="1">
        <v>12</v>
      </c>
      <c r="F1102" s="1" t="s">
        <v>334</v>
      </c>
    </row>
    <row r="1103" spans="1:6">
      <c r="A1103">
        <v>32</v>
      </c>
      <c r="B1103" t="s">
        <v>212</v>
      </c>
      <c r="C1103" s="1">
        <v>1</v>
      </c>
      <c r="D1103" s="1">
        <v>10</v>
      </c>
      <c r="E1103" s="1">
        <v>20</v>
      </c>
      <c r="F1103" s="1">
        <v>10</v>
      </c>
    </row>
    <row r="1104" spans="1:6">
      <c r="A1104">
        <v>32</v>
      </c>
      <c r="B1104" t="s">
        <v>212</v>
      </c>
      <c r="C1104" s="1">
        <v>1</v>
      </c>
      <c r="D1104" s="1" t="s">
        <v>335</v>
      </c>
      <c r="E1104" s="1">
        <v>22</v>
      </c>
      <c r="F1104" s="1" t="s">
        <v>335</v>
      </c>
    </row>
    <row r="1105" spans="1:6">
      <c r="A1105">
        <v>32</v>
      </c>
      <c r="B1105" t="s">
        <v>212</v>
      </c>
      <c r="C1105" s="1">
        <v>1</v>
      </c>
      <c r="D1105" s="1">
        <v>11</v>
      </c>
      <c r="E1105" s="1">
        <v>30</v>
      </c>
      <c r="F1105" s="1">
        <v>11</v>
      </c>
    </row>
    <row r="1106" spans="1:6">
      <c r="A1106">
        <v>32</v>
      </c>
      <c r="B1106" t="s">
        <v>212</v>
      </c>
      <c r="C1106" s="1">
        <v>1</v>
      </c>
      <c r="D1106" s="1" t="s">
        <v>389</v>
      </c>
      <c r="E1106" s="1">
        <v>32</v>
      </c>
      <c r="F1106" s="1" t="s">
        <v>389</v>
      </c>
    </row>
    <row r="1107" spans="1:6">
      <c r="A1107">
        <v>32</v>
      </c>
      <c r="B1107" t="s">
        <v>212</v>
      </c>
      <c r="C1107" s="1">
        <v>1</v>
      </c>
      <c r="D1107" s="1">
        <v>8</v>
      </c>
      <c r="F1107" s="1">
        <v>8</v>
      </c>
    </row>
    <row r="1108" spans="1:6">
      <c r="A1108">
        <v>32</v>
      </c>
      <c r="B1108" t="s">
        <v>212</v>
      </c>
      <c r="E1108" s="1">
        <v>75</v>
      </c>
    </row>
    <row r="1109" spans="1:6">
      <c r="A1109">
        <v>32</v>
      </c>
      <c r="B1109" t="s">
        <v>212</v>
      </c>
      <c r="E1109" s="1">
        <v>92</v>
      </c>
    </row>
    <row r="1110" spans="1:6">
      <c r="A1110">
        <v>32</v>
      </c>
      <c r="B1110" t="s">
        <v>212</v>
      </c>
      <c r="E1110" s="1">
        <v>96</v>
      </c>
    </row>
    <row r="1111" spans="1:6">
      <c r="A1111">
        <v>33</v>
      </c>
      <c r="B1111" t="s">
        <v>213</v>
      </c>
      <c r="C1111" s="1">
        <v>1</v>
      </c>
      <c r="D1111" s="1" t="s">
        <v>323</v>
      </c>
      <c r="E1111" s="1">
        <v>2</v>
      </c>
      <c r="F1111" s="1" t="s">
        <v>323</v>
      </c>
    </row>
    <row r="1112" spans="1:6">
      <c r="A1112">
        <v>33</v>
      </c>
      <c r="B1112" t="s">
        <v>213</v>
      </c>
      <c r="C1112" s="1">
        <v>1</v>
      </c>
      <c r="D1112" s="1" t="s">
        <v>332</v>
      </c>
      <c r="E1112" s="1">
        <v>10</v>
      </c>
      <c r="F1112" s="1" t="s">
        <v>332</v>
      </c>
    </row>
    <row r="1113" spans="1:6">
      <c r="A1113">
        <v>33</v>
      </c>
      <c r="B1113" t="s">
        <v>213</v>
      </c>
      <c r="C1113" s="1">
        <v>1</v>
      </c>
      <c r="D1113" s="1" t="s">
        <v>330</v>
      </c>
      <c r="E1113" s="1">
        <v>12</v>
      </c>
      <c r="F1113" s="1" t="s">
        <v>330</v>
      </c>
    </row>
    <row r="1114" spans="1:6">
      <c r="A1114">
        <v>33</v>
      </c>
      <c r="B1114" t="s">
        <v>213</v>
      </c>
      <c r="C1114" s="1">
        <v>1</v>
      </c>
      <c r="D1114" s="1" t="s">
        <v>331</v>
      </c>
      <c r="E1114" s="1">
        <v>20</v>
      </c>
      <c r="F1114" s="1" t="s">
        <v>331</v>
      </c>
    </row>
    <row r="1115" spans="1:6">
      <c r="A1115">
        <v>33</v>
      </c>
      <c r="B1115" t="s">
        <v>213</v>
      </c>
      <c r="C1115" s="1">
        <v>1</v>
      </c>
      <c r="D1115" s="1" t="s">
        <v>287</v>
      </c>
      <c r="E1115" s="1">
        <v>22</v>
      </c>
      <c r="F1115" s="1" t="s">
        <v>287</v>
      </c>
    </row>
    <row r="1116" spans="1:6">
      <c r="A1116">
        <v>33</v>
      </c>
      <c r="B1116" t="s">
        <v>213</v>
      </c>
      <c r="C1116" s="1">
        <v>1</v>
      </c>
      <c r="D1116" s="1" t="s">
        <v>329</v>
      </c>
      <c r="F1116" s="1" t="s">
        <v>329</v>
      </c>
    </row>
    <row r="1117" spans="1:6">
      <c r="A1117">
        <v>33</v>
      </c>
      <c r="B1117" t="s">
        <v>213</v>
      </c>
      <c r="E1117" s="1">
        <v>60</v>
      </c>
    </row>
    <row r="1118" spans="1:6">
      <c r="A1118">
        <v>33</v>
      </c>
      <c r="B1118" t="s">
        <v>213</v>
      </c>
      <c r="E1118" s="1">
        <v>62</v>
      </c>
    </row>
    <row r="1119" spans="1:6">
      <c r="A1119">
        <v>33</v>
      </c>
      <c r="B1119" t="s">
        <v>213</v>
      </c>
      <c r="E1119" s="1">
        <v>70</v>
      </c>
    </row>
    <row r="1120" spans="1:6">
      <c r="A1120">
        <v>33</v>
      </c>
      <c r="B1120" t="s">
        <v>213</v>
      </c>
      <c r="E1120" s="1">
        <v>80</v>
      </c>
    </row>
    <row r="1121" spans="1:6">
      <c r="A1121">
        <v>33</v>
      </c>
      <c r="B1121" t="s">
        <v>213</v>
      </c>
      <c r="E1121" s="1">
        <v>82</v>
      </c>
    </row>
    <row r="1122" spans="1:6">
      <c r="A1122">
        <v>33</v>
      </c>
      <c r="B1122" t="s">
        <v>213</v>
      </c>
      <c r="E1122" s="1">
        <v>90</v>
      </c>
    </row>
    <row r="1123" spans="1:6">
      <c r="A1123">
        <v>33</v>
      </c>
      <c r="B1123" t="s">
        <v>213</v>
      </c>
      <c r="E1123" s="1">
        <v>92</v>
      </c>
    </row>
    <row r="1124" spans="1:6">
      <c r="A1124">
        <v>41</v>
      </c>
      <c r="B1124" t="s">
        <v>219</v>
      </c>
      <c r="C1124" s="1">
        <v>1</v>
      </c>
      <c r="D1124" s="1" t="s">
        <v>511</v>
      </c>
      <c r="E1124" s="1">
        <v>20</v>
      </c>
      <c r="F1124" s="1" t="s">
        <v>511</v>
      </c>
    </row>
    <row r="1125" spans="1:6">
      <c r="A1125">
        <v>42</v>
      </c>
      <c r="B1125" t="s">
        <v>220</v>
      </c>
      <c r="C1125" s="1">
        <v>2</v>
      </c>
      <c r="D1125" s="1" t="s">
        <v>512</v>
      </c>
      <c r="E1125" s="1">
        <v>80</v>
      </c>
      <c r="F1125" s="1" t="s">
        <v>512</v>
      </c>
    </row>
    <row r="1126" spans="1:6">
      <c r="A1126">
        <v>43</v>
      </c>
      <c r="B1126" t="s">
        <v>221</v>
      </c>
      <c r="E1126" s="1">
        <v>22</v>
      </c>
    </row>
    <row r="1127" spans="1:6">
      <c r="A1127">
        <v>43</v>
      </c>
      <c r="B1127" t="s">
        <v>221</v>
      </c>
      <c r="E1127" s="1">
        <v>30</v>
      </c>
    </row>
    <row r="1128" spans="1:6">
      <c r="A1128">
        <v>43</v>
      </c>
      <c r="B1128" t="s">
        <v>221</v>
      </c>
      <c r="E1128" s="1">
        <v>40</v>
      </c>
    </row>
    <row r="1129" spans="1:6">
      <c r="A1129">
        <v>43</v>
      </c>
      <c r="B1129" t="s">
        <v>221</v>
      </c>
      <c r="E1129" s="1">
        <v>50</v>
      </c>
    </row>
    <row r="1130" spans="1:6">
      <c r="A1130">
        <v>43</v>
      </c>
      <c r="B1130" t="s">
        <v>221</v>
      </c>
      <c r="E1130" s="1">
        <v>60</v>
      </c>
    </row>
    <row r="1131" spans="1:6">
      <c r="A1131">
        <v>57</v>
      </c>
      <c r="B1131" t="s">
        <v>183</v>
      </c>
      <c r="C1131" s="1">
        <v>3</v>
      </c>
      <c r="D1131" s="1" t="s">
        <v>492</v>
      </c>
      <c r="E1131" s="1">
        <v>50</v>
      </c>
      <c r="F1131" s="1" t="s">
        <v>492</v>
      </c>
    </row>
    <row r="1132" spans="1:6">
      <c r="A1132">
        <v>57</v>
      </c>
      <c r="B1132" t="s">
        <v>183</v>
      </c>
      <c r="C1132" s="1">
        <v>3</v>
      </c>
      <c r="D1132" s="1" t="s">
        <v>338</v>
      </c>
      <c r="E1132" s="1">
        <v>60</v>
      </c>
      <c r="F1132" s="1" t="s">
        <v>338</v>
      </c>
    </row>
    <row r="1133" spans="1:6">
      <c r="A1133">
        <v>57</v>
      </c>
      <c r="B1133" t="s">
        <v>183</v>
      </c>
      <c r="E1133" s="1">
        <v>50</v>
      </c>
    </row>
    <row r="1134" spans="1:6">
      <c r="A1134">
        <v>57</v>
      </c>
      <c r="B1134" t="s">
        <v>183</v>
      </c>
      <c r="E1134" s="1">
        <v>60</v>
      </c>
    </row>
    <row r="1135" spans="1:6">
      <c r="A1135">
        <v>58</v>
      </c>
      <c r="B1135" t="s">
        <v>226</v>
      </c>
      <c r="C1135" s="1">
        <v>2</v>
      </c>
      <c r="D1135" s="1" t="s">
        <v>518</v>
      </c>
      <c r="E1135" s="1">
        <v>40</v>
      </c>
      <c r="F1135" s="1" t="s">
        <v>518</v>
      </c>
    </row>
    <row r="1136" spans="1:6">
      <c r="A1136">
        <v>59</v>
      </c>
      <c r="B1136" t="s">
        <v>227</v>
      </c>
      <c r="C1136" s="1">
        <v>3</v>
      </c>
      <c r="D1136" s="1" t="s">
        <v>295</v>
      </c>
      <c r="E1136" s="1">
        <v>23</v>
      </c>
      <c r="F1136" s="1" t="s">
        <v>295</v>
      </c>
    </row>
    <row r="1137" spans="1:6">
      <c r="A1137">
        <v>62</v>
      </c>
      <c r="B1137" t="s">
        <v>514</v>
      </c>
      <c r="C1137" s="1">
        <v>1</v>
      </c>
      <c r="D1137" s="1">
        <v>8</v>
      </c>
      <c r="E1137" s="1">
        <v>20</v>
      </c>
      <c r="F1137" s="1">
        <v>8</v>
      </c>
    </row>
    <row r="1138" spans="1:6">
      <c r="A1138">
        <v>62</v>
      </c>
      <c r="B1138" t="s">
        <v>514</v>
      </c>
      <c r="C1138" s="1">
        <v>1</v>
      </c>
      <c r="D1138" s="1" t="s">
        <v>334</v>
      </c>
      <c r="E1138" s="1">
        <v>32</v>
      </c>
      <c r="F1138" s="1" t="s">
        <v>334</v>
      </c>
    </row>
    <row r="1139" spans="1:6">
      <c r="A1139">
        <v>62</v>
      </c>
      <c r="B1139" t="s">
        <v>514</v>
      </c>
      <c r="C1139" s="1">
        <v>1</v>
      </c>
      <c r="D1139" s="1">
        <v>11</v>
      </c>
      <c r="E1139" s="1">
        <v>50</v>
      </c>
      <c r="F1139" s="1">
        <v>11</v>
      </c>
    </row>
    <row r="1140" spans="1:6">
      <c r="A1140">
        <v>62</v>
      </c>
      <c r="B1140" t="s">
        <v>514</v>
      </c>
      <c r="C1140" s="1">
        <v>1</v>
      </c>
      <c r="D1140" s="1" t="s">
        <v>389</v>
      </c>
      <c r="E1140" s="1">
        <v>52</v>
      </c>
      <c r="F1140" s="1" t="s">
        <v>389</v>
      </c>
    </row>
    <row r="1141" spans="1:6">
      <c r="A1141">
        <v>62</v>
      </c>
      <c r="B1141" t="s">
        <v>514</v>
      </c>
      <c r="C1141" s="1">
        <v>1</v>
      </c>
      <c r="D1141" s="1">
        <v>12</v>
      </c>
      <c r="E1141" s="1">
        <v>60</v>
      </c>
      <c r="F1141" s="1">
        <v>12</v>
      </c>
    </row>
    <row r="1142" spans="1:6">
      <c r="A1142">
        <v>62</v>
      </c>
      <c r="B1142" t="s">
        <v>514</v>
      </c>
      <c r="C1142" s="1">
        <v>1</v>
      </c>
      <c r="D1142" s="1" t="s">
        <v>141</v>
      </c>
      <c r="E1142" s="1">
        <v>62</v>
      </c>
      <c r="F1142" s="1" t="s">
        <v>141</v>
      </c>
    </row>
    <row r="1143" spans="1:6">
      <c r="A1143">
        <v>62</v>
      </c>
      <c r="B1143" t="s">
        <v>514</v>
      </c>
      <c r="C1143" s="1">
        <v>1</v>
      </c>
      <c r="D1143" s="1">
        <v>13</v>
      </c>
      <c r="E1143" s="1">
        <v>70</v>
      </c>
      <c r="F1143" s="1">
        <v>13</v>
      </c>
    </row>
    <row r="1144" spans="1:6">
      <c r="A1144">
        <v>62</v>
      </c>
      <c r="B1144" t="s">
        <v>514</v>
      </c>
      <c r="C1144" s="1">
        <v>1</v>
      </c>
      <c r="D1144" s="1" t="s">
        <v>144</v>
      </c>
      <c r="E1144" s="1">
        <v>72</v>
      </c>
      <c r="F1144" s="1" t="s">
        <v>144</v>
      </c>
    </row>
    <row r="1145" spans="1:6">
      <c r="A1145">
        <v>62</v>
      </c>
      <c r="B1145" t="s">
        <v>514</v>
      </c>
      <c r="C1145" s="1">
        <v>1</v>
      </c>
      <c r="D1145" s="1">
        <v>14</v>
      </c>
      <c r="E1145" s="1">
        <v>80</v>
      </c>
      <c r="F1145" s="1">
        <v>14</v>
      </c>
    </row>
    <row r="1146" spans="1:6">
      <c r="A1146">
        <v>62</v>
      </c>
      <c r="B1146" t="s">
        <v>514</v>
      </c>
      <c r="C1146" s="1">
        <v>1</v>
      </c>
      <c r="D1146" s="1" t="s">
        <v>147</v>
      </c>
      <c r="E1146" s="1">
        <v>82</v>
      </c>
      <c r="F1146" s="1" t="s">
        <v>147</v>
      </c>
    </row>
    <row r="1147" spans="1:6">
      <c r="A1147">
        <v>62</v>
      </c>
      <c r="B1147" t="s">
        <v>514</v>
      </c>
      <c r="C1147" s="1">
        <v>1</v>
      </c>
      <c r="D1147" s="1">
        <v>15</v>
      </c>
      <c r="E1147" s="1">
        <v>90</v>
      </c>
      <c r="F1147" s="1">
        <v>15</v>
      </c>
    </row>
    <row r="1148" spans="1:6">
      <c r="A1148">
        <v>74</v>
      </c>
      <c r="B1148" t="s">
        <v>235</v>
      </c>
      <c r="C1148" s="1">
        <v>3</v>
      </c>
      <c r="D1148" s="1" t="s">
        <v>320</v>
      </c>
      <c r="E1148" s="1">
        <v>50</v>
      </c>
      <c r="F1148" s="1" t="s">
        <v>320</v>
      </c>
    </row>
    <row r="1149" spans="1:6">
      <c r="A1149">
        <v>74</v>
      </c>
      <c r="B1149" t="s">
        <v>235</v>
      </c>
      <c r="C1149" s="1">
        <v>3</v>
      </c>
      <c r="D1149" s="1" t="s">
        <v>321</v>
      </c>
      <c r="E1149" s="1">
        <v>60</v>
      </c>
      <c r="F1149" s="1" t="s">
        <v>321</v>
      </c>
    </row>
    <row r="1150" spans="1:6">
      <c r="A1150">
        <v>1</v>
      </c>
      <c r="B1150" t="s">
        <v>137</v>
      </c>
      <c r="C1150" s="1">
        <v>2</v>
      </c>
      <c r="D1150" s="1" t="s">
        <v>165</v>
      </c>
      <c r="E1150" s="1">
        <v>22</v>
      </c>
      <c r="F1150" s="1" t="s">
        <v>165</v>
      </c>
    </row>
    <row r="1151" spans="1:6">
      <c r="A1151">
        <v>6</v>
      </c>
      <c r="B1151" t="s">
        <v>184</v>
      </c>
      <c r="E1151" s="1">
        <v>63</v>
      </c>
    </row>
    <row r="1152" spans="1:6">
      <c r="A1152">
        <v>11</v>
      </c>
      <c r="B1152" t="s">
        <v>186</v>
      </c>
      <c r="C1152" s="1">
        <v>1</v>
      </c>
      <c r="D1152" s="1" t="s">
        <v>194</v>
      </c>
      <c r="E1152" s="1">
        <v>22</v>
      </c>
      <c r="F1152" s="1" t="s">
        <v>194</v>
      </c>
    </row>
    <row r="1153" spans="1:6">
      <c r="A1153">
        <v>11</v>
      </c>
      <c r="B1153" t="s">
        <v>186</v>
      </c>
      <c r="C1153" s="1">
        <v>1</v>
      </c>
      <c r="D1153" s="1">
        <v>42</v>
      </c>
      <c r="E1153" s="1">
        <v>30</v>
      </c>
      <c r="F1153" s="1">
        <v>42</v>
      </c>
    </row>
    <row r="1154" spans="1:6">
      <c r="A1154">
        <v>11</v>
      </c>
      <c r="B1154" t="s">
        <v>186</v>
      </c>
      <c r="C1154" s="1">
        <v>1</v>
      </c>
      <c r="D1154" s="1">
        <v>43</v>
      </c>
      <c r="E1154" s="1">
        <v>40</v>
      </c>
      <c r="F1154" s="1">
        <v>43</v>
      </c>
    </row>
    <row r="1155" spans="1:6">
      <c r="A1155">
        <v>11</v>
      </c>
      <c r="B1155" t="s">
        <v>186</v>
      </c>
      <c r="C1155" s="1">
        <v>1</v>
      </c>
      <c r="D1155" s="1">
        <v>45</v>
      </c>
      <c r="E1155" s="1">
        <v>60</v>
      </c>
      <c r="F1155" s="1">
        <v>45</v>
      </c>
    </row>
    <row r="1156" spans="1:6">
      <c r="A1156">
        <v>12</v>
      </c>
      <c r="B1156" t="s">
        <v>107</v>
      </c>
      <c r="C1156" s="1">
        <v>1</v>
      </c>
      <c r="D1156" s="1">
        <v>41</v>
      </c>
      <c r="E1156" s="1">
        <v>20</v>
      </c>
      <c r="F1156" s="1">
        <v>41</v>
      </c>
    </row>
    <row r="1157" spans="1:6">
      <c r="A1157">
        <v>12</v>
      </c>
      <c r="B1157" t="s">
        <v>107</v>
      </c>
      <c r="C1157" s="1">
        <v>1</v>
      </c>
      <c r="D1157" s="1" t="s">
        <v>195</v>
      </c>
      <c r="E1157" s="1">
        <v>32</v>
      </c>
      <c r="F1157" s="1" t="s">
        <v>195</v>
      </c>
    </row>
    <row r="1158" spans="1:6">
      <c r="A1158">
        <v>12</v>
      </c>
      <c r="B1158" t="s">
        <v>107</v>
      </c>
      <c r="C1158" s="1">
        <v>1</v>
      </c>
      <c r="D1158" s="1">
        <v>43</v>
      </c>
      <c r="E1158" s="1">
        <v>40</v>
      </c>
      <c r="F1158" s="1">
        <v>43</v>
      </c>
    </row>
    <row r="1159" spans="1:6">
      <c r="A1159">
        <v>12</v>
      </c>
      <c r="B1159" t="s">
        <v>107</v>
      </c>
      <c r="C1159" s="1">
        <v>1</v>
      </c>
      <c r="D1159" s="1" t="s">
        <v>196</v>
      </c>
      <c r="E1159" s="1">
        <v>42</v>
      </c>
      <c r="F1159" s="1" t="s">
        <v>196</v>
      </c>
    </row>
    <row r="1160" spans="1:6">
      <c r="A1160">
        <v>12</v>
      </c>
      <c r="B1160" t="s">
        <v>107</v>
      </c>
      <c r="C1160" s="1">
        <v>1</v>
      </c>
      <c r="D1160" s="1">
        <v>44</v>
      </c>
      <c r="E1160" s="1">
        <v>50</v>
      </c>
      <c r="F1160" s="1">
        <v>44</v>
      </c>
    </row>
    <row r="1161" spans="1:6">
      <c r="A1161">
        <v>13</v>
      </c>
      <c r="B1161" t="s">
        <v>200</v>
      </c>
      <c r="C1161" s="1">
        <v>1</v>
      </c>
      <c r="D1161" s="1">
        <v>40</v>
      </c>
      <c r="E1161" s="1">
        <v>10</v>
      </c>
      <c r="F1161" s="1">
        <v>40</v>
      </c>
    </row>
    <row r="1162" spans="1:6">
      <c r="A1162">
        <v>1</v>
      </c>
      <c r="B1162" t="s">
        <v>137</v>
      </c>
      <c r="C1162" s="1">
        <v>1</v>
      </c>
      <c r="D1162" s="1">
        <v>14</v>
      </c>
      <c r="E1162" s="1">
        <v>70</v>
      </c>
      <c r="F1162" s="1">
        <v>14</v>
      </c>
    </row>
    <row r="1163" spans="1:6">
      <c r="A1163">
        <v>1</v>
      </c>
      <c r="B1163" t="s">
        <v>137</v>
      </c>
      <c r="C1163" s="1">
        <v>1</v>
      </c>
      <c r="D1163" s="1" t="s">
        <v>147</v>
      </c>
      <c r="E1163" s="1">
        <v>72</v>
      </c>
      <c r="F1163" s="1" t="s">
        <v>147</v>
      </c>
    </row>
    <row r="1164" spans="1:6">
      <c r="A1164">
        <v>1</v>
      </c>
      <c r="B1164" t="s">
        <v>137</v>
      </c>
      <c r="C1164" s="1">
        <v>1</v>
      </c>
      <c r="D1164" s="1">
        <v>15</v>
      </c>
      <c r="E1164" s="1">
        <v>80</v>
      </c>
      <c r="F1164" s="1">
        <v>15</v>
      </c>
    </row>
    <row r="1165" spans="1:6">
      <c r="A1165">
        <v>1</v>
      </c>
      <c r="B1165" t="s">
        <v>137</v>
      </c>
      <c r="C1165" s="1">
        <v>1</v>
      </c>
      <c r="D1165" s="1" t="s">
        <v>150</v>
      </c>
      <c r="E1165" s="1">
        <v>82</v>
      </c>
      <c r="F1165" s="1" t="s">
        <v>150</v>
      </c>
    </row>
    <row r="1166" spans="1:6">
      <c r="A1166">
        <v>1</v>
      </c>
      <c r="B1166" t="s">
        <v>137</v>
      </c>
      <c r="C1166" s="1">
        <v>1</v>
      </c>
      <c r="D1166" s="1">
        <v>16</v>
      </c>
      <c r="E1166" s="1">
        <v>90</v>
      </c>
      <c r="F1166" s="1">
        <v>16</v>
      </c>
    </row>
    <row r="1167" spans="1:6">
      <c r="A1167">
        <v>1</v>
      </c>
      <c r="B1167" t="s">
        <v>137</v>
      </c>
      <c r="C1167" s="1">
        <v>1</v>
      </c>
      <c r="D1167" s="1" t="s">
        <v>153</v>
      </c>
      <c r="E1167" s="1">
        <v>92</v>
      </c>
      <c r="F1167" s="1" t="s">
        <v>153</v>
      </c>
    </row>
    <row r="1168" spans="1:6">
      <c r="A1168">
        <v>1</v>
      </c>
      <c r="B1168" t="s">
        <v>137</v>
      </c>
      <c r="C1168" s="1">
        <v>1</v>
      </c>
      <c r="D1168" s="1">
        <v>17</v>
      </c>
      <c r="E1168" s="1">
        <v>94</v>
      </c>
      <c r="F1168" s="1">
        <v>17</v>
      </c>
    </row>
    <row r="1169" spans="1:6">
      <c r="A1169">
        <v>1</v>
      </c>
      <c r="B1169" t="s">
        <v>137</v>
      </c>
      <c r="C1169" s="1">
        <v>1</v>
      </c>
      <c r="D1169" s="1" t="s">
        <v>156</v>
      </c>
      <c r="E1169" s="1">
        <v>96</v>
      </c>
      <c r="F1169" s="1" t="s">
        <v>156</v>
      </c>
    </row>
    <row r="1170" spans="1:6">
      <c r="A1170">
        <v>1</v>
      </c>
      <c r="B1170" t="s">
        <v>137</v>
      </c>
      <c r="C1170" s="1">
        <v>2</v>
      </c>
      <c r="D1170" s="1" t="s">
        <v>159</v>
      </c>
      <c r="E1170" s="1">
        <v>2</v>
      </c>
      <c r="F1170" s="1" t="s">
        <v>159</v>
      </c>
    </row>
    <row r="1171" spans="1:6">
      <c r="A1171">
        <v>1</v>
      </c>
      <c r="B1171" t="s">
        <v>137</v>
      </c>
      <c r="C1171" s="1">
        <v>2</v>
      </c>
      <c r="D1171" s="1">
        <v>19</v>
      </c>
      <c r="E1171" s="1">
        <v>10</v>
      </c>
      <c r="F1171" s="1">
        <v>19</v>
      </c>
    </row>
    <row r="1172" spans="1:6">
      <c r="A1172">
        <v>1</v>
      </c>
      <c r="B1172" t="s">
        <v>137</v>
      </c>
      <c r="C1172" s="1">
        <v>2</v>
      </c>
      <c r="D1172" s="1" t="s">
        <v>162</v>
      </c>
      <c r="E1172" s="1">
        <v>12</v>
      </c>
      <c r="F1172" s="1" t="s">
        <v>162</v>
      </c>
    </row>
    <row r="1173" spans="1:6">
      <c r="A1173">
        <v>1</v>
      </c>
      <c r="B1173" t="s">
        <v>137</v>
      </c>
      <c r="C1173" s="1">
        <v>2</v>
      </c>
      <c r="D1173" s="1">
        <v>20</v>
      </c>
      <c r="E1173" s="1">
        <v>20</v>
      </c>
      <c r="F1173" s="1">
        <v>20</v>
      </c>
    </row>
    <row r="1174" spans="1:6">
      <c r="A1174">
        <v>1</v>
      </c>
      <c r="B1174" t="s">
        <v>137</v>
      </c>
      <c r="C1174" s="1">
        <v>2</v>
      </c>
      <c r="D1174" s="1" t="s">
        <v>165</v>
      </c>
      <c r="E1174" s="1">
        <v>22</v>
      </c>
      <c r="F1174" s="1" t="s">
        <v>165</v>
      </c>
    </row>
    <row r="1175" spans="1:6">
      <c r="A1175">
        <v>1</v>
      </c>
      <c r="B1175" t="s">
        <v>137</v>
      </c>
      <c r="C1175" s="1">
        <v>2</v>
      </c>
      <c r="D1175" s="1">
        <v>21</v>
      </c>
      <c r="E1175" s="1">
        <v>30</v>
      </c>
      <c r="F1175" s="1">
        <v>21</v>
      </c>
    </row>
    <row r="1176" spans="1:6">
      <c r="A1176">
        <v>1</v>
      </c>
      <c r="B1176" t="s">
        <v>137</v>
      </c>
      <c r="C1176" s="1">
        <v>2</v>
      </c>
      <c r="D1176" s="1" t="s">
        <v>168</v>
      </c>
      <c r="E1176" s="1">
        <v>32</v>
      </c>
      <c r="F1176" s="1" t="s">
        <v>168</v>
      </c>
    </row>
    <row r="1177" spans="1:6">
      <c r="A1177">
        <v>1</v>
      </c>
      <c r="B1177" t="s">
        <v>137</v>
      </c>
      <c r="C1177" s="1">
        <v>2</v>
      </c>
      <c r="D1177" s="1">
        <v>22</v>
      </c>
      <c r="E1177" s="1">
        <v>40</v>
      </c>
      <c r="F1177" s="1">
        <v>22</v>
      </c>
    </row>
    <row r="1178" spans="1:6">
      <c r="A1178">
        <v>1</v>
      </c>
      <c r="B1178" t="s">
        <v>137</v>
      </c>
      <c r="C1178" s="1">
        <v>2</v>
      </c>
      <c r="D1178" s="1" t="s">
        <v>171</v>
      </c>
      <c r="E1178" s="1">
        <v>42</v>
      </c>
      <c r="F1178" s="1" t="s">
        <v>171</v>
      </c>
    </row>
    <row r="1179" spans="1:6">
      <c r="A1179">
        <v>1</v>
      </c>
      <c r="B1179" t="s">
        <v>137</v>
      </c>
      <c r="C1179" s="1">
        <v>2</v>
      </c>
      <c r="D1179" s="1">
        <v>23</v>
      </c>
      <c r="E1179" s="1">
        <v>50</v>
      </c>
      <c r="F1179" s="1">
        <v>23</v>
      </c>
    </row>
    <row r="1180" spans="1:6">
      <c r="A1180">
        <v>1</v>
      </c>
      <c r="B1180" t="s">
        <v>137</v>
      </c>
      <c r="C1180" s="1">
        <v>2</v>
      </c>
      <c r="D1180" s="1" t="s">
        <v>174</v>
      </c>
      <c r="E1180" s="1">
        <v>52</v>
      </c>
      <c r="F1180" s="1" t="s">
        <v>174</v>
      </c>
    </row>
    <row r="1181" spans="1:6">
      <c r="A1181">
        <v>1</v>
      </c>
      <c r="B1181" t="s">
        <v>137</v>
      </c>
      <c r="C1181" s="1">
        <v>2</v>
      </c>
      <c r="D1181" s="1">
        <v>24</v>
      </c>
      <c r="E1181" s="1">
        <v>60</v>
      </c>
      <c r="F1181" s="1">
        <v>24</v>
      </c>
    </row>
    <row r="1182" spans="1:6">
      <c r="A1182">
        <v>1</v>
      </c>
      <c r="B1182" t="s">
        <v>137</v>
      </c>
      <c r="C1182" s="1">
        <v>2</v>
      </c>
      <c r="D1182" s="1" t="s">
        <v>177</v>
      </c>
      <c r="E1182" s="1">
        <v>62</v>
      </c>
      <c r="F1182" s="1" t="s">
        <v>177</v>
      </c>
    </row>
    <row r="1183" spans="1:6">
      <c r="A1183">
        <v>1</v>
      </c>
      <c r="B1183" t="s">
        <v>137</v>
      </c>
      <c r="C1183" s="1">
        <v>2</v>
      </c>
      <c r="D1183" s="1" t="s">
        <v>180</v>
      </c>
      <c r="E1183" s="1">
        <v>72</v>
      </c>
      <c r="F1183" s="1" t="s">
        <v>180</v>
      </c>
    </row>
    <row r="1184" spans="1:6">
      <c r="A1184">
        <v>1</v>
      </c>
      <c r="B1184" t="s">
        <v>137</v>
      </c>
      <c r="C1184" s="1">
        <v>2</v>
      </c>
      <c r="D1184" s="1">
        <v>18</v>
      </c>
      <c r="F1184" s="1">
        <v>18</v>
      </c>
    </row>
    <row r="1185" spans="1:6">
      <c r="A1185">
        <v>5</v>
      </c>
      <c r="B1185" t="s">
        <v>183</v>
      </c>
      <c r="E1185" s="1">
        <v>50</v>
      </c>
    </row>
    <row r="1186" spans="1:6">
      <c r="A1186">
        <v>5</v>
      </c>
      <c r="B1186" t="s">
        <v>183</v>
      </c>
      <c r="E1186" s="1">
        <v>60</v>
      </c>
    </row>
    <row r="1187" spans="1:6">
      <c r="A1187">
        <v>6</v>
      </c>
      <c r="B1187" t="s">
        <v>184</v>
      </c>
      <c r="E1187" s="1">
        <v>63</v>
      </c>
    </row>
    <row r="1188" spans="1:6">
      <c r="A1188">
        <v>11</v>
      </c>
      <c r="B1188" t="s">
        <v>186</v>
      </c>
      <c r="C1188" s="1">
        <v>1</v>
      </c>
      <c r="D1188" s="1" t="s">
        <v>192</v>
      </c>
      <c r="E1188" s="1">
        <v>2</v>
      </c>
      <c r="F1188" s="1" t="s">
        <v>192</v>
      </c>
    </row>
    <row r="1189" spans="1:6">
      <c r="A1189">
        <v>11</v>
      </c>
      <c r="B1189" t="s">
        <v>186</v>
      </c>
      <c r="C1189" s="1">
        <v>1</v>
      </c>
      <c r="D1189" s="1">
        <v>40</v>
      </c>
      <c r="E1189" s="1">
        <v>10</v>
      </c>
      <c r="F1189" s="1">
        <v>40</v>
      </c>
    </row>
    <row r="1190" spans="1:6">
      <c r="A1190">
        <v>11</v>
      </c>
      <c r="B1190" t="s">
        <v>186</v>
      </c>
      <c r="C1190" s="1">
        <v>1</v>
      </c>
      <c r="D1190" s="1" t="s">
        <v>193</v>
      </c>
      <c r="E1190" s="1">
        <v>12</v>
      </c>
      <c r="F1190" s="1" t="s">
        <v>193</v>
      </c>
    </row>
    <row r="1191" spans="1:6">
      <c r="A1191">
        <v>11</v>
      </c>
      <c r="B1191" t="s">
        <v>186</v>
      </c>
      <c r="C1191" s="1">
        <v>1</v>
      </c>
      <c r="D1191" s="1">
        <v>41</v>
      </c>
      <c r="E1191" s="1">
        <v>20</v>
      </c>
      <c r="F1191" s="1">
        <v>41</v>
      </c>
    </row>
    <row r="1192" spans="1:6">
      <c r="A1192">
        <v>11</v>
      </c>
      <c r="B1192" t="s">
        <v>186</v>
      </c>
      <c r="C1192" s="1">
        <v>1</v>
      </c>
      <c r="D1192" s="1" t="s">
        <v>194</v>
      </c>
      <c r="E1192" s="1">
        <v>22</v>
      </c>
      <c r="F1192" s="1" t="s">
        <v>194</v>
      </c>
    </row>
    <row r="1193" spans="1:6">
      <c r="A1193">
        <v>11</v>
      </c>
      <c r="B1193" t="s">
        <v>186</v>
      </c>
      <c r="C1193" s="1">
        <v>1</v>
      </c>
      <c r="D1193" s="1">
        <v>42</v>
      </c>
      <c r="E1193" s="1">
        <v>30</v>
      </c>
      <c r="F1193" s="1">
        <v>42</v>
      </c>
    </row>
    <row r="1194" spans="1:6">
      <c r="A1194">
        <v>11</v>
      </c>
      <c r="B1194" t="s">
        <v>186</v>
      </c>
      <c r="C1194" s="1">
        <v>1</v>
      </c>
      <c r="D1194" s="1" t="s">
        <v>195</v>
      </c>
      <c r="E1194" s="1">
        <v>32</v>
      </c>
      <c r="F1194" s="1" t="s">
        <v>195</v>
      </c>
    </row>
    <row r="1195" spans="1:6">
      <c r="A1195">
        <v>11</v>
      </c>
      <c r="B1195" t="s">
        <v>186</v>
      </c>
      <c r="C1195" s="1">
        <v>1</v>
      </c>
      <c r="D1195" s="1">
        <v>43</v>
      </c>
      <c r="E1195" s="1">
        <v>40</v>
      </c>
      <c r="F1195" s="1">
        <v>43</v>
      </c>
    </row>
    <row r="1196" spans="1:6">
      <c r="A1196">
        <v>11</v>
      </c>
      <c r="B1196" t="s">
        <v>186</v>
      </c>
      <c r="C1196" s="1">
        <v>1</v>
      </c>
      <c r="D1196" s="1" t="s">
        <v>196</v>
      </c>
      <c r="E1196" s="1">
        <v>42</v>
      </c>
      <c r="F1196" s="1" t="s">
        <v>196</v>
      </c>
    </row>
    <row r="1197" spans="1:6">
      <c r="A1197">
        <v>11</v>
      </c>
      <c r="B1197" t="s">
        <v>186</v>
      </c>
      <c r="C1197" s="1">
        <v>1</v>
      </c>
      <c r="D1197" s="1">
        <v>44</v>
      </c>
      <c r="E1197" s="1">
        <v>50</v>
      </c>
      <c r="F1197" s="1">
        <v>44</v>
      </c>
    </row>
    <row r="1198" spans="1:6">
      <c r="A1198">
        <v>11</v>
      </c>
      <c r="B1198" t="s">
        <v>186</v>
      </c>
      <c r="C1198" s="1">
        <v>1</v>
      </c>
      <c r="D1198" s="1" t="s">
        <v>197</v>
      </c>
      <c r="E1198" s="1">
        <v>52</v>
      </c>
      <c r="F1198" s="1" t="s">
        <v>197</v>
      </c>
    </row>
    <row r="1199" spans="1:6">
      <c r="A1199">
        <v>11</v>
      </c>
      <c r="B1199" t="s">
        <v>186</v>
      </c>
      <c r="C1199" s="1">
        <v>1</v>
      </c>
      <c r="D1199" s="1">
        <v>45</v>
      </c>
      <c r="E1199" s="1">
        <v>60</v>
      </c>
      <c r="F1199" s="1">
        <v>45</v>
      </c>
    </row>
    <row r="1200" spans="1:6">
      <c r="A1200">
        <v>11</v>
      </c>
      <c r="B1200" t="s">
        <v>186</v>
      </c>
      <c r="C1200" s="1">
        <v>1</v>
      </c>
      <c r="D1200" s="1" t="s">
        <v>198</v>
      </c>
      <c r="E1200" s="1">
        <v>62</v>
      </c>
      <c r="F1200" s="1" t="s">
        <v>198</v>
      </c>
    </row>
    <row r="1201" spans="1:6">
      <c r="A1201">
        <v>11</v>
      </c>
      <c r="B1201" t="s">
        <v>186</v>
      </c>
      <c r="C1201" s="1">
        <v>1</v>
      </c>
      <c r="D1201" s="1" t="s">
        <v>199</v>
      </c>
      <c r="E1201" s="1">
        <v>72</v>
      </c>
      <c r="F1201" s="1" t="s">
        <v>199</v>
      </c>
    </row>
    <row r="1202" spans="1:6">
      <c r="A1202">
        <v>11</v>
      </c>
      <c r="B1202" t="s">
        <v>186</v>
      </c>
      <c r="C1202" s="1">
        <v>1</v>
      </c>
      <c r="D1202" s="1">
        <v>39</v>
      </c>
      <c r="F1202" s="1">
        <v>39</v>
      </c>
    </row>
    <row r="1203" spans="1:6">
      <c r="A1203">
        <v>11</v>
      </c>
      <c r="B1203" t="s">
        <v>186</v>
      </c>
      <c r="E1203" s="1">
        <v>92</v>
      </c>
    </row>
    <row r="1204" spans="1:6">
      <c r="A1204">
        <v>11</v>
      </c>
      <c r="B1204" t="s">
        <v>186</v>
      </c>
      <c r="E1204" s="1">
        <v>96</v>
      </c>
    </row>
    <row r="1205" spans="1:6">
      <c r="A1205">
        <v>12</v>
      </c>
      <c r="B1205" t="s">
        <v>107</v>
      </c>
      <c r="C1205" s="1">
        <v>1</v>
      </c>
      <c r="D1205" s="1">
        <v>40</v>
      </c>
      <c r="E1205" s="1">
        <v>10</v>
      </c>
      <c r="F1205" s="1">
        <v>40</v>
      </c>
    </row>
    <row r="1206" spans="1:6">
      <c r="A1206">
        <v>12</v>
      </c>
      <c r="B1206" t="s">
        <v>107</v>
      </c>
      <c r="C1206" s="1">
        <v>1</v>
      </c>
      <c r="D1206" s="1" t="s">
        <v>193</v>
      </c>
      <c r="E1206" s="1">
        <v>12</v>
      </c>
      <c r="F1206" s="1" t="s">
        <v>193</v>
      </c>
    </row>
    <row r="1207" spans="1:6">
      <c r="A1207">
        <v>12</v>
      </c>
      <c r="B1207" t="s">
        <v>107</v>
      </c>
      <c r="C1207" s="1">
        <v>1</v>
      </c>
      <c r="D1207" s="1">
        <v>41</v>
      </c>
      <c r="E1207" s="1">
        <v>20</v>
      </c>
      <c r="F1207" s="1">
        <v>41</v>
      </c>
    </row>
    <row r="1208" spans="1:6">
      <c r="A1208">
        <v>12</v>
      </c>
      <c r="B1208" t="s">
        <v>107</v>
      </c>
      <c r="C1208" s="1">
        <v>1</v>
      </c>
      <c r="D1208" s="1" t="s">
        <v>194</v>
      </c>
      <c r="E1208" s="1">
        <v>22</v>
      </c>
      <c r="F1208" s="1" t="s">
        <v>194</v>
      </c>
    </row>
    <row r="1209" spans="1:6">
      <c r="A1209">
        <v>12</v>
      </c>
      <c r="B1209" t="s">
        <v>107</v>
      </c>
      <c r="C1209" s="1">
        <v>1</v>
      </c>
      <c r="D1209" s="1">
        <v>42</v>
      </c>
      <c r="E1209" s="1">
        <v>30</v>
      </c>
      <c r="F1209" s="1">
        <v>42</v>
      </c>
    </row>
    <row r="1210" spans="1:6">
      <c r="A1210">
        <v>12</v>
      </c>
      <c r="B1210" t="s">
        <v>107</v>
      </c>
      <c r="C1210" s="1">
        <v>1</v>
      </c>
      <c r="D1210" s="1" t="s">
        <v>195</v>
      </c>
      <c r="E1210" s="1">
        <v>32</v>
      </c>
      <c r="F1210" s="1" t="s">
        <v>195</v>
      </c>
    </row>
    <row r="1211" spans="1:6">
      <c r="A1211">
        <v>12</v>
      </c>
      <c r="B1211" t="s">
        <v>107</v>
      </c>
      <c r="C1211" s="1">
        <v>1</v>
      </c>
      <c r="D1211" s="1">
        <v>43</v>
      </c>
      <c r="E1211" s="1">
        <v>40</v>
      </c>
      <c r="F1211" s="1">
        <v>43</v>
      </c>
    </row>
    <row r="1212" spans="1:6">
      <c r="A1212">
        <v>12</v>
      </c>
      <c r="B1212" t="s">
        <v>107</v>
      </c>
      <c r="C1212" s="1">
        <v>1</v>
      </c>
      <c r="D1212" s="1" t="s">
        <v>196</v>
      </c>
      <c r="E1212" s="1">
        <v>42</v>
      </c>
      <c r="F1212" s="1" t="s">
        <v>196</v>
      </c>
    </row>
    <row r="1213" spans="1:6">
      <c r="A1213">
        <v>12</v>
      </c>
      <c r="B1213" t="s">
        <v>107</v>
      </c>
      <c r="C1213" s="1">
        <v>1</v>
      </c>
      <c r="D1213" s="1">
        <v>44</v>
      </c>
      <c r="E1213" s="1">
        <v>50</v>
      </c>
      <c r="F1213" s="1">
        <v>44</v>
      </c>
    </row>
    <row r="1214" spans="1:6">
      <c r="A1214">
        <v>12</v>
      </c>
      <c r="B1214" t="s">
        <v>107</v>
      </c>
      <c r="C1214" s="1">
        <v>1</v>
      </c>
      <c r="D1214" s="1" t="s">
        <v>197</v>
      </c>
      <c r="E1214" s="1">
        <v>52</v>
      </c>
      <c r="F1214" s="1" t="s">
        <v>197</v>
      </c>
    </row>
    <row r="1215" spans="1:6">
      <c r="A1215">
        <v>12</v>
      </c>
      <c r="B1215" t="s">
        <v>107</v>
      </c>
      <c r="C1215" s="1">
        <v>1</v>
      </c>
      <c r="D1215" s="1">
        <v>45</v>
      </c>
      <c r="E1215" s="1">
        <v>60</v>
      </c>
      <c r="F1215" s="1">
        <v>45</v>
      </c>
    </row>
    <row r="1216" spans="1:6">
      <c r="A1216">
        <v>12</v>
      </c>
      <c r="B1216" t="s">
        <v>107</v>
      </c>
      <c r="C1216" s="1">
        <v>1</v>
      </c>
      <c r="D1216" s="1" t="s">
        <v>198</v>
      </c>
      <c r="E1216" s="1">
        <v>62</v>
      </c>
      <c r="F1216" s="1" t="s">
        <v>198</v>
      </c>
    </row>
    <row r="1217" spans="1:6">
      <c r="A1217">
        <v>12</v>
      </c>
      <c r="B1217" t="s">
        <v>107</v>
      </c>
      <c r="C1217" s="1">
        <v>1</v>
      </c>
      <c r="D1217" s="1" t="s">
        <v>199</v>
      </c>
      <c r="E1217" s="1">
        <v>72</v>
      </c>
      <c r="F1217" s="1" t="s">
        <v>199</v>
      </c>
    </row>
    <row r="1218" spans="1:6">
      <c r="A1218">
        <v>13</v>
      </c>
      <c r="B1218" t="s">
        <v>200</v>
      </c>
      <c r="C1218" s="1">
        <v>1</v>
      </c>
      <c r="D1218" s="1" t="s">
        <v>192</v>
      </c>
      <c r="E1218" s="1">
        <v>2</v>
      </c>
      <c r="F1218" s="1" t="s">
        <v>192</v>
      </c>
    </row>
    <row r="1219" spans="1:6">
      <c r="A1219">
        <v>13</v>
      </c>
      <c r="B1219" t="s">
        <v>200</v>
      </c>
      <c r="C1219" s="1">
        <v>1</v>
      </c>
      <c r="D1219" s="1" t="s">
        <v>193</v>
      </c>
      <c r="E1219" s="1">
        <v>12</v>
      </c>
      <c r="F1219" s="1" t="s">
        <v>193</v>
      </c>
    </row>
    <row r="1220" spans="1:6">
      <c r="A1220">
        <v>13</v>
      </c>
      <c r="B1220" t="s">
        <v>200</v>
      </c>
      <c r="C1220" s="1">
        <v>1</v>
      </c>
      <c r="D1220" s="1">
        <v>41</v>
      </c>
      <c r="E1220" s="1">
        <v>20</v>
      </c>
      <c r="F1220" s="1">
        <v>41</v>
      </c>
    </row>
    <row r="1221" spans="1:6">
      <c r="A1221">
        <v>13</v>
      </c>
      <c r="B1221" t="s">
        <v>200</v>
      </c>
      <c r="C1221" s="1">
        <v>1</v>
      </c>
      <c r="D1221" s="1" t="s">
        <v>194</v>
      </c>
      <c r="E1221" s="1">
        <v>22</v>
      </c>
      <c r="F1221" s="1" t="s">
        <v>194</v>
      </c>
    </row>
    <row r="1222" spans="1:6">
      <c r="A1222">
        <v>13</v>
      </c>
      <c r="B1222" t="s">
        <v>200</v>
      </c>
      <c r="C1222" s="1">
        <v>1</v>
      </c>
      <c r="D1222" s="1">
        <v>42</v>
      </c>
      <c r="E1222" s="1">
        <v>30</v>
      </c>
      <c r="F1222" s="1">
        <v>42</v>
      </c>
    </row>
    <row r="1223" spans="1:6">
      <c r="A1223">
        <v>13</v>
      </c>
      <c r="B1223" t="s">
        <v>200</v>
      </c>
      <c r="C1223" s="1">
        <v>1</v>
      </c>
      <c r="D1223" s="1" t="s">
        <v>195</v>
      </c>
      <c r="E1223" s="1">
        <v>32</v>
      </c>
      <c r="F1223" s="1" t="s">
        <v>195</v>
      </c>
    </row>
    <row r="1224" spans="1:6">
      <c r="A1224">
        <v>13</v>
      </c>
      <c r="B1224" t="s">
        <v>200</v>
      </c>
      <c r="C1224" s="1">
        <v>1</v>
      </c>
      <c r="D1224" s="1" t="s">
        <v>197</v>
      </c>
      <c r="E1224" s="1">
        <v>52</v>
      </c>
      <c r="F1224" s="1" t="s">
        <v>197</v>
      </c>
    </row>
    <row r="1225" spans="1:6">
      <c r="A1225">
        <v>13</v>
      </c>
      <c r="B1225" t="s">
        <v>200</v>
      </c>
      <c r="C1225" s="1">
        <v>1</v>
      </c>
      <c r="D1225" s="1">
        <v>45</v>
      </c>
      <c r="E1225" s="1">
        <v>60</v>
      </c>
      <c r="F1225" s="1">
        <v>45</v>
      </c>
    </row>
    <row r="1226" spans="1:6">
      <c r="A1226">
        <v>13</v>
      </c>
      <c r="B1226" t="s">
        <v>200</v>
      </c>
      <c r="E1226" s="1">
        <v>96</v>
      </c>
    </row>
    <row r="1227" spans="1:6">
      <c r="A1227">
        <v>21</v>
      </c>
      <c r="B1227" t="s">
        <v>205</v>
      </c>
      <c r="C1227" s="1">
        <v>1</v>
      </c>
      <c r="D1227" s="1" t="s">
        <v>394</v>
      </c>
      <c r="E1227" s="1">
        <v>12</v>
      </c>
      <c r="F1227" s="1" t="s">
        <v>394</v>
      </c>
    </row>
    <row r="1228" spans="1:6">
      <c r="A1228">
        <v>21</v>
      </c>
      <c r="B1228" t="s">
        <v>205</v>
      </c>
      <c r="C1228" s="1">
        <v>1</v>
      </c>
      <c r="D1228" s="1" t="s">
        <v>395</v>
      </c>
      <c r="E1228" s="1">
        <v>22</v>
      </c>
      <c r="F1228" s="1" t="s">
        <v>395</v>
      </c>
    </row>
    <row r="1229" spans="1:6">
      <c r="A1229">
        <v>21</v>
      </c>
      <c r="B1229" t="s">
        <v>205</v>
      </c>
      <c r="C1229" s="1">
        <v>1</v>
      </c>
      <c r="D1229" s="1" t="s">
        <v>329</v>
      </c>
      <c r="E1229" s="1">
        <v>30</v>
      </c>
      <c r="F1229" s="1" t="s">
        <v>329</v>
      </c>
    </row>
    <row r="1230" spans="1:6">
      <c r="A1230">
        <v>21</v>
      </c>
      <c r="B1230" t="s">
        <v>205</v>
      </c>
      <c r="C1230" s="1">
        <v>1</v>
      </c>
      <c r="D1230" s="1" t="s">
        <v>323</v>
      </c>
      <c r="E1230" s="1">
        <v>32</v>
      </c>
      <c r="F1230" s="1" t="s">
        <v>323</v>
      </c>
    </row>
    <row r="1231" spans="1:6">
      <c r="A1231">
        <v>21</v>
      </c>
      <c r="B1231" t="s">
        <v>205</v>
      </c>
      <c r="C1231" s="1">
        <v>1</v>
      </c>
      <c r="D1231" s="1" t="s">
        <v>332</v>
      </c>
      <c r="E1231" s="1">
        <v>40</v>
      </c>
      <c r="F1231" s="1" t="s">
        <v>332</v>
      </c>
    </row>
    <row r="1232" spans="1:6">
      <c r="A1232">
        <v>21</v>
      </c>
      <c r="B1232" t="s">
        <v>205</v>
      </c>
      <c r="C1232" s="1">
        <v>1</v>
      </c>
      <c r="D1232" s="1" t="s">
        <v>330</v>
      </c>
      <c r="E1232" s="1">
        <v>42</v>
      </c>
      <c r="F1232" s="1" t="s">
        <v>330</v>
      </c>
    </row>
    <row r="1233" spans="1:6">
      <c r="A1233">
        <v>21</v>
      </c>
      <c r="B1233" t="s">
        <v>205</v>
      </c>
      <c r="C1233" s="1">
        <v>1</v>
      </c>
      <c r="D1233" s="1" t="s">
        <v>331</v>
      </c>
      <c r="E1233" s="1">
        <v>50</v>
      </c>
      <c r="F1233" s="1" t="s">
        <v>331</v>
      </c>
    </row>
    <row r="1234" spans="1:6">
      <c r="A1234">
        <v>21</v>
      </c>
      <c r="B1234" t="s">
        <v>205</v>
      </c>
      <c r="C1234" s="1">
        <v>1</v>
      </c>
      <c r="D1234" s="1" t="s">
        <v>287</v>
      </c>
      <c r="E1234" s="1">
        <v>52</v>
      </c>
      <c r="F1234" s="1" t="s">
        <v>287</v>
      </c>
    </row>
    <row r="1235" spans="1:6">
      <c r="A1235">
        <v>21</v>
      </c>
      <c r="B1235" t="s">
        <v>205</v>
      </c>
      <c r="C1235" s="1">
        <v>1</v>
      </c>
      <c r="D1235" s="1" t="s">
        <v>288</v>
      </c>
      <c r="E1235" s="1">
        <v>62</v>
      </c>
      <c r="F1235" s="1" t="s">
        <v>288</v>
      </c>
    </row>
    <row r="1236" spans="1:6">
      <c r="A1236">
        <v>24</v>
      </c>
      <c r="B1236" t="s">
        <v>208</v>
      </c>
      <c r="E1236" s="1">
        <v>80</v>
      </c>
    </row>
    <row r="1237" spans="1:6">
      <c r="A1237">
        <v>24</v>
      </c>
      <c r="B1237" t="s">
        <v>208</v>
      </c>
      <c r="E1237" s="1">
        <v>90</v>
      </c>
    </row>
    <row r="1238" spans="1:6">
      <c r="A1238">
        <v>27</v>
      </c>
      <c r="B1238" t="s">
        <v>210</v>
      </c>
      <c r="C1238" s="1">
        <v>1</v>
      </c>
      <c r="D1238" s="1" t="s">
        <v>196</v>
      </c>
      <c r="E1238" s="1">
        <v>42</v>
      </c>
      <c r="F1238" s="1" t="s">
        <v>196</v>
      </c>
    </row>
    <row r="1239" spans="1:6">
      <c r="A1239">
        <v>27</v>
      </c>
      <c r="B1239" t="s">
        <v>210</v>
      </c>
      <c r="C1239" s="1">
        <v>1</v>
      </c>
      <c r="D1239" s="1">
        <v>44</v>
      </c>
      <c r="E1239" s="1">
        <v>50</v>
      </c>
      <c r="F1239" s="1">
        <v>44</v>
      </c>
    </row>
    <row r="1240" spans="1:6">
      <c r="A1240">
        <v>27</v>
      </c>
      <c r="B1240" t="s">
        <v>210</v>
      </c>
      <c r="C1240" s="1">
        <v>1</v>
      </c>
      <c r="D1240" s="1" t="s">
        <v>199</v>
      </c>
      <c r="E1240" s="1">
        <v>72</v>
      </c>
      <c r="F1240" s="1" t="s">
        <v>199</v>
      </c>
    </row>
    <row r="1241" spans="1:6">
      <c r="A1241">
        <v>41</v>
      </c>
      <c r="B1241" t="s">
        <v>219</v>
      </c>
      <c r="C1241" s="1">
        <v>1</v>
      </c>
      <c r="D1241" s="1" t="s">
        <v>442</v>
      </c>
      <c r="E1241" s="1">
        <v>10</v>
      </c>
      <c r="F1241" s="1" t="s">
        <v>442</v>
      </c>
    </row>
    <row r="1242" spans="1:6">
      <c r="A1242">
        <v>41</v>
      </c>
      <c r="B1242" t="s">
        <v>219</v>
      </c>
      <c r="C1242" s="1">
        <v>1</v>
      </c>
      <c r="D1242" s="1" t="s">
        <v>511</v>
      </c>
      <c r="E1242" s="1">
        <v>20</v>
      </c>
      <c r="F1242" s="1" t="s">
        <v>511</v>
      </c>
    </row>
    <row r="1243" spans="1:6">
      <c r="A1243">
        <v>41</v>
      </c>
      <c r="B1243" t="s">
        <v>219</v>
      </c>
      <c r="C1243" s="1">
        <v>1</v>
      </c>
      <c r="D1243" s="1" t="s">
        <v>443</v>
      </c>
      <c r="F1243" s="1" t="s">
        <v>443</v>
      </c>
    </row>
    <row r="1244" spans="1:6">
      <c r="A1244">
        <v>41</v>
      </c>
      <c r="B1244" t="s">
        <v>219</v>
      </c>
      <c r="E1244" s="1">
        <v>20</v>
      </c>
    </row>
    <row r="1245" spans="1:6">
      <c r="A1245">
        <v>41</v>
      </c>
      <c r="B1245" t="s">
        <v>219</v>
      </c>
      <c r="E1245" s="1">
        <v>30</v>
      </c>
    </row>
    <row r="1246" spans="1:6">
      <c r="A1246">
        <v>41</v>
      </c>
      <c r="B1246" t="s">
        <v>219</v>
      </c>
      <c r="E1246" s="1">
        <v>90</v>
      </c>
    </row>
    <row r="1247" spans="1:6">
      <c r="A1247">
        <v>41</v>
      </c>
      <c r="B1247" t="s">
        <v>219</v>
      </c>
      <c r="E1247" s="1">
        <v>91</v>
      </c>
    </row>
    <row r="1248" spans="1:6">
      <c r="A1248">
        <v>42</v>
      </c>
      <c r="B1248" t="s">
        <v>220</v>
      </c>
      <c r="C1248" s="1">
        <v>2</v>
      </c>
      <c r="D1248" s="1" t="s">
        <v>512</v>
      </c>
      <c r="E1248" s="1">
        <v>80</v>
      </c>
      <c r="F1248" s="1" t="s">
        <v>512</v>
      </c>
    </row>
    <row r="1249" spans="1:6">
      <c r="A1249">
        <v>43</v>
      </c>
      <c r="B1249" t="s">
        <v>221</v>
      </c>
      <c r="E1249" s="1">
        <v>22</v>
      </c>
    </row>
    <row r="1250" spans="1:6">
      <c r="A1250">
        <v>43</v>
      </c>
      <c r="B1250" t="s">
        <v>221</v>
      </c>
      <c r="E1250" s="1">
        <v>40</v>
      </c>
    </row>
    <row r="1251" spans="1:6">
      <c r="A1251">
        <v>43</v>
      </c>
      <c r="B1251" t="s">
        <v>221</v>
      </c>
      <c r="E1251" s="1">
        <v>50</v>
      </c>
    </row>
    <row r="1252" spans="1:6">
      <c r="A1252">
        <v>43</v>
      </c>
      <c r="B1252" t="s">
        <v>221</v>
      </c>
      <c r="E1252" s="1">
        <v>60</v>
      </c>
    </row>
    <row r="1253" spans="1:6">
      <c r="A1253">
        <v>50</v>
      </c>
      <c r="B1253" t="s">
        <v>224</v>
      </c>
      <c r="E1253" s="1">
        <v>20</v>
      </c>
    </row>
    <row r="1254" spans="1:6">
      <c r="A1254">
        <v>57</v>
      </c>
      <c r="B1254" t="s">
        <v>183</v>
      </c>
      <c r="C1254" s="1">
        <v>3</v>
      </c>
      <c r="D1254" s="1" t="s">
        <v>338</v>
      </c>
      <c r="E1254" s="1">
        <v>60</v>
      </c>
      <c r="F1254" s="1" t="s">
        <v>338</v>
      </c>
    </row>
    <row r="1255" spans="1:6">
      <c r="A1255">
        <v>57</v>
      </c>
      <c r="B1255" t="s">
        <v>183</v>
      </c>
      <c r="E1255" s="1">
        <v>50</v>
      </c>
    </row>
    <row r="1256" spans="1:6">
      <c r="A1256">
        <v>57</v>
      </c>
      <c r="B1256" t="s">
        <v>183</v>
      </c>
      <c r="E1256" s="1">
        <v>60</v>
      </c>
    </row>
    <row r="1257" spans="1:6">
      <c r="A1257">
        <v>58</v>
      </c>
      <c r="B1257" t="s">
        <v>226</v>
      </c>
      <c r="C1257" s="1">
        <v>1</v>
      </c>
      <c r="D1257" s="1" t="s">
        <v>521</v>
      </c>
      <c r="E1257" s="1">
        <v>30</v>
      </c>
      <c r="F1257" s="1" t="s">
        <v>521</v>
      </c>
    </row>
    <row r="1258" spans="1:6">
      <c r="A1258">
        <v>58</v>
      </c>
      <c r="B1258" t="s">
        <v>226</v>
      </c>
      <c r="C1258" s="1">
        <v>2</v>
      </c>
      <c r="D1258" s="1" t="s">
        <v>518</v>
      </c>
      <c r="E1258" s="1">
        <v>40</v>
      </c>
      <c r="F1258" s="1" t="s">
        <v>518</v>
      </c>
    </row>
    <row r="1259" spans="1:6">
      <c r="A1259">
        <v>58</v>
      </c>
      <c r="B1259" t="s">
        <v>226</v>
      </c>
      <c r="C1259" s="1">
        <v>3</v>
      </c>
      <c r="D1259" s="1" t="s">
        <v>522</v>
      </c>
      <c r="E1259" s="1">
        <v>10</v>
      </c>
      <c r="F1259" s="1" t="s">
        <v>522</v>
      </c>
    </row>
    <row r="1260" spans="1:6">
      <c r="A1260">
        <v>58</v>
      </c>
      <c r="B1260" t="s">
        <v>226</v>
      </c>
      <c r="E1260" s="1">
        <v>30</v>
      </c>
    </row>
    <row r="1261" spans="1:6">
      <c r="A1261">
        <v>59</v>
      </c>
      <c r="B1261" t="s">
        <v>227</v>
      </c>
      <c r="C1261" s="1">
        <v>3</v>
      </c>
      <c r="D1261" s="1" t="s">
        <v>295</v>
      </c>
      <c r="E1261" s="1">
        <v>23</v>
      </c>
      <c r="F1261" s="1" t="s">
        <v>295</v>
      </c>
    </row>
    <row r="1262" spans="1:6">
      <c r="A1262">
        <v>59</v>
      </c>
      <c r="B1262" t="s">
        <v>227</v>
      </c>
      <c r="E1262" s="1">
        <v>23</v>
      </c>
    </row>
    <row r="1263" spans="1:6">
      <c r="A1263">
        <v>64</v>
      </c>
      <c r="B1263" t="s">
        <v>230</v>
      </c>
      <c r="E1263" s="1">
        <v>25</v>
      </c>
    </row>
    <row r="1264" spans="1:6">
      <c r="A1264">
        <v>64</v>
      </c>
      <c r="B1264" t="s">
        <v>230</v>
      </c>
      <c r="E1264" s="1">
        <v>30</v>
      </c>
    </row>
    <row r="1265" spans="1:6">
      <c r="A1265">
        <v>64</v>
      </c>
      <c r="B1265" t="s">
        <v>230</v>
      </c>
      <c r="E1265" s="1">
        <v>35</v>
      </c>
    </row>
    <row r="1266" spans="1:6">
      <c r="A1266">
        <v>68</v>
      </c>
      <c r="B1266" t="s">
        <v>233</v>
      </c>
      <c r="E1266" s="1">
        <v>35</v>
      </c>
    </row>
    <row r="1267" spans="1:6">
      <c r="A1267">
        <v>74</v>
      </c>
      <c r="B1267" t="s">
        <v>235</v>
      </c>
      <c r="C1267" s="1">
        <v>3</v>
      </c>
      <c r="D1267" s="1" t="s">
        <v>320</v>
      </c>
      <c r="E1267" s="1">
        <v>50</v>
      </c>
      <c r="F1267" s="1" t="s">
        <v>320</v>
      </c>
    </row>
    <row r="1268" spans="1:6">
      <c r="A1268">
        <v>74</v>
      </c>
      <c r="B1268" t="s">
        <v>235</v>
      </c>
      <c r="C1268" s="1">
        <v>3</v>
      </c>
      <c r="D1268" s="1" t="s">
        <v>321</v>
      </c>
      <c r="E1268" s="1">
        <v>60</v>
      </c>
      <c r="F1268" s="1" t="s">
        <v>321</v>
      </c>
    </row>
    <row r="1269" spans="1:6">
      <c r="A1269">
        <v>45</v>
      </c>
      <c r="B1269" t="s">
        <v>223</v>
      </c>
      <c r="C1269" s="1">
        <v>2</v>
      </c>
      <c r="D1269" s="1" t="s">
        <v>524</v>
      </c>
      <c r="E1269" s="1">
        <v>24</v>
      </c>
      <c r="F1269" s="1" t="s">
        <v>524</v>
      </c>
    </row>
    <row r="1270" spans="1:6">
      <c r="A1270">
        <v>1</v>
      </c>
      <c r="B1270" t="s">
        <v>137</v>
      </c>
      <c r="C1270" s="1">
        <v>1</v>
      </c>
      <c r="D1270" s="1" t="s">
        <v>147</v>
      </c>
      <c r="E1270" s="1">
        <v>72</v>
      </c>
      <c r="F1270" s="1" t="s">
        <v>147</v>
      </c>
    </row>
    <row r="1271" spans="1:6">
      <c r="A1271">
        <v>1</v>
      </c>
      <c r="B1271" t="s">
        <v>137</v>
      </c>
      <c r="C1271" s="1">
        <v>1</v>
      </c>
      <c r="D1271" s="1">
        <v>15</v>
      </c>
      <c r="E1271" s="1">
        <v>80</v>
      </c>
      <c r="F1271" s="1">
        <v>15</v>
      </c>
    </row>
    <row r="1272" spans="1:6">
      <c r="A1272">
        <v>1</v>
      </c>
      <c r="B1272" t="s">
        <v>137</v>
      </c>
      <c r="C1272" s="1">
        <v>1</v>
      </c>
      <c r="D1272" s="1" t="s">
        <v>150</v>
      </c>
      <c r="E1272" s="1">
        <v>82</v>
      </c>
      <c r="F1272" s="1" t="s">
        <v>150</v>
      </c>
    </row>
    <row r="1273" spans="1:6">
      <c r="A1273">
        <v>1</v>
      </c>
      <c r="B1273" t="s">
        <v>137</v>
      </c>
      <c r="C1273" s="1">
        <v>1</v>
      </c>
      <c r="D1273" s="1">
        <v>16</v>
      </c>
      <c r="E1273" s="1">
        <v>90</v>
      </c>
      <c r="F1273" s="1">
        <v>16</v>
      </c>
    </row>
    <row r="1274" spans="1:6">
      <c r="A1274">
        <v>1</v>
      </c>
      <c r="B1274" t="s">
        <v>137</v>
      </c>
      <c r="C1274" s="1">
        <v>1</v>
      </c>
      <c r="D1274" s="1" t="s">
        <v>153</v>
      </c>
      <c r="E1274" s="1">
        <v>92</v>
      </c>
      <c r="F1274" s="1" t="s">
        <v>153</v>
      </c>
    </row>
    <row r="1275" spans="1:6">
      <c r="A1275">
        <v>1</v>
      </c>
      <c r="B1275" t="s">
        <v>137</v>
      </c>
      <c r="C1275" s="1">
        <v>1</v>
      </c>
      <c r="D1275" s="1">
        <v>17</v>
      </c>
      <c r="E1275" s="1">
        <v>94</v>
      </c>
      <c r="F1275" s="1">
        <v>17</v>
      </c>
    </row>
    <row r="1276" spans="1:6">
      <c r="A1276">
        <v>1</v>
      </c>
      <c r="B1276" t="s">
        <v>137</v>
      </c>
      <c r="C1276" s="1">
        <v>1</v>
      </c>
      <c r="D1276" s="1" t="s">
        <v>156</v>
      </c>
      <c r="E1276" s="1">
        <v>96</v>
      </c>
      <c r="F1276" s="1" t="s">
        <v>156</v>
      </c>
    </row>
    <row r="1277" spans="1:6">
      <c r="A1277">
        <v>1</v>
      </c>
      <c r="B1277" t="s">
        <v>137</v>
      </c>
      <c r="C1277" s="1">
        <v>2</v>
      </c>
      <c r="D1277" s="1" t="s">
        <v>159</v>
      </c>
      <c r="E1277" s="1">
        <v>2</v>
      </c>
      <c r="F1277" s="1" t="s">
        <v>159</v>
      </c>
    </row>
    <row r="1278" spans="1:6">
      <c r="A1278">
        <v>1</v>
      </c>
      <c r="B1278" t="s">
        <v>137</v>
      </c>
      <c r="C1278" s="1">
        <v>2</v>
      </c>
      <c r="D1278" s="1">
        <v>19</v>
      </c>
      <c r="E1278" s="1">
        <v>10</v>
      </c>
      <c r="F1278" s="1">
        <v>19</v>
      </c>
    </row>
    <row r="1279" spans="1:6">
      <c r="A1279">
        <v>1</v>
      </c>
      <c r="B1279" t="s">
        <v>137</v>
      </c>
      <c r="C1279" s="1">
        <v>2</v>
      </c>
      <c r="D1279" s="1" t="s">
        <v>162</v>
      </c>
      <c r="E1279" s="1">
        <v>12</v>
      </c>
      <c r="F1279" s="1" t="s">
        <v>162</v>
      </c>
    </row>
    <row r="1280" spans="1:6">
      <c r="A1280">
        <v>1</v>
      </c>
      <c r="B1280" t="s">
        <v>137</v>
      </c>
      <c r="C1280" s="1">
        <v>2</v>
      </c>
      <c r="D1280" s="1">
        <v>20</v>
      </c>
      <c r="E1280" s="1">
        <v>20</v>
      </c>
      <c r="F1280" s="1">
        <v>20</v>
      </c>
    </row>
    <row r="1281" spans="1:6">
      <c r="A1281">
        <v>1</v>
      </c>
      <c r="B1281" t="s">
        <v>137</v>
      </c>
      <c r="C1281" s="1">
        <v>2</v>
      </c>
      <c r="D1281" s="1" t="s">
        <v>165</v>
      </c>
      <c r="E1281" s="1">
        <v>22</v>
      </c>
      <c r="F1281" s="1" t="s">
        <v>165</v>
      </c>
    </row>
    <row r="1282" spans="1:6">
      <c r="A1282">
        <v>1</v>
      </c>
      <c r="B1282" t="s">
        <v>137</v>
      </c>
      <c r="C1282" s="1">
        <v>2</v>
      </c>
      <c r="D1282" s="1">
        <v>21</v>
      </c>
      <c r="E1282" s="1">
        <v>30</v>
      </c>
      <c r="F1282" s="1">
        <v>21</v>
      </c>
    </row>
    <row r="1283" spans="1:6">
      <c r="A1283">
        <v>1</v>
      </c>
      <c r="B1283" t="s">
        <v>137</v>
      </c>
      <c r="C1283" s="1">
        <v>2</v>
      </c>
      <c r="D1283" s="1" t="s">
        <v>168</v>
      </c>
      <c r="E1283" s="1">
        <v>32</v>
      </c>
      <c r="F1283" s="1" t="s">
        <v>168</v>
      </c>
    </row>
    <row r="1284" spans="1:6">
      <c r="A1284">
        <v>1</v>
      </c>
      <c r="B1284" t="s">
        <v>137</v>
      </c>
      <c r="C1284" s="1">
        <v>2</v>
      </c>
      <c r="D1284" s="1">
        <v>22</v>
      </c>
      <c r="E1284" s="1">
        <v>40</v>
      </c>
      <c r="F1284" s="1">
        <v>22</v>
      </c>
    </row>
    <row r="1285" spans="1:6">
      <c r="A1285">
        <v>1</v>
      </c>
      <c r="B1285" t="s">
        <v>137</v>
      </c>
      <c r="C1285" s="1">
        <v>2</v>
      </c>
      <c r="D1285" s="1" t="s">
        <v>171</v>
      </c>
      <c r="E1285" s="1">
        <v>42</v>
      </c>
      <c r="F1285" s="1" t="s">
        <v>171</v>
      </c>
    </row>
    <row r="1286" spans="1:6">
      <c r="A1286">
        <v>1</v>
      </c>
      <c r="B1286" t="s">
        <v>137</v>
      </c>
      <c r="C1286" s="1">
        <v>2</v>
      </c>
      <c r="D1286" s="1">
        <v>23</v>
      </c>
      <c r="E1286" s="1">
        <v>50</v>
      </c>
      <c r="F1286" s="1">
        <v>23</v>
      </c>
    </row>
    <row r="1287" spans="1:6">
      <c r="A1287">
        <v>1</v>
      </c>
      <c r="B1287" t="s">
        <v>137</v>
      </c>
      <c r="C1287" s="1">
        <v>2</v>
      </c>
      <c r="D1287" s="1" t="s">
        <v>174</v>
      </c>
      <c r="E1287" s="1">
        <v>52</v>
      </c>
      <c r="F1287" s="1" t="s">
        <v>174</v>
      </c>
    </row>
    <row r="1288" spans="1:6">
      <c r="A1288">
        <v>1</v>
      </c>
      <c r="B1288" t="s">
        <v>137</v>
      </c>
      <c r="C1288" s="1">
        <v>2</v>
      </c>
      <c r="D1288" s="1">
        <v>24</v>
      </c>
      <c r="E1288" s="1">
        <v>60</v>
      </c>
      <c r="F1288" s="1">
        <v>24</v>
      </c>
    </row>
    <row r="1289" spans="1:6">
      <c r="A1289">
        <v>1</v>
      </c>
      <c r="B1289" t="s">
        <v>137</v>
      </c>
      <c r="C1289" s="1">
        <v>2</v>
      </c>
      <c r="D1289" s="1" t="s">
        <v>177</v>
      </c>
      <c r="E1289" s="1">
        <v>62</v>
      </c>
      <c r="F1289" s="1" t="s">
        <v>177</v>
      </c>
    </row>
    <row r="1290" spans="1:6">
      <c r="A1290">
        <v>1</v>
      </c>
      <c r="B1290" t="s">
        <v>137</v>
      </c>
      <c r="C1290" s="1">
        <v>2</v>
      </c>
      <c r="D1290" s="1" t="s">
        <v>180</v>
      </c>
      <c r="E1290" s="1">
        <v>72</v>
      </c>
      <c r="F1290" s="1" t="s">
        <v>180</v>
      </c>
    </row>
    <row r="1291" spans="1:6">
      <c r="A1291">
        <v>1</v>
      </c>
      <c r="B1291" t="s">
        <v>137</v>
      </c>
      <c r="C1291" s="1">
        <v>2</v>
      </c>
      <c r="D1291" s="1">
        <v>18</v>
      </c>
      <c r="F1291" s="1">
        <v>18</v>
      </c>
    </row>
    <row r="1292" spans="1:6">
      <c r="A1292">
        <v>5</v>
      </c>
      <c r="B1292" t="s">
        <v>183</v>
      </c>
      <c r="E1292" s="1">
        <v>50</v>
      </c>
    </row>
    <row r="1293" spans="1:6">
      <c r="A1293">
        <v>5</v>
      </c>
      <c r="B1293" t="s">
        <v>183</v>
      </c>
      <c r="E1293" s="1">
        <v>60</v>
      </c>
    </row>
    <row r="1294" spans="1:6">
      <c r="A1294">
        <v>11</v>
      </c>
      <c r="B1294" t="s">
        <v>186</v>
      </c>
      <c r="C1294" s="1">
        <v>1</v>
      </c>
      <c r="D1294" s="1" t="s">
        <v>192</v>
      </c>
      <c r="E1294" s="1">
        <v>2</v>
      </c>
      <c r="F1294" s="1" t="s">
        <v>192</v>
      </c>
    </row>
    <row r="1295" spans="1:6">
      <c r="A1295">
        <v>11</v>
      </c>
      <c r="B1295" t="s">
        <v>186</v>
      </c>
      <c r="C1295" s="1">
        <v>1</v>
      </c>
      <c r="D1295" s="1">
        <v>40</v>
      </c>
      <c r="E1295" s="1">
        <v>10</v>
      </c>
      <c r="F1295" s="1">
        <v>40</v>
      </c>
    </row>
    <row r="1296" spans="1:6">
      <c r="A1296">
        <v>11</v>
      </c>
      <c r="B1296" t="s">
        <v>186</v>
      </c>
      <c r="C1296" s="1">
        <v>1</v>
      </c>
      <c r="D1296" s="1" t="s">
        <v>193</v>
      </c>
      <c r="E1296" s="1">
        <v>12</v>
      </c>
      <c r="F1296" s="1" t="s">
        <v>193</v>
      </c>
    </row>
    <row r="1297" spans="1:6">
      <c r="A1297">
        <v>11</v>
      </c>
      <c r="B1297" t="s">
        <v>186</v>
      </c>
      <c r="C1297" s="1">
        <v>1</v>
      </c>
      <c r="D1297" s="1">
        <v>41</v>
      </c>
      <c r="E1297" s="1">
        <v>20</v>
      </c>
      <c r="F1297" s="1">
        <v>41</v>
      </c>
    </row>
    <row r="1298" spans="1:6">
      <c r="A1298">
        <v>11</v>
      </c>
      <c r="B1298" t="s">
        <v>186</v>
      </c>
      <c r="C1298" s="1">
        <v>1</v>
      </c>
      <c r="D1298" s="1" t="s">
        <v>194</v>
      </c>
      <c r="E1298" s="1">
        <v>22</v>
      </c>
      <c r="F1298" s="1" t="s">
        <v>194</v>
      </c>
    </row>
    <row r="1299" spans="1:6">
      <c r="A1299">
        <v>11</v>
      </c>
      <c r="B1299" t="s">
        <v>186</v>
      </c>
      <c r="C1299" s="1">
        <v>1</v>
      </c>
      <c r="D1299" s="1">
        <v>42</v>
      </c>
      <c r="E1299" s="1">
        <v>30</v>
      </c>
      <c r="F1299" s="1">
        <v>42</v>
      </c>
    </row>
    <row r="1300" spans="1:6">
      <c r="A1300">
        <v>11</v>
      </c>
      <c r="B1300" t="s">
        <v>186</v>
      </c>
      <c r="C1300" s="1">
        <v>1</v>
      </c>
      <c r="D1300" s="1" t="s">
        <v>195</v>
      </c>
      <c r="E1300" s="1">
        <v>32</v>
      </c>
      <c r="F1300" s="1" t="s">
        <v>195</v>
      </c>
    </row>
    <row r="1301" spans="1:6">
      <c r="A1301">
        <v>11</v>
      </c>
      <c r="B1301" t="s">
        <v>186</v>
      </c>
      <c r="C1301" s="1">
        <v>1</v>
      </c>
      <c r="D1301" s="1">
        <v>43</v>
      </c>
      <c r="E1301" s="1">
        <v>40</v>
      </c>
      <c r="F1301" s="1">
        <v>43</v>
      </c>
    </row>
    <row r="1302" spans="1:6">
      <c r="A1302">
        <v>11</v>
      </c>
      <c r="B1302" t="s">
        <v>186</v>
      </c>
      <c r="C1302" s="1">
        <v>1</v>
      </c>
      <c r="D1302" s="1" t="s">
        <v>196</v>
      </c>
      <c r="E1302" s="1">
        <v>42</v>
      </c>
      <c r="F1302" s="1" t="s">
        <v>196</v>
      </c>
    </row>
    <row r="1303" spans="1:6">
      <c r="A1303">
        <v>11</v>
      </c>
      <c r="B1303" t="s">
        <v>186</v>
      </c>
      <c r="C1303" s="1">
        <v>1</v>
      </c>
      <c r="D1303" s="1">
        <v>44</v>
      </c>
      <c r="E1303" s="1">
        <v>50</v>
      </c>
      <c r="F1303" s="1">
        <v>44</v>
      </c>
    </row>
    <row r="1304" spans="1:6">
      <c r="A1304">
        <v>11</v>
      </c>
      <c r="B1304" t="s">
        <v>186</v>
      </c>
      <c r="C1304" s="1">
        <v>1</v>
      </c>
      <c r="D1304" s="1" t="s">
        <v>197</v>
      </c>
      <c r="E1304" s="1">
        <v>52</v>
      </c>
      <c r="F1304" s="1" t="s">
        <v>197</v>
      </c>
    </row>
    <row r="1305" spans="1:6">
      <c r="A1305">
        <v>11</v>
      </c>
      <c r="B1305" t="s">
        <v>186</v>
      </c>
      <c r="C1305" s="1">
        <v>1</v>
      </c>
      <c r="D1305" s="1">
        <v>45</v>
      </c>
      <c r="E1305" s="1">
        <v>60</v>
      </c>
      <c r="F1305" s="1">
        <v>45</v>
      </c>
    </row>
    <row r="1306" spans="1:6">
      <c r="A1306">
        <v>11</v>
      </c>
      <c r="B1306" t="s">
        <v>186</v>
      </c>
      <c r="C1306" s="1">
        <v>1</v>
      </c>
      <c r="D1306" s="1" t="s">
        <v>198</v>
      </c>
      <c r="E1306" s="1">
        <v>62</v>
      </c>
      <c r="F1306" s="1" t="s">
        <v>198</v>
      </c>
    </row>
    <row r="1307" spans="1:6">
      <c r="A1307">
        <v>11</v>
      </c>
      <c r="B1307" t="s">
        <v>186</v>
      </c>
      <c r="C1307" s="1">
        <v>1</v>
      </c>
      <c r="D1307" s="1" t="s">
        <v>199</v>
      </c>
      <c r="E1307" s="1">
        <v>72</v>
      </c>
      <c r="F1307" s="1" t="s">
        <v>199</v>
      </c>
    </row>
    <row r="1308" spans="1:6">
      <c r="A1308">
        <v>11</v>
      </c>
      <c r="B1308" t="s">
        <v>186</v>
      </c>
      <c r="C1308" s="1">
        <v>1</v>
      </c>
      <c r="D1308" s="1">
        <v>39</v>
      </c>
      <c r="F1308" s="1">
        <v>39</v>
      </c>
    </row>
    <row r="1309" spans="1:6">
      <c r="A1309">
        <v>11</v>
      </c>
      <c r="B1309" t="s">
        <v>186</v>
      </c>
      <c r="E1309" s="1">
        <v>96</v>
      </c>
    </row>
    <row r="1310" spans="1:6">
      <c r="A1310">
        <v>12</v>
      </c>
      <c r="B1310" t="s">
        <v>107</v>
      </c>
      <c r="C1310" s="1">
        <v>1</v>
      </c>
      <c r="D1310" s="1">
        <v>42</v>
      </c>
      <c r="E1310" s="1">
        <v>30</v>
      </c>
      <c r="F1310" s="1">
        <v>42</v>
      </c>
    </row>
    <row r="1311" spans="1:6">
      <c r="A1311">
        <v>12</v>
      </c>
      <c r="B1311" t="s">
        <v>107</v>
      </c>
      <c r="C1311" s="1">
        <v>1</v>
      </c>
      <c r="D1311" s="1" t="s">
        <v>195</v>
      </c>
      <c r="E1311" s="1">
        <v>32</v>
      </c>
      <c r="F1311" s="1" t="s">
        <v>195</v>
      </c>
    </row>
    <row r="1312" spans="1:6">
      <c r="A1312">
        <v>12</v>
      </c>
      <c r="B1312" t="s">
        <v>107</v>
      </c>
      <c r="C1312" s="1">
        <v>1</v>
      </c>
      <c r="D1312" s="1">
        <v>43</v>
      </c>
      <c r="E1312" s="1">
        <v>40</v>
      </c>
      <c r="F1312" s="1">
        <v>43</v>
      </c>
    </row>
    <row r="1313" spans="1:6">
      <c r="A1313">
        <v>12</v>
      </c>
      <c r="B1313" t="s">
        <v>107</v>
      </c>
      <c r="C1313" s="1">
        <v>1</v>
      </c>
      <c r="D1313" s="1" t="s">
        <v>196</v>
      </c>
      <c r="E1313" s="1">
        <v>42</v>
      </c>
      <c r="F1313" s="1" t="s">
        <v>196</v>
      </c>
    </row>
    <row r="1314" spans="1:6">
      <c r="A1314">
        <v>12</v>
      </c>
      <c r="B1314" t="s">
        <v>107</v>
      </c>
      <c r="C1314" s="1">
        <v>1</v>
      </c>
      <c r="D1314" s="1">
        <v>44</v>
      </c>
      <c r="E1314" s="1">
        <v>50</v>
      </c>
      <c r="F1314" s="1">
        <v>44</v>
      </c>
    </row>
    <row r="1315" spans="1:6">
      <c r="A1315">
        <v>12</v>
      </c>
      <c r="B1315" t="s">
        <v>107</v>
      </c>
      <c r="C1315" s="1">
        <v>1</v>
      </c>
      <c r="D1315" s="1" t="s">
        <v>197</v>
      </c>
      <c r="E1315" s="1">
        <v>52</v>
      </c>
      <c r="F1315" s="1" t="s">
        <v>197</v>
      </c>
    </row>
    <row r="1316" spans="1:6">
      <c r="A1316">
        <v>12</v>
      </c>
      <c r="B1316" t="s">
        <v>107</v>
      </c>
      <c r="C1316" s="1">
        <v>1</v>
      </c>
      <c r="D1316" s="1" t="s">
        <v>198</v>
      </c>
      <c r="E1316" s="1">
        <v>62</v>
      </c>
      <c r="F1316" s="1" t="s">
        <v>198</v>
      </c>
    </row>
    <row r="1317" spans="1:6">
      <c r="A1317">
        <v>13</v>
      </c>
      <c r="B1317" t="s">
        <v>200</v>
      </c>
      <c r="C1317" s="1">
        <v>1</v>
      </c>
      <c r="D1317" s="1" t="s">
        <v>194</v>
      </c>
      <c r="E1317" s="1">
        <v>22</v>
      </c>
      <c r="F1317" s="1" t="s">
        <v>194</v>
      </c>
    </row>
    <row r="1318" spans="1:6">
      <c r="A1318">
        <v>13</v>
      </c>
      <c r="B1318" t="s">
        <v>200</v>
      </c>
      <c r="C1318" s="1">
        <v>1</v>
      </c>
      <c r="D1318" s="1">
        <v>42</v>
      </c>
      <c r="E1318" s="1">
        <v>30</v>
      </c>
      <c r="F1318" s="1">
        <v>42</v>
      </c>
    </row>
    <row r="1319" spans="1:6">
      <c r="A1319">
        <v>13</v>
      </c>
      <c r="B1319" t="s">
        <v>200</v>
      </c>
      <c r="C1319" s="1">
        <v>1</v>
      </c>
      <c r="D1319" s="1" t="s">
        <v>195</v>
      </c>
      <c r="E1319" s="1">
        <v>32</v>
      </c>
      <c r="F1319" s="1" t="s">
        <v>195</v>
      </c>
    </row>
    <row r="1320" spans="1:6">
      <c r="A1320">
        <v>13</v>
      </c>
      <c r="B1320" t="s">
        <v>200</v>
      </c>
      <c r="C1320" s="1">
        <v>1</v>
      </c>
      <c r="D1320" s="1" t="s">
        <v>196</v>
      </c>
      <c r="E1320" s="1">
        <v>42</v>
      </c>
      <c r="F1320" s="1" t="s">
        <v>196</v>
      </c>
    </row>
    <row r="1321" spans="1:6">
      <c r="A1321">
        <v>13</v>
      </c>
      <c r="B1321" t="s">
        <v>200</v>
      </c>
      <c r="C1321" s="1">
        <v>1</v>
      </c>
      <c r="D1321" s="1">
        <v>44</v>
      </c>
      <c r="E1321" s="1">
        <v>50</v>
      </c>
      <c r="F1321" s="1">
        <v>44</v>
      </c>
    </row>
    <row r="1322" spans="1:6">
      <c r="A1322">
        <v>13</v>
      </c>
      <c r="B1322" t="s">
        <v>200</v>
      </c>
      <c r="C1322" s="1">
        <v>1</v>
      </c>
      <c r="D1322" s="1" t="s">
        <v>197</v>
      </c>
      <c r="E1322" s="1">
        <v>52</v>
      </c>
      <c r="F1322" s="1" t="s">
        <v>197</v>
      </c>
    </row>
    <row r="1323" spans="1:6">
      <c r="A1323">
        <v>15</v>
      </c>
      <c r="B1323" t="s">
        <v>201</v>
      </c>
      <c r="C1323" s="1">
        <v>1</v>
      </c>
      <c r="D1323" s="1" t="s">
        <v>489</v>
      </c>
      <c r="E1323" s="1">
        <v>70</v>
      </c>
      <c r="F1323" s="1" t="s">
        <v>489</v>
      </c>
    </row>
    <row r="1324" spans="1:6">
      <c r="A1324">
        <v>15</v>
      </c>
      <c r="B1324" t="s">
        <v>201</v>
      </c>
      <c r="C1324" s="1">
        <v>4</v>
      </c>
      <c r="D1324" s="1" t="s">
        <v>286</v>
      </c>
      <c r="E1324" s="1">
        <v>70</v>
      </c>
      <c r="F1324" s="1" t="s">
        <v>286</v>
      </c>
    </row>
    <row r="1325" spans="1:6">
      <c r="A1325">
        <v>21</v>
      </c>
      <c r="B1325" t="s">
        <v>205</v>
      </c>
      <c r="C1325" s="1">
        <v>1</v>
      </c>
      <c r="D1325" s="1" t="s">
        <v>347</v>
      </c>
      <c r="E1325" s="1">
        <v>10</v>
      </c>
      <c r="F1325" s="1" t="s">
        <v>347</v>
      </c>
    </row>
    <row r="1326" spans="1:6">
      <c r="A1326">
        <v>21</v>
      </c>
      <c r="B1326" t="s">
        <v>205</v>
      </c>
      <c r="C1326" s="1">
        <v>1</v>
      </c>
      <c r="D1326" s="1" t="s">
        <v>328</v>
      </c>
      <c r="E1326" s="1">
        <v>20</v>
      </c>
      <c r="F1326" s="1" t="s">
        <v>328</v>
      </c>
    </row>
    <row r="1327" spans="1:6">
      <c r="A1327">
        <v>21</v>
      </c>
      <c r="B1327" t="s">
        <v>205</v>
      </c>
      <c r="C1327" s="1">
        <v>1</v>
      </c>
      <c r="D1327" s="1" t="s">
        <v>395</v>
      </c>
      <c r="E1327" s="1">
        <v>22</v>
      </c>
      <c r="F1327" s="1" t="s">
        <v>395</v>
      </c>
    </row>
    <row r="1328" spans="1:6">
      <c r="A1328">
        <v>21</v>
      </c>
      <c r="B1328" t="s">
        <v>205</v>
      </c>
      <c r="C1328" s="1">
        <v>1</v>
      </c>
      <c r="D1328" s="1" t="s">
        <v>329</v>
      </c>
      <c r="E1328" s="1">
        <v>30</v>
      </c>
      <c r="F1328" s="1" t="s">
        <v>329</v>
      </c>
    </row>
    <row r="1329" spans="1:6">
      <c r="A1329">
        <v>21</v>
      </c>
      <c r="B1329" t="s">
        <v>205</v>
      </c>
      <c r="C1329" s="1">
        <v>1</v>
      </c>
      <c r="D1329" s="1" t="s">
        <v>323</v>
      </c>
      <c r="E1329" s="1">
        <v>32</v>
      </c>
      <c r="F1329" s="1" t="s">
        <v>323</v>
      </c>
    </row>
    <row r="1330" spans="1:6">
      <c r="A1330">
        <v>21</v>
      </c>
      <c r="B1330" t="s">
        <v>205</v>
      </c>
      <c r="C1330" s="1">
        <v>1</v>
      </c>
      <c r="D1330" s="1" t="s">
        <v>332</v>
      </c>
      <c r="E1330" s="1">
        <v>40</v>
      </c>
      <c r="F1330" s="1" t="s">
        <v>332</v>
      </c>
    </row>
    <row r="1331" spans="1:6">
      <c r="A1331">
        <v>21</v>
      </c>
      <c r="B1331" t="s">
        <v>205</v>
      </c>
      <c r="C1331" s="1">
        <v>1</v>
      </c>
      <c r="D1331" s="1" t="s">
        <v>330</v>
      </c>
      <c r="E1331" s="1">
        <v>42</v>
      </c>
      <c r="F1331" s="1" t="s">
        <v>330</v>
      </c>
    </row>
    <row r="1332" spans="1:6">
      <c r="A1332">
        <v>21</v>
      </c>
      <c r="B1332" t="s">
        <v>205</v>
      </c>
      <c r="C1332" s="1">
        <v>1</v>
      </c>
      <c r="D1332" s="1" t="s">
        <v>331</v>
      </c>
      <c r="E1332" s="1">
        <v>50</v>
      </c>
      <c r="F1332" s="1" t="s">
        <v>331</v>
      </c>
    </row>
    <row r="1333" spans="1:6">
      <c r="A1333">
        <v>21</v>
      </c>
      <c r="B1333" t="s">
        <v>205</v>
      </c>
      <c r="C1333" s="1">
        <v>1</v>
      </c>
      <c r="D1333" s="1" t="s">
        <v>287</v>
      </c>
      <c r="E1333" s="1">
        <v>52</v>
      </c>
      <c r="F1333" s="1" t="s">
        <v>287</v>
      </c>
    </row>
    <row r="1334" spans="1:6">
      <c r="A1334">
        <v>21</v>
      </c>
      <c r="B1334" t="s">
        <v>205</v>
      </c>
      <c r="C1334" s="1">
        <v>1</v>
      </c>
      <c r="D1334" s="1" t="s">
        <v>288</v>
      </c>
      <c r="E1334" s="1">
        <v>62</v>
      </c>
      <c r="F1334" s="1" t="s">
        <v>288</v>
      </c>
    </row>
    <row r="1335" spans="1:6">
      <c r="A1335">
        <v>21</v>
      </c>
      <c r="B1335" t="s">
        <v>205</v>
      </c>
      <c r="C1335" s="1">
        <v>1</v>
      </c>
      <c r="D1335" s="1" t="s">
        <v>284</v>
      </c>
      <c r="F1335" s="1" t="s">
        <v>284</v>
      </c>
    </row>
    <row r="1336" spans="1:6">
      <c r="A1336">
        <v>21</v>
      </c>
      <c r="B1336" t="s">
        <v>205</v>
      </c>
      <c r="E1336" s="1">
        <v>90</v>
      </c>
    </row>
    <row r="1337" spans="1:6">
      <c r="A1337">
        <v>22</v>
      </c>
      <c r="B1337" t="s">
        <v>206</v>
      </c>
      <c r="C1337" s="1">
        <v>1</v>
      </c>
      <c r="D1337" s="1" t="s">
        <v>347</v>
      </c>
      <c r="E1337" s="1">
        <v>10</v>
      </c>
      <c r="F1337" s="1" t="s">
        <v>347</v>
      </c>
    </row>
    <row r="1338" spans="1:6">
      <c r="A1338">
        <v>22</v>
      </c>
      <c r="B1338" t="s">
        <v>206</v>
      </c>
      <c r="C1338" s="1">
        <v>1</v>
      </c>
      <c r="D1338" s="1" t="s">
        <v>328</v>
      </c>
      <c r="E1338" s="1">
        <v>20</v>
      </c>
      <c r="F1338" s="1" t="s">
        <v>328</v>
      </c>
    </row>
    <row r="1339" spans="1:6">
      <c r="A1339">
        <v>22</v>
      </c>
      <c r="B1339" t="s">
        <v>206</v>
      </c>
      <c r="C1339" s="1">
        <v>1</v>
      </c>
      <c r="D1339" s="1" t="s">
        <v>329</v>
      </c>
      <c r="E1339" s="1">
        <v>30</v>
      </c>
      <c r="F1339" s="1" t="s">
        <v>329</v>
      </c>
    </row>
    <row r="1340" spans="1:6">
      <c r="A1340">
        <v>22</v>
      </c>
      <c r="B1340" t="s">
        <v>206</v>
      </c>
      <c r="C1340" s="1">
        <v>1</v>
      </c>
      <c r="D1340" s="1" t="s">
        <v>323</v>
      </c>
      <c r="E1340" s="1">
        <v>32</v>
      </c>
      <c r="F1340" s="1" t="s">
        <v>323</v>
      </c>
    </row>
    <row r="1341" spans="1:6">
      <c r="A1341">
        <v>22</v>
      </c>
      <c r="B1341" t="s">
        <v>206</v>
      </c>
      <c r="C1341" s="1">
        <v>1</v>
      </c>
      <c r="D1341" s="1" t="s">
        <v>332</v>
      </c>
      <c r="E1341" s="1">
        <v>40</v>
      </c>
      <c r="F1341" s="1" t="s">
        <v>332</v>
      </c>
    </row>
    <row r="1342" spans="1:6">
      <c r="A1342">
        <v>22</v>
      </c>
      <c r="B1342" t="s">
        <v>206</v>
      </c>
      <c r="C1342" s="1">
        <v>1</v>
      </c>
      <c r="D1342" s="1" t="s">
        <v>330</v>
      </c>
      <c r="E1342" s="1">
        <v>42</v>
      </c>
      <c r="F1342" s="1" t="s">
        <v>330</v>
      </c>
    </row>
    <row r="1343" spans="1:6">
      <c r="A1343">
        <v>22</v>
      </c>
      <c r="B1343" t="s">
        <v>206</v>
      </c>
      <c r="C1343" s="1">
        <v>1</v>
      </c>
      <c r="D1343" s="1" t="s">
        <v>331</v>
      </c>
      <c r="E1343" s="1">
        <v>50</v>
      </c>
      <c r="F1343" s="1" t="s">
        <v>331</v>
      </c>
    </row>
    <row r="1344" spans="1:6">
      <c r="A1344">
        <v>22</v>
      </c>
      <c r="B1344" t="s">
        <v>206</v>
      </c>
      <c r="C1344" s="1">
        <v>1</v>
      </c>
      <c r="D1344" s="1" t="s">
        <v>287</v>
      </c>
      <c r="E1344" s="1">
        <v>52</v>
      </c>
      <c r="F1344" s="1" t="s">
        <v>287</v>
      </c>
    </row>
    <row r="1345" spans="1:6">
      <c r="A1345">
        <v>22</v>
      </c>
      <c r="B1345" t="s">
        <v>206</v>
      </c>
      <c r="C1345" s="1">
        <v>1</v>
      </c>
      <c r="D1345" s="1" t="s">
        <v>288</v>
      </c>
      <c r="E1345" s="1">
        <v>62</v>
      </c>
      <c r="F1345" s="1" t="s">
        <v>288</v>
      </c>
    </row>
    <row r="1346" spans="1:6">
      <c r="A1346">
        <v>22</v>
      </c>
      <c r="B1346" t="s">
        <v>206</v>
      </c>
      <c r="C1346" s="1">
        <v>1</v>
      </c>
      <c r="D1346" s="1" t="s">
        <v>284</v>
      </c>
      <c r="F1346" s="1" t="s">
        <v>284</v>
      </c>
    </row>
    <row r="1347" spans="1:6">
      <c r="A1347">
        <v>25</v>
      </c>
      <c r="B1347" t="s">
        <v>209</v>
      </c>
      <c r="C1347" s="1">
        <v>1</v>
      </c>
      <c r="D1347" s="1" t="s">
        <v>287</v>
      </c>
      <c r="E1347" s="1">
        <v>52</v>
      </c>
      <c r="F1347" s="1" t="s">
        <v>287</v>
      </c>
    </row>
    <row r="1348" spans="1:6">
      <c r="A1348">
        <v>25</v>
      </c>
      <c r="B1348" t="s">
        <v>209</v>
      </c>
      <c r="C1348" s="1">
        <v>1</v>
      </c>
      <c r="D1348" s="1" t="s">
        <v>288</v>
      </c>
      <c r="E1348" s="1">
        <v>62</v>
      </c>
      <c r="F1348" s="1" t="s">
        <v>288</v>
      </c>
    </row>
    <row r="1349" spans="1:6">
      <c r="A1349">
        <v>42</v>
      </c>
      <c r="B1349" t="s">
        <v>220</v>
      </c>
      <c r="C1349" s="1">
        <v>1</v>
      </c>
      <c r="D1349" s="1" t="s">
        <v>526</v>
      </c>
      <c r="E1349" s="1">
        <v>60</v>
      </c>
      <c r="F1349" s="1" t="s">
        <v>526</v>
      </c>
    </row>
    <row r="1350" spans="1:6">
      <c r="A1350">
        <v>42</v>
      </c>
      <c r="B1350" t="s">
        <v>220</v>
      </c>
      <c r="C1350" s="1">
        <v>2</v>
      </c>
      <c r="D1350" s="1" t="s">
        <v>512</v>
      </c>
      <c r="E1350" s="1">
        <v>80</v>
      </c>
      <c r="F1350" s="1" t="s">
        <v>512</v>
      </c>
    </row>
    <row r="1351" spans="1:6">
      <c r="A1351">
        <v>57</v>
      </c>
      <c r="B1351" t="s">
        <v>183</v>
      </c>
      <c r="C1351" s="1">
        <v>3</v>
      </c>
      <c r="D1351" s="1" t="s">
        <v>492</v>
      </c>
      <c r="E1351" s="1">
        <v>50</v>
      </c>
      <c r="F1351" s="1" t="s">
        <v>492</v>
      </c>
    </row>
    <row r="1352" spans="1:6">
      <c r="A1352">
        <v>57</v>
      </c>
      <c r="B1352" t="s">
        <v>183</v>
      </c>
      <c r="C1352" s="1">
        <v>3</v>
      </c>
      <c r="D1352" s="1" t="s">
        <v>338</v>
      </c>
      <c r="E1352" s="1">
        <v>60</v>
      </c>
      <c r="F1352" s="1" t="s">
        <v>338</v>
      </c>
    </row>
    <row r="1353" spans="1:6">
      <c r="A1353">
        <v>57</v>
      </c>
      <c r="B1353" t="s">
        <v>183</v>
      </c>
      <c r="E1353" s="1">
        <v>50</v>
      </c>
    </row>
    <row r="1354" spans="1:6">
      <c r="A1354">
        <v>57</v>
      </c>
      <c r="B1354" t="s">
        <v>183</v>
      </c>
      <c r="E1354" s="1">
        <v>60</v>
      </c>
    </row>
    <row r="1355" spans="1:6">
      <c r="A1355">
        <v>74</v>
      </c>
      <c r="B1355" t="s">
        <v>235</v>
      </c>
      <c r="C1355" s="1">
        <v>3</v>
      </c>
      <c r="D1355" s="1" t="s">
        <v>320</v>
      </c>
      <c r="E1355" s="1">
        <v>50</v>
      </c>
      <c r="F1355" s="1" t="s">
        <v>320</v>
      </c>
    </row>
    <row r="1356" spans="1:6">
      <c r="A1356">
        <v>74</v>
      </c>
      <c r="B1356" t="s">
        <v>235</v>
      </c>
      <c r="C1356" s="1">
        <v>3</v>
      </c>
      <c r="D1356" s="1" t="s">
        <v>321</v>
      </c>
      <c r="E1356" s="1">
        <v>60</v>
      </c>
      <c r="F1356" s="1" t="s">
        <v>321</v>
      </c>
    </row>
    <row r="1357" spans="1:6">
      <c r="A1357">
        <v>82</v>
      </c>
      <c r="B1357" t="s">
        <v>239</v>
      </c>
      <c r="E1357" s="1">
        <v>10</v>
      </c>
    </row>
    <row r="1358" spans="1:6">
      <c r="A1358">
        <v>82</v>
      </c>
      <c r="B1358" t="s">
        <v>239</v>
      </c>
      <c r="E1358" s="1">
        <v>18</v>
      </c>
    </row>
    <row r="1359" spans="1:6">
      <c r="A1359">
        <v>82</v>
      </c>
      <c r="B1359" t="s">
        <v>239</v>
      </c>
      <c r="E1359" s="1">
        <v>30</v>
      </c>
    </row>
    <row r="1360" spans="1:6">
      <c r="A1360">
        <v>82</v>
      </c>
      <c r="B1360" t="s">
        <v>239</v>
      </c>
      <c r="E1360" s="1">
        <v>32</v>
      </c>
    </row>
    <row r="1361" spans="1:6">
      <c r="A1361">
        <v>82</v>
      </c>
      <c r="B1361" t="s">
        <v>239</v>
      </c>
      <c r="E1361" s="1">
        <v>38</v>
      </c>
    </row>
    <row r="1362" spans="1:6">
      <c r="A1362">
        <v>82</v>
      </c>
      <c r="B1362" t="s">
        <v>239</v>
      </c>
      <c r="E1362" s="1">
        <v>42</v>
      </c>
    </row>
    <row r="1363" spans="1:6">
      <c r="A1363">
        <v>82</v>
      </c>
      <c r="B1363" t="s">
        <v>239</v>
      </c>
      <c r="E1363" s="1">
        <v>50</v>
      </c>
    </row>
    <row r="1364" spans="1:6">
      <c r="A1364">
        <v>84</v>
      </c>
      <c r="B1364" t="s">
        <v>241</v>
      </c>
      <c r="E1364" s="1">
        <v>20</v>
      </c>
    </row>
    <row r="1365" spans="1:6">
      <c r="A1365">
        <v>84</v>
      </c>
      <c r="B1365" t="s">
        <v>241</v>
      </c>
      <c r="E1365" s="1">
        <v>21</v>
      </c>
    </row>
    <row r="1366" spans="1:6">
      <c r="A1366">
        <v>85</v>
      </c>
      <c r="B1366" t="s">
        <v>242</v>
      </c>
      <c r="E1366" s="1">
        <v>10</v>
      </c>
    </row>
    <row r="1367" spans="1:6">
      <c r="A1367">
        <v>85</v>
      </c>
      <c r="B1367" t="s">
        <v>242</v>
      </c>
      <c r="E1367" s="1">
        <v>14</v>
      </c>
    </row>
    <row r="1369" spans="1:6">
      <c r="A1369">
        <v>1</v>
      </c>
      <c r="B1369" t="s">
        <v>137</v>
      </c>
      <c r="C1369" s="1">
        <v>1</v>
      </c>
      <c r="D1369" s="1">
        <v>13</v>
      </c>
      <c r="E1369" s="1">
        <v>60</v>
      </c>
      <c r="F1369" s="1">
        <v>13</v>
      </c>
    </row>
    <row r="1370" spans="1:6">
      <c r="A1370">
        <v>1</v>
      </c>
      <c r="B1370" t="s">
        <v>137</v>
      </c>
      <c r="C1370" s="1">
        <v>1</v>
      </c>
      <c r="D1370" s="1" t="s">
        <v>144</v>
      </c>
      <c r="E1370" s="1">
        <v>62</v>
      </c>
      <c r="F1370" s="1" t="s">
        <v>144</v>
      </c>
    </row>
    <row r="1371" spans="1:6">
      <c r="A1371">
        <v>1</v>
      </c>
      <c r="B1371" t="s">
        <v>137</v>
      </c>
      <c r="C1371" s="1">
        <v>1</v>
      </c>
      <c r="D1371" s="1">
        <v>14</v>
      </c>
      <c r="E1371" s="1">
        <v>70</v>
      </c>
      <c r="F1371" s="1">
        <v>14</v>
      </c>
    </row>
    <row r="1372" spans="1:6">
      <c r="A1372">
        <v>1</v>
      </c>
      <c r="B1372" t="s">
        <v>137</v>
      </c>
      <c r="C1372" s="1">
        <v>1</v>
      </c>
      <c r="D1372" s="1" t="s">
        <v>147</v>
      </c>
      <c r="E1372" s="1">
        <v>72</v>
      </c>
      <c r="F1372" s="1" t="s">
        <v>147</v>
      </c>
    </row>
    <row r="1373" spans="1:6">
      <c r="A1373">
        <v>1</v>
      </c>
      <c r="B1373" t="s">
        <v>137</v>
      </c>
      <c r="C1373" s="1">
        <v>1</v>
      </c>
      <c r="D1373" s="1">
        <v>15</v>
      </c>
      <c r="E1373" s="1">
        <v>80</v>
      </c>
      <c r="F1373" s="1">
        <v>15</v>
      </c>
    </row>
    <row r="1374" spans="1:6">
      <c r="A1374">
        <v>1</v>
      </c>
      <c r="B1374" t="s">
        <v>137</v>
      </c>
      <c r="C1374" s="1">
        <v>1</v>
      </c>
      <c r="D1374" s="1" t="s">
        <v>150</v>
      </c>
      <c r="E1374" s="1">
        <v>82</v>
      </c>
      <c r="F1374" s="1" t="s">
        <v>150</v>
      </c>
    </row>
    <row r="1375" spans="1:6">
      <c r="A1375">
        <v>1</v>
      </c>
      <c r="B1375" t="s">
        <v>137</v>
      </c>
      <c r="C1375" s="1">
        <v>1</v>
      </c>
      <c r="D1375" s="1">
        <v>16</v>
      </c>
      <c r="E1375" s="1">
        <v>90</v>
      </c>
      <c r="F1375" s="1">
        <v>16</v>
      </c>
    </row>
    <row r="1376" spans="1:6">
      <c r="A1376">
        <v>1</v>
      </c>
      <c r="B1376" t="s">
        <v>137</v>
      </c>
      <c r="C1376" s="1">
        <v>1</v>
      </c>
      <c r="D1376" s="1" t="s">
        <v>153</v>
      </c>
      <c r="E1376" s="1">
        <v>92</v>
      </c>
      <c r="F1376" s="1" t="s">
        <v>153</v>
      </c>
    </row>
    <row r="1377" spans="1:6">
      <c r="A1377">
        <v>1</v>
      </c>
      <c r="B1377" t="s">
        <v>137</v>
      </c>
      <c r="C1377" s="1">
        <v>1</v>
      </c>
      <c r="D1377" s="1">
        <v>17</v>
      </c>
      <c r="E1377" s="1">
        <v>94</v>
      </c>
      <c r="F1377" s="1">
        <v>17</v>
      </c>
    </row>
    <row r="1378" spans="1:6">
      <c r="A1378">
        <v>1</v>
      </c>
      <c r="B1378" t="s">
        <v>137</v>
      </c>
      <c r="C1378" s="1">
        <v>1</v>
      </c>
      <c r="D1378" s="1" t="s">
        <v>156</v>
      </c>
      <c r="E1378" s="1">
        <v>96</v>
      </c>
      <c r="F1378" s="1" t="s">
        <v>156</v>
      </c>
    </row>
    <row r="1379" spans="1:6">
      <c r="A1379">
        <v>1</v>
      </c>
      <c r="B1379" t="s">
        <v>137</v>
      </c>
      <c r="C1379" s="1">
        <v>2</v>
      </c>
      <c r="D1379" s="1" t="s">
        <v>159</v>
      </c>
      <c r="E1379" s="1">
        <v>2</v>
      </c>
      <c r="F1379" s="1" t="s">
        <v>159</v>
      </c>
    </row>
    <row r="1380" spans="1:6">
      <c r="A1380">
        <v>1</v>
      </c>
      <c r="B1380" t="s">
        <v>137</v>
      </c>
      <c r="C1380" s="1">
        <v>2</v>
      </c>
      <c r="D1380" s="1">
        <v>19</v>
      </c>
      <c r="E1380" s="1">
        <v>10</v>
      </c>
      <c r="F1380" s="1">
        <v>19</v>
      </c>
    </row>
    <row r="1381" spans="1:6">
      <c r="A1381">
        <v>1</v>
      </c>
      <c r="B1381" t="s">
        <v>137</v>
      </c>
      <c r="C1381" s="1">
        <v>2</v>
      </c>
      <c r="D1381" s="1" t="s">
        <v>162</v>
      </c>
      <c r="E1381" s="1">
        <v>12</v>
      </c>
      <c r="F1381" s="1" t="s">
        <v>162</v>
      </c>
    </row>
    <row r="1382" spans="1:6">
      <c r="A1382">
        <v>1</v>
      </c>
      <c r="B1382" t="s">
        <v>137</v>
      </c>
      <c r="C1382" s="1">
        <v>2</v>
      </c>
      <c r="D1382" s="1">
        <v>20</v>
      </c>
      <c r="E1382" s="1">
        <v>20</v>
      </c>
      <c r="F1382" s="1">
        <v>20</v>
      </c>
    </row>
    <row r="1383" spans="1:6">
      <c r="A1383">
        <v>1</v>
      </c>
      <c r="B1383" t="s">
        <v>137</v>
      </c>
      <c r="C1383" s="1">
        <v>2</v>
      </c>
      <c r="D1383" s="1" t="s">
        <v>165</v>
      </c>
      <c r="E1383" s="1">
        <v>22</v>
      </c>
      <c r="F1383" s="1" t="s">
        <v>165</v>
      </c>
    </row>
    <row r="1384" spans="1:6">
      <c r="A1384">
        <v>1</v>
      </c>
      <c r="B1384" t="s">
        <v>137</v>
      </c>
      <c r="C1384" s="1">
        <v>2</v>
      </c>
      <c r="D1384" s="1">
        <v>21</v>
      </c>
      <c r="E1384" s="1">
        <v>30</v>
      </c>
      <c r="F1384" s="1">
        <v>21</v>
      </c>
    </row>
    <row r="1385" spans="1:6">
      <c r="A1385">
        <v>1</v>
      </c>
      <c r="B1385" t="s">
        <v>137</v>
      </c>
      <c r="C1385" s="1">
        <v>2</v>
      </c>
      <c r="D1385" s="1" t="s">
        <v>168</v>
      </c>
      <c r="E1385" s="1">
        <v>32</v>
      </c>
      <c r="F1385" s="1" t="s">
        <v>168</v>
      </c>
    </row>
    <row r="1386" spans="1:6">
      <c r="A1386">
        <v>1</v>
      </c>
      <c r="B1386" t="s">
        <v>137</v>
      </c>
      <c r="C1386" s="1">
        <v>2</v>
      </c>
      <c r="D1386" s="1">
        <v>22</v>
      </c>
      <c r="E1386" s="1">
        <v>40</v>
      </c>
      <c r="F1386" s="1">
        <v>22</v>
      </c>
    </row>
    <row r="1387" spans="1:6">
      <c r="A1387">
        <v>1</v>
      </c>
      <c r="B1387" t="s">
        <v>137</v>
      </c>
      <c r="C1387" s="1">
        <v>2</v>
      </c>
      <c r="D1387" s="1" t="s">
        <v>171</v>
      </c>
      <c r="E1387" s="1">
        <v>42</v>
      </c>
      <c r="F1387" s="1" t="s">
        <v>171</v>
      </c>
    </row>
    <row r="1388" spans="1:6">
      <c r="A1388">
        <v>1</v>
      </c>
      <c r="B1388" t="s">
        <v>137</v>
      </c>
      <c r="C1388" s="1">
        <v>2</v>
      </c>
      <c r="D1388" s="1">
        <v>23</v>
      </c>
      <c r="E1388" s="1">
        <v>50</v>
      </c>
      <c r="F1388" s="1">
        <v>23</v>
      </c>
    </row>
    <row r="1389" spans="1:6">
      <c r="A1389">
        <v>1</v>
      </c>
      <c r="B1389" t="s">
        <v>137</v>
      </c>
      <c r="C1389" s="1">
        <v>2</v>
      </c>
      <c r="D1389" s="1" t="s">
        <v>174</v>
      </c>
      <c r="E1389" s="1">
        <v>52</v>
      </c>
      <c r="F1389" s="1" t="s">
        <v>174</v>
      </c>
    </row>
    <row r="1390" spans="1:6">
      <c r="A1390">
        <v>1</v>
      </c>
      <c r="B1390" t="s">
        <v>137</v>
      </c>
      <c r="C1390" s="1">
        <v>2</v>
      </c>
      <c r="D1390" s="1">
        <v>24</v>
      </c>
      <c r="E1390" s="1">
        <v>60</v>
      </c>
      <c r="F1390" s="1">
        <v>24</v>
      </c>
    </row>
    <row r="1391" spans="1:6">
      <c r="A1391">
        <v>1</v>
      </c>
      <c r="B1391" t="s">
        <v>137</v>
      </c>
      <c r="C1391" s="1">
        <v>2</v>
      </c>
      <c r="D1391" s="1" t="s">
        <v>177</v>
      </c>
      <c r="E1391" s="1">
        <v>62</v>
      </c>
      <c r="F1391" s="1" t="s">
        <v>177</v>
      </c>
    </row>
    <row r="1392" spans="1:6">
      <c r="A1392">
        <v>1</v>
      </c>
      <c r="B1392" t="s">
        <v>137</v>
      </c>
      <c r="C1392" s="1">
        <v>2</v>
      </c>
      <c r="D1392" s="1">
        <v>18</v>
      </c>
      <c r="F1392" s="1">
        <v>18</v>
      </c>
    </row>
    <row r="1393" spans="1:6">
      <c r="A1393">
        <v>5</v>
      </c>
      <c r="B1393" t="s">
        <v>183</v>
      </c>
      <c r="E1393" s="1">
        <v>60</v>
      </c>
    </row>
    <row r="1394" spans="1:6">
      <c r="A1394">
        <v>11</v>
      </c>
      <c r="B1394" t="s">
        <v>186</v>
      </c>
      <c r="C1394" s="1">
        <v>1</v>
      </c>
      <c r="D1394" s="1" t="s">
        <v>192</v>
      </c>
      <c r="E1394" s="1">
        <v>2</v>
      </c>
      <c r="F1394" s="1" t="s">
        <v>192</v>
      </c>
    </row>
    <row r="1395" spans="1:6">
      <c r="A1395">
        <v>11</v>
      </c>
      <c r="B1395" t="s">
        <v>186</v>
      </c>
      <c r="C1395" s="1">
        <v>1</v>
      </c>
      <c r="D1395" s="1">
        <v>40</v>
      </c>
      <c r="E1395" s="1">
        <v>10</v>
      </c>
      <c r="F1395" s="1">
        <v>40</v>
      </c>
    </row>
    <row r="1396" spans="1:6">
      <c r="A1396">
        <v>11</v>
      </c>
      <c r="B1396" t="s">
        <v>186</v>
      </c>
      <c r="C1396" s="1">
        <v>1</v>
      </c>
      <c r="D1396" s="1" t="s">
        <v>193</v>
      </c>
      <c r="E1396" s="1">
        <v>12</v>
      </c>
      <c r="F1396" s="1" t="s">
        <v>193</v>
      </c>
    </row>
    <row r="1397" spans="1:6">
      <c r="A1397">
        <v>11</v>
      </c>
      <c r="B1397" t="s">
        <v>186</v>
      </c>
      <c r="C1397" s="1">
        <v>1</v>
      </c>
      <c r="D1397" s="1">
        <v>41</v>
      </c>
      <c r="E1397" s="1">
        <v>20</v>
      </c>
      <c r="F1397" s="1">
        <v>41</v>
      </c>
    </row>
    <row r="1398" spans="1:6">
      <c r="A1398">
        <v>11</v>
      </c>
      <c r="B1398" t="s">
        <v>186</v>
      </c>
      <c r="C1398" s="1">
        <v>1</v>
      </c>
      <c r="D1398" s="1" t="s">
        <v>194</v>
      </c>
      <c r="E1398" s="1">
        <v>22</v>
      </c>
      <c r="F1398" s="1" t="s">
        <v>194</v>
      </c>
    </row>
    <row r="1399" spans="1:6">
      <c r="A1399">
        <v>11</v>
      </c>
      <c r="B1399" t="s">
        <v>186</v>
      </c>
      <c r="C1399" s="1">
        <v>1</v>
      </c>
      <c r="D1399" s="1">
        <v>42</v>
      </c>
      <c r="E1399" s="1">
        <v>30</v>
      </c>
      <c r="F1399" s="1">
        <v>42</v>
      </c>
    </row>
    <row r="1400" spans="1:6">
      <c r="A1400">
        <v>11</v>
      </c>
      <c r="B1400" t="s">
        <v>186</v>
      </c>
      <c r="C1400" s="1">
        <v>1</v>
      </c>
      <c r="D1400" s="1" t="s">
        <v>195</v>
      </c>
      <c r="E1400" s="1">
        <v>32</v>
      </c>
      <c r="F1400" s="1" t="s">
        <v>195</v>
      </c>
    </row>
    <row r="1401" spans="1:6">
      <c r="A1401">
        <v>11</v>
      </c>
      <c r="B1401" t="s">
        <v>186</v>
      </c>
      <c r="C1401" s="1">
        <v>1</v>
      </c>
      <c r="D1401" s="1">
        <v>43</v>
      </c>
      <c r="E1401" s="1">
        <v>40</v>
      </c>
      <c r="F1401" s="1">
        <v>43</v>
      </c>
    </row>
    <row r="1402" spans="1:6">
      <c r="A1402">
        <v>11</v>
      </c>
      <c r="B1402" t="s">
        <v>186</v>
      </c>
      <c r="C1402" s="1">
        <v>1</v>
      </c>
      <c r="D1402" s="1" t="s">
        <v>196</v>
      </c>
      <c r="E1402" s="1">
        <v>42</v>
      </c>
      <c r="F1402" s="1" t="s">
        <v>196</v>
      </c>
    </row>
    <row r="1403" spans="1:6">
      <c r="A1403">
        <v>11</v>
      </c>
      <c r="B1403" t="s">
        <v>186</v>
      </c>
      <c r="C1403" s="1">
        <v>1</v>
      </c>
      <c r="D1403" s="1">
        <v>44</v>
      </c>
      <c r="E1403" s="1">
        <v>50</v>
      </c>
      <c r="F1403" s="1">
        <v>44</v>
      </c>
    </row>
    <row r="1404" spans="1:6">
      <c r="A1404">
        <v>11</v>
      </c>
      <c r="B1404" t="s">
        <v>186</v>
      </c>
      <c r="C1404" s="1">
        <v>1</v>
      </c>
      <c r="D1404" s="1" t="s">
        <v>197</v>
      </c>
      <c r="E1404" s="1">
        <v>52</v>
      </c>
      <c r="F1404" s="1" t="s">
        <v>197</v>
      </c>
    </row>
    <row r="1405" spans="1:6">
      <c r="A1405">
        <v>11</v>
      </c>
      <c r="B1405" t="s">
        <v>186</v>
      </c>
      <c r="C1405" s="1">
        <v>1</v>
      </c>
      <c r="D1405" s="1">
        <v>45</v>
      </c>
      <c r="E1405" s="1">
        <v>60</v>
      </c>
      <c r="F1405" s="1">
        <v>45</v>
      </c>
    </row>
    <row r="1406" spans="1:6">
      <c r="A1406">
        <v>11</v>
      </c>
      <c r="B1406" t="s">
        <v>186</v>
      </c>
      <c r="C1406" s="1">
        <v>1</v>
      </c>
      <c r="D1406" s="1" t="s">
        <v>198</v>
      </c>
      <c r="E1406" s="1">
        <v>62</v>
      </c>
      <c r="F1406" s="1" t="s">
        <v>198</v>
      </c>
    </row>
    <row r="1407" spans="1:6">
      <c r="A1407">
        <v>11</v>
      </c>
      <c r="B1407" t="s">
        <v>186</v>
      </c>
      <c r="C1407" s="1">
        <v>1</v>
      </c>
      <c r="D1407" s="1" t="s">
        <v>199</v>
      </c>
      <c r="E1407" s="1">
        <v>72</v>
      </c>
      <c r="F1407" s="1" t="s">
        <v>199</v>
      </c>
    </row>
    <row r="1408" spans="1:6">
      <c r="A1408">
        <v>11</v>
      </c>
      <c r="B1408" t="s">
        <v>186</v>
      </c>
      <c r="E1408" s="1">
        <v>95</v>
      </c>
    </row>
    <row r="1409" spans="1:6">
      <c r="A1409">
        <v>11</v>
      </c>
      <c r="B1409" t="s">
        <v>186</v>
      </c>
      <c r="E1409" s="1">
        <v>96</v>
      </c>
    </row>
    <row r="1410" spans="1:6">
      <c r="A1410">
        <v>12</v>
      </c>
      <c r="B1410" t="s">
        <v>107</v>
      </c>
      <c r="C1410" s="1">
        <v>1</v>
      </c>
      <c r="D1410" s="1" t="s">
        <v>192</v>
      </c>
      <c r="E1410" s="1">
        <v>2</v>
      </c>
      <c r="F1410" s="1" t="s">
        <v>192</v>
      </c>
    </row>
    <row r="1411" spans="1:6">
      <c r="A1411">
        <v>12</v>
      </c>
      <c r="B1411" t="s">
        <v>107</v>
      </c>
      <c r="C1411" s="1">
        <v>1</v>
      </c>
      <c r="D1411" s="1">
        <v>40</v>
      </c>
      <c r="E1411" s="1">
        <v>10</v>
      </c>
      <c r="F1411" s="1">
        <v>40</v>
      </c>
    </row>
    <row r="1412" spans="1:6">
      <c r="A1412">
        <v>12</v>
      </c>
      <c r="B1412" t="s">
        <v>107</v>
      </c>
      <c r="C1412" s="1">
        <v>1</v>
      </c>
      <c r="D1412" s="1" t="s">
        <v>193</v>
      </c>
      <c r="E1412" s="1">
        <v>12</v>
      </c>
      <c r="F1412" s="1" t="s">
        <v>193</v>
      </c>
    </row>
    <row r="1413" spans="1:6">
      <c r="A1413">
        <v>12</v>
      </c>
      <c r="B1413" t="s">
        <v>107</v>
      </c>
      <c r="C1413" s="1">
        <v>1</v>
      </c>
      <c r="D1413" s="1">
        <v>41</v>
      </c>
      <c r="E1413" s="1">
        <v>20</v>
      </c>
      <c r="F1413" s="1">
        <v>41</v>
      </c>
    </row>
    <row r="1414" spans="1:6">
      <c r="A1414">
        <v>12</v>
      </c>
      <c r="B1414" t="s">
        <v>107</v>
      </c>
      <c r="C1414" s="1">
        <v>1</v>
      </c>
      <c r="D1414" s="1" t="s">
        <v>194</v>
      </c>
      <c r="E1414" s="1">
        <v>22</v>
      </c>
      <c r="F1414" s="1" t="s">
        <v>194</v>
      </c>
    </row>
    <row r="1415" spans="1:6">
      <c r="A1415">
        <v>12</v>
      </c>
      <c r="B1415" t="s">
        <v>107</v>
      </c>
      <c r="C1415" s="1">
        <v>1</v>
      </c>
      <c r="D1415" s="1">
        <v>42</v>
      </c>
      <c r="E1415" s="1">
        <v>30</v>
      </c>
      <c r="F1415" s="1">
        <v>42</v>
      </c>
    </row>
    <row r="1416" spans="1:6">
      <c r="A1416">
        <v>12</v>
      </c>
      <c r="B1416" t="s">
        <v>107</v>
      </c>
      <c r="C1416" s="1">
        <v>1</v>
      </c>
      <c r="D1416" s="1" t="s">
        <v>195</v>
      </c>
      <c r="E1416" s="1">
        <v>32</v>
      </c>
      <c r="F1416" s="1" t="s">
        <v>195</v>
      </c>
    </row>
    <row r="1417" spans="1:6">
      <c r="A1417">
        <v>12</v>
      </c>
      <c r="B1417" t="s">
        <v>107</v>
      </c>
      <c r="C1417" s="1">
        <v>1</v>
      </c>
      <c r="D1417" s="1">
        <v>43</v>
      </c>
      <c r="E1417" s="1">
        <v>40</v>
      </c>
      <c r="F1417" s="1">
        <v>43</v>
      </c>
    </row>
    <row r="1418" spans="1:6">
      <c r="A1418">
        <v>12</v>
      </c>
      <c r="B1418" t="s">
        <v>107</v>
      </c>
      <c r="C1418" s="1">
        <v>1</v>
      </c>
      <c r="D1418" s="1" t="s">
        <v>196</v>
      </c>
      <c r="E1418" s="1">
        <v>42</v>
      </c>
      <c r="F1418" s="1" t="s">
        <v>196</v>
      </c>
    </row>
    <row r="1419" spans="1:6">
      <c r="A1419">
        <v>12</v>
      </c>
      <c r="B1419" t="s">
        <v>107</v>
      </c>
      <c r="C1419" s="1">
        <v>1</v>
      </c>
      <c r="D1419" s="1" t="s">
        <v>197</v>
      </c>
      <c r="E1419" s="1">
        <v>52</v>
      </c>
      <c r="F1419" s="1" t="s">
        <v>197</v>
      </c>
    </row>
    <row r="1420" spans="1:6">
      <c r="A1420">
        <v>12</v>
      </c>
      <c r="B1420" t="s">
        <v>107</v>
      </c>
      <c r="C1420" s="1">
        <v>1</v>
      </c>
      <c r="D1420" s="1">
        <v>45</v>
      </c>
      <c r="E1420" s="1">
        <v>60</v>
      </c>
      <c r="F1420" s="1">
        <v>45</v>
      </c>
    </row>
    <row r="1421" spans="1:6">
      <c r="A1421">
        <v>12</v>
      </c>
      <c r="B1421" t="s">
        <v>107</v>
      </c>
      <c r="C1421" s="1">
        <v>1</v>
      </c>
      <c r="D1421" s="1" t="s">
        <v>199</v>
      </c>
      <c r="E1421" s="1">
        <v>72</v>
      </c>
      <c r="F1421" s="1" t="s">
        <v>199</v>
      </c>
    </row>
    <row r="1422" spans="1:6">
      <c r="A1422">
        <v>13</v>
      </c>
      <c r="B1422" t="s">
        <v>200</v>
      </c>
      <c r="C1422" s="1">
        <v>1</v>
      </c>
      <c r="D1422" s="1" t="s">
        <v>192</v>
      </c>
      <c r="E1422" s="1">
        <v>2</v>
      </c>
      <c r="F1422" s="1" t="s">
        <v>192</v>
      </c>
    </row>
    <row r="1423" spans="1:6">
      <c r="A1423">
        <v>13</v>
      </c>
      <c r="B1423" t="s">
        <v>200</v>
      </c>
      <c r="C1423" s="1">
        <v>1</v>
      </c>
      <c r="D1423" s="1" t="s">
        <v>193</v>
      </c>
      <c r="E1423" s="1">
        <v>12</v>
      </c>
      <c r="F1423" s="1" t="s">
        <v>193</v>
      </c>
    </row>
    <row r="1424" spans="1:6">
      <c r="A1424">
        <v>13</v>
      </c>
      <c r="B1424" t="s">
        <v>200</v>
      </c>
      <c r="C1424" s="1">
        <v>1</v>
      </c>
      <c r="D1424" s="1">
        <v>41</v>
      </c>
      <c r="E1424" s="1">
        <v>20</v>
      </c>
      <c r="F1424" s="1">
        <v>41</v>
      </c>
    </row>
    <row r="1425" spans="1:6">
      <c r="A1425">
        <v>13</v>
      </c>
      <c r="B1425" t="s">
        <v>200</v>
      </c>
      <c r="C1425" s="1">
        <v>1</v>
      </c>
      <c r="D1425" s="1" t="s">
        <v>194</v>
      </c>
      <c r="E1425" s="1">
        <v>22</v>
      </c>
      <c r="F1425" s="1" t="s">
        <v>194</v>
      </c>
    </row>
    <row r="1426" spans="1:6">
      <c r="A1426">
        <v>13</v>
      </c>
      <c r="B1426" t="s">
        <v>200</v>
      </c>
      <c r="C1426" s="1">
        <v>1</v>
      </c>
      <c r="D1426" s="1">
        <v>42</v>
      </c>
      <c r="E1426" s="1">
        <v>30</v>
      </c>
      <c r="F1426" s="1">
        <v>42</v>
      </c>
    </row>
    <row r="1427" spans="1:6">
      <c r="A1427">
        <v>13</v>
      </c>
      <c r="B1427" t="s">
        <v>200</v>
      </c>
      <c r="C1427" s="1">
        <v>1</v>
      </c>
      <c r="D1427" s="1" t="s">
        <v>195</v>
      </c>
      <c r="E1427" s="1">
        <v>32</v>
      </c>
      <c r="F1427" s="1" t="s">
        <v>195</v>
      </c>
    </row>
    <row r="1428" spans="1:6">
      <c r="A1428">
        <v>13</v>
      </c>
      <c r="B1428" t="s">
        <v>200</v>
      </c>
      <c r="C1428" s="1">
        <v>1</v>
      </c>
      <c r="D1428" s="1">
        <v>43</v>
      </c>
      <c r="E1428" s="1">
        <v>40</v>
      </c>
      <c r="F1428" s="1">
        <v>43</v>
      </c>
    </row>
    <row r="1429" spans="1:6">
      <c r="A1429">
        <v>13</v>
      </c>
      <c r="B1429" t="s">
        <v>200</v>
      </c>
      <c r="C1429" s="1">
        <v>1</v>
      </c>
      <c r="D1429" s="1">
        <v>44</v>
      </c>
      <c r="E1429" s="1">
        <v>50</v>
      </c>
      <c r="F1429" s="1">
        <v>44</v>
      </c>
    </row>
    <row r="1430" spans="1:6">
      <c r="A1430">
        <v>13</v>
      </c>
      <c r="B1430" t="s">
        <v>200</v>
      </c>
      <c r="C1430" s="1">
        <v>1</v>
      </c>
      <c r="D1430" s="1" t="s">
        <v>197</v>
      </c>
      <c r="E1430" s="1">
        <v>52</v>
      </c>
      <c r="F1430" s="1" t="s">
        <v>197</v>
      </c>
    </row>
    <row r="1431" spans="1:6">
      <c r="A1431">
        <v>13</v>
      </c>
      <c r="B1431" t="s">
        <v>200</v>
      </c>
      <c r="C1431" s="1">
        <v>1</v>
      </c>
      <c r="D1431" s="1" t="s">
        <v>199</v>
      </c>
      <c r="E1431" s="1">
        <v>72</v>
      </c>
      <c r="F1431" s="1" t="s">
        <v>199</v>
      </c>
    </row>
    <row r="1432" spans="1:6">
      <c r="A1432">
        <v>13</v>
      </c>
      <c r="B1432" t="s">
        <v>200</v>
      </c>
      <c r="C1432" s="1">
        <v>1</v>
      </c>
      <c r="D1432" s="1">
        <v>39</v>
      </c>
      <c r="F1432" s="1">
        <v>39</v>
      </c>
    </row>
    <row r="1433" spans="1:6">
      <c r="A1433">
        <v>13</v>
      </c>
      <c r="B1433" t="s">
        <v>200</v>
      </c>
      <c r="E1433" s="1">
        <v>95</v>
      </c>
    </row>
    <row r="1434" spans="1:6">
      <c r="A1434">
        <v>15</v>
      </c>
      <c r="B1434" t="s">
        <v>201</v>
      </c>
      <c r="C1434" s="1">
        <v>4</v>
      </c>
      <c r="D1434" s="1" t="s">
        <v>286</v>
      </c>
      <c r="E1434" s="1">
        <v>70</v>
      </c>
      <c r="F1434" s="1" t="s">
        <v>286</v>
      </c>
    </row>
    <row r="1435" spans="1:6">
      <c r="A1435">
        <v>16</v>
      </c>
      <c r="B1435" t="s">
        <v>202</v>
      </c>
      <c r="C1435" s="1">
        <v>1</v>
      </c>
      <c r="D1435" s="1" t="s">
        <v>194</v>
      </c>
      <c r="E1435" s="1">
        <v>22</v>
      </c>
      <c r="F1435" s="1" t="s">
        <v>194</v>
      </c>
    </row>
    <row r="1436" spans="1:6">
      <c r="A1436">
        <v>16</v>
      </c>
      <c r="B1436" t="s">
        <v>202</v>
      </c>
      <c r="C1436" s="1">
        <v>1</v>
      </c>
      <c r="D1436" s="1" t="s">
        <v>195</v>
      </c>
      <c r="E1436" s="1">
        <v>32</v>
      </c>
      <c r="F1436" s="1" t="s">
        <v>195</v>
      </c>
    </row>
    <row r="1437" spans="1:6">
      <c r="A1437">
        <v>16</v>
      </c>
      <c r="B1437" t="s">
        <v>202</v>
      </c>
      <c r="C1437" s="1">
        <v>1</v>
      </c>
      <c r="D1437" s="1">
        <v>46</v>
      </c>
      <c r="E1437" s="1">
        <v>72</v>
      </c>
      <c r="F1437" s="1">
        <v>46</v>
      </c>
    </row>
    <row r="1438" spans="1:6">
      <c r="A1438">
        <v>21</v>
      </c>
      <c r="B1438" t="s">
        <v>205</v>
      </c>
      <c r="C1438" s="1">
        <v>1</v>
      </c>
      <c r="D1438" s="1" t="s">
        <v>347</v>
      </c>
      <c r="E1438" s="1">
        <v>10</v>
      </c>
      <c r="F1438" s="1" t="s">
        <v>347</v>
      </c>
    </row>
    <row r="1439" spans="1:6">
      <c r="A1439">
        <v>21</v>
      </c>
      <c r="B1439" t="s">
        <v>205</v>
      </c>
      <c r="C1439" s="1">
        <v>1</v>
      </c>
      <c r="D1439" s="1" t="s">
        <v>395</v>
      </c>
      <c r="E1439" s="1">
        <v>22</v>
      </c>
      <c r="F1439" s="1" t="s">
        <v>395</v>
      </c>
    </row>
    <row r="1440" spans="1:6">
      <c r="A1440">
        <v>21</v>
      </c>
      <c r="B1440" t="s">
        <v>205</v>
      </c>
      <c r="C1440" s="1">
        <v>1</v>
      </c>
      <c r="D1440" s="1" t="s">
        <v>329</v>
      </c>
      <c r="E1440" s="1">
        <v>30</v>
      </c>
      <c r="F1440" s="1" t="s">
        <v>329</v>
      </c>
    </row>
    <row r="1441" spans="1:6">
      <c r="A1441">
        <v>21</v>
      </c>
      <c r="B1441" t="s">
        <v>205</v>
      </c>
      <c r="C1441" s="1">
        <v>1</v>
      </c>
      <c r="D1441" s="1" t="s">
        <v>332</v>
      </c>
      <c r="E1441" s="1">
        <v>40</v>
      </c>
      <c r="F1441" s="1" t="s">
        <v>332</v>
      </c>
    </row>
    <row r="1442" spans="1:6">
      <c r="A1442">
        <v>21</v>
      </c>
      <c r="B1442" t="s">
        <v>205</v>
      </c>
      <c r="C1442" s="1">
        <v>1</v>
      </c>
      <c r="D1442" s="1" t="s">
        <v>330</v>
      </c>
      <c r="E1442" s="1">
        <v>42</v>
      </c>
      <c r="F1442" s="1" t="s">
        <v>330</v>
      </c>
    </row>
    <row r="1443" spans="1:6">
      <c r="A1443">
        <v>21</v>
      </c>
      <c r="B1443" t="s">
        <v>205</v>
      </c>
      <c r="C1443" s="1">
        <v>1</v>
      </c>
      <c r="D1443" s="1" t="s">
        <v>288</v>
      </c>
      <c r="E1443" s="1">
        <v>62</v>
      </c>
      <c r="F1443" s="1" t="s">
        <v>288</v>
      </c>
    </row>
    <row r="1444" spans="1:6">
      <c r="A1444">
        <v>21</v>
      </c>
      <c r="B1444" t="s">
        <v>205</v>
      </c>
      <c r="E1444" s="1">
        <v>82</v>
      </c>
    </row>
    <row r="1445" spans="1:6">
      <c r="A1445">
        <v>24</v>
      </c>
      <c r="B1445" t="s">
        <v>208</v>
      </c>
      <c r="C1445" s="1">
        <v>1</v>
      </c>
      <c r="D1445" s="1" t="s">
        <v>373</v>
      </c>
      <c r="E1445" s="1">
        <v>10</v>
      </c>
      <c r="F1445" s="1" t="s">
        <v>373</v>
      </c>
    </row>
    <row r="1446" spans="1:6">
      <c r="A1446">
        <v>24</v>
      </c>
      <c r="B1446" t="s">
        <v>208</v>
      </c>
      <c r="C1446" s="1">
        <v>1</v>
      </c>
      <c r="D1446" s="1" t="s">
        <v>284</v>
      </c>
      <c r="E1446" s="1">
        <v>20</v>
      </c>
      <c r="F1446" s="1" t="s">
        <v>284</v>
      </c>
    </row>
    <row r="1447" spans="1:6">
      <c r="A1447">
        <v>24</v>
      </c>
      <c r="B1447" t="s">
        <v>208</v>
      </c>
      <c r="C1447" s="1">
        <v>1</v>
      </c>
      <c r="D1447" s="1" t="s">
        <v>347</v>
      </c>
      <c r="E1447" s="1">
        <v>30</v>
      </c>
      <c r="F1447" s="1" t="s">
        <v>347</v>
      </c>
    </row>
    <row r="1448" spans="1:6">
      <c r="A1448">
        <v>24</v>
      </c>
      <c r="B1448" t="s">
        <v>208</v>
      </c>
      <c r="C1448" s="1">
        <v>1</v>
      </c>
      <c r="D1448" s="1" t="s">
        <v>374</v>
      </c>
      <c r="F1448" s="1" t="s">
        <v>374</v>
      </c>
    </row>
    <row r="1449" spans="1:6">
      <c r="A1449">
        <v>24</v>
      </c>
      <c r="B1449" t="s">
        <v>208</v>
      </c>
      <c r="C1449" s="1">
        <v>42</v>
      </c>
      <c r="D1449" s="1" t="s">
        <v>375</v>
      </c>
      <c r="E1449" s="1">
        <v>20</v>
      </c>
      <c r="F1449" s="1" t="s">
        <v>375</v>
      </c>
    </row>
    <row r="1450" spans="1:6">
      <c r="A1450">
        <v>24</v>
      </c>
      <c r="B1450" t="s">
        <v>208</v>
      </c>
      <c r="C1450" s="1">
        <v>42</v>
      </c>
      <c r="D1450" s="1" t="s">
        <v>376</v>
      </c>
      <c r="E1450" s="1">
        <v>30</v>
      </c>
      <c r="F1450" s="1" t="s">
        <v>376</v>
      </c>
    </row>
    <row r="1451" spans="1:6">
      <c r="A1451">
        <v>24</v>
      </c>
      <c r="B1451" t="s">
        <v>208</v>
      </c>
      <c r="C1451" s="1">
        <v>42</v>
      </c>
      <c r="D1451" s="1" t="s">
        <v>378</v>
      </c>
      <c r="E1451" s="1">
        <v>50</v>
      </c>
      <c r="F1451" s="1" t="s">
        <v>378</v>
      </c>
    </row>
    <row r="1452" spans="1:6">
      <c r="A1452">
        <v>24</v>
      </c>
      <c r="B1452" t="s">
        <v>208</v>
      </c>
      <c r="C1452" s="1">
        <v>44</v>
      </c>
      <c r="D1452" s="1" t="s">
        <v>528</v>
      </c>
      <c r="E1452" s="1">
        <v>20</v>
      </c>
      <c r="F1452" s="1" t="s">
        <v>528</v>
      </c>
    </row>
    <row r="1453" spans="1:6">
      <c r="A1453">
        <v>24</v>
      </c>
      <c r="B1453" t="s">
        <v>208</v>
      </c>
      <c r="C1453" s="1">
        <v>45</v>
      </c>
      <c r="D1453" s="1" t="s">
        <v>529</v>
      </c>
      <c r="E1453" s="1">
        <v>20</v>
      </c>
      <c r="F1453" s="1" t="s">
        <v>529</v>
      </c>
    </row>
    <row r="1454" spans="1:6">
      <c r="A1454">
        <v>24</v>
      </c>
      <c r="B1454" t="s">
        <v>208</v>
      </c>
      <c r="C1454" s="1">
        <v>45</v>
      </c>
      <c r="D1454" s="1" t="s">
        <v>530</v>
      </c>
      <c r="E1454" s="1">
        <v>30</v>
      </c>
      <c r="F1454" s="1" t="s">
        <v>530</v>
      </c>
    </row>
    <row r="1455" spans="1:6">
      <c r="A1455">
        <v>24</v>
      </c>
      <c r="B1455" t="s">
        <v>208</v>
      </c>
      <c r="C1455" s="1">
        <v>45</v>
      </c>
      <c r="D1455" s="1" t="s">
        <v>386</v>
      </c>
      <c r="E1455" s="1">
        <v>40</v>
      </c>
      <c r="F1455" s="1" t="s">
        <v>386</v>
      </c>
    </row>
    <row r="1456" spans="1:6">
      <c r="A1456">
        <v>24</v>
      </c>
      <c r="B1456" t="s">
        <v>208</v>
      </c>
      <c r="C1456" s="1">
        <v>45</v>
      </c>
      <c r="D1456" s="1" t="s">
        <v>531</v>
      </c>
      <c r="E1456" s="1">
        <v>50</v>
      </c>
      <c r="F1456" s="1" t="s">
        <v>531</v>
      </c>
    </row>
    <row r="1457" spans="1:6">
      <c r="A1457">
        <v>24</v>
      </c>
      <c r="B1457" t="s">
        <v>208</v>
      </c>
      <c r="C1457" s="1">
        <v>46</v>
      </c>
      <c r="D1457" s="1" t="s">
        <v>532</v>
      </c>
      <c r="E1457" s="1">
        <v>30</v>
      </c>
      <c r="F1457" s="1" t="s">
        <v>532</v>
      </c>
    </row>
    <row r="1458" spans="1:6">
      <c r="A1458">
        <v>24</v>
      </c>
      <c r="B1458" t="s">
        <v>208</v>
      </c>
      <c r="C1458" s="1">
        <v>46</v>
      </c>
      <c r="D1458" s="1" t="s">
        <v>533</v>
      </c>
      <c r="E1458" s="1">
        <v>40</v>
      </c>
      <c r="F1458" s="1" t="s">
        <v>533</v>
      </c>
    </row>
    <row r="1459" spans="1:6">
      <c r="A1459">
        <v>24</v>
      </c>
      <c r="B1459" t="s">
        <v>208</v>
      </c>
      <c r="C1459" s="1">
        <v>46</v>
      </c>
      <c r="D1459" s="1" t="s">
        <v>387</v>
      </c>
      <c r="E1459" s="1">
        <v>50</v>
      </c>
      <c r="F1459" s="1" t="s">
        <v>387</v>
      </c>
    </row>
    <row r="1460" spans="1:6">
      <c r="A1460">
        <v>24</v>
      </c>
      <c r="B1460" t="s">
        <v>208</v>
      </c>
      <c r="C1460" s="1">
        <v>47</v>
      </c>
      <c r="D1460" s="1" t="s">
        <v>388</v>
      </c>
      <c r="E1460" s="1">
        <v>50</v>
      </c>
      <c r="F1460" s="1" t="s">
        <v>388</v>
      </c>
    </row>
    <row r="1461" spans="1:6">
      <c r="A1461">
        <v>24</v>
      </c>
      <c r="B1461" t="s">
        <v>208</v>
      </c>
      <c r="C1461" s="1">
        <v>48</v>
      </c>
      <c r="D1461" s="1" t="s">
        <v>534</v>
      </c>
      <c r="E1461" s="1">
        <v>50</v>
      </c>
      <c r="F1461" s="1" t="s">
        <v>534</v>
      </c>
    </row>
    <row r="1462" spans="1:6">
      <c r="A1462">
        <v>24</v>
      </c>
      <c r="B1462" t="s">
        <v>208</v>
      </c>
      <c r="E1462" s="1">
        <v>30</v>
      </c>
    </row>
    <row r="1463" spans="1:6">
      <c r="A1463">
        <v>24</v>
      </c>
      <c r="B1463" t="s">
        <v>208</v>
      </c>
      <c r="E1463" s="1">
        <v>40</v>
      </c>
    </row>
    <row r="1464" spans="1:6">
      <c r="A1464">
        <v>24</v>
      </c>
      <c r="B1464" t="s">
        <v>208</v>
      </c>
      <c r="E1464" s="1">
        <v>50</v>
      </c>
    </row>
    <row r="1465" spans="1:6">
      <c r="A1465">
        <v>24</v>
      </c>
      <c r="B1465" t="s">
        <v>208</v>
      </c>
      <c r="E1465" s="1">
        <v>60</v>
      </c>
    </row>
    <row r="1466" spans="1:6">
      <c r="A1466">
        <v>24</v>
      </c>
      <c r="B1466" t="s">
        <v>208</v>
      </c>
      <c r="E1466" s="1">
        <v>70</v>
      </c>
    </row>
    <row r="1467" spans="1:6">
      <c r="A1467">
        <v>24</v>
      </c>
      <c r="B1467" t="s">
        <v>208</v>
      </c>
      <c r="E1467" s="1">
        <v>80</v>
      </c>
    </row>
    <row r="1468" spans="1:6">
      <c r="A1468">
        <v>24</v>
      </c>
      <c r="B1468" t="s">
        <v>208</v>
      </c>
      <c r="E1468" s="1">
        <v>90</v>
      </c>
    </row>
    <row r="1469" spans="1:6">
      <c r="A1469">
        <v>27</v>
      </c>
      <c r="B1469" t="s">
        <v>210</v>
      </c>
      <c r="C1469" s="1">
        <v>1</v>
      </c>
      <c r="D1469" s="1">
        <v>40</v>
      </c>
      <c r="E1469" s="1">
        <v>10</v>
      </c>
      <c r="F1469" s="1">
        <v>40</v>
      </c>
    </row>
    <row r="1470" spans="1:6">
      <c r="A1470">
        <v>27</v>
      </c>
      <c r="B1470" t="s">
        <v>210</v>
      </c>
      <c r="C1470" s="1">
        <v>1</v>
      </c>
      <c r="D1470" s="1">
        <v>41</v>
      </c>
      <c r="E1470" s="1">
        <v>20</v>
      </c>
      <c r="F1470" s="1">
        <v>41</v>
      </c>
    </row>
    <row r="1471" spans="1:6">
      <c r="A1471">
        <v>31</v>
      </c>
      <c r="B1471" t="s">
        <v>110</v>
      </c>
      <c r="C1471" s="1">
        <v>1</v>
      </c>
      <c r="D1471" s="1" t="s">
        <v>334</v>
      </c>
      <c r="E1471" s="1">
        <v>12</v>
      </c>
      <c r="F1471" s="1" t="s">
        <v>334</v>
      </c>
    </row>
    <row r="1472" spans="1:6">
      <c r="A1472">
        <v>31</v>
      </c>
      <c r="B1472" t="s">
        <v>110</v>
      </c>
      <c r="C1472" s="1">
        <v>1</v>
      </c>
      <c r="D1472" s="1" t="s">
        <v>335</v>
      </c>
      <c r="E1472" s="1">
        <v>22</v>
      </c>
      <c r="F1472" s="1" t="s">
        <v>335</v>
      </c>
    </row>
    <row r="1473" spans="1:6">
      <c r="A1473">
        <v>31</v>
      </c>
      <c r="B1473" t="s">
        <v>110</v>
      </c>
      <c r="C1473" s="1">
        <v>1</v>
      </c>
      <c r="D1473" s="1">
        <v>8</v>
      </c>
      <c r="F1473" s="1">
        <v>8</v>
      </c>
    </row>
    <row r="1474" spans="1:6">
      <c r="A1474">
        <v>31</v>
      </c>
      <c r="B1474" t="s">
        <v>110</v>
      </c>
      <c r="E1474" s="1">
        <v>90</v>
      </c>
    </row>
    <row r="1475" spans="1:6">
      <c r="A1475">
        <v>31</v>
      </c>
      <c r="B1475" t="s">
        <v>110</v>
      </c>
      <c r="E1475" s="1">
        <v>91</v>
      </c>
    </row>
    <row r="1476" spans="1:6">
      <c r="A1476">
        <v>31</v>
      </c>
      <c r="B1476" t="s">
        <v>110</v>
      </c>
      <c r="E1476" s="1">
        <v>95</v>
      </c>
    </row>
    <row r="1477" spans="1:6">
      <c r="A1477">
        <v>38</v>
      </c>
      <c r="B1477" t="s">
        <v>217</v>
      </c>
      <c r="C1477" s="1">
        <v>7</v>
      </c>
      <c r="D1477" s="1" t="s">
        <v>423</v>
      </c>
      <c r="E1477" s="1">
        <v>2</v>
      </c>
      <c r="F1477" s="1" t="s">
        <v>423</v>
      </c>
    </row>
    <row r="1478" spans="1:6">
      <c r="A1478">
        <v>38</v>
      </c>
      <c r="B1478" t="s">
        <v>217</v>
      </c>
      <c r="C1478" s="1">
        <v>7</v>
      </c>
      <c r="D1478" s="1" t="s">
        <v>425</v>
      </c>
      <c r="F1478" s="1" t="s">
        <v>425</v>
      </c>
    </row>
    <row r="1479" spans="1:6">
      <c r="A1479">
        <v>38</v>
      </c>
      <c r="B1479" t="s">
        <v>217</v>
      </c>
      <c r="C1479" s="1">
        <v>8</v>
      </c>
      <c r="D1479" s="1" t="s">
        <v>441</v>
      </c>
      <c r="E1479" s="1">
        <v>80</v>
      </c>
      <c r="F1479" s="1" t="s">
        <v>441</v>
      </c>
    </row>
    <row r="1480" spans="1:6">
      <c r="A1480">
        <v>39</v>
      </c>
      <c r="B1480" t="s">
        <v>218</v>
      </c>
      <c r="C1480" s="1">
        <v>1</v>
      </c>
      <c r="D1480" s="1" t="s">
        <v>430</v>
      </c>
      <c r="E1480" s="1">
        <v>10</v>
      </c>
      <c r="F1480" s="1" t="s">
        <v>430</v>
      </c>
    </row>
    <row r="1481" spans="1:6">
      <c r="A1481">
        <v>39</v>
      </c>
      <c r="B1481" t="s">
        <v>218</v>
      </c>
      <c r="C1481" s="1">
        <v>1</v>
      </c>
      <c r="D1481" s="1" t="s">
        <v>396</v>
      </c>
      <c r="E1481" s="1">
        <v>20</v>
      </c>
      <c r="F1481" s="1" t="s">
        <v>396</v>
      </c>
    </row>
    <row r="1482" spans="1:6">
      <c r="A1482">
        <v>39</v>
      </c>
      <c r="B1482" t="s">
        <v>218</v>
      </c>
      <c r="C1482" s="1">
        <v>1</v>
      </c>
      <c r="D1482" s="1" t="s">
        <v>397</v>
      </c>
      <c r="E1482" s="1">
        <v>30</v>
      </c>
      <c r="F1482" s="1" t="s">
        <v>397</v>
      </c>
    </row>
    <row r="1483" spans="1:6">
      <c r="A1483">
        <v>39</v>
      </c>
      <c r="B1483" t="s">
        <v>218</v>
      </c>
      <c r="C1483" s="1">
        <v>1</v>
      </c>
      <c r="D1483" s="1" t="s">
        <v>398</v>
      </c>
      <c r="E1483" s="1">
        <v>40</v>
      </c>
      <c r="F1483" s="1" t="s">
        <v>398</v>
      </c>
    </row>
    <row r="1484" spans="1:6">
      <c r="A1484">
        <v>39</v>
      </c>
      <c r="B1484" t="s">
        <v>218</v>
      </c>
      <c r="C1484" s="1">
        <v>1</v>
      </c>
      <c r="D1484" s="1" t="s">
        <v>399</v>
      </c>
      <c r="E1484" s="1">
        <v>50</v>
      </c>
      <c r="F1484" s="1" t="s">
        <v>399</v>
      </c>
    </row>
    <row r="1485" spans="1:6">
      <c r="A1485">
        <v>39</v>
      </c>
      <c r="B1485" t="s">
        <v>218</v>
      </c>
      <c r="C1485" s="1">
        <v>1</v>
      </c>
      <c r="D1485" s="1" t="s">
        <v>431</v>
      </c>
      <c r="E1485" s="1">
        <v>60</v>
      </c>
      <c r="F1485" s="1" t="s">
        <v>431</v>
      </c>
    </row>
    <row r="1486" spans="1:6">
      <c r="A1486">
        <v>39</v>
      </c>
      <c r="B1486" t="s">
        <v>218</v>
      </c>
      <c r="C1486" s="1">
        <v>2</v>
      </c>
      <c r="D1486" s="1" t="s">
        <v>402</v>
      </c>
      <c r="E1486" s="1">
        <v>30</v>
      </c>
      <c r="F1486" s="1" t="s">
        <v>402</v>
      </c>
    </row>
    <row r="1487" spans="1:6">
      <c r="A1487">
        <v>39</v>
      </c>
      <c r="B1487" t="s">
        <v>218</v>
      </c>
      <c r="C1487" s="1">
        <v>2</v>
      </c>
      <c r="D1487" s="1" t="s">
        <v>403</v>
      </c>
      <c r="E1487" s="1">
        <v>40</v>
      </c>
      <c r="F1487" s="1" t="s">
        <v>403</v>
      </c>
    </row>
    <row r="1488" spans="1:6">
      <c r="A1488">
        <v>39</v>
      </c>
      <c r="B1488" t="s">
        <v>218</v>
      </c>
      <c r="C1488" s="1">
        <v>2</v>
      </c>
      <c r="D1488" s="1" t="s">
        <v>404</v>
      </c>
      <c r="E1488" s="1">
        <v>50</v>
      </c>
      <c r="F1488" s="1" t="s">
        <v>404</v>
      </c>
    </row>
    <row r="1489" spans="1:6">
      <c r="A1489">
        <v>39</v>
      </c>
      <c r="B1489" t="s">
        <v>218</v>
      </c>
      <c r="C1489" s="1">
        <v>4</v>
      </c>
      <c r="D1489" s="1" t="s">
        <v>410</v>
      </c>
      <c r="E1489" s="1">
        <v>30</v>
      </c>
      <c r="F1489" s="1" t="s">
        <v>410</v>
      </c>
    </row>
    <row r="1490" spans="1:6">
      <c r="A1490">
        <v>39</v>
      </c>
      <c r="B1490" t="s">
        <v>218</v>
      </c>
      <c r="C1490" s="1">
        <v>4</v>
      </c>
      <c r="D1490" s="1" t="s">
        <v>412</v>
      </c>
      <c r="E1490" s="1">
        <v>50</v>
      </c>
      <c r="F1490" s="1" t="s">
        <v>412</v>
      </c>
    </row>
    <row r="1491" spans="1:6">
      <c r="A1491">
        <v>39</v>
      </c>
      <c r="B1491" t="s">
        <v>218</v>
      </c>
      <c r="C1491" s="1">
        <v>4</v>
      </c>
      <c r="D1491" s="1" t="s">
        <v>294</v>
      </c>
      <c r="E1491" s="1">
        <v>60</v>
      </c>
      <c r="F1491" s="1" t="s">
        <v>294</v>
      </c>
    </row>
    <row r="1492" spans="1:6">
      <c r="A1492">
        <v>39</v>
      </c>
      <c r="B1492" t="s">
        <v>218</v>
      </c>
      <c r="C1492" s="1">
        <v>4</v>
      </c>
      <c r="D1492" s="1" t="s">
        <v>413</v>
      </c>
      <c r="E1492" s="1">
        <v>70</v>
      </c>
      <c r="F1492" s="1" t="s">
        <v>413</v>
      </c>
    </row>
    <row r="1493" spans="1:6">
      <c r="A1493">
        <v>39</v>
      </c>
      <c r="B1493" t="s">
        <v>218</v>
      </c>
      <c r="C1493" s="1">
        <v>6</v>
      </c>
      <c r="D1493" s="1" t="s">
        <v>416</v>
      </c>
      <c r="E1493" s="1">
        <v>30</v>
      </c>
      <c r="F1493" s="1" t="s">
        <v>416</v>
      </c>
    </row>
    <row r="1494" spans="1:6">
      <c r="A1494">
        <v>41</v>
      </c>
      <c r="B1494" t="s">
        <v>219</v>
      </c>
      <c r="C1494" s="1">
        <v>1</v>
      </c>
      <c r="D1494" s="1" t="s">
        <v>442</v>
      </c>
      <c r="E1494" s="1">
        <v>10</v>
      </c>
      <c r="F1494" s="1" t="s">
        <v>442</v>
      </c>
    </row>
    <row r="1495" spans="1:6">
      <c r="A1495">
        <v>41</v>
      </c>
      <c r="B1495" t="s">
        <v>219</v>
      </c>
      <c r="C1495" s="1">
        <v>1</v>
      </c>
      <c r="D1495" s="1" t="s">
        <v>511</v>
      </c>
      <c r="E1495" s="1">
        <v>20</v>
      </c>
      <c r="F1495" s="1" t="s">
        <v>511</v>
      </c>
    </row>
    <row r="1496" spans="1:6">
      <c r="A1496">
        <v>41</v>
      </c>
      <c r="B1496" t="s">
        <v>219</v>
      </c>
      <c r="C1496" s="1">
        <v>1</v>
      </c>
      <c r="D1496" s="1" t="s">
        <v>443</v>
      </c>
      <c r="F1496" s="1" t="s">
        <v>443</v>
      </c>
    </row>
    <row r="1497" spans="1:6">
      <c r="A1497">
        <v>41</v>
      </c>
      <c r="B1497" t="s">
        <v>219</v>
      </c>
      <c r="E1497" s="1">
        <v>10</v>
      </c>
    </row>
    <row r="1498" spans="1:6">
      <c r="A1498">
        <v>41</v>
      </c>
      <c r="B1498" t="s">
        <v>219</v>
      </c>
      <c r="E1498" s="1">
        <v>20</v>
      </c>
    </row>
    <row r="1499" spans="1:6">
      <c r="A1499">
        <v>41</v>
      </c>
      <c r="B1499" t="s">
        <v>219</v>
      </c>
      <c r="E1499" s="1">
        <v>30</v>
      </c>
    </row>
    <row r="1500" spans="1:6">
      <c r="A1500">
        <v>41</v>
      </c>
      <c r="B1500" t="s">
        <v>219</v>
      </c>
      <c r="E1500" s="1">
        <v>60</v>
      </c>
    </row>
    <row r="1501" spans="1:6">
      <c r="A1501">
        <v>41</v>
      </c>
      <c r="B1501" t="s">
        <v>219</v>
      </c>
      <c r="E1501" s="1">
        <v>90</v>
      </c>
    </row>
    <row r="1502" spans="1:6">
      <c r="A1502">
        <v>41</v>
      </c>
      <c r="B1502" t="s">
        <v>219</v>
      </c>
      <c r="E1502" s="1">
        <v>91</v>
      </c>
    </row>
    <row r="1503" spans="1:6">
      <c r="A1503">
        <v>41</v>
      </c>
      <c r="B1503" t="s">
        <v>219</v>
      </c>
      <c r="E1503" s="1">
        <v>97</v>
      </c>
    </row>
    <row r="1504" spans="1:6">
      <c r="A1504">
        <v>42</v>
      </c>
      <c r="B1504" t="s">
        <v>220</v>
      </c>
      <c r="C1504" s="1">
        <v>2</v>
      </c>
      <c r="D1504" s="1" t="s">
        <v>512</v>
      </c>
      <c r="E1504" s="1">
        <v>80</v>
      </c>
      <c r="F1504" s="1" t="s">
        <v>512</v>
      </c>
    </row>
    <row r="1505" spans="1:6">
      <c r="A1505">
        <v>45</v>
      </c>
      <c r="B1505" t="s">
        <v>223</v>
      </c>
      <c r="C1505" s="1">
        <v>1</v>
      </c>
      <c r="D1505" s="1" t="s">
        <v>336</v>
      </c>
      <c r="E1505" s="1">
        <v>13</v>
      </c>
      <c r="F1505" s="1" t="s">
        <v>337</v>
      </c>
    </row>
    <row r="1506" spans="1:6">
      <c r="A1506">
        <v>45</v>
      </c>
      <c r="B1506" t="s">
        <v>223</v>
      </c>
      <c r="C1506" s="1">
        <v>2</v>
      </c>
      <c r="D1506" s="1" t="s">
        <v>524</v>
      </c>
      <c r="E1506" s="1">
        <v>24</v>
      </c>
      <c r="F1506" s="1" t="s">
        <v>524</v>
      </c>
    </row>
    <row r="1507" spans="1:6">
      <c r="A1507">
        <v>47</v>
      </c>
      <c r="B1507" t="s">
        <v>445</v>
      </c>
      <c r="C1507" s="1">
        <v>2</v>
      </c>
      <c r="D1507" s="1" t="s">
        <v>535</v>
      </c>
      <c r="E1507" s="1">
        <v>20</v>
      </c>
      <c r="F1507" s="1" t="s">
        <v>535</v>
      </c>
    </row>
    <row r="1508" spans="1:6">
      <c r="A1508">
        <v>47</v>
      </c>
      <c r="B1508" t="s">
        <v>445</v>
      </c>
      <c r="C1508" s="1">
        <v>4</v>
      </c>
      <c r="D1508" s="1" t="s">
        <v>457</v>
      </c>
      <c r="E1508" s="1">
        <v>70</v>
      </c>
      <c r="F1508" s="1" t="s">
        <v>457</v>
      </c>
    </row>
    <row r="1509" spans="1:6">
      <c r="A1509">
        <v>50</v>
      </c>
      <c r="B1509" t="s">
        <v>224</v>
      </c>
      <c r="E1509" s="1">
        <v>10</v>
      </c>
    </row>
    <row r="1510" spans="1:6">
      <c r="A1510">
        <v>57</v>
      </c>
      <c r="B1510" t="s">
        <v>183</v>
      </c>
      <c r="E1510" s="1">
        <v>60</v>
      </c>
    </row>
    <row r="1511" spans="1:6">
      <c r="A1511">
        <v>58</v>
      </c>
      <c r="B1511" t="s">
        <v>226</v>
      </c>
      <c r="C1511" s="1">
        <v>1</v>
      </c>
      <c r="D1511" s="1" t="s">
        <v>536</v>
      </c>
      <c r="E1511" s="1">
        <v>10</v>
      </c>
      <c r="F1511" s="1" t="s">
        <v>536</v>
      </c>
    </row>
    <row r="1512" spans="1:6">
      <c r="A1512">
        <v>58</v>
      </c>
      <c r="B1512" t="s">
        <v>226</v>
      </c>
      <c r="C1512" s="1">
        <v>1</v>
      </c>
      <c r="D1512" s="1" t="s">
        <v>537</v>
      </c>
      <c r="E1512" s="1">
        <v>40</v>
      </c>
      <c r="F1512" s="1" t="s">
        <v>537</v>
      </c>
    </row>
    <row r="1513" spans="1:6">
      <c r="A1513">
        <v>59</v>
      </c>
      <c r="B1513" t="s">
        <v>227</v>
      </c>
      <c r="C1513" s="1">
        <v>3</v>
      </c>
      <c r="D1513" s="1" t="s">
        <v>295</v>
      </c>
      <c r="E1513" s="1">
        <v>23</v>
      </c>
      <c r="F1513" s="1" t="s">
        <v>295</v>
      </c>
    </row>
    <row r="1514" spans="1:6">
      <c r="A1514">
        <v>62</v>
      </c>
      <c r="B1514" t="s">
        <v>514</v>
      </c>
      <c r="C1514" s="1">
        <v>1</v>
      </c>
      <c r="D1514" s="1" t="s">
        <v>141</v>
      </c>
      <c r="E1514" s="1">
        <v>62</v>
      </c>
      <c r="F1514" s="1" t="s">
        <v>141</v>
      </c>
    </row>
    <row r="1515" spans="1:6">
      <c r="A1515">
        <v>64</v>
      </c>
      <c r="B1515" t="s">
        <v>230</v>
      </c>
      <c r="E1515" s="1">
        <v>10</v>
      </c>
    </row>
    <row r="1516" spans="1:6">
      <c r="A1516">
        <v>64</v>
      </c>
      <c r="B1516" t="s">
        <v>230</v>
      </c>
      <c r="E1516" s="1">
        <v>30</v>
      </c>
    </row>
    <row r="1517" spans="1:6">
      <c r="A1517">
        <v>64</v>
      </c>
      <c r="B1517" t="s">
        <v>230</v>
      </c>
      <c r="E1517" s="1">
        <v>35</v>
      </c>
    </row>
    <row r="1518" spans="1:6">
      <c r="A1518">
        <v>74</v>
      </c>
      <c r="B1518" t="s">
        <v>235</v>
      </c>
      <c r="C1518" s="1">
        <v>3</v>
      </c>
      <c r="D1518" s="1" t="s">
        <v>320</v>
      </c>
      <c r="E1518" s="1">
        <v>50</v>
      </c>
      <c r="F1518" s="1" t="s">
        <v>320</v>
      </c>
    </row>
    <row r="1519" spans="1:6">
      <c r="A1519">
        <v>74</v>
      </c>
      <c r="B1519" t="s">
        <v>235</v>
      </c>
      <c r="C1519" s="1">
        <v>3</v>
      </c>
      <c r="D1519" s="1" t="s">
        <v>321</v>
      </c>
      <c r="E1519" s="1">
        <v>60</v>
      </c>
      <c r="F1519" s="1" t="s">
        <v>321</v>
      </c>
    </row>
    <row r="1521" spans="1:6">
      <c r="A1521">
        <v>1</v>
      </c>
      <c r="B1521" t="s">
        <v>137</v>
      </c>
      <c r="C1521" s="1">
        <v>1</v>
      </c>
      <c r="D1521" s="1">
        <v>17</v>
      </c>
      <c r="E1521" s="1">
        <v>94</v>
      </c>
      <c r="F1521" s="1">
        <v>17</v>
      </c>
    </row>
    <row r="1522" spans="1:6">
      <c r="A1522">
        <v>1</v>
      </c>
      <c r="B1522" t="s">
        <v>137</v>
      </c>
      <c r="C1522" s="1">
        <v>2</v>
      </c>
      <c r="D1522" s="1" t="s">
        <v>159</v>
      </c>
      <c r="E1522" s="1">
        <v>2</v>
      </c>
      <c r="F1522" s="1" t="s">
        <v>159</v>
      </c>
    </row>
    <row r="1523" spans="1:6">
      <c r="A1523">
        <v>1</v>
      </c>
      <c r="B1523" t="s">
        <v>137</v>
      </c>
      <c r="C1523" s="1">
        <v>2</v>
      </c>
      <c r="D1523" s="1">
        <v>19</v>
      </c>
      <c r="E1523" s="1">
        <v>10</v>
      </c>
      <c r="F1523" s="1">
        <v>19</v>
      </c>
    </row>
    <row r="1524" spans="1:6">
      <c r="A1524">
        <v>1</v>
      </c>
      <c r="B1524" t="s">
        <v>137</v>
      </c>
      <c r="C1524" s="1">
        <v>2</v>
      </c>
      <c r="D1524" s="1" t="s">
        <v>162</v>
      </c>
      <c r="E1524" s="1">
        <v>12</v>
      </c>
      <c r="F1524" s="1" t="s">
        <v>162</v>
      </c>
    </row>
    <row r="1525" spans="1:6">
      <c r="A1525">
        <v>1</v>
      </c>
      <c r="B1525" t="s">
        <v>137</v>
      </c>
      <c r="C1525" s="1">
        <v>2</v>
      </c>
      <c r="D1525" s="1">
        <v>20</v>
      </c>
      <c r="E1525" s="1">
        <v>20</v>
      </c>
      <c r="F1525" s="1">
        <v>20</v>
      </c>
    </row>
    <row r="1526" spans="1:6">
      <c r="A1526">
        <v>1</v>
      </c>
      <c r="B1526" t="s">
        <v>137</v>
      </c>
      <c r="C1526" s="1">
        <v>2</v>
      </c>
      <c r="D1526" s="1" t="s">
        <v>165</v>
      </c>
      <c r="E1526" s="1">
        <v>22</v>
      </c>
      <c r="F1526" s="1" t="s">
        <v>165</v>
      </c>
    </row>
    <row r="1527" spans="1:6">
      <c r="A1527">
        <v>1</v>
      </c>
      <c r="B1527" t="s">
        <v>137</v>
      </c>
      <c r="C1527" s="1">
        <v>2</v>
      </c>
      <c r="D1527" s="1">
        <v>21</v>
      </c>
      <c r="E1527" s="1">
        <v>30</v>
      </c>
      <c r="F1527" s="1">
        <v>21</v>
      </c>
    </row>
    <row r="1528" spans="1:6">
      <c r="A1528">
        <v>1</v>
      </c>
      <c r="B1528" t="s">
        <v>137</v>
      </c>
      <c r="C1528" s="1">
        <v>2</v>
      </c>
      <c r="D1528" s="1" t="s">
        <v>168</v>
      </c>
      <c r="E1528" s="1">
        <v>32</v>
      </c>
      <c r="F1528" s="1" t="s">
        <v>168</v>
      </c>
    </row>
    <row r="1529" spans="1:6">
      <c r="A1529">
        <v>1</v>
      </c>
      <c r="B1529" t="s">
        <v>137</v>
      </c>
      <c r="C1529" s="1">
        <v>2</v>
      </c>
      <c r="D1529" s="1">
        <v>22</v>
      </c>
      <c r="E1529" s="1">
        <v>40</v>
      </c>
      <c r="F1529" s="1">
        <v>22</v>
      </c>
    </row>
    <row r="1530" spans="1:6">
      <c r="A1530">
        <v>1</v>
      </c>
      <c r="B1530" t="s">
        <v>137</v>
      </c>
      <c r="C1530" s="1">
        <v>2</v>
      </c>
      <c r="D1530" s="1" t="s">
        <v>171</v>
      </c>
      <c r="E1530" s="1">
        <v>42</v>
      </c>
      <c r="F1530" s="1" t="s">
        <v>171</v>
      </c>
    </row>
    <row r="1531" spans="1:6">
      <c r="A1531">
        <v>1</v>
      </c>
      <c r="B1531" t="s">
        <v>137</v>
      </c>
      <c r="C1531" s="1">
        <v>2</v>
      </c>
      <c r="D1531" s="1">
        <v>23</v>
      </c>
      <c r="E1531" s="1">
        <v>50</v>
      </c>
      <c r="F1531" s="1">
        <v>23</v>
      </c>
    </row>
    <row r="1532" spans="1:6">
      <c r="A1532">
        <v>1</v>
      </c>
      <c r="B1532" t="s">
        <v>137</v>
      </c>
      <c r="C1532" s="1">
        <v>2</v>
      </c>
      <c r="D1532" s="1" t="s">
        <v>174</v>
      </c>
      <c r="E1532" s="1">
        <v>52</v>
      </c>
      <c r="F1532" s="1" t="s">
        <v>174</v>
      </c>
    </row>
    <row r="1533" spans="1:6">
      <c r="A1533">
        <v>1</v>
      </c>
      <c r="B1533" t="s">
        <v>137</v>
      </c>
      <c r="C1533" s="1">
        <v>2</v>
      </c>
      <c r="D1533" s="1">
        <v>24</v>
      </c>
      <c r="E1533" s="1">
        <v>60</v>
      </c>
      <c r="F1533" s="1">
        <v>24</v>
      </c>
    </row>
    <row r="1534" spans="1:6">
      <c r="A1534">
        <v>1</v>
      </c>
      <c r="B1534" t="s">
        <v>137</v>
      </c>
      <c r="C1534" s="1">
        <v>2</v>
      </c>
      <c r="D1534" s="1" t="s">
        <v>180</v>
      </c>
      <c r="E1534" s="1">
        <v>72</v>
      </c>
      <c r="F1534" s="1" t="s">
        <v>180</v>
      </c>
    </row>
    <row r="1535" spans="1:6">
      <c r="A1535">
        <v>11</v>
      </c>
      <c r="B1535" t="s">
        <v>186</v>
      </c>
      <c r="C1535" s="1">
        <v>1</v>
      </c>
      <c r="D1535" s="1" t="s">
        <v>192</v>
      </c>
      <c r="E1535" s="1">
        <v>2</v>
      </c>
      <c r="F1535" s="1" t="s">
        <v>192</v>
      </c>
    </row>
    <row r="1536" spans="1:6">
      <c r="A1536">
        <v>11</v>
      </c>
      <c r="B1536" t="s">
        <v>186</v>
      </c>
      <c r="C1536" s="1">
        <v>1</v>
      </c>
      <c r="D1536" s="1" t="s">
        <v>193</v>
      </c>
      <c r="E1536" s="1">
        <v>12</v>
      </c>
      <c r="F1536" s="1" t="s">
        <v>193</v>
      </c>
    </row>
    <row r="1537" spans="1:6">
      <c r="A1537">
        <v>11</v>
      </c>
      <c r="B1537" t="s">
        <v>186</v>
      </c>
      <c r="C1537" s="1">
        <v>1</v>
      </c>
      <c r="D1537" s="1">
        <v>41</v>
      </c>
      <c r="E1537" s="1">
        <v>20</v>
      </c>
      <c r="F1537" s="1">
        <v>41</v>
      </c>
    </row>
    <row r="1538" spans="1:6">
      <c r="A1538">
        <v>11</v>
      </c>
      <c r="B1538" t="s">
        <v>186</v>
      </c>
      <c r="C1538" s="1">
        <v>1</v>
      </c>
      <c r="D1538" s="1" t="s">
        <v>194</v>
      </c>
      <c r="E1538" s="1">
        <v>22</v>
      </c>
      <c r="F1538" s="1" t="s">
        <v>194</v>
      </c>
    </row>
    <row r="1539" spans="1:6">
      <c r="A1539">
        <v>11</v>
      </c>
      <c r="B1539" t="s">
        <v>186</v>
      </c>
      <c r="C1539" s="1">
        <v>1</v>
      </c>
      <c r="D1539" s="1">
        <v>42</v>
      </c>
      <c r="E1539" s="1">
        <v>30</v>
      </c>
      <c r="F1539" s="1">
        <v>42</v>
      </c>
    </row>
    <row r="1540" spans="1:6">
      <c r="A1540">
        <v>11</v>
      </c>
      <c r="B1540" t="s">
        <v>186</v>
      </c>
      <c r="C1540" s="1">
        <v>1</v>
      </c>
      <c r="D1540" s="1" t="s">
        <v>195</v>
      </c>
      <c r="E1540" s="1">
        <v>32</v>
      </c>
      <c r="F1540" s="1" t="s">
        <v>195</v>
      </c>
    </row>
    <row r="1541" spans="1:6">
      <c r="A1541">
        <v>11</v>
      </c>
      <c r="B1541" t="s">
        <v>186</v>
      </c>
      <c r="C1541" s="1">
        <v>1</v>
      </c>
      <c r="D1541" s="1">
        <v>43</v>
      </c>
      <c r="E1541" s="1">
        <v>40</v>
      </c>
      <c r="F1541" s="1">
        <v>43</v>
      </c>
    </row>
    <row r="1542" spans="1:6">
      <c r="A1542">
        <v>11</v>
      </c>
      <c r="B1542" t="s">
        <v>186</v>
      </c>
      <c r="C1542" s="1">
        <v>1</v>
      </c>
      <c r="D1542" s="1" t="s">
        <v>196</v>
      </c>
      <c r="E1542" s="1">
        <v>42</v>
      </c>
      <c r="F1542" s="1" t="s">
        <v>196</v>
      </c>
    </row>
    <row r="1543" spans="1:6">
      <c r="A1543">
        <v>11</v>
      </c>
      <c r="B1543" t="s">
        <v>186</v>
      </c>
      <c r="C1543" s="1">
        <v>1</v>
      </c>
      <c r="D1543" s="1">
        <v>44</v>
      </c>
      <c r="E1543" s="1">
        <v>50</v>
      </c>
      <c r="F1543" s="1">
        <v>44</v>
      </c>
    </row>
    <row r="1544" spans="1:6">
      <c r="A1544">
        <v>11</v>
      </c>
      <c r="B1544" t="s">
        <v>186</v>
      </c>
      <c r="C1544" s="1">
        <v>1</v>
      </c>
      <c r="D1544" s="1" t="s">
        <v>197</v>
      </c>
      <c r="E1544" s="1">
        <v>52</v>
      </c>
      <c r="F1544" s="1" t="s">
        <v>197</v>
      </c>
    </row>
    <row r="1545" spans="1:6">
      <c r="A1545">
        <v>11</v>
      </c>
      <c r="B1545" t="s">
        <v>186</v>
      </c>
      <c r="C1545" s="1">
        <v>1</v>
      </c>
      <c r="D1545" s="1">
        <v>45</v>
      </c>
      <c r="E1545" s="1">
        <v>60</v>
      </c>
      <c r="F1545" s="1">
        <v>45</v>
      </c>
    </row>
    <row r="1546" spans="1:6">
      <c r="A1546">
        <v>11</v>
      </c>
      <c r="B1546" t="s">
        <v>186</v>
      </c>
      <c r="C1546" s="1">
        <v>1</v>
      </c>
      <c r="D1546" s="1" t="s">
        <v>198</v>
      </c>
      <c r="E1546" s="1">
        <v>62</v>
      </c>
      <c r="F1546" s="1" t="s">
        <v>198</v>
      </c>
    </row>
    <row r="1547" spans="1:6">
      <c r="A1547">
        <v>13</v>
      </c>
      <c r="B1547" t="s">
        <v>200</v>
      </c>
      <c r="C1547" s="1">
        <v>1</v>
      </c>
      <c r="D1547" s="1">
        <v>43</v>
      </c>
      <c r="E1547" s="1">
        <v>40</v>
      </c>
      <c r="F1547" s="1">
        <v>43</v>
      </c>
    </row>
    <row r="1548" spans="1:6">
      <c r="A1548">
        <v>21</v>
      </c>
      <c r="B1548" t="s">
        <v>205</v>
      </c>
      <c r="C1548" s="1">
        <v>1</v>
      </c>
      <c r="D1548" s="1" t="s">
        <v>287</v>
      </c>
      <c r="E1548" s="1">
        <v>52</v>
      </c>
      <c r="F1548" s="1" t="s">
        <v>287</v>
      </c>
    </row>
    <row r="1549" spans="1:6">
      <c r="A1549">
        <v>42</v>
      </c>
      <c r="B1549" t="s">
        <v>220</v>
      </c>
      <c r="C1549" s="1">
        <v>1</v>
      </c>
      <c r="D1549" s="1" t="s">
        <v>526</v>
      </c>
      <c r="E1549" s="1">
        <v>60</v>
      </c>
      <c r="F1549" s="1" t="s">
        <v>526</v>
      </c>
    </row>
    <row r="1550" spans="1:6">
      <c r="A1550">
        <v>52</v>
      </c>
      <c r="B1550" t="s">
        <v>539</v>
      </c>
      <c r="C1550" s="1">
        <v>90</v>
      </c>
      <c r="D1550" s="1">
        <v>60</v>
      </c>
      <c r="E1550" s="1">
        <v>60</v>
      </c>
      <c r="F1550" s="1">
        <v>60</v>
      </c>
    </row>
    <row r="1551" spans="1:6">
      <c r="A1551">
        <v>57</v>
      </c>
      <c r="B1551" t="s">
        <v>183</v>
      </c>
      <c r="E1551" s="1">
        <v>60</v>
      </c>
    </row>
    <row r="1552" spans="1:6">
      <c r="A1552">
        <v>1</v>
      </c>
      <c r="B1552" t="s">
        <v>137</v>
      </c>
      <c r="C1552" s="1">
        <v>1</v>
      </c>
      <c r="D1552" s="1">
        <v>14</v>
      </c>
      <c r="E1552" s="1">
        <v>70</v>
      </c>
      <c r="F1552" s="1">
        <v>14</v>
      </c>
    </row>
    <row r="1553" spans="1:6">
      <c r="A1553">
        <v>1</v>
      </c>
      <c r="B1553" t="s">
        <v>137</v>
      </c>
      <c r="C1553" s="1">
        <v>1</v>
      </c>
      <c r="D1553" s="1" t="s">
        <v>147</v>
      </c>
      <c r="E1553" s="1">
        <v>72</v>
      </c>
      <c r="F1553" s="1" t="s">
        <v>147</v>
      </c>
    </row>
    <row r="1554" spans="1:6">
      <c r="A1554">
        <v>1</v>
      </c>
      <c r="B1554" t="s">
        <v>137</v>
      </c>
      <c r="C1554" s="1">
        <v>1</v>
      </c>
      <c r="D1554" s="1">
        <v>15</v>
      </c>
      <c r="E1554" s="1">
        <v>80</v>
      </c>
      <c r="F1554" s="1">
        <v>15</v>
      </c>
    </row>
    <row r="1555" spans="1:6">
      <c r="A1555">
        <v>1</v>
      </c>
      <c r="B1555" t="s">
        <v>137</v>
      </c>
      <c r="C1555" s="1">
        <v>1</v>
      </c>
      <c r="D1555" s="1" t="s">
        <v>150</v>
      </c>
      <c r="E1555" s="1">
        <v>82</v>
      </c>
      <c r="F1555" s="1" t="s">
        <v>150</v>
      </c>
    </row>
    <row r="1556" spans="1:6">
      <c r="A1556">
        <v>1</v>
      </c>
      <c r="B1556" t="s">
        <v>137</v>
      </c>
      <c r="C1556" s="1">
        <v>1</v>
      </c>
      <c r="D1556" s="1">
        <v>16</v>
      </c>
      <c r="E1556" s="1">
        <v>90</v>
      </c>
      <c r="F1556" s="1">
        <v>16</v>
      </c>
    </row>
    <row r="1557" spans="1:6">
      <c r="A1557">
        <v>1</v>
      </c>
      <c r="B1557" t="s">
        <v>137</v>
      </c>
      <c r="C1557" s="1">
        <v>1</v>
      </c>
      <c r="D1557" s="1" t="s">
        <v>153</v>
      </c>
      <c r="E1557" s="1">
        <v>92</v>
      </c>
      <c r="F1557" s="1" t="s">
        <v>153</v>
      </c>
    </row>
    <row r="1558" spans="1:6">
      <c r="A1558">
        <v>1</v>
      </c>
      <c r="B1558" t="s">
        <v>137</v>
      </c>
      <c r="C1558" s="1">
        <v>1</v>
      </c>
      <c r="D1558" s="1">
        <v>17</v>
      </c>
      <c r="E1558" s="1">
        <v>94</v>
      </c>
      <c r="F1558" s="1">
        <v>17</v>
      </c>
    </row>
    <row r="1559" spans="1:6">
      <c r="A1559">
        <v>1</v>
      </c>
      <c r="B1559" t="s">
        <v>137</v>
      </c>
      <c r="C1559" s="1">
        <v>1</v>
      </c>
      <c r="D1559" s="1" t="s">
        <v>156</v>
      </c>
      <c r="E1559" s="1">
        <v>96</v>
      </c>
      <c r="F1559" s="1" t="s">
        <v>156</v>
      </c>
    </row>
    <row r="1560" spans="1:6">
      <c r="A1560">
        <v>1</v>
      </c>
      <c r="B1560" t="s">
        <v>137</v>
      </c>
      <c r="C1560" s="1">
        <v>2</v>
      </c>
      <c r="D1560" s="1" t="s">
        <v>159</v>
      </c>
      <c r="E1560" s="1">
        <v>2</v>
      </c>
      <c r="F1560" s="1" t="s">
        <v>159</v>
      </c>
    </row>
    <row r="1561" spans="1:6">
      <c r="A1561">
        <v>1</v>
      </c>
      <c r="B1561" t="s">
        <v>137</v>
      </c>
      <c r="C1561" s="1">
        <v>2</v>
      </c>
      <c r="D1561" s="1">
        <v>19</v>
      </c>
      <c r="E1561" s="1">
        <v>10</v>
      </c>
      <c r="F1561" s="1">
        <v>19</v>
      </c>
    </row>
    <row r="1562" spans="1:6">
      <c r="A1562">
        <v>1</v>
      </c>
      <c r="B1562" t="s">
        <v>137</v>
      </c>
      <c r="C1562" s="1">
        <v>2</v>
      </c>
      <c r="D1562" s="1" t="s">
        <v>162</v>
      </c>
      <c r="E1562" s="1">
        <v>12</v>
      </c>
      <c r="F1562" s="1" t="s">
        <v>162</v>
      </c>
    </row>
    <row r="1563" spans="1:6">
      <c r="A1563">
        <v>1</v>
      </c>
      <c r="B1563" t="s">
        <v>137</v>
      </c>
      <c r="C1563" s="1">
        <v>2</v>
      </c>
      <c r="D1563" s="1">
        <v>20</v>
      </c>
      <c r="E1563" s="1">
        <v>20</v>
      </c>
      <c r="F1563" s="1">
        <v>20</v>
      </c>
    </row>
    <row r="1564" spans="1:6">
      <c r="A1564">
        <v>1</v>
      </c>
      <c r="B1564" t="s">
        <v>137</v>
      </c>
      <c r="C1564" s="1">
        <v>2</v>
      </c>
      <c r="D1564" s="1" t="s">
        <v>165</v>
      </c>
      <c r="E1564" s="1">
        <v>22</v>
      </c>
      <c r="F1564" s="1" t="s">
        <v>165</v>
      </c>
    </row>
    <row r="1565" spans="1:6">
      <c r="A1565">
        <v>1</v>
      </c>
      <c r="B1565" t="s">
        <v>137</v>
      </c>
      <c r="C1565" s="1">
        <v>2</v>
      </c>
      <c r="D1565" s="1">
        <v>21</v>
      </c>
      <c r="E1565" s="1">
        <v>30</v>
      </c>
      <c r="F1565" s="1">
        <v>21</v>
      </c>
    </row>
    <row r="1566" spans="1:6">
      <c r="A1566">
        <v>1</v>
      </c>
      <c r="B1566" t="s">
        <v>137</v>
      </c>
      <c r="C1566" s="1">
        <v>2</v>
      </c>
      <c r="D1566" s="1" t="s">
        <v>168</v>
      </c>
      <c r="E1566" s="1">
        <v>32</v>
      </c>
      <c r="F1566" s="1" t="s">
        <v>168</v>
      </c>
    </row>
    <row r="1567" spans="1:6">
      <c r="A1567">
        <v>1</v>
      </c>
      <c r="B1567" t="s">
        <v>137</v>
      </c>
      <c r="C1567" s="1">
        <v>2</v>
      </c>
      <c r="D1567" s="1">
        <v>22</v>
      </c>
      <c r="E1567" s="1">
        <v>40</v>
      </c>
      <c r="F1567" s="1">
        <v>22</v>
      </c>
    </row>
    <row r="1568" spans="1:6">
      <c r="A1568">
        <v>1</v>
      </c>
      <c r="B1568" t="s">
        <v>137</v>
      </c>
      <c r="C1568" s="1">
        <v>2</v>
      </c>
      <c r="D1568" s="1" t="s">
        <v>171</v>
      </c>
      <c r="E1568" s="1">
        <v>42</v>
      </c>
      <c r="F1568" s="1" t="s">
        <v>171</v>
      </c>
    </row>
    <row r="1569" spans="1:6">
      <c r="A1569">
        <v>1</v>
      </c>
      <c r="B1569" t="s">
        <v>137</v>
      </c>
      <c r="C1569" s="1">
        <v>2</v>
      </c>
      <c r="D1569" s="1">
        <v>23</v>
      </c>
      <c r="E1569" s="1">
        <v>50</v>
      </c>
      <c r="F1569" s="1">
        <v>23</v>
      </c>
    </row>
    <row r="1570" spans="1:6">
      <c r="A1570">
        <v>1</v>
      </c>
      <c r="B1570" t="s">
        <v>137</v>
      </c>
      <c r="C1570" s="1">
        <v>2</v>
      </c>
      <c r="D1570" s="1" t="s">
        <v>174</v>
      </c>
      <c r="E1570" s="1">
        <v>52</v>
      </c>
      <c r="F1570" s="1" t="s">
        <v>174</v>
      </c>
    </row>
    <row r="1571" spans="1:6">
      <c r="A1571">
        <v>1</v>
      </c>
      <c r="B1571" t="s">
        <v>137</v>
      </c>
      <c r="C1571" s="1">
        <v>2</v>
      </c>
      <c r="D1571" s="1" t="s">
        <v>177</v>
      </c>
      <c r="E1571" s="1">
        <v>62</v>
      </c>
      <c r="F1571" s="1" t="s">
        <v>177</v>
      </c>
    </row>
    <row r="1572" spans="1:6">
      <c r="A1572">
        <v>1</v>
      </c>
      <c r="B1572" t="s">
        <v>137</v>
      </c>
      <c r="C1572" s="1">
        <v>2</v>
      </c>
      <c r="D1572" s="1">
        <v>18</v>
      </c>
      <c r="F1572" s="1">
        <v>18</v>
      </c>
    </row>
    <row r="1573" spans="1:6">
      <c r="A1573">
        <v>5</v>
      </c>
      <c r="B1573" t="s">
        <v>183</v>
      </c>
      <c r="E1573" s="1">
        <v>60</v>
      </c>
    </row>
    <row r="1574" spans="1:6">
      <c r="A1574">
        <v>5</v>
      </c>
      <c r="B1574" t="s">
        <v>183</v>
      </c>
      <c r="E1574" s="1">
        <v>80</v>
      </c>
    </row>
    <row r="1575" spans="1:6">
      <c r="A1575">
        <v>6</v>
      </c>
      <c r="B1575" t="s">
        <v>184</v>
      </c>
      <c r="E1575" s="1">
        <v>23</v>
      </c>
    </row>
    <row r="1576" spans="1:6">
      <c r="A1576">
        <v>6</v>
      </c>
      <c r="B1576" t="s">
        <v>184</v>
      </c>
      <c r="E1576" s="1">
        <v>63</v>
      </c>
    </row>
    <row r="1577" spans="1:6">
      <c r="A1577">
        <v>11</v>
      </c>
      <c r="B1577" t="s">
        <v>186</v>
      </c>
      <c r="C1577" s="1">
        <v>1</v>
      </c>
      <c r="D1577" s="1" t="s">
        <v>192</v>
      </c>
      <c r="E1577" s="1">
        <v>2</v>
      </c>
      <c r="F1577" s="1" t="s">
        <v>192</v>
      </c>
    </row>
    <row r="1578" spans="1:6">
      <c r="A1578">
        <v>11</v>
      </c>
      <c r="B1578" t="s">
        <v>186</v>
      </c>
      <c r="C1578" s="1">
        <v>1</v>
      </c>
      <c r="D1578" s="1">
        <v>40</v>
      </c>
      <c r="E1578" s="1">
        <v>10</v>
      </c>
      <c r="F1578" s="1">
        <v>40</v>
      </c>
    </row>
    <row r="1579" spans="1:6">
      <c r="A1579">
        <v>11</v>
      </c>
      <c r="B1579" t="s">
        <v>186</v>
      </c>
      <c r="C1579" s="1">
        <v>1</v>
      </c>
      <c r="D1579" s="1" t="s">
        <v>193</v>
      </c>
      <c r="E1579" s="1">
        <v>12</v>
      </c>
      <c r="F1579" s="1" t="s">
        <v>193</v>
      </c>
    </row>
    <row r="1580" spans="1:6">
      <c r="A1580">
        <v>11</v>
      </c>
      <c r="B1580" t="s">
        <v>186</v>
      </c>
      <c r="C1580" s="1">
        <v>1</v>
      </c>
      <c r="D1580" s="1">
        <v>41</v>
      </c>
      <c r="E1580" s="1">
        <v>20</v>
      </c>
      <c r="F1580" s="1">
        <v>41</v>
      </c>
    </row>
    <row r="1581" spans="1:6">
      <c r="A1581">
        <v>11</v>
      </c>
      <c r="B1581" t="s">
        <v>186</v>
      </c>
      <c r="C1581" s="1">
        <v>1</v>
      </c>
      <c r="D1581" s="1" t="s">
        <v>194</v>
      </c>
      <c r="E1581" s="1">
        <v>22</v>
      </c>
      <c r="F1581" s="1" t="s">
        <v>194</v>
      </c>
    </row>
    <row r="1582" spans="1:6">
      <c r="A1582">
        <v>11</v>
      </c>
      <c r="B1582" t="s">
        <v>186</v>
      </c>
      <c r="C1582" s="1">
        <v>1</v>
      </c>
      <c r="D1582" s="1">
        <v>42</v>
      </c>
      <c r="E1582" s="1">
        <v>30</v>
      </c>
      <c r="F1582" s="1">
        <v>42</v>
      </c>
    </row>
    <row r="1583" spans="1:6">
      <c r="A1583">
        <v>11</v>
      </c>
      <c r="B1583" t="s">
        <v>186</v>
      </c>
      <c r="C1583" s="1">
        <v>1</v>
      </c>
      <c r="D1583" s="1" t="s">
        <v>195</v>
      </c>
      <c r="E1583" s="1">
        <v>32</v>
      </c>
      <c r="F1583" s="1" t="s">
        <v>195</v>
      </c>
    </row>
    <row r="1584" spans="1:6">
      <c r="A1584">
        <v>11</v>
      </c>
      <c r="B1584" t="s">
        <v>186</v>
      </c>
      <c r="C1584" s="1">
        <v>1</v>
      </c>
      <c r="D1584" s="1">
        <v>43</v>
      </c>
      <c r="E1584" s="1">
        <v>40</v>
      </c>
      <c r="F1584" s="1">
        <v>43</v>
      </c>
    </row>
    <row r="1585" spans="1:6">
      <c r="A1585">
        <v>11</v>
      </c>
      <c r="B1585" t="s">
        <v>186</v>
      </c>
      <c r="C1585" s="1">
        <v>1</v>
      </c>
      <c r="D1585" s="1" t="s">
        <v>196</v>
      </c>
      <c r="E1585" s="1">
        <v>42</v>
      </c>
      <c r="F1585" s="1" t="s">
        <v>196</v>
      </c>
    </row>
    <row r="1586" spans="1:6">
      <c r="A1586">
        <v>11</v>
      </c>
      <c r="B1586" t="s">
        <v>186</v>
      </c>
      <c r="C1586" s="1">
        <v>1</v>
      </c>
      <c r="D1586" s="1">
        <v>44</v>
      </c>
      <c r="E1586" s="1">
        <v>50</v>
      </c>
      <c r="F1586" s="1">
        <v>44</v>
      </c>
    </row>
    <row r="1587" spans="1:6">
      <c r="A1587">
        <v>11</v>
      </c>
      <c r="B1587" t="s">
        <v>186</v>
      </c>
      <c r="C1587" s="1">
        <v>1</v>
      </c>
      <c r="D1587" s="1" t="s">
        <v>197</v>
      </c>
      <c r="E1587" s="1">
        <v>52</v>
      </c>
      <c r="F1587" s="1" t="s">
        <v>197</v>
      </c>
    </row>
    <row r="1588" spans="1:6">
      <c r="A1588">
        <v>11</v>
      </c>
      <c r="B1588" t="s">
        <v>186</v>
      </c>
      <c r="C1588" s="1">
        <v>1</v>
      </c>
      <c r="D1588" s="1">
        <v>45</v>
      </c>
      <c r="E1588" s="1">
        <v>60</v>
      </c>
      <c r="F1588" s="1">
        <v>45</v>
      </c>
    </row>
    <row r="1589" spans="1:6">
      <c r="A1589">
        <v>11</v>
      </c>
      <c r="B1589" t="s">
        <v>186</v>
      </c>
      <c r="C1589" s="1">
        <v>1</v>
      </c>
      <c r="D1589" s="1" t="s">
        <v>198</v>
      </c>
      <c r="E1589" s="1">
        <v>62</v>
      </c>
      <c r="F1589" s="1" t="s">
        <v>198</v>
      </c>
    </row>
    <row r="1590" spans="1:6">
      <c r="A1590">
        <v>11</v>
      </c>
      <c r="B1590" t="s">
        <v>186</v>
      </c>
      <c r="C1590" s="1">
        <v>1</v>
      </c>
      <c r="D1590" s="1" t="s">
        <v>199</v>
      </c>
      <c r="E1590" s="1">
        <v>72</v>
      </c>
      <c r="F1590" s="1" t="s">
        <v>199</v>
      </c>
    </row>
    <row r="1591" spans="1:6">
      <c r="A1591">
        <v>11</v>
      </c>
      <c r="B1591" t="s">
        <v>186</v>
      </c>
      <c r="C1591" s="1">
        <v>1</v>
      </c>
      <c r="D1591" s="1">
        <v>39</v>
      </c>
      <c r="F1591" s="1">
        <v>39</v>
      </c>
    </row>
    <row r="1592" spans="1:6">
      <c r="A1592">
        <v>11</v>
      </c>
      <c r="B1592" t="s">
        <v>186</v>
      </c>
      <c r="E1592" s="1">
        <v>82</v>
      </c>
    </row>
    <row r="1593" spans="1:6">
      <c r="A1593">
        <v>11</v>
      </c>
      <c r="B1593" t="s">
        <v>186</v>
      </c>
      <c r="E1593" s="1">
        <v>90</v>
      </c>
    </row>
    <row r="1594" spans="1:6">
      <c r="A1594">
        <v>12</v>
      </c>
      <c r="B1594" t="s">
        <v>107</v>
      </c>
      <c r="C1594" s="1">
        <v>1</v>
      </c>
      <c r="D1594" s="1">
        <v>40</v>
      </c>
      <c r="E1594" s="1">
        <v>10</v>
      </c>
      <c r="F1594" s="1">
        <v>40</v>
      </c>
    </row>
    <row r="1595" spans="1:6">
      <c r="A1595">
        <v>12</v>
      </c>
      <c r="B1595" t="s">
        <v>107</v>
      </c>
      <c r="C1595" s="1">
        <v>1</v>
      </c>
      <c r="D1595" s="1" t="s">
        <v>193</v>
      </c>
      <c r="E1595" s="1">
        <v>12</v>
      </c>
      <c r="F1595" s="1" t="s">
        <v>193</v>
      </c>
    </row>
    <row r="1596" spans="1:6">
      <c r="A1596">
        <v>12</v>
      </c>
      <c r="B1596" t="s">
        <v>107</v>
      </c>
      <c r="C1596" s="1">
        <v>1</v>
      </c>
      <c r="D1596" s="1">
        <v>41</v>
      </c>
      <c r="E1596" s="1">
        <v>20</v>
      </c>
      <c r="F1596" s="1">
        <v>41</v>
      </c>
    </row>
    <row r="1597" spans="1:6">
      <c r="A1597">
        <v>12</v>
      </c>
      <c r="B1597" t="s">
        <v>107</v>
      </c>
      <c r="C1597" s="1">
        <v>1</v>
      </c>
      <c r="D1597" s="1" t="s">
        <v>194</v>
      </c>
      <c r="E1597" s="1">
        <v>22</v>
      </c>
      <c r="F1597" s="1" t="s">
        <v>194</v>
      </c>
    </row>
    <row r="1598" spans="1:6">
      <c r="A1598">
        <v>12</v>
      </c>
      <c r="B1598" t="s">
        <v>107</v>
      </c>
      <c r="C1598" s="1">
        <v>1</v>
      </c>
      <c r="D1598" s="1">
        <v>42</v>
      </c>
      <c r="E1598" s="1">
        <v>30</v>
      </c>
      <c r="F1598" s="1">
        <v>42</v>
      </c>
    </row>
    <row r="1599" spans="1:6">
      <c r="A1599">
        <v>12</v>
      </c>
      <c r="B1599" t="s">
        <v>107</v>
      </c>
      <c r="C1599" s="1">
        <v>1</v>
      </c>
      <c r="D1599" s="1" t="s">
        <v>195</v>
      </c>
      <c r="E1599" s="1">
        <v>32</v>
      </c>
      <c r="F1599" s="1" t="s">
        <v>195</v>
      </c>
    </row>
    <row r="1600" spans="1:6">
      <c r="A1600">
        <v>12</v>
      </c>
      <c r="B1600" t="s">
        <v>107</v>
      </c>
      <c r="C1600" s="1">
        <v>1</v>
      </c>
      <c r="D1600" s="1" t="s">
        <v>196</v>
      </c>
      <c r="E1600" s="1">
        <v>42</v>
      </c>
      <c r="F1600" s="1" t="s">
        <v>196</v>
      </c>
    </row>
    <row r="1601" spans="1:6">
      <c r="A1601">
        <v>12</v>
      </c>
      <c r="B1601" t="s">
        <v>107</v>
      </c>
      <c r="C1601" s="1">
        <v>1</v>
      </c>
      <c r="D1601" s="1">
        <v>44</v>
      </c>
      <c r="E1601" s="1">
        <v>50</v>
      </c>
      <c r="F1601" s="1">
        <v>44</v>
      </c>
    </row>
    <row r="1602" spans="1:6">
      <c r="A1602">
        <v>12</v>
      </c>
      <c r="B1602" t="s">
        <v>107</v>
      </c>
      <c r="C1602" s="1">
        <v>1</v>
      </c>
      <c r="D1602" s="1" t="s">
        <v>197</v>
      </c>
      <c r="E1602" s="1">
        <v>52</v>
      </c>
      <c r="F1602" s="1" t="s">
        <v>197</v>
      </c>
    </row>
    <row r="1603" spans="1:6">
      <c r="A1603">
        <v>12</v>
      </c>
      <c r="B1603" t="s">
        <v>107</v>
      </c>
      <c r="C1603" s="1">
        <v>1</v>
      </c>
      <c r="D1603" s="1" t="s">
        <v>198</v>
      </c>
      <c r="E1603" s="1">
        <v>62</v>
      </c>
      <c r="F1603" s="1" t="s">
        <v>198</v>
      </c>
    </row>
    <row r="1604" spans="1:6">
      <c r="A1604">
        <v>12</v>
      </c>
      <c r="B1604" t="s">
        <v>107</v>
      </c>
      <c r="C1604" s="1">
        <v>1</v>
      </c>
      <c r="D1604" s="1" t="s">
        <v>199</v>
      </c>
      <c r="E1604" s="1">
        <v>72</v>
      </c>
      <c r="F1604" s="1" t="s">
        <v>199</v>
      </c>
    </row>
    <row r="1605" spans="1:6">
      <c r="A1605">
        <v>13</v>
      </c>
      <c r="B1605" t="s">
        <v>200</v>
      </c>
      <c r="C1605" s="1">
        <v>1</v>
      </c>
      <c r="D1605" s="1" t="s">
        <v>193</v>
      </c>
      <c r="E1605" s="1">
        <v>12</v>
      </c>
      <c r="F1605" s="1" t="s">
        <v>193</v>
      </c>
    </row>
    <row r="1606" spans="1:6">
      <c r="A1606">
        <v>13</v>
      </c>
      <c r="B1606" t="s">
        <v>200</v>
      </c>
      <c r="C1606" s="1">
        <v>1</v>
      </c>
      <c r="D1606" s="1">
        <v>41</v>
      </c>
      <c r="E1606" s="1">
        <v>20</v>
      </c>
      <c r="F1606" s="1">
        <v>41</v>
      </c>
    </row>
    <row r="1607" spans="1:6">
      <c r="A1607">
        <v>13</v>
      </c>
      <c r="B1607" t="s">
        <v>200</v>
      </c>
      <c r="C1607" s="1">
        <v>1</v>
      </c>
      <c r="D1607" s="1" t="s">
        <v>194</v>
      </c>
      <c r="E1607" s="1">
        <v>22</v>
      </c>
      <c r="F1607" s="1" t="s">
        <v>194</v>
      </c>
    </row>
    <row r="1608" spans="1:6">
      <c r="A1608">
        <v>13</v>
      </c>
      <c r="B1608" t="s">
        <v>200</v>
      </c>
      <c r="C1608" s="1">
        <v>1</v>
      </c>
      <c r="D1608" s="1" t="s">
        <v>195</v>
      </c>
      <c r="E1608" s="1">
        <v>32</v>
      </c>
      <c r="F1608" s="1" t="s">
        <v>195</v>
      </c>
    </row>
    <row r="1609" spans="1:6">
      <c r="A1609">
        <v>13</v>
      </c>
      <c r="B1609" t="s">
        <v>200</v>
      </c>
      <c r="C1609" s="1">
        <v>1</v>
      </c>
      <c r="D1609" s="1" t="s">
        <v>196</v>
      </c>
      <c r="E1609" s="1">
        <v>42</v>
      </c>
      <c r="F1609" s="1" t="s">
        <v>196</v>
      </c>
    </row>
    <row r="1610" spans="1:6">
      <c r="A1610">
        <v>13</v>
      </c>
      <c r="B1610" t="s">
        <v>200</v>
      </c>
      <c r="C1610" s="1">
        <v>1</v>
      </c>
      <c r="D1610" s="1">
        <v>44</v>
      </c>
      <c r="E1610" s="1">
        <v>50</v>
      </c>
      <c r="F1610" s="1">
        <v>44</v>
      </c>
    </row>
    <row r="1611" spans="1:6">
      <c r="A1611">
        <v>13</v>
      </c>
      <c r="B1611" t="s">
        <v>200</v>
      </c>
      <c r="C1611" s="1">
        <v>1</v>
      </c>
      <c r="D1611" s="1">
        <v>39</v>
      </c>
      <c r="F1611" s="1">
        <v>39</v>
      </c>
    </row>
    <row r="1612" spans="1:6">
      <c r="A1612">
        <v>13</v>
      </c>
      <c r="B1612" t="s">
        <v>200</v>
      </c>
      <c r="E1612" s="1">
        <v>96</v>
      </c>
    </row>
    <row r="1613" spans="1:6">
      <c r="A1613">
        <v>21</v>
      </c>
      <c r="B1613" t="s">
        <v>205</v>
      </c>
      <c r="C1613" s="1">
        <v>1</v>
      </c>
      <c r="D1613" s="1" t="s">
        <v>541</v>
      </c>
      <c r="E1613" s="1">
        <v>2</v>
      </c>
      <c r="F1613" s="1" t="s">
        <v>541</v>
      </c>
    </row>
    <row r="1614" spans="1:6">
      <c r="A1614">
        <v>21</v>
      </c>
      <c r="B1614" t="s">
        <v>205</v>
      </c>
      <c r="C1614" s="1">
        <v>1</v>
      </c>
      <c r="D1614" s="1" t="s">
        <v>394</v>
      </c>
      <c r="E1614" s="1">
        <v>12</v>
      </c>
      <c r="F1614" s="1" t="s">
        <v>394</v>
      </c>
    </row>
    <row r="1615" spans="1:6">
      <c r="A1615">
        <v>21</v>
      </c>
      <c r="B1615" t="s">
        <v>205</v>
      </c>
      <c r="C1615" s="1">
        <v>1</v>
      </c>
      <c r="D1615" s="1" t="s">
        <v>330</v>
      </c>
      <c r="E1615" s="1">
        <v>42</v>
      </c>
      <c r="F1615" s="1" t="s">
        <v>330</v>
      </c>
    </row>
    <row r="1616" spans="1:6">
      <c r="A1616">
        <v>21</v>
      </c>
      <c r="B1616" t="s">
        <v>205</v>
      </c>
      <c r="C1616" s="1">
        <v>1</v>
      </c>
      <c r="D1616" s="1" t="s">
        <v>331</v>
      </c>
      <c r="E1616" s="1">
        <v>50</v>
      </c>
      <c r="F1616" s="1" t="s">
        <v>331</v>
      </c>
    </row>
    <row r="1617" spans="1:6">
      <c r="A1617">
        <v>21</v>
      </c>
      <c r="B1617" t="s">
        <v>205</v>
      </c>
      <c r="C1617" s="1">
        <v>1</v>
      </c>
      <c r="D1617" s="1" t="s">
        <v>287</v>
      </c>
      <c r="E1617" s="1">
        <v>52</v>
      </c>
      <c r="F1617" s="1" t="s">
        <v>287</v>
      </c>
    </row>
    <row r="1618" spans="1:6">
      <c r="A1618">
        <v>21</v>
      </c>
      <c r="B1618" t="s">
        <v>205</v>
      </c>
      <c r="C1618" s="1">
        <v>1</v>
      </c>
      <c r="D1618" s="1" t="s">
        <v>288</v>
      </c>
      <c r="E1618" s="1">
        <v>62</v>
      </c>
      <c r="F1618" s="1" t="s">
        <v>288</v>
      </c>
    </row>
    <row r="1619" spans="1:6">
      <c r="A1619">
        <v>27</v>
      </c>
      <c r="B1619" t="s">
        <v>210</v>
      </c>
      <c r="C1619" s="1">
        <v>1</v>
      </c>
      <c r="D1619" s="1" t="s">
        <v>196</v>
      </c>
      <c r="E1619" s="1">
        <v>42</v>
      </c>
      <c r="F1619" s="1" t="s">
        <v>196</v>
      </c>
    </row>
    <row r="1620" spans="1:6">
      <c r="A1620">
        <v>27</v>
      </c>
      <c r="B1620" t="s">
        <v>210</v>
      </c>
      <c r="C1620" s="1">
        <v>1</v>
      </c>
      <c r="D1620" s="1">
        <v>45</v>
      </c>
      <c r="E1620" s="1">
        <v>60</v>
      </c>
      <c r="F1620" s="1">
        <v>45</v>
      </c>
    </row>
    <row r="1621" spans="1:6">
      <c r="A1621">
        <v>45</v>
      </c>
      <c r="B1621" t="s">
        <v>223</v>
      </c>
      <c r="C1621" s="1">
        <v>1</v>
      </c>
      <c r="D1621" s="1" t="s">
        <v>336</v>
      </c>
      <c r="E1621" s="1">
        <v>13</v>
      </c>
      <c r="F1621" s="1" t="s">
        <v>337</v>
      </c>
    </row>
    <row r="1622" spans="1:6">
      <c r="A1622">
        <v>45</v>
      </c>
      <c r="B1622" t="s">
        <v>223</v>
      </c>
      <c r="C1622" s="1">
        <v>1</v>
      </c>
      <c r="D1622" s="1" t="s">
        <v>324</v>
      </c>
      <c r="E1622" s="1">
        <v>14</v>
      </c>
      <c r="F1622" s="1" t="s">
        <v>325</v>
      </c>
    </row>
    <row r="1623" spans="1:6">
      <c r="A1623">
        <v>45</v>
      </c>
      <c r="B1623" t="s">
        <v>223</v>
      </c>
      <c r="C1623" s="1">
        <v>1</v>
      </c>
      <c r="D1623" s="1" t="s">
        <v>542</v>
      </c>
      <c r="E1623" s="1">
        <v>64</v>
      </c>
      <c r="F1623" s="1" t="s">
        <v>543</v>
      </c>
    </row>
    <row r="1624" spans="1:6">
      <c r="A1624">
        <v>45</v>
      </c>
      <c r="B1624" t="s">
        <v>223</v>
      </c>
      <c r="C1624" s="1">
        <v>2</v>
      </c>
      <c r="D1624" s="1" t="s">
        <v>524</v>
      </c>
      <c r="E1624" s="1">
        <v>24</v>
      </c>
      <c r="F1624" s="1" t="s">
        <v>524</v>
      </c>
    </row>
    <row r="1625" spans="1:6">
      <c r="A1625">
        <v>56</v>
      </c>
      <c r="B1625" t="s">
        <v>544</v>
      </c>
      <c r="E1625" s="1">
        <v>30</v>
      </c>
    </row>
    <row r="1626" spans="1:6">
      <c r="A1626">
        <v>56</v>
      </c>
      <c r="B1626" t="s">
        <v>544</v>
      </c>
      <c r="E1626" s="1">
        <v>40</v>
      </c>
    </row>
    <row r="1627" spans="1:6">
      <c r="A1627">
        <v>56</v>
      </c>
      <c r="B1627" t="s">
        <v>544</v>
      </c>
      <c r="E1627" s="1">
        <v>50</v>
      </c>
    </row>
    <row r="1628" spans="1:6">
      <c r="A1628">
        <v>56</v>
      </c>
      <c r="B1628" t="s">
        <v>544</v>
      </c>
      <c r="E1628" s="1">
        <v>60</v>
      </c>
    </row>
    <row r="1629" spans="1:6">
      <c r="A1629">
        <v>56</v>
      </c>
      <c r="B1629" t="s">
        <v>544</v>
      </c>
      <c r="E1629" s="1">
        <v>70</v>
      </c>
    </row>
    <row r="1630" spans="1:6">
      <c r="A1630">
        <v>56</v>
      </c>
      <c r="B1630" t="s">
        <v>544</v>
      </c>
      <c r="E1630" s="1">
        <v>80</v>
      </c>
    </row>
    <row r="1631" spans="1:6">
      <c r="A1631">
        <v>56</v>
      </c>
      <c r="B1631" t="s">
        <v>544</v>
      </c>
      <c r="E1631" s="1">
        <v>90</v>
      </c>
    </row>
    <row r="1632" spans="1:6">
      <c r="A1632">
        <v>57</v>
      </c>
      <c r="B1632" t="s">
        <v>183</v>
      </c>
      <c r="C1632" s="1">
        <v>3</v>
      </c>
      <c r="D1632" s="1" t="s">
        <v>338</v>
      </c>
      <c r="E1632" s="1">
        <v>60</v>
      </c>
      <c r="F1632" s="1" t="s">
        <v>338</v>
      </c>
    </row>
    <row r="1633" spans="1:6">
      <c r="A1633">
        <v>57</v>
      </c>
      <c r="B1633" t="s">
        <v>183</v>
      </c>
      <c r="E1633" s="1">
        <v>50</v>
      </c>
    </row>
    <row r="1634" spans="1:6">
      <c r="A1634">
        <v>59</v>
      </c>
      <c r="B1634" t="s">
        <v>227</v>
      </c>
      <c r="C1634" s="1">
        <v>3</v>
      </c>
      <c r="D1634" s="1" t="s">
        <v>295</v>
      </c>
      <c r="E1634" s="1">
        <v>23</v>
      </c>
      <c r="F1634" s="1" t="s">
        <v>295</v>
      </c>
    </row>
    <row r="1635" spans="1:6">
      <c r="A1635">
        <v>74</v>
      </c>
      <c r="B1635" t="s">
        <v>235</v>
      </c>
      <c r="C1635" s="1">
        <v>3</v>
      </c>
      <c r="D1635" s="1" t="s">
        <v>320</v>
      </c>
      <c r="E1635" s="1">
        <v>50</v>
      </c>
      <c r="F1635" s="1" t="s">
        <v>320</v>
      </c>
    </row>
    <row r="1636" spans="1:6">
      <c r="A1636">
        <v>74</v>
      </c>
      <c r="B1636" t="s">
        <v>235</v>
      </c>
      <c r="C1636" s="1">
        <v>3</v>
      </c>
      <c r="D1636" s="1" t="s">
        <v>321</v>
      </c>
      <c r="E1636" s="1">
        <v>60</v>
      </c>
      <c r="F1636" s="1" t="s">
        <v>321</v>
      </c>
    </row>
    <row r="1637" spans="1:6">
      <c r="A1637">
        <v>87</v>
      </c>
      <c r="B1637" t="s">
        <v>545</v>
      </c>
      <c r="C1637" s="1">
        <v>1</v>
      </c>
      <c r="D1637" s="1" t="s">
        <v>546</v>
      </c>
      <c r="E1637" s="1">
        <v>24</v>
      </c>
      <c r="F1637" s="1" t="s">
        <v>546</v>
      </c>
    </row>
    <row r="1639" spans="1:6">
      <c r="A1639">
        <v>1</v>
      </c>
      <c r="B1639" t="s">
        <v>137</v>
      </c>
      <c r="C1639" s="1">
        <v>1</v>
      </c>
      <c r="D1639" s="1">
        <v>15</v>
      </c>
      <c r="E1639" s="1">
        <v>80</v>
      </c>
      <c r="F1639" s="1">
        <v>15</v>
      </c>
    </row>
    <row r="1640" spans="1:6">
      <c r="A1640">
        <v>1</v>
      </c>
      <c r="B1640" t="s">
        <v>137</v>
      </c>
      <c r="C1640" s="1">
        <v>1</v>
      </c>
      <c r="D1640" s="1" t="s">
        <v>153</v>
      </c>
      <c r="E1640" s="1">
        <v>92</v>
      </c>
      <c r="F1640" s="1" t="s">
        <v>153</v>
      </c>
    </row>
    <row r="1641" spans="1:6">
      <c r="A1641">
        <v>1</v>
      </c>
      <c r="B1641" t="s">
        <v>137</v>
      </c>
      <c r="C1641" s="1">
        <v>1</v>
      </c>
      <c r="D1641" s="1" t="s">
        <v>156</v>
      </c>
      <c r="E1641" s="1">
        <v>96</v>
      </c>
      <c r="F1641" s="1" t="s">
        <v>156</v>
      </c>
    </row>
    <row r="1642" spans="1:6">
      <c r="A1642">
        <v>1</v>
      </c>
      <c r="B1642" t="s">
        <v>137</v>
      </c>
      <c r="C1642" s="1">
        <v>2</v>
      </c>
      <c r="D1642" s="1" t="s">
        <v>159</v>
      </c>
      <c r="E1642" s="1">
        <v>2</v>
      </c>
      <c r="F1642" s="1" t="s">
        <v>159</v>
      </c>
    </row>
    <row r="1643" spans="1:6">
      <c r="A1643">
        <v>1</v>
      </c>
      <c r="B1643" t="s">
        <v>137</v>
      </c>
      <c r="C1643" s="1">
        <v>2</v>
      </c>
      <c r="D1643" s="1">
        <v>19</v>
      </c>
      <c r="E1643" s="1">
        <v>10</v>
      </c>
      <c r="F1643" s="1">
        <v>19</v>
      </c>
    </row>
    <row r="1644" spans="1:6">
      <c r="A1644">
        <v>1</v>
      </c>
      <c r="B1644" t="s">
        <v>137</v>
      </c>
      <c r="C1644" s="1">
        <v>2</v>
      </c>
      <c r="D1644" s="1" t="s">
        <v>162</v>
      </c>
      <c r="E1644" s="1">
        <v>12</v>
      </c>
      <c r="F1644" s="1" t="s">
        <v>162</v>
      </c>
    </row>
    <row r="1645" spans="1:6">
      <c r="A1645">
        <v>1</v>
      </c>
      <c r="B1645" t="s">
        <v>137</v>
      </c>
      <c r="C1645" s="1">
        <v>2</v>
      </c>
      <c r="D1645" s="1">
        <v>20</v>
      </c>
      <c r="E1645" s="1">
        <v>20</v>
      </c>
      <c r="F1645" s="1">
        <v>20</v>
      </c>
    </row>
    <row r="1646" spans="1:6">
      <c r="A1646">
        <v>1</v>
      </c>
      <c r="B1646" t="s">
        <v>137</v>
      </c>
      <c r="C1646" s="1">
        <v>2</v>
      </c>
      <c r="D1646" s="1" t="s">
        <v>165</v>
      </c>
      <c r="E1646" s="1">
        <v>22</v>
      </c>
      <c r="F1646" s="1" t="s">
        <v>165</v>
      </c>
    </row>
    <row r="1647" spans="1:6">
      <c r="A1647">
        <v>1</v>
      </c>
      <c r="B1647" t="s">
        <v>137</v>
      </c>
      <c r="C1647" s="1">
        <v>2</v>
      </c>
      <c r="D1647" s="1">
        <v>21</v>
      </c>
      <c r="E1647" s="1">
        <v>30</v>
      </c>
      <c r="F1647" s="1">
        <v>21</v>
      </c>
    </row>
    <row r="1648" spans="1:6">
      <c r="A1648">
        <v>1</v>
      </c>
      <c r="B1648" t="s">
        <v>137</v>
      </c>
      <c r="C1648" s="1">
        <v>2</v>
      </c>
      <c r="D1648" s="1" t="s">
        <v>168</v>
      </c>
      <c r="E1648" s="1">
        <v>32</v>
      </c>
      <c r="F1648" s="1" t="s">
        <v>168</v>
      </c>
    </row>
    <row r="1649" spans="1:6">
      <c r="A1649">
        <v>1</v>
      </c>
      <c r="B1649" t="s">
        <v>137</v>
      </c>
      <c r="C1649" s="1">
        <v>2</v>
      </c>
      <c r="D1649" s="1" t="s">
        <v>171</v>
      </c>
      <c r="E1649" s="1">
        <v>42</v>
      </c>
      <c r="F1649" s="1" t="s">
        <v>171</v>
      </c>
    </row>
    <row r="1650" spans="1:6">
      <c r="A1650">
        <v>1</v>
      </c>
      <c r="B1650" t="s">
        <v>137</v>
      </c>
      <c r="C1650" s="1">
        <v>2</v>
      </c>
      <c r="D1650" s="1" t="s">
        <v>174</v>
      </c>
      <c r="E1650" s="1">
        <v>52</v>
      </c>
      <c r="F1650" s="1" t="s">
        <v>174</v>
      </c>
    </row>
    <row r="1651" spans="1:6">
      <c r="A1651">
        <v>1</v>
      </c>
      <c r="B1651" t="s">
        <v>137</v>
      </c>
      <c r="C1651" s="1">
        <v>2</v>
      </c>
      <c r="D1651" s="1">
        <v>18</v>
      </c>
      <c r="F1651" s="1">
        <v>18</v>
      </c>
    </row>
    <row r="1652" spans="1:6">
      <c r="A1652">
        <v>6</v>
      </c>
      <c r="B1652" t="s">
        <v>184</v>
      </c>
      <c r="E1652" s="1">
        <v>63</v>
      </c>
    </row>
    <row r="1653" spans="1:6">
      <c r="A1653">
        <v>18</v>
      </c>
      <c r="B1653" t="s">
        <v>204</v>
      </c>
      <c r="C1653" s="1">
        <v>1</v>
      </c>
      <c r="D1653" s="1" t="s">
        <v>192</v>
      </c>
      <c r="E1653" s="1">
        <v>2</v>
      </c>
      <c r="F1653" s="1" t="s">
        <v>192</v>
      </c>
    </row>
    <row r="1654" spans="1:6">
      <c r="A1654">
        <v>18</v>
      </c>
      <c r="B1654" t="s">
        <v>204</v>
      </c>
      <c r="C1654" s="1">
        <v>1</v>
      </c>
      <c r="D1654" s="1">
        <v>40</v>
      </c>
      <c r="E1654" s="1">
        <v>10</v>
      </c>
      <c r="F1654" s="1">
        <v>40</v>
      </c>
    </row>
    <row r="1655" spans="1:6">
      <c r="A1655">
        <v>18</v>
      </c>
      <c r="B1655" t="s">
        <v>204</v>
      </c>
      <c r="C1655" s="1">
        <v>1</v>
      </c>
      <c r="D1655" s="1" t="s">
        <v>193</v>
      </c>
      <c r="E1655" s="1">
        <v>12</v>
      </c>
      <c r="F1655" s="1" t="s">
        <v>193</v>
      </c>
    </row>
    <row r="1656" spans="1:6">
      <c r="A1656">
        <v>18</v>
      </c>
      <c r="B1656" t="s">
        <v>204</v>
      </c>
      <c r="C1656" s="1">
        <v>1</v>
      </c>
      <c r="D1656" s="1">
        <v>41</v>
      </c>
      <c r="E1656" s="1">
        <v>20</v>
      </c>
      <c r="F1656" s="1">
        <v>41</v>
      </c>
    </row>
    <row r="1657" spans="1:6">
      <c r="A1657">
        <v>18</v>
      </c>
      <c r="B1657" t="s">
        <v>204</v>
      </c>
      <c r="C1657" s="1">
        <v>1</v>
      </c>
      <c r="D1657" s="1" t="s">
        <v>194</v>
      </c>
      <c r="E1657" s="1">
        <v>22</v>
      </c>
      <c r="F1657" s="1" t="s">
        <v>194</v>
      </c>
    </row>
    <row r="1658" spans="1:6">
      <c r="A1658">
        <v>18</v>
      </c>
      <c r="B1658" t="s">
        <v>204</v>
      </c>
      <c r="C1658" s="1">
        <v>1</v>
      </c>
      <c r="D1658" s="1">
        <v>42</v>
      </c>
      <c r="E1658" s="1">
        <v>30</v>
      </c>
      <c r="F1658" s="1">
        <v>42</v>
      </c>
    </row>
    <row r="1659" spans="1:6">
      <c r="A1659">
        <v>18</v>
      </c>
      <c r="B1659" t="s">
        <v>204</v>
      </c>
      <c r="C1659" s="1">
        <v>1</v>
      </c>
      <c r="D1659" s="1" t="s">
        <v>195</v>
      </c>
      <c r="E1659" s="1">
        <v>32</v>
      </c>
      <c r="F1659" s="1" t="s">
        <v>195</v>
      </c>
    </row>
    <row r="1660" spans="1:6">
      <c r="A1660">
        <v>18</v>
      </c>
      <c r="B1660" t="s">
        <v>204</v>
      </c>
      <c r="C1660" s="1">
        <v>1</v>
      </c>
      <c r="D1660" s="1">
        <v>43</v>
      </c>
      <c r="E1660" s="1">
        <v>40</v>
      </c>
      <c r="F1660" s="1">
        <v>43</v>
      </c>
    </row>
    <row r="1661" spans="1:6">
      <c r="A1661">
        <v>18</v>
      </c>
      <c r="B1661" t="s">
        <v>204</v>
      </c>
      <c r="C1661" s="1">
        <v>1</v>
      </c>
      <c r="D1661" s="1" t="s">
        <v>196</v>
      </c>
      <c r="E1661" s="1">
        <v>42</v>
      </c>
      <c r="F1661" s="1" t="s">
        <v>196</v>
      </c>
    </row>
    <row r="1662" spans="1:6">
      <c r="A1662">
        <v>18</v>
      </c>
      <c r="B1662" t="s">
        <v>204</v>
      </c>
      <c r="C1662" s="1">
        <v>1</v>
      </c>
      <c r="D1662" s="1">
        <v>44</v>
      </c>
      <c r="E1662" s="1">
        <v>50</v>
      </c>
      <c r="F1662" s="1">
        <v>44</v>
      </c>
    </row>
    <row r="1663" spans="1:6">
      <c r="A1663">
        <v>18</v>
      </c>
      <c r="B1663" t="s">
        <v>204</v>
      </c>
      <c r="C1663" s="1">
        <v>1</v>
      </c>
      <c r="D1663" s="1" t="s">
        <v>197</v>
      </c>
      <c r="E1663" s="1">
        <v>52</v>
      </c>
      <c r="F1663" s="1" t="s">
        <v>197</v>
      </c>
    </row>
    <row r="1664" spans="1:6">
      <c r="A1664">
        <v>18</v>
      </c>
      <c r="B1664" t="s">
        <v>204</v>
      </c>
      <c r="C1664" s="1">
        <v>1</v>
      </c>
      <c r="D1664" s="1">
        <v>45</v>
      </c>
      <c r="E1664" s="1">
        <v>60</v>
      </c>
      <c r="F1664" s="1">
        <v>45</v>
      </c>
    </row>
    <row r="1665" spans="1:6">
      <c r="A1665">
        <v>18</v>
      </c>
      <c r="B1665" t="s">
        <v>204</v>
      </c>
      <c r="C1665" s="1">
        <v>1</v>
      </c>
      <c r="D1665" s="1" t="s">
        <v>198</v>
      </c>
      <c r="E1665" s="1">
        <v>62</v>
      </c>
      <c r="F1665" s="1" t="s">
        <v>198</v>
      </c>
    </row>
    <row r="1666" spans="1:6">
      <c r="A1666">
        <v>18</v>
      </c>
      <c r="B1666" t="s">
        <v>204</v>
      </c>
      <c r="C1666" s="1">
        <v>1</v>
      </c>
      <c r="D1666" s="1">
        <v>46</v>
      </c>
      <c r="E1666" s="1">
        <v>70</v>
      </c>
      <c r="F1666" s="1">
        <v>46</v>
      </c>
    </row>
    <row r="1667" spans="1:6">
      <c r="A1667">
        <v>18</v>
      </c>
      <c r="B1667" t="s">
        <v>204</v>
      </c>
      <c r="C1667" s="1">
        <v>1</v>
      </c>
      <c r="D1667" s="1" t="s">
        <v>199</v>
      </c>
      <c r="E1667" s="1">
        <v>72</v>
      </c>
      <c r="F1667" s="1" t="s">
        <v>199</v>
      </c>
    </row>
    <row r="1668" spans="1:6">
      <c r="A1668">
        <v>18</v>
      </c>
      <c r="B1668" t="s">
        <v>204</v>
      </c>
      <c r="C1668" s="1">
        <v>1</v>
      </c>
      <c r="D1668" s="1">
        <v>39</v>
      </c>
      <c r="F1668" s="1">
        <v>39</v>
      </c>
    </row>
    <row r="1669" spans="1:6">
      <c r="A1669">
        <v>18</v>
      </c>
      <c r="B1669" t="s">
        <v>204</v>
      </c>
      <c r="E1669" s="1">
        <v>90</v>
      </c>
    </row>
    <row r="1670" spans="1:6">
      <c r="A1670">
        <v>18</v>
      </c>
      <c r="B1670" t="s">
        <v>204</v>
      </c>
      <c r="E1670" s="1">
        <v>92</v>
      </c>
    </row>
    <row r="1671" spans="1:6">
      <c r="A1671">
        <v>21</v>
      </c>
      <c r="B1671" t="s">
        <v>205</v>
      </c>
      <c r="C1671" s="1">
        <v>1</v>
      </c>
      <c r="D1671" s="1" t="s">
        <v>284</v>
      </c>
      <c r="F1671" s="1" t="s">
        <v>284</v>
      </c>
    </row>
    <row r="1672" spans="1:6">
      <c r="A1672">
        <v>82</v>
      </c>
      <c r="B1672" t="s">
        <v>239</v>
      </c>
      <c r="E1672" s="1">
        <v>32</v>
      </c>
    </row>
    <row r="1673" spans="1:6">
      <c r="A1673">
        <v>82</v>
      </c>
      <c r="B1673" t="s">
        <v>239</v>
      </c>
      <c r="E1673" s="1">
        <v>38</v>
      </c>
    </row>
    <row r="1674" spans="1:6">
      <c r="A1674">
        <v>1</v>
      </c>
      <c r="B1674" t="s">
        <v>137</v>
      </c>
      <c r="C1674" s="1">
        <v>1</v>
      </c>
      <c r="D1674" s="1" t="s">
        <v>144</v>
      </c>
      <c r="E1674" s="1">
        <v>62</v>
      </c>
      <c r="F1674" s="1" t="s">
        <v>144</v>
      </c>
    </row>
    <row r="1675" spans="1:6">
      <c r="A1675">
        <v>1</v>
      </c>
      <c r="B1675" t="s">
        <v>137</v>
      </c>
      <c r="C1675" s="1">
        <v>1</v>
      </c>
      <c r="D1675" s="1">
        <v>14</v>
      </c>
      <c r="E1675" s="1">
        <v>70</v>
      </c>
      <c r="F1675" s="1">
        <v>14</v>
      </c>
    </row>
    <row r="1676" spans="1:6">
      <c r="A1676">
        <v>1</v>
      </c>
      <c r="B1676" t="s">
        <v>137</v>
      </c>
      <c r="C1676" s="1">
        <v>1</v>
      </c>
      <c r="D1676" s="1" t="s">
        <v>147</v>
      </c>
      <c r="E1676" s="1">
        <v>72</v>
      </c>
      <c r="F1676" s="1" t="s">
        <v>147</v>
      </c>
    </row>
    <row r="1677" spans="1:6">
      <c r="A1677">
        <v>1</v>
      </c>
      <c r="B1677" t="s">
        <v>137</v>
      </c>
      <c r="C1677" s="1">
        <v>1</v>
      </c>
      <c r="D1677" s="1">
        <v>15</v>
      </c>
      <c r="E1677" s="1">
        <v>80</v>
      </c>
      <c r="F1677" s="1">
        <v>15</v>
      </c>
    </row>
    <row r="1678" spans="1:6">
      <c r="A1678">
        <v>1</v>
      </c>
      <c r="B1678" t="s">
        <v>137</v>
      </c>
      <c r="C1678" s="1">
        <v>1</v>
      </c>
      <c r="D1678" s="1" t="s">
        <v>150</v>
      </c>
      <c r="E1678" s="1">
        <v>82</v>
      </c>
      <c r="F1678" s="1" t="s">
        <v>150</v>
      </c>
    </row>
    <row r="1679" spans="1:6">
      <c r="A1679">
        <v>1</v>
      </c>
      <c r="B1679" t="s">
        <v>137</v>
      </c>
      <c r="C1679" s="1">
        <v>1</v>
      </c>
      <c r="D1679" s="1">
        <v>16</v>
      </c>
      <c r="E1679" s="1">
        <v>90</v>
      </c>
      <c r="F1679" s="1">
        <v>16</v>
      </c>
    </row>
    <row r="1680" spans="1:6">
      <c r="A1680">
        <v>1</v>
      </c>
      <c r="B1680" t="s">
        <v>137</v>
      </c>
      <c r="C1680" s="1">
        <v>1</v>
      </c>
      <c r="D1680" s="1" t="s">
        <v>153</v>
      </c>
      <c r="E1680" s="1">
        <v>92</v>
      </c>
      <c r="F1680" s="1" t="s">
        <v>153</v>
      </c>
    </row>
    <row r="1681" spans="1:6">
      <c r="A1681">
        <v>1</v>
      </c>
      <c r="B1681" t="s">
        <v>137</v>
      </c>
      <c r="C1681" s="1">
        <v>1</v>
      </c>
      <c r="D1681" s="1">
        <v>17</v>
      </c>
      <c r="E1681" s="1">
        <v>94</v>
      </c>
      <c r="F1681" s="1">
        <v>17</v>
      </c>
    </row>
    <row r="1682" spans="1:6">
      <c r="A1682">
        <v>1</v>
      </c>
      <c r="B1682" t="s">
        <v>137</v>
      </c>
      <c r="C1682" s="1">
        <v>1</v>
      </c>
      <c r="D1682" s="1" t="s">
        <v>156</v>
      </c>
      <c r="E1682" s="1">
        <v>96</v>
      </c>
      <c r="F1682" s="1" t="s">
        <v>156</v>
      </c>
    </row>
    <row r="1683" spans="1:6">
      <c r="A1683">
        <v>1</v>
      </c>
      <c r="B1683" t="s">
        <v>137</v>
      </c>
      <c r="C1683" s="1">
        <v>2</v>
      </c>
      <c r="D1683" s="1" t="s">
        <v>159</v>
      </c>
      <c r="E1683" s="1">
        <v>2</v>
      </c>
      <c r="F1683" s="1" t="s">
        <v>159</v>
      </c>
    </row>
    <row r="1684" spans="1:6">
      <c r="A1684">
        <v>1</v>
      </c>
      <c r="B1684" t="s">
        <v>137</v>
      </c>
      <c r="C1684" s="1">
        <v>2</v>
      </c>
      <c r="D1684" s="1">
        <v>19</v>
      </c>
      <c r="E1684" s="1">
        <v>10</v>
      </c>
      <c r="F1684" s="1">
        <v>19</v>
      </c>
    </row>
    <row r="1685" spans="1:6">
      <c r="A1685">
        <v>1</v>
      </c>
      <c r="B1685" t="s">
        <v>137</v>
      </c>
      <c r="C1685" s="1">
        <v>2</v>
      </c>
      <c r="D1685" s="1" t="s">
        <v>162</v>
      </c>
      <c r="E1685" s="1">
        <v>12</v>
      </c>
      <c r="F1685" s="1" t="s">
        <v>162</v>
      </c>
    </row>
    <row r="1686" spans="1:6">
      <c r="A1686">
        <v>1</v>
      </c>
      <c r="B1686" t="s">
        <v>137</v>
      </c>
      <c r="C1686" s="1">
        <v>2</v>
      </c>
      <c r="D1686" s="1">
        <v>20</v>
      </c>
      <c r="E1686" s="1">
        <v>20</v>
      </c>
      <c r="F1686" s="1">
        <v>20</v>
      </c>
    </row>
    <row r="1687" spans="1:6">
      <c r="A1687">
        <v>1</v>
      </c>
      <c r="B1687" t="s">
        <v>137</v>
      </c>
      <c r="C1687" s="1">
        <v>2</v>
      </c>
      <c r="D1687" s="1" t="s">
        <v>165</v>
      </c>
      <c r="E1687" s="1">
        <v>22</v>
      </c>
      <c r="F1687" s="1" t="s">
        <v>165</v>
      </c>
    </row>
    <row r="1688" spans="1:6">
      <c r="A1688">
        <v>1</v>
      </c>
      <c r="B1688" t="s">
        <v>137</v>
      </c>
      <c r="C1688" s="1">
        <v>2</v>
      </c>
      <c r="D1688" s="1">
        <v>21</v>
      </c>
      <c r="E1688" s="1">
        <v>30</v>
      </c>
      <c r="F1688" s="1">
        <v>21</v>
      </c>
    </row>
    <row r="1689" spans="1:6">
      <c r="A1689">
        <v>1</v>
      </c>
      <c r="B1689" t="s">
        <v>137</v>
      </c>
      <c r="C1689" s="1">
        <v>2</v>
      </c>
      <c r="D1689" s="1" t="s">
        <v>168</v>
      </c>
      <c r="E1689" s="1">
        <v>32</v>
      </c>
      <c r="F1689" s="1" t="s">
        <v>168</v>
      </c>
    </row>
    <row r="1690" spans="1:6">
      <c r="A1690">
        <v>1</v>
      </c>
      <c r="B1690" t="s">
        <v>137</v>
      </c>
      <c r="C1690" s="1">
        <v>2</v>
      </c>
      <c r="D1690" s="1">
        <v>22</v>
      </c>
      <c r="E1690" s="1">
        <v>40</v>
      </c>
      <c r="F1690" s="1">
        <v>22</v>
      </c>
    </row>
    <row r="1691" spans="1:6">
      <c r="A1691">
        <v>1</v>
      </c>
      <c r="B1691" t="s">
        <v>137</v>
      </c>
      <c r="C1691" s="1">
        <v>2</v>
      </c>
      <c r="D1691" s="1" t="s">
        <v>171</v>
      </c>
      <c r="E1691" s="1">
        <v>42</v>
      </c>
      <c r="F1691" s="1" t="s">
        <v>171</v>
      </c>
    </row>
    <row r="1692" spans="1:6">
      <c r="A1692">
        <v>1</v>
      </c>
      <c r="B1692" t="s">
        <v>137</v>
      </c>
      <c r="C1692" s="1">
        <v>2</v>
      </c>
      <c r="D1692" s="1">
        <v>23</v>
      </c>
      <c r="E1692" s="1">
        <v>50</v>
      </c>
      <c r="F1692" s="1">
        <v>23</v>
      </c>
    </row>
    <row r="1693" spans="1:6">
      <c r="A1693">
        <v>1</v>
      </c>
      <c r="B1693" t="s">
        <v>137</v>
      </c>
      <c r="C1693" s="1">
        <v>2</v>
      </c>
      <c r="D1693" s="1" t="s">
        <v>174</v>
      </c>
      <c r="E1693" s="1">
        <v>52</v>
      </c>
      <c r="F1693" s="1" t="s">
        <v>174</v>
      </c>
    </row>
    <row r="1694" spans="1:6">
      <c r="A1694">
        <v>1</v>
      </c>
      <c r="B1694" t="s">
        <v>137</v>
      </c>
      <c r="C1694" s="1">
        <v>2</v>
      </c>
      <c r="D1694" s="1">
        <v>24</v>
      </c>
      <c r="E1694" s="1">
        <v>60</v>
      </c>
      <c r="F1694" s="1">
        <v>24</v>
      </c>
    </row>
    <row r="1695" spans="1:6">
      <c r="A1695">
        <v>1</v>
      </c>
      <c r="B1695" t="s">
        <v>137</v>
      </c>
      <c r="C1695" s="1">
        <v>2</v>
      </c>
      <c r="D1695" s="1" t="s">
        <v>177</v>
      </c>
      <c r="E1695" s="1">
        <v>62</v>
      </c>
      <c r="F1695" s="1" t="s">
        <v>177</v>
      </c>
    </row>
    <row r="1696" spans="1:6">
      <c r="A1696">
        <v>1</v>
      </c>
      <c r="B1696" t="s">
        <v>137</v>
      </c>
      <c r="C1696" s="1">
        <v>2</v>
      </c>
      <c r="D1696" s="1" t="s">
        <v>180</v>
      </c>
      <c r="E1696" s="1">
        <v>72</v>
      </c>
      <c r="F1696" s="1" t="s">
        <v>180</v>
      </c>
    </row>
    <row r="1697" spans="1:6">
      <c r="A1697">
        <v>1</v>
      </c>
      <c r="B1697" t="s">
        <v>137</v>
      </c>
      <c r="C1697" s="1">
        <v>2</v>
      </c>
      <c r="D1697" s="1">
        <v>18</v>
      </c>
      <c r="F1697" s="1">
        <v>18</v>
      </c>
    </row>
    <row r="1698" spans="1:6">
      <c r="A1698">
        <v>5</v>
      </c>
      <c r="B1698" t="s">
        <v>183</v>
      </c>
      <c r="E1698" s="1">
        <v>50</v>
      </c>
    </row>
    <row r="1699" spans="1:6">
      <c r="A1699">
        <v>5</v>
      </c>
      <c r="B1699" t="s">
        <v>183</v>
      </c>
      <c r="E1699" s="1">
        <v>60</v>
      </c>
    </row>
    <row r="1700" spans="1:6">
      <c r="A1700">
        <v>6</v>
      </c>
      <c r="B1700" t="s">
        <v>184</v>
      </c>
      <c r="C1700" s="1">
        <v>1</v>
      </c>
      <c r="D1700" s="1" t="s">
        <v>290</v>
      </c>
      <c r="E1700" s="1">
        <v>10</v>
      </c>
      <c r="F1700" s="1" t="s">
        <v>290</v>
      </c>
    </row>
    <row r="1701" spans="1:6">
      <c r="A1701">
        <v>6</v>
      </c>
      <c r="B1701" t="s">
        <v>184</v>
      </c>
      <c r="E1701" s="1">
        <v>23</v>
      </c>
    </row>
    <row r="1702" spans="1:6">
      <c r="A1702">
        <v>6</v>
      </c>
      <c r="B1702" t="s">
        <v>184</v>
      </c>
      <c r="E1702" s="1">
        <v>63</v>
      </c>
    </row>
    <row r="1703" spans="1:6">
      <c r="A1703">
        <v>11</v>
      </c>
      <c r="B1703" t="s">
        <v>186</v>
      </c>
      <c r="C1703" s="1">
        <v>1</v>
      </c>
      <c r="D1703" s="1" t="s">
        <v>192</v>
      </c>
      <c r="E1703" s="1">
        <v>2</v>
      </c>
      <c r="F1703" s="1" t="s">
        <v>192</v>
      </c>
    </row>
    <row r="1704" spans="1:6">
      <c r="A1704">
        <v>11</v>
      </c>
      <c r="B1704" t="s">
        <v>186</v>
      </c>
      <c r="C1704" s="1">
        <v>1</v>
      </c>
      <c r="D1704" s="1" t="s">
        <v>193</v>
      </c>
      <c r="E1704" s="1">
        <v>12</v>
      </c>
      <c r="F1704" s="1" t="s">
        <v>193</v>
      </c>
    </row>
    <row r="1705" spans="1:6">
      <c r="A1705">
        <v>11</v>
      </c>
      <c r="B1705" t="s">
        <v>186</v>
      </c>
      <c r="C1705" s="1">
        <v>1</v>
      </c>
      <c r="D1705" s="1">
        <v>41</v>
      </c>
      <c r="E1705" s="1">
        <v>20</v>
      </c>
      <c r="F1705" s="1">
        <v>41</v>
      </c>
    </row>
    <row r="1706" spans="1:6">
      <c r="A1706">
        <v>11</v>
      </c>
      <c r="B1706" t="s">
        <v>186</v>
      </c>
      <c r="C1706" s="1">
        <v>1</v>
      </c>
      <c r="D1706" s="1" t="s">
        <v>194</v>
      </c>
      <c r="E1706" s="1">
        <v>22</v>
      </c>
      <c r="F1706" s="1" t="s">
        <v>194</v>
      </c>
    </row>
    <row r="1707" spans="1:6">
      <c r="A1707">
        <v>11</v>
      </c>
      <c r="B1707" t="s">
        <v>186</v>
      </c>
      <c r="C1707" s="1">
        <v>1</v>
      </c>
      <c r="D1707" s="1">
        <v>42</v>
      </c>
      <c r="E1707" s="1">
        <v>30</v>
      </c>
      <c r="F1707" s="1">
        <v>42</v>
      </c>
    </row>
    <row r="1708" spans="1:6">
      <c r="A1708">
        <v>11</v>
      </c>
      <c r="B1708" t="s">
        <v>186</v>
      </c>
      <c r="C1708" s="1">
        <v>1</v>
      </c>
      <c r="D1708" s="1" t="s">
        <v>195</v>
      </c>
      <c r="E1708" s="1">
        <v>32</v>
      </c>
      <c r="F1708" s="1" t="s">
        <v>195</v>
      </c>
    </row>
    <row r="1709" spans="1:6">
      <c r="A1709">
        <v>11</v>
      </c>
      <c r="B1709" t="s">
        <v>186</v>
      </c>
      <c r="C1709" s="1">
        <v>1</v>
      </c>
      <c r="D1709" s="1">
        <v>43</v>
      </c>
      <c r="E1709" s="1">
        <v>40</v>
      </c>
      <c r="F1709" s="1">
        <v>43</v>
      </c>
    </row>
    <row r="1710" spans="1:6">
      <c r="A1710">
        <v>11</v>
      </c>
      <c r="B1710" t="s">
        <v>186</v>
      </c>
      <c r="C1710" s="1">
        <v>1</v>
      </c>
      <c r="D1710" s="1" t="s">
        <v>196</v>
      </c>
      <c r="E1710" s="1">
        <v>42</v>
      </c>
      <c r="F1710" s="1" t="s">
        <v>196</v>
      </c>
    </row>
    <row r="1711" spans="1:6">
      <c r="A1711">
        <v>11</v>
      </c>
      <c r="B1711" t="s">
        <v>186</v>
      </c>
      <c r="C1711" s="1">
        <v>1</v>
      </c>
      <c r="D1711" s="1">
        <v>44</v>
      </c>
      <c r="E1711" s="1">
        <v>50</v>
      </c>
      <c r="F1711" s="1">
        <v>44</v>
      </c>
    </row>
    <row r="1712" spans="1:6">
      <c r="A1712">
        <v>11</v>
      </c>
      <c r="B1712" t="s">
        <v>186</v>
      </c>
      <c r="C1712" s="1">
        <v>1</v>
      </c>
      <c r="D1712" s="1" t="s">
        <v>197</v>
      </c>
      <c r="E1712" s="1">
        <v>52</v>
      </c>
      <c r="F1712" s="1" t="s">
        <v>197</v>
      </c>
    </row>
    <row r="1713" spans="1:6">
      <c r="A1713">
        <v>11</v>
      </c>
      <c r="B1713" t="s">
        <v>186</v>
      </c>
      <c r="C1713" s="1">
        <v>1</v>
      </c>
      <c r="D1713" s="1">
        <v>45</v>
      </c>
      <c r="E1713" s="1">
        <v>60</v>
      </c>
      <c r="F1713" s="1">
        <v>45</v>
      </c>
    </row>
    <row r="1714" spans="1:6">
      <c r="A1714">
        <v>11</v>
      </c>
      <c r="B1714" t="s">
        <v>186</v>
      </c>
      <c r="C1714" s="1">
        <v>1</v>
      </c>
      <c r="D1714" s="1" t="s">
        <v>198</v>
      </c>
      <c r="E1714" s="1">
        <v>62</v>
      </c>
      <c r="F1714" s="1" t="s">
        <v>198</v>
      </c>
    </row>
    <row r="1715" spans="1:6">
      <c r="A1715">
        <v>11</v>
      </c>
      <c r="B1715" t="s">
        <v>186</v>
      </c>
      <c r="C1715" s="1">
        <v>1</v>
      </c>
      <c r="D1715" s="1" t="s">
        <v>199</v>
      </c>
      <c r="E1715" s="1">
        <v>72</v>
      </c>
      <c r="F1715" s="1" t="s">
        <v>199</v>
      </c>
    </row>
    <row r="1716" spans="1:6">
      <c r="A1716">
        <v>11</v>
      </c>
      <c r="B1716" t="s">
        <v>186</v>
      </c>
      <c r="E1716" s="1">
        <v>90</v>
      </c>
    </row>
    <row r="1717" spans="1:6">
      <c r="A1717">
        <v>12</v>
      </c>
      <c r="B1717" t="s">
        <v>107</v>
      </c>
      <c r="C1717" s="1">
        <v>1</v>
      </c>
      <c r="D1717" s="1" t="s">
        <v>192</v>
      </c>
      <c r="E1717" s="1">
        <v>2</v>
      </c>
      <c r="F1717" s="1" t="s">
        <v>192</v>
      </c>
    </row>
    <row r="1718" spans="1:6">
      <c r="A1718">
        <v>12</v>
      </c>
      <c r="B1718" t="s">
        <v>107</v>
      </c>
      <c r="C1718" s="1">
        <v>1</v>
      </c>
      <c r="D1718" s="1" t="s">
        <v>193</v>
      </c>
      <c r="E1718" s="1">
        <v>12</v>
      </c>
      <c r="F1718" s="1" t="s">
        <v>193</v>
      </c>
    </row>
    <row r="1719" spans="1:6">
      <c r="A1719">
        <v>12</v>
      </c>
      <c r="B1719" t="s">
        <v>107</v>
      </c>
      <c r="C1719" s="1">
        <v>1</v>
      </c>
      <c r="D1719" s="1" t="s">
        <v>194</v>
      </c>
      <c r="E1719" s="1">
        <v>22</v>
      </c>
      <c r="F1719" s="1" t="s">
        <v>194</v>
      </c>
    </row>
    <row r="1720" spans="1:6">
      <c r="A1720">
        <v>12</v>
      </c>
      <c r="B1720" t="s">
        <v>107</v>
      </c>
      <c r="C1720" s="1">
        <v>1</v>
      </c>
      <c r="D1720" s="1">
        <v>42</v>
      </c>
      <c r="E1720" s="1">
        <v>30</v>
      </c>
      <c r="F1720" s="1">
        <v>42</v>
      </c>
    </row>
    <row r="1721" spans="1:6">
      <c r="A1721">
        <v>12</v>
      </c>
      <c r="B1721" t="s">
        <v>107</v>
      </c>
      <c r="C1721" s="1">
        <v>1</v>
      </c>
      <c r="D1721" s="1" t="s">
        <v>195</v>
      </c>
      <c r="E1721" s="1">
        <v>32</v>
      </c>
      <c r="F1721" s="1" t="s">
        <v>195</v>
      </c>
    </row>
    <row r="1722" spans="1:6">
      <c r="A1722">
        <v>12</v>
      </c>
      <c r="B1722" t="s">
        <v>107</v>
      </c>
      <c r="C1722" s="1">
        <v>1</v>
      </c>
      <c r="D1722" s="1">
        <v>43</v>
      </c>
      <c r="E1722" s="1">
        <v>40</v>
      </c>
      <c r="F1722" s="1">
        <v>43</v>
      </c>
    </row>
    <row r="1723" spans="1:6">
      <c r="A1723">
        <v>12</v>
      </c>
      <c r="B1723" t="s">
        <v>107</v>
      </c>
      <c r="C1723" s="1">
        <v>1</v>
      </c>
      <c r="D1723" s="1" t="s">
        <v>196</v>
      </c>
      <c r="E1723" s="1">
        <v>42</v>
      </c>
      <c r="F1723" s="1" t="s">
        <v>196</v>
      </c>
    </row>
    <row r="1724" spans="1:6">
      <c r="A1724">
        <v>12</v>
      </c>
      <c r="B1724" t="s">
        <v>107</v>
      </c>
      <c r="C1724" s="1">
        <v>1</v>
      </c>
      <c r="D1724" s="1">
        <v>44</v>
      </c>
      <c r="E1724" s="1">
        <v>50</v>
      </c>
      <c r="F1724" s="1">
        <v>44</v>
      </c>
    </row>
    <row r="1725" spans="1:6">
      <c r="A1725">
        <v>12</v>
      </c>
      <c r="B1725" t="s">
        <v>107</v>
      </c>
      <c r="C1725" s="1">
        <v>1</v>
      </c>
      <c r="D1725" s="1" t="s">
        <v>197</v>
      </c>
      <c r="E1725" s="1">
        <v>52</v>
      </c>
      <c r="F1725" s="1" t="s">
        <v>197</v>
      </c>
    </row>
    <row r="1726" spans="1:6">
      <c r="A1726">
        <v>12</v>
      </c>
      <c r="B1726" t="s">
        <v>107</v>
      </c>
      <c r="C1726" s="1">
        <v>1</v>
      </c>
      <c r="D1726" s="1">
        <v>45</v>
      </c>
      <c r="E1726" s="1">
        <v>60</v>
      </c>
      <c r="F1726" s="1">
        <v>45</v>
      </c>
    </row>
    <row r="1727" spans="1:6">
      <c r="A1727">
        <v>12</v>
      </c>
      <c r="B1727" t="s">
        <v>107</v>
      </c>
      <c r="C1727" s="1">
        <v>1</v>
      </c>
      <c r="D1727" s="1" t="s">
        <v>198</v>
      </c>
      <c r="E1727" s="1">
        <v>62</v>
      </c>
      <c r="F1727" s="1" t="s">
        <v>198</v>
      </c>
    </row>
    <row r="1728" spans="1:6">
      <c r="A1728">
        <v>12</v>
      </c>
      <c r="B1728" t="s">
        <v>107</v>
      </c>
      <c r="C1728" s="1">
        <v>1</v>
      </c>
      <c r="D1728" s="1" t="s">
        <v>199</v>
      </c>
      <c r="E1728" s="1">
        <v>72</v>
      </c>
      <c r="F1728" s="1" t="s">
        <v>199</v>
      </c>
    </row>
    <row r="1729" spans="1:6">
      <c r="A1729">
        <v>13</v>
      </c>
      <c r="B1729" t="s">
        <v>200</v>
      </c>
      <c r="C1729" s="1">
        <v>1</v>
      </c>
      <c r="D1729" s="1" t="s">
        <v>192</v>
      </c>
      <c r="E1729" s="1">
        <v>2</v>
      </c>
      <c r="F1729" s="1" t="s">
        <v>192</v>
      </c>
    </row>
    <row r="1730" spans="1:6">
      <c r="A1730">
        <v>13</v>
      </c>
      <c r="B1730" t="s">
        <v>200</v>
      </c>
      <c r="C1730" s="1">
        <v>1</v>
      </c>
      <c r="D1730" s="1">
        <v>40</v>
      </c>
      <c r="E1730" s="1">
        <v>10</v>
      </c>
      <c r="F1730" s="1">
        <v>40</v>
      </c>
    </row>
    <row r="1731" spans="1:6">
      <c r="A1731">
        <v>13</v>
      </c>
      <c r="B1731" t="s">
        <v>200</v>
      </c>
      <c r="C1731" s="1">
        <v>1</v>
      </c>
      <c r="D1731" s="1" t="s">
        <v>193</v>
      </c>
      <c r="E1731" s="1">
        <v>12</v>
      </c>
      <c r="F1731" s="1" t="s">
        <v>193</v>
      </c>
    </row>
    <row r="1732" spans="1:6">
      <c r="A1732">
        <v>13</v>
      </c>
      <c r="B1732" t="s">
        <v>200</v>
      </c>
      <c r="C1732" s="1">
        <v>1</v>
      </c>
      <c r="D1732" s="1">
        <v>41</v>
      </c>
      <c r="E1732" s="1">
        <v>20</v>
      </c>
      <c r="F1732" s="1">
        <v>41</v>
      </c>
    </row>
    <row r="1733" spans="1:6">
      <c r="A1733">
        <v>13</v>
      </c>
      <c r="B1733" t="s">
        <v>200</v>
      </c>
      <c r="C1733" s="1">
        <v>1</v>
      </c>
      <c r="D1733" s="1" t="s">
        <v>194</v>
      </c>
      <c r="E1733" s="1">
        <v>22</v>
      </c>
      <c r="F1733" s="1" t="s">
        <v>194</v>
      </c>
    </row>
    <row r="1734" spans="1:6">
      <c r="A1734">
        <v>13</v>
      </c>
      <c r="B1734" t="s">
        <v>200</v>
      </c>
      <c r="C1734" s="1">
        <v>1</v>
      </c>
      <c r="D1734" s="1">
        <v>42</v>
      </c>
      <c r="E1734" s="1">
        <v>30</v>
      </c>
      <c r="F1734" s="1">
        <v>42</v>
      </c>
    </row>
    <row r="1735" spans="1:6">
      <c r="A1735">
        <v>13</v>
      </c>
      <c r="B1735" t="s">
        <v>200</v>
      </c>
      <c r="C1735" s="1">
        <v>1</v>
      </c>
      <c r="D1735" s="1" t="s">
        <v>195</v>
      </c>
      <c r="E1735" s="1">
        <v>32</v>
      </c>
      <c r="F1735" s="1" t="s">
        <v>195</v>
      </c>
    </row>
    <row r="1736" spans="1:6">
      <c r="A1736">
        <v>13</v>
      </c>
      <c r="B1736" t="s">
        <v>200</v>
      </c>
      <c r="C1736" s="1">
        <v>1</v>
      </c>
      <c r="D1736" s="1">
        <v>43</v>
      </c>
      <c r="E1736" s="1">
        <v>40</v>
      </c>
      <c r="F1736" s="1">
        <v>43</v>
      </c>
    </row>
    <row r="1737" spans="1:6">
      <c r="A1737">
        <v>13</v>
      </c>
      <c r="B1737" t="s">
        <v>200</v>
      </c>
      <c r="C1737" s="1">
        <v>1</v>
      </c>
      <c r="D1737" s="1" t="s">
        <v>196</v>
      </c>
      <c r="E1737" s="1">
        <v>42</v>
      </c>
      <c r="F1737" s="1" t="s">
        <v>196</v>
      </c>
    </row>
    <row r="1738" spans="1:6">
      <c r="A1738">
        <v>13</v>
      </c>
      <c r="B1738" t="s">
        <v>200</v>
      </c>
      <c r="C1738" s="1">
        <v>1</v>
      </c>
      <c r="D1738" s="1">
        <v>44</v>
      </c>
      <c r="E1738" s="1">
        <v>50</v>
      </c>
      <c r="F1738" s="1">
        <v>44</v>
      </c>
    </row>
    <row r="1739" spans="1:6">
      <c r="A1739">
        <v>13</v>
      </c>
      <c r="B1739" t="s">
        <v>200</v>
      </c>
      <c r="C1739" s="1">
        <v>1</v>
      </c>
      <c r="D1739" s="1" t="s">
        <v>197</v>
      </c>
      <c r="E1739" s="1">
        <v>52</v>
      </c>
      <c r="F1739" s="1" t="s">
        <v>197</v>
      </c>
    </row>
    <row r="1740" spans="1:6">
      <c r="A1740">
        <v>13</v>
      </c>
      <c r="B1740" t="s">
        <v>200</v>
      </c>
      <c r="C1740" s="1">
        <v>1</v>
      </c>
      <c r="D1740" s="1">
        <v>45</v>
      </c>
      <c r="E1740" s="1">
        <v>60</v>
      </c>
      <c r="F1740" s="1">
        <v>45</v>
      </c>
    </row>
    <row r="1741" spans="1:6">
      <c r="A1741">
        <v>13</v>
      </c>
      <c r="B1741" t="s">
        <v>200</v>
      </c>
      <c r="C1741" s="1">
        <v>1</v>
      </c>
      <c r="D1741" s="1" t="s">
        <v>198</v>
      </c>
      <c r="E1741" s="1">
        <v>62</v>
      </c>
      <c r="F1741" s="1" t="s">
        <v>198</v>
      </c>
    </row>
    <row r="1742" spans="1:6">
      <c r="A1742">
        <v>13</v>
      </c>
      <c r="B1742" t="s">
        <v>200</v>
      </c>
      <c r="C1742" s="1">
        <v>1</v>
      </c>
      <c r="D1742" s="1" t="s">
        <v>199</v>
      </c>
      <c r="E1742" s="1">
        <v>72</v>
      </c>
      <c r="F1742" s="1" t="s">
        <v>199</v>
      </c>
    </row>
    <row r="1743" spans="1:6">
      <c r="A1743">
        <v>13</v>
      </c>
      <c r="B1743" t="s">
        <v>200</v>
      </c>
      <c r="C1743" s="1">
        <v>1</v>
      </c>
      <c r="D1743" s="1">
        <v>39</v>
      </c>
      <c r="F1743" s="1">
        <v>39</v>
      </c>
    </row>
    <row r="1744" spans="1:6">
      <c r="A1744">
        <v>13</v>
      </c>
      <c r="B1744" t="s">
        <v>200</v>
      </c>
      <c r="E1744" s="1">
        <v>90</v>
      </c>
    </row>
    <row r="1745" spans="1:6">
      <c r="A1745">
        <v>13</v>
      </c>
      <c r="B1745" t="s">
        <v>200</v>
      </c>
      <c r="E1745" s="1">
        <v>96</v>
      </c>
    </row>
    <row r="1746" spans="1:6">
      <c r="A1746">
        <v>15</v>
      </c>
      <c r="B1746" t="s">
        <v>201</v>
      </c>
      <c r="C1746" s="1">
        <v>1</v>
      </c>
      <c r="D1746" s="1" t="s">
        <v>489</v>
      </c>
      <c r="E1746" s="1">
        <v>70</v>
      </c>
      <c r="F1746" s="1" t="s">
        <v>489</v>
      </c>
    </row>
    <row r="1747" spans="1:6">
      <c r="A1747">
        <v>21</v>
      </c>
      <c r="B1747" t="s">
        <v>205</v>
      </c>
      <c r="C1747" s="1">
        <v>1</v>
      </c>
      <c r="D1747" s="1" t="s">
        <v>394</v>
      </c>
      <c r="E1747" s="1">
        <v>12</v>
      </c>
      <c r="F1747" s="1" t="s">
        <v>394</v>
      </c>
    </row>
    <row r="1748" spans="1:6">
      <c r="A1748">
        <v>21</v>
      </c>
      <c r="B1748" t="s">
        <v>205</v>
      </c>
      <c r="C1748" s="1">
        <v>1</v>
      </c>
      <c r="D1748" s="1" t="s">
        <v>328</v>
      </c>
      <c r="E1748" s="1">
        <v>20</v>
      </c>
      <c r="F1748" s="1" t="s">
        <v>328</v>
      </c>
    </row>
    <row r="1749" spans="1:6">
      <c r="A1749">
        <v>21</v>
      </c>
      <c r="B1749" t="s">
        <v>205</v>
      </c>
      <c r="C1749" s="1">
        <v>1</v>
      </c>
      <c r="D1749" s="1" t="s">
        <v>395</v>
      </c>
      <c r="E1749" s="1">
        <v>22</v>
      </c>
      <c r="F1749" s="1" t="s">
        <v>395</v>
      </c>
    </row>
    <row r="1750" spans="1:6">
      <c r="A1750">
        <v>21</v>
      </c>
      <c r="B1750" t="s">
        <v>205</v>
      </c>
      <c r="C1750" s="1">
        <v>1</v>
      </c>
      <c r="D1750" s="1" t="s">
        <v>329</v>
      </c>
      <c r="E1750" s="1">
        <v>30</v>
      </c>
      <c r="F1750" s="1" t="s">
        <v>329</v>
      </c>
    </row>
    <row r="1751" spans="1:6">
      <c r="A1751">
        <v>21</v>
      </c>
      <c r="B1751" t="s">
        <v>205</v>
      </c>
      <c r="C1751" s="1">
        <v>1</v>
      </c>
      <c r="D1751" s="1" t="s">
        <v>323</v>
      </c>
      <c r="E1751" s="1">
        <v>32</v>
      </c>
      <c r="F1751" s="1" t="s">
        <v>323</v>
      </c>
    </row>
    <row r="1752" spans="1:6">
      <c r="A1752">
        <v>21</v>
      </c>
      <c r="B1752" t="s">
        <v>205</v>
      </c>
      <c r="C1752" s="1">
        <v>1</v>
      </c>
      <c r="D1752" s="1" t="s">
        <v>330</v>
      </c>
      <c r="E1752" s="1">
        <v>42</v>
      </c>
      <c r="F1752" s="1" t="s">
        <v>330</v>
      </c>
    </row>
    <row r="1753" spans="1:6">
      <c r="A1753">
        <v>21</v>
      </c>
      <c r="B1753" t="s">
        <v>205</v>
      </c>
      <c r="C1753" s="1">
        <v>1</v>
      </c>
      <c r="D1753" s="1" t="s">
        <v>288</v>
      </c>
      <c r="E1753" s="1">
        <v>62</v>
      </c>
      <c r="F1753" s="1" t="s">
        <v>288</v>
      </c>
    </row>
    <row r="1754" spans="1:6">
      <c r="A1754">
        <v>21</v>
      </c>
      <c r="B1754" t="s">
        <v>205</v>
      </c>
      <c r="E1754" s="1">
        <v>82</v>
      </c>
    </row>
    <row r="1755" spans="1:6">
      <c r="A1755">
        <v>27</v>
      </c>
      <c r="B1755" t="s">
        <v>210</v>
      </c>
      <c r="C1755" s="1">
        <v>1</v>
      </c>
      <c r="D1755" s="1" t="s">
        <v>197</v>
      </c>
      <c r="E1755" s="1">
        <v>52</v>
      </c>
      <c r="F1755" s="1" t="s">
        <v>197</v>
      </c>
    </row>
    <row r="1756" spans="1:6">
      <c r="A1756">
        <v>31</v>
      </c>
      <c r="B1756" t="s">
        <v>110</v>
      </c>
      <c r="C1756" s="1">
        <v>1</v>
      </c>
      <c r="D1756" s="1" t="s">
        <v>334</v>
      </c>
      <c r="E1756" s="1">
        <v>12</v>
      </c>
      <c r="F1756" s="1" t="s">
        <v>334</v>
      </c>
    </row>
    <row r="1757" spans="1:6">
      <c r="A1757">
        <v>38</v>
      </c>
      <c r="B1757" t="s">
        <v>217</v>
      </c>
      <c r="C1757" s="1">
        <v>1</v>
      </c>
      <c r="D1757" s="1" t="s">
        <v>396</v>
      </c>
      <c r="E1757" s="1">
        <v>20</v>
      </c>
      <c r="F1757" s="1" t="s">
        <v>396</v>
      </c>
    </row>
    <row r="1758" spans="1:6">
      <c r="A1758">
        <v>39</v>
      </c>
      <c r="B1758" t="s">
        <v>218</v>
      </c>
      <c r="C1758" s="1">
        <v>1</v>
      </c>
      <c r="D1758" s="1" t="s">
        <v>396</v>
      </c>
      <c r="E1758" s="1">
        <v>20</v>
      </c>
      <c r="F1758" s="1" t="s">
        <v>396</v>
      </c>
    </row>
    <row r="1759" spans="1:6">
      <c r="A1759">
        <v>57</v>
      </c>
      <c r="B1759" t="s">
        <v>183</v>
      </c>
      <c r="C1759" s="1">
        <v>3</v>
      </c>
      <c r="D1759" s="1" t="s">
        <v>492</v>
      </c>
      <c r="E1759" s="1">
        <v>50</v>
      </c>
      <c r="F1759" s="1" t="s">
        <v>492</v>
      </c>
    </row>
    <row r="1760" spans="1:6">
      <c r="A1760">
        <v>57</v>
      </c>
      <c r="B1760" t="s">
        <v>183</v>
      </c>
      <c r="E1760" s="1">
        <v>50</v>
      </c>
    </row>
    <row r="1761" spans="1:6">
      <c r="A1761">
        <v>57</v>
      </c>
      <c r="B1761" t="s">
        <v>183</v>
      </c>
      <c r="E1761" s="1">
        <v>60</v>
      </c>
    </row>
    <row r="1762" spans="1:6">
      <c r="A1762">
        <v>59</v>
      </c>
      <c r="B1762" t="s">
        <v>227</v>
      </c>
      <c r="C1762" s="1">
        <v>3</v>
      </c>
      <c r="D1762" s="1" t="s">
        <v>295</v>
      </c>
      <c r="E1762" s="1">
        <v>23</v>
      </c>
      <c r="F1762" s="1" t="s">
        <v>295</v>
      </c>
    </row>
    <row r="1763" spans="1:6">
      <c r="A1763">
        <v>59</v>
      </c>
      <c r="B1763" t="s">
        <v>227</v>
      </c>
      <c r="E1763" s="1">
        <v>23</v>
      </c>
    </row>
    <row r="1764" spans="1:6">
      <c r="A1764">
        <v>61</v>
      </c>
      <c r="B1764" t="s">
        <v>228</v>
      </c>
      <c r="E1764" s="1">
        <v>10</v>
      </c>
    </row>
    <row r="1765" spans="1:6">
      <c r="A1765">
        <v>61</v>
      </c>
      <c r="B1765" t="s">
        <v>228</v>
      </c>
      <c r="E1765" s="1">
        <v>20</v>
      </c>
    </row>
    <row r="1766" spans="1:6">
      <c r="A1766">
        <v>61</v>
      </c>
      <c r="B1766" t="s">
        <v>228</v>
      </c>
      <c r="E1766" s="1">
        <v>28</v>
      </c>
    </row>
    <row r="1767" spans="1:6">
      <c r="A1767">
        <v>61</v>
      </c>
      <c r="B1767" t="s">
        <v>228</v>
      </c>
      <c r="E1767" s="1">
        <v>29</v>
      </c>
    </row>
    <row r="1768" spans="1:6">
      <c r="A1768">
        <v>61</v>
      </c>
      <c r="B1768" t="s">
        <v>228</v>
      </c>
      <c r="E1768" s="1">
        <v>30</v>
      </c>
    </row>
    <row r="1769" spans="1:6">
      <c r="A1769">
        <v>62</v>
      </c>
      <c r="B1769" t="s">
        <v>514</v>
      </c>
      <c r="C1769" s="1">
        <v>1</v>
      </c>
      <c r="D1769" s="1" t="s">
        <v>334</v>
      </c>
      <c r="E1769" s="1">
        <v>32</v>
      </c>
      <c r="F1769" s="1" t="s">
        <v>334</v>
      </c>
    </row>
    <row r="1770" spans="1:6">
      <c r="A1770">
        <v>62</v>
      </c>
      <c r="B1770" t="s">
        <v>514</v>
      </c>
      <c r="C1770" s="1">
        <v>1</v>
      </c>
      <c r="D1770" s="1">
        <v>10</v>
      </c>
      <c r="E1770" s="1">
        <v>40</v>
      </c>
      <c r="F1770" s="1">
        <v>10</v>
      </c>
    </row>
    <row r="1771" spans="1:6">
      <c r="A1771">
        <v>62</v>
      </c>
      <c r="B1771" t="s">
        <v>514</v>
      </c>
      <c r="C1771" s="1">
        <v>1</v>
      </c>
      <c r="D1771" s="1" t="s">
        <v>335</v>
      </c>
      <c r="E1771" s="1">
        <v>42</v>
      </c>
      <c r="F1771" s="1" t="s">
        <v>335</v>
      </c>
    </row>
    <row r="1772" spans="1:6">
      <c r="A1772">
        <v>62</v>
      </c>
      <c r="B1772" t="s">
        <v>514</v>
      </c>
      <c r="C1772" s="1">
        <v>1</v>
      </c>
      <c r="D1772" s="1">
        <v>11</v>
      </c>
      <c r="E1772" s="1">
        <v>50</v>
      </c>
      <c r="F1772" s="1">
        <v>11</v>
      </c>
    </row>
    <row r="1773" spans="1:6">
      <c r="A1773">
        <v>62</v>
      </c>
      <c r="B1773" t="s">
        <v>514</v>
      </c>
      <c r="C1773" s="1">
        <v>1</v>
      </c>
      <c r="D1773" s="1" t="s">
        <v>389</v>
      </c>
      <c r="E1773" s="1">
        <v>52</v>
      </c>
      <c r="F1773" s="1" t="s">
        <v>389</v>
      </c>
    </row>
    <row r="1774" spans="1:6">
      <c r="A1774">
        <v>62</v>
      </c>
      <c r="B1774" t="s">
        <v>514</v>
      </c>
      <c r="C1774" s="1">
        <v>1</v>
      </c>
      <c r="D1774" s="1">
        <v>12</v>
      </c>
      <c r="E1774" s="1">
        <v>60</v>
      </c>
      <c r="F1774" s="1">
        <v>12</v>
      </c>
    </row>
    <row r="1775" spans="1:6">
      <c r="A1775">
        <v>62</v>
      </c>
      <c r="B1775" t="s">
        <v>514</v>
      </c>
      <c r="C1775" s="1">
        <v>1</v>
      </c>
      <c r="D1775" s="1" t="s">
        <v>141</v>
      </c>
      <c r="E1775" s="1">
        <v>62</v>
      </c>
      <c r="F1775" s="1" t="s">
        <v>141</v>
      </c>
    </row>
    <row r="1776" spans="1:6">
      <c r="A1776">
        <v>62</v>
      </c>
      <c r="B1776" t="s">
        <v>514</v>
      </c>
      <c r="C1776" s="1">
        <v>1</v>
      </c>
      <c r="D1776" s="1">
        <v>13</v>
      </c>
      <c r="E1776" s="1">
        <v>70</v>
      </c>
      <c r="F1776" s="1">
        <v>13</v>
      </c>
    </row>
    <row r="1777" spans="1:6">
      <c r="A1777">
        <v>62</v>
      </c>
      <c r="B1777" t="s">
        <v>514</v>
      </c>
      <c r="C1777" s="1">
        <v>1</v>
      </c>
      <c r="D1777" s="1" t="s">
        <v>144</v>
      </c>
      <c r="E1777" s="1">
        <v>72</v>
      </c>
      <c r="F1777" s="1" t="s">
        <v>144</v>
      </c>
    </row>
    <row r="1778" spans="1:6">
      <c r="A1778">
        <v>62</v>
      </c>
      <c r="B1778" t="s">
        <v>514</v>
      </c>
      <c r="C1778" s="1">
        <v>1</v>
      </c>
      <c r="D1778" s="1">
        <v>14</v>
      </c>
      <c r="E1778" s="1">
        <v>80</v>
      </c>
      <c r="F1778" s="1">
        <v>14</v>
      </c>
    </row>
    <row r="1779" spans="1:6">
      <c r="A1779">
        <v>62</v>
      </c>
      <c r="B1779" t="s">
        <v>514</v>
      </c>
      <c r="C1779" s="1">
        <v>1</v>
      </c>
      <c r="D1779" s="1" t="s">
        <v>147</v>
      </c>
      <c r="E1779" s="1">
        <v>82</v>
      </c>
      <c r="F1779" s="1" t="s">
        <v>147</v>
      </c>
    </row>
    <row r="1780" spans="1:6">
      <c r="A1780">
        <v>62</v>
      </c>
      <c r="B1780" t="s">
        <v>514</v>
      </c>
      <c r="C1780" s="1">
        <v>1</v>
      </c>
      <c r="D1780" s="1">
        <v>15</v>
      </c>
      <c r="E1780" s="1">
        <v>90</v>
      </c>
      <c r="F1780" s="1">
        <v>15</v>
      </c>
    </row>
    <row r="1781" spans="1:6">
      <c r="A1781">
        <v>62</v>
      </c>
      <c r="B1781" t="s">
        <v>514</v>
      </c>
      <c r="C1781" s="1">
        <v>1</v>
      </c>
      <c r="D1781" s="1" t="s">
        <v>150</v>
      </c>
      <c r="E1781" s="1">
        <v>92</v>
      </c>
      <c r="F1781" s="1" t="s">
        <v>150</v>
      </c>
    </row>
    <row r="1782" spans="1:6">
      <c r="A1782">
        <v>62</v>
      </c>
      <c r="B1782" t="s">
        <v>514</v>
      </c>
      <c r="C1782" s="1">
        <v>2</v>
      </c>
      <c r="D1782" s="1" t="s">
        <v>153</v>
      </c>
      <c r="E1782" s="1">
        <v>2</v>
      </c>
      <c r="F1782" s="1" t="s">
        <v>153</v>
      </c>
    </row>
    <row r="1783" spans="1:6">
      <c r="A1783">
        <v>62</v>
      </c>
      <c r="B1783" t="s">
        <v>514</v>
      </c>
      <c r="C1783" s="1">
        <v>2</v>
      </c>
      <c r="D1783" s="1">
        <v>16</v>
      </c>
      <c r="F1783" s="1">
        <v>16</v>
      </c>
    </row>
    <row r="1784" spans="1:6">
      <c r="A1784">
        <v>74</v>
      </c>
      <c r="B1784" t="s">
        <v>235</v>
      </c>
      <c r="C1784" s="1">
        <v>3</v>
      </c>
      <c r="D1784" s="1" t="s">
        <v>320</v>
      </c>
      <c r="E1784" s="1">
        <v>50</v>
      </c>
      <c r="F1784" s="1" t="s">
        <v>320</v>
      </c>
    </row>
    <row r="1785" spans="1:6">
      <c r="A1785">
        <v>74</v>
      </c>
      <c r="B1785" t="s">
        <v>235</v>
      </c>
      <c r="C1785" s="1">
        <v>3</v>
      </c>
      <c r="D1785" s="1" t="s">
        <v>321</v>
      </c>
      <c r="E1785" s="1">
        <v>60</v>
      </c>
      <c r="F1785" s="1" t="s">
        <v>321</v>
      </c>
    </row>
    <row r="1786" spans="1:6">
      <c r="A1786">
        <v>82</v>
      </c>
      <c r="B1786" t="s">
        <v>239</v>
      </c>
      <c r="E1786" s="1">
        <v>32</v>
      </c>
    </row>
    <row r="1787" spans="1:6">
      <c r="A1787">
        <v>1</v>
      </c>
      <c r="B1787" t="s">
        <v>137</v>
      </c>
      <c r="C1787" s="1">
        <v>2</v>
      </c>
      <c r="D1787" s="1" t="s">
        <v>177</v>
      </c>
      <c r="E1787" s="1">
        <v>62</v>
      </c>
      <c r="F1787" s="1" t="s">
        <v>177</v>
      </c>
    </row>
    <row r="1788" spans="1:6">
      <c r="A1788">
        <v>21</v>
      </c>
      <c r="B1788" t="s">
        <v>205</v>
      </c>
      <c r="C1788" s="1">
        <v>1</v>
      </c>
      <c r="D1788" s="1" t="s">
        <v>330</v>
      </c>
      <c r="E1788" s="1">
        <v>42</v>
      </c>
      <c r="F1788" s="1" t="s">
        <v>330</v>
      </c>
    </row>
    <row r="1789" spans="1:6">
      <c r="A1789">
        <v>1</v>
      </c>
      <c r="B1789" t="s">
        <v>137</v>
      </c>
      <c r="C1789" s="1">
        <v>1</v>
      </c>
      <c r="D1789" s="1">
        <v>14</v>
      </c>
      <c r="E1789" s="1">
        <v>70</v>
      </c>
      <c r="F1789" s="1">
        <v>14</v>
      </c>
    </row>
    <row r="1790" spans="1:6">
      <c r="A1790">
        <v>1</v>
      </c>
      <c r="B1790" t="s">
        <v>137</v>
      </c>
      <c r="C1790" s="1">
        <v>1</v>
      </c>
      <c r="D1790" s="1" t="s">
        <v>147</v>
      </c>
      <c r="E1790" s="1">
        <v>72</v>
      </c>
      <c r="F1790" s="1" t="s">
        <v>147</v>
      </c>
    </row>
    <row r="1791" spans="1:6">
      <c r="A1791">
        <v>1</v>
      </c>
      <c r="B1791" t="s">
        <v>137</v>
      </c>
      <c r="C1791" s="1">
        <v>1</v>
      </c>
      <c r="D1791" s="1">
        <v>15</v>
      </c>
      <c r="E1791" s="1">
        <v>80</v>
      </c>
      <c r="F1791" s="1">
        <v>15</v>
      </c>
    </row>
    <row r="1792" spans="1:6">
      <c r="A1792">
        <v>1</v>
      </c>
      <c r="B1792" t="s">
        <v>137</v>
      </c>
      <c r="C1792" s="1">
        <v>1</v>
      </c>
      <c r="D1792" s="1" t="s">
        <v>150</v>
      </c>
      <c r="E1792" s="1">
        <v>82</v>
      </c>
      <c r="F1792" s="1" t="s">
        <v>150</v>
      </c>
    </row>
    <row r="1793" spans="1:6">
      <c r="A1793">
        <v>1</v>
      </c>
      <c r="B1793" t="s">
        <v>137</v>
      </c>
      <c r="C1793" s="1">
        <v>1</v>
      </c>
      <c r="D1793" s="1">
        <v>16</v>
      </c>
      <c r="E1793" s="1">
        <v>90</v>
      </c>
      <c r="F1793" s="1">
        <v>16</v>
      </c>
    </row>
    <row r="1794" spans="1:6">
      <c r="A1794">
        <v>1</v>
      </c>
      <c r="B1794" t="s">
        <v>137</v>
      </c>
      <c r="C1794" s="1">
        <v>1</v>
      </c>
      <c r="D1794" s="1" t="s">
        <v>153</v>
      </c>
      <c r="E1794" s="1">
        <v>92</v>
      </c>
      <c r="F1794" s="1" t="s">
        <v>153</v>
      </c>
    </row>
    <row r="1795" spans="1:6">
      <c r="A1795">
        <v>1</v>
      </c>
      <c r="B1795" t="s">
        <v>137</v>
      </c>
      <c r="C1795" s="1">
        <v>1</v>
      </c>
      <c r="D1795" s="1">
        <v>17</v>
      </c>
      <c r="E1795" s="1">
        <v>94</v>
      </c>
      <c r="F1795" s="1">
        <v>17</v>
      </c>
    </row>
    <row r="1796" spans="1:6">
      <c r="A1796">
        <v>1</v>
      </c>
      <c r="B1796" t="s">
        <v>137</v>
      </c>
      <c r="C1796" s="1">
        <v>1</v>
      </c>
      <c r="D1796" s="1" t="s">
        <v>156</v>
      </c>
      <c r="E1796" s="1">
        <v>96</v>
      </c>
      <c r="F1796" s="1" t="s">
        <v>156</v>
      </c>
    </row>
    <row r="1797" spans="1:6">
      <c r="A1797">
        <v>1</v>
      </c>
      <c r="B1797" t="s">
        <v>137</v>
      </c>
      <c r="C1797" s="1">
        <v>2</v>
      </c>
      <c r="D1797" s="1" t="s">
        <v>159</v>
      </c>
      <c r="E1797" s="1">
        <v>2</v>
      </c>
      <c r="F1797" s="1" t="s">
        <v>159</v>
      </c>
    </row>
    <row r="1798" spans="1:6">
      <c r="A1798">
        <v>1</v>
      </c>
      <c r="B1798" t="s">
        <v>137</v>
      </c>
      <c r="C1798" s="1">
        <v>2</v>
      </c>
      <c r="D1798" s="1">
        <v>19</v>
      </c>
      <c r="E1798" s="1">
        <v>10</v>
      </c>
      <c r="F1798" s="1">
        <v>19</v>
      </c>
    </row>
    <row r="1799" spans="1:6">
      <c r="A1799">
        <v>1</v>
      </c>
      <c r="B1799" t="s">
        <v>137</v>
      </c>
      <c r="C1799" s="1">
        <v>2</v>
      </c>
      <c r="D1799" s="1" t="s">
        <v>162</v>
      </c>
      <c r="E1799" s="1">
        <v>12</v>
      </c>
      <c r="F1799" s="1" t="s">
        <v>162</v>
      </c>
    </row>
    <row r="1800" spans="1:6">
      <c r="A1800">
        <v>1</v>
      </c>
      <c r="B1800" t="s">
        <v>137</v>
      </c>
      <c r="C1800" s="1">
        <v>2</v>
      </c>
      <c r="D1800" s="1">
        <v>20</v>
      </c>
      <c r="E1800" s="1">
        <v>20</v>
      </c>
      <c r="F1800" s="1">
        <v>20</v>
      </c>
    </row>
    <row r="1801" spans="1:6">
      <c r="A1801">
        <v>1</v>
      </c>
      <c r="B1801" t="s">
        <v>137</v>
      </c>
      <c r="C1801" s="1">
        <v>2</v>
      </c>
      <c r="D1801" s="1" t="s">
        <v>165</v>
      </c>
      <c r="E1801" s="1">
        <v>22</v>
      </c>
      <c r="F1801" s="1" t="s">
        <v>165</v>
      </c>
    </row>
    <row r="1802" spans="1:6">
      <c r="A1802">
        <v>1</v>
      </c>
      <c r="B1802" t="s">
        <v>137</v>
      </c>
      <c r="C1802" s="1">
        <v>2</v>
      </c>
      <c r="D1802" s="1">
        <v>21</v>
      </c>
      <c r="E1802" s="1">
        <v>30</v>
      </c>
      <c r="F1802" s="1">
        <v>21</v>
      </c>
    </row>
    <row r="1803" spans="1:6">
      <c r="A1803">
        <v>1</v>
      </c>
      <c r="B1803" t="s">
        <v>137</v>
      </c>
      <c r="C1803" s="1">
        <v>2</v>
      </c>
      <c r="D1803" s="1" t="s">
        <v>168</v>
      </c>
      <c r="E1803" s="1">
        <v>32</v>
      </c>
      <c r="F1803" s="1" t="s">
        <v>168</v>
      </c>
    </row>
    <row r="1804" spans="1:6">
      <c r="A1804">
        <v>1</v>
      </c>
      <c r="B1804" t="s">
        <v>137</v>
      </c>
      <c r="C1804" s="1">
        <v>2</v>
      </c>
      <c r="D1804" s="1">
        <v>22</v>
      </c>
      <c r="E1804" s="1">
        <v>40</v>
      </c>
      <c r="F1804" s="1">
        <v>22</v>
      </c>
    </row>
    <row r="1805" spans="1:6">
      <c r="A1805">
        <v>1</v>
      </c>
      <c r="B1805" t="s">
        <v>137</v>
      </c>
      <c r="C1805" s="1">
        <v>2</v>
      </c>
      <c r="D1805" s="1" t="s">
        <v>171</v>
      </c>
      <c r="E1805" s="1">
        <v>42</v>
      </c>
      <c r="F1805" s="1" t="s">
        <v>171</v>
      </c>
    </row>
    <row r="1806" spans="1:6">
      <c r="A1806">
        <v>1</v>
      </c>
      <c r="B1806" t="s">
        <v>137</v>
      </c>
      <c r="C1806" s="1">
        <v>2</v>
      </c>
      <c r="D1806" s="1">
        <v>23</v>
      </c>
      <c r="E1806" s="1">
        <v>50</v>
      </c>
      <c r="F1806" s="1">
        <v>23</v>
      </c>
    </row>
    <row r="1807" spans="1:6">
      <c r="A1807">
        <v>1</v>
      </c>
      <c r="B1807" t="s">
        <v>137</v>
      </c>
      <c r="C1807" s="1">
        <v>2</v>
      </c>
      <c r="D1807" s="1" t="s">
        <v>174</v>
      </c>
      <c r="E1807" s="1">
        <v>52</v>
      </c>
      <c r="F1807" s="1" t="s">
        <v>174</v>
      </c>
    </row>
    <row r="1808" spans="1:6">
      <c r="A1808">
        <v>1</v>
      </c>
      <c r="B1808" t="s">
        <v>137</v>
      </c>
      <c r="C1808" s="1">
        <v>2</v>
      </c>
      <c r="D1808" s="1">
        <v>24</v>
      </c>
      <c r="E1808" s="1">
        <v>60</v>
      </c>
      <c r="F1808" s="1">
        <v>24</v>
      </c>
    </row>
    <row r="1809" spans="1:6">
      <c r="A1809">
        <v>1</v>
      </c>
      <c r="B1809" t="s">
        <v>137</v>
      </c>
      <c r="C1809" s="1">
        <v>2</v>
      </c>
      <c r="D1809" s="1" t="s">
        <v>177</v>
      </c>
      <c r="E1809" s="1">
        <v>62</v>
      </c>
      <c r="F1809" s="1" t="s">
        <v>177</v>
      </c>
    </row>
    <row r="1810" spans="1:6">
      <c r="A1810">
        <v>1</v>
      </c>
      <c r="B1810" t="s">
        <v>137</v>
      </c>
      <c r="C1810" s="1">
        <v>2</v>
      </c>
      <c r="D1810" s="1">
        <v>25</v>
      </c>
      <c r="E1810" s="1">
        <v>70</v>
      </c>
      <c r="F1810" s="1">
        <v>25</v>
      </c>
    </row>
    <row r="1811" spans="1:6">
      <c r="A1811">
        <v>1</v>
      </c>
      <c r="B1811" t="s">
        <v>137</v>
      </c>
      <c r="C1811" s="1">
        <v>2</v>
      </c>
      <c r="D1811" s="1" t="s">
        <v>180</v>
      </c>
      <c r="E1811" s="1">
        <v>72</v>
      </c>
      <c r="F1811" s="1" t="s">
        <v>180</v>
      </c>
    </row>
    <row r="1812" spans="1:6">
      <c r="A1812">
        <v>1</v>
      </c>
      <c r="B1812" t="s">
        <v>137</v>
      </c>
      <c r="C1812" s="1">
        <v>2</v>
      </c>
      <c r="D1812" s="1">
        <v>18</v>
      </c>
      <c r="F1812" s="1">
        <v>18</v>
      </c>
    </row>
    <row r="1813" spans="1:6">
      <c r="A1813">
        <v>4</v>
      </c>
      <c r="B1813" t="s">
        <v>182</v>
      </c>
      <c r="C1813" s="1">
        <v>3</v>
      </c>
      <c r="D1813" s="1" t="s">
        <v>551</v>
      </c>
      <c r="E1813" s="1">
        <v>50</v>
      </c>
      <c r="F1813" s="1" t="s">
        <v>551</v>
      </c>
    </row>
    <row r="1814" spans="1:6">
      <c r="A1814">
        <v>4</v>
      </c>
      <c r="B1814" t="s">
        <v>182</v>
      </c>
      <c r="E1814" s="1">
        <v>50</v>
      </c>
    </row>
    <row r="1815" spans="1:6">
      <c r="A1815">
        <v>5</v>
      </c>
      <c r="B1815" t="s">
        <v>183</v>
      </c>
      <c r="E1815" s="1">
        <v>60</v>
      </c>
    </row>
    <row r="1816" spans="1:6">
      <c r="A1816">
        <v>11</v>
      </c>
      <c r="B1816" t="s">
        <v>186</v>
      </c>
      <c r="C1816" s="1">
        <v>1</v>
      </c>
      <c r="D1816" s="1" t="s">
        <v>192</v>
      </c>
      <c r="E1816" s="1">
        <v>2</v>
      </c>
      <c r="F1816" s="1" t="s">
        <v>192</v>
      </c>
    </row>
    <row r="1817" spans="1:6">
      <c r="A1817">
        <v>11</v>
      </c>
      <c r="B1817" t="s">
        <v>186</v>
      </c>
      <c r="C1817" s="1">
        <v>1</v>
      </c>
      <c r="D1817" s="1">
        <v>40</v>
      </c>
      <c r="E1817" s="1">
        <v>10</v>
      </c>
      <c r="F1817" s="1">
        <v>40</v>
      </c>
    </row>
    <row r="1818" spans="1:6">
      <c r="A1818">
        <v>11</v>
      </c>
      <c r="B1818" t="s">
        <v>186</v>
      </c>
      <c r="C1818" s="1">
        <v>1</v>
      </c>
      <c r="D1818" s="1" t="s">
        <v>193</v>
      </c>
      <c r="E1818" s="1">
        <v>12</v>
      </c>
      <c r="F1818" s="1" t="s">
        <v>193</v>
      </c>
    </row>
    <row r="1819" spans="1:6">
      <c r="A1819">
        <v>11</v>
      </c>
      <c r="B1819" t="s">
        <v>186</v>
      </c>
      <c r="C1819" s="1">
        <v>1</v>
      </c>
      <c r="D1819" s="1">
        <v>41</v>
      </c>
      <c r="E1819" s="1">
        <v>20</v>
      </c>
      <c r="F1819" s="1">
        <v>41</v>
      </c>
    </row>
    <row r="1820" spans="1:6">
      <c r="A1820">
        <v>11</v>
      </c>
      <c r="B1820" t="s">
        <v>186</v>
      </c>
      <c r="C1820" s="1">
        <v>1</v>
      </c>
      <c r="D1820" s="1" t="s">
        <v>194</v>
      </c>
      <c r="E1820" s="1">
        <v>22</v>
      </c>
      <c r="F1820" s="1" t="s">
        <v>194</v>
      </c>
    </row>
    <row r="1821" spans="1:6">
      <c r="A1821">
        <v>11</v>
      </c>
      <c r="B1821" t="s">
        <v>186</v>
      </c>
      <c r="C1821" s="1">
        <v>1</v>
      </c>
      <c r="D1821" s="1">
        <v>42</v>
      </c>
      <c r="E1821" s="1">
        <v>30</v>
      </c>
      <c r="F1821" s="1">
        <v>42</v>
      </c>
    </row>
    <row r="1822" spans="1:6">
      <c r="A1822">
        <v>11</v>
      </c>
      <c r="B1822" t="s">
        <v>186</v>
      </c>
      <c r="C1822" s="1">
        <v>1</v>
      </c>
      <c r="D1822" s="1" t="s">
        <v>195</v>
      </c>
      <c r="E1822" s="1">
        <v>32</v>
      </c>
      <c r="F1822" s="1" t="s">
        <v>195</v>
      </c>
    </row>
    <row r="1823" spans="1:6">
      <c r="A1823">
        <v>11</v>
      </c>
      <c r="B1823" t="s">
        <v>186</v>
      </c>
      <c r="C1823" s="1">
        <v>1</v>
      </c>
      <c r="D1823" s="1">
        <v>43</v>
      </c>
      <c r="E1823" s="1">
        <v>40</v>
      </c>
      <c r="F1823" s="1">
        <v>43</v>
      </c>
    </row>
    <row r="1824" spans="1:6">
      <c r="A1824">
        <v>11</v>
      </c>
      <c r="B1824" t="s">
        <v>186</v>
      </c>
      <c r="C1824" s="1">
        <v>1</v>
      </c>
      <c r="D1824" s="1" t="s">
        <v>196</v>
      </c>
      <c r="E1824" s="1">
        <v>42</v>
      </c>
      <c r="F1824" s="1" t="s">
        <v>196</v>
      </c>
    </row>
    <row r="1825" spans="1:6">
      <c r="A1825">
        <v>11</v>
      </c>
      <c r="B1825" t="s">
        <v>186</v>
      </c>
      <c r="C1825" s="1">
        <v>1</v>
      </c>
      <c r="D1825" s="1">
        <v>44</v>
      </c>
      <c r="E1825" s="1">
        <v>50</v>
      </c>
      <c r="F1825" s="1">
        <v>44</v>
      </c>
    </row>
    <row r="1826" spans="1:6">
      <c r="A1826">
        <v>11</v>
      </c>
      <c r="B1826" t="s">
        <v>186</v>
      </c>
      <c r="C1826" s="1">
        <v>1</v>
      </c>
      <c r="D1826" s="1" t="s">
        <v>197</v>
      </c>
      <c r="E1826" s="1">
        <v>52</v>
      </c>
      <c r="F1826" s="1" t="s">
        <v>197</v>
      </c>
    </row>
    <row r="1827" spans="1:6">
      <c r="A1827">
        <v>11</v>
      </c>
      <c r="B1827" t="s">
        <v>186</v>
      </c>
      <c r="C1827" s="1">
        <v>1</v>
      </c>
      <c r="D1827" s="1">
        <v>45</v>
      </c>
      <c r="E1827" s="1">
        <v>60</v>
      </c>
      <c r="F1827" s="1">
        <v>45</v>
      </c>
    </row>
    <row r="1828" spans="1:6">
      <c r="A1828">
        <v>11</v>
      </c>
      <c r="B1828" t="s">
        <v>186</v>
      </c>
      <c r="C1828" s="1">
        <v>1</v>
      </c>
      <c r="D1828" s="1" t="s">
        <v>198</v>
      </c>
      <c r="E1828" s="1">
        <v>62</v>
      </c>
      <c r="F1828" s="1" t="s">
        <v>198</v>
      </c>
    </row>
    <row r="1829" spans="1:6">
      <c r="A1829">
        <v>11</v>
      </c>
      <c r="B1829" t="s">
        <v>186</v>
      </c>
      <c r="C1829" s="1">
        <v>1</v>
      </c>
      <c r="D1829" s="1" t="s">
        <v>199</v>
      </c>
      <c r="E1829" s="1">
        <v>72</v>
      </c>
      <c r="F1829" s="1" t="s">
        <v>199</v>
      </c>
    </row>
    <row r="1830" spans="1:6">
      <c r="A1830">
        <v>11</v>
      </c>
      <c r="B1830" t="s">
        <v>186</v>
      </c>
      <c r="E1830" s="1">
        <v>96</v>
      </c>
    </row>
    <row r="1831" spans="1:6">
      <c r="A1831">
        <v>12</v>
      </c>
      <c r="B1831" t="s">
        <v>107</v>
      </c>
      <c r="C1831" s="1">
        <v>1</v>
      </c>
      <c r="D1831" s="1">
        <v>42</v>
      </c>
      <c r="E1831" s="1">
        <v>30</v>
      </c>
      <c r="F1831" s="1">
        <v>42</v>
      </c>
    </row>
    <row r="1832" spans="1:6">
      <c r="A1832">
        <v>13</v>
      </c>
      <c r="B1832" t="s">
        <v>200</v>
      </c>
      <c r="C1832" s="1">
        <v>1</v>
      </c>
      <c r="D1832" s="1" t="s">
        <v>194</v>
      </c>
      <c r="E1832" s="1">
        <v>22</v>
      </c>
      <c r="F1832" s="1" t="s">
        <v>194</v>
      </c>
    </row>
    <row r="1833" spans="1:6">
      <c r="A1833">
        <v>13</v>
      </c>
      <c r="B1833" t="s">
        <v>200</v>
      </c>
      <c r="C1833" s="1">
        <v>1</v>
      </c>
      <c r="D1833" s="1" t="s">
        <v>195</v>
      </c>
      <c r="E1833" s="1">
        <v>32</v>
      </c>
      <c r="F1833" s="1" t="s">
        <v>195</v>
      </c>
    </row>
    <row r="1834" spans="1:6">
      <c r="A1834">
        <v>13</v>
      </c>
      <c r="B1834" t="s">
        <v>200</v>
      </c>
      <c r="C1834" s="1">
        <v>1</v>
      </c>
      <c r="D1834" s="1" t="s">
        <v>199</v>
      </c>
      <c r="E1834" s="1">
        <v>72</v>
      </c>
      <c r="F1834" s="1" t="s">
        <v>199</v>
      </c>
    </row>
    <row r="1835" spans="1:6">
      <c r="A1835">
        <v>15</v>
      </c>
      <c r="B1835" t="s">
        <v>201</v>
      </c>
      <c r="C1835" s="1">
        <v>1</v>
      </c>
      <c r="D1835" s="1" t="s">
        <v>489</v>
      </c>
      <c r="E1835" s="1">
        <v>70</v>
      </c>
      <c r="F1835" s="1" t="s">
        <v>489</v>
      </c>
    </row>
    <row r="1836" spans="1:6">
      <c r="A1836">
        <v>15</v>
      </c>
      <c r="B1836" t="s">
        <v>201</v>
      </c>
      <c r="C1836" s="1">
        <v>4</v>
      </c>
      <c r="D1836" s="1" t="s">
        <v>286</v>
      </c>
      <c r="E1836" s="1">
        <v>70</v>
      </c>
      <c r="F1836" s="1" t="s">
        <v>286</v>
      </c>
    </row>
    <row r="1837" spans="1:6">
      <c r="A1837">
        <v>21</v>
      </c>
      <c r="B1837" t="s">
        <v>205</v>
      </c>
      <c r="C1837" s="1">
        <v>1</v>
      </c>
      <c r="D1837" s="1" t="s">
        <v>347</v>
      </c>
      <c r="E1837" s="1">
        <v>10</v>
      </c>
      <c r="F1837" s="1" t="s">
        <v>347</v>
      </c>
    </row>
    <row r="1838" spans="1:6">
      <c r="A1838">
        <v>21</v>
      </c>
      <c r="B1838" t="s">
        <v>205</v>
      </c>
      <c r="C1838" s="1">
        <v>1</v>
      </c>
      <c r="D1838" s="1" t="s">
        <v>394</v>
      </c>
      <c r="E1838" s="1">
        <v>12</v>
      </c>
      <c r="F1838" s="1" t="s">
        <v>394</v>
      </c>
    </row>
    <row r="1839" spans="1:6">
      <c r="A1839">
        <v>21</v>
      </c>
      <c r="B1839" t="s">
        <v>205</v>
      </c>
      <c r="C1839" s="1">
        <v>1</v>
      </c>
      <c r="D1839" s="1" t="s">
        <v>328</v>
      </c>
      <c r="E1839" s="1">
        <v>20</v>
      </c>
      <c r="F1839" s="1" t="s">
        <v>328</v>
      </c>
    </row>
    <row r="1840" spans="1:6">
      <c r="A1840">
        <v>21</v>
      </c>
      <c r="B1840" t="s">
        <v>205</v>
      </c>
      <c r="C1840" s="1">
        <v>1</v>
      </c>
      <c r="D1840" s="1" t="s">
        <v>329</v>
      </c>
      <c r="E1840" s="1">
        <v>30</v>
      </c>
      <c r="F1840" s="1" t="s">
        <v>329</v>
      </c>
    </row>
    <row r="1841" spans="1:6">
      <c r="A1841">
        <v>21</v>
      </c>
      <c r="B1841" t="s">
        <v>205</v>
      </c>
      <c r="C1841" s="1">
        <v>1</v>
      </c>
      <c r="D1841" s="1" t="s">
        <v>323</v>
      </c>
      <c r="E1841" s="1">
        <v>32</v>
      </c>
      <c r="F1841" s="1" t="s">
        <v>323</v>
      </c>
    </row>
    <row r="1842" spans="1:6">
      <c r="A1842">
        <v>21</v>
      </c>
      <c r="B1842" t="s">
        <v>205</v>
      </c>
      <c r="C1842" s="1">
        <v>1</v>
      </c>
      <c r="D1842" s="1" t="s">
        <v>332</v>
      </c>
      <c r="E1842" s="1">
        <v>40</v>
      </c>
      <c r="F1842" s="1" t="s">
        <v>332</v>
      </c>
    </row>
    <row r="1843" spans="1:6">
      <c r="A1843">
        <v>21</v>
      </c>
      <c r="B1843" t="s">
        <v>205</v>
      </c>
      <c r="C1843" s="1">
        <v>1</v>
      </c>
      <c r="D1843" s="1" t="s">
        <v>330</v>
      </c>
      <c r="E1843" s="1">
        <v>42</v>
      </c>
      <c r="F1843" s="1" t="s">
        <v>330</v>
      </c>
    </row>
    <row r="1844" spans="1:6">
      <c r="A1844">
        <v>21</v>
      </c>
      <c r="B1844" t="s">
        <v>205</v>
      </c>
      <c r="C1844" s="1">
        <v>1</v>
      </c>
      <c r="D1844" s="1" t="s">
        <v>287</v>
      </c>
      <c r="E1844" s="1">
        <v>52</v>
      </c>
      <c r="F1844" s="1" t="s">
        <v>287</v>
      </c>
    </row>
    <row r="1845" spans="1:6">
      <c r="A1845">
        <v>21</v>
      </c>
      <c r="B1845" t="s">
        <v>205</v>
      </c>
      <c r="C1845" s="1">
        <v>1</v>
      </c>
      <c r="D1845" s="1" t="s">
        <v>288</v>
      </c>
      <c r="E1845" s="1">
        <v>62</v>
      </c>
      <c r="F1845" s="1" t="s">
        <v>288</v>
      </c>
    </row>
    <row r="1846" spans="1:6">
      <c r="A1846">
        <v>22</v>
      </c>
      <c r="B1846" t="s">
        <v>206</v>
      </c>
      <c r="C1846" s="1">
        <v>1</v>
      </c>
      <c r="D1846" s="1" t="s">
        <v>347</v>
      </c>
      <c r="E1846" s="1">
        <v>10</v>
      </c>
      <c r="F1846" s="1" t="s">
        <v>347</v>
      </c>
    </row>
    <row r="1847" spans="1:6">
      <c r="A1847">
        <v>22</v>
      </c>
      <c r="B1847" t="s">
        <v>206</v>
      </c>
      <c r="C1847" s="1">
        <v>1</v>
      </c>
      <c r="D1847" s="1" t="s">
        <v>329</v>
      </c>
      <c r="E1847" s="1">
        <v>30</v>
      </c>
      <c r="F1847" s="1" t="s">
        <v>329</v>
      </c>
    </row>
    <row r="1848" spans="1:6">
      <c r="A1848">
        <v>22</v>
      </c>
      <c r="B1848" t="s">
        <v>206</v>
      </c>
      <c r="C1848" s="1">
        <v>1</v>
      </c>
      <c r="D1848" s="1" t="s">
        <v>332</v>
      </c>
      <c r="E1848" s="1">
        <v>40</v>
      </c>
      <c r="F1848" s="1" t="s">
        <v>332</v>
      </c>
    </row>
    <row r="1849" spans="1:6">
      <c r="A1849">
        <v>22</v>
      </c>
      <c r="B1849" t="s">
        <v>206</v>
      </c>
      <c r="C1849" s="1">
        <v>1</v>
      </c>
      <c r="D1849" s="1" t="s">
        <v>330</v>
      </c>
      <c r="E1849" s="1">
        <v>42</v>
      </c>
      <c r="F1849" s="1" t="s">
        <v>330</v>
      </c>
    </row>
    <row r="1850" spans="1:6">
      <c r="A1850">
        <v>22</v>
      </c>
      <c r="B1850" t="s">
        <v>206</v>
      </c>
      <c r="C1850" s="1">
        <v>1</v>
      </c>
      <c r="D1850" s="1" t="s">
        <v>284</v>
      </c>
      <c r="F1850" s="1" t="s">
        <v>284</v>
      </c>
    </row>
    <row r="1851" spans="1:6">
      <c r="A1851">
        <v>57</v>
      </c>
      <c r="B1851" t="s">
        <v>183</v>
      </c>
      <c r="C1851" s="1">
        <v>3</v>
      </c>
      <c r="D1851" s="1" t="s">
        <v>338</v>
      </c>
      <c r="E1851" s="1">
        <v>60</v>
      </c>
      <c r="F1851" s="1" t="s">
        <v>338</v>
      </c>
    </row>
    <row r="1852" spans="1:6">
      <c r="A1852">
        <v>57</v>
      </c>
      <c r="B1852" t="s">
        <v>183</v>
      </c>
      <c r="E1852" s="1">
        <v>50</v>
      </c>
    </row>
    <row r="1853" spans="1:6">
      <c r="A1853">
        <v>57</v>
      </c>
      <c r="B1853" t="s">
        <v>183</v>
      </c>
      <c r="E1853" s="1">
        <v>60</v>
      </c>
    </row>
    <row r="1854" spans="1:6">
      <c r="A1854">
        <v>58</v>
      </c>
      <c r="B1854" t="s">
        <v>226</v>
      </c>
      <c r="C1854" s="1">
        <v>1</v>
      </c>
      <c r="D1854" s="1" t="s">
        <v>537</v>
      </c>
      <c r="E1854" s="1">
        <v>40</v>
      </c>
      <c r="F1854" s="1" t="s">
        <v>537</v>
      </c>
    </row>
    <row r="1855" spans="1:6">
      <c r="A1855">
        <v>58</v>
      </c>
      <c r="B1855" t="s">
        <v>226</v>
      </c>
      <c r="C1855" s="1">
        <v>3</v>
      </c>
      <c r="D1855" s="1" t="s">
        <v>319</v>
      </c>
      <c r="E1855" s="1">
        <v>60</v>
      </c>
      <c r="F1855" s="1" t="s">
        <v>319</v>
      </c>
    </row>
    <row r="1856" spans="1:6">
      <c r="A1856">
        <v>59</v>
      </c>
      <c r="B1856" t="s">
        <v>227</v>
      </c>
      <c r="C1856" s="1">
        <v>3</v>
      </c>
      <c r="D1856" s="1" t="s">
        <v>295</v>
      </c>
      <c r="E1856" s="1">
        <v>23</v>
      </c>
      <c r="F1856" s="1" t="s">
        <v>295</v>
      </c>
    </row>
    <row r="1857" spans="1:6">
      <c r="A1857">
        <v>74</v>
      </c>
      <c r="B1857" t="s">
        <v>235</v>
      </c>
      <c r="C1857" s="1">
        <v>3</v>
      </c>
      <c r="D1857" s="1" t="s">
        <v>320</v>
      </c>
      <c r="E1857" s="1">
        <v>50</v>
      </c>
      <c r="F1857" s="1" t="s">
        <v>320</v>
      </c>
    </row>
    <row r="1858" spans="1:6">
      <c r="A1858">
        <v>74</v>
      </c>
      <c r="B1858" t="s">
        <v>235</v>
      </c>
      <c r="C1858" s="1">
        <v>3</v>
      </c>
      <c r="D1858" s="1" t="s">
        <v>321</v>
      </c>
      <c r="E1858" s="1">
        <v>60</v>
      </c>
      <c r="F1858" s="1" t="s">
        <v>321</v>
      </c>
    </row>
    <row r="1859" spans="1:6">
      <c r="A1859">
        <v>82</v>
      </c>
      <c r="B1859" t="s">
        <v>239</v>
      </c>
      <c r="E1859" s="1">
        <v>10</v>
      </c>
    </row>
    <row r="1860" spans="1:6">
      <c r="A1860">
        <v>82</v>
      </c>
      <c r="B1860" t="s">
        <v>239</v>
      </c>
      <c r="E1860" s="1">
        <v>14</v>
      </c>
    </row>
    <row r="1861" spans="1:6">
      <c r="A1861">
        <v>82</v>
      </c>
      <c r="B1861" t="s">
        <v>239</v>
      </c>
      <c r="E1861" s="1">
        <v>18</v>
      </c>
    </row>
    <row r="1862" spans="1:6">
      <c r="A1862">
        <v>82</v>
      </c>
      <c r="B1862" t="s">
        <v>239</v>
      </c>
      <c r="E1862" s="1">
        <v>20</v>
      </c>
    </row>
    <row r="1863" spans="1:6">
      <c r="A1863">
        <v>82</v>
      </c>
      <c r="B1863" t="s">
        <v>239</v>
      </c>
      <c r="E1863" s="1">
        <v>30</v>
      </c>
    </row>
    <row r="1864" spans="1:6">
      <c r="A1864">
        <v>82</v>
      </c>
      <c r="B1864" t="s">
        <v>239</v>
      </c>
      <c r="E1864" s="1">
        <v>32</v>
      </c>
    </row>
    <row r="1865" spans="1:6">
      <c r="A1865">
        <v>82</v>
      </c>
      <c r="B1865" t="s">
        <v>239</v>
      </c>
      <c r="E1865" s="1">
        <v>34</v>
      </c>
    </row>
    <row r="1866" spans="1:6">
      <c r="A1866">
        <v>82</v>
      </c>
      <c r="B1866" t="s">
        <v>239</v>
      </c>
      <c r="E1866" s="1">
        <v>38</v>
      </c>
    </row>
    <row r="1867" spans="1:6">
      <c r="A1867">
        <v>82</v>
      </c>
      <c r="B1867" t="s">
        <v>239</v>
      </c>
      <c r="E1867" s="1">
        <v>40</v>
      </c>
    </row>
    <row r="1868" spans="1:6">
      <c r="A1868">
        <v>82</v>
      </c>
      <c r="B1868" t="s">
        <v>239</v>
      </c>
      <c r="E1868" s="1">
        <v>42</v>
      </c>
    </row>
    <row r="1869" spans="1:6">
      <c r="A1869">
        <v>82</v>
      </c>
      <c r="B1869" t="s">
        <v>239</v>
      </c>
      <c r="E1869" s="1">
        <v>50</v>
      </c>
    </row>
    <row r="1870" spans="1:6">
      <c r="A1870">
        <v>82</v>
      </c>
      <c r="B1870" t="s">
        <v>239</v>
      </c>
      <c r="E1870" s="1">
        <v>58</v>
      </c>
    </row>
    <row r="1871" spans="1:6">
      <c r="A1871">
        <v>82</v>
      </c>
      <c r="B1871" t="s">
        <v>239</v>
      </c>
      <c r="E1871" s="1">
        <v>60</v>
      </c>
    </row>
    <row r="1872" spans="1:6">
      <c r="A1872">
        <v>85</v>
      </c>
      <c r="B1872" t="s">
        <v>242</v>
      </c>
      <c r="E1872" s="1">
        <v>10</v>
      </c>
    </row>
    <row r="1873" spans="1:6">
      <c r="A1873">
        <v>85</v>
      </c>
      <c r="B1873" t="s">
        <v>242</v>
      </c>
      <c r="E1873" s="1">
        <v>14</v>
      </c>
    </row>
    <row r="1874" spans="1:6">
      <c r="A1874">
        <v>85</v>
      </c>
      <c r="B1874" t="s">
        <v>242</v>
      </c>
      <c r="E1874" s="1">
        <v>18</v>
      </c>
    </row>
    <row r="1875" spans="1:6">
      <c r="A1875">
        <v>85</v>
      </c>
      <c r="B1875" t="s">
        <v>242</v>
      </c>
      <c r="E1875" s="1">
        <v>20</v>
      </c>
    </row>
    <row r="1876" spans="1:6">
      <c r="A1876">
        <v>85</v>
      </c>
      <c r="B1876" t="s">
        <v>242</v>
      </c>
      <c r="E1876" s="1">
        <v>30</v>
      </c>
    </row>
    <row r="1877" spans="1:6">
      <c r="A1877">
        <v>85</v>
      </c>
      <c r="B1877" t="s">
        <v>242</v>
      </c>
      <c r="E1877" s="1">
        <v>40</v>
      </c>
    </row>
    <row r="1878" spans="1:6">
      <c r="A1878">
        <v>1</v>
      </c>
      <c r="B1878" t="s">
        <v>137</v>
      </c>
      <c r="C1878" s="1">
        <v>2</v>
      </c>
      <c r="D1878" s="1" t="s">
        <v>162</v>
      </c>
      <c r="E1878" s="1">
        <v>12</v>
      </c>
      <c r="F1878" s="1" t="s">
        <v>162</v>
      </c>
    </row>
    <row r="1879" spans="1:6">
      <c r="A1879">
        <v>1</v>
      </c>
      <c r="B1879" t="s">
        <v>137</v>
      </c>
      <c r="C1879" s="1">
        <v>2</v>
      </c>
      <c r="D1879" s="1">
        <v>20</v>
      </c>
      <c r="E1879" s="1">
        <v>20</v>
      </c>
      <c r="F1879" s="1">
        <v>20</v>
      </c>
    </row>
    <row r="1880" spans="1:6">
      <c r="A1880">
        <v>1</v>
      </c>
      <c r="B1880" t="s">
        <v>137</v>
      </c>
      <c r="C1880" s="1">
        <v>2</v>
      </c>
      <c r="D1880" s="1" t="s">
        <v>165</v>
      </c>
      <c r="E1880" s="1">
        <v>22</v>
      </c>
      <c r="F1880" s="1" t="s">
        <v>165</v>
      </c>
    </row>
    <row r="1881" spans="1:6">
      <c r="A1881">
        <v>1</v>
      </c>
      <c r="B1881" t="s">
        <v>137</v>
      </c>
      <c r="C1881" s="1">
        <v>2</v>
      </c>
      <c r="D1881" s="1">
        <v>21</v>
      </c>
      <c r="E1881" s="1">
        <v>30</v>
      </c>
      <c r="F1881" s="1">
        <v>21</v>
      </c>
    </row>
    <row r="1882" spans="1:6">
      <c r="A1882">
        <v>1</v>
      </c>
      <c r="B1882" t="s">
        <v>137</v>
      </c>
      <c r="C1882" s="1">
        <v>2</v>
      </c>
      <c r="D1882" s="1" t="s">
        <v>168</v>
      </c>
      <c r="E1882" s="1">
        <v>32</v>
      </c>
      <c r="F1882" s="1" t="s">
        <v>168</v>
      </c>
    </row>
    <row r="1883" spans="1:6">
      <c r="A1883">
        <v>1</v>
      </c>
      <c r="B1883" t="s">
        <v>137</v>
      </c>
      <c r="C1883" s="1">
        <v>2</v>
      </c>
      <c r="D1883" s="1">
        <v>22</v>
      </c>
      <c r="E1883" s="1">
        <v>40</v>
      </c>
      <c r="F1883" s="1">
        <v>22</v>
      </c>
    </row>
    <row r="1884" spans="1:6">
      <c r="A1884">
        <v>1</v>
      </c>
      <c r="B1884" t="s">
        <v>137</v>
      </c>
      <c r="C1884" s="1">
        <v>2</v>
      </c>
      <c r="D1884" s="1" t="s">
        <v>171</v>
      </c>
      <c r="E1884" s="1">
        <v>42</v>
      </c>
      <c r="F1884" s="1" t="s">
        <v>171</v>
      </c>
    </row>
    <row r="1885" spans="1:6">
      <c r="A1885">
        <v>1</v>
      </c>
      <c r="B1885" t="s">
        <v>137</v>
      </c>
      <c r="C1885" s="1">
        <v>2</v>
      </c>
      <c r="D1885" s="1">
        <v>23</v>
      </c>
      <c r="E1885" s="1">
        <v>50</v>
      </c>
      <c r="F1885" s="1">
        <v>23</v>
      </c>
    </row>
    <row r="1886" spans="1:6">
      <c r="A1886">
        <v>1</v>
      </c>
      <c r="B1886" t="s">
        <v>137</v>
      </c>
      <c r="C1886" s="1">
        <v>2</v>
      </c>
      <c r="D1886" s="1">
        <v>24</v>
      </c>
      <c r="E1886" s="1">
        <v>60</v>
      </c>
      <c r="F1886" s="1">
        <v>24</v>
      </c>
    </row>
    <row r="1887" spans="1:6">
      <c r="A1887">
        <v>1</v>
      </c>
      <c r="B1887" t="s">
        <v>137</v>
      </c>
      <c r="C1887" s="1">
        <v>2</v>
      </c>
      <c r="D1887" s="1" t="s">
        <v>177</v>
      </c>
      <c r="E1887" s="1">
        <v>62</v>
      </c>
      <c r="F1887" s="1" t="s">
        <v>177</v>
      </c>
    </row>
    <row r="1888" spans="1:6">
      <c r="A1888">
        <v>11</v>
      </c>
      <c r="B1888" t="s">
        <v>186</v>
      </c>
      <c r="C1888" s="1">
        <v>1</v>
      </c>
      <c r="D1888" s="1" t="s">
        <v>192</v>
      </c>
      <c r="E1888" s="1">
        <v>2</v>
      </c>
      <c r="F1888" s="1" t="s">
        <v>192</v>
      </c>
    </row>
    <row r="1889" spans="1:6">
      <c r="A1889">
        <v>11</v>
      </c>
      <c r="B1889" t="s">
        <v>186</v>
      </c>
      <c r="C1889" s="1">
        <v>1</v>
      </c>
      <c r="D1889" s="1" t="s">
        <v>194</v>
      </c>
      <c r="E1889" s="1">
        <v>22</v>
      </c>
      <c r="F1889" s="1" t="s">
        <v>194</v>
      </c>
    </row>
    <row r="1890" spans="1:6">
      <c r="A1890">
        <v>11</v>
      </c>
      <c r="B1890" t="s">
        <v>186</v>
      </c>
      <c r="C1890" s="1">
        <v>1</v>
      </c>
      <c r="D1890" s="1" t="s">
        <v>195</v>
      </c>
      <c r="E1890" s="1">
        <v>32</v>
      </c>
      <c r="F1890" s="1" t="s">
        <v>195</v>
      </c>
    </row>
    <row r="1891" spans="1:6">
      <c r="A1891">
        <v>11</v>
      </c>
      <c r="B1891" t="s">
        <v>186</v>
      </c>
      <c r="C1891" s="1">
        <v>1</v>
      </c>
      <c r="D1891" s="1">
        <v>43</v>
      </c>
      <c r="E1891" s="1">
        <v>40</v>
      </c>
      <c r="F1891" s="1">
        <v>43</v>
      </c>
    </row>
    <row r="1892" spans="1:6">
      <c r="A1892">
        <v>11</v>
      </c>
      <c r="B1892" t="s">
        <v>186</v>
      </c>
      <c r="C1892" s="1">
        <v>1</v>
      </c>
      <c r="D1892" s="1" t="s">
        <v>197</v>
      </c>
      <c r="E1892" s="1">
        <v>52</v>
      </c>
      <c r="F1892" s="1" t="s">
        <v>197</v>
      </c>
    </row>
    <row r="1893" spans="1:6">
      <c r="A1893">
        <v>11</v>
      </c>
      <c r="B1893" t="s">
        <v>186</v>
      </c>
      <c r="C1893" s="1">
        <v>1</v>
      </c>
      <c r="D1893" s="1" t="s">
        <v>198</v>
      </c>
      <c r="E1893" s="1">
        <v>62</v>
      </c>
      <c r="F1893" s="1" t="s">
        <v>198</v>
      </c>
    </row>
    <row r="1894" spans="1:6">
      <c r="A1894">
        <v>42</v>
      </c>
      <c r="B1894" t="s">
        <v>220</v>
      </c>
      <c r="C1894" s="1">
        <v>2</v>
      </c>
      <c r="D1894" s="1" t="s">
        <v>553</v>
      </c>
      <c r="E1894" s="1">
        <v>60</v>
      </c>
      <c r="F1894" s="1" t="s">
        <v>553</v>
      </c>
    </row>
    <row r="1895" spans="1:6">
      <c r="A1895">
        <v>58</v>
      </c>
      <c r="B1895" t="s">
        <v>226</v>
      </c>
      <c r="C1895" s="1">
        <v>2</v>
      </c>
      <c r="D1895" s="1" t="s">
        <v>318</v>
      </c>
      <c r="E1895" s="1">
        <v>60</v>
      </c>
      <c r="F1895" s="1" t="s">
        <v>318</v>
      </c>
    </row>
    <row r="1896" spans="1:6">
      <c r="A1896">
        <v>74</v>
      </c>
      <c r="B1896" t="s">
        <v>235</v>
      </c>
      <c r="C1896" s="1">
        <v>3</v>
      </c>
      <c r="D1896" s="1" t="s">
        <v>320</v>
      </c>
      <c r="E1896" s="1">
        <v>50</v>
      </c>
      <c r="F1896" s="1" t="s">
        <v>320</v>
      </c>
    </row>
    <row r="1897" spans="1:6">
      <c r="A1897">
        <v>1</v>
      </c>
      <c r="B1897" t="s">
        <v>137</v>
      </c>
      <c r="C1897" s="1">
        <v>1</v>
      </c>
      <c r="D1897" s="1" t="s">
        <v>147</v>
      </c>
      <c r="E1897" s="1">
        <v>72</v>
      </c>
      <c r="F1897" s="1" t="s">
        <v>147</v>
      </c>
    </row>
    <row r="1898" spans="1:6">
      <c r="A1898">
        <v>1</v>
      </c>
      <c r="B1898" t="s">
        <v>137</v>
      </c>
      <c r="C1898" s="1">
        <v>1</v>
      </c>
      <c r="D1898" s="1" t="s">
        <v>150</v>
      </c>
      <c r="E1898" s="1">
        <v>82</v>
      </c>
      <c r="F1898" s="1" t="s">
        <v>150</v>
      </c>
    </row>
    <row r="1899" spans="1:6">
      <c r="A1899">
        <v>1</v>
      </c>
      <c r="B1899" t="s">
        <v>137</v>
      </c>
      <c r="C1899" s="1">
        <v>1</v>
      </c>
      <c r="D1899" s="1" t="s">
        <v>153</v>
      </c>
      <c r="E1899" s="1">
        <v>92</v>
      </c>
      <c r="F1899" s="1" t="s">
        <v>153</v>
      </c>
    </row>
    <row r="1900" spans="1:6">
      <c r="A1900">
        <v>1</v>
      </c>
      <c r="B1900" t="s">
        <v>137</v>
      </c>
      <c r="C1900" s="1">
        <v>1</v>
      </c>
      <c r="D1900" s="1" t="s">
        <v>156</v>
      </c>
      <c r="E1900" s="1">
        <v>96</v>
      </c>
      <c r="F1900" s="1" t="s">
        <v>156</v>
      </c>
    </row>
    <row r="1901" spans="1:6">
      <c r="A1901">
        <v>1</v>
      </c>
      <c r="B1901" t="s">
        <v>137</v>
      </c>
      <c r="C1901" s="1">
        <v>2</v>
      </c>
      <c r="D1901" s="1" t="s">
        <v>159</v>
      </c>
      <c r="E1901" s="1">
        <v>2</v>
      </c>
      <c r="F1901" s="1" t="s">
        <v>159</v>
      </c>
    </row>
    <row r="1902" spans="1:6">
      <c r="A1902">
        <v>1</v>
      </c>
      <c r="B1902" t="s">
        <v>137</v>
      </c>
      <c r="C1902" s="1">
        <v>2</v>
      </c>
      <c r="D1902" s="1">
        <v>19</v>
      </c>
      <c r="E1902" s="1">
        <v>10</v>
      </c>
      <c r="F1902" s="1">
        <v>19</v>
      </c>
    </row>
    <row r="1903" spans="1:6">
      <c r="A1903">
        <v>1</v>
      </c>
      <c r="B1903" t="s">
        <v>137</v>
      </c>
      <c r="C1903" s="1">
        <v>2</v>
      </c>
      <c r="D1903" s="1" t="s">
        <v>162</v>
      </c>
      <c r="E1903" s="1">
        <v>12</v>
      </c>
      <c r="F1903" s="1" t="s">
        <v>162</v>
      </c>
    </row>
    <row r="1904" spans="1:6">
      <c r="A1904">
        <v>1</v>
      </c>
      <c r="B1904" t="s">
        <v>137</v>
      </c>
      <c r="C1904" s="1">
        <v>2</v>
      </c>
      <c r="D1904" s="1" t="s">
        <v>165</v>
      </c>
      <c r="E1904" s="1">
        <v>22</v>
      </c>
      <c r="F1904" s="1" t="s">
        <v>165</v>
      </c>
    </row>
    <row r="1905" spans="1:6">
      <c r="A1905">
        <v>1</v>
      </c>
      <c r="B1905" t="s">
        <v>137</v>
      </c>
      <c r="C1905" s="1">
        <v>2</v>
      </c>
      <c r="D1905" s="1" t="s">
        <v>168</v>
      </c>
      <c r="E1905" s="1">
        <v>32</v>
      </c>
      <c r="F1905" s="1" t="s">
        <v>168</v>
      </c>
    </row>
    <row r="1906" spans="1:6">
      <c r="A1906">
        <v>1</v>
      </c>
      <c r="B1906" t="s">
        <v>137</v>
      </c>
      <c r="C1906" s="1">
        <v>2</v>
      </c>
      <c r="D1906" s="1">
        <v>22</v>
      </c>
      <c r="E1906" s="1">
        <v>40</v>
      </c>
      <c r="F1906" s="1">
        <v>22</v>
      </c>
    </row>
    <row r="1907" spans="1:6">
      <c r="A1907">
        <v>1</v>
      </c>
      <c r="B1907" t="s">
        <v>137</v>
      </c>
      <c r="C1907" s="1">
        <v>2</v>
      </c>
      <c r="D1907" s="1" t="s">
        <v>171</v>
      </c>
      <c r="E1907" s="1">
        <v>42</v>
      </c>
      <c r="F1907" s="1" t="s">
        <v>171</v>
      </c>
    </row>
    <row r="1908" spans="1:6">
      <c r="A1908">
        <v>1</v>
      </c>
      <c r="B1908" t="s">
        <v>137</v>
      </c>
      <c r="C1908" s="1">
        <v>2</v>
      </c>
      <c r="D1908" s="1">
        <v>24</v>
      </c>
      <c r="E1908" s="1">
        <v>60</v>
      </c>
      <c r="F1908" s="1">
        <v>24</v>
      </c>
    </row>
    <row r="1909" spans="1:6">
      <c r="A1909">
        <v>1</v>
      </c>
      <c r="B1909" t="s">
        <v>137</v>
      </c>
      <c r="C1909" s="1">
        <v>2</v>
      </c>
      <c r="D1909" s="1">
        <v>18</v>
      </c>
      <c r="F1909" s="1">
        <v>18</v>
      </c>
    </row>
    <row r="1910" spans="1:6">
      <c r="A1910">
        <v>2</v>
      </c>
      <c r="B1910" t="s">
        <v>181</v>
      </c>
      <c r="C1910" s="1">
        <v>1</v>
      </c>
      <c r="D1910" s="1">
        <v>4</v>
      </c>
      <c r="E1910" s="1">
        <v>60</v>
      </c>
      <c r="F1910" s="1">
        <v>4</v>
      </c>
    </row>
    <row r="1911" spans="1:6">
      <c r="A1911">
        <v>2</v>
      </c>
      <c r="B1911" t="s">
        <v>181</v>
      </c>
      <c r="C1911" s="1">
        <v>1</v>
      </c>
      <c r="D1911" s="1">
        <v>4</v>
      </c>
      <c r="E1911" s="1">
        <v>62</v>
      </c>
      <c r="F1911" s="1">
        <v>4</v>
      </c>
    </row>
    <row r="1912" spans="1:6">
      <c r="A1912">
        <v>2</v>
      </c>
      <c r="B1912" t="s">
        <v>181</v>
      </c>
      <c r="C1912" s="1">
        <v>1</v>
      </c>
      <c r="D1912" s="1">
        <v>5</v>
      </c>
      <c r="E1912" s="1">
        <v>70</v>
      </c>
      <c r="F1912" s="1">
        <v>5</v>
      </c>
    </row>
    <row r="1913" spans="1:6">
      <c r="A1913">
        <v>2</v>
      </c>
      <c r="B1913" t="s">
        <v>181</v>
      </c>
      <c r="C1913" s="1">
        <v>1</v>
      </c>
      <c r="D1913" s="1">
        <v>5</v>
      </c>
      <c r="E1913" s="1">
        <v>72</v>
      </c>
      <c r="F1913" s="1">
        <v>5</v>
      </c>
    </row>
    <row r="1914" spans="1:6">
      <c r="A1914">
        <v>2</v>
      </c>
      <c r="B1914" t="s">
        <v>181</v>
      </c>
      <c r="C1914" s="1">
        <v>1</v>
      </c>
      <c r="D1914" s="1">
        <v>6</v>
      </c>
      <c r="E1914" s="1">
        <v>80</v>
      </c>
      <c r="F1914" s="1">
        <v>6</v>
      </c>
    </row>
    <row r="1915" spans="1:6">
      <c r="A1915">
        <v>2</v>
      </c>
      <c r="B1915" t="s">
        <v>181</v>
      </c>
      <c r="C1915" s="1">
        <v>1</v>
      </c>
      <c r="D1915" s="1">
        <v>6</v>
      </c>
      <c r="E1915" s="1">
        <v>82</v>
      </c>
      <c r="F1915" s="1">
        <v>6</v>
      </c>
    </row>
    <row r="1916" spans="1:6">
      <c r="A1916">
        <v>2</v>
      </c>
      <c r="B1916" t="s">
        <v>181</v>
      </c>
      <c r="C1916" s="1">
        <v>1</v>
      </c>
      <c r="D1916" s="1">
        <v>7</v>
      </c>
      <c r="E1916" s="1">
        <v>90</v>
      </c>
      <c r="F1916" s="1">
        <v>7</v>
      </c>
    </row>
    <row r="1917" spans="1:6">
      <c r="A1917">
        <v>2</v>
      </c>
      <c r="B1917" t="s">
        <v>181</v>
      </c>
      <c r="C1917" s="1">
        <v>1</v>
      </c>
      <c r="D1917" s="1">
        <v>7</v>
      </c>
      <c r="E1917" s="1">
        <v>92</v>
      </c>
      <c r="F1917" s="1">
        <v>7</v>
      </c>
    </row>
    <row r="1918" spans="1:6">
      <c r="A1918">
        <v>2</v>
      </c>
      <c r="B1918" t="s">
        <v>181</v>
      </c>
      <c r="C1918" s="1">
        <v>1</v>
      </c>
      <c r="D1918" s="1">
        <v>8</v>
      </c>
      <c r="E1918" s="1">
        <v>94</v>
      </c>
      <c r="F1918" s="1">
        <v>8</v>
      </c>
    </row>
    <row r="1919" spans="1:6">
      <c r="A1919">
        <v>2</v>
      </c>
      <c r="B1919" t="s">
        <v>181</v>
      </c>
      <c r="C1919" s="1">
        <v>1</v>
      </c>
      <c r="D1919" s="1" t="s">
        <v>333</v>
      </c>
      <c r="E1919" s="1">
        <v>96</v>
      </c>
      <c r="F1919" s="1" t="s">
        <v>333</v>
      </c>
    </row>
    <row r="1920" spans="1:6">
      <c r="A1920">
        <v>2</v>
      </c>
      <c r="B1920" t="s">
        <v>181</v>
      </c>
      <c r="C1920" s="1">
        <v>2</v>
      </c>
      <c r="D1920" s="1">
        <v>9</v>
      </c>
      <c r="E1920" s="1">
        <v>2</v>
      </c>
      <c r="F1920" s="1">
        <v>9</v>
      </c>
    </row>
    <row r="1921" spans="1:6">
      <c r="A1921">
        <v>2</v>
      </c>
      <c r="B1921" t="s">
        <v>181</v>
      </c>
      <c r="C1921" s="1">
        <v>2</v>
      </c>
      <c r="D1921" s="1">
        <v>10</v>
      </c>
      <c r="E1921" s="1">
        <v>10</v>
      </c>
      <c r="F1921" s="1">
        <v>10</v>
      </c>
    </row>
    <row r="1922" spans="1:6">
      <c r="A1922">
        <v>2</v>
      </c>
      <c r="B1922" t="s">
        <v>181</v>
      </c>
      <c r="C1922" s="1">
        <v>2</v>
      </c>
      <c r="D1922" s="1">
        <v>10</v>
      </c>
      <c r="E1922" s="1">
        <v>12</v>
      </c>
      <c r="F1922" s="1">
        <v>10</v>
      </c>
    </row>
    <row r="1923" spans="1:6">
      <c r="A1923">
        <v>2</v>
      </c>
      <c r="B1923" t="s">
        <v>181</v>
      </c>
      <c r="C1923" s="1">
        <v>2</v>
      </c>
      <c r="D1923" s="1">
        <v>11</v>
      </c>
      <c r="E1923" s="1">
        <v>20</v>
      </c>
      <c r="F1923" s="1">
        <v>11</v>
      </c>
    </row>
    <row r="1924" spans="1:6">
      <c r="A1924">
        <v>2</v>
      </c>
      <c r="B1924" t="s">
        <v>181</v>
      </c>
      <c r="C1924" s="1">
        <v>2</v>
      </c>
      <c r="D1924" s="1" t="s">
        <v>389</v>
      </c>
      <c r="E1924" s="1">
        <v>22</v>
      </c>
      <c r="F1924" s="1" t="s">
        <v>389</v>
      </c>
    </row>
    <row r="1925" spans="1:6">
      <c r="A1925">
        <v>2</v>
      </c>
      <c r="B1925" t="s">
        <v>181</v>
      </c>
      <c r="C1925" s="1">
        <v>2</v>
      </c>
      <c r="D1925" s="1">
        <v>12</v>
      </c>
      <c r="E1925" s="1">
        <v>30</v>
      </c>
      <c r="F1925" s="1">
        <v>12</v>
      </c>
    </row>
    <row r="1926" spans="1:6">
      <c r="A1926">
        <v>2</v>
      </c>
      <c r="B1926" t="s">
        <v>181</v>
      </c>
      <c r="C1926" s="1">
        <v>2</v>
      </c>
      <c r="D1926" s="1">
        <v>12</v>
      </c>
      <c r="E1926" s="1">
        <v>32</v>
      </c>
      <c r="F1926" s="1">
        <v>12</v>
      </c>
    </row>
    <row r="1927" spans="1:6">
      <c r="A1927">
        <v>2</v>
      </c>
      <c r="B1927" t="s">
        <v>181</v>
      </c>
      <c r="C1927" s="1">
        <v>2</v>
      </c>
      <c r="D1927" s="1">
        <v>13</v>
      </c>
      <c r="E1927" s="1">
        <v>40</v>
      </c>
      <c r="F1927" s="1">
        <v>13</v>
      </c>
    </row>
    <row r="1928" spans="1:6">
      <c r="A1928">
        <v>2</v>
      </c>
      <c r="B1928" t="s">
        <v>181</v>
      </c>
      <c r="C1928" s="1">
        <v>2</v>
      </c>
      <c r="D1928" s="1">
        <v>13</v>
      </c>
      <c r="E1928" s="1">
        <v>42</v>
      </c>
      <c r="F1928" s="1">
        <v>13</v>
      </c>
    </row>
    <row r="1929" spans="1:6">
      <c r="A1929">
        <v>2</v>
      </c>
      <c r="B1929" t="s">
        <v>181</v>
      </c>
      <c r="C1929" s="1">
        <v>2</v>
      </c>
      <c r="D1929" s="1">
        <v>14</v>
      </c>
      <c r="E1929" s="1">
        <v>50</v>
      </c>
      <c r="F1929" s="1">
        <v>14</v>
      </c>
    </row>
    <row r="1930" spans="1:6">
      <c r="A1930">
        <v>2</v>
      </c>
      <c r="B1930" t="s">
        <v>181</v>
      </c>
      <c r="C1930" s="1">
        <v>2</v>
      </c>
      <c r="D1930" s="1" t="s">
        <v>147</v>
      </c>
      <c r="E1930" s="1">
        <v>52</v>
      </c>
      <c r="F1930" s="1" t="s">
        <v>147</v>
      </c>
    </row>
    <row r="1931" spans="1:6">
      <c r="A1931">
        <v>2</v>
      </c>
      <c r="B1931" t="s">
        <v>181</v>
      </c>
      <c r="C1931" s="1">
        <v>2</v>
      </c>
      <c r="D1931" s="1">
        <v>15</v>
      </c>
      <c r="E1931" s="1">
        <v>60</v>
      </c>
      <c r="F1931" s="1">
        <v>15</v>
      </c>
    </row>
    <row r="1932" spans="1:6">
      <c r="A1932">
        <v>2</v>
      </c>
      <c r="B1932" t="s">
        <v>181</v>
      </c>
      <c r="C1932" s="1">
        <v>2</v>
      </c>
      <c r="D1932" s="1" t="s">
        <v>150</v>
      </c>
      <c r="E1932" s="1">
        <v>62</v>
      </c>
      <c r="F1932" s="1" t="s">
        <v>150</v>
      </c>
    </row>
    <row r="1933" spans="1:6">
      <c r="A1933">
        <v>2</v>
      </c>
      <c r="B1933" t="s">
        <v>181</v>
      </c>
      <c r="C1933" s="1">
        <v>2</v>
      </c>
      <c r="D1933" s="1" t="s">
        <v>153</v>
      </c>
      <c r="E1933" s="1">
        <v>72</v>
      </c>
      <c r="F1933" s="1" t="s">
        <v>153</v>
      </c>
    </row>
    <row r="1934" spans="1:6">
      <c r="A1934">
        <v>2</v>
      </c>
      <c r="B1934" t="s">
        <v>181</v>
      </c>
      <c r="C1934" s="1">
        <v>2</v>
      </c>
      <c r="D1934" s="1">
        <v>9</v>
      </c>
      <c r="F1934" s="1">
        <v>9</v>
      </c>
    </row>
    <row r="1935" spans="1:6">
      <c r="A1935">
        <v>11</v>
      </c>
      <c r="B1935" t="s">
        <v>186</v>
      </c>
      <c r="C1935" s="1">
        <v>1</v>
      </c>
      <c r="D1935" s="1" t="s">
        <v>192</v>
      </c>
      <c r="E1935" s="1">
        <v>2</v>
      </c>
      <c r="F1935" s="1" t="s">
        <v>192</v>
      </c>
    </row>
    <row r="1936" spans="1:6">
      <c r="A1936">
        <v>11</v>
      </c>
      <c r="B1936" t="s">
        <v>186</v>
      </c>
      <c r="C1936" s="1">
        <v>1</v>
      </c>
      <c r="D1936" s="1" t="s">
        <v>194</v>
      </c>
      <c r="E1936" s="1">
        <v>22</v>
      </c>
      <c r="F1936" s="1" t="s">
        <v>194</v>
      </c>
    </row>
    <row r="1937" spans="1:6">
      <c r="A1937">
        <v>11</v>
      </c>
      <c r="B1937" t="s">
        <v>186</v>
      </c>
      <c r="C1937" s="1">
        <v>1</v>
      </c>
      <c r="D1937" s="1">
        <v>43</v>
      </c>
      <c r="E1937" s="1">
        <v>40</v>
      </c>
      <c r="F1937" s="1">
        <v>43</v>
      </c>
    </row>
    <row r="1938" spans="1:6">
      <c r="A1938">
        <v>11</v>
      </c>
      <c r="B1938" t="s">
        <v>186</v>
      </c>
      <c r="C1938" s="1">
        <v>1</v>
      </c>
      <c r="D1938" s="1" t="s">
        <v>196</v>
      </c>
      <c r="E1938" s="1">
        <v>42</v>
      </c>
      <c r="F1938" s="1" t="s">
        <v>196</v>
      </c>
    </row>
    <row r="1939" spans="1:6">
      <c r="A1939">
        <v>11</v>
      </c>
      <c r="B1939" t="s">
        <v>186</v>
      </c>
      <c r="C1939" s="1">
        <v>1</v>
      </c>
      <c r="D1939" s="1">
        <v>44</v>
      </c>
      <c r="E1939" s="1">
        <v>50</v>
      </c>
      <c r="F1939" s="1">
        <v>44</v>
      </c>
    </row>
    <row r="1940" spans="1:6">
      <c r="A1940">
        <v>11</v>
      </c>
      <c r="B1940" t="s">
        <v>186</v>
      </c>
      <c r="C1940" s="1">
        <v>1</v>
      </c>
      <c r="D1940" s="1" t="s">
        <v>197</v>
      </c>
      <c r="E1940" s="1">
        <v>52</v>
      </c>
      <c r="F1940" s="1" t="s">
        <v>197</v>
      </c>
    </row>
    <row r="1941" spans="1:6">
      <c r="A1941">
        <v>11</v>
      </c>
      <c r="B1941" t="s">
        <v>186</v>
      </c>
      <c r="C1941" s="1">
        <v>1</v>
      </c>
      <c r="D1941" s="1">
        <v>45</v>
      </c>
      <c r="E1941" s="1">
        <v>60</v>
      </c>
      <c r="F1941" s="1">
        <v>45</v>
      </c>
    </row>
    <row r="1942" spans="1:6">
      <c r="A1942">
        <v>11</v>
      </c>
      <c r="B1942" t="s">
        <v>186</v>
      </c>
      <c r="C1942" s="1">
        <v>1</v>
      </c>
      <c r="D1942" s="1" t="s">
        <v>198</v>
      </c>
      <c r="E1942" s="1">
        <v>62</v>
      </c>
      <c r="F1942" s="1" t="s">
        <v>198</v>
      </c>
    </row>
    <row r="1943" spans="1:6">
      <c r="A1943">
        <v>11</v>
      </c>
      <c r="B1943" t="s">
        <v>186</v>
      </c>
      <c r="C1943" s="1">
        <v>1</v>
      </c>
      <c r="D1943" s="1" t="s">
        <v>199</v>
      </c>
      <c r="E1943" s="1">
        <v>72</v>
      </c>
      <c r="F1943" s="1" t="s">
        <v>199</v>
      </c>
    </row>
    <row r="1944" spans="1:6">
      <c r="A1944">
        <v>12</v>
      </c>
      <c r="B1944" t="s">
        <v>107</v>
      </c>
      <c r="C1944" s="1">
        <v>1</v>
      </c>
      <c r="D1944" s="1" t="s">
        <v>195</v>
      </c>
      <c r="E1944" s="1">
        <v>32</v>
      </c>
      <c r="F1944" s="1" t="s">
        <v>195</v>
      </c>
    </row>
    <row r="1945" spans="1:6">
      <c r="A1945">
        <v>12</v>
      </c>
      <c r="B1945" t="s">
        <v>107</v>
      </c>
      <c r="C1945" s="1">
        <v>1</v>
      </c>
      <c r="D1945" s="1">
        <v>44</v>
      </c>
      <c r="E1945" s="1">
        <v>50</v>
      </c>
      <c r="F1945" s="1">
        <v>44</v>
      </c>
    </row>
    <row r="1946" spans="1:6">
      <c r="A1946">
        <v>12</v>
      </c>
      <c r="B1946" t="s">
        <v>107</v>
      </c>
      <c r="C1946" s="1">
        <v>1</v>
      </c>
      <c r="D1946" s="1" t="s">
        <v>198</v>
      </c>
      <c r="E1946" s="1">
        <v>62</v>
      </c>
      <c r="F1946" s="1" t="s">
        <v>198</v>
      </c>
    </row>
    <row r="1947" spans="1:6">
      <c r="A1947">
        <v>13</v>
      </c>
      <c r="B1947" t="s">
        <v>200</v>
      </c>
      <c r="C1947" s="1">
        <v>1</v>
      </c>
      <c r="D1947" s="1" t="s">
        <v>194</v>
      </c>
      <c r="E1947" s="1">
        <v>22</v>
      </c>
      <c r="F1947" s="1" t="s">
        <v>194</v>
      </c>
    </row>
    <row r="1948" spans="1:6">
      <c r="A1948">
        <v>13</v>
      </c>
      <c r="B1948" t="s">
        <v>200</v>
      </c>
      <c r="C1948" s="1">
        <v>1</v>
      </c>
      <c r="D1948" s="1" t="s">
        <v>196</v>
      </c>
      <c r="E1948" s="1">
        <v>42</v>
      </c>
      <c r="F1948" s="1" t="s">
        <v>196</v>
      </c>
    </row>
    <row r="1949" spans="1:6">
      <c r="A1949">
        <v>36</v>
      </c>
      <c r="B1949" t="s">
        <v>215</v>
      </c>
      <c r="C1949" s="1">
        <v>21</v>
      </c>
      <c r="D1949" s="1">
        <v>7</v>
      </c>
      <c r="E1949" s="1">
        <v>92</v>
      </c>
      <c r="F1949" s="1">
        <v>7</v>
      </c>
    </row>
    <row r="1950" spans="1:6">
      <c r="A1950">
        <v>36</v>
      </c>
      <c r="B1950" t="s">
        <v>215</v>
      </c>
      <c r="C1950" s="1">
        <v>21</v>
      </c>
      <c r="D1950" s="1">
        <v>8</v>
      </c>
      <c r="E1950" s="1">
        <v>94</v>
      </c>
      <c r="F1950" s="1">
        <v>8</v>
      </c>
    </row>
    <row r="1951" spans="1:6">
      <c r="A1951">
        <v>36</v>
      </c>
      <c r="B1951" t="s">
        <v>215</v>
      </c>
      <c r="C1951" s="1">
        <v>22</v>
      </c>
      <c r="D1951" s="1">
        <v>9</v>
      </c>
      <c r="E1951" s="1">
        <v>2</v>
      </c>
      <c r="F1951" s="1">
        <v>9</v>
      </c>
    </row>
    <row r="1952" spans="1:6">
      <c r="A1952">
        <v>36</v>
      </c>
      <c r="B1952" t="s">
        <v>215</v>
      </c>
      <c r="C1952" s="1">
        <v>22</v>
      </c>
      <c r="D1952" s="1">
        <v>10</v>
      </c>
      <c r="E1952" s="1">
        <v>10</v>
      </c>
      <c r="F1952" s="1">
        <v>10</v>
      </c>
    </row>
    <row r="1953" spans="1:6">
      <c r="A1953">
        <v>36</v>
      </c>
      <c r="B1953" t="s">
        <v>215</v>
      </c>
      <c r="C1953" s="1">
        <v>22</v>
      </c>
      <c r="D1953" s="1">
        <v>10</v>
      </c>
      <c r="E1953" s="1">
        <v>12</v>
      </c>
      <c r="F1953" s="1">
        <v>10</v>
      </c>
    </row>
    <row r="1954" spans="1:6">
      <c r="A1954">
        <v>36</v>
      </c>
      <c r="B1954" t="s">
        <v>215</v>
      </c>
      <c r="C1954" s="1">
        <v>22</v>
      </c>
      <c r="D1954" s="1">
        <v>11</v>
      </c>
      <c r="E1954" s="1">
        <v>20</v>
      </c>
      <c r="F1954" s="1">
        <v>11</v>
      </c>
    </row>
    <row r="1955" spans="1:6">
      <c r="A1955">
        <v>36</v>
      </c>
      <c r="B1955" t="s">
        <v>215</v>
      </c>
      <c r="C1955" s="1">
        <v>22</v>
      </c>
      <c r="D1955" s="1">
        <v>11</v>
      </c>
      <c r="E1955" s="1">
        <v>22</v>
      </c>
      <c r="F1955" s="1">
        <v>11</v>
      </c>
    </row>
    <row r="1956" spans="1:6">
      <c r="A1956">
        <v>36</v>
      </c>
      <c r="B1956" t="s">
        <v>215</v>
      </c>
      <c r="C1956" s="1">
        <v>22</v>
      </c>
      <c r="D1956" s="1">
        <v>12</v>
      </c>
      <c r="E1956" s="1">
        <v>30</v>
      </c>
      <c r="F1956" s="1">
        <v>12</v>
      </c>
    </row>
    <row r="1957" spans="1:6">
      <c r="A1957">
        <v>36</v>
      </c>
      <c r="B1957" t="s">
        <v>215</v>
      </c>
      <c r="C1957" s="1">
        <v>22</v>
      </c>
      <c r="D1957" s="1">
        <v>12</v>
      </c>
      <c r="E1957" s="1">
        <v>32</v>
      </c>
      <c r="F1957" s="1">
        <v>12</v>
      </c>
    </row>
    <row r="1958" spans="1:6">
      <c r="A1958">
        <v>36</v>
      </c>
      <c r="B1958" t="s">
        <v>215</v>
      </c>
      <c r="C1958" s="1">
        <v>22</v>
      </c>
      <c r="D1958" s="1">
        <v>13</v>
      </c>
      <c r="E1958" s="1">
        <v>40</v>
      </c>
      <c r="F1958" s="1">
        <v>13</v>
      </c>
    </row>
    <row r="1959" spans="1:6">
      <c r="A1959">
        <v>36</v>
      </c>
      <c r="B1959" t="s">
        <v>215</v>
      </c>
      <c r="C1959" s="1">
        <v>22</v>
      </c>
      <c r="D1959" s="1">
        <v>13</v>
      </c>
      <c r="E1959" s="1">
        <v>42</v>
      </c>
      <c r="F1959" s="1">
        <v>13</v>
      </c>
    </row>
    <row r="1960" spans="1:6">
      <c r="A1960">
        <v>36</v>
      </c>
      <c r="B1960" t="s">
        <v>215</v>
      </c>
      <c r="C1960" s="1">
        <v>22</v>
      </c>
      <c r="D1960" s="1">
        <v>14</v>
      </c>
      <c r="E1960" s="1">
        <v>50</v>
      </c>
      <c r="F1960" s="1">
        <v>14</v>
      </c>
    </row>
    <row r="1961" spans="1:6">
      <c r="A1961">
        <v>36</v>
      </c>
      <c r="B1961" t="s">
        <v>215</v>
      </c>
      <c r="C1961" s="1">
        <v>22</v>
      </c>
      <c r="D1961" s="1">
        <v>14</v>
      </c>
      <c r="E1961" s="1">
        <v>52</v>
      </c>
      <c r="F1961" s="1">
        <v>14</v>
      </c>
    </row>
    <row r="1962" spans="1:6">
      <c r="A1962">
        <v>36</v>
      </c>
      <c r="B1962" t="s">
        <v>215</v>
      </c>
      <c r="C1962" s="1">
        <v>22</v>
      </c>
      <c r="D1962" s="1">
        <v>15</v>
      </c>
      <c r="E1962" s="1">
        <v>60</v>
      </c>
      <c r="F1962" s="1">
        <v>15</v>
      </c>
    </row>
    <row r="1963" spans="1:6">
      <c r="A1963">
        <v>36</v>
      </c>
      <c r="B1963" t="s">
        <v>215</v>
      </c>
      <c r="C1963" s="1">
        <v>22</v>
      </c>
      <c r="D1963" s="1">
        <v>15</v>
      </c>
      <c r="E1963" s="1">
        <v>62</v>
      </c>
      <c r="F1963" s="1">
        <v>15</v>
      </c>
    </row>
    <row r="1964" spans="1:6">
      <c r="A1964">
        <v>36</v>
      </c>
      <c r="B1964" t="s">
        <v>215</v>
      </c>
      <c r="C1964" s="1">
        <v>22</v>
      </c>
      <c r="D1964" s="1">
        <v>9</v>
      </c>
      <c r="F1964" s="1">
        <v>9</v>
      </c>
    </row>
    <row r="1965" spans="1:6">
      <c r="A1965">
        <v>44</v>
      </c>
      <c r="B1965" t="s">
        <v>222</v>
      </c>
      <c r="C1965" s="1">
        <v>1</v>
      </c>
      <c r="D1965" s="17">
        <v>1</v>
      </c>
      <c r="F1965" s="17">
        <v>1</v>
      </c>
    </row>
    <row r="1966" spans="1:6">
      <c r="A1966">
        <v>44</v>
      </c>
      <c r="B1966" t="s">
        <v>222</v>
      </c>
      <c r="C1966" s="1">
        <v>9</v>
      </c>
      <c r="D1966" s="1" t="s">
        <v>555</v>
      </c>
      <c r="E1966" s="1">
        <v>77</v>
      </c>
      <c r="F1966" s="1" t="s">
        <v>555</v>
      </c>
    </row>
    <row r="1967" spans="1:6">
      <c r="A1967">
        <v>44</v>
      </c>
      <c r="B1967" t="s">
        <v>222</v>
      </c>
      <c r="C1967" s="1">
        <v>9</v>
      </c>
      <c r="D1967" s="1" t="s">
        <v>556</v>
      </c>
      <c r="E1967" s="1">
        <v>90</v>
      </c>
      <c r="F1967" s="1" t="s">
        <v>556</v>
      </c>
    </row>
    <row r="1968" spans="1:6">
      <c r="A1968">
        <v>44</v>
      </c>
      <c r="B1968" t="s">
        <v>222</v>
      </c>
      <c r="C1968" s="1">
        <v>9</v>
      </c>
      <c r="D1968" s="17">
        <v>1</v>
      </c>
      <c r="F1968" s="17">
        <v>1</v>
      </c>
    </row>
    <row r="1969" spans="1:6">
      <c r="A1969">
        <v>44</v>
      </c>
      <c r="B1969" t="s">
        <v>222</v>
      </c>
      <c r="C1969" s="1">
        <v>67</v>
      </c>
      <c r="D1969" s="1" t="s">
        <v>557</v>
      </c>
      <c r="E1969" s="1">
        <v>85</v>
      </c>
      <c r="F1969" s="1" t="s">
        <v>557</v>
      </c>
    </row>
    <row r="1970" spans="1:6">
      <c r="A1970">
        <v>44</v>
      </c>
      <c r="B1970" t="s">
        <v>222</v>
      </c>
      <c r="E1970" s="1">
        <v>65</v>
      </c>
    </row>
    <row r="1971" spans="1:6">
      <c r="A1971">
        <v>45</v>
      </c>
      <c r="B1971" t="s">
        <v>223</v>
      </c>
      <c r="C1971" s="1">
        <v>2</v>
      </c>
      <c r="D1971" s="1" t="s">
        <v>490</v>
      </c>
      <c r="E1971" s="1">
        <v>22</v>
      </c>
      <c r="F1971" s="1" t="s">
        <v>558</v>
      </c>
    </row>
    <row r="1972" spans="1:6">
      <c r="A1972">
        <v>74</v>
      </c>
      <c r="B1972" t="s">
        <v>235</v>
      </c>
      <c r="C1972" s="1">
        <v>3</v>
      </c>
      <c r="D1972" s="1" t="s">
        <v>326</v>
      </c>
      <c r="E1972" s="1">
        <v>40</v>
      </c>
      <c r="F1972" s="1" t="s">
        <v>326</v>
      </c>
    </row>
    <row r="1973" spans="1:6">
      <c r="A1973">
        <v>74</v>
      </c>
      <c r="B1973" t="s">
        <v>235</v>
      </c>
      <c r="C1973" s="1">
        <v>3</v>
      </c>
      <c r="D1973" s="1" t="s">
        <v>320</v>
      </c>
      <c r="E1973" s="1">
        <v>50</v>
      </c>
      <c r="F1973" s="1" t="s">
        <v>320</v>
      </c>
    </row>
    <row r="1974" spans="1:6">
      <c r="A1974">
        <v>79</v>
      </c>
      <c r="B1974" t="s">
        <v>559</v>
      </c>
      <c r="E1974" s="1">
        <v>90</v>
      </c>
    </row>
    <row r="1975" spans="1:6">
      <c r="A1975">
        <v>90</v>
      </c>
      <c r="B1975" t="s">
        <v>244</v>
      </c>
      <c r="E1975" s="1">
        <v>1</v>
      </c>
    </row>
    <row r="1976" spans="1:6">
      <c r="A1976">
        <v>90</v>
      </c>
      <c r="B1976" t="s">
        <v>244</v>
      </c>
    </row>
    <row r="1977" spans="1:6">
      <c r="A1977">
        <v>1</v>
      </c>
      <c r="B1977" t="s">
        <v>137</v>
      </c>
      <c r="C1977" s="1">
        <v>1</v>
      </c>
      <c r="D1977" s="1">
        <v>14</v>
      </c>
      <c r="E1977" s="1">
        <v>70</v>
      </c>
      <c r="F1977" s="1">
        <v>14</v>
      </c>
    </row>
    <row r="1978" spans="1:6">
      <c r="A1978">
        <v>1</v>
      </c>
      <c r="B1978" t="s">
        <v>137</v>
      </c>
      <c r="C1978" s="1">
        <v>1</v>
      </c>
      <c r="D1978" s="1">
        <v>15</v>
      </c>
      <c r="E1978" s="1">
        <v>80</v>
      </c>
      <c r="F1978" s="1">
        <v>15</v>
      </c>
    </row>
    <row r="1979" spans="1:6">
      <c r="A1979">
        <v>1</v>
      </c>
      <c r="B1979" t="s">
        <v>137</v>
      </c>
      <c r="C1979" s="1">
        <v>1</v>
      </c>
      <c r="D1979" s="1" t="s">
        <v>150</v>
      </c>
      <c r="E1979" s="1">
        <v>82</v>
      </c>
      <c r="F1979" s="1" t="s">
        <v>150</v>
      </c>
    </row>
    <row r="1980" spans="1:6">
      <c r="A1980">
        <v>1</v>
      </c>
      <c r="B1980" t="s">
        <v>137</v>
      </c>
      <c r="C1980" s="1">
        <v>1</v>
      </c>
      <c r="D1980" s="1">
        <v>16</v>
      </c>
      <c r="E1980" s="1">
        <v>90</v>
      </c>
      <c r="F1980" s="1">
        <v>16</v>
      </c>
    </row>
    <row r="1981" spans="1:6">
      <c r="A1981">
        <v>1</v>
      </c>
      <c r="B1981" t="s">
        <v>137</v>
      </c>
      <c r="C1981" s="1">
        <v>1</v>
      </c>
      <c r="D1981" s="1" t="s">
        <v>153</v>
      </c>
      <c r="E1981" s="1">
        <v>92</v>
      </c>
      <c r="F1981" s="1" t="s">
        <v>153</v>
      </c>
    </row>
    <row r="1982" spans="1:6">
      <c r="A1982">
        <v>1</v>
      </c>
      <c r="B1982" t="s">
        <v>137</v>
      </c>
      <c r="C1982" s="1">
        <v>1</v>
      </c>
      <c r="D1982" s="1">
        <v>17</v>
      </c>
      <c r="E1982" s="1">
        <v>94</v>
      </c>
      <c r="F1982" s="1">
        <v>17</v>
      </c>
    </row>
    <row r="1983" spans="1:6">
      <c r="A1983">
        <v>1</v>
      </c>
      <c r="B1983" t="s">
        <v>137</v>
      </c>
      <c r="C1983" s="1">
        <v>1</v>
      </c>
      <c r="D1983" s="1" t="s">
        <v>156</v>
      </c>
      <c r="E1983" s="1">
        <v>96</v>
      </c>
      <c r="F1983" s="1" t="s">
        <v>156</v>
      </c>
    </row>
    <row r="1984" spans="1:6">
      <c r="A1984">
        <v>1</v>
      </c>
      <c r="B1984" t="s">
        <v>137</v>
      </c>
      <c r="C1984" s="1">
        <v>2</v>
      </c>
      <c r="D1984" s="1" t="s">
        <v>159</v>
      </c>
      <c r="E1984" s="1">
        <v>2</v>
      </c>
      <c r="F1984" s="1" t="s">
        <v>159</v>
      </c>
    </row>
    <row r="1985" spans="1:6">
      <c r="A1985">
        <v>1</v>
      </c>
      <c r="B1985" t="s">
        <v>137</v>
      </c>
      <c r="C1985" s="1">
        <v>2</v>
      </c>
      <c r="D1985" s="1">
        <v>19</v>
      </c>
      <c r="E1985" s="1">
        <v>10</v>
      </c>
      <c r="F1985" s="1">
        <v>19</v>
      </c>
    </row>
    <row r="1986" spans="1:6">
      <c r="A1986">
        <v>1</v>
      </c>
      <c r="B1986" t="s">
        <v>137</v>
      </c>
      <c r="C1986" s="1">
        <v>2</v>
      </c>
      <c r="D1986" s="1" t="s">
        <v>162</v>
      </c>
      <c r="E1986" s="1">
        <v>12</v>
      </c>
      <c r="F1986" s="1" t="s">
        <v>162</v>
      </c>
    </row>
    <row r="1987" spans="1:6">
      <c r="A1987">
        <v>1</v>
      </c>
      <c r="B1987" t="s">
        <v>137</v>
      </c>
      <c r="C1987" s="1">
        <v>2</v>
      </c>
      <c r="D1987" s="1">
        <v>20</v>
      </c>
      <c r="E1987" s="1">
        <v>20</v>
      </c>
      <c r="F1987" s="1">
        <v>20</v>
      </c>
    </row>
    <row r="1988" spans="1:6">
      <c r="A1988">
        <v>1</v>
      </c>
      <c r="B1988" t="s">
        <v>137</v>
      </c>
      <c r="C1988" s="1">
        <v>2</v>
      </c>
      <c r="D1988" s="1" t="s">
        <v>165</v>
      </c>
      <c r="E1988" s="1">
        <v>22</v>
      </c>
      <c r="F1988" s="1" t="s">
        <v>165</v>
      </c>
    </row>
    <row r="1989" spans="1:6">
      <c r="A1989">
        <v>1</v>
      </c>
      <c r="B1989" t="s">
        <v>137</v>
      </c>
      <c r="C1989" s="1">
        <v>2</v>
      </c>
      <c r="D1989" s="1">
        <v>21</v>
      </c>
      <c r="E1989" s="1">
        <v>30</v>
      </c>
      <c r="F1989" s="1">
        <v>21</v>
      </c>
    </row>
    <row r="1990" spans="1:6">
      <c r="A1990">
        <v>1</v>
      </c>
      <c r="B1990" t="s">
        <v>137</v>
      </c>
      <c r="C1990" s="1">
        <v>2</v>
      </c>
      <c r="D1990" s="1" t="s">
        <v>168</v>
      </c>
      <c r="E1990" s="1">
        <v>32</v>
      </c>
      <c r="F1990" s="1" t="s">
        <v>168</v>
      </c>
    </row>
    <row r="1991" spans="1:6">
      <c r="A1991">
        <v>1</v>
      </c>
      <c r="B1991" t="s">
        <v>137</v>
      </c>
      <c r="C1991" s="1">
        <v>2</v>
      </c>
      <c r="D1991" s="1">
        <v>22</v>
      </c>
      <c r="E1991" s="1">
        <v>40</v>
      </c>
      <c r="F1991" s="1">
        <v>22</v>
      </c>
    </row>
    <row r="1992" spans="1:6">
      <c r="A1992">
        <v>1</v>
      </c>
      <c r="B1992" t="s">
        <v>137</v>
      </c>
      <c r="C1992" s="1">
        <v>2</v>
      </c>
      <c r="D1992" s="1" t="s">
        <v>171</v>
      </c>
      <c r="E1992" s="1">
        <v>42</v>
      </c>
      <c r="F1992" s="1" t="s">
        <v>171</v>
      </c>
    </row>
    <row r="1993" spans="1:6">
      <c r="A1993">
        <v>1</v>
      </c>
      <c r="B1993" t="s">
        <v>137</v>
      </c>
      <c r="C1993" s="1">
        <v>2</v>
      </c>
      <c r="D1993" s="1">
        <v>23</v>
      </c>
      <c r="E1993" s="1">
        <v>50</v>
      </c>
      <c r="F1993" s="1">
        <v>23</v>
      </c>
    </row>
    <row r="1994" spans="1:6">
      <c r="A1994">
        <v>1</v>
      </c>
      <c r="B1994" t="s">
        <v>137</v>
      </c>
      <c r="C1994" s="1">
        <v>2</v>
      </c>
      <c r="D1994" s="1" t="s">
        <v>174</v>
      </c>
      <c r="E1994" s="1">
        <v>52</v>
      </c>
      <c r="F1994" s="1" t="s">
        <v>174</v>
      </c>
    </row>
    <row r="1995" spans="1:6">
      <c r="A1995">
        <v>1</v>
      </c>
      <c r="B1995" t="s">
        <v>137</v>
      </c>
      <c r="C1995" s="1">
        <v>2</v>
      </c>
      <c r="D1995" s="1">
        <v>24</v>
      </c>
      <c r="E1995" s="1">
        <v>60</v>
      </c>
      <c r="F1995" s="1">
        <v>24</v>
      </c>
    </row>
    <row r="1996" spans="1:6">
      <c r="A1996">
        <v>1</v>
      </c>
      <c r="B1996" t="s">
        <v>137</v>
      </c>
      <c r="C1996" s="1">
        <v>2</v>
      </c>
      <c r="D1996" s="1" t="s">
        <v>177</v>
      </c>
      <c r="E1996" s="1">
        <v>62</v>
      </c>
      <c r="F1996" s="1" t="s">
        <v>177</v>
      </c>
    </row>
    <row r="1997" spans="1:6">
      <c r="A1997">
        <v>1</v>
      </c>
      <c r="B1997" t="s">
        <v>137</v>
      </c>
      <c r="C1997" s="1">
        <v>2</v>
      </c>
      <c r="D1997" s="1" t="s">
        <v>180</v>
      </c>
      <c r="E1997" s="1">
        <v>72</v>
      </c>
      <c r="F1997" s="1" t="s">
        <v>180</v>
      </c>
    </row>
    <row r="1998" spans="1:6">
      <c r="A1998">
        <v>1</v>
      </c>
      <c r="B1998" t="s">
        <v>137</v>
      </c>
      <c r="C1998" s="1">
        <v>2</v>
      </c>
      <c r="D1998" s="1">
        <v>18</v>
      </c>
      <c r="F1998" s="1">
        <v>18</v>
      </c>
    </row>
    <row r="1999" spans="1:6">
      <c r="A1999">
        <v>5</v>
      </c>
      <c r="B1999" t="s">
        <v>183</v>
      </c>
      <c r="E1999" s="1">
        <v>50</v>
      </c>
    </row>
    <row r="2000" spans="1:6">
      <c r="A2000">
        <v>5</v>
      </c>
      <c r="B2000" t="s">
        <v>183</v>
      </c>
      <c r="E2000" s="1">
        <v>60</v>
      </c>
    </row>
    <row r="2001" spans="1:6">
      <c r="A2001">
        <v>6</v>
      </c>
      <c r="B2001" t="s">
        <v>184</v>
      </c>
      <c r="E2001" s="1">
        <v>63</v>
      </c>
    </row>
    <row r="2002" spans="1:6">
      <c r="A2002">
        <v>11</v>
      </c>
      <c r="B2002" t="s">
        <v>186</v>
      </c>
      <c r="C2002" s="1">
        <v>1</v>
      </c>
      <c r="D2002" s="1" t="s">
        <v>192</v>
      </c>
      <c r="E2002" s="1">
        <v>2</v>
      </c>
      <c r="F2002" s="1" t="s">
        <v>192</v>
      </c>
    </row>
    <row r="2003" spans="1:6">
      <c r="A2003">
        <v>11</v>
      </c>
      <c r="B2003" t="s">
        <v>186</v>
      </c>
      <c r="C2003" s="1">
        <v>1</v>
      </c>
      <c r="D2003" s="1">
        <v>40</v>
      </c>
      <c r="E2003" s="1">
        <v>10</v>
      </c>
      <c r="F2003" s="1">
        <v>40</v>
      </c>
    </row>
    <row r="2004" spans="1:6">
      <c r="A2004">
        <v>11</v>
      </c>
      <c r="B2004" t="s">
        <v>186</v>
      </c>
      <c r="C2004" s="1">
        <v>1</v>
      </c>
      <c r="D2004" s="1" t="s">
        <v>193</v>
      </c>
      <c r="E2004" s="1">
        <v>12</v>
      </c>
      <c r="F2004" s="1" t="s">
        <v>193</v>
      </c>
    </row>
    <row r="2005" spans="1:6">
      <c r="A2005">
        <v>11</v>
      </c>
      <c r="B2005" t="s">
        <v>186</v>
      </c>
      <c r="C2005" s="1">
        <v>1</v>
      </c>
      <c r="D2005" s="1">
        <v>41</v>
      </c>
      <c r="E2005" s="1">
        <v>20</v>
      </c>
      <c r="F2005" s="1">
        <v>41</v>
      </c>
    </row>
    <row r="2006" spans="1:6">
      <c r="A2006">
        <v>11</v>
      </c>
      <c r="B2006" t="s">
        <v>186</v>
      </c>
      <c r="C2006" s="1">
        <v>1</v>
      </c>
      <c r="D2006" s="1" t="s">
        <v>194</v>
      </c>
      <c r="E2006" s="1">
        <v>22</v>
      </c>
      <c r="F2006" s="1" t="s">
        <v>194</v>
      </c>
    </row>
    <row r="2007" spans="1:6">
      <c r="A2007">
        <v>11</v>
      </c>
      <c r="B2007" t="s">
        <v>186</v>
      </c>
      <c r="C2007" s="1">
        <v>1</v>
      </c>
      <c r="D2007" s="1">
        <v>42</v>
      </c>
      <c r="E2007" s="1">
        <v>30</v>
      </c>
      <c r="F2007" s="1">
        <v>42</v>
      </c>
    </row>
    <row r="2008" spans="1:6">
      <c r="A2008">
        <v>11</v>
      </c>
      <c r="B2008" t="s">
        <v>186</v>
      </c>
      <c r="C2008" s="1">
        <v>1</v>
      </c>
      <c r="D2008" s="1" t="s">
        <v>195</v>
      </c>
      <c r="E2008" s="1">
        <v>32</v>
      </c>
      <c r="F2008" s="1" t="s">
        <v>195</v>
      </c>
    </row>
    <row r="2009" spans="1:6">
      <c r="A2009">
        <v>11</v>
      </c>
      <c r="B2009" t="s">
        <v>186</v>
      </c>
      <c r="C2009" s="1">
        <v>1</v>
      </c>
      <c r="D2009" s="1">
        <v>43</v>
      </c>
      <c r="E2009" s="1">
        <v>40</v>
      </c>
      <c r="F2009" s="1">
        <v>43</v>
      </c>
    </row>
    <row r="2010" spans="1:6">
      <c r="A2010">
        <v>11</v>
      </c>
      <c r="B2010" t="s">
        <v>186</v>
      </c>
      <c r="C2010" s="1">
        <v>1</v>
      </c>
      <c r="D2010" s="1" t="s">
        <v>196</v>
      </c>
      <c r="E2010" s="1">
        <v>42</v>
      </c>
      <c r="F2010" s="1" t="s">
        <v>196</v>
      </c>
    </row>
    <row r="2011" spans="1:6">
      <c r="A2011">
        <v>11</v>
      </c>
      <c r="B2011" t="s">
        <v>186</v>
      </c>
      <c r="C2011" s="1">
        <v>1</v>
      </c>
      <c r="D2011" s="1">
        <v>44</v>
      </c>
      <c r="E2011" s="1">
        <v>50</v>
      </c>
      <c r="F2011" s="1">
        <v>44</v>
      </c>
    </row>
    <row r="2012" spans="1:6">
      <c r="A2012">
        <v>11</v>
      </c>
      <c r="B2012" t="s">
        <v>186</v>
      </c>
      <c r="C2012" s="1">
        <v>1</v>
      </c>
      <c r="D2012" s="1" t="s">
        <v>197</v>
      </c>
      <c r="E2012" s="1">
        <v>52</v>
      </c>
      <c r="F2012" s="1" t="s">
        <v>197</v>
      </c>
    </row>
    <row r="2013" spans="1:6">
      <c r="A2013">
        <v>11</v>
      </c>
      <c r="B2013" t="s">
        <v>186</v>
      </c>
      <c r="C2013" s="1">
        <v>1</v>
      </c>
      <c r="D2013" s="1">
        <v>45</v>
      </c>
      <c r="E2013" s="1">
        <v>60</v>
      </c>
      <c r="F2013" s="1">
        <v>45</v>
      </c>
    </row>
    <row r="2014" spans="1:6">
      <c r="A2014">
        <v>11</v>
      </c>
      <c r="B2014" t="s">
        <v>186</v>
      </c>
      <c r="C2014" s="1">
        <v>1</v>
      </c>
      <c r="D2014" s="1" t="s">
        <v>198</v>
      </c>
      <c r="E2014" s="1">
        <v>62</v>
      </c>
      <c r="F2014" s="1" t="s">
        <v>198</v>
      </c>
    </row>
    <row r="2015" spans="1:6">
      <c r="A2015">
        <v>11</v>
      </c>
      <c r="B2015" t="s">
        <v>186</v>
      </c>
      <c r="C2015" s="1">
        <v>1</v>
      </c>
      <c r="D2015" s="1" t="s">
        <v>199</v>
      </c>
      <c r="E2015" s="1">
        <v>72</v>
      </c>
      <c r="F2015" s="1" t="s">
        <v>199</v>
      </c>
    </row>
    <row r="2016" spans="1:6">
      <c r="A2016">
        <v>11</v>
      </c>
      <c r="B2016" t="s">
        <v>186</v>
      </c>
      <c r="E2016" s="1">
        <v>92</v>
      </c>
    </row>
    <row r="2017" spans="1:6">
      <c r="A2017">
        <v>11</v>
      </c>
      <c r="B2017" t="s">
        <v>186</v>
      </c>
      <c r="E2017" s="1">
        <v>96</v>
      </c>
    </row>
    <row r="2018" spans="1:6">
      <c r="A2018">
        <v>12</v>
      </c>
      <c r="B2018" t="s">
        <v>107</v>
      </c>
      <c r="C2018" s="1">
        <v>1</v>
      </c>
      <c r="D2018" s="1">
        <v>40</v>
      </c>
      <c r="E2018" s="1">
        <v>10</v>
      </c>
      <c r="F2018" s="1">
        <v>40</v>
      </c>
    </row>
    <row r="2019" spans="1:6">
      <c r="A2019">
        <v>12</v>
      </c>
      <c r="B2019" t="s">
        <v>107</v>
      </c>
      <c r="C2019" s="1">
        <v>1</v>
      </c>
      <c r="D2019" s="1" t="s">
        <v>193</v>
      </c>
      <c r="E2019" s="1">
        <v>12</v>
      </c>
      <c r="F2019" s="1" t="s">
        <v>193</v>
      </c>
    </row>
    <row r="2020" spans="1:6">
      <c r="A2020">
        <v>12</v>
      </c>
      <c r="B2020" t="s">
        <v>107</v>
      </c>
      <c r="C2020" s="1">
        <v>1</v>
      </c>
      <c r="D2020" s="1">
        <v>41</v>
      </c>
      <c r="E2020" s="1">
        <v>20</v>
      </c>
      <c r="F2020" s="1">
        <v>41</v>
      </c>
    </row>
    <row r="2021" spans="1:6">
      <c r="A2021">
        <v>12</v>
      </c>
      <c r="B2021" t="s">
        <v>107</v>
      </c>
      <c r="C2021" s="1">
        <v>1</v>
      </c>
      <c r="D2021" s="1" t="s">
        <v>194</v>
      </c>
      <c r="E2021" s="1">
        <v>22</v>
      </c>
      <c r="F2021" s="1" t="s">
        <v>194</v>
      </c>
    </row>
    <row r="2022" spans="1:6">
      <c r="A2022">
        <v>12</v>
      </c>
      <c r="B2022" t="s">
        <v>107</v>
      </c>
      <c r="C2022" s="1">
        <v>1</v>
      </c>
      <c r="D2022" s="1">
        <v>42</v>
      </c>
      <c r="E2022" s="1">
        <v>30</v>
      </c>
      <c r="F2022" s="1">
        <v>42</v>
      </c>
    </row>
    <row r="2023" spans="1:6">
      <c r="A2023">
        <v>12</v>
      </c>
      <c r="B2023" t="s">
        <v>107</v>
      </c>
      <c r="C2023" s="1">
        <v>1</v>
      </c>
      <c r="D2023" s="1" t="s">
        <v>195</v>
      </c>
      <c r="E2023" s="1">
        <v>32</v>
      </c>
      <c r="F2023" s="1" t="s">
        <v>195</v>
      </c>
    </row>
    <row r="2024" spans="1:6">
      <c r="A2024">
        <v>12</v>
      </c>
      <c r="B2024" t="s">
        <v>107</v>
      </c>
      <c r="C2024" s="1">
        <v>1</v>
      </c>
      <c r="D2024" s="1">
        <v>43</v>
      </c>
      <c r="E2024" s="1">
        <v>40</v>
      </c>
      <c r="F2024" s="1">
        <v>43</v>
      </c>
    </row>
    <row r="2025" spans="1:6">
      <c r="A2025">
        <v>12</v>
      </c>
      <c r="B2025" t="s">
        <v>107</v>
      </c>
      <c r="C2025" s="1">
        <v>1</v>
      </c>
      <c r="D2025" s="1" t="s">
        <v>196</v>
      </c>
      <c r="E2025" s="1">
        <v>42</v>
      </c>
      <c r="F2025" s="1" t="s">
        <v>196</v>
      </c>
    </row>
    <row r="2026" spans="1:6">
      <c r="A2026">
        <v>12</v>
      </c>
      <c r="B2026" t="s">
        <v>107</v>
      </c>
      <c r="C2026" s="1">
        <v>1</v>
      </c>
      <c r="D2026" s="1">
        <v>44</v>
      </c>
      <c r="E2026" s="1">
        <v>50</v>
      </c>
      <c r="F2026" s="1">
        <v>44</v>
      </c>
    </row>
    <row r="2027" spans="1:6">
      <c r="A2027">
        <v>12</v>
      </c>
      <c r="B2027" t="s">
        <v>107</v>
      </c>
      <c r="C2027" s="1">
        <v>1</v>
      </c>
      <c r="D2027" s="1" t="s">
        <v>197</v>
      </c>
      <c r="E2027" s="1">
        <v>52</v>
      </c>
      <c r="F2027" s="1" t="s">
        <v>197</v>
      </c>
    </row>
    <row r="2028" spans="1:6">
      <c r="A2028">
        <v>12</v>
      </c>
      <c r="B2028" t="s">
        <v>107</v>
      </c>
      <c r="C2028" s="1">
        <v>1</v>
      </c>
      <c r="D2028" s="1">
        <v>45</v>
      </c>
      <c r="E2028" s="1">
        <v>60</v>
      </c>
      <c r="F2028" s="1">
        <v>45</v>
      </c>
    </row>
    <row r="2029" spans="1:6">
      <c r="A2029">
        <v>12</v>
      </c>
      <c r="B2029" t="s">
        <v>107</v>
      </c>
      <c r="C2029" s="1">
        <v>1</v>
      </c>
      <c r="D2029" s="1" t="s">
        <v>198</v>
      </c>
      <c r="E2029" s="1">
        <v>62</v>
      </c>
      <c r="F2029" s="1" t="s">
        <v>198</v>
      </c>
    </row>
    <row r="2030" spans="1:6">
      <c r="A2030">
        <v>12</v>
      </c>
      <c r="B2030" t="s">
        <v>107</v>
      </c>
      <c r="C2030" s="1">
        <v>1</v>
      </c>
      <c r="D2030" s="1" t="s">
        <v>199</v>
      </c>
      <c r="E2030" s="1">
        <v>72</v>
      </c>
      <c r="F2030" s="1" t="s">
        <v>199</v>
      </c>
    </row>
    <row r="2031" spans="1:6">
      <c r="A2031">
        <v>12</v>
      </c>
      <c r="B2031" t="s">
        <v>107</v>
      </c>
      <c r="C2031" s="1">
        <v>1</v>
      </c>
      <c r="D2031" s="1">
        <v>39</v>
      </c>
      <c r="F2031" s="1">
        <v>39</v>
      </c>
    </row>
    <row r="2032" spans="1:6">
      <c r="A2032">
        <v>13</v>
      </c>
      <c r="B2032" t="s">
        <v>200</v>
      </c>
      <c r="C2032" s="1">
        <v>1</v>
      </c>
      <c r="D2032" s="1" t="s">
        <v>192</v>
      </c>
      <c r="E2032" s="1">
        <v>2</v>
      </c>
      <c r="F2032" s="1" t="s">
        <v>192</v>
      </c>
    </row>
    <row r="2033" spans="1:6">
      <c r="A2033">
        <v>13</v>
      </c>
      <c r="B2033" t="s">
        <v>200</v>
      </c>
      <c r="C2033" s="1">
        <v>1</v>
      </c>
      <c r="D2033" s="1">
        <v>40</v>
      </c>
      <c r="E2033" s="1">
        <v>10</v>
      </c>
      <c r="F2033" s="1">
        <v>40</v>
      </c>
    </row>
    <row r="2034" spans="1:6">
      <c r="A2034">
        <v>13</v>
      </c>
      <c r="B2034" t="s">
        <v>200</v>
      </c>
      <c r="C2034" s="1">
        <v>1</v>
      </c>
      <c r="D2034" s="1" t="s">
        <v>193</v>
      </c>
      <c r="E2034" s="1">
        <v>12</v>
      </c>
      <c r="F2034" s="1" t="s">
        <v>193</v>
      </c>
    </row>
    <row r="2035" spans="1:6">
      <c r="A2035">
        <v>13</v>
      </c>
      <c r="B2035" t="s">
        <v>200</v>
      </c>
      <c r="C2035" s="1">
        <v>1</v>
      </c>
      <c r="D2035" s="1">
        <v>41</v>
      </c>
      <c r="E2035" s="1">
        <v>20</v>
      </c>
      <c r="F2035" s="1">
        <v>41</v>
      </c>
    </row>
    <row r="2036" spans="1:6">
      <c r="A2036">
        <v>13</v>
      </c>
      <c r="B2036" t="s">
        <v>200</v>
      </c>
      <c r="C2036" s="1">
        <v>1</v>
      </c>
      <c r="D2036" s="1" t="s">
        <v>194</v>
      </c>
      <c r="E2036" s="1">
        <v>22</v>
      </c>
      <c r="F2036" s="1" t="s">
        <v>194</v>
      </c>
    </row>
    <row r="2037" spans="1:6">
      <c r="A2037">
        <v>13</v>
      </c>
      <c r="B2037" t="s">
        <v>200</v>
      </c>
      <c r="C2037" s="1">
        <v>1</v>
      </c>
      <c r="D2037" s="1">
        <v>42</v>
      </c>
      <c r="E2037" s="1">
        <v>30</v>
      </c>
      <c r="F2037" s="1">
        <v>42</v>
      </c>
    </row>
    <row r="2038" spans="1:6">
      <c r="A2038">
        <v>13</v>
      </c>
      <c r="B2038" t="s">
        <v>200</v>
      </c>
      <c r="C2038" s="1">
        <v>1</v>
      </c>
      <c r="D2038" s="1" t="s">
        <v>195</v>
      </c>
      <c r="E2038" s="1">
        <v>32</v>
      </c>
      <c r="F2038" s="1" t="s">
        <v>195</v>
      </c>
    </row>
    <row r="2039" spans="1:6">
      <c r="A2039">
        <v>13</v>
      </c>
      <c r="B2039" t="s">
        <v>200</v>
      </c>
      <c r="C2039" s="1">
        <v>1</v>
      </c>
      <c r="D2039" s="1">
        <v>43</v>
      </c>
      <c r="E2039" s="1">
        <v>40</v>
      </c>
      <c r="F2039" s="1">
        <v>43</v>
      </c>
    </row>
    <row r="2040" spans="1:6">
      <c r="A2040">
        <v>13</v>
      </c>
      <c r="B2040" t="s">
        <v>200</v>
      </c>
      <c r="C2040" s="1">
        <v>1</v>
      </c>
      <c r="D2040" s="1" t="s">
        <v>196</v>
      </c>
      <c r="E2040" s="1">
        <v>42</v>
      </c>
      <c r="F2040" s="1" t="s">
        <v>196</v>
      </c>
    </row>
    <row r="2041" spans="1:6">
      <c r="A2041">
        <v>13</v>
      </c>
      <c r="B2041" t="s">
        <v>200</v>
      </c>
      <c r="C2041" s="1">
        <v>1</v>
      </c>
      <c r="D2041" s="1">
        <v>44</v>
      </c>
      <c r="E2041" s="1">
        <v>50</v>
      </c>
      <c r="F2041" s="1">
        <v>44</v>
      </c>
    </row>
    <row r="2042" spans="1:6">
      <c r="A2042">
        <v>13</v>
      </c>
      <c r="B2042" t="s">
        <v>200</v>
      </c>
      <c r="C2042" s="1">
        <v>1</v>
      </c>
      <c r="D2042" s="1" t="s">
        <v>197</v>
      </c>
      <c r="E2042" s="1">
        <v>52</v>
      </c>
      <c r="F2042" s="1" t="s">
        <v>197</v>
      </c>
    </row>
    <row r="2043" spans="1:6">
      <c r="A2043">
        <v>13</v>
      </c>
      <c r="B2043" t="s">
        <v>200</v>
      </c>
      <c r="C2043" s="1">
        <v>1</v>
      </c>
      <c r="D2043" s="1">
        <v>45</v>
      </c>
      <c r="E2043" s="1">
        <v>60</v>
      </c>
      <c r="F2043" s="1">
        <v>45</v>
      </c>
    </row>
    <row r="2044" spans="1:6">
      <c r="A2044">
        <v>13</v>
      </c>
      <c r="B2044" t="s">
        <v>200</v>
      </c>
      <c r="C2044" s="1">
        <v>1</v>
      </c>
      <c r="D2044" s="1" t="s">
        <v>198</v>
      </c>
      <c r="E2044" s="1">
        <v>62</v>
      </c>
      <c r="F2044" s="1" t="s">
        <v>198</v>
      </c>
    </row>
    <row r="2045" spans="1:6">
      <c r="A2045">
        <v>13</v>
      </c>
      <c r="B2045" t="s">
        <v>200</v>
      </c>
      <c r="C2045" s="1">
        <v>1</v>
      </c>
      <c r="D2045" s="1">
        <v>39</v>
      </c>
      <c r="F2045" s="1">
        <v>39</v>
      </c>
    </row>
    <row r="2046" spans="1:6">
      <c r="A2046">
        <v>13</v>
      </c>
      <c r="B2046" t="s">
        <v>200</v>
      </c>
      <c r="E2046" s="1">
        <v>96</v>
      </c>
    </row>
    <row r="2047" spans="1:6">
      <c r="A2047">
        <v>15</v>
      </c>
      <c r="B2047" t="s">
        <v>201</v>
      </c>
      <c r="C2047" s="1">
        <v>1</v>
      </c>
      <c r="D2047" s="1">
        <v>100</v>
      </c>
      <c r="E2047" s="1">
        <v>80</v>
      </c>
      <c r="F2047" s="1">
        <v>100</v>
      </c>
    </row>
    <row r="2048" spans="1:6">
      <c r="A2048">
        <v>21</v>
      </c>
      <c r="B2048" t="s">
        <v>205</v>
      </c>
      <c r="C2048" s="1">
        <v>1</v>
      </c>
      <c r="D2048" s="1" t="s">
        <v>329</v>
      </c>
      <c r="E2048" s="1">
        <v>30</v>
      </c>
      <c r="F2048" s="1" t="s">
        <v>329</v>
      </c>
    </row>
    <row r="2049" spans="1:6">
      <c r="A2049">
        <v>21</v>
      </c>
      <c r="B2049" t="s">
        <v>205</v>
      </c>
      <c r="C2049" s="1">
        <v>1</v>
      </c>
      <c r="D2049" s="1" t="s">
        <v>323</v>
      </c>
      <c r="E2049" s="1">
        <v>32</v>
      </c>
      <c r="F2049" s="1" t="s">
        <v>323</v>
      </c>
    </row>
    <row r="2050" spans="1:6">
      <c r="A2050">
        <v>21</v>
      </c>
      <c r="B2050" t="s">
        <v>205</v>
      </c>
      <c r="C2050" s="1">
        <v>1</v>
      </c>
      <c r="D2050" s="1" t="s">
        <v>330</v>
      </c>
      <c r="E2050" s="1">
        <v>42</v>
      </c>
      <c r="F2050" s="1" t="s">
        <v>330</v>
      </c>
    </row>
    <row r="2051" spans="1:6">
      <c r="A2051">
        <v>21</v>
      </c>
      <c r="B2051" t="s">
        <v>205</v>
      </c>
      <c r="C2051" s="1">
        <v>1</v>
      </c>
      <c r="D2051" s="1" t="s">
        <v>331</v>
      </c>
      <c r="E2051" s="1">
        <v>50</v>
      </c>
      <c r="F2051" s="1" t="s">
        <v>331</v>
      </c>
    </row>
    <row r="2052" spans="1:6">
      <c r="A2052">
        <v>21</v>
      </c>
      <c r="B2052" t="s">
        <v>205</v>
      </c>
      <c r="C2052" s="1">
        <v>1</v>
      </c>
      <c r="D2052" s="1" t="s">
        <v>288</v>
      </c>
      <c r="E2052" s="1">
        <v>62</v>
      </c>
      <c r="F2052" s="1" t="s">
        <v>288</v>
      </c>
    </row>
    <row r="2053" spans="1:6">
      <c r="A2053">
        <v>27</v>
      </c>
      <c r="B2053" t="s">
        <v>210</v>
      </c>
      <c r="C2053" s="1">
        <v>1</v>
      </c>
      <c r="D2053" s="1">
        <v>41</v>
      </c>
      <c r="E2053" s="1">
        <v>20</v>
      </c>
      <c r="F2053" s="1">
        <v>41</v>
      </c>
    </row>
    <row r="2054" spans="1:6">
      <c r="A2054">
        <v>45</v>
      </c>
      <c r="B2054" t="s">
        <v>223</v>
      </c>
      <c r="C2054" s="1">
        <v>1</v>
      </c>
      <c r="D2054" s="1" t="s">
        <v>336</v>
      </c>
      <c r="E2054" s="1">
        <v>13</v>
      </c>
      <c r="F2054" s="1" t="s">
        <v>337</v>
      </c>
    </row>
    <row r="2055" spans="1:6">
      <c r="A2055">
        <v>45</v>
      </c>
      <c r="B2055" t="s">
        <v>223</v>
      </c>
      <c r="C2055" s="1">
        <v>1</v>
      </c>
      <c r="D2055" s="1" t="s">
        <v>324</v>
      </c>
      <c r="E2055" s="1">
        <v>14</v>
      </c>
      <c r="F2055" s="1" t="s">
        <v>325</v>
      </c>
    </row>
    <row r="2056" spans="1:6">
      <c r="A2056">
        <v>57</v>
      </c>
      <c r="B2056" t="s">
        <v>183</v>
      </c>
      <c r="C2056" s="1">
        <v>3</v>
      </c>
      <c r="D2056" s="1" t="s">
        <v>338</v>
      </c>
      <c r="E2056" s="1">
        <v>60</v>
      </c>
      <c r="F2056" s="1" t="s">
        <v>338</v>
      </c>
    </row>
    <row r="2057" spans="1:6">
      <c r="A2057">
        <v>57</v>
      </c>
      <c r="B2057" t="s">
        <v>183</v>
      </c>
      <c r="E2057" s="1">
        <v>50</v>
      </c>
    </row>
    <row r="2058" spans="1:6">
      <c r="A2058">
        <v>57</v>
      </c>
      <c r="B2058" t="s">
        <v>183</v>
      </c>
      <c r="E2058" s="1">
        <v>60</v>
      </c>
    </row>
    <row r="2059" spans="1:6">
      <c r="A2059">
        <v>58</v>
      </c>
      <c r="B2059" t="s">
        <v>226</v>
      </c>
      <c r="C2059" s="1">
        <v>2</v>
      </c>
      <c r="D2059" s="1" t="s">
        <v>561</v>
      </c>
      <c r="E2059" s="1">
        <v>50</v>
      </c>
      <c r="F2059" s="1" t="s">
        <v>561</v>
      </c>
    </row>
    <row r="2060" spans="1:6">
      <c r="A2060">
        <v>59</v>
      </c>
      <c r="B2060" t="s">
        <v>227</v>
      </c>
      <c r="C2060" s="1">
        <v>3</v>
      </c>
      <c r="D2060" s="1" t="s">
        <v>295</v>
      </c>
      <c r="E2060" s="1">
        <v>23</v>
      </c>
      <c r="F2060" s="1" t="s">
        <v>295</v>
      </c>
    </row>
    <row r="2061" spans="1:6">
      <c r="A2061">
        <v>62</v>
      </c>
      <c r="B2061" t="s">
        <v>514</v>
      </c>
      <c r="C2061" s="1">
        <v>1</v>
      </c>
      <c r="D2061" s="1" t="s">
        <v>141</v>
      </c>
      <c r="E2061" s="1">
        <v>62</v>
      </c>
      <c r="F2061" s="1" t="s">
        <v>141</v>
      </c>
    </row>
    <row r="2062" spans="1:6">
      <c r="A2062">
        <v>74</v>
      </c>
      <c r="B2062" t="s">
        <v>235</v>
      </c>
      <c r="C2062" s="1">
        <v>3</v>
      </c>
      <c r="D2062" s="1" t="s">
        <v>320</v>
      </c>
      <c r="E2062" s="1">
        <v>50</v>
      </c>
      <c r="F2062" s="1" t="s">
        <v>320</v>
      </c>
    </row>
    <row r="2063" spans="1:6">
      <c r="A2063">
        <v>74</v>
      </c>
      <c r="B2063" t="s">
        <v>235</v>
      </c>
      <c r="C2063" s="1">
        <v>3</v>
      </c>
      <c r="D2063" s="1" t="s">
        <v>321</v>
      </c>
      <c r="E2063" s="1">
        <v>60</v>
      </c>
      <c r="F2063" s="1" t="s">
        <v>321</v>
      </c>
    </row>
    <row r="2064" spans="1:6">
      <c r="A2064">
        <v>1</v>
      </c>
      <c r="B2064" t="s">
        <v>137</v>
      </c>
      <c r="C2064" s="1">
        <v>1</v>
      </c>
      <c r="D2064" s="1" t="s">
        <v>144</v>
      </c>
      <c r="E2064" s="1">
        <v>62</v>
      </c>
      <c r="F2064" s="1" t="s">
        <v>144</v>
      </c>
    </row>
    <row r="2065" spans="1:6">
      <c r="A2065">
        <v>1</v>
      </c>
      <c r="B2065" t="s">
        <v>137</v>
      </c>
      <c r="C2065" s="1">
        <v>1</v>
      </c>
      <c r="D2065" s="1">
        <v>14</v>
      </c>
      <c r="E2065" s="1">
        <v>70</v>
      </c>
      <c r="F2065" s="1">
        <v>14</v>
      </c>
    </row>
    <row r="2066" spans="1:6">
      <c r="A2066">
        <v>1</v>
      </c>
      <c r="B2066" t="s">
        <v>137</v>
      </c>
      <c r="C2066" s="1">
        <v>1</v>
      </c>
      <c r="D2066" s="1" t="s">
        <v>147</v>
      </c>
      <c r="E2066" s="1">
        <v>72</v>
      </c>
      <c r="F2066" s="1" t="s">
        <v>147</v>
      </c>
    </row>
    <row r="2067" spans="1:6">
      <c r="A2067">
        <v>1</v>
      </c>
      <c r="B2067" t="s">
        <v>137</v>
      </c>
      <c r="C2067" s="1">
        <v>1</v>
      </c>
      <c r="D2067" s="1">
        <v>15</v>
      </c>
      <c r="E2067" s="1">
        <v>80</v>
      </c>
      <c r="F2067" s="1">
        <v>15</v>
      </c>
    </row>
    <row r="2068" spans="1:6">
      <c r="A2068">
        <v>1</v>
      </c>
      <c r="B2068" t="s">
        <v>137</v>
      </c>
      <c r="C2068" s="1">
        <v>1</v>
      </c>
      <c r="D2068" s="1" t="s">
        <v>150</v>
      </c>
      <c r="E2068" s="1">
        <v>82</v>
      </c>
      <c r="F2068" s="1" t="s">
        <v>150</v>
      </c>
    </row>
    <row r="2069" spans="1:6">
      <c r="A2069">
        <v>1</v>
      </c>
      <c r="B2069" t="s">
        <v>137</v>
      </c>
      <c r="C2069" s="1">
        <v>1</v>
      </c>
      <c r="D2069" s="1">
        <v>16</v>
      </c>
      <c r="E2069" s="1">
        <v>90</v>
      </c>
      <c r="F2069" s="1">
        <v>16</v>
      </c>
    </row>
    <row r="2070" spans="1:6">
      <c r="A2070">
        <v>1</v>
      </c>
      <c r="B2070" t="s">
        <v>137</v>
      </c>
      <c r="C2070" s="1">
        <v>1</v>
      </c>
      <c r="D2070" s="1" t="s">
        <v>153</v>
      </c>
      <c r="E2070" s="1">
        <v>92</v>
      </c>
      <c r="F2070" s="1" t="s">
        <v>153</v>
      </c>
    </row>
    <row r="2071" spans="1:6">
      <c r="A2071">
        <v>1</v>
      </c>
      <c r="B2071" t="s">
        <v>137</v>
      </c>
      <c r="C2071" s="1">
        <v>1</v>
      </c>
      <c r="D2071" s="1">
        <v>17</v>
      </c>
      <c r="E2071" s="1">
        <v>94</v>
      </c>
      <c r="F2071" s="1">
        <v>17</v>
      </c>
    </row>
    <row r="2072" spans="1:6">
      <c r="A2072">
        <v>1</v>
      </c>
      <c r="B2072" t="s">
        <v>137</v>
      </c>
      <c r="C2072" s="1">
        <v>1</v>
      </c>
      <c r="D2072" s="1" t="s">
        <v>156</v>
      </c>
      <c r="E2072" s="1">
        <v>96</v>
      </c>
      <c r="F2072" s="1" t="s">
        <v>156</v>
      </c>
    </row>
    <row r="2073" spans="1:6">
      <c r="A2073">
        <v>1</v>
      </c>
      <c r="B2073" t="s">
        <v>137</v>
      </c>
      <c r="C2073" s="1">
        <v>2</v>
      </c>
      <c r="D2073" s="1" t="s">
        <v>159</v>
      </c>
      <c r="E2073" s="1">
        <v>2</v>
      </c>
      <c r="F2073" s="1" t="s">
        <v>159</v>
      </c>
    </row>
    <row r="2074" spans="1:6">
      <c r="A2074">
        <v>1</v>
      </c>
      <c r="B2074" t="s">
        <v>137</v>
      </c>
      <c r="C2074" s="1">
        <v>2</v>
      </c>
      <c r="D2074" s="1">
        <v>19</v>
      </c>
      <c r="E2074" s="1">
        <v>10</v>
      </c>
      <c r="F2074" s="1">
        <v>19</v>
      </c>
    </row>
    <row r="2075" spans="1:6">
      <c r="A2075">
        <v>1</v>
      </c>
      <c r="B2075" t="s">
        <v>137</v>
      </c>
      <c r="C2075" s="1">
        <v>2</v>
      </c>
      <c r="D2075" s="1" t="s">
        <v>162</v>
      </c>
      <c r="E2075" s="1">
        <v>12</v>
      </c>
      <c r="F2075" s="1" t="s">
        <v>162</v>
      </c>
    </row>
    <row r="2076" spans="1:6">
      <c r="A2076">
        <v>1</v>
      </c>
      <c r="B2076" t="s">
        <v>137</v>
      </c>
      <c r="C2076" s="1">
        <v>2</v>
      </c>
      <c r="D2076" s="1">
        <v>20</v>
      </c>
      <c r="E2076" s="1">
        <v>20</v>
      </c>
      <c r="F2076" s="1">
        <v>20</v>
      </c>
    </row>
    <row r="2077" spans="1:6">
      <c r="A2077">
        <v>1</v>
      </c>
      <c r="B2077" t="s">
        <v>137</v>
      </c>
      <c r="C2077" s="1">
        <v>2</v>
      </c>
      <c r="D2077" s="1" t="s">
        <v>165</v>
      </c>
      <c r="E2077" s="1">
        <v>22</v>
      </c>
      <c r="F2077" s="1" t="s">
        <v>165</v>
      </c>
    </row>
    <row r="2078" spans="1:6">
      <c r="A2078">
        <v>1</v>
      </c>
      <c r="B2078" t="s">
        <v>137</v>
      </c>
      <c r="C2078" s="1">
        <v>2</v>
      </c>
      <c r="D2078" s="1">
        <v>21</v>
      </c>
      <c r="E2078" s="1">
        <v>30</v>
      </c>
      <c r="F2078" s="1">
        <v>21</v>
      </c>
    </row>
    <row r="2079" spans="1:6">
      <c r="A2079">
        <v>1</v>
      </c>
      <c r="B2079" t="s">
        <v>137</v>
      </c>
      <c r="C2079" s="1">
        <v>2</v>
      </c>
      <c r="D2079" s="1" t="s">
        <v>168</v>
      </c>
      <c r="E2079" s="1">
        <v>32</v>
      </c>
      <c r="F2079" s="1" t="s">
        <v>168</v>
      </c>
    </row>
    <row r="2080" spans="1:6">
      <c r="A2080">
        <v>1</v>
      </c>
      <c r="B2080" t="s">
        <v>137</v>
      </c>
      <c r="C2080" s="1">
        <v>2</v>
      </c>
      <c r="D2080" s="1">
        <v>22</v>
      </c>
      <c r="E2080" s="1">
        <v>40</v>
      </c>
      <c r="F2080" s="1">
        <v>22</v>
      </c>
    </row>
    <row r="2081" spans="1:6">
      <c r="A2081">
        <v>1</v>
      </c>
      <c r="B2081" t="s">
        <v>137</v>
      </c>
      <c r="C2081" s="1">
        <v>2</v>
      </c>
      <c r="D2081" s="1" t="s">
        <v>171</v>
      </c>
      <c r="E2081" s="1">
        <v>42</v>
      </c>
      <c r="F2081" s="1" t="s">
        <v>171</v>
      </c>
    </row>
    <row r="2082" spans="1:6">
      <c r="A2082">
        <v>1</v>
      </c>
      <c r="B2082" t="s">
        <v>137</v>
      </c>
      <c r="C2082" s="1">
        <v>2</v>
      </c>
      <c r="D2082" s="1">
        <v>23</v>
      </c>
      <c r="E2082" s="1">
        <v>50</v>
      </c>
      <c r="F2082" s="1">
        <v>23</v>
      </c>
    </row>
    <row r="2083" spans="1:6">
      <c r="A2083">
        <v>1</v>
      </c>
      <c r="B2083" t="s">
        <v>137</v>
      </c>
      <c r="C2083" s="1">
        <v>2</v>
      </c>
      <c r="D2083" s="1">
        <v>18</v>
      </c>
      <c r="F2083" s="1">
        <v>18</v>
      </c>
    </row>
    <row r="2084" spans="1:6">
      <c r="A2084">
        <v>5</v>
      </c>
      <c r="B2084" t="s">
        <v>183</v>
      </c>
      <c r="E2084" s="1">
        <v>50</v>
      </c>
    </row>
    <row r="2085" spans="1:6">
      <c r="A2085">
        <v>5</v>
      </c>
      <c r="B2085" t="s">
        <v>183</v>
      </c>
      <c r="E2085" s="1">
        <v>60</v>
      </c>
    </row>
    <row r="2086" spans="1:6">
      <c r="A2086">
        <v>11</v>
      </c>
      <c r="B2086" t="s">
        <v>186</v>
      </c>
      <c r="C2086" s="1">
        <v>1</v>
      </c>
      <c r="D2086" s="1" t="s">
        <v>193</v>
      </c>
      <c r="E2086" s="1">
        <v>12</v>
      </c>
      <c r="F2086" s="1" t="s">
        <v>193</v>
      </c>
    </row>
    <row r="2087" spans="1:6">
      <c r="A2087">
        <v>11</v>
      </c>
      <c r="B2087" t="s">
        <v>186</v>
      </c>
      <c r="C2087" s="1">
        <v>1</v>
      </c>
      <c r="D2087" s="1" t="s">
        <v>194</v>
      </c>
      <c r="E2087" s="1">
        <v>22</v>
      </c>
      <c r="F2087" s="1" t="s">
        <v>194</v>
      </c>
    </row>
    <row r="2088" spans="1:6">
      <c r="A2088">
        <v>11</v>
      </c>
      <c r="B2088" t="s">
        <v>186</v>
      </c>
      <c r="C2088" s="1">
        <v>1</v>
      </c>
      <c r="D2088" s="1">
        <v>42</v>
      </c>
      <c r="E2088" s="1">
        <v>30</v>
      </c>
      <c r="F2088" s="1">
        <v>42</v>
      </c>
    </row>
    <row r="2089" spans="1:6">
      <c r="A2089">
        <v>11</v>
      </c>
      <c r="B2089" t="s">
        <v>186</v>
      </c>
      <c r="C2089" s="1">
        <v>1</v>
      </c>
      <c r="D2089" s="1" t="s">
        <v>195</v>
      </c>
      <c r="E2089" s="1">
        <v>32</v>
      </c>
      <c r="F2089" s="1" t="s">
        <v>195</v>
      </c>
    </row>
    <row r="2090" spans="1:6">
      <c r="A2090">
        <v>11</v>
      </c>
      <c r="B2090" t="s">
        <v>186</v>
      </c>
      <c r="C2090" s="1">
        <v>1</v>
      </c>
      <c r="D2090" s="1">
        <v>43</v>
      </c>
      <c r="E2090" s="1">
        <v>40</v>
      </c>
      <c r="F2090" s="1">
        <v>43</v>
      </c>
    </row>
    <row r="2091" spans="1:6">
      <c r="A2091">
        <v>11</v>
      </c>
      <c r="B2091" t="s">
        <v>186</v>
      </c>
      <c r="C2091" s="1">
        <v>1</v>
      </c>
      <c r="D2091" s="1" t="s">
        <v>196</v>
      </c>
      <c r="E2091" s="1">
        <v>42</v>
      </c>
      <c r="F2091" s="1" t="s">
        <v>196</v>
      </c>
    </row>
    <row r="2092" spans="1:6">
      <c r="A2092">
        <v>11</v>
      </c>
      <c r="B2092" t="s">
        <v>186</v>
      </c>
      <c r="C2092" s="1">
        <v>1</v>
      </c>
      <c r="D2092" s="1">
        <v>44</v>
      </c>
      <c r="E2092" s="1">
        <v>50</v>
      </c>
      <c r="F2092" s="1">
        <v>44</v>
      </c>
    </row>
    <row r="2093" spans="1:6">
      <c r="A2093">
        <v>11</v>
      </c>
      <c r="B2093" t="s">
        <v>186</v>
      </c>
      <c r="C2093" s="1">
        <v>1</v>
      </c>
      <c r="D2093" s="1" t="s">
        <v>197</v>
      </c>
      <c r="E2093" s="1">
        <v>52</v>
      </c>
      <c r="F2093" s="1" t="s">
        <v>197</v>
      </c>
    </row>
    <row r="2094" spans="1:6">
      <c r="A2094">
        <v>11</v>
      </c>
      <c r="B2094" t="s">
        <v>186</v>
      </c>
      <c r="C2094" s="1">
        <v>1</v>
      </c>
      <c r="D2094" s="1" t="s">
        <v>198</v>
      </c>
      <c r="E2094" s="1">
        <v>62</v>
      </c>
      <c r="F2094" s="1" t="s">
        <v>198</v>
      </c>
    </row>
    <row r="2095" spans="1:6">
      <c r="A2095">
        <v>11</v>
      </c>
      <c r="B2095" t="s">
        <v>186</v>
      </c>
      <c r="C2095" s="1">
        <v>1</v>
      </c>
      <c r="D2095" s="1" t="s">
        <v>199</v>
      </c>
      <c r="E2095" s="1">
        <v>72</v>
      </c>
      <c r="F2095" s="1" t="s">
        <v>199</v>
      </c>
    </row>
    <row r="2096" spans="1:6">
      <c r="A2096">
        <v>12</v>
      </c>
      <c r="B2096" t="s">
        <v>107</v>
      </c>
      <c r="C2096" s="1">
        <v>1</v>
      </c>
      <c r="D2096" s="1" t="s">
        <v>192</v>
      </c>
      <c r="E2096" s="1">
        <v>2</v>
      </c>
      <c r="F2096" s="1" t="s">
        <v>192</v>
      </c>
    </row>
    <row r="2097" spans="1:6">
      <c r="A2097">
        <v>12</v>
      </c>
      <c r="B2097" t="s">
        <v>107</v>
      </c>
      <c r="C2097" s="1">
        <v>1</v>
      </c>
      <c r="D2097" s="1">
        <v>40</v>
      </c>
      <c r="E2097" s="1">
        <v>10</v>
      </c>
      <c r="F2097" s="1">
        <v>40</v>
      </c>
    </row>
    <row r="2098" spans="1:6">
      <c r="A2098">
        <v>12</v>
      </c>
      <c r="B2098" t="s">
        <v>107</v>
      </c>
      <c r="C2098" s="1">
        <v>1</v>
      </c>
      <c r="D2098" s="1" t="s">
        <v>193</v>
      </c>
      <c r="E2098" s="1">
        <v>12</v>
      </c>
      <c r="F2098" s="1" t="s">
        <v>193</v>
      </c>
    </row>
    <row r="2099" spans="1:6">
      <c r="A2099">
        <v>12</v>
      </c>
      <c r="B2099" t="s">
        <v>107</v>
      </c>
      <c r="C2099" s="1">
        <v>1</v>
      </c>
      <c r="D2099" s="1">
        <v>41</v>
      </c>
      <c r="E2099" s="1">
        <v>20</v>
      </c>
      <c r="F2099" s="1">
        <v>41</v>
      </c>
    </row>
    <row r="2100" spans="1:6">
      <c r="A2100">
        <v>12</v>
      </c>
      <c r="B2100" t="s">
        <v>107</v>
      </c>
      <c r="C2100" s="1">
        <v>1</v>
      </c>
      <c r="D2100" s="1" t="s">
        <v>194</v>
      </c>
      <c r="E2100" s="1">
        <v>22</v>
      </c>
      <c r="F2100" s="1" t="s">
        <v>194</v>
      </c>
    </row>
    <row r="2101" spans="1:6">
      <c r="A2101">
        <v>12</v>
      </c>
      <c r="B2101" t="s">
        <v>107</v>
      </c>
      <c r="C2101" s="1">
        <v>1</v>
      </c>
      <c r="D2101" s="1">
        <v>42</v>
      </c>
      <c r="E2101" s="1">
        <v>30</v>
      </c>
      <c r="F2101" s="1">
        <v>42</v>
      </c>
    </row>
    <row r="2102" spans="1:6">
      <c r="A2102">
        <v>12</v>
      </c>
      <c r="B2102" t="s">
        <v>107</v>
      </c>
      <c r="C2102" s="1">
        <v>1</v>
      </c>
      <c r="D2102" s="1" t="s">
        <v>195</v>
      </c>
      <c r="E2102" s="1">
        <v>32</v>
      </c>
      <c r="F2102" s="1" t="s">
        <v>195</v>
      </c>
    </row>
    <row r="2103" spans="1:6">
      <c r="A2103">
        <v>12</v>
      </c>
      <c r="B2103" t="s">
        <v>107</v>
      </c>
      <c r="C2103" s="1">
        <v>1</v>
      </c>
      <c r="D2103" s="1">
        <v>43</v>
      </c>
      <c r="E2103" s="1">
        <v>40</v>
      </c>
      <c r="F2103" s="1">
        <v>43</v>
      </c>
    </row>
    <row r="2104" spans="1:6">
      <c r="A2104">
        <v>12</v>
      </c>
      <c r="B2104" t="s">
        <v>107</v>
      </c>
      <c r="C2104" s="1">
        <v>1</v>
      </c>
      <c r="D2104" s="1" t="s">
        <v>196</v>
      </c>
      <c r="E2104" s="1">
        <v>42</v>
      </c>
      <c r="F2104" s="1" t="s">
        <v>196</v>
      </c>
    </row>
    <row r="2105" spans="1:6">
      <c r="A2105">
        <v>12</v>
      </c>
      <c r="B2105" t="s">
        <v>107</v>
      </c>
      <c r="C2105" s="1">
        <v>1</v>
      </c>
      <c r="D2105" s="1">
        <v>44</v>
      </c>
      <c r="E2105" s="1">
        <v>50</v>
      </c>
      <c r="F2105" s="1">
        <v>44</v>
      </c>
    </row>
    <row r="2106" spans="1:6">
      <c r="A2106">
        <v>12</v>
      </c>
      <c r="B2106" t="s">
        <v>107</v>
      </c>
      <c r="C2106" s="1">
        <v>1</v>
      </c>
      <c r="D2106" s="1" t="s">
        <v>197</v>
      </c>
      <c r="E2106" s="1">
        <v>52</v>
      </c>
      <c r="F2106" s="1" t="s">
        <v>197</v>
      </c>
    </row>
    <row r="2107" spans="1:6">
      <c r="A2107">
        <v>12</v>
      </c>
      <c r="B2107" t="s">
        <v>107</v>
      </c>
      <c r="C2107" s="1">
        <v>1</v>
      </c>
      <c r="D2107" s="1">
        <v>45</v>
      </c>
      <c r="E2107" s="1">
        <v>60</v>
      </c>
      <c r="F2107" s="1">
        <v>45</v>
      </c>
    </row>
    <row r="2108" spans="1:6">
      <c r="A2108">
        <v>12</v>
      </c>
      <c r="B2108" t="s">
        <v>107</v>
      </c>
      <c r="C2108" s="1">
        <v>1</v>
      </c>
      <c r="D2108" s="1" t="s">
        <v>198</v>
      </c>
      <c r="E2108" s="1">
        <v>62</v>
      </c>
      <c r="F2108" s="1" t="s">
        <v>198</v>
      </c>
    </row>
    <row r="2109" spans="1:6">
      <c r="A2109">
        <v>12</v>
      </c>
      <c r="B2109" t="s">
        <v>107</v>
      </c>
      <c r="C2109" s="1">
        <v>1</v>
      </c>
      <c r="D2109" s="1" t="s">
        <v>199</v>
      </c>
      <c r="E2109" s="1">
        <v>72</v>
      </c>
      <c r="F2109" s="1" t="s">
        <v>199</v>
      </c>
    </row>
    <row r="2110" spans="1:6">
      <c r="A2110">
        <v>13</v>
      </c>
      <c r="B2110" t="s">
        <v>200</v>
      </c>
      <c r="C2110" s="1">
        <v>1</v>
      </c>
      <c r="D2110" s="1" t="s">
        <v>192</v>
      </c>
      <c r="E2110" s="1">
        <v>2</v>
      </c>
      <c r="F2110" s="1" t="s">
        <v>192</v>
      </c>
    </row>
    <row r="2111" spans="1:6">
      <c r="A2111">
        <v>13</v>
      </c>
      <c r="B2111" t="s">
        <v>200</v>
      </c>
      <c r="C2111" s="1">
        <v>1</v>
      </c>
      <c r="D2111" s="1">
        <v>40</v>
      </c>
      <c r="E2111" s="1">
        <v>10</v>
      </c>
      <c r="F2111" s="1">
        <v>40</v>
      </c>
    </row>
    <row r="2112" spans="1:6">
      <c r="A2112">
        <v>13</v>
      </c>
      <c r="B2112" t="s">
        <v>200</v>
      </c>
      <c r="C2112" s="1">
        <v>1</v>
      </c>
      <c r="D2112" s="1" t="s">
        <v>193</v>
      </c>
      <c r="E2112" s="1">
        <v>12</v>
      </c>
      <c r="F2112" s="1" t="s">
        <v>193</v>
      </c>
    </row>
    <row r="2113" spans="1:6">
      <c r="A2113">
        <v>13</v>
      </c>
      <c r="B2113" t="s">
        <v>200</v>
      </c>
      <c r="C2113" s="1">
        <v>1</v>
      </c>
      <c r="D2113" s="1">
        <v>41</v>
      </c>
      <c r="E2113" s="1">
        <v>20</v>
      </c>
      <c r="F2113" s="1">
        <v>41</v>
      </c>
    </row>
    <row r="2114" spans="1:6">
      <c r="A2114">
        <v>13</v>
      </c>
      <c r="B2114" t="s">
        <v>200</v>
      </c>
      <c r="C2114" s="1">
        <v>1</v>
      </c>
      <c r="D2114" s="1" t="s">
        <v>194</v>
      </c>
      <c r="E2114" s="1">
        <v>22</v>
      </c>
      <c r="F2114" s="1" t="s">
        <v>194</v>
      </c>
    </row>
    <row r="2115" spans="1:6">
      <c r="A2115">
        <v>13</v>
      </c>
      <c r="B2115" t="s">
        <v>200</v>
      </c>
      <c r="C2115" s="1">
        <v>1</v>
      </c>
      <c r="D2115" s="1">
        <v>42</v>
      </c>
      <c r="E2115" s="1">
        <v>30</v>
      </c>
      <c r="F2115" s="1">
        <v>42</v>
      </c>
    </row>
    <row r="2116" spans="1:6">
      <c r="A2116">
        <v>13</v>
      </c>
      <c r="B2116" t="s">
        <v>200</v>
      </c>
      <c r="C2116" s="1">
        <v>1</v>
      </c>
      <c r="D2116" s="1" t="s">
        <v>195</v>
      </c>
      <c r="E2116" s="1">
        <v>32</v>
      </c>
      <c r="F2116" s="1" t="s">
        <v>195</v>
      </c>
    </row>
    <row r="2117" spans="1:6">
      <c r="A2117">
        <v>13</v>
      </c>
      <c r="B2117" t="s">
        <v>200</v>
      </c>
      <c r="C2117" s="1">
        <v>1</v>
      </c>
      <c r="D2117" s="1">
        <v>43</v>
      </c>
      <c r="E2117" s="1">
        <v>40</v>
      </c>
      <c r="F2117" s="1">
        <v>43</v>
      </c>
    </row>
    <row r="2118" spans="1:6">
      <c r="A2118">
        <v>13</v>
      </c>
      <c r="B2118" t="s">
        <v>200</v>
      </c>
      <c r="C2118" s="1">
        <v>1</v>
      </c>
      <c r="D2118" s="1" t="s">
        <v>196</v>
      </c>
      <c r="E2118" s="1">
        <v>42</v>
      </c>
      <c r="F2118" s="1" t="s">
        <v>196</v>
      </c>
    </row>
    <row r="2119" spans="1:6">
      <c r="A2119">
        <v>13</v>
      </c>
      <c r="B2119" t="s">
        <v>200</v>
      </c>
      <c r="C2119" s="1">
        <v>1</v>
      </c>
      <c r="D2119" s="1">
        <v>44</v>
      </c>
      <c r="E2119" s="1">
        <v>50</v>
      </c>
      <c r="F2119" s="1">
        <v>44</v>
      </c>
    </row>
    <row r="2120" spans="1:6">
      <c r="A2120">
        <v>13</v>
      </c>
      <c r="B2120" t="s">
        <v>200</v>
      </c>
      <c r="C2120" s="1">
        <v>1</v>
      </c>
      <c r="D2120" s="1" t="s">
        <v>197</v>
      </c>
      <c r="E2120" s="1">
        <v>52</v>
      </c>
      <c r="F2120" s="1" t="s">
        <v>197</v>
      </c>
    </row>
    <row r="2121" spans="1:6">
      <c r="A2121">
        <v>13</v>
      </c>
      <c r="B2121" t="s">
        <v>200</v>
      </c>
      <c r="C2121" s="1">
        <v>1</v>
      </c>
      <c r="D2121" s="1">
        <v>45</v>
      </c>
      <c r="E2121" s="1">
        <v>60</v>
      </c>
      <c r="F2121" s="1">
        <v>45</v>
      </c>
    </row>
    <row r="2122" spans="1:6">
      <c r="A2122">
        <v>13</v>
      </c>
      <c r="B2122" t="s">
        <v>200</v>
      </c>
      <c r="C2122" s="1">
        <v>1</v>
      </c>
      <c r="D2122" s="1" t="s">
        <v>199</v>
      </c>
      <c r="E2122" s="1">
        <v>72</v>
      </c>
      <c r="F2122" s="1" t="s">
        <v>199</v>
      </c>
    </row>
    <row r="2123" spans="1:6">
      <c r="A2123">
        <v>13</v>
      </c>
      <c r="B2123" t="s">
        <v>200</v>
      </c>
      <c r="C2123" s="1">
        <v>1</v>
      </c>
      <c r="D2123" s="1">
        <v>39</v>
      </c>
      <c r="F2123" s="1">
        <v>39</v>
      </c>
    </row>
    <row r="2124" spans="1:6">
      <c r="A2124">
        <v>13</v>
      </c>
      <c r="B2124" t="s">
        <v>200</v>
      </c>
      <c r="E2124" s="1">
        <v>96</v>
      </c>
    </row>
    <row r="2125" spans="1:6">
      <c r="A2125">
        <v>21</v>
      </c>
      <c r="B2125" t="s">
        <v>205</v>
      </c>
      <c r="C2125" s="1">
        <v>1</v>
      </c>
      <c r="D2125" s="1" t="s">
        <v>332</v>
      </c>
      <c r="E2125" s="1">
        <v>40</v>
      </c>
      <c r="F2125" s="1" t="s">
        <v>332</v>
      </c>
    </row>
    <row r="2126" spans="1:6">
      <c r="A2126">
        <v>21</v>
      </c>
      <c r="B2126" t="s">
        <v>205</v>
      </c>
      <c r="C2126" s="1">
        <v>1</v>
      </c>
      <c r="D2126" s="1" t="s">
        <v>287</v>
      </c>
      <c r="E2126" s="1">
        <v>52</v>
      </c>
      <c r="F2126" s="1" t="s">
        <v>287</v>
      </c>
    </row>
    <row r="2127" spans="1:6">
      <c r="A2127">
        <v>23</v>
      </c>
      <c r="B2127" t="s">
        <v>207</v>
      </c>
      <c r="E2127" s="1">
        <v>30</v>
      </c>
    </row>
    <row r="2128" spans="1:6">
      <c r="A2128">
        <v>41</v>
      </c>
      <c r="B2128" t="s">
        <v>219</v>
      </c>
      <c r="E2128" s="1">
        <v>20</v>
      </c>
    </row>
    <row r="2129" spans="1:6">
      <c r="A2129">
        <v>57</v>
      </c>
      <c r="B2129" t="s">
        <v>183</v>
      </c>
      <c r="C2129" s="1">
        <v>3</v>
      </c>
      <c r="D2129" s="1" t="s">
        <v>492</v>
      </c>
      <c r="E2129" s="1">
        <v>50</v>
      </c>
      <c r="F2129" s="1" t="s">
        <v>492</v>
      </c>
    </row>
    <row r="2130" spans="1:6">
      <c r="A2130">
        <v>57</v>
      </c>
      <c r="B2130" t="s">
        <v>183</v>
      </c>
      <c r="C2130" s="1">
        <v>3</v>
      </c>
      <c r="D2130" s="1" t="s">
        <v>338</v>
      </c>
      <c r="E2130" s="1">
        <v>60</v>
      </c>
      <c r="F2130" s="1" t="s">
        <v>338</v>
      </c>
    </row>
    <row r="2131" spans="1:6">
      <c r="A2131">
        <v>57</v>
      </c>
      <c r="B2131" t="s">
        <v>183</v>
      </c>
      <c r="E2131" s="1">
        <v>50</v>
      </c>
    </row>
    <row r="2132" spans="1:6">
      <c r="A2132">
        <v>62</v>
      </c>
      <c r="B2132" t="s">
        <v>514</v>
      </c>
      <c r="C2132" s="1">
        <v>1</v>
      </c>
      <c r="D2132" s="1">
        <v>11</v>
      </c>
      <c r="E2132" s="1">
        <v>50</v>
      </c>
      <c r="F2132" s="1">
        <v>11</v>
      </c>
    </row>
    <row r="2133" spans="1:6">
      <c r="A2133">
        <v>62</v>
      </c>
      <c r="B2133" t="s">
        <v>514</v>
      </c>
      <c r="C2133" s="1">
        <v>1</v>
      </c>
      <c r="D2133" s="1" t="s">
        <v>389</v>
      </c>
      <c r="E2133" s="1">
        <v>52</v>
      </c>
      <c r="F2133" s="1" t="s">
        <v>389</v>
      </c>
    </row>
    <row r="2134" spans="1:6">
      <c r="A2134">
        <v>62</v>
      </c>
      <c r="B2134" t="s">
        <v>514</v>
      </c>
      <c r="C2134" s="1">
        <v>1</v>
      </c>
      <c r="D2134" s="1">
        <v>12</v>
      </c>
      <c r="E2134" s="1">
        <v>60</v>
      </c>
      <c r="F2134" s="1">
        <v>12</v>
      </c>
    </row>
    <row r="2135" spans="1:6">
      <c r="A2135">
        <v>62</v>
      </c>
      <c r="B2135" t="s">
        <v>514</v>
      </c>
      <c r="C2135" s="1">
        <v>1</v>
      </c>
      <c r="D2135" s="1" t="s">
        <v>141</v>
      </c>
      <c r="E2135" s="1">
        <v>62</v>
      </c>
      <c r="F2135" s="1" t="s">
        <v>141</v>
      </c>
    </row>
    <row r="2136" spans="1:6">
      <c r="A2136">
        <v>62</v>
      </c>
      <c r="B2136" t="s">
        <v>514</v>
      </c>
      <c r="C2136" s="1">
        <v>1</v>
      </c>
      <c r="D2136" s="1">
        <v>13</v>
      </c>
      <c r="E2136" s="1">
        <v>70</v>
      </c>
      <c r="F2136" s="1">
        <v>13</v>
      </c>
    </row>
    <row r="2137" spans="1:6">
      <c r="A2137">
        <v>62</v>
      </c>
      <c r="B2137" t="s">
        <v>514</v>
      </c>
      <c r="C2137" s="1">
        <v>1</v>
      </c>
      <c r="D2137" s="1" t="s">
        <v>144</v>
      </c>
      <c r="E2137" s="1">
        <v>72</v>
      </c>
      <c r="F2137" s="1" t="s">
        <v>144</v>
      </c>
    </row>
    <row r="2138" spans="1:6">
      <c r="A2138">
        <v>62</v>
      </c>
      <c r="B2138" t="s">
        <v>514</v>
      </c>
      <c r="C2138" s="1">
        <v>1</v>
      </c>
      <c r="D2138" s="1" t="s">
        <v>150</v>
      </c>
      <c r="E2138" s="1">
        <v>92</v>
      </c>
      <c r="F2138" s="1" t="s">
        <v>150</v>
      </c>
    </row>
    <row r="2139" spans="1:6">
      <c r="A2139">
        <v>1</v>
      </c>
      <c r="B2139" t="s">
        <v>137</v>
      </c>
      <c r="C2139" s="1">
        <v>1</v>
      </c>
      <c r="D2139" s="1" t="s">
        <v>150</v>
      </c>
      <c r="E2139" s="1">
        <v>82</v>
      </c>
      <c r="F2139" s="1" t="s">
        <v>150</v>
      </c>
    </row>
    <row r="2140" spans="1:6">
      <c r="A2140">
        <v>1</v>
      </c>
      <c r="B2140" t="s">
        <v>137</v>
      </c>
      <c r="C2140" s="1">
        <v>1</v>
      </c>
      <c r="D2140" s="1">
        <v>16</v>
      </c>
      <c r="E2140" s="1">
        <v>90</v>
      </c>
      <c r="F2140" s="1">
        <v>16</v>
      </c>
    </row>
    <row r="2141" spans="1:6">
      <c r="A2141">
        <v>1</v>
      </c>
      <c r="B2141" t="s">
        <v>137</v>
      </c>
      <c r="C2141" s="1">
        <v>1</v>
      </c>
      <c r="D2141" s="1">
        <v>17</v>
      </c>
      <c r="E2141" s="1">
        <v>94</v>
      </c>
      <c r="F2141" s="1">
        <v>17</v>
      </c>
    </row>
    <row r="2142" spans="1:6">
      <c r="A2142">
        <v>1</v>
      </c>
      <c r="B2142" t="s">
        <v>137</v>
      </c>
      <c r="C2142" s="1">
        <v>1</v>
      </c>
      <c r="D2142" s="1" t="s">
        <v>156</v>
      </c>
      <c r="E2142" s="1">
        <v>96</v>
      </c>
      <c r="F2142" s="1" t="s">
        <v>156</v>
      </c>
    </row>
    <row r="2143" spans="1:6">
      <c r="A2143">
        <v>1</v>
      </c>
      <c r="B2143" t="s">
        <v>137</v>
      </c>
      <c r="C2143" s="1">
        <v>2</v>
      </c>
      <c r="D2143" s="1" t="s">
        <v>159</v>
      </c>
      <c r="E2143" s="1">
        <v>2</v>
      </c>
      <c r="F2143" s="1" t="s">
        <v>159</v>
      </c>
    </row>
    <row r="2144" spans="1:6">
      <c r="A2144">
        <v>1</v>
      </c>
      <c r="B2144" t="s">
        <v>137</v>
      </c>
      <c r="C2144" s="1">
        <v>2</v>
      </c>
      <c r="D2144" s="1">
        <v>19</v>
      </c>
      <c r="E2144" s="1">
        <v>10</v>
      </c>
      <c r="F2144" s="1">
        <v>19</v>
      </c>
    </row>
    <row r="2145" spans="1:6">
      <c r="A2145">
        <v>1</v>
      </c>
      <c r="B2145" t="s">
        <v>137</v>
      </c>
      <c r="C2145" s="1">
        <v>2</v>
      </c>
      <c r="D2145" s="1" t="s">
        <v>162</v>
      </c>
      <c r="E2145" s="1">
        <v>12</v>
      </c>
      <c r="F2145" s="1" t="s">
        <v>162</v>
      </c>
    </row>
    <row r="2146" spans="1:6">
      <c r="A2146">
        <v>1</v>
      </c>
      <c r="B2146" t="s">
        <v>137</v>
      </c>
      <c r="C2146" s="1">
        <v>2</v>
      </c>
      <c r="D2146" s="1">
        <v>20</v>
      </c>
      <c r="E2146" s="1">
        <v>20</v>
      </c>
      <c r="F2146" s="1">
        <v>20</v>
      </c>
    </row>
    <row r="2147" spans="1:6">
      <c r="A2147">
        <v>1</v>
      </c>
      <c r="B2147" t="s">
        <v>137</v>
      </c>
      <c r="C2147" s="1">
        <v>2</v>
      </c>
      <c r="D2147" s="1" t="s">
        <v>165</v>
      </c>
      <c r="E2147" s="1">
        <v>22</v>
      </c>
      <c r="F2147" s="1" t="s">
        <v>165</v>
      </c>
    </row>
    <row r="2148" spans="1:6">
      <c r="A2148">
        <v>1</v>
      </c>
      <c r="B2148" t="s">
        <v>137</v>
      </c>
      <c r="C2148" s="1">
        <v>2</v>
      </c>
      <c r="D2148" s="1">
        <v>21</v>
      </c>
      <c r="E2148" s="1">
        <v>30</v>
      </c>
      <c r="F2148" s="1">
        <v>21</v>
      </c>
    </row>
    <row r="2149" spans="1:6">
      <c r="A2149">
        <v>1</v>
      </c>
      <c r="B2149" t="s">
        <v>137</v>
      </c>
      <c r="C2149" s="1">
        <v>2</v>
      </c>
      <c r="D2149" s="1" t="s">
        <v>168</v>
      </c>
      <c r="E2149" s="1">
        <v>32</v>
      </c>
      <c r="F2149" s="1" t="s">
        <v>168</v>
      </c>
    </row>
    <row r="2150" spans="1:6">
      <c r="A2150">
        <v>1</v>
      </c>
      <c r="B2150" t="s">
        <v>137</v>
      </c>
      <c r="C2150" s="1">
        <v>2</v>
      </c>
      <c r="D2150" s="1">
        <v>22</v>
      </c>
      <c r="E2150" s="1">
        <v>40</v>
      </c>
      <c r="F2150" s="1">
        <v>22</v>
      </c>
    </row>
    <row r="2151" spans="1:6">
      <c r="A2151">
        <v>1</v>
      </c>
      <c r="B2151" t="s">
        <v>137</v>
      </c>
      <c r="C2151" s="1">
        <v>2</v>
      </c>
      <c r="D2151" s="1" t="s">
        <v>171</v>
      </c>
      <c r="E2151" s="1">
        <v>42</v>
      </c>
      <c r="F2151" s="1" t="s">
        <v>171</v>
      </c>
    </row>
    <row r="2152" spans="1:6">
      <c r="A2152">
        <v>1</v>
      </c>
      <c r="B2152" t="s">
        <v>137</v>
      </c>
      <c r="C2152" s="1">
        <v>2</v>
      </c>
      <c r="D2152" s="1">
        <v>23</v>
      </c>
      <c r="E2152" s="1">
        <v>50</v>
      </c>
      <c r="F2152" s="1">
        <v>23</v>
      </c>
    </row>
    <row r="2153" spans="1:6">
      <c r="A2153">
        <v>1</v>
      </c>
      <c r="B2153" t="s">
        <v>137</v>
      </c>
      <c r="C2153" s="1">
        <v>2</v>
      </c>
      <c r="D2153" s="1" t="s">
        <v>174</v>
      </c>
      <c r="E2153" s="1">
        <v>52</v>
      </c>
      <c r="F2153" s="1" t="s">
        <v>174</v>
      </c>
    </row>
    <row r="2154" spans="1:6">
      <c r="A2154">
        <v>1</v>
      </c>
      <c r="B2154" t="s">
        <v>137</v>
      </c>
      <c r="C2154" s="1">
        <v>2</v>
      </c>
      <c r="D2154" s="1">
        <v>24</v>
      </c>
      <c r="E2154" s="1">
        <v>60</v>
      </c>
      <c r="F2154" s="1">
        <v>24</v>
      </c>
    </row>
    <row r="2155" spans="1:6">
      <c r="A2155">
        <v>1</v>
      </c>
      <c r="B2155" t="s">
        <v>137</v>
      </c>
      <c r="C2155" s="1">
        <v>2</v>
      </c>
      <c r="D2155" s="1" t="s">
        <v>177</v>
      </c>
      <c r="E2155" s="1">
        <v>62</v>
      </c>
      <c r="F2155" s="1" t="s">
        <v>177</v>
      </c>
    </row>
    <row r="2156" spans="1:6">
      <c r="A2156">
        <v>1</v>
      </c>
      <c r="B2156" t="s">
        <v>137</v>
      </c>
      <c r="C2156" s="1">
        <v>2</v>
      </c>
      <c r="D2156" s="1" t="s">
        <v>180</v>
      </c>
      <c r="E2156" s="1">
        <v>72</v>
      </c>
      <c r="F2156" s="1" t="s">
        <v>180</v>
      </c>
    </row>
    <row r="2157" spans="1:6">
      <c r="A2157">
        <v>1</v>
      </c>
      <c r="B2157" t="s">
        <v>137</v>
      </c>
      <c r="C2157" s="1">
        <v>2</v>
      </c>
      <c r="D2157" s="1">
        <v>18</v>
      </c>
      <c r="F2157" s="1">
        <v>18</v>
      </c>
    </row>
    <row r="2158" spans="1:6">
      <c r="A2158">
        <v>5</v>
      </c>
      <c r="B2158" t="s">
        <v>183</v>
      </c>
      <c r="E2158" s="1">
        <v>60</v>
      </c>
    </row>
    <row r="2159" spans="1:6">
      <c r="A2159">
        <v>6</v>
      </c>
      <c r="B2159" t="s">
        <v>184</v>
      </c>
      <c r="C2159" s="1">
        <v>1</v>
      </c>
      <c r="D2159" s="1" t="s">
        <v>290</v>
      </c>
      <c r="E2159" s="1">
        <v>10</v>
      </c>
      <c r="F2159" s="1" t="s">
        <v>290</v>
      </c>
    </row>
    <row r="2160" spans="1:6">
      <c r="A2160">
        <v>6</v>
      </c>
      <c r="B2160" t="s">
        <v>184</v>
      </c>
      <c r="E2160" s="1">
        <v>63</v>
      </c>
    </row>
    <row r="2161" spans="1:6">
      <c r="A2161">
        <v>11</v>
      </c>
      <c r="B2161" t="s">
        <v>186</v>
      </c>
      <c r="C2161" s="1">
        <v>1</v>
      </c>
      <c r="D2161" s="1" t="s">
        <v>192</v>
      </c>
      <c r="E2161" s="1">
        <v>2</v>
      </c>
      <c r="F2161" s="1" t="s">
        <v>192</v>
      </c>
    </row>
    <row r="2162" spans="1:6">
      <c r="A2162">
        <v>11</v>
      </c>
      <c r="B2162" t="s">
        <v>186</v>
      </c>
      <c r="C2162" s="1">
        <v>1</v>
      </c>
      <c r="D2162" s="1">
        <v>40</v>
      </c>
      <c r="E2162" s="1">
        <v>10</v>
      </c>
      <c r="F2162" s="1">
        <v>40</v>
      </c>
    </row>
    <row r="2163" spans="1:6">
      <c r="A2163">
        <v>11</v>
      </c>
      <c r="B2163" t="s">
        <v>186</v>
      </c>
      <c r="C2163" s="1">
        <v>1</v>
      </c>
      <c r="D2163" s="1" t="s">
        <v>193</v>
      </c>
      <c r="E2163" s="1">
        <v>12</v>
      </c>
      <c r="F2163" s="1" t="s">
        <v>193</v>
      </c>
    </row>
    <row r="2164" spans="1:6">
      <c r="A2164">
        <v>11</v>
      </c>
      <c r="B2164" t="s">
        <v>186</v>
      </c>
      <c r="C2164" s="1">
        <v>1</v>
      </c>
      <c r="D2164" s="1">
        <v>41</v>
      </c>
      <c r="E2164" s="1">
        <v>20</v>
      </c>
      <c r="F2164" s="1">
        <v>41</v>
      </c>
    </row>
    <row r="2165" spans="1:6">
      <c r="A2165">
        <v>11</v>
      </c>
      <c r="B2165" t="s">
        <v>186</v>
      </c>
      <c r="C2165" s="1">
        <v>1</v>
      </c>
      <c r="D2165" s="1" t="s">
        <v>194</v>
      </c>
      <c r="E2165" s="1">
        <v>22</v>
      </c>
      <c r="F2165" s="1" t="s">
        <v>194</v>
      </c>
    </row>
    <row r="2166" spans="1:6">
      <c r="A2166">
        <v>11</v>
      </c>
      <c r="B2166" t="s">
        <v>186</v>
      </c>
      <c r="C2166" s="1">
        <v>1</v>
      </c>
      <c r="D2166" s="1">
        <v>42</v>
      </c>
      <c r="E2166" s="1">
        <v>30</v>
      </c>
      <c r="F2166" s="1">
        <v>42</v>
      </c>
    </row>
    <row r="2167" spans="1:6">
      <c r="A2167">
        <v>11</v>
      </c>
      <c r="B2167" t="s">
        <v>186</v>
      </c>
      <c r="C2167" s="1">
        <v>1</v>
      </c>
      <c r="D2167" s="1" t="s">
        <v>195</v>
      </c>
      <c r="E2167" s="1">
        <v>32</v>
      </c>
      <c r="F2167" s="1" t="s">
        <v>195</v>
      </c>
    </row>
    <row r="2168" spans="1:6">
      <c r="A2168">
        <v>11</v>
      </c>
      <c r="B2168" t="s">
        <v>186</v>
      </c>
      <c r="C2168" s="1">
        <v>1</v>
      </c>
      <c r="D2168" s="1">
        <v>43</v>
      </c>
      <c r="E2168" s="1">
        <v>40</v>
      </c>
      <c r="F2168" s="1">
        <v>43</v>
      </c>
    </row>
    <row r="2169" spans="1:6">
      <c r="A2169">
        <v>11</v>
      </c>
      <c r="B2169" t="s">
        <v>186</v>
      </c>
      <c r="C2169" s="1">
        <v>1</v>
      </c>
      <c r="D2169" s="1" t="s">
        <v>196</v>
      </c>
      <c r="E2169" s="1">
        <v>42</v>
      </c>
      <c r="F2169" s="1" t="s">
        <v>196</v>
      </c>
    </row>
    <row r="2170" spans="1:6">
      <c r="A2170">
        <v>11</v>
      </c>
      <c r="B2170" t="s">
        <v>186</v>
      </c>
      <c r="C2170" s="1">
        <v>1</v>
      </c>
      <c r="D2170" s="1">
        <v>44</v>
      </c>
      <c r="E2170" s="1">
        <v>50</v>
      </c>
      <c r="F2170" s="1">
        <v>44</v>
      </c>
    </row>
    <row r="2171" spans="1:6">
      <c r="A2171">
        <v>11</v>
      </c>
      <c r="B2171" t="s">
        <v>186</v>
      </c>
      <c r="C2171" s="1">
        <v>1</v>
      </c>
      <c r="D2171" s="1" t="s">
        <v>197</v>
      </c>
      <c r="E2171" s="1">
        <v>52</v>
      </c>
      <c r="F2171" s="1" t="s">
        <v>197</v>
      </c>
    </row>
    <row r="2172" spans="1:6">
      <c r="A2172">
        <v>11</v>
      </c>
      <c r="B2172" t="s">
        <v>186</v>
      </c>
      <c r="C2172" s="1">
        <v>1</v>
      </c>
      <c r="D2172" s="1">
        <v>45</v>
      </c>
      <c r="E2172" s="1">
        <v>60</v>
      </c>
      <c r="F2172" s="1">
        <v>45</v>
      </c>
    </row>
    <row r="2173" spans="1:6">
      <c r="A2173">
        <v>11</v>
      </c>
      <c r="B2173" t="s">
        <v>186</v>
      </c>
      <c r="C2173" s="1">
        <v>1</v>
      </c>
      <c r="D2173" s="1" t="s">
        <v>198</v>
      </c>
      <c r="E2173" s="1">
        <v>62</v>
      </c>
      <c r="F2173" s="1" t="s">
        <v>198</v>
      </c>
    </row>
    <row r="2174" spans="1:6">
      <c r="A2174">
        <v>11</v>
      </c>
      <c r="B2174" t="s">
        <v>186</v>
      </c>
      <c r="C2174" s="1">
        <v>1</v>
      </c>
      <c r="D2174" s="1" t="s">
        <v>199</v>
      </c>
      <c r="E2174" s="1">
        <v>72</v>
      </c>
      <c r="F2174" s="1" t="s">
        <v>199</v>
      </c>
    </row>
    <row r="2175" spans="1:6">
      <c r="A2175">
        <v>11</v>
      </c>
      <c r="B2175" t="s">
        <v>186</v>
      </c>
      <c r="C2175" s="1">
        <v>1</v>
      </c>
      <c r="D2175" s="1">
        <v>39</v>
      </c>
      <c r="F2175" s="1">
        <v>39</v>
      </c>
    </row>
    <row r="2176" spans="1:6">
      <c r="A2176">
        <v>11</v>
      </c>
      <c r="B2176" t="s">
        <v>186</v>
      </c>
      <c r="E2176" s="1">
        <v>90</v>
      </c>
    </row>
    <row r="2177" spans="1:6">
      <c r="A2177">
        <v>11</v>
      </c>
      <c r="B2177" t="s">
        <v>186</v>
      </c>
      <c r="E2177" s="1">
        <v>96</v>
      </c>
    </row>
    <row r="2178" spans="1:6">
      <c r="A2178">
        <v>13</v>
      </c>
      <c r="B2178" t="s">
        <v>200</v>
      </c>
      <c r="C2178" s="1">
        <v>1</v>
      </c>
      <c r="D2178" s="1">
        <v>45</v>
      </c>
      <c r="E2178" s="1">
        <v>60</v>
      </c>
      <c r="F2178" s="1">
        <v>45</v>
      </c>
    </row>
    <row r="2179" spans="1:6">
      <c r="A2179">
        <v>13</v>
      </c>
      <c r="B2179" t="s">
        <v>200</v>
      </c>
      <c r="C2179" s="1">
        <v>1</v>
      </c>
      <c r="D2179" s="1" t="s">
        <v>199</v>
      </c>
      <c r="E2179" s="1">
        <v>72</v>
      </c>
      <c r="F2179" s="1" t="s">
        <v>199</v>
      </c>
    </row>
    <row r="2180" spans="1:6">
      <c r="A2180">
        <v>15</v>
      </c>
      <c r="B2180" t="s">
        <v>201</v>
      </c>
      <c r="C2180" s="1">
        <v>1</v>
      </c>
      <c r="D2180" s="1">
        <v>100</v>
      </c>
      <c r="E2180" s="1">
        <v>80</v>
      </c>
      <c r="F2180" s="1">
        <v>100</v>
      </c>
    </row>
    <row r="2181" spans="1:6">
      <c r="A2181">
        <v>21</v>
      </c>
      <c r="B2181" t="s">
        <v>205</v>
      </c>
      <c r="C2181" s="1">
        <v>1</v>
      </c>
      <c r="D2181" s="1" t="s">
        <v>288</v>
      </c>
      <c r="E2181" s="1">
        <v>62</v>
      </c>
      <c r="F2181" s="1" t="s">
        <v>288</v>
      </c>
    </row>
    <row r="2182" spans="1:6">
      <c r="A2182">
        <v>24</v>
      </c>
      <c r="B2182" t="s">
        <v>208</v>
      </c>
      <c r="C2182" s="1">
        <v>1</v>
      </c>
      <c r="D2182" s="1" t="s">
        <v>373</v>
      </c>
      <c r="E2182" s="1">
        <v>10</v>
      </c>
      <c r="F2182" s="1" t="s">
        <v>373</v>
      </c>
    </row>
    <row r="2183" spans="1:6">
      <c r="A2183">
        <v>27</v>
      </c>
      <c r="B2183" t="s">
        <v>210</v>
      </c>
      <c r="C2183" s="1">
        <v>1</v>
      </c>
      <c r="D2183" s="1">
        <v>43</v>
      </c>
      <c r="E2183" s="1">
        <v>40</v>
      </c>
      <c r="F2183" s="1">
        <v>43</v>
      </c>
    </row>
    <row r="2184" spans="1:6">
      <c r="A2184">
        <v>27</v>
      </c>
      <c r="B2184" t="s">
        <v>210</v>
      </c>
      <c r="C2184" s="1">
        <v>1</v>
      </c>
      <c r="D2184" s="1" t="s">
        <v>198</v>
      </c>
      <c r="E2184" s="1">
        <v>62</v>
      </c>
      <c r="F2184" s="1" t="s">
        <v>198</v>
      </c>
    </row>
    <row r="2185" spans="1:6">
      <c r="A2185">
        <v>41</v>
      </c>
      <c r="B2185" t="s">
        <v>219</v>
      </c>
      <c r="E2185" s="1">
        <v>90</v>
      </c>
    </row>
    <row r="2186" spans="1:6">
      <c r="A2186">
        <v>57</v>
      </c>
      <c r="B2186" t="s">
        <v>183</v>
      </c>
      <c r="C2186" s="1">
        <v>3</v>
      </c>
      <c r="D2186" s="1" t="s">
        <v>338</v>
      </c>
      <c r="E2186" s="1">
        <v>60</v>
      </c>
      <c r="F2186" s="1" t="s">
        <v>338</v>
      </c>
    </row>
    <row r="2187" spans="1:6">
      <c r="A2187">
        <v>57</v>
      </c>
      <c r="B2187" t="s">
        <v>183</v>
      </c>
      <c r="E2187" s="1">
        <v>60</v>
      </c>
    </row>
    <row r="2188" spans="1:6">
      <c r="A2188">
        <v>59</v>
      </c>
      <c r="B2188" t="s">
        <v>227</v>
      </c>
      <c r="C2188" s="1">
        <v>3</v>
      </c>
      <c r="D2188" s="1" t="s">
        <v>295</v>
      </c>
      <c r="E2188" s="1">
        <v>23</v>
      </c>
      <c r="F2188" s="1" t="s">
        <v>295</v>
      </c>
    </row>
    <row r="2189" spans="1:6">
      <c r="A2189">
        <v>59</v>
      </c>
      <c r="B2189" t="s">
        <v>227</v>
      </c>
      <c r="E2189" s="1">
        <v>23</v>
      </c>
    </row>
    <row r="2190" spans="1:6">
      <c r="A2190">
        <v>74</v>
      </c>
      <c r="B2190" t="s">
        <v>235</v>
      </c>
      <c r="C2190" s="1">
        <v>3</v>
      </c>
      <c r="D2190" s="1" t="s">
        <v>320</v>
      </c>
      <c r="E2190" s="1">
        <v>50</v>
      </c>
      <c r="F2190" s="1" t="s">
        <v>320</v>
      </c>
    </row>
    <row r="2191" spans="1:6">
      <c r="A2191">
        <v>74</v>
      </c>
      <c r="B2191" t="s">
        <v>235</v>
      </c>
      <c r="C2191" s="1">
        <v>3</v>
      </c>
      <c r="D2191" s="1" t="s">
        <v>321</v>
      </c>
      <c r="E2191" s="1">
        <v>60</v>
      </c>
      <c r="F2191" s="1" t="s">
        <v>321</v>
      </c>
    </row>
    <row r="2192" spans="1:6">
      <c r="A2192">
        <v>1</v>
      </c>
      <c r="B2192" t="s">
        <v>137</v>
      </c>
      <c r="C2192" s="1">
        <v>1</v>
      </c>
      <c r="D2192" s="1">
        <v>13</v>
      </c>
      <c r="E2192" s="1">
        <v>60</v>
      </c>
      <c r="F2192" s="1">
        <v>13</v>
      </c>
    </row>
    <row r="2193" spans="1:6">
      <c r="A2193">
        <v>1</v>
      </c>
      <c r="B2193" t="s">
        <v>137</v>
      </c>
      <c r="C2193" s="1">
        <v>1</v>
      </c>
      <c r="D2193" s="1">
        <v>15</v>
      </c>
      <c r="E2193" s="1">
        <v>80</v>
      </c>
      <c r="F2193" s="1">
        <v>15</v>
      </c>
    </row>
    <row r="2194" spans="1:6">
      <c r="A2194">
        <v>1</v>
      </c>
      <c r="B2194" t="s">
        <v>137</v>
      </c>
      <c r="C2194" s="1">
        <v>1</v>
      </c>
      <c r="D2194" s="1" t="s">
        <v>150</v>
      </c>
      <c r="E2194" s="1">
        <v>82</v>
      </c>
      <c r="F2194" s="1" t="s">
        <v>150</v>
      </c>
    </row>
    <row r="2195" spans="1:6">
      <c r="A2195">
        <v>1</v>
      </c>
      <c r="B2195" t="s">
        <v>137</v>
      </c>
      <c r="C2195" s="1">
        <v>1</v>
      </c>
      <c r="D2195" s="1">
        <v>16</v>
      </c>
      <c r="E2195" s="1">
        <v>90</v>
      </c>
      <c r="F2195" s="1">
        <v>16</v>
      </c>
    </row>
    <row r="2196" spans="1:6">
      <c r="A2196">
        <v>1</v>
      </c>
      <c r="B2196" t="s">
        <v>137</v>
      </c>
      <c r="C2196" s="1">
        <v>1</v>
      </c>
      <c r="D2196" s="1" t="s">
        <v>153</v>
      </c>
      <c r="E2196" s="1">
        <v>92</v>
      </c>
      <c r="F2196" s="1" t="s">
        <v>153</v>
      </c>
    </row>
    <row r="2197" spans="1:6">
      <c r="A2197">
        <v>1</v>
      </c>
      <c r="B2197" t="s">
        <v>137</v>
      </c>
      <c r="C2197" s="1">
        <v>1</v>
      </c>
      <c r="D2197" s="1">
        <v>17</v>
      </c>
      <c r="E2197" s="1">
        <v>94</v>
      </c>
      <c r="F2197" s="1">
        <v>17</v>
      </c>
    </row>
    <row r="2198" spans="1:6">
      <c r="A2198">
        <v>1</v>
      </c>
      <c r="B2198" t="s">
        <v>137</v>
      </c>
      <c r="C2198" s="1">
        <v>1</v>
      </c>
      <c r="D2198" s="1" t="s">
        <v>156</v>
      </c>
      <c r="E2198" s="1">
        <v>96</v>
      </c>
      <c r="F2198" s="1" t="s">
        <v>156</v>
      </c>
    </row>
    <row r="2199" spans="1:6">
      <c r="A2199">
        <v>1</v>
      </c>
      <c r="B2199" t="s">
        <v>137</v>
      </c>
      <c r="C2199" s="1">
        <v>2</v>
      </c>
      <c r="D2199" s="1" t="s">
        <v>159</v>
      </c>
      <c r="E2199" s="1">
        <v>2</v>
      </c>
      <c r="F2199" s="1" t="s">
        <v>159</v>
      </c>
    </row>
    <row r="2200" spans="1:6">
      <c r="A2200">
        <v>1</v>
      </c>
      <c r="B2200" t="s">
        <v>137</v>
      </c>
      <c r="C2200" s="1">
        <v>2</v>
      </c>
      <c r="D2200" s="1">
        <v>19</v>
      </c>
      <c r="E2200" s="1">
        <v>10</v>
      </c>
      <c r="F2200" s="1">
        <v>19</v>
      </c>
    </row>
    <row r="2201" spans="1:6">
      <c r="A2201">
        <v>1</v>
      </c>
      <c r="B2201" t="s">
        <v>137</v>
      </c>
      <c r="C2201" s="1">
        <v>2</v>
      </c>
      <c r="D2201" s="1" t="s">
        <v>162</v>
      </c>
      <c r="E2201" s="1">
        <v>12</v>
      </c>
      <c r="F2201" s="1" t="s">
        <v>162</v>
      </c>
    </row>
    <row r="2202" spans="1:6">
      <c r="A2202">
        <v>1</v>
      </c>
      <c r="B2202" t="s">
        <v>137</v>
      </c>
      <c r="C2202" s="1">
        <v>2</v>
      </c>
      <c r="D2202" s="1">
        <v>20</v>
      </c>
      <c r="E2202" s="1">
        <v>20</v>
      </c>
      <c r="F2202" s="1">
        <v>20</v>
      </c>
    </row>
    <row r="2203" spans="1:6">
      <c r="A2203">
        <v>1</v>
      </c>
      <c r="B2203" t="s">
        <v>137</v>
      </c>
      <c r="C2203" s="1">
        <v>2</v>
      </c>
      <c r="D2203" s="1" t="s">
        <v>165</v>
      </c>
      <c r="E2203" s="1">
        <v>22</v>
      </c>
      <c r="F2203" s="1" t="s">
        <v>165</v>
      </c>
    </row>
    <row r="2204" spans="1:6">
      <c r="A2204">
        <v>1</v>
      </c>
      <c r="B2204" t="s">
        <v>137</v>
      </c>
      <c r="C2204" s="1">
        <v>2</v>
      </c>
      <c r="D2204" s="1">
        <v>21</v>
      </c>
      <c r="E2204" s="1">
        <v>30</v>
      </c>
      <c r="F2204" s="1">
        <v>21</v>
      </c>
    </row>
    <row r="2205" spans="1:6">
      <c r="A2205">
        <v>1</v>
      </c>
      <c r="B2205" t="s">
        <v>137</v>
      </c>
      <c r="C2205" s="1">
        <v>2</v>
      </c>
      <c r="D2205" s="1" t="s">
        <v>168</v>
      </c>
      <c r="E2205" s="1">
        <v>32</v>
      </c>
      <c r="F2205" s="1" t="s">
        <v>168</v>
      </c>
    </row>
    <row r="2206" spans="1:6">
      <c r="A2206">
        <v>1</v>
      </c>
      <c r="B2206" t="s">
        <v>137</v>
      </c>
      <c r="C2206" s="1">
        <v>2</v>
      </c>
      <c r="D2206" s="1">
        <v>22</v>
      </c>
      <c r="E2206" s="1">
        <v>40</v>
      </c>
      <c r="F2206" s="1">
        <v>22</v>
      </c>
    </row>
    <row r="2207" spans="1:6">
      <c r="A2207">
        <v>1</v>
      </c>
      <c r="B2207" t="s">
        <v>137</v>
      </c>
      <c r="C2207" s="1">
        <v>2</v>
      </c>
      <c r="D2207" s="1" t="s">
        <v>171</v>
      </c>
      <c r="E2207" s="1">
        <v>42</v>
      </c>
      <c r="F2207" s="1" t="s">
        <v>171</v>
      </c>
    </row>
    <row r="2208" spans="1:6">
      <c r="A2208">
        <v>1</v>
      </c>
      <c r="B2208" t="s">
        <v>137</v>
      </c>
      <c r="C2208" s="1">
        <v>2</v>
      </c>
      <c r="D2208" s="1">
        <v>23</v>
      </c>
      <c r="E2208" s="1">
        <v>50</v>
      </c>
      <c r="F2208" s="1">
        <v>23</v>
      </c>
    </row>
    <row r="2209" spans="1:6">
      <c r="A2209">
        <v>1</v>
      </c>
      <c r="B2209" t="s">
        <v>137</v>
      </c>
      <c r="C2209" s="1">
        <v>2</v>
      </c>
      <c r="D2209" s="1" t="s">
        <v>174</v>
      </c>
      <c r="E2209" s="1">
        <v>52</v>
      </c>
      <c r="F2209" s="1" t="s">
        <v>174</v>
      </c>
    </row>
    <row r="2210" spans="1:6">
      <c r="A2210">
        <v>1</v>
      </c>
      <c r="B2210" t="s">
        <v>137</v>
      </c>
      <c r="C2210" s="1">
        <v>2</v>
      </c>
      <c r="D2210" s="1">
        <v>24</v>
      </c>
      <c r="E2210" s="1">
        <v>60</v>
      </c>
      <c r="F2210" s="1">
        <v>24</v>
      </c>
    </row>
    <row r="2211" spans="1:6">
      <c r="A2211">
        <v>1</v>
      </c>
      <c r="B2211" t="s">
        <v>137</v>
      </c>
      <c r="C2211" s="1">
        <v>2</v>
      </c>
      <c r="D2211" s="1" t="s">
        <v>177</v>
      </c>
      <c r="E2211" s="1">
        <v>62</v>
      </c>
      <c r="F2211" s="1" t="s">
        <v>177</v>
      </c>
    </row>
    <row r="2212" spans="1:6">
      <c r="A2212">
        <v>1</v>
      </c>
      <c r="B2212" t="s">
        <v>137</v>
      </c>
      <c r="C2212" s="1">
        <v>2</v>
      </c>
      <c r="D2212" s="1" t="s">
        <v>180</v>
      </c>
      <c r="E2212" s="1">
        <v>72</v>
      </c>
      <c r="F2212" s="1" t="s">
        <v>180</v>
      </c>
    </row>
    <row r="2213" spans="1:6">
      <c r="A2213">
        <v>5</v>
      </c>
      <c r="B2213" t="s">
        <v>183</v>
      </c>
      <c r="E2213" s="1">
        <v>50</v>
      </c>
    </row>
    <row r="2214" spans="1:6">
      <c r="A2214">
        <v>5</v>
      </c>
      <c r="B2214" t="s">
        <v>183</v>
      </c>
      <c r="E2214" s="1">
        <v>60</v>
      </c>
    </row>
    <row r="2215" spans="1:6">
      <c r="A2215">
        <v>6</v>
      </c>
      <c r="B2215" t="s">
        <v>184</v>
      </c>
      <c r="E2215" s="1">
        <v>63</v>
      </c>
    </row>
    <row r="2216" spans="1:6">
      <c r="A2216">
        <v>9</v>
      </c>
      <c r="B2216" t="s">
        <v>185</v>
      </c>
      <c r="C2216" s="1">
        <v>3</v>
      </c>
      <c r="D2216" s="1" t="s">
        <v>282</v>
      </c>
      <c r="E2216" s="1">
        <v>60</v>
      </c>
      <c r="F2216" s="1" t="s">
        <v>282</v>
      </c>
    </row>
    <row r="2217" spans="1:6">
      <c r="A2217">
        <v>11</v>
      </c>
      <c r="B2217" t="s">
        <v>186</v>
      </c>
      <c r="C2217" s="1">
        <v>1</v>
      </c>
      <c r="D2217" s="1">
        <v>40</v>
      </c>
      <c r="E2217" s="1">
        <v>10</v>
      </c>
      <c r="F2217" s="1">
        <v>40</v>
      </c>
    </row>
    <row r="2218" spans="1:6">
      <c r="A2218">
        <v>11</v>
      </c>
      <c r="B2218" t="s">
        <v>186</v>
      </c>
      <c r="C2218" s="1">
        <v>1</v>
      </c>
      <c r="D2218" s="1" t="s">
        <v>193</v>
      </c>
      <c r="E2218" s="1">
        <v>12</v>
      </c>
      <c r="F2218" s="1" t="s">
        <v>193</v>
      </c>
    </row>
    <row r="2219" spans="1:6">
      <c r="A2219">
        <v>11</v>
      </c>
      <c r="B2219" t="s">
        <v>186</v>
      </c>
      <c r="C2219" s="1">
        <v>1</v>
      </c>
      <c r="D2219" s="1">
        <v>41</v>
      </c>
      <c r="E2219" s="1">
        <v>20</v>
      </c>
      <c r="F2219" s="1">
        <v>41</v>
      </c>
    </row>
    <row r="2220" spans="1:6">
      <c r="A2220">
        <v>11</v>
      </c>
      <c r="B2220" t="s">
        <v>186</v>
      </c>
      <c r="C2220" s="1">
        <v>1</v>
      </c>
      <c r="D2220" s="1" t="s">
        <v>194</v>
      </c>
      <c r="E2220" s="1">
        <v>22</v>
      </c>
      <c r="F2220" s="1" t="s">
        <v>194</v>
      </c>
    </row>
    <row r="2221" spans="1:6">
      <c r="A2221">
        <v>11</v>
      </c>
      <c r="B2221" t="s">
        <v>186</v>
      </c>
      <c r="C2221" s="1">
        <v>1</v>
      </c>
      <c r="D2221" s="1">
        <v>42</v>
      </c>
      <c r="E2221" s="1">
        <v>30</v>
      </c>
      <c r="F2221" s="1">
        <v>42</v>
      </c>
    </row>
    <row r="2222" spans="1:6">
      <c r="A2222">
        <v>11</v>
      </c>
      <c r="B2222" t="s">
        <v>186</v>
      </c>
      <c r="C2222" s="1">
        <v>1</v>
      </c>
      <c r="D2222" s="1" t="s">
        <v>195</v>
      </c>
      <c r="E2222" s="1">
        <v>32</v>
      </c>
      <c r="F2222" s="1" t="s">
        <v>195</v>
      </c>
    </row>
    <row r="2223" spans="1:6">
      <c r="A2223">
        <v>11</v>
      </c>
      <c r="B2223" t="s">
        <v>186</v>
      </c>
      <c r="C2223" s="1">
        <v>1</v>
      </c>
      <c r="D2223" s="1">
        <v>43</v>
      </c>
      <c r="E2223" s="1">
        <v>40</v>
      </c>
      <c r="F2223" s="1">
        <v>43</v>
      </c>
    </row>
    <row r="2224" spans="1:6">
      <c r="A2224">
        <v>11</v>
      </c>
      <c r="B2224" t="s">
        <v>186</v>
      </c>
      <c r="C2224" s="1">
        <v>1</v>
      </c>
      <c r="D2224" s="1" t="s">
        <v>196</v>
      </c>
      <c r="E2224" s="1">
        <v>42</v>
      </c>
      <c r="F2224" s="1" t="s">
        <v>196</v>
      </c>
    </row>
    <row r="2225" spans="1:6">
      <c r="A2225">
        <v>11</v>
      </c>
      <c r="B2225" t="s">
        <v>186</v>
      </c>
      <c r="C2225" s="1">
        <v>1</v>
      </c>
      <c r="D2225" s="1">
        <v>44</v>
      </c>
      <c r="E2225" s="1">
        <v>50</v>
      </c>
      <c r="F2225" s="1">
        <v>44</v>
      </c>
    </row>
    <row r="2226" spans="1:6">
      <c r="A2226">
        <v>11</v>
      </c>
      <c r="B2226" t="s">
        <v>186</v>
      </c>
      <c r="C2226" s="1">
        <v>1</v>
      </c>
      <c r="D2226" s="1" t="s">
        <v>197</v>
      </c>
      <c r="E2226" s="1">
        <v>52</v>
      </c>
      <c r="F2226" s="1" t="s">
        <v>197</v>
      </c>
    </row>
    <row r="2227" spans="1:6">
      <c r="A2227">
        <v>11</v>
      </c>
      <c r="B2227" t="s">
        <v>186</v>
      </c>
      <c r="C2227" s="1">
        <v>1</v>
      </c>
      <c r="D2227" s="1">
        <v>45</v>
      </c>
      <c r="E2227" s="1">
        <v>60</v>
      </c>
      <c r="F2227" s="1">
        <v>45</v>
      </c>
    </row>
    <row r="2228" spans="1:6">
      <c r="A2228">
        <v>11</v>
      </c>
      <c r="B2228" t="s">
        <v>186</v>
      </c>
      <c r="C2228" s="1">
        <v>1</v>
      </c>
      <c r="D2228" s="1" t="s">
        <v>198</v>
      </c>
      <c r="E2228" s="1">
        <v>62</v>
      </c>
      <c r="F2228" s="1" t="s">
        <v>198</v>
      </c>
    </row>
    <row r="2229" spans="1:6">
      <c r="A2229">
        <v>11</v>
      </c>
      <c r="B2229" t="s">
        <v>186</v>
      </c>
      <c r="C2229" s="1">
        <v>1</v>
      </c>
      <c r="D2229" s="1" t="s">
        <v>199</v>
      </c>
      <c r="E2229" s="1">
        <v>72</v>
      </c>
      <c r="F2229" s="1" t="s">
        <v>199</v>
      </c>
    </row>
    <row r="2230" spans="1:6">
      <c r="A2230">
        <v>11</v>
      </c>
      <c r="B2230" t="s">
        <v>186</v>
      </c>
      <c r="C2230" s="1">
        <v>1</v>
      </c>
      <c r="D2230" s="1">
        <v>39</v>
      </c>
      <c r="F2230" s="1">
        <v>39</v>
      </c>
    </row>
    <row r="2231" spans="1:6">
      <c r="A2231">
        <v>13</v>
      </c>
      <c r="B2231" t="s">
        <v>200</v>
      </c>
      <c r="C2231" s="1">
        <v>1</v>
      </c>
      <c r="D2231" s="1">
        <v>42</v>
      </c>
      <c r="E2231" s="1">
        <v>30</v>
      </c>
      <c r="F2231" s="1">
        <v>42</v>
      </c>
    </row>
    <row r="2232" spans="1:6">
      <c r="A2232">
        <v>15</v>
      </c>
      <c r="B2232" t="s">
        <v>201</v>
      </c>
      <c r="C2232" s="1">
        <v>1</v>
      </c>
      <c r="D2232" s="1">
        <v>100</v>
      </c>
      <c r="E2232" s="1">
        <v>80</v>
      </c>
      <c r="F2232" s="1">
        <v>100</v>
      </c>
    </row>
    <row r="2233" spans="1:6">
      <c r="A2233">
        <v>21</v>
      </c>
      <c r="B2233" t="s">
        <v>205</v>
      </c>
      <c r="C2233" s="1">
        <v>1</v>
      </c>
      <c r="D2233" s="1" t="s">
        <v>331</v>
      </c>
      <c r="E2233" s="1">
        <v>50</v>
      </c>
      <c r="F2233" s="1" t="s">
        <v>331</v>
      </c>
    </row>
    <row r="2234" spans="1:6">
      <c r="A2234">
        <v>21</v>
      </c>
      <c r="B2234" t="s">
        <v>205</v>
      </c>
      <c r="C2234" s="1">
        <v>1</v>
      </c>
      <c r="D2234" s="1" t="s">
        <v>287</v>
      </c>
      <c r="E2234" s="1">
        <v>52</v>
      </c>
      <c r="F2234" s="1" t="s">
        <v>287</v>
      </c>
    </row>
    <row r="2235" spans="1:6">
      <c r="A2235">
        <v>21</v>
      </c>
      <c r="B2235" t="s">
        <v>205</v>
      </c>
      <c r="C2235" s="1">
        <v>1</v>
      </c>
      <c r="D2235" s="1" t="s">
        <v>288</v>
      </c>
      <c r="E2235" s="1">
        <v>62</v>
      </c>
      <c r="F2235" s="1" t="s">
        <v>288</v>
      </c>
    </row>
    <row r="2236" spans="1:6">
      <c r="A2236">
        <v>27</v>
      </c>
      <c r="B2236" t="s">
        <v>210</v>
      </c>
      <c r="C2236" s="1">
        <v>1</v>
      </c>
      <c r="D2236" s="1" t="s">
        <v>194</v>
      </c>
      <c r="E2236" s="1">
        <v>22</v>
      </c>
      <c r="F2236" s="1" t="s">
        <v>194</v>
      </c>
    </row>
    <row r="2237" spans="1:6">
      <c r="A2237">
        <v>27</v>
      </c>
      <c r="B2237" t="s">
        <v>210</v>
      </c>
      <c r="C2237" s="1">
        <v>1</v>
      </c>
      <c r="D2237" s="1">
        <v>42</v>
      </c>
      <c r="E2237" s="1">
        <v>30</v>
      </c>
      <c r="F2237" s="1">
        <v>42</v>
      </c>
    </row>
    <row r="2238" spans="1:6">
      <c r="A2238">
        <v>27</v>
      </c>
      <c r="B2238" t="s">
        <v>210</v>
      </c>
      <c r="C2238" s="1">
        <v>1</v>
      </c>
      <c r="D2238" s="1" t="s">
        <v>195</v>
      </c>
      <c r="E2238" s="1">
        <v>32</v>
      </c>
      <c r="F2238" s="1" t="s">
        <v>195</v>
      </c>
    </row>
    <row r="2239" spans="1:6">
      <c r="A2239">
        <v>57</v>
      </c>
      <c r="B2239" t="s">
        <v>183</v>
      </c>
      <c r="C2239" s="1">
        <v>3</v>
      </c>
      <c r="D2239" s="1" t="s">
        <v>492</v>
      </c>
      <c r="E2239" s="1">
        <v>50</v>
      </c>
      <c r="F2239" s="1" t="s">
        <v>492</v>
      </c>
    </row>
    <row r="2240" spans="1:6">
      <c r="A2240">
        <v>57</v>
      </c>
      <c r="B2240" t="s">
        <v>183</v>
      </c>
      <c r="E2240" s="1">
        <v>50</v>
      </c>
    </row>
    <row r="2241" spans="1:6">
      <c r="A2241">
        <v>57</v>
      </c>
      <c r="B2241" t="s">
        <v>183</v>
      </c>
      <c r="E2241" s="1">
        <v>60</v>
      </c>
    </row>
    <row r="2242" spans="1:6">
      <c r="A2242">
        <v>58</v>
      </c>
      <c r="B2242" t="s">
        <v>226</v>
      </c>
      <c r="C2242" s="1">
        <v>2</v>
      </c>
      <c r="D2242" s="1" t="s">
        <v>518</v>
      </c>
      <c r="E2242" s="1">
        <v>40</v>
      </c>
      <c r="F2242" s="1" t="s">
        <v>518</v>
      </c>
    </row>
    <row r="2243" spans="1:6">
      <c r="A2243">
        <v>58</v>
      </c>
      <c r="B2243" t="s">
        <v>226</v>
      </c>
      <c r="C2243" s="1">
        <v>3</v>
      </c>
      <c r="D2243" s="1" t="s">
        <v>565</v>
      </c>
      <c r="E2243" s="1">
        <v>50</v>
      </c>
      <c r="F2243" s="1" t="s">
        <v>565</v>
      </c>
    </row>
    <row r="2244" spans="1:6">
      <c r="A2244">
        <v>59</v>
      </c>
      <c r="B2244" t="s">
        <v>227</v>
      </c>
      <c r="E2244" s="1">
        <v>23</v>
      </c>
    </row>
    <row r="2245" spans="1:6">
      <c r="A2245">
        <v>74</v>
      </c>
      <c r="B2245" t="s">
        <v>235</v>
      </c>
      <c r="C2245" s="1">
        <v>3</v>
      </c>
      <c r="D2245" s="1" t="s">
        <v>320</v>
      </c>
      <c r="E2245" s="1">
        <v>50</v>
      </c>
      <c r="F2245" s="1" t="s">
        <v>320</v>
      </c>
    </row>
    <row r="2246" spans="1:6">
      <c r="A2246">
        <v>74</v>
      </c>
      <c r="B2246" t="s">
        <v>235</v>
      </c>
      <c r="C2246" s="1">
        <v>3</v>
      </c>
      <c r="D2246" s="1" t="s">
        <v>321</v>
      </c>
      <c r="E2246" s="1">
        <v>60</v>
      </c>
      <c r="F2246" s="1" t="s">
        <v>321</v>
      </c>
    </row>
    <row r="2247" spans="1:6">
      <c r="A2247">
        <v>1</v>
      </c>
      <c r="B2247" t="s">
        <v>137</v>
      </c>
      <c r="C2247" s="1">
        <v>1</v>
      </c>
      <c r="D2247" s="1" t="s">
        <v>156</v>
      </c>
      <c r="E2247" s="1">
        <v>96</v>
      </c>
      <c r="F2247" s="1" t="s">
        <v>156</v>
      </c>
    </row>
    <row r="2248" spans="1:6">
      <c r="A2248">
        <v>1</v>
      </c>
      <c r="B2248" t="s">
        <v>137</v>
      </c>
      <c r="C2248" s="1">
        <v>2</v>
      </c>
      <c r="D2248" s="1" t="s">
        <v>159</v>
      </c>
      <c r="E2248" s="1">
        <v>2</v>
      </c>
      <c r="F2248" s="1" t="s">
        <v>159</v>
      </c>
    </row>
    <row r="2249" spans="1:6">
      <c r="A2249">
        <v>1</v>
      </c>
      <c r="B2249" t="s">
        <v>137</v>
      </c>
      <c r="C2249" s="1">
        <v>2</v>
      </c>
      <c r="D2249" s="1" t="s">
        <v>162</v>
      </c>
      <c r="E2249" s="1">
        <v>12</v>
      </c>
      <c r="F2249" s="1" t="s">
        <v>162</v>
      </c>
    </row>
    <row r="2250" spans="1:6">
      <c r="A2250">
        <v>1</v>
      </c>
      <c r="B2250" t="s">
        <v>137</v>
      </c>
      <c r="C2250" s="1">
        <v>2</v>
      </c>
      <c r="D2250" s="1">
        <v>20</v>
      </c>
      <c r="E2250" s="1">
        <v>20</v>
      </c>
      <c r="F2250" s="1">
        <v>20</v>
      </c>
    </row>
    <row r="2251" spans="1:6">
      <c r="A2251">
        <v>1</v>
      </c>
      <c r="B2251" t="s">
        <v>137</v>
      </c>
      <c r="C2251" s="1">
        <v>2</v>
      </c>
      <c r="D2251" s="1" t="s">
        <v>165</v>
      </c>
      <c r="E2251" s="1">
        <v>22</v>
      </c>
      <c r="F2251" s="1" t="s">
        <v>165</v>
      </c>
    </row>
    <row r="2252" spans="1:6">
      <c r="A2252">
        <v>1</v>
      </c>
      <c r="B2252" t="s">
        <v>137</v>
      </c>
      <c r="C2252" s="1">
        <v>2</v>
      </c>
      <c r="D2252" s="1">
        <v>21</v>
      </c>
      <c r="E2252" s="1">
        <v>30</v>
      </c>
      <c r="F2252" s="1">
        <v>21</v>
      </c>
    </row>
    <row r="2253" spans="1:6">
      <c r="A2253">
        <v>1</v>
      </c>
      <c r="B2253" t="s">
        <v>137</v>
      </c>
      <c r="C2253" s="1">
        <v>2</v>
      </c>
      <c r="D2253" s="1">
        <v>24</v>
      </c>
      <c r="E2253" s="1">
        <v>60</v>
      </c>
      <c r="F2253" s="1">
        <v>24</v>
      </c>
    </row>
    <row r="2254" spans="1:6">
      <c r="A2254">
        <v>1</v>
      </c>
      <c r="B2254" t="s">
        <v>137</v>
      </c>
      <c r="C2254" s="1">
        <v>2</v>
      </c>
      <c r="D2254" s="1" t="s">
        <v>180</v>
      </c>
      <c r="E2254" s="1">
        <v>72</v>
      </c>
      <c r="F2254" s="1" t="s">
        <v>180</v>
      </c>
    </row>
    <row r="2255" spans="1:6">
      <c r="A2255">
        <v>11</v>
      </c>
      <c r="B2255" t="s">
        <v>186</v>
      </c>
      <c r="C2255" s="1">
        <v>1</v>
      </c>
      <c r="D2255" s="1" t="s">
        <v>192</v>
      </c>
      <c r="E2255" s="1">
        <v>2</v>
      </c>
      <c r="F2255" s="1" t="s">
        <v>192</v>
      </c>
    </row>
    <row r="2256" spans="1:6">
      <c r="A2256">
        <v>11</v>
      </c>
      <c r="B2256" t="s">
        <v>186</v>
      </c>
      <c r="C2256" s="1">
        <v>1</v>
      </c>
      <c r="D2256" s="1" t="s">
        <v>195</v>
      </c>
      <c r="E2256" s="1">
        <v>32</v>
      </c>
      <c r="F2256" s="1" t="s">
        <v>195</v>
      </c>
    </row>
    <row r="2257" spans="1:6">
      <c r="A2257">
        <v>11</v>
      </c>
      <c r="B2257" t="s">
        <v>186</v>
      </c>
      <c r="C2257" s="1">
        <v>1</v>
      </c>
      <c r="D2257" s="1" t="s">
        <v>196</v>
      </c>
      <c r="E2257" s="1">
        <v>42</v>
      </c>
      <c r="F2257" s="1" t="s">
        <v>196</v>
      </c>
    </row>
    <row r="2258" spans="1:6">
      <c r="A2258">
        <v>11</v>
      </c>
      <c r="B2258" t="s">
        <v>186</v>
      </c>
      <c r="C2258" s="1">
        <v>1</v>
      </c>
      <c r="D2258" s="1" t="s">
        <v>198</v>
      </c>
      <c r="E2258" s="1">
        <v>62</v>
      </c>
      <c r="F2258" s="1" t="s">
        <v>198</v>
      </c>
    </row>
    <row r="2259" spans="1:6">
      <c r="A2259">
        <v>11</v>
      </c>
      <c r="B2259" t="s">
        <v>186</v>
      </c>
      <c r="E2259" s="1">
        <v>95</v>
      </c>
    </row>
    <row r="2260" spans="1:6">
      <c r="A2260">
        <v>16</v>
      </c>
      <c r="B2260" t="s">
        <v>202</v>
      </c>
      <c r="C2260" s="1">
        <v>1</v>
      </c>
      <c r="D2260" s="1">
        <v>45</v>
      </c>
      <c r="E2260" s="1">
        <v>60</v>
      </c>
      <c r="F2260" s="1">
        <v>45</v>
      </c>
    </row>
    <row r="2261" spans="1:6">
      <c r="A2261">
        <v>24</v>
      </c>
      <c r="B2261" t="s">
        <v>208</v>
      </c>
      <c r="C2261" s="1">
        <v>1</v>
      </c>
      <c r="D2261" s="1" t="s">
        <v>284</v>
      </c>
      <c r="E2261" s="1">
        <v>20</v>
      </c>
      <c r="F2261" s="1" t="s">
        <v>284</v>
      </c>
    </row>
    <row r="2262" spans="1:6">
      <c r="A2262">
        <v>24</v>
      </c>
      <c r="B2262" t="s">
        <v>208</v>
      </c>
      <c r="E2262" s="1">
        <v>80</v>
      </c>
    </row>
    <row r="2263" spans="1:6">
      <c r="A2263">
        <v>24</v>
      </c>
      <c r="B2263" t="s">
        <v>208</v>
      </c>
      <c r="E2263" s="1">
        <v>90</v>
      </c>
    </row>
    <row r="2264" spans="1:6">
      <c r="A2264">
        <v>41</v>
      </c>
      <c r="B2264" t="s">
        <v>219</v>
      </c>
      <c r="C2264" s="1">
        <v>1</v>
      </c>
      <c r="D2264" s="1" t="s">
        <v>442</v>
      </c>
      <c r="E2264" s="1">
        <v>10</v>
      </c>
      <c r="F2264" s="1" t="s">
        <v>442</v>
      </c>
    </row>
    <row r="2265" spans="1:6">
      <c r="A2265">
        <v>41</v>
      </c>
      <c r="B2265" t="s">
        <v>219</v>
      </c>
      <c r="C2265" s="1">
        <v>1</v>
      </c>
      <c r="D2265" s="1" t="s">
        <v>443</v>
      </c>
      <c r="F2265" s="1" t="s">
        <v>443</v>
      </c>
    </row>
    <row r="2266" spans="1:6">
      <c r="A2266">
        <v>41</v>
      </c>
      <c r="B2266" t="s">
        <v>219</v>
      </c>
      <c r="E2266" s="1">
        <v>10</v>
      </c>
    </row>
    <row r="2267" spans="1:6">
      <c r="A2267">
        <v>41</v>
      </c>
      <c r="B2267" t="s">
        <v>219</v>
      </c>
      <c r="E2267" s="1">
        <v>20</v>
      </c>
    </row>
    <row r="2268" spans="1:6">
      <c r="A2268">
        <v>41</v>
      </c>
      <c r="B2268" t="s">
        <v>219</v>
      </c>
      <c r="E2268" s="1">
        <v>60</v>
      </c>
    </row>
    <row r="2269" spans="1:6">
      <c r="A2269">
        <v>41</v>
      </c>
      <c r="B2269" t="s">
        <v>219</v>
      </c>
      <c r="E2269" s="1">
        <v>70</v>
      </c>
    </row>
    <row r="2270" spans="1:6">
      <c r="A2270">
        <v>41</v>
      </c>
      <c r="B2270" t="s">
        <v>219</v>
      </c>
      <c r="E2270" s="1">
        <v>90</v>
      </c>
    </row>
    <row r="2271" spans="1:6">
      <c r="A2271">
        <v>63</v>
      </c>
      <c r="B2271" t="s">
        <v>229</v>
      </c>
      <c r="E2271" s="1">
        <v>40</v>
      </c>
    </row>
    <row r="2272" spans="1:6">
      <c r="A2272">
        <v>64</v>
      </c>
      <c r="B2272" t="s">
        <v>230</v>
      </c>
      <c r="E2272" s="1">
        <v>40</v>
      </c>
    </row>
    <row r="2273" spans="1:6">
      <c r="A2273">
        <v>68</v>
      </c>
      <c r="B2273" t="s">
        <v>233</v>
      </c>
      <c r="E2273" s="1">
        <v>40</v>
      </c>
    </row>
    <row r="2274" spans="1:6">
      <c r="A2274">
        <v>74</v>
      </c>
      <c r="B2274" t="s">
        <v>235</v>
      </c>
      <c r="C2274" s="1">
        <v>3</v>
      </c>
      <c r="D2274" s="1" t="s">
        <v>320</v>
      </c>
      <c r="E2274" s="1">
        <v>50</v>
      </c>
      <c r="F2274" s="1" t="s">
        <v>320</v>
      </c>
    </row>
    <row r="2275" spans="1:6">
      <c r="A2275">
        <v>1</v>
      </c>
      <c r="B2275" t="s">
        <v>137</v>
      </c>
      <c r="C2275" s="1">
        <v>1</v>
      </c>
      <c r="D2275" s="1" t="s">
        <v>144</v>
      </c>
      <c r="E2275" s="1">
        <v>62</v>
      </c>
      <c r="F2275" s="1" t="s">
        <v>144</v>
      </c>
    </row>
    <row r="2276" spans="1:6">
      <c r="A2276">
        <v>1</v>
      </c>
      <c r="B2276" t="s">
        <v>137</v>
      </c>
      <c r="C2276" s="1">
        <v>1</v>
      </c>
      <c r="D2276" s="1">
        <v>14</v>
      </c>
      <c r="E2276" s="1">
        <v>70</v>
      </c>
      <c r="F2276" s="1">
        <v>14</v>
      </c>
    </row>
    <row r="2277" spans="1:6">
      <c r="A2277">
        <v>1</v>
      </c>
      <c r="B2277" t="s">
        <v>137</v>
      </c>
      <c r="C2277" s="1">
        <v>1</v>
      </c>
      <c r="D2277" s="1" t="s">
        <v>147</v>
      </c>
      <c r="E2277" s="1">
        <v>72</v>
      </c>
      <c r="F2277" s="1" t="s">
        <v>147</v>
      </c>
    </row>
    <row r="2278" spans="1:6">
      <c r="A2278">
        <v>1</v>
      </c>
      <c r="B2278" t="s">
        <v>137</v>
      </c>
      <c r="C2278" s="1">
        <v>1</v>
      </c>
      <c r="D2278" s="1">
        <v>15</v>
      </c>
      <c r="E2278" s="1">
        <v>80</v>
      </c>
      <c r="F2278" s="1">
        <v>15</v>
      </c>
    </row>
    <row r="2279" spans="1:6">
      <c r="A2279">
        <v>1</v>
      </c>
      <c r="B2279" t="s">
        <v>137</v>
      </c>
      <c r="C2279" s="1">
        <v>1</v>
      </c>
      <c r="D2279" s="1" t="s">
        <v>150</v>
      </c>
      <c r="E2279" s="1">
        <v>82</v>
      </c>
      <c r="F2279" s="1" t="s">
        <v>150</v>
      </c>
    </row>
    <row r="2280" spans="1:6">
      <c r="A2280">
        <v>1</v>
      </c>
      <c r="B2280" t="s">
        <v>137</v>
      </c>
      <c r="C2280" s="1">
        <v>1</v>
      </c>
      <c r="D2280" s="1">
        <v>16</v>
      </c>
      <c r="E2280" s="1">
        <v>90</v>
      </c>
      <c r="F2280" s="1">
        <v>16</v>
      </c>
    </row>
    <row r="2281" spans="1:6">
      <c r="A2281">
        <v>1</v>
      </c>
      <c r="B2281" t="s">
        <v>137</v>
      </c>
      <c r="C2281" s="1">
        <v>1</v>
      </c>
      <c r="D2281" s="1" t="s">
        <v>153</v>
      </c>
      <c r="E2281" s="1">
        <v>92</v>
      </c>
      <c r="F2281" s="1" t="s">
        <v>153</v>
      </c>
    </row>
    <row r="2282" spans="1:6">
      <c r="A2282">
        <v>1</v>
      </c>
      <c r="B2282" t="s">
        <v>137</v>
      </c>
      <c r="C2282" s="1">
        <v>1</v>
      </c>
      <c r="D2282" s="1">
        <v>17</v>
      </c>
      <c r="E2282" s="1">
        <v>94</v>
      </c>
      <c r="F2282" s="1">
        <v>17</v>
      </c>
    </row>
    <row r="2283" spans="1:6">
      <c r="A2283">
        <v>1</v>
      </c>
      <c r="B2283" t="s">
        <v>137</v>
      </c>
      <c r="C2283" s="1">
        <v>1</v>
      </c>
      <c r="D2283" s="1" t="s">
        <v>156</v>
      </c>
      <c r="E2283" s="1">
        <v>96</v>
      </c>
      <c r="F2283" s="1" t="s">
        <v>156</v>
      </c>
    </row>
    <row r="2284" spans="1:6">
      <c r="A2284">
        <v>1</v>
      </c>
      <c r="B2284" t="s">
        <v>137</v>
      </c>
      <c r="C2284" s="1">
        <v>2</v>
      </c>
      <c r="D2284" s="1" t="s">
        <v>159</v>
      </c>
      <c r="E2284" s="1">
        <v>2</v>
      </c>
      <c r="F2284" s="1" t="s">
        <v>159</v>
      </c>
    </row>
    <row r="2285" spans="1:6">
      <c r="A2285">
        <v>1</v>
      </c>
      <c r="B2285" t="s">
        <v>137</v>
      </c>
      <c r="C2285" s="1">
        <v>2</v>
      </c>
      <c r="D2285" s="1">
        <v>19</v>
      </c>
      <c r="E2285" s="1">
        <v>10</v>
      </c>
      <c r="F2285" s="1">
        <v>19</v>
      </c>
    </row>
    <row r="2286" spans="1:6">
      <c r="A2286">
        <v>1</v>
      </c>
      <c r="B2286" t="s">
        <v>137</v>
      </c>
      <c r="C2286" s="1">
        <v>2</v>
      </c>
      <c r="D2286" s="1" t="s">
        <v>162</v>
      </c>
      <c r="E2286" s="1">
        <v>12</v>
      </c>
      <c r="F2286" s="1" t="s">
        <v>162</v>
      </c>
    </row>
    <row r="2287" spans="1:6">
      <c r="A2287">
        <v>1</v>
      </c>
      <c r="B2287" t="s">
        <v>137</v>
      </c>
      <c r="C2287" s="1">
        <v>2</v>
      </c>
      <c r="D2287" s="1">
        <v>20</v>
      </c>
      <c r="E2287" s="1">
        <v>20</v>
      </c>
      <c r="F2287" s="1">
        <v>20</v>
      </c>
    </row>
    <row r="2288" spans="1:6">
      <c r="A2288">
        <v>1</v>
      </c>
      <c r="B2288" t="s">
        <v>137</v>
      </c>
      <c r="C2288" s="1">
        <v>2</v>
      </c>
      <c r="D2288" s="1" t="s">
        <v>165</v>
      </c>
      <c r="E2288" s="1">
        <v>22</v>
      </c>
      <c r="F2288" s="1" t="s">
        <v>165</v>
      </c>
    </row>
    <row r="2289" spans="1:6">
      <c r="A2289">
        <v>1</v>
      </c>
      <c r="B2289" t="s">
        <v>137</v>
      </c>
      <c r="C2289" s="1">
        <v>2</v>
      </c>
      <c r="D2289" s="1">
        <v>21</v>
      </c>
      <c r="E2289" s="1">
        <v>30</v>
      </c>
      <c r="F2289" s="1">
        <v>21</v>
      </c>
    </row>
    <row r="2290" spans="1:6">
      <c r="A2290">
        <v>1</v>
      </c>
      <c r="B2290" t="s">
        <v>137</v>
      </c>
      <c r="C2290" s="1">
        <v>2</v>
      </c>
      <c r="D2290" s="1" t="s">
        <v>168</v>
      </c>
      <c r="E2290" s="1">
        <v>32</v>
      </c>
      <c r="F2290" s="1" t="s">
        <v>168</v>
      </c>
    </row>
    <row r="2291" spans="1:6">
      <c r="A2291">
        <v>1</v>
      </c>
      <c r="B2291" t="s">
        <v>137</v>
      </c>
      <c r="C2291" s="1">
        <v>2</v>
      </c>
      <c r="D2291" s="1">
        <v>22</v>
      </c>
      <c r="E2291" s="1">
        <v>40</v>
      </c>
      <c r="F2291" s="1">
        <v>22</v>
      </c>
    </row>
    <row r="2292" spans="1:6">
      <c r="A2292">
        <v>1</v>
      </c>
      <c r="B2292" t="s">
        <v>137</v>
      </c>
      <c r="C2292" s="1">
        <v>2</v>
      </c>
      <c r="D2292" s="1" t="s">
        <v>171</v>
      </c>
      <c r="E2292" s="1">
        <v>42</v>
      </c>
      <c r="F2292" s="1" t="s">
        <v>171</v>
      </c>
    </row>
    <row r="2293" spans="1:6">
      <c r="A2293">
        <v>1</v>
      </c>
      <c r="B2293" t="s">
        <v>137</v>
      </c>
      <c r="C2293" s="1">
        <v>2</v>
      </c>
      <c r="D2293" s="1">
        <v>23</v>
      </c>
      <c r="E2293" s="1">
        <v>50</v>
      </c>
      <c r="F2293" s="1">
        <v>23</v>
      </c>
    </row>
    <row r="2294" spans="1:6">
      <c r="A2294">
        <v>1</v>
      </c>
      <c r="B2294" t="s">
        <v>137</v>
      </c>
      <c r="C2294" s="1">
        <v>2</v>
      </c>
      <c r="D2294" s="1" t="s">
        <v>174</v>
      </c>
      <c r="E2294" s="1">
        <v>52</v>
      </c>
      <c r="F2294" s="1" t="s">
        <v>174</v>
      </c>
    </row>
    <row r="2295" spans="1:6">
      <c r="A2295">
        <v>1</v>
      </c>
      <c r="B2295" t="s">
        <v>137</v>
      </c>
      <c r="C2295" s="1">
        <v>2</v>
      </c>
      <c r="D2295" s="1">
        <v>24</v>
      </c>
      <c r="E2295" s="1">
        <v>60</v>
      </c>
      <c r="F2295" s="1">
        <v>24</v>
      </c>
    </row>
    <row r="2296" spans="1:6">
      <c r="A2296">
        <v>1</v>
      </c>
      <c r="B2296" t="s">
        <v>137</v>
      </c>
      <c r="C2296" s="1">
        <v>2</v>
      </c>
      <c r="D2296" s="1" t="s">
        <v>177</v>
      </c>
      <c r="E2296" s="1">
        <v>62</v>
      </c>
      <c r="F2296" s="1" t="s">
        <v>177</v>
      </c>
    </row>
    <row r="2297" spans="1:6">
      <c r="A2297">
        <v>1</v>
      </c>
      <c r="B2297" t="s">
        <v>137</v>
      </c>
      <c r="C2297" s="1">
        <v>2</v>
      </c>
      <c r="D2297" s="1" t="s">
        <v>180</v>
      </c>
      <c r="E2297" s="1">
        <v>72</v>
      </c>
      <c r="F2297" s="1" t="s">
        <v>180</v>
      </c>
    </row>
    <row r="2298" spans="1:6">
      <c r="A2298">
        <v>1</v>
      </c>
      <c r="B2298" t="s">
        <v>137</v>
      </c>
      <c r="C2298" s="1">
        <v>2</v>
      </c>
      <c r="D2298" s="1">
        <v>18</v>
      </c>
      <c r="F2298" s="1">
        <v>18</v>
      </c>
    </row>
    <row r="2299" spans="1:6">
      <c r="A2299">
        <v>5</v>
      </c>
      <c r="B2299" t="s">
        <v>183</v>
      </c>
      <c r="E2299" s="1">
        <v>50</v>
      </c>
    </row>
    <row r="2300" spans="1:6">
      <c r="A2300">
        <v>5</v>
      </c>
      <c r="B2300" t="s">
        <v>183</v>
      </c>
      <c r="E2300" s="1">
        <v>60</v>
      </c>
    </row>
    <row r="2301" spans="1:6">
      <c r="A2301">
        <v>6</v>
      </c>
      <c r="B2301" t="s">
        <v>184</v>
      </c>
      <c r="E2301" s="1">
        <v>63</v>
      </c>
    </row>
    <row r="2302" spans="1:6">
      <c r="A2302">
        <v>11</v>
      </c>
      <c r="B2302" t="s">
        <v>186</v>
      </c>
      <c r="C2302" s="1">
        <v>1</v>
      </c>
      <c r="D2302" s="1" t="s">
        <v>192</v>
      </c>
      <c r="E2302" s="1">
        <v>2</v>
      </c>
      <c r="F2302" s="1" t="s">
        <v>192</v>
      </c>
    </row>
    <row r="2303" spans="1:6">
      <c r="A2303">
        <v>11</v>
      </c>
      <c r="B2303" t="s">
        <v>186</v>
      </c>
      <c r="C2303" s="1">
        <v>1</v>
      </c>
      <c r="D2303" s="1">
        <v>40</v>
      </c>
      <c r="E2303" s="1">
        <v>10</v>
      </c>
      <c r="F2303" s="1">
        <v>40</v>
      </c>
    </row>
    <row r="2304" spans="1:6">
      <c r="A2304">
        <v>11</v>
      </c>
      <c r="B2304" t="s">
        <v>186</v>
      </c>
      <c r="C2304" s="1">
        <v>1</v>
      </c>
      <c r="D2304" s="1" t="s">
        <v>193</v>
      </c>
      <c r="E2304" s="1">
        <v>12</v>
      </c>
      <c r="F2304" s="1" t="s">
        <v>193</v>
      </c>
    </row>
    <row r="2305" spans="1:6">
      <c r="A2305">
        <v>11</v>
      </c>
      <c r="B2305" t="s">
        <v>186</v>
      </c>
      <c r="C2305" s="1">
        <v>1</v>
      </c>
      <c r="D2305" s="1">
        <v>41</v>
      </c>
      <c r="E2305" s="1">
        <v>20</v>
      </c>
      <c r="F2305" s="1">
        <v>41</v>
      </c>
    </row>
    <row r="2306" spans="1:6">
      <c r="A2306">
        <v>11</v>
      </c>
      <c r="B2306" t="s">
        <v>186</v>
      </c>
      <c r="C2306" s="1">
        <v>1</v>
      </c>
      <c r="D2306" s="1" t="s">
        <v>194</v>
      </c>
      <c r="E2306" s="1">
        <v>22</v>
      </c>
      <c r="F2306" s="1" t="s">
        <v>194</v>
      </c>
    </row>
    <row r="2307" spans="1:6">
      <c r="A2307">
        <v>11</v>
      </c>
      <c r="B2307" t="s">
        <v>186</v>
      </c>
      <c r="C2307" s="1">
        <v>1</v>
      </c>
      <c r="D2307" s="1">
        <v>42</v>
      </c>
      <c r="E2307" s="1">
        <v>30</v>
      </c>
      <c r="F2307" s="1">
        <v>42</v>
      </c>
    </row>
    <row r="2308" spans="1:6">
      <c r="A2308">
        <v>11</v>
      </c>
      <c r="B2308" t="s">
        <v>186</v>
      </c>
      <c r="C2308" s="1">
        <v>1</v>
      </c>
      <c r="D2308" s="1" t="s">
        <v>195</v>
      </c>
      <c r="E2308" s="1">
        <v>32</v>
      </c>
      <c r="F2308" s="1" t="s">
        <v>195</v>
      </c>
    </row>
    <row r="2309" spans="1:6">
      <c r="A2309">
        <v>11</v>
      </c>
      <c r="B2309" t="s">
        <v>186</v>
      </c>
      <c r="C2309" s="1">
        <v>1</v>
      </c>
      <c r="D2309" s="1">
        <v>43</v>
      </c>
      <c r="E2309" s="1">
        <v>40</v>
      </c>
      <c r="F2309" s="1">
        <v>43</v>
      </c>
    </row>
    <row r="2310" spans="1:6">
      <c r="A2310">
        <v>11</v>
      </c>
      <c r="B2310" t="s">
        <v>186</v>
      </c>
      <c r="C2310" s="1">
        <v>1</v>
      </c>
      <c r="D2310" s="1" t="s">
        <v>196</v>
      </c>
      <c r="E2310" s="1">
        <v>42</v>
      </c>
      <c r="F2310" s="1" t="s">
        <v>196</v>
      </c>
    </row>
    <row r="2311" spans="1:6">
      <c r="A2311">
        <v>11</v>
      </c>
      <c r="B2311" t="s">
        <v>186</v>
      </c>
      <c r="C2311" s="1">
        <v>1</v>
      </c>
      <c r="D2311" s="1">
        <v>44</v>
      </c>
      <c r="E2311" s="1">
        <v>50</v>
      </c>
      <c r="F2311" s="1">
        <v>44</v>
      </c>
    </row>
    <row r="2312" spans="1:6">
      <c r="A2312">
        <v>11</v>
      </c>
      <c r="B2312" t="s">
        <v>186</v>
      </c>
      <c r="C2312" s="1">
        <v>1</v>
      </c>
      <c r="D2312" s="1" t="s">
        <v>197</v>
      </c>
      <c r="E2312" s="1">
        <v>52</v>
      </c>
      <c r="F2312" s="1" t="s">
        <v>197</v>
      </c>
    </row>
    <row r="2313" spans="1:6">
      <c r="A2313">
        <v>11</v>
      </c>
      <c r="B2313" t="s">
        <v>186</v>
      </c>
      <c r="C2313" s="1">
        <v>1</v>
      </c>
      <c r="D2313" s="1">
        <v>45</v>
      </c>
      <c r="E2313" s="1">
        <v>60</v>
      </c>
      <c r="F2313" s="1">
        <v>45</v>
      </c>
    </row>
    <row r="2314" spans="1:6">
      <c r="A2314">
        <v>11</v>
      </c>
      <c r="B2314" t="s">
        <v>186</v>
      </c>
      <c r="C2314" s="1">
        <v>1</v>
      </c>
      <c r="D2314" s="1" t="s">
        <v>198</v>
      </c>
      <c r="E2314" s="1">
        <v>62</v>
      </c>
      <c r="F2314" s="1" t="s">
        <v>198</v>
      </c>
    </row>
    <row r="2315" spans="1:6">
      <c r="A2315">
        <v>11</v>
      </c>
      <c r="B2315" t="s">
        <v>186</v>
      </c>
      <c r="C2315" s="1">
        <v>1</v>
      </c>
      <c r="D2315" s="1" t="s">
        <v>199</v>
      </c>
      <c r="E2315" s="1">
        <v>72</v>
      </c>
      <c r="F2315" s="1" t="s">
        <v>199</v>
      </c>
    </row>
    <row r="2316" spans="1:6">
      <c r="A2316">
        <v>11</v>
      </c>
      <c r="B2316" t="s">
        <v>186</v>
      </c>
      <c r="C2316" s="1">
        <v>1</v>
      </c>
      <c r="D2316" s="1">
        <v>39</v>
      </c>
      <c r="F2316" s="1">
        <v>39</v>
      </c>
    </row>
    <row r="2317" spans="1:6">
      <c r="A2317">
        <v>11</v>
      </c>
      <c r="B2317" t="s">
        <v>186</v>
      </c>
      <c r="E2317" s="1">
        <v>82</v>
      </c>
    </row>
    <row r="2318" spans="1:6">
      <c r="A2318">
        <v>11</v>
      </c>
      <c r="B2318" t="s">
        <v>186</v>
      </c>
      <c r="E2318" s="1">
        <v>90</v>
      </c>
    </row>
    <row r="2319" spans="1:6">
      <c r="A2319">
        <v>11</v>
      </c>
      <c r="B2319" t="s">
        <v>186</v>
      </c>
      <c r="E2319" s="1">
        <v>92</v>
      </c>
    </row>
    <row r="2320" spans="1:6">
      <c r="A2320">
        <v>11</v>
      </c>
      <c r="B2320" t="s">
        <v>186</v>
      </c>
      <c r="E2320" s="1">
        <v>95</v>
      </c>
    </row>
    <row r="2321" spans="1:6">
      <c r="A2321">
        <v>11</v>
      </c>
      <c r="B2321" t="s">
        <v>186</v>
      </c>
      <c r="E2321" s="1">
        <v>96</v>
      </c>
    </row>
    <row r="2322" spans="1:6">
      <c r="A2322">
        <v>13</v>
      </c>
      <c r="B2322" t="s">
        <v>200</v>
      </c>
      <c r="C2322" s="1">
        <v>1</v>
      </c>
      <c r="D2322" s="1" t="s">
        <v>192</v>
      </c>
      <c r="E2322" s="1">
        <v>2</v>
      </c>
      <c r="F2322" s="1" t="s">
        <v>192</v>
      </c>
    </row>
    <row r="2323" spans="1:6">
      <c r="A2323">
        <v>13</v>
      </c>
      <c r="B2323" t="s">
        <v>200</v>
      </c>
      <c r="C2323" s="1">
        <v>1</v>
      </c>
      <c r="D2323" s="1" t="s">
        <v>193</v>
      </c>
      <c r="E2323" s="1">
        <v>12</v>
      </c>
      <c r="F2323" s="1" t="s">
        <v>193</v>
      </c>
    </row>
    <row r="2324" spans="1:6">
      <c r="A2324">
        <v>13</v>
      </c>
      <c r="B2324" t="s">
        <v>200</v>
      </c>
      <c r="C2324" s="1">
        <v>1</v>
      </c>
      <c r="D2324" s="1">
        <v>41</v>
      </c>
      <c r="E2324" s="1">
        <v>20</v>
      </c>
      <c r="F2324" s="1">
        <v>41</v>
      </c>
    </row>
    <row r="2325" spans="1:6">
      <c r="A2325">
        <v>13</v>
      </c>
      <c r="B2325" t="s">
        <v>200</v>
      </c>
      <c r="C2325" s="1">
        <v>1</v>
      </c>
      <c r="D2325" s="1" t="s">
        <v>194</v>
      </c>
      <c r="E2325" s="1">
        <v>22</v>
      </c>
      <c r="F2325" s="1" t="s">
        <v>194</v>
      </c>
    </row>
    <row r="2326" spans="1:6">
      <c r="A2326">
        <v>13</v>
      </c>
      <c r="B2326" t="s">
        <v>200</v>
      </c>
      <c r="C2326" s="1">
        <v>1</v>
      </c>
      <c r="D2326" s="1">
        <v>42</v>
      </c>
      <c r="E2326" s="1">
        <v>30</v>
      </c>
      <c r="F2326" s="1">
        <v>42</v>
      </c>
    </row>
    <row r="2327" spans="1:6">
      <c r="A2327">
        <v>13</v>
      </c>
      <c r="B2327" t="s">
        <v>200</v>
      </c>
      <c r="C2327" s="1">
        <v>1</v>
      </c>
      <c r="D2327" s="1">
        <v>43</v>
      </c>
      <c r="E2327" s="1">
        <v>40</v>
      </c>
      <c r="F2327" s="1">
        <v>43</v>
      </c>
    </row>
    <row r="2328" spans="1:6">
      <c r="A2328">
        <v>13</v>
      </c>
      <c r="B2328" t="s">
        <v>200</v>
      </c>
      <c r="C2328" s="1">
        <v>1</v>
      </c>
      <c r="D2328" s="1" t="s">
        <v>196</v>
      </c>
      <c r="E2328" s="1">
        <v>42</v>
      </c>
      <c r="F2328" s="1" t="s">
        <v>196</v>
      </c>
    </row>
    <row r="2329" spans="1:6">
      <c r="A2329">
        <v>13</v>
      </c>
      <c r="B2329" t="s">
        <v>200</v>
      </c>
      <c r="C2329" s="1">
        <v>1</v>
      </c>
      <c r="D2329" s="1">
        <v>44</v>
      </c>
      <c r="E2329" s="1">
        <v>50</v>
      </c>
      <c r="F2329" s="1">
        <v>44</v>
      </c>
    </row>
    <row r="2330" spans="1:6">
      <c r="A2330">
        <v>13</v>
      </c>
      <c r="B2330" t="s">
        <v>200</v>
      </c>
      <c r="C2330" s="1">
        <v>1</v>
      </c>
      <c r="D2330" s="1" t="s">
        <v>197</v>
      </c>
      <c r="E2330" s="1">
        <v>52</v>
      </c>
      <c r="F2330" s="1" t="s">
        <v>197</v>
      </c>
    </row>
    <row r="2331" spans="1:6">
      <c r="A2331">
        <v>13</v>
      </c>
      <c r="B2331" t="s">
        <v>200</v>
      </c>
      <c r="C2331" s="1">
        <v>1</v>
      </c>
      <c r="D2331" s="1">
        <v>45</v>
      </c>
      <c r="E2331" s="1">
        <v>60</v>
      </c>
      <c r="F2331" s="1">
        <v>45</v>
      </c>
    </row>
    <row r="2332" spans="1:6">
      <c r="A2332">
        <v>13</v>
      </c>
      <c r="B2332" t="s">
        <v>200</v>
      </c>
      <c r="C2332" s="1">
        <v>1</v>
      </c>
      <c r="D2332" s="1" t="s">
        <v>198</v>
      </c>
      <c r="E2332" s="1">
        <v>62</v>
      </c>
      <c r="F2332" s="1" t="s">
        <v>198</v>
      </c>
    </row>
    <row r="2333" spans="1:6">
      <c r="A2333">
        <v>13</v>
      </c>
      <c r="B2333" t="s">
        <v>200</v>
      </c>
      <c r="C2333" s="1">
        <v>1</v>
      </c>
      <c r="D2333" s="1" t="s">
        <v>199</v>
      </c>
      <c r="E2333" s="1">
        <v>72</v>
      </c>
      <c r="F2333" s="1" t="s">
        <v>199</v>
      </c>
    </row>
    <row r="2334" spans="1:6">
      <c r="A2334">
        <v>13</v>
      </c>
      <c r="B2334" t="s">
        <v>200</v>
      </c>
      <c r="C2334" s="1">
        <v>1</v>
      </c>
      <c r="D2334" s="1">
        <v>39</v>
      </c>
      <c r="F2334" s="1">
        <v>39</v>
      </c>
    </row>
    <row r="2335" spans="1:6">
      <c r="A2335">
        <v>15</v>
      </c>
      <c r="B2335" t="s">
        <v>201</v>
      </c>
      <c r="E2335" s="1">
        <v>70</v>
      </c>
    </row>
    <row r="2336" spans="1:6">
      <c r="A2336">
        <v>21</v>
      </c>
      <c r="B2336" t="s">
        <v>205</v>
      </c>
      <c r="C2336" s="1">
        <v>1</v>
      </c>
      <c r="D2336" s="1" t="s">
        <v>541</v>
      </c>
      <c r="E2336" s="1">
        <v>2</v>
      </c>
      <c r="F2336" s="1" t="s">
        <v>541</v>
      </c>
    </row>
    <row r="2337" spans="1:6">
      <c r="A2337">
        <v>21</v>
      </c>
      <c r="B2337" t="s">
        <v>205</v>
      </c>
      <c r="C2337" s="1">
        <v>1</v>
      </c>
      <c r="D2337" s="1" t="s">
        <v>394</v>
      </c>
      <c r="E2337" s="1">
        <v>12</v>
      </c>
      <c r="F2337" s="1" t="s">
        <v>394</v>
      </c>
    </row>
    <row r="2338" spans="1:6">
      <c r="A2338">
        <v>21</v>
      </c>
      <c r="B2338" t="s">
        <v>205</v>
      </c>
      <c r="C2338" s="1">
        <v>1</v>
      </c>
      <c r="D2338" s="1" t="s">
        <v>328</v>
      </c>
      <c r="E2338" s="1">
        <v>20</v>
      </c>
      <c r="F2338" s="1" t="s">
        <v>328</v>
      </c>
    </row>
    <row r="2339" spans="1:6">
      <c r="A2339">
        <v>21</v>
      </c>
      <c r="B2339" t="s">
        <v>205</v>
      </c>
      <c r="C2339" s="1">
        <v>1</v>
      </c>
      <c r="D2339" s="1" t="s">
        <v>329</v>
      </c>
      <c r="E2339" s="1">
        <v>30</v>
      </c>
      <c r="F2339" s="1" t="s">
        <v>329</v>
      </c>
    </row>
    <row r="2340" spans="1:6">
      <c r="A2340">
        <v>21</v>
      </c>
      <c r="B2340" t="s">
        <v>205</v>
      </c>
      <c r="C2340" s="1">
        <v>1</v>
      </c>
      <c r="D2340" s="1" t="s">
        <v>323</v>
      </c>
      <c r="E2340" s="1">
        <v>32</v>
      </c>
      <c r="F2340" s="1" t="s">
        <v>323</v>
      </c>
    </row>
    <row r="2341" spans="1:6">
      <c r="A2341">
        <v>21</v>
      </c>
      <c r="B2341" t="s">
        <v>205</v>
      </c>
      <c r="C2341" s="1">
        <v>1</v>
      </c>
      <c r="D2341" s="1" t="s">
        <v>287</v>
      </c>
      <c r="E2341" s="1">
        <v>52</v>
      </c>
      <c r="F2341" s="1" t="s">
        <v>287</v>
      </c>
    </row>
    <row r="2342" spans="1:6">
      <c r="A2342">
        <v>21</v>
      </c>
      <c r="B2342" t="s">
        <v>205</v>
      </c>
      <c r="C2342" s="1">
        <v>1</v>
      </c>
      <c r="D2342" s="1" t="s">
        <v>288</v>
      </c>
      <c r="E2342" s="1">
        <v>62</v>
      </c>
      <c r="F2342" s="1" t="s">
        <v>288</v>
      </c>
    </row>
    <row r="2343" spans="1:6">
      <c r="A2343">
        <v>21</v>
      </c>
      <c r="B2343" t="s">
        <v>205</v>
      </c>
      <c r="C2343" s="1">
        <v>1</v>
      </c>
      <c r="D2343" s="1" t="s">
        <v>284</v>
      </c>
      <c r="F2343" s="1" t="s">
        <v>284</v>
      </c>
    </row>
    <row r="2344" spans="1:6">
      <c r="A2344">
        <v>21</v>
      </c>
      <c r="B2344" t="s">
        <v>205</v>
      </c>
      <c r="E2344" s="1">
        <v>92</v>
      </c>
    </row>
    <row r="2345" spans="1:6">
      <c r="A2345">
        <v>41</v>
      </c>
      <c r="B2345" t="s">
        <v>219</v>
      </c>
      <c r="E2345" s="1">
        <v>80</v>
      </c>
    </row>
    <row r="2346" spans="1:6">
      <c r="A2346">
        <v>45</v>
      </c>
      <c r="B2346" t="s">
        <v>223</v>
      </c>
      <c r="C2346" s="1">
        <v>1</v>
      </c>
      <c r="D2346" s="1" t="s">
        <v>324</v>
      </c>
      <c r="E2346" s="1">
        <v>14</v>
      </c>
      <c r="F2346" s="1" t="s">
        <v>325</v>
      </c>
    </row>
    <row r="2347" spans="1:6">
      <c r="A2347">
        <v>57</v>
      </c>
      <c r="B2347" t="s">
        <v>183</v>
      </c>
      <c r="C2347" s="1">
        <v>3</v>
      </c>
      <c r="D2347" s="1" t="s">
        <v>492</v>
      </c>
      <c r="E2347" s="1">
        <v>50</v>
      </c>
      <c r="F2347" s="1" t="s">
        <v>492</v>
      </c>
    </row>
    <row r="2348" spans="1:6">
      <c r="A2348">
        <v>57</v>
      </c>
      <c r="B2348" t="s">
        <v>183</v>
      </c>
      <c r="C2348" s="1">
        <v>3</v>
      </c>
      <c r="D2348" s="1" t="s">
        <v>338</v>
      </c>
      <c r="E2348" s="1">
        <v>60</v>
      </c>
      <c r="F2348" s="1" t="s">
        <v>338</v>
      </c>
    </row>
    <row r="2349" spans="1:6">
      <c r="A2349">
        <v>57</v>
      </c>
      <c r="B2349" t="s">
        <v>183</v>
      </c>
      <c r="E2349" s="1">
        <v>50</v>
      </c>
    </row>
    <row r="2350" spans="1:6">
      <c r="A2350">
        <v>57</v>
      </c>
      <c r="B2350" t="s">
        <v>183</v>
      </c>
      <c r="E2350" s="1">
        <v>60</v>
      </c>
    </row>
    <row r="2351" spans="1:6">
      <c r="A2351">
        <v>58</v>
      </c>
      <c r="B2351" t="s">
        <v>226</v>
      </c>
      <c r="C2351" s="1">
        <v>2</v>
      </c>
      <c r="D2351" s="1" t="s">
        <v>518</v>
      </c>
      <c r="E2351" s="1">
        <v>40</v>
      </c>
      <c r="F2351" s="1" t="s">
        <v>518</v>
      </c>
    </row>
    <row r="2352" spans="1:6">
      <c r="A2352">
        <v>74</v>
      </c>
      <c r="B2352" t="s">
        <v>235</v>
      </c>
      <c r="C2352" s="1">
        <v>3</v>
      </c>
      <c r="D2352" s="1" t="s">
        <v>320</v>
      </c>
      <c r="E2352" s="1">
        <v>50</v>
      </c>
      <c r="F2352" s="1" t="s">
        <v>320</v>
      </c>
    </row>
    <row r="2353" spans="1:6">
      <c r="A2353">
        <v>74</v>
      </c>
      <c r="B2353" t="s">
        <v>235</v>
      </c>
      <c r="C2353" s="1">
        <v>3</v>
      </c>
      <c r="D2353" s="1" t="s">
        <v>321</v>
      </c>
      <c r="E2353" s="1">
        <v>60</v>
      </c>
      <c r="F2353" s="1" t="s">
        <v>321</v>
      </c>
    </row>
    <row r="2354" spans="1:6">
      <c r="A2354">
        <v>1</v>
      </c>
      <c r="B2354" t="s">
        <v>137</v>
      </c>
      <c r="C2354" s="1">
        <v>1</v>
      </c>
      <c r="D2354" s="1">
        <v>15</v>
      </c>
      <c r="E2354" s="1">
        <v>80</v>
      </c>
      <c r="F2354" s="1">
        <v>15</v>
      </c>
    </row>
    <row r="2355" spans="1:6">
      <c r="A2355">
        <v>1</v>
      </c>
      <c r="B2355" t="s">
        <v>137</v>
      </c>
      <c r="C2355" s="1">
        <v>1</v>
      </c>
      <c r="D2355" s="1" t="s">
        <v>150</v>
      </c>
      <c r="E2355" s="1">
        <v>82</v>
      </c>
      <c r="F2355" s="1" t="s">
        <v>150</v>
      </c>
    </row>
    <row r="2356" spans="1:6">
      <c r="A2356">
        <v>1</v>
      </c>
      <c r="B2356" t="s">
        <v>137</v>
      </c>
      <c r="C2356" s="1">
        <v>1</v>
      </c>
      <c r="D2356" s="1">
        <v>16</v>
      </c>
      <c r="E2356" s="1">
        <v>90</v>
      </c>
      <c r="F2356" s="1">
        <v>16</v>
      </c>
    </row>
    <row r="2357" spans="1:6">
      <c r="A2357">
        <v>1</v>
      </c>
      <c r="B2357" t="s">
        <v>137</v>
      </c>
      <c r="C2357" s="1">
        <v>1</v>
      </c>
      <c r="D2357" s="1" t="s">
        <v>153</v>
      </c>
      <c r="E2357" s="1">
        <v>92</v>
      </c>
      <c r="F2357" s="1" t="s">
        <v>153</v>
      </c>
    </row>
    <row r="2358" spans="1:6">
      <c r="A2358">
        <v>1</v>
      </c>
      <c r="B2358" t="s">
        <v>137</v>
      </c>
      <c r="C2358" s="1">
        <v>1</v>
      </c>
      <c r="D2358" s="1">
        <v>17</v>
      </c>
      <c r="E2358" s="1">
        <v>94</v>
      </c>
      <c r="F2358" s="1">
        <v>17</v>
      </c>
    </row>
    <row r="2359" spans="1:6">
      <c r="A2359">
        <v>1</v>
      </c>
      <c r="B2359" t="s">
        <v>137</v>
      </c>
      <c r="C2359" s="1">
        <v>1</v>
      </c>
      <c r="D2359" s="1" t="s">
        <v>156</v>
      </c>
      <c r="E2359" s="1">
        <v>96</v>
      </c>
      <c r="F2359" s="1" t="s">
        <v>156</v>
      </c>
    </row>
    <row r="2360" spans="1:6">
      <c r="A2360">
        <v>1</v>
      </c>
      <c r="B2360" t="s">
        <v>137</v>
      </c>
      <c r="C2360" s="1">
        <v>2</v>
      </c>
      <c r="D2360" s="1" t="s">
        <v>159</v>
      </c>
      <c r="E2360" s="1">
        <v>2</v>
      </c>
      <c r="F2360" s="1" t="s">
        <v>159</v>
      </c>
    </row>
    <row r="2361" spans="1:6">
      <c r="A2361">
        <v>1</v>
      </c>
      <c r="B2361" t="s">
        <v>137</v>
      </c>
      <c r="C2361" s="1">
        <v>2</v>
      </c>
      <c r="D2361" s="1">
        <v>19</v>
      </c>
      <c r="E2361" s="1">
        <v>10</v>
      </c>
      <c r="F2361" s="1">
        <v>19</v>
      </c>
    </row>
    <row r="2362" spans="1:6">
      <c r="A2362">
        <v>1</v>
      </c>
      <c r="B2362" t="s">
        <v>137</v>
      </c>
      <c r="C2362" s="1">
        <v>2</v>
      </c>
      <c r="D2362" s="1" t="s">
        <v>162</v>
      </c>
      <c r="E2362" s="1">
        <v>12</v>
      </c>
      <c r="F2362" s="1" t="s">
        <v>162</v>
      </c>
    </row>
    <row r="2363" spans="1:6">
      <c r="A2363">
        <v>1</v>
      </c>
      <c r="B2363" t="s">
        <v>137</v>
      </c>
      <c r="C2363" s="1">
        <v>2</v>
      </c>
      <c r="D2363" s="1">
        <v>20</v>
      </c>
      <c r="E2363" s="1">
        <v>20</v>
      </c>
      <c r="F2363" s="1">
        <v>20</v>
      </c>
    </row>
    <row r="2364" spans="1:6">
      <c r="A2364">
        <v>1</v>
      </c>
      <c r="B2364" t="s">
        <v>137</v>
      </c>
      <c r="C2364" s="1">
        <v>2</v>
      </c>
      <c r="D2364" s="1" t="s">
        <v>165</v>
      </c>
      <c r="E2364" s="1">
        <v>22</v>
      </c>
      <c r="F2364" s="1" t="s">
        <v>165</v>
      </c>
    </row>
    <row r="2365" spans="1:6">
      <c r="A2365">
        <v>1</v>
      </c>
      <c r="B2365" t="s">
        <v>137</v>
      </c>
      <c r="C2365" s="1">
        <v>2</v>
      </c>
      <c r="D2365" s="1">
        <v>21</v>
      </c>
      <c r="E2365" s="1">
        <v>30</v>
      </c>
      <c r="F2365" s="1">
        <v>21</v>
      </c>
    </row>
    <row r="2366" spans="1:6">
      <c r="A2366">
        <v>1</v>
      </c>
      <c r="B2366" t="s">
        <v>137</v>
      </c>
      <c r="C2366" s="1">
        <v>2</v>
      </c>
      <c r="D2366" s="1" t="s">
        <v>168</v>
      </c>
      <c r="E2366" s="1">
        <v>32</v>
      </c>
      <c r="F2366" s="1" t="s">
        <v>168</v>
      </c>
    </row>
    <row r="2367" spans="1:6">
      <c r="A2367">
        <v>1</v>
      </c>
      <c r="B2367" t="s">
        <v>137</v>
      </c>
      <c r="C2367" s="1">
        <v>2</v>
      </c>
      <c r="D2367" s="1">
        <v>22</v>
      </c>
      <c r="E2367" s="1">
        <v>40</v>
      </c>
      <c r="F2367" s="1">
        <v>22</v>
      </c>
    </row>
    <row r="2368" spans="1:6">
      <c r="A2368">
        <v>1</v>
      </c>
      <c r="B2368" t="s">
        <v>137</v>
      </c>
      <c r="C2368" s="1">
        <v>2</v>
      </c>
      <c r="D2368" s="1" t="s">
        <v>171</v>
      </c>
      <c r="E2368" s="1">
        <v>42</v>
      </c>
      <c r="F2368" s="1" t="s">
        <v>171</v>
      </c>
    </row>
    <row r="2369" spans="1:6">
      <c r="A2369">
        <v>1</v>
      </c>
      <c r="B2369" t="s">
        <v>137</v>
      </c>
      <c r="C2369" s="1">
        <v>2</v>
      </c>
      <c r="D2369" s="1">
        <v>23</v>
      </c>
      <c r="E2369" s="1">
        <v>50</v>
      </c>
      <c r="F2369" s="1">
        <v>23</v>
      </c>
    </row>
    <row r="2370" spans="1:6">
      <c r="A2370">
        <v>1</v>
      </c>
      <c r="B2370" t="s">
        <v>137</v>
      </c>
      <c r="C2370" s="1">
        <v>2</v>
      </c>
      <c r="D2370" s="1">
        <v>24</v>
      </c>
      <c r="E2370" s="1">
        <v>60</v>
      </c>
      <c r="F2370" s="1">
        <v>24</v>
      </c>
    </row>
    <row r="2371" spans="1:6">
      <c r="A2371">
        <v>1</v>
      </c>
      <c r="B2371" t="s">
        <v>137</v>
      </c>
      <c r="C2371" s="1">
        <v>2</v>
      </c>
      <c r="D2371" s="1">
        <v>18</v>
      </c>
      <c r="F2371" s="1">
        <v>18</v>
      </c>
    </row>
    <row r="2372" spans="1:6">
      <c r="A2372">
        <v>5</v>
      </c>
      <c r="B2372" t="s">
        <v>183</v>
      </c>
      <c r="E2372" s="1">
        <v>60</v>
      </c>
    </row>
    <row r="2373" spans="1:6">
      <c r="A2373">
        <v>11</v>
      </c>
      <c r="B2373" t="s">
        <v>186</v>
      </c>
      <c r="C2373" s="1">
        <v>1</v>
      </c>
      <c r="D2373" s="1" t="s">
        <v>193</v>
      </c>
      <c r="E2373" s="1">
        <v>12</v>
      </c>
      <c r="F2373" s="1" t="s">
        <v>193</v>
      </c>
    </row>
    <row r="2374" spans="1:6">
      <c r="A2374">
        <v>11</v>
      </c>
      <c r="B2374" t="s">
        <v>186</v>
      </c>
      <c r="C2374" s="1">
        <v>1</v>
      </c>
      <c r="D2374" s="1" t="s">
        <v>194</v>
      </c>
      <c r="E2374" s="1">
        <v>22</v>
      </c>
      <c r="F2374" s="1" t="s">
        <v>194</v>
      </c>
    </row>
    <row r="2375" spans="1:6">
      <c r="A2375">
        <v>11</v>
      </c>
      <c r="B2375" t="s">
        <v>186</v>
      </c>
      <c r="C2375" s="1">
        <v>1</v>
      </c>
      <c r="D2375" s="1" t="s">
        <v>199</v>
      </c>
      <c r="E2375" s="1">
        <v>72</v>
      </c>
      <c r="F2375" s="1" t="s">
        <v>199</v>
      </c>
    </row>
    <row r="2376" spans="1:6">
      <c r="A2376">
        <v>11</v>
      </c>
      <c r="B2376" t="s">
        <v>186</v>
      </c>
      <c r="E2376" s="1">
        <v>96</v>
      </c>
    </row>
    <row r="2377" spans="1:6">
      <c r="A2377">
        <v>13</v>
      </c>
      <c r="B2377" t="s">
        <v>200</v>
      </c>
      <c r="C2377" s="1">
        <v>1</v>
      </c>
      <c r="D2377" s="1" t="s">
        <v>192</v>
      </c>
      <c r="E2377" s="1">
        <v>2</v>
      </c>
      <c r="F2377" s="1" t="s">
        <v>192</v>
      </c>
    </row>
    <row r="2378" spans="1:6">
      <c r="A2378">
        <v>13</v>
      </c>
      <c r="B2378" t="s">
        <v>200</v>
      </c>
      <c r="C2378" s="1">
        <v>1</v>
      </c>
      <c r="D2378" s="1" t="s">
        <v>196</v>
      </c>
      <c r="E2378" s="1">
        <v>42</v>
      </c>
      <c r="F2378" s="1" t="s">
        <v>196</v>
      </c>
    </row>
    <row r="2379" spans="1:6">
      <c r="A2379">
        <v>13</v>
      </c>
      <c r="B2379" t="s">
        <v>200</v>
      </c>
      <c r="C2379" s="1">
        <v>1</v>
      </c>
      <c r="D2379" s="1" t="s">
        <v>199</v>
      </c>
      <c r="E2379" s="1">
        <v>72</v>
      </c>
      <c r="F2379" s="1" t="s">
        <v>199</v>
      </c>
    </row>
    <row r="2380" spans="1:6">
      <c r="A2380">
        <v>74</v>
      </c>
      <c r="B2380" t="s">
        <v>235</v>
      </c>
      <c r="C2380" s="1">
        <v>3</v>
      </c>
      <c r="D2380" s="1" t="s">
        <v>321</v>
      </c>
      <c r="E2380" s="1">
        <v>60</v>
      </c>
      <c r="F2380" s="1" t="s">
        <v>321</v>
      </c>
    </row>
    <row r="2381" spans="1:6">
      <c r="A2381">
        <v>1</v>
      </c>
      <c r="B2381" t="s">
        <v>137</v>
      </c>
      <c r="C2381" s="1">
        <v>1</v>
      </c>
      <c r="D2381" s="1">
        <v>15</v>
      </c>
      <c r="E2381" s="1">
        <v>80</v>
      </c>
      <c r="F2381" s="1">
        <v>15</v>
      </c>
    </row>
    <row r="2382" spans="1:6">
      <c r="A2382">
        <v>1</v>
      </c>
      <c r="B2382" t="s">
        <v>137</v>
      </c>
      <c r="C2382" s="1">
        <v>1</v>
      </c>
      <c r="D2382" s="1" t="s">
        <v>156</v>
      </c>
      <c r="E2382" s="1">
        <v>96</v>
      </c>
      <c r="F2382" s="1" t="s">
        <v>156</v>
      </c>
    </row>
    <row r="2383" spans="1:6">
      <c r="A2383">
        <v>1</v>
      </c>
      <c r="B2383" t="s">
        <v>137</v>
      </c>
      <c r="C2383" s="1">
        <v>2</v>
      </c>
      <c r="D2383" s="1">
        <v>19</v>
      </c>
      <c r="E2383" s="1">
        <v>10</v>
      </c>
      <c r="F2383" s="1">
        <v>19</v>
      </c>
    </row>
    <row r="2384" spans="1:6">
      <c r="A2384">
        <v>1</v>
      </c>
      <c r="B2384" t="s">
        <v>137</v>
      </c>
      <c r="C2384" s="1">
        <v>2</v>
      </c>
      <c r="D2384" s="1" t="s">
        <v>162</v>
      </c>
      <c r="E2384" s="1">
        <v>12</v>
      </c>
      <c r="F2384" s="1" t="s">
        <v>162</v>
      </c>
    </row>
    <row r="2385" spans="1:6">
      <c r="A2385">
        <v>1</v>
      </c>
      <c r="B2385" t="s">
        <v>137</v>
      </c>
      <c r="C2385" s="1">
        <v>2</v>
      </c>
      <c r="D2385" s="1" t="s">
        <v>165</v>
      </c>
      <c r="E2385" s="1">
        <v>22</v>
      </c>
      <c r="F2385" s="1" t="s">
        <v>165</v>
      </c>
    </row>
    <row r="2386" spans="1:6">
      <c r="A2386">
        <v>1</v>
      </c>
      <c r="B2386" t="s">
        <v>137</v>
      </c>
      <c r="C2386" s="1">
        <v>2</v>
      </c>
      <c r="D2386" s="1">
        <v>21</v>
      </c>
      <c r="E2386" s="1">
        <v>30</v>
      </c>
      <c r="F2386" s="1">
        <v>21</v>
      </c>
    </row>
    <row r="2387" spans="1:6">
      <c r="A2387">
        <v>1</v>
      </c>
      <c r="B2387" t="s">
        <v>137</v>
      </c>
      <c r="C2387" s="1">
        <v>2</v>
      </c>
      <c r="D2387" s="1" t="s">
        <v>168</v>
      </c>
      <c r="E2387" s="1">
        <v>32</v>
      </c>
      <c r="F2387" s="1" t="s">
        <v>168</v>
      </c>
    </row>
    <row r="2388" spans="1:6">
      <c r="A2388">
        <v>1</v>
      </c>
      <c r="B2388" t="s">
        <v>137</v>
      </c>
      <c r="C2388" s="1">
        <v>2</v>
      </c>
      <c r="D2388" s="1">
        <v>22</v>
      </c>
      <c r="E2388" s="1">
        <v>40</v>
      </c>
      <c r="F2388" s="1">
        <v>22</v>
      </c>
    </row>
    <row r="2389" spans="1:6">
      <c r="A2389">
        <v>1</v>
      </c>
      <c r="B2389" t="s">
        <v>137</v>
      </c>
      <c r="C2389" s="1">
        <v>2</v>
      </c>
      <c r="D2389" s="1">
        <v>23</v>
      </c>
      <c r="E2389" s="1">
        <v>50</v>
      </c>
      <c r="F2389" s="1">
        <v>23</v>
      </c>
    </row>
    <row r="2390" spans="1:6">
      <c r="A2390">
        <v>6</v>
      </c>
      <c r="B2390" t="s">
        <v>184</v>
      </c>
      <c r="E2390" s="1">
        <v>63</v>
      </c>
    </row>
    <row r="2391" spans="1:6">
      <c r="A2391">
        <v>11</v>
      </c>
      <c r="B2391" t="s">
        <v>186</v>
      </c>
      <c r="C2391" s="1">
        <v>1</v>
      </c>
      <c r="D2391" s="1" t="s">
        <v>194</v>
      </c>
      <c r="E2391" s="1">
        <v>22</v>
      </c>
      <c r="F2391" s="1" t="s">
        <v>194</v>
      </c>
    </row>
    <row r="2392" spans="1:6">
      <c r="A2392">
        <v>11</v>
      </c>
      <c r="B2392" t="s">
        <v>186</v>
      </c>
      <c r="C2392" s="1">
        <v>1</v>
      </c>
      <c r="D2392" s="1" t="s">
        <v>196</v>
      </c>
      <c r="E2392" s="1">
        <v>42</v>
      </c>
      <c r="F2392" s="1" t="s">
        <v>196</v>
      </c>
    </row>
    <row r="2393" spans="1:6">
      <c r="A2393">
        <v>11</v>
      </c>
      <c r="B2393" t="s">
        <v>186</v>
      </c>
      <c r="C2393" s="1">
        <v>1</v>
      </c>
      <c r="D2393" s="1">
        <v>44</v>
      </c>
      <c r="E2393" s="1">
        <v>50</v>
      </c>
      <c r="F2393" s="1">
        <v>44</v>
      </c>
    </row>
    <row r="2394" spans="1:6">
      <c r="A2394">
        <v>11</v>
      </c>
      <c r="B2394" t="s">
        <v>186</v>
      </c>
      <c r="C2394" s="1">
        <v>1</v>
      </c>
      <c r="D2394" s="1" t="s">
        <v>198</v>
      </c>
      <c r="E2394" s="1">
        <v>62</v>
      </c>
      <c r="F2394" s="1" t="s">
        <v>198</v>
      </c>
    </row>
    <row r="2395" spans="1:6">
      <c r="A2395">
        <v>12</v>
      </c>
      <c r="B2395" t="s">
        <v>107</v>
      </c>
      <c r="C2395" s="1">
        <v>1</v>
      </c>
      <c r="D2395" s="1">
        <v>43</v>
      </c>
      <c r="E2395" s="1">
        <v>40</v>
      </c>
      <c r="F2395" s="1">
        <v>43</v>
      </c>
    </row>
    <row r="2396" spans="1:6">
      <c r="A2396">
        <v>12</v>
      </c>
      <c r="B2396" t="s">
        <v>107</v>
      </c>
      <c r="C2396" s="1">
        <v>1</v>
      </c>
      <c r="D2396" s="1" t="s">
        <v>196</v>
      </c>
      <c r="E2396" s="1">
        <v>42</v>
      </c>
      <c r="F2396" s="1" t="s">
        <v>196</v>
      </c>
    </row>
    <row r="2397" spans="1:6">
      <c r="A2397">
        <v>12</v>
      </c>
      <c r="B2397" t="s">
        <v>107</v>
      </c>
      <c r="C2397" s="1">
        <v>1</v>
      </c>
      <c r="D2397" s="1">
        <v>44</v>
      </c>
      <c r="E2397" s="1">
        <v>50</v>
      </c>
      <c r="F2397" s="1">
        <v>44</v>
      </c>
    </row>
    <row r="2398" spans="1:6">
      <c r="A2398">
        <v>12</v>
      </c>
      <c r="B2398" t="s">
        <v>107</v>
      </c>
      <c r="C2398" s="1">
        <v>1</v>
      </c>
      <c r="D2398" s="1" t="s">
        <v>197</v>
      </c>
      <c r="E2398" s="1">
        <v>52</v>
      </c>
      <c r="F2398" s="1" t="s">
        <v>197</v>
      </c>
    </row>
    <row r="2399" spans="1:6">
      <c r="A2399">
        <v>12</v>
      </c>
      <c r="B2399" t="s">
        <v>107</v>
      </c>
      <c r="C2399" s="1">
        <v>1</v>
      </c>
      <c r="D2399" s="1" t="s">
        <v>198</v>
      </c>
      <c r="E2399" s="1">
        <v>62</v>
      </c>
      <c r="F2399" s="1" t="s">
        <v>198</v>
      </c>
    </row>
    <row r="2400" spans="1:6">
      <c r="A2400">
        <v>13</v>
      </c>
      <c r="B2400" t="s">
        <v>200</v>
      </c>
      <c r="C2400" s="1">
        <v>1</v>
      </c>
      <c r="D2400" s="1" t="s">
        <v>193</v>
      </c>
      <c r="E2400" s="1">
        <v>12</v>
      </c>
      <c r="F2400" s="1" t="s">
        <v>193</v>
      </c>
    </row>
    <row r="2401" spans="1:6">
      <c r="A2401">
        <v>13</v>
      </c>
      <c r="B2401" t="s">
        <v>200</v>
      </c>
      <c r="C2401" s="1">
        <v>1</v>
      </c>
      <c r="D2401" s="1" t="s">
        <v>194</v>
      </c>
      <c r="E2401" s="1">
        <v>22</v>
      </c>
      <c r="F2401" s="1" t="s">
        <v>194</v>
      </c>
    </row>
    <row r="2402" spans="1:6">
      <c r="A2402">
        <v>13</v>
      </c>
      <c r="B2402" t="s">
        <v>200</v>
      </c>
      <c r="C2402" s="1">
        <v>1</v>
      </c>
      <c r="D2402" s="1" t="s">
        <v>195</v>
      </c>
      <c r="E2402" s="1">
        <v>32</v>
      </c>
      <c r="F2402" s="1" t="s">
        <v>195</v>
      </c>
    </row>
    <row r="2403" spans="1:6">
      <c r="A2403">
        <v>13</v>
      </c>
      <c r="B2403" t="s">
        <v>200</v>
      </c>
      <c r="C2403" s="1">
        <v>1</v>
      </c>
      <c r="D2403" s="1">
        <v>43</v>
      </c>
      <c r="E2403" s="1">
        <v>40</v>
      </c>
      <c r="F2403" s="1">
        <v>43</v>
      </c>
    </row>
    <row r="2404" spans="1:6">
      <c r="A2404">
        <v>13</v>
      </c>
      <c r="B2404" t="s">
        <v>200</v>
      </c>
      <c r="C2404" s="1">
        <v>1</v>
      </c>
      <c r="D2404" s="1" t="s">
        <v>196</v>
      </c>
      <c r="E2404" s="1">
        <v>42</v>
      </c>
      <c r="F2404" s="1" t="s">
        <v>196</v>
      </c>
    </row>
    <row r="2405" spans="1:6">
      <c r="A2405">
        <v>13</v>
      </c>
      <c r="B2405" t="s">
        <v>200</v>
      </c>
      <c r="C2405" s="1">
        <v>1</v>
      </c>
      <c r="D2405" s="1">
        <v>44</v>
      </c>
      <c r="E2405" s="1">
        <v>50</v>
      </c>
      <c r="F2405" s="1">
        <v>44</v>
      </c>
    </row>
    <row r="2406" spans="1:6">
      <c r="A2406">
        <v>13</v>
      </c>
      <c r="B2406" t="s">
        <v>200</v>
      </c>
      <c r="C2406" s="1">
        <v>1</v>
      </c>
      <c r="D2406" s="1" t="s">
        <v>197</v>
      </c>
      <c r="E2406" s="1">
        <v>52</v>
      </c>
      <c r="F2406" s="1" t="s">
        <v>197</v>
      </c>
    </row>
    <row r="2407" spans="1:6">
      <c r="A2407">
        <v>13</v>
      </c>
      <c r="B2407" t="s">
        <v>200</v>
      </c>
      <c r="C2407" s="1">
        <v>1</v>
      </c>
      <c r="D2407" s="1">
        <v>45</v>
      </c>
      <c r="E2407" s="1">
        <v>60</v>
      </c>
      <c r="F2407" s="1">
        <v>45</v>
      </c>
    </row>
    <row r="2408" spans="1:6">
      <c r="A2408">
        <v>13</v>
      </c>
      <c r="B2408" t="s">
        <v>200</v>
      </c>
      <c r="C2408" s="1">
        <v>1</v>
      </c>
      <c r="D2408" s="1" t="s">
        <v>198</v>
      </c>
      <c r="E2408" s="1">
        <v>62</v>
      </c>
      <c r="F2408" s="1" t="s">
        <v>198</v>
      </c>
    </row>
    <row r="2409" spans="1:6">
      <c r="A2409">
        <v>21</v>
      </c>
      <c r="B2409" t="s">
        <v>205</v>
      </c>
      <c r="C2409" s="1">
        <v>1</v>
      </c>
      <c r="D2409" s="1" t="s">
        <v>332</v>
      </c>
      <c r="E2409" s="1">
        <v>40</v>
      </c>
      <c r="F2409" s="1" t="s">
        <v>332</v>
      </c>
    </row>
    <row r="2410" spans="1:6">
      <c r="A2410">
        <v>27</v>
      </c>
      <c r="B2410" t="s">
        <v>210</v>
      </c>
      <c r="C2410" s="1">
        <v>1</v>
      </c>
      <c r="D2410" s="1">
        <v>40</v>
      </c>
      <c r="E2410" s="1">
        <v>10</v>
      </c>
      <c r="F2410" s="1">
        <v>40</v>
      </c>
    </row>
    <row r="2411" spans="1:6">
      <c r="A2411">
        <v>27</v>
      </c>
      <c r="B2411" t="s">
        <v>210</v>
      </c>
      <c r="C2411" s="1">
        <v>1</v>
      </c>
      <c r="D2411" s="1" t="s">
        <v>193</v>
      </c>
      <c r="E2411" s="1">
        <v>12</v>
      </c>
      <c r="F2411" s="1" t="s">
        <v>193</v>
      </c>
    </row>
    <row r="2412" spans="1:6">
      <c r="A2412">
        <v>27</v>
      </c>
      <c r="B2412" t="s">
        <v>210</v>
      </c>
      <c r="C2412" s="1">
        <v>1</v>
      </c>
      <c r="D2412" s="1">
        <v>41</v>
      </c>
      <c r="E2412" s="1">
        <v>20</v>
      </c>
      <c r="F2412" s="1">
        <v>41</v>
      </c>
    </row>
    <row r="2413" spans="1:6">
      <c r="A2413">
        <v>27</v>
      </c>
      <c r="B2413" t="s">
        <v>210</v>
      </c>
      <c r="C2413" s="1">
        <v>1</v>
      </c>
      <c r="D2413" s="1" t="s">
        <v>194</v>
      </c>
      <c r="E2413" s="1">
        <v>22</v>
      </c>
      <c r="F2413" s="1" t="s">
        <v>194</v>
      </c>
    </row>
    <row r="2414" spans="1:6">
      <c r="A2414">
        <v>27</v>
      </c>
      <c r="B2414" t="s">
        <v>210</v>
      </c>
      <c r="C2414" s="1">
        <v>1</v>
      </c>
      <c r="D2414" s="1">
        <v>42</v>
      </c>
      <c r="E2414" s="1">
        <v>30</v>
      </c>
      <c r="F2414" s="1">
        <v>42</v>
      </c>
    </row>
    <row r="2415" spans="1:6">
      <c r="A2415">
        <v>27</v>
      </c>
      <c r="B2415" t="s">
        <v>210</v>
      </c>
      <c r="C2415" s="1">
        <v>1</v>
      </c>
      <c r="D2415" s="1" t="s">
        <v>195</v>
      </c>
      <c r="E2415" s="1">
        <v>32</v>
      </c>
      <c r="F2415" s="1" t="s">
        <v>195</v>
      </c>
    </row>
    <row r="2416" spans="1:6">
      <c r="A2416">
        <v>27</v>
      </c>
      <c r="B2416" t="s">
        <v>210</v>
      </c>
      <c r="C2416" s="1">
        <v>1</v>
      </c>
      <c r="D2416" s="1">
        <v>43</v>
      </c>
      <c r="E2416" s="1">
        <v>40</v>
      </c>
      <c r="F2416" s="1">
        <v>43</v>
      </c>
    </row>
    <row r="2417" spans="1:6">
      <c r="A2417">
        <v>27</v>
      </c>
      <c r="B2417" t="s">
        <v>210</v>
      </c>
      <c r="C2417" s="1">
        <v>1</v>
      </c>
      <c r="D2417" s="1" t="s">
        <v>196</v>
      </c>
      <c r="E2417" s="1">
        <v>42</v>
      </c>
      <c r="F2417" s="1" t="s">
        <v>196</v>
      </c>
    </row>
    <row r="2418" spans="1:6">
      <c r="A2418">
        <v>27</v>
      </c>
      <c r="B2418" t="s">
        <v>210</v>
      </c>
      <c r="C2418" s="1">
        <v>1</v>
      </c>
      <c r="D2418" s="1">
        <v>44</v>
      </c>
      <c r="E2418" s="1">
        <v>50</v>
      </c>
      <c r="F2418" s="1">
        <v>44</v>
      </c>
    </row>
    <row r="2419" spans="1:6">
      <c r="A2419">
        <v>27</v>
      </c>
      <c r="B2419" t="s">
        <v>210</v>
      </c>
      <c r="C2419" s="1">
        <v>1</v>
      </c>
      <c r="D2419" s="1" t="s">
        <v>197</v>
      </c>
      <c r="E2419" s="1">
        <v>52</v>
      </c>
      <c r="F2419" s="1" t="s">
        <v>197</v>
      </c>
    </row>
    <row r="2420" spans="1:6">
      <c r="A2420">
        <v>27</v>
      </c>
      <c r="B2420" t="s">
        <v>210</v>
      </c>
      <c r="C2420" s="1">
        <v>1</v>
      </c>
      <c r="D2420" s="1">
        <v>45</v>
      </c>
      <c r="E2420" s="1">
        <v>60</v>
      </c>
      <c r="F2420" s="1">
        <v>45</v>
      </c>
    </row>
    <row r="2421" spans="1:6">
      <c r="A2421">
        <v>27</v>
      </c>
      <c r="B2421" t="s">
        <v>210</v>
      </c>
      <c r="C2421" s="1">
        <v>1</v>
      </c>
      <c r="D2421" s="1" t="s">
        <v>198</v>
      </c>
      <c r="E2421" s="1">
        <v>62</v>
      </c>
      <c r="F2421" s="1" t="s">
        <v>198</v>
      </c>
    </row>
    <row r="2422" spans="1:6">
      <c r="A2422">
        <v>27</v>
      </c>
      <c r="B2422" t="s">
        <v>210</v>
      </c>
      <c r="C2422" s="1">
        <v>1</v>
      </c>
      <c r="D2422" s="1" t="s">
        <v>199</v>
      </c>
      <c r="E2422" s="1">
        <v>72</v>
      </c>
      <c r="F2422" s="1" t="s">
        <v>199</v>
      </c>
    </row>
    <row r="2423" spans="1:6">
      <c r="A2423">
        <v>27</v>
      </c>
      <c r="B2423" t="s">
        <v>210</v>
      </c>
      <c r="E2423" s="1">
        <v>92</v>
      </c>
    </row>
    <row r="2424" spans="1:6">
      <c r="A2424">
        <v>41</v>
      </c>
      <c r="B2424" t="s">
        <v>219</v>
      </c>
      <c r="C2424" s="1">
        <v>1</v>
      </c>
      <c r="D2424" s="1" t="s">
        <v>442</v>
      </c>
      <c r="E2424" s="1">
        <v>10</v>
      </c>
      <c r="F2424" s="1" t="s">
        <v>442</v>
      </c>
    </row>
    <row r="2425" spans="1:6">
      <c r="A2425">
        <v>41</v>
      </c>
      <c r="B2425" t="s">
        <v>219</v>
      </c>
      <c r="C2425" s="1">
        <v>1</v>
      </c>
      <c r="D2425" s="1" t="s">
        <v>511</v>
      </c>
      <c r="E2425" s="1">
        <v>20</v>
      </c>
      <c r="F2425" s="1" t="s">
        <v>511</v>
      </c>
    </row>
    <row r="2426" spans="1:6">
      <c r="A2426">
        <v>41</v>
      </c>
      <c r="B2426" t="s">
        <v>219</v>
      </c>
      <c r="C2426" s="1">
        <v>1</v>
      </c>
      <c r="D2426" s="1" t="s">
        <v>443</v>
      </c>
      <c r="F2426" s="1" t="s">
        <v>443</v>
      </c>
    </row>
    <row r="2427" spans="1:6">
      <c r="A2427">
        <v>41</v>
      </c>
      <c r="B2427" t="s">
        <v>219</v>
      </c>
      <c r="E2427" s="1">
        <v>90</v>
      </c>
    </row>
    <row r="2428" spans="1:6">
      <c r="A2428">
        <v>57</v>
      </c>
      <c r="B2428" t="s">
        <v>183</v>
      </c>
      <c r="E2428" s="1">
        <v>60</v>
      </c>
    </row>
    <row r="2429" spans="1:6">
      <c r="A2429">
        <v>74</v>
      </c>
      <c r="B2429" t="s">
        <v>235</v>
      </c>
      <c r="C2429" s="1">
        <v>3</v>
      </c>
      <c r="D2429" s="1" t="s">
        <v>320</v>
      </c>
      <c r="E2429" s="1">
        <v>50</v>
      </c>
      <c r="F2429" s="1" t="s">
        <v>320</v>
      </c>
    </row>
    <row r="2430" spans="1:6">
      <c r="A2430">
        <v>1</v>
      </c>
      <c r="B2430" t="s">
        <v>137</v>
      </c>
      <c r="C2430" s="1">
        <v>1</v>
      </c>
      <c r="D2430" s="1">
        <v>14</v>
      </c>
      <c r="E2430" s="1">
        <v>70</v>
      </c>
      <c r="F2430" s="1">
        <v>14</v>
      </c>
    </row>
    <row r="2431" spans="1:6">
      <c r="A2431">
        <v>1</v>
      </c>
      <c r="B2431" t="s">
        <v>137</v>
      </c>
      <c r="C2431" s="1">
        <v>1</v>
      </c>
      <c r="D2431" s="1" t="s">
        <v>150</v>
      </c>
      <c r="E2431" s="1">
        <v>82</v>
      </c>
      <c r="F2431" s="1" t="s">
        <v>150</v>
      </c>
    </row>
    <row r="2432" spans="1:6">
      <c r="A2432">
        <v>1</v>
      </c>
      <c r="B2432" t="s">
        <v>137</v>
      </c>
      <c r="C2432" s="1">
        <v>1</v>
      </c>
      <c r="D2432" s="1">
        <v>16</v>
      </c>
      <c r="E2432" s="1">
        <v>90</v>
      </c>
      <c r="F2432" s="1">
        <v>16</v>
      </c>
    </row>
    <row r="2433" spans="1:6">
      <c r="A2433">
        <v>1</v>
      </c>
      <c r="B2433" t="s">
        <v>137</v>
      </c>
      <c r="C2433" s="1">
        <v>1</v>
      </c>
      <c r="D2433" s="1" t="s">
        <v>156</v>
      </c>
      <c r="E2433" s="1">
        <v>96</v>
      </c>
      <c r="F2433" s="1" t="s">
        <v>156</v>
      </c>
    </row>
    <row r="2434" spans="1:6">
      <c r="A2434">
        <v>1</v>
      </c>
      <c r="B2434" t="s">
        <v>137</v>
      </c>
      <c r="C2434" s="1">
        <v>2</v>
      </c>
      <c r="D2434" s="1">
        <v>19</v>
      </c>
      <c r="E2434" s="1">
        <v>10</v>
      </c>
      <c r="F2434" s="1">
        <v>19</v>
      </c>
    </row>
    <row r="2435" spans="1:6">
      <c r="A2435">
        <v>1</v>
      </c>
      <c r="B2435" t="s">
        <v>137</v>
      </c>
      <c r="C2435" s="1">
        <v>2</v>
      </c>
      <c r="D2435" s="1" t="s">
        <v>162</v>
      </c>
      <c r="E2435" s="1">
        <v>12</v>
      </c>
      <c r="F2435" s="1" t="s">
        <v>162</v>
      </c>
    </row>
    <row r="2436" spans="1:6">
      <c r="A2436">
        <v>1</v>
      </c>
      <c r="B2436" t="s">
        <v>137</v>
      </c>
      <c r="C2436" s="1">
        <v>2</v>
      </c>
      <c r="D2436" s="1" t="s">
        <v>165</v>
      </c>
      <c r="E2436" s="1">
        <v>22</v>
      </c>
      <c r="F2436" s="1" t="s">
        <v>165</v>
      </c>
    </row>
    <row r="2437" spans="1:6">
      <c r="A2437">
        <v>1</v>
      </c>
      <c r="B2437" t="s">
        <v>137</v>
      </c>
      <c r="C2437" s="1">
        <v>2</v>
      </c>
      <c r="D2437" s="1">
        <v>21</v>
      </c>
      <c r="E2437" s="1">
        <v>30</v>
      </c>
      <c r="F2437" s="1">
        <v>21</v>
      </c>
    </row>
    <row r="2438" spans="1:6">
      <c r="A2438">
        <v>1</v>
      </c>
      <c r="B2438" t="s">
        <v>137</v>
      </c>
      <c r="C2438" s="1">
        <v>2</v>
      </c>
      <c r="D2438" s="1" t="s">
        <v>168</v>
      </c>
      <c r="E2438" s="1">
        <v>32</v>
      </c>
      <c r="F2438" s="1" t="s">
        <v>168</v>
      </c>
    </row>
    <row r="2439" spans="1:6">
      <c r="A2439">
        <v>1</v>
      </c>
      <c r="B2439" t="s">
        <v>137</v>
      </c>
      <c r="C2439" s="1">
        <v>2</v>
      </c>
      <c r="D2439" s="1">
        <v>22</v>
      </c>
      <c r="E2439" s="1">
        <v>40</v>
      </c>
      <c r="F2439" s="1">
        <v>22</v>
      </c>
    </row>
    <row r="2440" spans="1:6">
      <c r="A2440">
        <v>1</v>
      </c>
      <c r="B2440" t="s">
        <v>137</v>
      </c>
      <c r="C2440" s="1">
        <v>2</v>
      </c>
      <c r="D2440" s="1" t="s">
        <v>171</v>
      </c>
      <c r="E2440" s="1">
        <v>42</v>
      </c>
      <c r="F2440" s="1" t="s">
        <v>171</v>
      </c>
    </row>
    <row r="2441" spans="1:6">
      <c r="A2441">
        <v>1</v>
      </c>
      <c r="B2441" t="s">
        <v>137</v>
      </c>
      <c r="C2441" s="1">
        <v>2</v>
      </c>
      <c r="D2441" s="1" t="s">
        <v>177</v>
      </c>
      <c r="E2441" s="1">
        <v>62</v>
      </c>
      <c r="F2441" s="1" t="s">
        <v>177</v>
      </c>
    </row>
    <row r="2442" spans="1:6">
      <c r="A2442">
        <v>1</v>
      </c>
      <c r="B2442" t="s">
        <v>137</v>
      </c>
      <c r="C2442" s="1">
        <v>2</v>
      </c>
      <c r="D2442" s="1">
        <v>18</v>
      </c>
      <c r="F2442" s="1">
        <v>18</v>
      </c>
    </row>
    <row r="2443" spans="1:6">
      <c r="A2443">
        <v>2</v>
      </c>
      <c r="B2443" t="s">
        <v>181</v>
      </c>
      <c r="C2443" s="1">
        <v>2</v>
      </c>
      <c r="D2443" s="1">
        <v>14</v>
      </c>
      <c r="E2443" s="1">
        <v>50</v>
      </c>
      <c r="F2443" s="1">
        <v>14</v>
      </c>
    </row>
    <row r="2444" spans="1:6">
      <c r="A2444">
        <v>11</v>
      </c>
      <c r="B2444" t="s">
        <v>186</v>
      </c>
      <c r="C2444" s="1">
        <v>1</v>
      </c>
      <c r="D2444" s="1">
        <v>42</v>
      </c>
      <c r="E2444" s="1">
        <v>30</v>
      </c>
      <c r="F2444" s="1">
        <v>42</v>
      </c>
    </row>
    <row r="2445" spans="1:6">
      <c r="A2445">
        <v>11</v>
      </c>
      <c r="B2445" t="s">
        <v>186</v>
      </c>
      <c r="C2445" s="1">
        <v>1</v>
      </c>
      <c r="D2445" s="1" t="s">
        <v>195</v>
      </c>
      <c r="E2445" s="1">
        <v>32</v>
      </c>
      <c r="F2445" s="1" t="s">
        <v>195</v>
      </c>
    </row>
    <row r="2446" spans="1:6">
      <c r="A2446">
        <v>12</v>
      </c>
      <c r="B2446" t="s">
        <v>107</v>
      </c>
      <c r="C2446" s="1">
        <v>1</v>
      </c>
      <c r="D2446" s="1" t="s">
        <v>193</v>
      </c>
      <c r="E2446" s="1">
        <v>12</v>
      </c>
      <c r="F2446" s="1" t="s">
        <v>193</v>
      </c>
    </row>
    <row r="2447" spans="1:6">
      <c r="A2447">
        <v>27</v>
      </c>
      <c r="B2447" t="s">
        <v>210</v>
      </c>
      <c r="C2447" s="1">
        <v>1</v>
      </c>
      <c r="D2447" s="1" t="s">
        <v>194</v>
      </c>
      <c r="E2447" s="1">
        <v>22</v>
      </c>
      <c r="F2447" s="1" t="s">
        <v>194</v>
      </c>
    </row>
    <row r="2448" spans="1:6">
      <c r="A2448">
        <v>27</v>
      </c>
      <c r="B2448" t="s">
        <v>210</v>
      </c>
      <c r="C2448" s="1">
        <v>1</v>
      </c>
      <c r="D2448" s="1">
        <v>42</v>
      </c>
      <c r="E2448" s="1">
        <v>30</v>
      </c>
      <c r="F2448" s="1">
        <v>42</v>
      </c>
    </row>
    <row r="2449" spans="1:6">
      <c r="A2449">
        <v>27</v>
      </c>
      <c r="B2449" t="s">
        <v>210</v>
      </c>
      <c r="C2449" s="1">
        <v>1</v>
      </c>
      <c r="D2449" s="1">
        <v>44</v>
      </c>
      <c r="E2449" s="1">
        <v>50</v>
      </c>
      <c r="F2449" s="1">
        <v>44</v>
      </c>
    </row>
    <row r="2450" spans="1:6">
      <c r="A2450">
        <v>27</v>
      </c>
      <c r="B2450" t="s">
        <v>210</v>
      </c>
      <c r="E2450" s="1">
        <v>96</v>
      </c>
    </row>
    <row r="2451" spans="1:6">
      <c r="A2451">
        <v>37</v>
      </c>
      <c r="B2451" t="s">
        <v>216</v>
      </c>
      <c r="C2451" s="1">
        <v>1</v>
      </c>
      <c r="D2451" s="1" t="s">
        <v>507</v>
      </c>
      <c r="E2451" s="1">
        <v>10</v>
      </c>
      <c r="F2451" s="1" t="s">
        <v>507</v>
      </c>
    </row>
    <row r="2452" spans="1:6">
      <c r="A2452">
        <v>37</v>
      </c>
      <c r="B2452" t="s">
        <v>216</v>
      </c>
      <c r="E2452" s="1">
        <v>30</v>
      </c>
    </row>
    <row r="2453" spans="1:6">
      <c r="A2453">
        <v>41</v>
      </c>
      <c r="B2453" t="s">
        <v>219</v>
      </c>
      <c r="C2453" s="1">
        <v>1</v>
      </c>
      <c r="D2453" s="1" t="s">
        <v>442</v>
      </c>
      <c r="E2453" s="1">
        <v>10</v>
      </c>
      <c r="F2453" s="1" t="s">
        <v>442</v>
      </c>
    </row>
    <row r="2454" spans="1:6">
      <c r="A2454">
        <v>41</v>
      </c>
      <c r="B2454" t="s">
        <v>219</v>
      </c>
      <c r="C2454" s="1">
        <v>1</v>
      </c>
      <c r="D2454" s="1" t="s">
        <v>511</v>
      </c>
      <c r="E2454" s="1">
        <v>20</v>
      </c>
      <c r="F2454" s="1" t="s">
        <v>511</v>
      </c>
    </row>
    <row r="2455" spans="1:6">
      <c r="A2455">
        <v>41</v>
      </c>
      <c r="B2455" t="s">
        <v>219</v>
      </c>
      <c r="C2455" s="1">
        <v>1</v>
      </c>
      <c r="D2455" s="1" t="s">
        <v>443</v>
      </c>
      <c r="F2455" s="1" t="s">
        <v>443</v>
      </c>
    </row>
    <row r="2456" spans="1:6">
      <c r="A2456">
        <v>41</v>
      </c>
      <c r="B2456" t="s">
        <v>219</v>
      </c>
      <c r="C2456" s="1">
        <v>11</v>
      </c>
      <c r="D2456" s="1" t="s">
        <v>570</v>
      </c>
      <c r="F2456" s="1" t="s">
        <v>571</v>
      </c>
    </row>
    <row r="2457" spans="1:6">
      <c r="A2457">
        <v>41</v>
      </c>
      <c r="B2457" t="s">
        <v>219</v>
      </c>
      <c r="C2457" s="1">
        <v>12</v>
      </c>
      <c r="D2457" s="1" t="s">
        <v>572</v>
      </c>
      <c r="F2457" s="1" t="s">
        <v>572</v>
      </c>
    </row>
    <row r="2458" spans="1:6">
      <c r="A2458">
        <v>41</v>
      </c>
      <c r="B2458" t="s">
        <v>219</v>
      </c>
      <c r="C2458" s="1">
        <v>13</v>
      </c>
      <c r="D2458" s="1" t="s">
        <v>573</v>
      </c>
      <c r="F2458" s="1" t="s">
        <v>574</v>
      </c>
    </row>
    <row r="2459" spans="1:6">
      <c r="A2459">
        <v>41</v>
      </c>
      <c r="B2459" t="s">
        <v>219</v>
      </c>
      <c r="C2459" s="1">
        <v>14</v>
      </c>
      <c r="D2459" s="1" t="s">
        <v>575</v>
      </c>
      <c r="F2459" s="1" t="s">
        <v>575</v>
      </c>
    </row>
    <row r="2460" spans="1:6">
      <c r="A2460">
        <v>41</v>
      </c>
      <c r="B2460" t="s">
        <v>219</v>
      </c>
      <c r="C2460" s="1">
        <v>15</v>
      </c>
      <c r="D2460" s="1" t="s">
        <v>576</v>
      </c>
      <c r="F2460" s="1" t="s">
        <v>576</v>
      </c>
    </row>
    <row r="2461" spans="1:6">
      <c r="A2461">
        <v>41</v>
      </c>
      <c r="B2461" t="s">
        <v>219</v>
      </c>
      <c r="C2461" s="1">
        <v>17</v>
      </c>
      <c r="D2461" s="1" t="s">
        <v>577</v>
      </c>
      <c r="F2461" s="1" t="s">
        <v>578</v>
      </c>
    </row>
    <row r="2462" spans="1:6">
      <c r="A2462">
        <v>41</v>
      </c>
      <c r="B2462" t="s">
        <v>219</v>
      </c>
      <c r="C2462" s="1">
        <v>18</v>
      </c>
      <c r="D2462" s="1" t="s">
        <v>579</v>
      </c>
      <c r="F2462" s="1" t="s">
        <v>580</v>
      </c>
    </row>
    <row r="2463" spans="1:6">
      <c r="A2463">
        <v>41</v>
      </c>
      <c r="B2463" t="s">
        <v>219</v>
      </c>
      <c r="C2463" s="1">
        <v>21</v>
      </c>
      <c r="D2463" s="1" t="s">
        <v>581</v>
      </c>
      <c r="F2463" s="1" t="s">
        <v>582</v>
      </c>
    </row>
    <row r="2464" spans="1:6">
      <c r="A2464">
        <v>41</v>
      </c>
      <c r="B2464" t="s">
        <v>219</v>
      </c>
      <c r="C2464" s="1">
        <v>28</v>
      </c>
      <c r="D2464" s="1" t="s">
        <v>583</v>
      </c>
      <c r="F2464" s="1" t="s">
        <v>584</v>
      </c>
    </row>
    <row r="2465" spans="1:6">
      <c r="A2465">
        <v>41</v>
      </c>
      <c r="B2465" t="s">
        <v>219</v>
      </c>
      <c r="E2465" s="1">
        <v>10</v>
      </c>
    </row>
    <row r="2466" spans="1:6">
      <c r="A2466">
        <v>41</v>
      </c>
      <c r="B2466" t="s">
        <v>219</v>
      </c>
      <c r="E2466" s="1">
        <v>20</v>
      </c>
    </row>
    <row r="2467" spans="1:6">
      <c r="A2467">
        <v>41</v>
      </c>
      <c r="B2467" t="s">
        <v>219</v>
      </c>
      <c r="E2467" s="1">
        <v>30</v>
      </c>
    </row>
    <row r="2468" spans="1:6">
      <c r="A2468">
        <v>41</v>
      </c>
      <c r="B2468" t="s">
        <v>219</v>
      </c>
      <c r="E2468" s="1">
        <v>40</v>
      </c>
    </row>
    <row r="2469" spans="1:6">
      <c r="A2469">
        <v>41</v>
      </c>
      <c r="B2469" t="s">
        <v>219</v>
      </c>
      <c r="E2469" s="1">
        <v>50</v>
      </c>
    </row>
    <row r="2470" spans="1:6">
      <c r="A2470">
        <v>41</v>
      </c>
      <c r="B2470" t="s">
        <v>219</v>
      </c>
      <c r="E2470" s="1">
        <v>60</v>
      </c>
    </row>
    <row r="2471" spans="1:6">
      <c r="A2471">
        <v>41</v>
      </c>
      <c r="B2471" t="s">
        <v>219</v>
      </c>
      <c r="E2471" s="1">
        <v>70</v>
      </c>
    </row>
    <row r="2472" spans="1:6">
      <c r="A2472">
        <v>41</v>
      </c>
      <c r="B2472" t="s">
        <v>219</v>
      </c>
      <c r="E2472" s="1">
        <v>80</v>
      </c>
    </row>
    <row r="2473" spans="1:6">
      <c r="A2473">
        <v>41</v>
      </c>
      <c r="B2473" t="s">
        <v>219</v>
      </c>
      <c r="E2473" s="1">
        <v>90</v>
      </c>
    </row>
    <row r="2474" spans="1:6">
      <c r="A2474">
        <v>41</v>
      </c>
      <c r="B2474" t="s">
        <v>219</v>
      </c>
      <c r="E2474" s="1">
        <v>91</v>
      </c>
    </row>
    <row r="2475" spans="1:6">
      <c r="A2475">
        <v>41</v>
      </c>
      <c r="B2475" t="s">
        <v>219</v>
      </c>
      <c r="E2475" s="1">
        <v>92</v>
      </c>
    </row>
    <row r="2476" spans="1:6">
      <c r="A2476">
        <v>41</v>
      </c>
      <c r="B2476" t="s">
        <v>219</v>
      </c>
      <c r="E2476" s="1">
        <v>94</v>
      </c>
    </row>
    <row r="2477" spans="1:6">
      <c r="A2477">
        <v>41</v>
      </c>
      <c r="B2477" t="s">
        <v>219</v>
      </c>
      <c r="E2477" s="1">
        <v>96</v>
      </c>
    </row>
    <row r="2478" spans="1:6">
      <c r="A2478">
        <v>41</v>
      </c>
      <c r="B2478" t="s">
        <v>219</v>
      </c>
      <c r="E2478" s="1">
        <v>97</v>
      </c>
    </row>
    <row r="2479" spans="1:6">
      <c r="A2479">
        <v>45</v>
      </c>
      <c r="B2479" t="s">
        <v>223</v>
      </c>
      <c r="C2479" s="1">
        <v>1</v>
      </c>
      <c r="D2479" s="1" t="s">
        <v>336</v>
      </c>
      <c r="E2479" s="1">
        <v>13</v>
      </c>
      <c r="F2479" s="1" t="s">
        <v>337</v>
      </c>
    </row>
    <row r="2480" spans="1:6">
      <c r="A2480">
        <v>45</v>
      </c>
      <c r="B2480" t="s">
        <v>223</v>
      </c>
      <c r="C2480" s="1">
        <v>1</v>
      </c>
      <c r="D2480" s="1" t="s">
        <v>324</v>
      </c>
      <c r="E2480" s="1">
        <v>14</v>
      </c>
      <c r="F2480" s="1" t="s">
        <v>325</v>
      </c>
    </row>
    <row r="2481" spans="1:6">
      <c r="A2481">
        <v>45</v>
      </c>
      <c r="B2481" t="s">
        <v>223</v>
      </c>
      <c r="C2481" s="1">
        <v>2</v>
      </c>
      <c r="D2481" s="1" t="s">
        <v>585</v>
      </c>
      <c r="E2481" s="1">
        <v>3</v>
      </c>
      <c r="F2481" s="1" t="s">
        <v>585</v>
      </c>
    </row>
    <row r="2482" spans="1:6">
      <c r="A2482">
        <v>45</v>
      </c>
      <c r="B2482" t="s">
        <v>223</v>
      </c>
      <c r="C2482" s="1">
        <v>2</v>
      </c>
      <c r="D2482" s="1" t="s">
        <v>490</v>
      </c>
      <c r="E2482" s="1">
        <v>21</v>
      </c>
      <c r="F2482" s="1" t="s">
        <v>491</v>
      </c>
    </row>
    <row r="2483" spans="1:6">
      <c r="A2483">
        <v>45</v>
      </c>
      <c r="B2483" t="s">
        <v>223</v>
      </c>
      <c r="C2483" s="1">
        <v>2</v>
      </c>
      <c r="D2483" s="1" t="s">
        <v>490</v>
      </c>
      <c r="E2483" s="1">
        <v>22</v>
      </c>
      <c r="F2483" s="1" t="s">
        <v>558</v>
      </c>
    </row>
    <row r="2484" spans="1:6">
      <c r="A2484">
        <v>45</v>
      </c>
      <c r="B2484" t="s">
        <v>223</v>
      </c>
      <c r="C2484" s="1">
        <v>2</v>
      </c>
      <c r="D2484" s="1" t="s">
        <v>490</v>
      </c>
      <c r="E2484" s="1">
        <v>23</v>
      </c>
      <c r="F2484" s="1" t="s">
        <v>513</v>
      </c>
    </row>
    <row r="2485" spans="1:6">
      <c r="A2485">
        <v>45</v>
      </c>
      <c r="B2485" t="s">
        <v>223</v>
      </c>
      <c r="C2485" s="1">
        <v>2</v>
      </c>
      <c r="D2485" s="1" t="s">
        <v>524</v>
      </c>
      <c r="E2485" s="1">
        <v>24</v>
      </c>
      <c r="F2485" s="1" t="s">
        <v>524</v>
      </c>
    </row>
    <row r="2486" spans="1:6">
      <c r="A2486">
        <v>49</v>
      </c>
      <c r="B2486" t="s">
        <v>471</v>
      </c>
      <c r="C2486" s="1">
        <v>4</v>
      </c>
      <c r="D2486" s="1" t="s">
        <v>475</v>
      </c>
      <c r="E2486" s="1">
        <v>40</v>
      </c>
      <c r="F2486" s="1" t="s">
        <v>475</v>
      </c>
    </row>
    <row r="2487" spans="1:6">
      <c r="A2487">
        <v>50</v>
      </c>
      <c r="B2487" t="s">
        <v>224</v>
      </c>
      <c r="E2487" s="1">
        <v>30</v>
      </c>
    </row>
    <row r="2488" spans="1:6">
      <c r="A2488">
        <v>64</v>
      </c>
      <c r="B2488" t="s">
        <v>230</v>
      </c>
      <c r="E2488" s="1">
        <v>20</v>
      </c>
    </row>
    <row r="2489" spans="1:6">
      <c r="A2489">
        <v>64</v>
      </c>
      <c r="B2489" t="s">
        <v>230</v>
      </c>
      <c r="E2489" s="1">
        <v>30</v>
      </c>
    </row>
    <row r="2490" spans="1:6">
      <c r="A2490">
        <v>64</v>
      </c>
      <c r="B2490" t="s">
        <v>230</v>
      </c>
      <c r="E2490" s="1">
        <v>40</v>
      </c>
    </row>
    <row r="2491" spans="1:6">
      <c r="A2491">
        <v>68</v>
      </c>
      <c r="B2491" t="s">
        <v>233</v>
      </c>
      <c r="E2491" s="1">
        <v>30</v>
      </c>
    </row>
    <row r="2492" spans="1:6">
      <c r="A2492">
        <v>74</v>
      </c>
      <c r="B2492" t="s">
        <v>235</v>
      </c>
      <c r="C2492" s="1">
        <v>3</v>
      </c>
      <c r="D2492" s="1" t="s">
        <v>321</v>
      </c>
      <c r="E2492" s="1">
        <v>60</v>
      </c>
      <c r="F2492" s="1" t="s">
        <v>321</v>
      </c>
    </row>
    <row r="2494" spans="1:6">
      <c r="A2494">
        <v>1</v>
      </c>
      <c r="B2494" t="s">
        <v>137</v>
      </c>
      <c r="C2494" s="1">
        <v>1</v>
      </c>
      <c r="D2494" s="1">
        <v>16</v>
      </c>
      <c r="E2494" s="1">
        <v>90</v>
      </c>
      <c r="F2494" s="1">
        <v>16</v>
      </c>
    </row>
    <row r="2495" spans="1:6">
      <c r="A2495">
        <v>1</v>
      </c>
      <c r="B2495" t="s">
        <v>137</v>
      </c>
      <c r="C2495" s="1">
        <v>1</v>
      </c>
      <c r="D2495" s="1">
        <v>17</v>
      </c>
      <c r="E2495" s="1">
        <v>94</v>
      </c>
      <c r="F2495" s="1">
        <v>17</v>
      </c>
    </row>
    <row r="2496" spans="1:6">
      <c r="A2496">
        <v>1</v>
      </c>
      <c r="B2496" t="s">
        <v>137</v>
      </c>
      <c r="C2496" s="1">
        <v>1</v>
      </c>
      <c r="D2496" s="1" t="s">
        <v>156</v>
      </c>
      <c r="E2496" s="1">
        <v>96</v>
      </c>
      <c r="F2496" s="1" t="s">
        <v>156</v>
      </c>
    </row>
    <row r="2497" spans="1:6">
      <c r="A2497">
        <v>1</v>
      </c>
      <c r="B2497" t="s">
        <v>137</v>
      </c>
      <c r="C2497" s="1">
        <v>2</v>
      </c>
      <c r="D2497" s="1" t="s">
        <v>159</v>
      </c>
      <c r="E2497" s="1">
        <v>2</v>
      </c>
      <c r="F2497" s="1" t="s">
        <v>159</v>
      </c>
    </row>
    <row r="2498" spans="1:6">
      <c r="A2498">
        <v>1</v>
      </c>
      <c r="B2498" t="s">
        <v>137</v>
      </c>
      <c r="C2498" s="1">
        <v>2</v>
      </c>
      <c r="D2498" s="1" t="s">
        <v>162</v>
      </c>
      <c r="E2498" s="1">
        <v>12</v>
      </c>
      <c r="F2498" s="1" t="s">
        <v>162</v>
      </c>
    </row>
    <row r="2499" spans="1:6">
      <c r="A2499">
        <v>1</v>
      </c>
      <c r="B2499" t="s">
        <v>137</v>
      </c>
      <c r="C2499" s="1">
        <v>2</v>
      </c>
      <c r="D2499" s="1">
        <v>20</v>
      </c>
      <c r="E2499" s="1">
        <v>20</v>
      </c>
      <c r="F2499" s="1">
        <v>20</v>
      </c>
    </row>
    <row r="2500" spans="1:6">
      <c r="A2500">
        <v>1</v>
      </c>
      <c r="B2500" t="s">
        <v>137</v>
      </c>
      <c r="C2500" s="1">
        <v>2</v>
      </c>
      <c r="D2500" s="1" t="s">
        <v>165</v>
      </c>
      <c r="E2500" s="1">
        <v>22</v>
      </c>
      <c r="F2500" s="1" t="s">
        <v>165</v>
      </c>
    </row>
    <row r="2501" spans="1:6">
      <c r="A2501">
        <v>1</v>
      </c>
      <c r="B2501" t="s">
        <v>137</v>
      </c>
      <c r="C2501" s="1">
        <v>2</v>
      </c>
      <c r="D2501" s="1" t="s">
        <v>168</v>
      </c>
      <c r="E2501" s="1">
        <v>32</v>
      </c>
      <c r="F2501" s="1" t="s">
        <v>168</v>
      </c>
    </row>
    <row r="2502" spans="1:6">
      <c r="A2502">
        <v>1</v>
      </c>
      <c r="B2502" t="s">
        <v>137</v>
      </c>
      <c r="C2502" s="1">
        <v>2</v>
      </c>
      <c r="D2502" s="1">
        <v>22</v>
      </c>
      <c r="E2502" s="1">
        <v>40</v>
      </c>
      <c r="F2502" s="1">
        <v>22</v>
      </c>
    </row>
    <row r="2503" spans="1:6">
      <c r="A2503">
        <v>1</v>
      </c>
      <c r="B2503" t="s">
        <v>137</v>
      </c>
      <c r="C2503" s="1">
        <v>2</v>
      </c>
      <c r="D2503" s="1" t="s">
        <v>171</v>
      </c>
      <c r="E2503" s="1">
        <v>42</v>
      </c>
      <c r="F2503" s="1" t="s">
        <v>171</v>
      </c>
    </row>
    <row r="2504" spans="1:6">
      <c r="A2504">
        <v>1</v>
      </c>
      <c r="B2504" t="s">
        <v>137</v>
      </c>
      <c r="C2504" s="1">
        <v>2</v>
      </c>
      <c r="D2504" s="1">
        <v>23</v>
      </c>
      <c r="E2504" s="1">
        <v>50</v>
      </c>
      <c r="F2504" s="1">
        <v>23</v>
      </c>
    </row>
    <row r="2505" spans="1:6">
      <c r="A2505">
        <v>5</v>
      </c>
      <c r="B2505" t="s">
        <v>183</v>
      </c>
      <c r="E2505" s="1">
        <v>60</v>
      </c>
    </row>
    <row r="2506" spans="1:6">
      <c r="A2506">
        <v>6</v>
      </c>
      <c r="B2506" t="s">
        <v>184</v>
      </c>
      <c r="E2506" s="1">
        <v>63</v>
      </c>
    </row>
    <row r="2507" spans="1:6">
      <c r="A2507">
        <v>11</v>
      </c>
      <c r="B2507" t="s">
        <v>186</v>
      </c>
      <c r="C2507" s="1">
        <v>1</v>
      </c>
      <c r="D2507" s="1">
        <v>40</v>
      </c>
      <c r="E2507" s="1">
        <v>10</v>
      </c>
      <c r="F2507" s="1">
        <v>40</v>
      </c>
    </row>
    <row r="2508" spans="1:6">
      <c r="A2508">
        <v>11</v>
      </c>
      <c r="B2508" t="s">
        <v>186</v>
      </c>
      <c r="C2508" s="1">
        <v>1</v>
      </c>
      <c r="D2508" s="1">
        <v>41</v>
      </c>
      <c r="E2508" s="1">
        <v>20</v>
      </c>
      <c r="F2508" s="1">
        <v>41</v>
      </c>
    </row>
    <row r="2509" spans="1:6">
      <c r="A2509">
        <v>11</v>
      </c>
      <c r="B2509" t="s">
        <v>186</v>
      </c>
      <c r="C2509" s="1">
        <v>1</v>
      </c>
      <c r="D2509" s="1" t="s">
        <v>194</v>
      </c>
      <c r="E2509" s="1">
        <v>22</v>
      </c>
      <c r="F2509" s="1" t="s">
        <v>194</v>
      </c>
    </row>
    <row r="2510" spans="1:6">
      <c r="A2510">
        <v>11</v>
      </c>
      <c r="B2510" t="s">
        <v>186</v>
      </c>
      <c r="C2510" s="1">
        <v>1</v>
      </c>
      <c r="D2510" s="1">
        <v>42</v>
      </c>
      <c r="E2510" s="1">
        <v>30</v>
      </c>
      <c r="F2510" s="1">
        <v>42</v>
      </c>
    </row>
    <row r="2511" spans="1:6">
      <c r="A2511">
        <v>11</v>
      </c>
      <c r="B2511" t="s">
        <v>186</v>
      </c>
      <c r="C2511" s="1">
        <v>1</v>
      </c>
      <c r="D2511" s="1" t="s">
        <v>195</v>
      </c>
      <c r="E2511" s="1">
        <v>32</v>
      </c>
      <c r="F2511" s="1" t="s">
        <v>195</v>
      </c>
    </row>
    <row r="2512" spans="1:6">
      <c r="A2512">
        <v>11</v>
      </c>
      <c r="B2512" t="s">
        <v>186</v>
      </c>
      <c r="C2512" s="1">
        <v>1</v>
      </c>
      <c r="D2512" s="1">
        <v>43</v>
      </c>
      <c r="E2512" s="1">
        <v>40</v>
      </c>
      <c r="F2512" s="1">
        <v>43</v>
      </c>
    </row>
    <row r="2513" spans="1:6">
      <c r="A2513">
        <v>11</v>
      </c>
      <c r="B2513" t="s">
        <v>186</v>
      </c>
      <c r="C2513" s="1">
        <v>1</v>
      </c>
      <c r="D2513" s="1" t="s">
        <v>196</v>
      </c>
      <c r="E2513" s="1">
        <v>42</v>
      </c>
      <c r="F2513" s="1" t="s">
        <v>196</v>
      </c>
    </row>
    <row r="2514" spans="1:6">
      <c r="A2514">
        <v>11</v>
      </c>
      <c r="B2514" t="s">
        <v>186</v>
      </c>
      <c r="C2514" s="1">
        <v>1</v>
      </c>
      <c r="D2514" s="1">
        <v>44</v>
      </c>
      <c r="E2514" s="1">
        <v>50</v>
      </c>
      <c r="F2514" s="1">
        <v>44</v>
      </c>
    </row>
    <row r="2515" spans="1:6">
      <c r="A2515">
        <v>11</v>
      </c>
      <c r="B2515" t="s">
        <v>186</v>
      </c>
      <c r="C2515" s="1">
        <v>1</v>
      </c>
      <c r="D2515" s="1" t="s">
        <v>197</v>
      </c>
      <c r="E2515" s="1">
        <v>52</v>
      </c>
      <c r="F2515" s="1" t="s">
        <v>197</v>
      </c>
    </row>
    <row r="2516" spans="1:6">
      <c r="A2516">
        <v>11</v>
      </c>
      <c r="B2516" t="s">
        <v>186</v>
      </c>
      <c r="C2516" s="1">
        <v>1</v>
      </c>
      <c r="D2516" s="1" t="s">
        <v>198</v>
      </c>
      <c r="E2516" s="1">
        <v>62</v>
      </c>
      <c r="F2516" s="1" t="s">
        <v>198</v>
      </c>
    </row>
    <row r="2517" spans="1:6">
      <c r="A2517">
        <v>11</v>
      </c>
      <c r="B2517" t="s">
        <v>186</v>
      </c>
      <c r="C2517" s="1">
        <v>1</v>
      </c>
      <c r="D2517" s="1" t="s">
        <v>199</v>
      </c>
      <c r="E2517" s="1">
        <v>72</v>
      </c>
      <c r="F2517" s="1" t="s">
        <v>199</v>
      </c>
    </row>
    <row r="2518" spans="1:6">
      <c r="A2518">
        <v>12</v>
      </c>
      <c r="B2518" t="s">
        <v>107</v>
      </c>
      <c r="C2518" s="1">
        <v>1</v>
      </c>
      <c r="D2518" s="1" t="s">
        <v>196</v>
      </c>
      <c r="E2518" s="1">
        <v>42</v>
      </c>
      <c r="F2518" s="1" t="s">
        <v>196</v>
      </c>
    </row>
    <row r="2519" spans="1:6">
      <c r="A2519">
        <v>12</v>
      </c>
      <c r="B2519" t="s">
        <v>107</v>
      </c>
      <c r="C2519" s="1">
        <v>1</v>
      </c>
      <c r="D2519" s="1">
        <v>44</v>
      </c>
      <c r="E2519" s="1">
        <v>50</v>
      </c>
      <c r="F2519" s="1">
        <v>44</v>
      </c>
    </row>
    <row r="2520" spans="1:6">
      <c r="A2520">
        <v>12</v>
      </c>
      <c r="B2520" t="s">
        <v>107</v>
      </c>
      <c r="C2520" s="1">
        <v>1</v>
      </c>
      <c r="D2520" s="1" t="s">
        <v>197</v>
      </c>
      <c r="E2520" s="1">
        <v>52</v>
      </c>
      <c r="F2520" s="1" t="s">
        <v>197</v>
      </c>
    </row>
    <row r="2521" spans="1:6">
      <c r="A2521">
        <v>12</v>
      </c>
      <c r="B2521" t="s">
        <v>107</v>
      </c>
      <c r="C2521" s="1">
        <v>1</v>
      </c>
      <c r="D2521" s="1" t="s">
        <v>199</v>
      </c>
      <c r="E2521" s="1">
        <v>72</v>
      </c>
      <c r="F2521" s="1" t="s">
        <v>199</v>
      </c>
    </row>
    <row r="2522" spans="1:6">
      <c r="A2522">
        <v>15</v>
      </c>
      <c r="B2522" t="s">
        <v>201</v>
      </c>
      <c r="C2522" s="1">
        <v>4</v>
      </c>
      <c r="D2522" s="1" t="s">
        <v>286</v>
      </c>
      <c r="E2522" s="1">
        <v>70</v>
      </c>
      <c r="F2522" s="1" t="s">
        <v>286</v>
      </c>
    </row>
    <row r="2523" spans="1:6">
      <c r="A2523">
        <v>21</v>
      </c>
      <c r="B2523" t="s">
        <v>205</v>
      </c>
      <c r="C2523" s="1">
        <v>1</v>
      </c>
      <c r="D2523" s="1" t="s">
        <v>288</v>
      </c>
      <c r="E2523" s="1">
        <v>62</v>
      </c>
      <c r="F2523" s="1" t="s">
        <v>288</v>
      </c>
    </row>
    <row r="2524" spans="1:6">
      <c r="A2524">
        <v>27</v>
      </c>
      <c r="B2524" t="s">
        <v>210</v>
      </c>
      <c r="C2524" s="1">
        <v>1</v>
      </c>
      <c r="D2524" s="1" t="s">
        <v>194</v>
      </c>
      <c r="E2524" s="1">
        <v>22</v>
      </c>
      <c r="F2524" s="1" t="s">
        <v>194</v>
      </c>
    </row>
    <row r="2525" spans="1:6">
      <c r="A2525">
        <v>33</v>
      </c>
      <c r="B2525" t="s">
        <v>213</v>
      </c>
      <c r="C2525" s="1">
        <v>1</v>
      </c>
      <c r="D2525" s="1" t="s">
        <v>287</v>
      </c>
      <c r="E2525" s="1">
        <v>22</v>
      </c>
      <c r="F2525" s="1" t="s">
        <v>287</v>
      </c>
    </row>
    <row r="2526" spans="1:6">
      <c r="A2526">
        <v>41</v>
      </c>
      <c r="B2526" t="s">
        <v>219</v>
      </c>
      <c r="C2526" s="1">
        <v>1</v>
      </c>
      <c r="D2526" s="1" t="s">
        <v>442</v>
      </c>
      <c r="E2526" s="1">
        <v>10</v>
      </c>
      <c r="F2526" s="1" t="s">
        <v>442</v>
      </c>
    </row>
    <row r="2527" spans="1:6">
      <c r="A2527">
        <v>41</v>
      </c>
      <c r="B2527" t="s">
        <v>219</v>
      </c>
      <c r="C2527" s="1">
        <v>1</v>
      </c>
      <c r="D2527" s="1" t="s">
        <v>511</v>
      </c>
      <c r="E2527" s="1">
        <v>20</v>
      </c>
      <c r="F2527" s="1" t="s">
        <v>511</v>
      </c>
    </row>
    <row r="2528" spans="1:6">
      <c r="A2528">
        <v>41</v>
      </c>
      <c r="B2528" t="s">
        <v>219</v>
      </c>
      <c r="C2528" s="1">
        <v>1</v>
      </c>
      <c r="D2528" s="1" t="s">
        <v>443</v>
      </c>
      <c r="F2528" s="1" t="s">
        <v>443</v>
      </c>
    </row>
    <row r="2529" spans="1:6">
      <c r="A2529">
        <v>42</v>
      </c>
      <c r="B2529" t="s">
        <v>220</v>
      </c>
      <c r="C2529" s="1">
        <v>1</v>
      </c>
      <c r="D2529" s="1" t="s">
        <v>526</v>
      </c>
      <c r="E2529" s="1">
        <v>60</v>
      </c>
      <c r="F2529" s="1" t="s">
        <v>526</v>
      </c>
    </row>
    <row r="2530" spans="1:6">
      <c r="A2530">
        <v>57</v>
      </c>
      <c r="B2530" t="s">
        <v>183</v>
      </c>
      <c r="C2530" s="1">
        <v>3</v>
      </c>
      <c r="D2530" s="1" t="s">
        <v>338</v>
      </c>
      <c r="E2530" s="1">
        <v>60</v>
      </c>
      <c r="F2530" s="1" t="s">
        <v>338</v>
      </c>
    </row>
    <row r="2531" spans="1:6">
      <c r="A2531">
        <v>57</v>
      </c>
      <c r="B2531" t="s">
        <v>183</v>
      </c>
      <c r="E2531" s="1">
        <v>60</v>
      </c>
    </row>
    <row r="2532" spans="1:6">
      <c r="A2532">
        <v>58</v>
      </c>
      <c r="B2532" t="s">
        <v>226</v>
      </c>
      <c r="C2532" s="1">
        <v>2</v>
      </c>
      <c r="D2532" s="1" t="s">
        <v>318</v>
      </c>
      <c r="E2532" s="1">
        <v>60</v>
      </c>
      <c r="F2532" s="1" t="s">
        <v>318</v>
      </c>
    </row>
    <row r="2533" spans="1:6">
      <c r="A2533">
        <v>58</v>
      </c>
      <c r="B2533" t="s">
        <v>226</v>
      </c>
      <c r="C2533" s="1">
        <v>3</v>
      </c>
      <c r="D2533" s="1" t="s">
        <v>587</v>
      </c>
      <c r="E2533" s="1">
        <v>20</v>
      </c>
      <c r="F2533" s="1" t="s">
        <v>587</v>
      </c>
    </row>
    <row r="2534" spans="1:6">
      <c r="A2534">
        <v>59</v>
      </c>
      <c r="B2534" t="s">
        <v>227</v>
      </c>
      <c r="C2534" s="1">
        <v>3</v>
      </c>
      <c r="D2534" s="1" t="s">
        <v>295</v>
      </c>
      <c r="E2534" s="1">
        <v>23</v>
      </c>
      <c r="F2534" s="1" t="s">
        <v>295</v>
      </c>
    </row>
    <row r="2535" spans="1:6">
      <c r="A2535">
        <v>72</v>
      </c>
      <c r="B2535" t="s">
        <v>234</v>
      </c>
      <c r="E2535" s="1">
        <v>20</v>
      </c>
    </row>
    <row r="2536" spans="1:6">
      <c r="A2536">
        <v>72</v>
      </c>
      <c r="B2536" t="s">
        <v>234</v>
      </c>
      <c r="E2536" s="1">
        <v>40</v>
      </c>
    </row>
    <row r="2537" spans="1:6">
      <c r="A2537">
        <v>74</v>
      </c>
      <c r="B2537" t="s">
        <v>235</v>
      </c>
      <c r="C2537" s="1">
        <v>3</v>
      </c>
      <c r="D2537" s="1" t="s">
        <v>320</v>
      </c>
      <c r="E2537" s="1">
        <v>50</v>
      </c>
      <c r="F2537" s="1" t="s">
        <v>320</v>
      </c>
    </row>
    <row r="2538" spans="1:6">
      <c r="A2538">
        <v>6</v>
      </c>
      <c r="B2538" t="s">
        <v>184</v>
      </c>
      <c r="E2538" s="1">
        <v>63</v>
      </c>
    </row>
    <row r="2539" spans="1:6">
      <c r="A2539">
        <v>11</v>
      </c>
      <c r="B2539" t="s">
        <v>186</v>
      </c>
      <c r="C2539" s="1">
        <v>1</v>
      </c>
      <c r="D2539" s="1" t="s">
        <v>196</v>
      </c>
      <c r="E2539" s="1">
        <v>42</v>
      </c>
      <c r="F2539" s="1" t="s">
        <v>196</v>
      </c>
    </row>
    <row r="2540" spans="1:6">
      <c r="A2540">
        <v>13</v>
      </c>
      <c r="B2540" t="s">
        <v>200</v>
      </c>
      <c r="C2540" s="1">
        <v>1</v>
      </c>
      <c r="D2540" s="1" t="s">
        <v>195</v>
      </c>
      <c r="E2540" s="1">
        <v>32</v>
      </c>
      <c r="F2540" s="1" t="s">
        <v>195</v>
      </c>
    </row>
    <row r="2541" spans="1:6">
      <c r="A2541">
        <v>1</v>
      </c>
      <c r="B2541" t="s">
        <v>137</v>
      </c>
      <c r="C2541" s="1">
        <v>1</v>
      </c>
      <c r="D2541" s="1">
        <v>16</v>
      </c>
      <c r="E2541" s="1">
        <v>90</v>
      </c>
      <c r="F2541" s="1">
        <v>16</v>
      </c>
    </row>
    <row r="2542" spans="1:6">
      <c r="A2542">
        <v>1</v>
      </c>
      <c r="B2542" t="s">
        <v>137</v>
      </c>
      <c r="C2542" s="1">
        <v>1</v>
      </c>
      <c r="D2542" s="1" t="s">
        <v>156</v>
      </c>
      <c r="E2542" s="1">
        <v>96</v>
      </c>
      <c r="F2542" s="1" t="s">
        <v>156</v>
      </c>
    </row>
    <row r="2543" spans="1:6">
      <c r="A2543">
        <v>1</v>
      </c>
      <c r="B2543" t="s">
        <v>137</v>
      </c>
      <c r="C2543" s="1">
        <v>2</v>
      </c>
      <c r="D2543" s="1" t="s">
        <v>159</v>
      </c>
      <c r="E2543" s="1">
        <v>2</v>
      </c>
      <c r="F2543" s="1" t="s">
        <v>159</v>
      </c>
    </row>
    <row r="2544" spans="1:6">
      <c r="A2544">
        <v>1</v>
      </c>
      <c r="B2544" t="s">
        <v>137</v>
      </c>
      <c r="C2544" s="1">
        <v>2</v>
      </c>
      <c r="D2544" s="1">
        <v>19</v>
      </c>
      <c r="E2544" s="1">
        <v>10</v>
      </c>
      <c r="F2544" s="1">
        <v>19</v>
      </c>
    </row>
    <row r="2545" spans="1:6">
      <c r="A2545">
        <v>1</v>
      </c>
      <c r="B2545" t="s">
        <v>137</v>
      </c>
      <c r="C2545" s="1">
        <v>2</v>
      </c>
      <c r="D2545" s="1" t="s">
        <v>162</v>
      </c>
      <c r="E2545" s="1">
        <v>12</v>
      </c>
      <c r="F2545" s="1" t="s">
        <v>162</v>
      </c>
    </row>
    <row r="2546" spans="1:6">
      <c r="A2546">
        <v>1</v>
      </c>
      <c r="B2546" t="s">
        <v>137</v>
      </c>
      <c r="C2546" s="1">
        <v>2</v>
      </c>
      <c r="D2546" s="1">
        <v>20</v>
      </c>
      <c r="E2546" s="1">
        <v>20</v>
      </c>
      <c r="F2546" s="1">
        <v>20</v>
      </c>
    </row>
    <row r="2547" spans="1:6">
      <c r="A2547">
        <v>1</v>
      </c>
      <c r="B2547" t="s">
        <v>137</v>
      </c>
      <c r="C2547" s="1">
        <v>2</v>
      </c>
      <c r="D2547" s="1" t="s">
        <v>165</v>
      </c>
      <c r="E2547" s="1">
        <v>22</v>
      </c>
      <c r="F2547" s="1" t="s">
        <v>165</v>
      </c>
    </row>
    <row r="2548" spans="1:6">
      <c r="A2548">
        <v>1</v>
      </c>
      <c r="B2548" t="s">
        <v>137</v>
      </c>
      <c r="C2548" s="1">
        <v>2</v>
      </c>
      <c r="D2548" s="1">
        <v>21</v>
      </c>
      <c r="E2548" s="1">
        <v>30</v>
      </c>
      <c r="F2548" s="1">
        <v>21</v>
      </c>
    </row>
    <row r="2549" spans="1:6">
      <c r="A2549">
        <v>1</v>
      </c>
      <c r="B2549" t="s">
        <v>137</v>
      </c>
      <c r="C2549" s="1">
        <v>2</v>
      </c>
      <c r="D2549" s="1" t="s">
        <v>168</v>
      </c>
      <c r="E2549" s="1">
        <v>32</v>
      </c>
      <c r="F2549" s="1" t="s">
        <v>168</v>
      </c>
    </row>
    <row r="2550" spans="1:6">
      <c r="A2550">
        <v>1</v>
      </c>
      <c r="B2550" t="s">
        <v>137</v>
      </c>
      <c r="C2550" s="1">
        <v>2</v>
      </c>
      <c r="D2550" s="1">
        <v>22</v>
      </c>
      <c r="E2550" s="1">
        <v>40</v>
      </c>
      <c r="F2550" s="1">
        <v>22</v>
      </c>
    </row>
    <row r="2551" spans="1:6">
      <c r="A2551">
        <v>1</v>
      </c>
      <c r="B2551" t="s">
        <v>137</v>
      </c>
      <c r="C2551" s="1">
        <v>2</v>
      </c>
      <c r="D2551" s="1" t="s">
        <v>171</v>
      </c>
      <c r="E2551" s="1">
        <v>42</v>
      </c>
      <c r="F2551" s="1" t="s">
        <v>171</v>
      </c>
    </row>
    <row r="2552" spans="1:6">
      <c r="A2552">
        <v>1</v>
      </c>
      <c r="B2552" t="s">
        <v>137</v>
      </c>
      <c r="C2552" s="1">
        <v>2</v>
      </c>
      <c r="D2552" s="1">
        <v>23</v>
      </c>
      <c r="E2552" s="1">
        <v>50</v>
      </c>
      <c r="F2552" s="1">
        <v>23</v>
      </c>
    </row>
    <row r="2553" spans="1:6">
      <c r="A2553">
        <v>1</v>
      </c>
      <c r="B2553" t="s">
        <v>137</v>
      </c>
      <c r="C2553" s="1">
        <v>2</v>
      </c>
      <c r="D2553" s="1">
        <v>24</v>
      </c>
      <c r="E2553" s="1">
        <v>60</v>
      </c>
      <c r="F2553" s="1">
        <v>24</v>
      </c>
    </row>
    <row r="2554" spans="1:6">
      <c r="A2554">
        <v>1</v>
      </c>
      <c r="B2554" t="s">
        <v>137</v>
      </c>
      <c r="C2554" s="1">
        <v>2</v>
      </c>
      <c r="D2554" s="1" t="s">
        <v>180</v>
      </c>
      <c r="E2554" s="1">
        <v>72</v>
      </c>
      <c r="F2554" s="1" t="s">
        <v>180</v>
      </c>
    </row>
    <row r="2555" spans="1:6">
      <c r="A2555">
        <v>1</v>
      </c>
      <c r="B2555" t="s">
        <v>137</v>
      </c>
      <c r="C2555" s="1">
        <v>2</v>
      </c>
      <c r="D2555" s="1">
        <v>18</v>
      </c>
      <c r="F2555" s="1">
        <v>18</v>
      </c>
    </row>
    <row r="2556" spans="1:6">
      <c r="A2556">
        <v>5</v>
      </c>
      <c r="B2556" t="s">
        <v>183</v>
      </c>
      <c r="E2556" s="1">
        <v>60</v>
      </c>
    </row>
    <row r="2557" spans="1:6">
      <c r="A2557">
        <v>6</v>
      </c>
      <c r="B2557" t="s">
        <v>184</v>
      </c>
      <c r="E2557" s="1">
        <v>63</v>
      </c>
    </row>
    <row r="2558" spans="1:6">
      <c r="A2558">
        <v>11</v>
      </c>
      <c r="B2558" t="s">
        <v>186</v>
      </c>
      <c r="C2558" s="1">
        <v>1</v>
      </c>
      <c r="D2558" s="1" t="s">
        <v>193</v>
      </c>
      <c r="E2558" s="1">
        <v>12</v>
      </c>
      <c r="F2558" s="1" t="s">
        <v>193</v>
      </c>
    </row>
    <row r="2559" spans="1:6">
      <c r="A2559">
        <v>11</v>
      </c>
      <c r="B2559" t="s">
        <v>186</v>
      </c>
      <c r="C2559" s="1">
        <v>1</v>
      </c>
      <c r="D2559" s="1" t="s">
        <v>194</v>
      </c>
      <c r="E2559" s="1">
        <v>22</v>
      </c>
      <c r="F2559" s="1" t="s">
        <v>194</v>
      </c>
    </row>
    <row r="2560" spans="1:6">
      <c r="A2560">
        <v>11</v>
      </c>
      <c r="B2560" t="s">
        <v>186</v>
      </c>
      <c r="C2560" s="1">
        <v>1</v>
      </c>
      <c r="D2560" s="1">
        <v>42</v>
      </c>
      <c r="E2560" s="1">
        <v>30</v>
      </c>
      <c r="F2560" s="1">
        <v>42</v>
      </c>
    </row>
    <row r="2561" spans="1:6">
      <c r="A2561">
        <v>11</v>
      </c>
      <c r="B2561" t="s">
        <v>186</v>
      </c>
      <c r="C2561" s="1">
        <v>1</v>
      </c>
      <c r="D2561" s="1" t="s">
        <v>195</v>
      </c>
      <c r="E2561" s="1">
        <v>32</v>
      </c>
      <c r="F2561" s="1" t="s">
        <v>195</v>
      </c>
    </row>
    <row r="2562" spans="1:6">
      <c r="A2562">
        <v>11</v>
      </c>
      <c r="B2562" t="s">
        <v>186</v>
      </c>
      <c r="C2562" s="1">
        <v>1</v>
      </c>
      <c r="D2562" s="1">
        <v>43</v>
      </c>
      <c r="E2562" s="1">
        <v>40</v>
      </c>
      <c r="F2562" s="1">
        <v>43</v>
      </c>
    </row>
    <row r="2563" spans="1:6">
      <c r="A2563">
        <v>11</v>
      </c>
      <c r="B2563" t="s">
        <v>186</v>
      </c>
      <c r="C2563" s="1">
        <v>1</v>
      </c>
      <c r="D2563" s="1" t="s">
        <v>196</v>
      </c>
      <c r="E2563" s="1">
        <v>42</v>
      </c>
      <c r="F2563" s="1" t="s">
        <v>196</v>
      </c>
    </row>
    <row r="2564" spans="1:6">
      <c r="A2564">
        <v>11</v>
      </c>
      <c r="B2564" t="s">
        <v>186</v>
      </c>
      <c r="C2564" s="1">
        <v>1</v>
      </c>
      <c r="D2564" s="1">
        <v>44</v>
      </c>
      <c r="E2564" s="1">
        <v>50</v>
      </c>
      <c r="F2564" s="1">
        <v>44</v>
      </c>
    </row>
    <row r="2565" spans="1:6">
      <c r="A2565">
        <v>11</v>
      </c>
      <c r="B2565" t="s">
        <v>186</v>
      </c>
      <c r="C2565" s="1">
        <v>1</v>
      </c>
      <c r="D2565" s="1" t="s">
        <v>197</v>
      </c>
      <c r="E2565" s="1">
        <v>52</v>
      </c>
      <c r="F2565" s="1" t="s">
        <v>197</v>
      </c>
    </row>
    <row r="2566" spans="1:6">
      <c r="A2566">
        <v>11</v>
      </c>
      <c r="B2566" t="s">
        <v>186</v>
      </c>
      <c r="C2566" s="1">
        <v>1</v>
      </c>
      <c r="D2566" s="1">
        <v>45</v>
      </c>
      <c r="E2566" s="1">
        <v>60</v>
      </c>
      <c r="F2566" s="1">
        <v>45</v>
      </c>
    </row>
    <row r="2567" spans="1:6">
      <c r="A2567">
        <v>11</v>
      </c>
      <c r="B2567" t="s">
        <v>186</v>
      </c>
      <c r="C2567" s="1">
        <v>1</v>
      </c>
      <c r="D2567" s="1" t="s">
        <v>198</v>
      </c>
      <c r="E2567" s="1">
        <v>62</v>
      </c>
      <c r="F2567" s="1" t="s">
        <v>198</v>
      </c>
    </row>
    <row r="2568" spans="1:6">
      <c r="A2568">
        <v>11</v>
      </c>
      <c r="B2568" t="s">
        <v>186</v>
      </c>
      <c r="C2568" s="1">
        <v>1</v>
      </c>
      <c r="D2568" s="1" t="s">
        <v>199</v>
      </c>
      <c r="E2568" s="1">
        <v>72</v>
      </c>
      <c r="F2568" s="1" t="s">
        <v>199</v>
      </c>
    </row>
    <row r="2569" spans="1:6">
      <c r="A2569">
        <v>11</v>
      </c>
      <c r="B2569" t="s">
        <v>186</v>
      </c>
      <c r="C2569" s="1">
        <v>1</v>
      </c>
      <c r="D2569" s="1">
        <v>39</v>
      </c>
      <c r="F2569" s="1">
        <v>39</v>
      </c>
    </row>
    <row r="2570" spans="1:6">
      <c r="A2570">
        <v>12</v>
      </c>
      <c r="B2570" t="s">
        <v>107</v>
      </c>
      <c r="C2570" s="1">
        <v>1</v>
      </c>
      <c r="D2570" s="1" t="s">
        <v>193</v>
      </c>
      <c r="E2570" s="1">
        <v>12</v>
      </c>
      <c r="F2570" s="1" t="s">
        <v>193</v>
      </c>
    </row>
    <row r="2571" spans="1:6">
      <c r="A2571">
        <v>12</v>
      </c>
      <c r="B2571" t="s">
        <v>107</v>
      </c>
      <c r="C2571" s="1">
        <v>1</v>
      </c>
      <c r="D2571" s="1">
        <v>41</v>
      </c>
      <c r="E2571" s="1">
        <v>20</v>
      </c>
      <c r="F2571" s="1">
        <v>41</v>
      </c>
    </row>
    <row r="2572" spans="1:6">
      <c r="A2572">
        <v>12</v>
      </c>
      <c r="B2572" t="s">
        <v>107</v>
      </c>
      <c r="C2572" s="1">
        <v>1</v>
      </c>
      <c r="D2572" s="1" t="s">
        <v>194</v>
      </c>
      <c r="E2572" s="1">
        <v>22</v>
      </c>
      <c r="F2572" s="1" t="s">
        <v>194</v>
      </c>
    </row>
    <row r="2573" spans="1:6">
      <c r="A2573">
        <v>12</v>
      </c>
      <c r="B2573" t="s">
        <v>107</v>
      </c>
      <c r="C2573" s="1">
        <v>1</v>
      </c>
      <c r="D2573" s="1">
        <v>42</v>
      </c>
      <c r="E2573" s="1">
        <v>30</v>
      </c>
      <c r="F2573" s="1">
        <v>42</v>
      </c>
    </row>
    <row r="2574" spans="1:6">
      <c r="A2574">
        <v>12</v>
      </c>
      <c r="B2574" t="s">
        <v>107</v>
      </c>
      <c r="C2574" s="1">
        <v>1</v>
      </c>
      <c r="D2574" s="1" t="s">
        <v>195</v>
      </c>
      <c r="E2574" s="1">
        <v>32</v>
      </c>
      <c r="F2574" s="1" t="s">
        <v>195</v>
      </c>
    </row>
    <row r="2575" spans="1:6">
      <c r="A2575">
        <v>12</v>
      </c>
      <c r="B2575" t="s">
        <v>107</v>
      </c>
      <c r="C2575" s="1">
        <v>1</v>
      </c>
      <c r="D2575" s="1">
        <v>43</v>
      </c>
      <c r="E2575" s="1">
        <v>40</v>
      </c>
      <c r="F2575" s="1">
        <v>43</v>
      </c>
    </row>
    <row r="2576" spans="1:6">
      <c r="A2576">
        <v>12</v>
      </c>
      <c r="B2576" t="s">
        <v>107</v>
      </c>
      <c r="C2576" s="1">
        <v>1</v>
      </c>
      <c r="D2576" s="1" t="s">
        <v>196</v>
      </c>
      <c r="E2576" s="1">
        <v>42</v>
      </c>
      <c r="F2576" s="1" t="s">
        <v>196</v>
      </c>
    </row>
    <row r="2577" spans="1:6">
      <c r="A2577">
        <v>12</v>
      </c>
      <c r="B2577" t="s">
        <v>107</v>
      </c>
      <c r="C2577" s="1">
        <v>1</v>
      </c>
      <c r="D2577" s="1">
        <v>44</v>
      </c>
      <c r="E2577" s="1">
        <v>50</v>
      </c>
      <c r="F2577" s="1">
        <v>44</v>
      </c>
    </row>
    <row r="2578" spans="1:6">
      <c r="A2578">
        <v>12</v>
      </c>
      <c r="B2578" t="s">
        <v>107</v>
      </c>
      <c r="C2578" s="1">
        <v>1</v>
      </c>
      <c r="D2578" s="1" t="s">
        <v>197</v>
      </c>
      <c r="E2578" s="1">
        <v>52</v>
      </c>
      <c r="F2578" s="1" t="s">
        <v>197</v>
      </c>
    </row>
    <row r="2579" spans="1:6">
      <c r="A2579">
        <v>12</v>
      </c>
      <c r="B2579" t="s">
        <v>107</v>
      </c>
      <c r="C2579" s="1">
        <v>1</v>
      </c>
      <c r="D2579" s="1">
        <v>45</v>
      </c>
      <c r="E2579" s="1">
        <v>60</v>
      </c>
      <c r="F2579" s="1">
        <v>45</v>
      </c>
    </row>
    <row r="2580" spans="1:6">
      <c r="A2580">
        <v>12</v>
      </c>
      <c r="B2580" t="s">
        <v>107</v>
      </c>
      <c r="C2580" s="1">
        <v>1</v>
      </c>
      <c r="D2580" s="1" t="s">
        <v>198</v>
      </c>
      <c r="E2580" s="1">
        <v>62</v>
      </c>
      <c r="F2580" s="1" t="s">
        <v>198</v>
      </c>
    </row>
    <row r="2581" spans="1:6">
      <c r="A2581">
        <v>12</v>
      </c>
      <c r="B2581" t="s">
        <v>107</v>
      </c>
      <c r="C2581" s="1">
        <v>1</v>
      </c>
      <c r="D2581" s="1" t="s">
        <v>199</v>
      </c>
      <c r="E2581" s="1">
        <v>72</v>
      </c>
      <c r="F2581" s="1" t="s">
        <v>199</v>
      </c>
    </row>
    <row r="2582" spans="1:6">
      <c r="A2582">
        <v>13</v>
      </c>
      <c r="B2582" t="s">
        <v>200</v>
      </c>
      <c r="C2582" s="1">
        <v>1</v>
      </c>
      <c r="D2582" s="1">
        <v>40</v>
      </c>
      <c r="E2582" s="1">
        <v>10</v>
      </c>
      <c r="F2582" s="1">
        <v>40</v>
      </c>
    </row>
    <row r="2583" spans="1:6">
      <c r="A2583">
        <v>13</v>
      </c>
      <c r="B2583" t="s">
        <v>200</v>
      </c>
      <c r="C2583" s="1">
        <v>1</v>
      </c>
      <c r="D2583" s="1">
        <v>41</v>
      </c>
      <c r="E2583" s="1">
        <v>20</v>
      </c>
      <c r="F2583" s="1">
        <v>41</v>
      </c>
    </row>
    <row r="2584" spans="1:6">
      <c r="A2584">
        <v>13</v>
      </c>
      <c r="B2584" t="s">
        <v>200</v>
      </c>
      <c r="C2584" s="1">
        <v>1</v>
      </c>
      <c r="D2584" s="1" t="s">
        <v>194</v>
      </c>
      <c r="E2584" s="1">
        <v>22</v>
      </c>
      <c r="F2584" s="1" t="s">
        <v>194</v>
      </c>
    </row>
    <row r="2585" spans="1:6">
      <c r="A2585">
        <v>13</v>
      </c>
      <c r="B2585" t="s">
        <v>200</v>
      </c>
      <c r="C2585" s="1">
        <v>1</v>
      </c>
      <c r="D2585" s="1">
        <v>42</v>
      </c>
      <c r="E2585" s="1">
        <v>30</v>
      </c>
      <c r="F2585" s="1">
        <v>42</v>
      </c>
    </row>
    <row r="2586" spans="1:6">
      <c r="A2586">
        <v>13</v>
      </c>
      <c r="B2586" t="s">
        <v>200</v>
      </c>
      <c r="C2586" s="1">
        <v>1</v>
      </c>
      <c r="D2586" s="1" t="s">
        <v>195</v>
      </c>
      <c r="E2586" s="1">
        <v>32</v>
      </c>
      <c r="F2586" s="1" t="s">
        <v>195</v>
      </c>
    </row>
    <row r="2587" spans="1:6">
      <c r="A2587">
        <v>13</v>
      </c>
      <c r="B2587" t="s">
        <v>200</v>
      </c>
      <c r="C2587" s="1">
        <v>1</v>
      </c>
      <c r="D2587" s="1">
        <v>43</v>
      </c>
      <c r="E2587" s="1">
        <v>40</v>
      </c>
      <c r="F2587" s="1">
        <v>43</v>
      </c>
    </row>
    <row r="2588" spans="1:6">
      <c r="A2588">
        <v>13</v>
      </c>
      <c r="B2588" t="s">
        <v>200</v>
      </c>
      <c r="C2588" s="1">
        <v>1</v>
      </c>
      <c r="D2588" s="1" t="s">
        <v>196</v>
      </c>
      <c r="E2588" s="1">
        <v>42</v>
      </c>
      <c r="F2588" s="1" t="s">
        <v>196</v>
      </c>
    </row>
    <row r="2589" spans="1:6">
      <c r="A2589">
        <v>13</v>
      </c>
      <c r="B2589" t="s">
        <v>200</v>
      </c>
      <c r="C2589" s="1">
        <v>1</v>
      </c>
      <c r="D2589" s="1">
        <v>44</v>
      </c>
      <c r="E2589" s="1">
        <v>50</v>
      </c>
      <c r="F2589" s="1">
        <v>44</v>
      </c>
    </row>
    <row r="2590" spans="1:6">
      <c r="A2590">
        <v>21</v>
      </c>
      <c r="B2590" t="s">
        <v>205</v>
      </c>
      <c r="C2590" s="1">
        <v>1</v>
      </c>
      <c r="D2590" s="1" t="s">
        <v>287</v>
      </c>
      <c r="E2590" s="1">
        <v>52</v>
      </c>
      <c r="F2590" s="1" t="s">
        <v>287</v>
      </c>
    </row>
    <row r="2591" spans="1:6">
      <c r="A2591">
        <v>27</v>
      </c>
      <c r="B2591" t="s">
        <v>210</v>
      </c>
      <c r="C2591" s="1">
        <v>1</v>
      </c>
      <c r="D2591" s="1" t="s">
        <v>192</v>
      </c>
      <c r="E2591" s="1">
        <v>2</v>
      </c>
      <c r="F2591" s="1" t="s">
        <v>192</v>
      </c>
    </row>
    <row r="2592" spans="1:6">
      <c r="A2592">
        <v>27</v>
      </c>
      <c r="B2592" t="s">
        <v>210</v>
      </c>
      <c r="C2592" s="1">
        <v>1</v>
      </c>
      <c r="D2592" s="1">
        <v>39</v>
      </c>
      <c r="F2592" s="1">
        <v>39</v>
      </c>
    </row>
    <row r="2593" spans="1:6">
      <c r="A2593">
        <v>43</v>
      </c>
      <c r="B2593" t="s">
        <v>221</v>
      </c>
      <c r="E2593" s="1">
        <v>30</v>
      </c>
    </row>
    <row r="2594" spans="1:6">
      <c r="A2594">
        <v>43</v>
      </c>
      <c r="B2594" t="s">
        <v>221</v>
      </c>
      <c r="E2594" s="1">
        <v>40</v>
      </c>
    </row>
    <row r="2595" spans="1:6">
      <c r="A2595">
        <v>43</v>
      </c>
      <c r="B2595" t="s">
        <v>221</v>
      </c>
      <c r="E2595" s="1">
        <v>50</v>
      </c>
    </row>
    <row r="2596" spans="1:6">
      <c r="A2596">
        <v>43</v>
      </c>
      <c r="B2596" t="s">
        <v>221</v>
      </c>
      <c r="E2596" s="1">
        <v>60</v>
      </c>
    </row>
    <row r="2597" spans="1:6">
      <c r="A2597">
        <v>57</v>
      </c>
      <c r="B2597" t="s">
        <v>183</v>
      </c>
      <c r="C2597" s="1">
        <v>3</v>
      </c>
      <c r="D2597" s="1" t="s">
        <v>492</v>
      </c>
      <c r="E2597" s="1">
        <v>50</v>
      </c>
      <c r="F2597" s="1" t="s">
        <v>492</v>
      </c>
    </row>
    <row r="2598" spans="1:6">
      <c r="A2598">
        <v>57</v>
      </c>
      <c r="B2598" t="s">
        <v>183</v>
      </c>
      <c r="E2598" s="1">
        <v>50</v>
      </c>
    </row>
    <row r="2599" spans="1:6">
      <c r="A2599">
        <v>57</v>
      </c>
      <c r="B2599" t="s">
        <v>183</v>
      </c>
      <c r="E2599" s="1">
        <v>60</v>
      </c>
    </row>
    <row r="2600" spans="1:6">
      <c r="A2600">
        <v>74</v>
      </c>
      <c r="B2600" t="s">
        <v>235</v>
      </c>
      <c r="C2600" s="1">
        <v>3</v>
      </c>
      <c r="D2600" s="1" t="s">
        <v>320</v>
      </c>
      <c r="E2600" s="1">
        <v>50</v>
      </c>
      <c r="F2600" s="1" t="s">
        <v>320</v>
      </c>
    </row>
    <row r="2601" spans="1:6">
      <c r="A2601">
        <v>74</v>
      </c>
      <c r="B2601" t="s">
        <v>235</v>
      </c>
      <c r="C2601" s="1">
        <v>3</v>
      </c>
      <c r="D2601" s="1" t="s">
        <v>321</v>
      </c>
      <c r="E2601" s="1">
        <v>60</v>
      </c>
      <c r="F2601" s="1" t="s">
        <v>321</v>
      </c>
    </row>
    <row r="2602" spans="1:6">
      <c r="A2602">
        <v>82</v>
      </c>
      <c r="B2602" t="s">
        <v>239</v>
      </c>
      <c r="E2602" s="1">
        <v>32</v>
      </c>
    </row>
    <row r="2603" spans="1:6">
      <c r="A2603">
        <v>1</v>
      </c>
      <c r="B2603" t="s">
        <v>137</v>
      </c>
      <c r="C2603" s="1">
        <v>1</v>
      </c>
      <c r="D2603" s="1" t="s">
        <v>144</v>
      </c>
      <c r="E2603" s="1">
        <v>62</v>
      </c>
      <c r="F2603" s="1" t="s">
        <v>144</v>
      </c>
    </row>
    <row r="2604" spans="1:6">
      <c r="A2604">
        <v>1</v>
      </c>
      <c r="B2604" t="s">
        <v>137</v>
      </c>
      <c r="C2604" s="1">
        <v>1</v>
      </c>
      <c r="D2604" s="1" t="s">
        <v>147</v>
      </c>
      <c r="E2604" s="1">
        <v>72</v>
      </c>
      <c r="F2604" s="1" t="s">
        <v>147</v>
      </c>
    </row>
    <row r="2605" spans="1:6">
      <c r="A2605">
        <v>1</v>
      </c>
      <c r="B2605" t="s">
        <v>137</v>
      </c>
      <c r="C2605" s="1">
        <v>1</v>
      </c>
      <c r="D2605" s="1" t="s">
        <v>150</v>
      </c>
      <c r="E2605" s="1">
        <v>82</v>
      </c>
      <c r="F2605" s="1" t="s">
        <v>150</v>
      </c>
    </row>
    <row r="2606" spans="1:6">
      <c r="A2606">
        <v>1</v>
      </c>
      <c r="B2606" t="s">
        <v>137</v>
      </c>
      <c r="C2606" s="1">
        <v>1</v>
      </c>
      <c r="D2606" s="1">
        <v>16</v>
      </c>
      <c r="E2606" s="1">
        <v>90</v>
      </c>
      <c r="F2606" s="1">
        <v>16</v>
      </c>
    </row>
    <row r="2607" spans="1:6">
      <c r="A2607">
        <v>1</v>
      </c>
      <c r="B2607" t="s">
        <v>137</v>
      </c>
      <c r="C2607" s="1">
        <v>1</v>
      </c>
      <c r="D2607" s="1" t="s">
        <v>153</v>
      </c>
      <c r="E2607" s="1">
        <v>92</v>
      </c>
      <c r="F2607" s="1" t="s">
        <v>153</v>
      </c>
    </row>
    <row r="2608" spans="1:6">
      <c r="A2608">
        <v>1</v>
      </c>
      <c r="B2608" t="s">
        <v>137</v>
      </c>
      <c r="C2608" s="1">
        <v>1</v>
      </c>
      <c r="D2608" s="1">
        <v>17</v>
      </c>
      <c r="E2608" s="1">
        <v>94</v>
      </c>
      <c r="F2608" s="1">
        <v>17</v>
      </c>
    </row>
    <row r="2609" spans="1:6">
      <c r="A2609">
        <v>1</v>
      </c>
      <c r="B2609" t="s">
        <v>137</v>
      </c>
      <c r="C2609" s="1">
        <v>1</v>
      </c>
      <c r="D2609" s="1" t="s">
        <v>156</v>
      </c>
      <c r="E2609" s="1">
        <v>96</v>
      </c>
      <c r="F2609" s="1" t="s">
        <v>156</v>
      </c>
    </row>
    <row r="2610" spans="1:6">
      <c r="A2610">
        <v>1</v>
      </c>
      <c r="B2610" t="s">
        <v>137</v>
      </c>
      <c r="C2610" s="1">
        <v>2</v>
      </c>
      <c r="D2610" s="1" t="s">
        <v>159</v>
      </c>
      <c r="E2610" s="1">
        <v>2</v>
      </c>
      <c r="F2610" s="1" t="s">
        <v>159</v>
      </c>
    </row>
    <row r="2611" spans="1:6">
      <c r="A2611">
        <v>1</v>
      </c>
      <c r="B2611" t="s">
        <v>137</v>
      </c>
      <c r="C2611" s="1">
        <v>2</v>
      </c>
      <c r="D2611" s="1">
        <v>19</v>
      </c>
      <c r="E2611" s="1">
        <v>10</v>
      </c>
      <c r="F2611" s="1">
        <v>19</v>
      </c>
    </row>
    <row r="2612" spans="1:6">
      <c r="A2612">
        <v>1</v>
      </c>
      <c r="B2612" t="s">
        <v>137</v>
      </c>
      <c r="C2612" s="1">
        <v>2</v>
      </c>
      <c r="D2612" s="1" t="s">
        <v>162</v>
      </c>
      <c r="E2612" s="1">
        <v>12</v>
      </c>
      <c r="F2612" s="1" t="s">
        <v>162</v>
      </c>
    </row>
    <row r="2613" spans="1:6">
      <c r="A2613">
        <v>1</v>
      </c>
      <c r="B2613" t="s">
        <v>137</v>
      </c>
      <c r="C2613" s="1">
        <v>2</v>
      </c>
      <c r="D2613" s="1">
        <v>20</v>
      </c>
      <c r="E2613" s="1">
        <v>20</v>
      </c>
      <c r="F2613" s="1">
        <v>20</v>
      </c>
    </row>
    <row r="2614" spans="1:6">
      <c r="A2614">
        <v>1</v>
      </c>
      <c r="B2614" t="s">
        <v>137</v>
      </c>
      <c r="C2614" s="1">
        <v>2</v>
      </c>
      <c r="D2614" s="1" t="s">
        <v>165</v>
      </c>
      <c r="E2614" s="1">
        <v>22</v>
      </c>
      <c r="F2614" s="1" t="s">
        <v>165</v>
      </c>
    </row>
    <row r="2615" spans="1:6">
      <c r="A2615">
        <v>1</v>
      </c>
      <c r="B2615" t="s">
        <v>137</v>
      </c>
      <c r="C2615" s="1">
        <v>2</v>
      </c>
      <c r="D2615" s="1">
        <v>21</v>
      </c>
      <c r="E2615" s="1">
        <v>30</v>
      </c>
      <c r="F2615" s="1">
        <v>21</v>
      </c>
    </row>
    <row r="2616" spans="1:6">
      <c r="A2616">
        <v>1</v>
      </c>
      <c r="B2616" t="s">
        <v>137</v>
      </c>
      <c r="C2616" s="1">
        <v>2</v>
      </c>
      <c r="D2616" s="1" t="s">
        <v>168</v>
      </c>
      <c r="E2616" s="1">
        <v>32</v>
      </c>
      <c r="F2616" s="1" t="s">
        <v>168</v>
      </c>
    </row>
    <row r="2617" spans="1:6">
      <c r="A2617">
        <v>1</v>
      </c>
      <c r="B2617" t="s">
        <v>137</v>
      </c>
      <c r="C2617" s="1">
        <v>2</v>
      </c>
      <c r="D2617" s="1">
        <v>22</v>
      </c>
      <c r="E2617" s="1">
        <v>40</v>
      </c>
      <c r="F2617" s="1">
        <v>22</v>
      </c>
    </row>
    <row r="2618" spans="1:6">
      <c r="A2618">
        <v>1</v>
      </c>
      <c r="B2618" t="s">
        <v>137</v>
      </c>
      <c r="C2618" s="1">
        <v>2</v>
      </c>
      <c r="D2618" s="1" t="s">
        <v>171</v>
      </c>
      <c r="E2618" s="1">
        <v>42</v>
      </c>
      <c r="F2618" s="1" t="s">
        <v>171</v>
      </c>
    </row>
    <row r="2619" spans="1:6">
      <c r="A2619">
        <v>1</v>
      </c>
      <c r="B2619" t="s">
        <v>137</v>
      </c>
      <c r="C2619" s="1">
        <v>2</v>
      </c>
      <c r="D2619" s="1">
        <v>23</v>
      </c>
      <c r="E2619" s="1">
        <v>50</v>
      </c>
      <c r="F2619" s="1">
        <v>23</v>
      </c>
    </row>
    <row r="2620" spans="1:6">
      <c r="A2620">
        <v>1</v>
      </c>
      <c r="B2620" t="s">
        <v>137</v>
      </c>
      <c r="C2620" s="1">
        <v>2</v>
      </c>
      <c r="D2620" s="1" t="s">
        <v>174</v>
      </c>
      <c r="E2620" s="1">
        <v>52</v>
      </c>
      <c r="F2620" s="1" t="s">
        <v>174</v>
      </c>
    </row>
    <row r="2621" spans="1:6">
      <c r="A2621">
        <v>1</v>
      </c>
      <c r="B2621" t="s">
        <v>137</v>
      </c>
      <c r="C2621" s="1">
        <v>2</v>
      </c>
      <c r="D2621" s="1" t="s">
        <v>177</v>
      </c>
      <c r="E2621" s="1">
        <v>62</v>
      </c>
      <c r="F2621" s="1" t="s">
        <v>177</v>
      </c>
    </row>
    <row r="2622" spans="1:6">
      <c r="A2622">
        <v>1</v>
      </c>
      <c r="B2622" t="s">
        <v>137</v>
      </c>
      <c r="C2622" s="1">
        <v>2</v>
      </c>
      <c r="D2622" s="1" t="s">
        <v>180</v>
      </c>
      <c r="E2622" s="1">
        <v>72</v>
      </c>
      <c r="F2622" s="1" t="s">
        <v>180</v>
      </c>
    </row>
    <row r="2623" spans="1:6">
      <c r="A2623">
        <v>1</v>
      </c>
      <c r="B2623" t="s">
        <v>137</v>
      </c>
      <c r="C2623" s="1">
        <v>2</v>
      </c>
      <c r="D2623" s="1">
        <v>18</v>
      </c>
      <c r="F2623" s="1">
        <v>18</v>
      </c>
    </row>
    <row r="2624" spans="1:6">
      <c r="A2624">
        <v>5</v>
      </c>
      <c r="B2624" t="s">
        <v>183</v>
      </c>
      <c r="E2624" s="1">
        <v>50</v>
      </c>
    </row>
    <row r="2625" spans="1:6">
      <c r="A2625">
        <v>5</v>
      </c>
      <c r="B2625" t="s">
        <v>183</v>
      </c>
      <c r="E2625" s="1">
        <v>60</v>
      </c>
    </row>
    <row r="2626" spans="1:6">
      <c r="A2626">
        <v>6</v>
      </c>
      <c r="B2626" t="s">
        <v>184</v>
      </c>
      <c r="E2626" s="1">
        <v>63</v>
      </c>
    </row>
    <row r="2627" spans="1:6">
      <c r="A2627">
        <v>11</v>
      </c>
      <c r="B2627" t="s">
        <v>186</v>
      </c>
      <c r="C2627" s="1">
        <v>1</v>
      </c>
      <c r="D2627" s="1" t="s">
        <v>192</v>
      </c>
      <c r="E2627" s="1">
        <v>2</v>
      </c>
      <c r="F2627" s="1" t="s">
        <v>192</v>
      </c>
    </row>
    <row r="2628" spans="1:6">
      <c r="A2628">
        <v>11</v>
      </c>
      <c r="B2628" t="s">
        <v>186</v>
      </c>
      <c r="C2628" s="1">
        <v>1</v>
      </c>
      <c r="D2628" s="1">
        <v>40</v>
      </c>
      <c r="E2628" s="1">
        <v>10</v>
      </c>
      <c r="F2628" s="1">
        <v>40</v>
      </c>
    </row>
    <row r="2629" spans="1:6">
      <c r="A2629">
        <v>11</v>
      </c>
      <c r="B2629" t="s">
        <v>186</v>
      </c>
      <c r="C2629" s="1">
        <v>1</v>
      </c>
      <c r="D2629" s="1" t="s">
        <v>193</v>
      </c>
      <c r="E2629" s="1">
        <v>12</v>
      </c>
      <c r="F2629" s="1" t="s">
        <v>193</v>
      </c>
    </row>
    <row r="2630" spans="1:6">
      <c r="A2630">
        <v>11</v>
      </c>
      <c r="B2630" t="s">
        <v>186</v>
      </c>
      <c r="C2630" s="1">
        <v>1</v>
      </c>
      <c r="D2630" s="1">
        <v>41</v>
      </c>
      <c r="E2630" s="1">
        <v>20</v>
      </c>
      <c r="F2630" s="1">
        <v>41</v>
      </c>
    </row>
    <row r="2631" spans="1:6">
      <c r="A2631">
        <v>11</v>
      </c>
      <c r="B2631" t="s">
        <v>186</v>
      </c>
      <c r="C2631" s="1">
        <v>1</v>
      </c>
      <c r="D2631" s="1" t="s">
        <v>194</v>
      </c>
      <c r="E2631" s="1">
        <v>22</v>
      </c>
      <c r="F2631" s="1" t="s">
        <v>194</v>
      </c>
    </row>
    <row r="2632" spans="1:6">
      <c r="A2632">
        <v>11</v>
      </c>
      <c r="B2632" t="s">
        <v>186</v>
      </c>
      <c r="C2632" s="1">
        <v>1</v>
      </c>
      <c r="D2632" s="1">
        <v>42</v>
      </c>
      <c r="E2632" s="1">
        <v>30</v>
      </c>
      <c r="F2632" s="1">
        <v>42</v>
      </c>
    </row>
    <row r="2633" spans="1:6">
      <c r="A2633">
        <v>11</v>
      </c>
      <c r="B2633" t="s">
        <v>186</v>
      </c>
      <c r="C2633" s="1">
        <v>1</v>
      </c>
      <c r="D2633" s="1" t="s">
        <v>195</v>
      </c>
      <c r="E2633" s="1">
        <v>32</v>
      </c>
      <c r="F2633" s="1" t="s">
        <v>195</v>
      </c>
    </row>
    <row r="2634" spans="1:6">
      <c r="A2634">
        <v>11</v>
      </c>
      <c r="B2634" t="s">
        <v>186</v>
      </c>
      <c r="C2634" s="1">
        <v>1</v>
      </c>
      <c r="D2634" s="1">
        <v>43</v>
      </c>
      <c r="E2634" s="1">
        <v>40</v>
      </c>
      <c r="F2634" s="1">
        <v>43</v>
      </c>
    </row>
    <row r="2635" spans="1:6">
      <c r="A2635">
        <v>11</v>
      </c>
      <c r="B2635" t="s">
        <v>186</v>
      </c>
      <c r="C2635" s="1">
        <v>1</v>
      </c>
      <c r="D2635" s="1" t="s">
        <v>196</v>
      </c>
      <c r="E2635" s="1">
        <v>42</v>
      </c>
      <c r="F2635" s="1" t="s">
        <v>196</v>
      </c>
    </row>
    <row r="2636" spans="1:6">
      <c r="A2636">
        <v>11</v>
      </c>
      <c r="B2636" t="s">
        <v>186</v>
      </c>
      <c r="C2636" s="1">
        <v>1</v>
      </c>
      <c r="D2636" s="1">
        <v>44</v>
      </c>
      <c r="E2636" s="1">
        <v>50</v>
      </c>
      <c r="F2636" s="1">
        <v>44</v>
      </c>
    </row>
    <row r="2637" spans="1:6">
      <c r="A2637">
        <v>11</v>
      </c>
      <c r="B2637" t="s">
        <v>186</v>
      </c>
      <c r="C2637" s="1">
        <v>1</v>
      </c>
      <c r="D2637" s="1" t="s">
        <v>197</v>
      </c>
      <c r="E2637" s="1">
        <v>52</v>
      </c>
      <c r="F2637" s="1" t="s">
        <v>197</v>
      </c>
    </row>
    <row r="2638" spans="1:6">
      <c r="A2638">
        <v>11</v>
      </c>
      <c r="B2638" t="s">
        <v>186</v>
      </c>
      <c r="C2638" s="1">
        <v>1</v>
      </c>
      <c r="D2638" s="1">
        <v>45</v>
      </c>
      <c r="E2638" s="1">
        <v>60</v>
      </c>
      <c r="F2638" s="1">
        <v>45</v>
      </c>
    </row>
    <row r="2639" spans="1:6">
      <c r="A2639">
        <v>11</v>
      </c>
      <c r="B2639" t="s">
        <v>186</v>
      </c>
      <c r="C2639" s="1">
        <v>1</v>
      </c>
      <c r="D2639" s="1" t="s">
        <v>198</v>
      </c>
      <c r="E2639" s="1">
        <v>62</v>
      </c>
      <c r="F2639" s="1" t="s">
        <v>198</v>
      </c>
    </row>
    <row r="2640" spans="1:6">
      <c r="A2640">
        <v>11</v>
      </c>
      <c r="B2640" t="s">
        <v>186</v>
      </c>
      <c r="C2640" s="1">
        <v>1</v>
      </c>
      <c r="D2640" s="1" t="s">
        <v>199</v>
      </c>
      <c r="E2640" s="1">
        <v>72</v>
      </c>
      <c r="F2640" s="1" t="s">
        <v>199</v>
      </c>
    </row>
    <row r="2641" spans="1:6">
      <c r="A2641">
        <v>11</v>
      </c>
      <c r="B2641" t="s">
        <v>186</v>
      </c>
      <c r="C2641" s="1">
        <v>1</v>
      </c>
      <c r="D2641" s="1">
        <v>39</v>
      </c>
      <c r="F2641" s="1">
        <v>39</v>
      </c>
    </row>
    <row r="2642" spans="1:6">
      <c r="A2642">
        <v>11</v>
      </c>
      <c r="B2642" t="s">
        <v>186</v>
      </c>
      <c r="E2642" s="1">
        <v>92</v>
      </c>
    </row>
    <row r="2643" spans="1:6">
      <c r="A2643">
        <v>12</v>
      </c>
      <c r="B2643" t="s">
        <v>107</v>
      </c>
      <c r="C2643" s="1">
        <v>1</v>
      </c>
      <c r="D2643" s="1" t="s">
        <v>193</v>
      </c>
      <c r="E2643" s="1">
        <v>12</v>
      </c>
      <c r="F2643" s="1" t="s">
        <v>193</v>
      </c>
    </row>
    <row r="2644" spans="1:6">
      <c r="A2644">
        <v>12</v>
      </c>
      <c r="B2644" t="s">
        <v>107</v>
      </c>
      <c r="C2644" s="1">
        <v>1</v>
      </c>
      <c r="D2644" s="1" t="s">
        <v>194</v>
      </c>
      <c r="E2644" s="1">
        <v>22</v>
      </c>
      <c r="F2644" s="1" t="s">
        <v>194</v>
      </c>
    </row>
    <row r="2645" spans="1:6">
      <c r="A2645">
        <v>12</v>
      </c>
      <c r="B2645" t="s">
        <v>107</v>
      </c>
      <c r="C2645" s="1">
        <v>1</v>
      </c>
      <c r="D2645" s="1">
        <v>42</v>
      </c>
      <c r="E2645" s="1">
        <v>30</v>
      </c>
      <c r="F2645" s="1">
        <v>42</v>
      </c>
    </row>
    <row r="2646" spans="1:6">
      <c r="A2646">
        <v>12</v>
      </c>
      <c r="B2646" t="s">
        <v>107</v>
      </c>
      <c r="C2646" s="1">
        <v>1</v>
      </c>
      <c r="D2646" s="1" t="s">
        <v>195</v>
      </c>
      <c r="E2646" s="1">
        <v>32</v>
      </c>
      <c r="F2646" s="1" t="s">
        <v>195</v>
      </c>
    </row>
    <row r="2647" spans="1:6">
      <c r="A2647">
        <v>12</v>
      </c>
      <c r="B2647" t="s">
        <v>107</v>
      </c>
      <c r="C2647" s="1">
        <v>1</v>
      </c>
      <c r="D2647" s="1">
        <v>43</v>
      </c>
      <c r="E2647" s="1">
        <v>40</v>
      </c>
      <c r="F2647" s="1">
        <v>43</v>
      </c>
    </row>
    <row r="2648" spans="1:6">
      <c r="A2648">
        <v>12</v>
      </c>
      <c r="B2648" t="s">
        <v>107</v>
      </c>
      <c r="C2648" s="1">
        <v>1</v>
      </c>
      <c r="D2648" s="1" t="s">
        <v>196</v>
      </c>
      <c r="E2648" s="1">
        <v>42</v>
      </c>
      <c r="F2648" s="1" t="s">
        <v>196</v>
      </c>
    </row>
    <row r="2649" spans="1:6">
      <c r="A2649">
        <v>12</v>
      </c>
      <c r="B2649" t="s">
        <v>107</v>
      </c>
      <c r="C2649" s="1">
        <v>1</v>
      </c>
      <c r="D2649" s="1">
        <v>44</v>
      </c>
      <c r="E2649" s="1">
        <v>50</v>
      </c>
      <c r="F2649" s="1">
        <v>44</v>
      </c>
    </row>
    <row r="2650" spans="1:6">
      <c r="A2650">
        <v>12</v>
      </c>
      <c r="B2650" t="s">
        <v>107</v>
      </c>
      <c r="C2650" s="1">
        <v>1</v>
      </c>
      <c r="D2650" s="1" t="s">
        <v>197</v>
      </c>
      <c r="E2650" s="1">
        <v>52</v>
      </c>
      <c r="F2650" s="1" t="s">
        <v>197</v>
      </c>
    </row>
    <row r="2651" spans="1:6">
      <c r="A2651">
        <v>13</v>
      </c>
      <c r="B2651" t="s">
        <v>200</v>
      </c>
      <c r="C2651" s="1">
        <v>1</v>
      </c>
      <c r="D2651" s="1" t="s">
        <v>192</v>
      </c>
      <c r="E2651" s="1">
        <v>2</v>
      </c>
      <c r="F2651" s="1" t="s">
        <v>192</v>
      </c>
    </row>
    <row r="2652" spans="1:6">
      <c r="A2652">
        <v>13</v>
      </c>
      <c r="B2652" t="s">
        <v>200</v>
      </c>
      <c r="C2652" s="1">
        <v>1</v>
      </c>
      <c r="D2652" s="1">
        <v>40</v>
      </c>
      <c r="E2652" s="1">
        <v>10</v>
      </c>
      <c r="F2652" s="1">
        <v>40</v>
      </c>
    </row>
    <row r="2653" spans="1:6">
      <c r="A2653">
        <v>13</v>
      </c>
      <c r="B2653" t="s">
        <v>200</v>
      </c>
      <c r="C2653" s="1">
        <v>1</v>
      </c>
      <c r="D2653" s="1" t="s">
        <v>193</v>
      </c>
      <c r="E2653" s="1">
        <v>12</v>
      </c>
      <c r="F2653" s="1" t="s">
        <v>193</v>
      </c>
    </row>
    <row r="2654" spans="1:6">
      <c r="A2654">
        <v>13</v>
      </c>
      <c r="B2654" t="s">
        <v>200</v>
      </c>
      <c r="C2654" s="1">
        <v>1</v>
      </c>
      <c r="D2654" s="1">
        <v>41</v>
      </c>
      <c r="E2654" s="1">
        <v>20</v>
      </c>
      <c r="F2654" s="1">
        <v>41</v>
      </c>
    </row>
    <row r="2655" spans="1:6">
      <c r="A2655">
        <v>13</v>
      </c>
      <c r="B2655" t="s">
        <v>200</v>
      </c>
      <c r="C2655" s="1">
        <v>1</v>
      </c>
      <c r="D2655" s="1" t="s">
        <v>194</v>
      </c>
      <c r="E2655" s="1">
        <v>22</v>
      </c>
      <c r="F2655" s="1" t="s">
        <v>194</v>
      </c>
    </row>
    <row r="2656" spans="1:6">
      <c r="A2656">
        <v>13</v>
      </c>
      <c r="B2656" t="s">
        <v>200</v>
      </c>
      <c r="C2656" s="1">
        <v>1</v>
      </c>
      <c r="D2656" s="1">
        <v>42</v>
      </c>
      <c r="E2656" s="1">
        <v>30</v>
      </c>
      <c r="F2656" s="1">
        <v>42</v>
      </c>
    </row>
    <row r="2657" spans="1:6">
      <c r="A2657">
        <v>13</v>
      </c>
      <c r="B2657" t="s">
        <v>200</v>
      </c>
      <c r="C2657" s="1">
        <v>1</v>
      </c>
      <c r="D2657" s="1" t="s">
        <v>195</v>
      </c>
      <c r="E2657" s="1">
        <v>32</v>
      </c>
      <c r="F2657" s="1" t="s">
        <v>195</v>
      </c>
    </row>
    <row r="2658" spans="1:6">
      <c r="A2658">
        <v>13</v>
      </c>
      <c r="B2658" t="s">
        <v>200</v>
      </c>
      <c r="C2658" s="1">
        <v>1</v>
      </c>
      <c r="D2658" s="1" t="s">
        <v>196</v>
      </c>
      <c r="E2658" s="1">
        <v>42</v>
      </c>
      <c r="F2658" s="1" t="s">
        <v>196</v>
      </c>
    </row>
    <row r="2659" spans="1:6">
      <c r="A2659">
        <v>13</v>
      </c>
      <c r="B2659" t="s">
        <v>200</v>
      </c>
      <c r="C2659" s="1">
        <v>1</v>
      </c>
      <c r="D2659" s="1" t="s">
        <v>197</v>
      </c>
      <c r="E2659" s="1">
        <v>52</v>
      </c>
      <c r="F2659" s="1" t="s">
        <v>197</v>
      </c>
    </row>
    <row r="2660" spans="1:6">
      <c r="A2660">
        <v>13</v>
      </c>
      <c r="B2660" t="s">
        <v>200</v>
      </c>
      <c r="C2660" s="1">
        <v>1</v>
      </c>
      <c r="D2660" s="1" t="s">
        <v>198</v>
      </c>
      <c r="E2660" s="1">
        <v>62</v>
      </c>
      <c r="F2660" s="1" t="s">
        <v>198</v>
      </c>
    </row>
    <row r="2661" spans="1:6">
      <c r="A2661">
        <v>13</v>
      </c>
      <c r="B2661" t="s">
        <v>200</v>
      </c>
      <c r="C2661" s="1">
        <v>1</v>
      </c>
      <c r="D2661" s="1">
        <v>39</v>
      </c>
      <c r="F2661" s="1">
        <v>39</v>
      </c>
    </row>
    <row r="2662" spans="1:6">
      <c r="A2662">
        <v>15</v>
      </c>
      <c r="B2662" t="s">
        <v>201</v>
      </c>
      <c r="C2662" s="1">
        <v>4</v>
      </c>
      <c r="D2662" s="1" t="s">
        <v>286</v>
      </c>
      <c r="E2662" s="1">
        <v>70</v>
      </c>
      <c r="F2662" s="1" t="s">
        <v>286</v>
      </c>
    </row>
    <row r="2663" spans="1:6">
      <c r="A2663">
        <v>21</v>
      </c>
      <c r="B2663" t="s">
        <v>205</v>
      </c>
      <c r="C2663" s="1">
        <v>1</v>
      </c>
      <c r="D2663" s="1" t="s">
        <v>541</v>
      </c>
      <c r="E2663" s="1">
        <v>2</v>
      </c>
      <c r="F2663" s="1" t="s">
        <v>541</v>
      </c>
    </row>
    <row r="2664" spans="1:6">
      <c r="A2664">
        <v>21</v>
      </c>
      <c r="B2664" t="s">
        <v>205</v>
      </c>
      <c r="C2664" s="1">
        <v>1</v>
      </c>
      <c r="D2664" s="1" t="s">
        <v>328</v>
      </c>
      <c r="E2664" s="1">
        <v>20</v>
      </c>
      <c r="F2664" s="1" t="s">
        <v>328</v>
      </c>
    </row>
    <row r="2665" spans="1:6">
      <c r="A2665">
        <v>21</v>
      </c>
      <c r="B2665" t="s">
        <v>205</v>
      </c>
      <c r="C2665" s="1">
        <v>1</v>
      </c>
      <c r="D2665" s="1" t="s">
        <v>395</v>
      </c>
      <c r="E2665" s="1">
        <v>22</v>
      </c>
      <c r="F2665" s="1" t="s">
        <v>395</v>
      </c>
    </row>
    <row r="2666" spans="1:6">
      <c r="A2666">
        <v>21</v>
      </c>
      <c r="B2666" t="s">
        <v>205</v>
      </c>
      <c r="C2666" s="1">
        <v>1</v>
      </c>
      <c r="D2666" s="1" t="s">
        <v>329</v>
      </c>
      <c r="E2666" s="1">
        <v>30</v>
      </c>
      <c r="F2666" s="1" t="s">
        <v>329</v>
      </c>
    </row>
    <row r="2667" spans="1:6">
      <c r="A2667">
        <v>21</v>
      </c>
      <c r="B2667" t="s">
        <v>205</v>
      </c>
      <c r="C2667" s="1">
        <v>1</v>
      </c>
      <c r="D2667" s="1" t="s">
        <v>323</v>
      </c>
      <c r="E2667" s="1">
        <v>32</v>
      </c>
      <c r="F2667" s="1" t="s">
        <v>323</v>
      </c>
    </row>
    <row r="2668" spans="1:6">
      <c r="A2668">
        <v>21</v>
      </c>
      <c r="B2668" t="s">
        <v>205</v>
      </c>
      <c r="C2668" s="1">
        <v>1</v>
      </c>
      <c r="D2668" s="1" t="s">
        <v>332</v>
      </c>
      <c r="E2668" s="1">
        <v>40</v>
      </c>
      <c r="F2668" s="1" t="s">
        <v>332</v>
      </c>
    </row>
    <row r="2669" spans="1:6">
      <c r="A2669">
        <v>21</v>
      </c>
      <c r="B2669" t="s">
        <v>205</v>
      </c>
      <c r="C2669" s="1">
        <v>1</v>
      </c>
      <c r="D2669" s="1" t="s">
        <v>330</v>
      </c>
      <c r="E2669" s="1">
        <v>42</v>
      </c>
      <c r="F2669" s="1" t="s">
        <v>330</v>
      </c>
    </row>
    <row r="2670" spans="1:6">
      <c r="A2670">
        <v>21</v>
      </c>
      <c r="B2670" t="s">
        <v>205</v>
      </c>
      <c r="C2670" s="1">
        <v>1</v>
      </c>
      <c r="D2670" s="1" t="s">
        <v>287</v>
      </c>
      <c r="E2670" s="1">
        <v>52</v>
      </c>
      <c r="F2670" s="1" t="s">
        <v>287</v>
      </c>
    </row>
    <row r="2671" spans="1:6">
      <c r="A2671">
        <v>21</v>
      </c>
      <c r="B2671" t="s">
        <v>205</v>
      </c>
      <c r="C2671" s="1">
        <v>1</v>
      </c>
      <c r="D2671" s="1" t="s">
        <v>288</v>
      </c>
      <c r="E2671" s="1">
        <v>62</v>
      </c>
      <c r="F2671" s="1" t="s">
        <v>288</v>
      </c>
    </row>
    <row r="2672" spans="1:6">
      <c r="A2672">
        <v>22</v>
      </c>
      <c r="B2672" t="s">
        <v>206</v>
      </c>
      <c r="C2672" s="1">
        <v>1</v>
      </c>
      <c r="D2672" s="1" t="s">
        <v>288</v>
      </c>
      <c r="E2672" s="1">
        <v>62</v>
      </c>
      <c r="F2672" s="1" t="s">
        <v>288</v>
      </c>
    </row>
    <row r="2673" spans="1:6">
      <c r="A2673">
        <v>57</v>
      </c>
      <c r="B2673" t="s">
        <v>183</v>
      </c>
      <c r="C2673" s="1">
        <v>3</v>
      </c>
      <c r="D2673" s="1" t="s">
        <v>338</v>
      </c>
      <c r="E2673" s="1">
        <v>60</v>
      </c>
      <c r="F2673" s="1" t="s">
        <v>338</v>
      </c>
    </row>
    <row r="2674" spans="1:6">
      <c r="A2674">
        <v>57</v>
      </c>
      <c r="B2674" t="s">
        <v>183</v>
      </c>
      <c r="C2674" s="1">
        <v>66</v>
      </c>
      <c r="D2674" s="1" t="s">
        <v>349</v>
      </c>
      <c r="E2674" s="1">
        <v>30</v>
      </c>
      <c r="F2674" s="1" t="s">
        <v>349</v>
      </c>
    </row>
    <row r="2675" spans="1:6">
      <c r="A2675">
        <v>57</v>
      </c>
      <c r="B2675" t="s">
        <v>183</v>
      </c>
      <c r="C2675" s="1">
        <v>66</v>
      </c>
      <c r="D2675" s="1" t="s">
        <v>350</v>
      </c>
      <c r="E2675" s="1">
        <v>40</v>
      </c>
      <c r="F2675" s="1" t="s">
        <v>350</v>
      </c>
    </row>
    <row r="2676" spans="1:6">
      <c r="A2676">
        <v>57</v>
      </c>
      <c r="B2676" t="s">
        <v>183</v>
      </c>
      <c r="C2676" s="1">
        <v>66</v>
      </c>
      <c r="D2676" s="1" t="s">
        <v>351</v>
      </c>
      <c r="E2676" s="1">
        <v>50</v>
      </c>
      <c r="F2676" s="1" t="s">
        <v>351</v>
      </c>
    </row>
    <row r="2677" spans="1:6">
      <c r="A2677">
        <v>57</v>
      </c>
      <c r="B2677" t="s">
        <v>183</v>
      </c>
      <c r="C2677" s="1">
        <v>66</v>
      </c>
      <c r="D2677" s="1" t="s">
        <v>352</v>
      </c>
      <c r="E2677" s="1">
        <v>60</v>
      </c>
      <c r="F2677" s="1" t="s">
        <v>352</v>
      </c>
    </row>
    <row r="2678" spans="1:6">
      <c r="A2678">
        <v>57</v>
      </c>
      <c r="B2678" t="s">
        <v>183</v>
      </c>
      <c r="C2678" s="1">
        <v>66</v>
      </c>
      <c r="D2678" s="1" t="s">
        <v>353</v>
      </c>
      <c r="E2678" s="1">
        <v>70</v>
      </c>
      <c r="F2678" s="1" t="s">
        <v>353</v>
      </c>
    </row>
    <row r="2679" spans="1:6">
      <c r="A2679">
        <v>57</v>
      </c>
      <c r="B2679" t="s">
        <v>183</v>
      </c>
      <c r="E2679" s="1">
        <v>60</v>
      </c>
    </row>
    <row r="2680" spans="1:6">
      <c r="A2680">
        <v>74</v>
      </c>
      <c r="B2680" t="s">
        <v>235</v>
      </c>
      <c r="C2680" s="1">
        <v>3</v>
      </c>
      <c r="D2680" s="1" t="s">
        <v>321</v>
      </c>
      <c r="E2680" s="1">
        <v>60</v>
      </c>
      <c r="F2680" s="1" t="s">
        <v>321</v>
      </c>
    </row>
    <row r="2681" spans="1:6">
      <c r="A2681">
        <v>1</v>
      </c>
      <c r="B2681" t="s">
        <v>137</v>
      </c>
      <c r="C2681" s="1">
        <v>1</v>
      </c>
      <c r="D2681" s="1" t="s">
        <v>153</v>
      </c>
      <c r="E2681" s="1">
        <v>92</v>
      </c>
      <c r="F2681" s="1" t="s">
        <v>153</v>
      </c>
    </row>
    <row r="2682" spans="1:6">
      <c r="A2682">
        <v>1</v>
      </c>
      <c r="B2682" t="s">
        <v>137</v>
      </c>
      <c r="C2682" s="1">
        <v>1</v>
      </c>
      <c r="D2682" s="1">
        <v>17</v>
      </c>
      <c r="E2682" s="1">
        <v>94</v>
      </c>
      <c r="F2682" s="1">
        <v>17</v>
      </c>
    </row>
    <row r="2683" spans="1:6">
      <c r="A2683">
        <v>1</v>
      </c>
      <c r="B2683" t="s">
        <v>137</v>
      </c>
      <c r="C2683" s="1">
        <v>1</v>
      </c>
      <c r="D2683" s="1" t="s">
        <v>156</v>
      </c>
      <c r="E2683" s="1">
        <v>96</v>
      </c>
      <c r="F2683" s="1" t="s">
        <v>156</v>
      </c>
    </row>
    <row r="2684" spans="1:6">
      <c r="A2684">
        <v>1</v>
      </c>
      <c r="B2684" t="s">
        <v>137</v>
      </c>
      <c r="C2684" s="1">
        <v>2</v>
      </c>
      <c r="D2684" s="1" t="s">
        <v>159</v>
      </c>
      <c r="E2684" s="1">
        <v>2</v>
      </c>
      <c r="F2684" s="1" t="s">
        <v>159</v>
      </c>
    </row>
    <row r="2685" spans="1:6">
      <c r="A2685">
        <v>1</v>
      </c>
      <c r="B2685" t="s">
        <v>137</v>
      </c>
      <c r="C2685" s="1">
        <v>2</v>
      </c>
      <c r="D2685" s="1">
        <v>19</v>
      </c>
      <c r="E2685" s="1">
        <v>10</v>
      </c>
      <c r="F2685" s="1">
        <v>19</v>
      </c>
    </row>
    <row r="2686" spans="1:6">
      <c r="A2686">
        <v>1</v>
      </c>
      <c r="B2686" t="s">
        <v>137</v>
      </c>
      <c r="C2686" s="1">
        <v>2</v>
      </c>
      <c r="D2686" s="1" t="s">
        <v>162</v>
      </c>
      <c r="E2686" s="1">
        <v>12</v>
      </c>
      <c r="F2686" s="1" t="s">
        <v>162</v>
      </c>
    </row>
    <row r="2687" spans="1:6">
      <c r="A2687">
        <v>1</v>
      </c>
      <c r="B2687" t="s">
        <v>137</v>
      </c>
      <c r="C2687" s="1">
        <v>2</v>
      </c>
      <c r="D2687" s="1">
        <v>20</v>
      </c>
      <c r="E2687" s="1">
        <v>20</v>
      </c>
      <c r="F2687" s="1">
        <v>20</v>
      </c>
    </row>
    <row r="2688" spans="1:6">
      <c r="A2688">
        <v>1</v>
      </c>
      <c r="B2688" t="s">
        <v>137</v>
      </c>
      <c r="C2688" s="1">
        <v>2</v>
      </c>
      <c r="D2688" s="1" t="s">
        <v>165</v>
      </c>
      <c r="E2688" s="1">
        <v>22</v>
      </c>
      <c r="F2688" s="1" t="s">
        <v>165</v>
      </c>
    </row>
    <row r="2689" spans="1:6">
      <c r="A2689">
        <v>1</v>
      </c>
      <c r="B2689" t="s">
        <v>137</v>
      </c>
      <c r="C2689" s="1">
        <v>2</v>
      </c>
      <c r="D2689" s="1">
        <v>21</v>
      </c>
      <c r="E2689" s="1">
        <v>30</v>
      </c>
      <c r="F2689" s="1">
        <v>21</v>
      </c>
    </row>
    <row r="2690" spans="1:6">
      <c r="A2690">
        <v>1</v>
      </c>
      <c r="B2690" t="s">
        <v>137</v>
      </c>
      <c r="C2690" s="1">
        <v>2</v>
      </c>
      <c r="D2690" s="1" t="s">
        <v>168</v>
      </c>
      <c r="E2690" s="1">
        <v>32</v>
      </c>
      <c r="F2690" s="1" t="s">
        <v>168</v>
      </c>
    </row>
    <row r="2691" spans="1:6">
      <c r="A2691">
        <v>1</v>
      </c>
      <c r="B2691" t="s">
        <v>137</v>
      </c>
      <c r="C2691" s="1">
        <v>2</v>
      </c>
      <c r="D2691" s="1" t="s">
        <v>171</v>
      </c>
      <c r="E2691" s="1">
        <v>42</v>
      </c>
      <c r="F2691" s="1" t="s">
        <v>171</v>
      </c>
    </row>
    <row r="2692" spans="1:6">
      <c r="A2692">
        <v>1</v>
      </c>
      <c r="B2692" t="s">
        <v>137</v>
      </c>
      <c r="C2692" s="1">
        <v>2</v>
      </c>
      <c r="D2692" s="1" t="s">
        <v>174</v>
      </c>
      <c r="E2692" s="1">
        <v>52</v>
      </c>
      <c r="F2692" s="1" t="s">
        <v>174</v>
      </c>
    </row>
    <row r="2693" spans="1:6">
      <c r="A2693">
        <v>1</v>
      </c>
      <c r="B2693" t="s">
        <v>137</v>
      </c>
      <c r="C2693" s="1">
        <v>2</v>
      </c>
      <c r="D2693" s="1" t="s">
        <v>177</v>
      </c>
      <c r="E2693" s="1">
        <v>62</v>
      </c>
      <c r="F2693" s="1" t="s">
        <v>177</v>
      </c>
    </row>
    <row r="2694" spans="1:6">
      <c r="A2694">
        <v>5</v>
      </c>
      <c r="B2694" t="s">
        <v>183</v>
      </c>
      <c r="E2694" s="1">
        <v>60</v>
      </c>
    </row>
    <row r="2695" spans="1:6">
      <c r="A2695">
        <v>6</v>
      </c>
      <c r="B2695" t="s">
        <v>184</v>
      </c>
      <c r="C2695" s="1">
        <v>1</v>
      </c>
      <c r="D2695" s="1" t="s">
        <v>290</v>
      </c>
      <c r="E2695" s="1">
        <v>10</v>
      </c>
      <c r="F2695" s="1" t="s">
        <v>290</v>
      </c>
    </row>
    <row r="2696" spans="1:6">
      <c r="A2696">
        <v>6</v>
      </c>
      <c r="B2696" t="s">
        <v>184</v>
      </c>
      <c r="E2696" s="1">
        <v>63</v>
      </c>
    </row>
    <row r="2697" spans="1:6">
      <c r="A2697">
        <v>11</v>
      </c>
      <c r="B2697" t="s">
        <v>186</v>
      </c>
      <c r="C2697" s="1">
        <v>1</v>
      </c>
      <c r="D2697" s="1" t="s">
        <v>193</v>
      </c>
      <c r="E2697" s="1">
        <v>12</v>
      </c>
      <c r="F2697" s="1" t="s">
        <v>193</v>
      </c>
    </row>
    <row r="2698" spans="1:6">
      <c r="A2698">
        <v>11</v>
      </c>
      <c r="B2698" t="s">
        <v>186</v>
      </c>
      <c r="C2698" s="1">
        <v>1</v>
      </c>
      <c r="D2698" s="1" t="s">
        <v>194</v>
      </c>
      <c r="E2698" s="1">
        <v>22</v>
      </c>
      <c r="F2698" s="1" t="s">
        <v>194</v>
      </c>
    </row>
    <row r="2699" spans="1:6">
      <c r="A2699">
        <v>11</v>
      </c>
      <c r="B2699" t="s">
        <v>186</v>
      </c>
      <c r="C2699" s="1">
        <v>1</v>
      </c>
      <c r="D2699" s="1">
        <v>42</v>
      </c>
      <c r="E2699" s="1">
        <v>30</v>
      </c>
      <c r="F2699" s="1">
        <v>42</v>
      </c>
    </row>
    <row r="2700" spans="1:6">
      <c r="A2700">
        <v>11</v>
      </c>
      <c r="B2700" t="s">
        <v>186</v>
      </c>
      <c r="C2700" s="1">
        <v>1</v>
      </c>
      <c r="D2700" s="1" t="s">
        <v>195</v>
      </c>
      <c r="E2700" s="1">
        <v>32</v>
      </c>
      <c r="F2700" s="1" t="s">
        <v>195</v>
      </c>
    </row>
    <row r="2701" spans="1:6">
      <c r="A2701">
        <v>11</v>
      </c>
      <c r="B2701" t="s">
        <v>186</v>
      </c>
      <c r="C2701" s="1">
        <v>1</v>
      </c>
      <c r="D2701" s="1">
        <v>43</v>
      </c>
      <c r="E2701" s="1">
        <v>40</v>
      </c>
      <c r="F2701" s="1">
        <v>43</v>
      </c>
    </row>
    <row r="2702" spans="1:6">
      <c r="A2702">
        <v>11</v>
      </c>
      <c r="B2702" t="s">
        <v>186</v>
      </c>
      <c r="C2702" s="1">
        <v>1</v>
      </c>
      <c r="D2702" s="1" t="s">
        <v>196</v>
      </c>
      <c r="E2702" s="1">
        <v>42</v>
      </c>
      <c r="F2702" s="1" t="s">
        <v>196</v>
      </c>
    </row>
    <row r="2703" spans="1:6">
      <c r="A2703">
        <v>11</v>
      </c>
      <c r="B2703" t="s">
        <v>186</v>
      </c>
      <c r="C2703" s="1">
        <v>1</v>
      </c>
      <c r="D2703" s="1" t="s">
        <v>197</v>
      </c>
      <c r="E2703" s="1">
        <v>52</v>
      </c>
      <c r="F2703" s="1" t="s">
        <v>197</v>
      </c>
    </row>
    <row r="2704" spans="1:6">
      <c r="A2704">
        <v>11</v>
      </c>
      <c r="B2704" t="s">
        <v>186</v>
      </c>
      <c r="C2704" s="1">
        <v>1</v>
      </c>
      <c r="D2704" s="1">
        <v>45</v>
      </c>
      <c r="E2704" s="1">
        <v>60</v>
      </c>
      <c r="F2704" s="1">
        <v>45</v>
      </c>
    </row>
    <row r="2705" spans="1:6">
      <c r="A2705">
        <v>11</v>
      </c>
      <c r="B2705" t="s">
        <v>186</v>
      </c>
      <c r="C2705" s="1">
        <v>1</v>
      </c>
      <c r="D2705" s="1" t="s">
        <v>198</v>
      </c>
      <c r="E2705" s="1">
        <v>62</v>
      </c>
      <c r="F2705" s="1" t="s">
        <v>198</v>
      </c>
    </row>
    <row r="2706" spans="1:6">
      <c r="A2706">
        <v>11</v>
      </c>
      <c r="B2706" t="s">
        <v>186</v>
      </c>
      <c r="C2706" s="1">
        <v>1</v>
      </c>
      <c r="D2706" s="1" t="s">
        <v>199</v>
      </c>
      <c r="E2706" s="1">
        <v>72</v>
      </c>
      <c r="F2706" s="1" t="s">
        <v>199</v>
      </c>
    </row>
    <row r="2707" spans="1:6">
      <c r="A2707">
        <v>11</v>
      </c>
      <c r="B2707" t="s">
        <v>186</v>
      </c>
      <c r="E2707" s="1">
        <v>95</v>
      </c>
    </row>
    <row r="2708" spans="1:6">
      <c r="A2708">
        <v>12</v>
      </c>
      <c r="B2708" t="s">
        <v>107</v>
      </c>
      <c r="C2708" s="1">
        <v>1</v>
      </c>
      <c r="D2708" s="1">
        <v>41</v>
      </c>
      <c r="E2708" s="1">
        <v>20</v>
      </c>
      <c r="F2708" s="1">
        <v>41</v>
      </c>
    </row>
    <row r="2709" spans="1:6">
      <c r="A2709">
        <v>12</v>
      </c>
      <c r="B2709" t="s">
        <v>107</v>
      </c>
      <c r="C2709" s="1">
        <v>1</v>
      </c>
      <c r="D2709" s="1" t="s">
        <v>195</v>
      </c>
      <c r="E2709" s="1">
        <v>32</v>
      </c>
      <c r="F2709" s="1" t="s">
        <v>195</v>
      </c>
    </row>
    <row r="2710" spans="1:6">
      <c r="A2710">
        <v>12</v>
      </c>
      <c r="B2710" t="s">
        <v>107</v>
      </c>
      <c r="C2710" s="1">
        <v>1</v>
      </c>
      <c r="D2710" s="1">
        <v>43</v>
      </c>
      <c r="E2710" s="1">
        <v>40</v>
      </c>
      <c r="F2710" s="1">
        <v>43</v>
      </c>
    </row>
    <row r="2711" spans="1:6">
      <c r="A2711">
        <v>12</v>
      </c>
      <c r="B2711" t="s">
        <v>107</v>
      </c>
      <c r="C2711" s="1">
        <v>1</v>
      </c>
      <c r="D2711" s="1" t="s">
        <v>196</v>
      </c>
      <c r="E2711" s="1">
        <v>42</v>
      </c>
      <c r="F2711" s="1" t="s">
        <v>196</v>
      </c>
    </row>
    <row r="2712" spans="1:6">
      <c r="A2712">
        <v>12</v>
      </c>
      <c r="B2712" t="s">
        <v>107</v>
      </c>
      <c r="C2712" s="1">
        <v>1</v>
      </c>
      <c r="D2712" s="1">
        <v>44</v>
      </c>
      <c r="E2712" s="1">
        <v>50</v>
      </c>
      <c r="F2712" s="1">
        <v>44</v>
      </c>
    </row>
    <row r="2713" spans="1:6">
      <c r="A2713">
        <v>12</v>
      </c>
      <c r="B2713" t="s">
        <v>107</v>
      </c>
      <c r="C2713" s="1">
        <v>1</v>
      </c>
      <c r="D2713" s="1" t="s">
        <v>197</v>
      </c>
      <c r="E2713" s="1">
        <v>52</v>
      </c>
      <c r="F2713" s="1" t="s">
        <v>197</v>
      </c>
    </row>
    <row r="2714" spans="1:6">
      <c r="A2714">
        <v>12</v>
      </c>
      <c r="B2714" t="s">
        <v>107</v>
      </c>
      <c r="C2714" s="1">
        <v>1</v>
      </c>
      <c r="D2714" s="1">
        <v>45</v>
      </c>
      <c r="E2714" s="1">
        <v>60</v>
      </c>
      <c r="F2714" s="1">
        <v>45</v>
      </c>
    </row>
    <row r="2715" spans="1:6">
      <c r="A2715">
        <v>12</v>
      </c>
      <c r="B2715" t="s">
        <v>107</v>
      </c>
      <c r="C2715" s="1">
        <v>1</v>
      </c>
      <c r="D2715" s="1" t="s">
        <v>198</v>
      </c>
      <c r="E2715" s="1">
        <v>62</v>
      </c>
      <c r="F2715" s="1" t="s">
        <v>198</v>
      </c>
    </row>
    <row r="2716" spans="1:6">
      <c r="A2716">
        <v>13</v>
      </c>
      <c r="B2716" t="s">
        <v>200</v>
      </c>
      <c r="C2716" s="1">
        <v>1</v>
      </c>
      <c r="D2716" s="1" t="s">
        <v>193</v>
      </c>
      <c r="E2716" s="1">
        <v>12</v>
      </c>
      <c r="F2716" s="1" t="s">
        <v>193</v>
      </c>
    </row>
    <row r="2717" spans="1:6">
      <c r="A2717">
        <v>13</v>
      </c>
      <c r="B2717" t="s">
        <v>200</v>
      </c>
      <c r="C2717" s="1">
        <v>1</v>
      </c>
      <c r="D2717" s="1">
        <v>41</v>
      </c>
      <c r="E2717" s="1">
        <v>20</v>
      </c>
      <c r="F2717" s="1">
        <v>41</v>
      </c>
    </row>
    <row r="2718" spans="1:6">
      <c r="A2718">
        <v>13</v>
      </c>
      <c r="B2718" t="s">
        <v>200</v>
      </c>
      <c r="C2718" s="1">
        <v>1</v>
      </c>
      <c r="D2718" s="1" t="s">
        <v>194</v>
      </c>
      <c r="E2718" s="1">
        <v>22</v>
      </c>
      <c r="F2718" s="1" t="s">
        <v>194</v>
      </c>
    </row>
    <row r="2719" spans="1:6">
      <c r="A2719">
        <v>13</v>
      </c>
      <c r="B2719" t="s">
        <v>200</v>
      </c>
      <c r="C2719" s="1">
        <v>1</v>
      </c>
      <c r="D2719" s="1">
        <v>42</v>
      </c>
      <c r="E2719" s="1">
        <v>30</v>
      </c>
      <c r="F2719" s="1">
        <v>42</v>
      </c>
    </row>
    <row r="2720" spans="1:6">
      <c r="A2720">
        <v>13</v>
      </c>
      <c r="B2720" t="s">
        <v>200</v>
      </c>
      <c r="C2720" s="1">
        <v>1</v>
      </c>
      <c r="D2720" s="1" t="s">
        <v>195</v>
      </c>
      <c r="E2720" s="1">
        <v>32</v>
      </c>
      <c r="F2720" s="1" t="s">
        <v>195</v>
      </c>
    </row>
    <row r="2721" spans="1:6">
      <c r="A2721">
        <v>13</v>
      </c>
      <c r="B2721" t="s">
        <v>200</v>
      </c>
      <c r="C2721" s="1">
        <v>1</v>
      </c>
      <c r="D2721" s="1" t="s">
        <v>196</v>
      </c>
      <c r="E2721" s="1">
        <v>42</v>
      </c>
      <c r="F2721" s="1" t="s">
        <v>196</v>
      </c>
    </row>
    <row r="2722" spans="1:6">
      <c r="A2722">
        <v>13</v>
      </c>
      <c r="B2722" t="s">
        <v>200</v>
      </c>
      <c r="C2722" s="1">
        <v>1</v>
      </c>
      <c r="D2722" s="1">
        <v>44</v>
      </c>
      <c r="E2722" s="1">
        <v>50</v>
      </c>
      <c r="F2722" s="1">
        <v>44</v>
      </c>
    </row>
    <row r="2723" spans="1:6">
      <c r="A2723">
        <v>13</v>
      </c>
      <c r="B2723" t="s">
        <v>200</v>
      </c>
      <c r="C2723" s="1">
        <v>1</v>
      </c>
      <c r="D2723" s="1" t="s">
        <v>198</v>
      </c>
      <c r="E2723" s="1">
        <v>62</v>
      </c>
      <c r="F2723" s="1" t="s">
        <v>198</v>
      </c>
    </row>
    <row r="2724" spans="1:6">
      <c r="A2724">
        <v>15</v>
      </c>
      <c r="B2724" t="s">
        <v>201</v>
      </c>
      <c r="C2724" s="1">
        <v>4</v>
      </c>
      <c r="D2724" s="1" t="s">
        <v>286</v>
      </c>
      <c r="E2724" s="1">
        <v>70</v>
      </c>
      <c r="F2724" s="1" t="s">
        <v>286</v>
      </c>
    </row>
    <row r="2725" spans="1:6">
      <c r="A2725">
        <v>21</v>
      </c>
      <c r="B2725" t="s">
        <v>205</v>
      </c>
      <c r="C2725" s="1">
        <v>1</v>
      </c>
      <c r="D2725" s="1" t="s">
        <v>323</v>
      </c>
      <c r="E2725" s="1">
        <v>32</v>
      </c>
      <c r="F2725" s="1" t="s">
        <v>323</v>
      </c>
    </row>
    <row r="2726" spans="1:6">
      <c r="A2726">
        <v>21</v>
      </c>
      <c r="B2726" t="s">
        <v>205</v>
      </c>
      <c r="C2726" s="1">
        <v>1</v>
      </c>
      <c r="D2726" s="1" t="s">
        <v>330</v>
      </c>
      <c r="E2726" s="1">
        <v>42</v>
      </c>
      <c r="F2726" s="1" t="s">
        <v>330</v>
      </c>
    </row>
    <row r="2727" spans="1:6">
      <c r="A2727">
        <v>21</v>
      </c>
      <c r="B2727" t="s">
        <v>205</v>
      </c>
      <c r="C2727" s="1">
        <v>1</v>
      </c>
      <c r="D2727" s="1" t="s">
        <v>288</v>
      </c>
      <c r="E2727" s="1">
        <v>62</v>
      </c>
      <c r="F2727" s="1" t="s">
        <v>288</v>
      </c>
    </row>
    <row r="2728" spans="1:6">
      <c r="A2728">
        <v>27</v>
      </c>
      <c r="B2728" t="s">
        <v>210</v>
      </c>
      <c r="C2728" s="1">
        <v>1</v>
      </c>
      <c r="D2728" s="1">
        <v>45</v>
      </c>
      <c r="E2728" s="1">
        <v>60</v>
      </c>
      <c r="F2728" s="1">
        <v>45</v>
      </c>
    </row>
    <row r="2729" spans="1:6">
      <c r="A2729">
        <v>33</v>
      </c>
      <c r="B2729" t="s">
        <v>213</v>
      </c>
      <c r="C2729" s="1">
        <v>1</v>
      </c>
      <c r="D2729" s="1" t="s">
        <v>332</v>
      </c>
      <c r="E2729" s="1">
        <v>10</v>
      </c>
      <c r="F2729" s="1" t="s">
        <v>332</v>
      </c>
    </row>
    <row r="2730" spans="1:6">
      <c r="A2730">
        <v>33</v>
      </c>
      <c r="B2730" t="s">
        <v>213</v>
      </c>
      <c r="C2730" s="1">
        <v>1</v>
      </c>
      <c r="D2730" s="1" t="s">
        <v>330</v>
      </c>
      <c r="E2730" s="1">
        <v>12</v>
      </c>
      <c r="F2730" s="1" t="s">
        <v>330</v>
      </c>
    </row>
    <row r="2731" spans="1:6">
      <c r="A2731">
        <v>33</v>
      </c>
      <c r="B2731" t="s">
        <v>213</v>
      </c>
      <c r="C2731" s="1">
        <v>1</v>
      </c>
      <c r="D2731" s="1" t="s">
        <v>331</v>
      </c>
      <c r="E2731" s="1">
        <v>20</v>
      </c>
      <c r="F2731" s="1" t="s">
        <v>331</v>
      </c>
    </row>
    <row r="2732" spans="1:6">
      <c r="A2732">
        <v>33</v>
      </c>
      <c r="B2732" t="s">
        <v>213</v>
      </c>
      <c r="C2732" s="1">
        <v>1</v>
      </c>
      <c r="D2732" s="1" t="s">
        <v>288</v>
      </c>
      <c r="E2732" s="1">
        <v>32</v>
      </c>
      <c r="F2732" s="1" t="s">
        <v>288</v>
      </c>
    </row>
    <row r="2733" spans="1:6">
      <c r="A2733">
        <v>57</v>
      </c>
      <c r="B2733" t="s">
        <v>183</v>
      </c>
      <c r="C2733" s="1">
        <v>3</v>
      </c>
      <c r="D2733" s="1" t="s">
        <v>492</v>
      </c>
      <c r="E2733" s="1">
        <v>50</v>
      </c>
      <c r="F2733" s="1" t="s">
        <v>492</v>
      </c>
    </row>
    <row r="2734" spans="1:6">
      <c r="A2734">
        <v>58</v>
      </c>
      <c r="B2734" t="s">
        <v>226</v>
      </c>
      <c r="C2734" s="1">
        <v>2</v>
      </c>
      <c r="D2734" s="1" t="s">
        <v>561</v>
      </c>
      <c r="E2734" s="1">
        <v>50</v>
      </c>
      <c r="F2734" s="1" t="s">
        <v>561</v>
      </c>
    </row>
    <row r="2735" spans="1:6">
      <c r="A2735">
        <v>74</v>
      </c>
      <c r="B2735" t="s">
        <v>235</v>
      </c>
      <c r="C2735" s="1">
        <v>3</v>
      </c>
      <c r="D2735" s="1" t="s">
        <v>320</v>
      </c>
      <c r="E2735" s="1">
        <v>50</v>
      </c>
      <c r="F2735" s="1" t="s">
        <v>320</v>
      </c>
    </row>
    <row r="2736" spans="1:6">
      <c r="A2736">
        <v>1</v>
      </c>
      <c r="B2736" t="s">
        <v>137</v>
      </c>
      <c r="C2736" s="1">
        <v>2</v>
      </c>
      <c r="D2736" s="1" t="s">
        <v>165</v>
      </c>
      <c r="E2736" s="1">
        <v>22</v>
      </c>
      <c r="F2736" s="1" t="s">
        <v>165</v>
      </c>
    </row>
    <row r="2737" spans="1:6">
      <c r="A2737">
        <v>1</v>
      </c>
      <c r="B2737" t="s">
        <v>137</v>
      </c>
      <c r="C2737" s="1">
        <v>2</v>
      </c>
      <c r="D2737" s="1">
        <v>24</v>
      </c>
      <c r="E2737" s="1">
        <v>60</v>
      </c>
      <c r="F2737" s="1">
        <v>24</v>
      </c>
    </row>
    <row r="2738" spans="1:6">
      <c r="A2738">
        <v>13</v>
      </c>
      <c r="B2738" t="s">
        <v>200</v>
      </c>
      <c r="C2738" s="1">
        <v>1</v>
      </c>
      <c r="D2738" s="1" t="s">
        <v>196</v>
      </c>
      <c r="E2738" s="1">
        <v>42</v>
      </c>
      <c r="F2738" s="1" t="s">
        <v>196</v>
      </c>
    </row>
    <row r="2739" spans="1:6">
      <c r="A2739">
        <v>43</v>
      </c>
      <c r="B2739" t="s">
        <v>221</v>
      </c>
      <c r="E2739" s="1">
        <v>60</v>
      </c>
    </row>
    <row r="2740" spans="1:6">
      <c r="A2740">
        <v>1</v>
      </c>
      <c r="B2740" t="s">
        <v>137</v>
      </c>
      <c r="C2740" s="1">
        <v>2</v>
      </c>
      <c r="D2740" s="1" t="s">
        <v>171</v>
      </c>
      <c r="E2740" s="1">
        <v>42</v>
      </c>
      <c r="F2740" s="1" t="s">
        <v>171</v>
      </c>
    </row>
    <row r="2741" spans="1:6">
      <c r="A2741">
        <v>11</v>
      </c>
      <c r="B2741" t="s">
        <v>186</v>
      </c>
      <c r="C2741" s="1">
        <v>1</v>
      </c>
      <c r="D2741" s="1" t="s">
        <v>195</v>
      </c>
      <c r="E2741" s="1">
        <v>32</v>
      </c>
      <c r="F2741" s="1" t="s">
        <v>195</v>
      </c>
    </row>
    <row r="2742" spans="1:6">
      <c r="A2742">
        <v>1</v>
      </c>
      <c r="B2742" t="s">
        <v>137</v>
      </c>
      <c r="C2742" s="1">
        <v>1</v>
      </c>
      <c r="D2742" s="1">
        <v>14</v>
      </c>
      <c r="E2742" s="1">
        <v>70</v>
      </c>
      <c r="F2742" s="1">
        <v>14</v>
      </c>
    </row>
    <row r="2743" spans="1:6">
      <c r="A2743">
        <v>1</v>
      </c>
      <c r="B2743" t="s">
        <v>137</v>
      </c>
      <c r="C2743" s="1">
        <v>1</v>
      </c>
      <c r="D2743" s="1" t="s">
        <v>147</v>
      </c>
      <c r="E2743" s="1">
        <v>72</v>
      </c>
      <c r="F2743" s="1" t="s">
        <v>147</v>
      </c>
    </row>
    <row r="2744" spans="1:6">
      <c r="A2744">
        <v>1</v>
      </c>
      <c r="B2744" t="s">
        <v>137</v>
      </c>
      <c r="C2744" s="1">
        <v>1</v>
      </c>
      <c r="D2744" s="1">
        <v>15</v>
      </c>
      <c r="E2744" s="1">
        <v>80</v>
      </c>
      <c r="F2744" s="1">
        <v>15</v>
      </c>
    </row>
    <row r="2745" spans="1:6">
      <c r="A2745">
        <v>1</v>
      </c>
      <c r="B2745" t="s">
        <v>137</v>
      </c>
      <c r="C2745" s="1">
        <v>1</v>
      </c>
      <c r="D2745" s="1" t="s">
        <v>150</v>
      </c>
      <c r="E2745" s="1">
        <v>82</v>
      </c>
      <c r="F2745" s="1" t="s">
        <v>150</v>
      </c>
    </row>
    <row r="2746" spans="1:6">
      <c r="A2746">
        <v>1</v>
      </c>
      <c r="B2746" t="s">
        <v>137</v>
      </c>
      <c r="C2746" s="1">
        <v>1</v>
      </c>
      <c r="D2746" s="1">
        <v>16</v>
      </c>
      <c r="E2746" s="1">
        <v>90</v>
      </c>
      <c r="F2746" s="1">
        <v>16</v>
      </c>
    </row>
    <row r="2747" spans="1:6">
      <c r="A2747">
        <v>1</v>
      </c>
      <c r="B2747" t="s">
        <v>137</v>
      </c>
      <c r="C2747" s="1">
        <v>1</v>
      </c>
      <c r="D2747" s="1" t="s">
        <v>153</v>
      </c>
      <c r="E2747" s="1">
        <v>92</v>
      </c>
      <c r="F2747" s="1" t="s">
        <v>153</v>
      </c>
    </row>
    <row r="2748" spans="1:6">
      <c r="A2748">
        <v>1</v>
      </c>
      <c r="B2748" t="s">
        <v>137</v>
      </c>
      <c r="C2748" s="1">
        <v>1</v>
      </c>
      <c r="D2748" s="1">
        <v>17</v>
      </c>
      <c r="E2748" s="1">
        <v>94</v>
      </c>
      <c r="F2748" s="1">
        <v>17</v>
      </c>
    </row>
    <row r="2749" spans="1:6">
      <c r="A2749">
        <v>1</v>
      </c>
      <c r="B2749" t="s">
        <v>137</v>
      </c>
      <c r="C2749" s="1">
        <v>1</v>
      </c>
      <c r="D2749" s="1" t="s">
        <v>156</v>
      </c>
      <c r="E2749" s="1">
        <v>96</v>
      </c>
      <c r="F2749" s="1" t="s">
        <v>156</v>
      </c>
    </row>
    <row r="2750" spans="1:6">
      <c r="A2750">
        <v>1</v>
      </c>
      <c r="B2750" t="s">
        <v>137</v>
      </c>
      <c r="C2750" s="1">
        <v>2</v>
      </c>
      <c r="D2750" s="1" t="s">
        <v>159</v>
      </c>
      <c r="E2750" s="1">
        <v>2</v>
      </c>
      <c r="F2750" s="1" t="s">
        <v>159</v>
      </c>
    </row>
    <row r="2751" spans="1:6">
      <c r="A2751">
        <v>1</v>
      </c>
      <c r="B2751" t="s">
        <v>137</v>
      </c>
      <c r="C2751" s="1">
        <v>2</v>
      </c>
      <c r="D2751" s="1">
        <v>19</v>
      </c>
      <c r="E2751" s="1">
        <v>10</v>
      </c>
      <c r="F2751" s="1">
        <v>19</v>
      </c>
    </row>
    <row r="2752" spans="1:6">
      <c r="A2752">
        <v>1</v>
      </c>
      <c r="B2752" t="s">
        <v>137</v>
      </c>
      <c r="C2752" s="1">
        <v>2</v>
      </c>
      <c r="D2752" s="1" t="s">
        <v>162</v>
      </c>
      <c r="E2752" s="1">
        <v>12</v>
      </c>
      <c r="F2752" s="1" t="s">
        <v>162</v>
      </c>
    </row>
    <row r="2753" spans="1:6">
      <c r="A2753">
        <v>1</v>
      </c>
      <c r="B2753" t="s">
        <v>137</v>
      </c>
      <c r="C2753" s="1">
        <v>2</v>
      </c>
      <c r="D2753" s="1">
        <v>20</v>
      </c>
      <c r="E2753" s="1">
        <v>20</v>
      </c>
      <c r="F2753" s="1">
        <v>20</v>
      </c>
    </row>
    <row r="2754" spans="1:6">
      <c r="A2754">
        <v>1</v>
      </c>
      <c r="B2754" t="s">
        <v>137</v>
      </c>
      <c r="C2754" s="1">
        <v>2</v>
      </c>
      <c r="D2754" s="1" t="s">
        <v>165</v>
      </c>
      <c r="E2754" s="1">
        <v>22</v>
      </c>
      <c r="F2754" s="1" t="s">
        <v>165</v>
      </c>
    </row>
    <row r="2755" spans="1:6">
      <c r="A2755">
        <v>1</v>
      </c>
      <c r="B2755" t="s">
        <v>137</v>
      </c>
      <c r="C2755" s="1">
        <v>2</v>
      </c>
      <c r="D2755" s="1">
        <v>21</v>
      </c>
      <c r="E2755" s="1">
        <v>30</v>
      </c>
      <c r="F2755" s="1">
        <v>21</v>
      </c>
    </row>
    <row r="2756" spans="1:6">
      <c r="A2756">
        <v>1</v>
      </c>
      <c r="B2756" t="s">
        <v>137</v>
      </c>
      <c r="C2756" s="1">
        <v>2</v>
      </c>
      <c r="D2756" s="1" t="s">
        <v>168</v>
      </c>
      <c r="E2756" s="1">
        <v>32</v>
      </c>
      <c r="F2756" s="1" t="s">
        <v>168</v>
      </c>
    </row>
    <row r="2757" spans="1:6">
      <c r="A2757">
        <v>1</v>
      </c>
      <c r="B2757" t="s">
        <v>137</v>
      </c>
      <c r="C2757" s="1">
        <v>2</v>
      </c>
      <c r="D2757" s="1">
        <v>22</v>
      </c>
      <c r="E2757" s="1">
        <v>40</v>
      </c>
      <c r="F2757" s="1">
        <v>22</v>
      </c>
    </row>
    <row r="2758" spans="1:6">
      <c r="A2758">
        <v>1</v>
      </c>
      <c r="B2758" t="s">
        <v>137</v>
      </c>
      <c r="C2758" s="1">
        <v>2</v>
      </c>
      <c r="D2758" s="1" t="s">
        <v>171</v>
      </c>
      <c r="E2758" s="1">
        <v>42</v>
      </c>
      <c r="F2758" s="1" t="s">
        <v>171</v>
      </c>
    </row>
    <row r="2759" spans="1:6">
      <c r="A2759">
        <v>1</v>
      </c>
      <c r="B2759" t="s">
        <v>137</v>
      </c>
      <c r="C2759" s="1">
        <v>2</v>
      </c>
      <c r="D2759" s="1">
        <v>23</v>
      </c>
      <c r="E2759" s="1">
        <v>50</v>
      </c>
      <c r="F2759" s="1">
        <v>23</v>
      </c>
    </row>
    <row r="2760" spans="1:6">
      <c r="A2760">
        <v>1</v>
      </c>
      <c r="B2760" t="s">
        <v>137</v>
      </c>
      <c r="C2760" s="1">
        <v>2</v>
      </c>
      <c r="D2760" s="1" t="s">
        <v>174</v>
      </c>
      <c r="E2760" s="1">
        <v>52</v>
      </c>
      <c r="F2760" s="1" t="s">
        <v>174</v>
      </c>
    </row>
    <row r="2761" spans="1:6">
      <c r="A2761">
        <v>1</v>
      </c>
      <c r="B2761" t="s">
        <v>137</v>
      </c>
      <c r="C2761" s="1">
        <v>2</v>
      </c>
      <c r="D2761" s="1">
        <v>24</v>
      </c>
      <c r="E2761" s="1">
        <v>60</v>
      </c>
      <c r="F2761" s="1">
        <v>24</v>
      </c>
    </row>
    <row r="2762" spans="1:6">
      <c r="A2762">
        <v>1</v>
      </c>
      <c r="B2762" t="s">
        <v>137</v>
      </c>
      <c r="C2762" s="1">
        <v>2</v>
      </c>
      <c r="D2762" s="1" t="s">
        <v>177</v>
      </c>
      <c r="E2762" s="1">
        <v>62</v>
      </c>
      <c r="F2762" s="1" t="s">
        <v>177</v>
      </c>
    </row>
    <row r="2763" spans="1:6">
      <c r="A2763">
        <v>1</v>
      </c>
      <c r="B2763" t="s">
        <v>137</v>
      </c>
      <c r="C2763" s="1">
        <v>2</v>
      </c>
      <c r="D2763" s="1" t="s">
        <v>180</v>
      </c>
      <c r="E2763" s="1">
        <v>72</v>
      </c>
      <c r="F2763" s="1" t="s">
        <v>180</v>
      </c>
    </row>
    <row r="2764" spans="1:6">
      <c r="A2764">
        <v>1</v>
      </c>
      <c r="B2764" t="s">
        <v>137</v>
      </c>
      <c r="C2764" s="1">
        <v>2</v>
      </c>
      <c r="D2764" s="1">
        <v>18</v>
      </c>
      <c r="F2764" s="1">
        <v>18</v>
      </c>
    </row>
    <row r="2765" spans="1:6">
      <c r="A2765">
        <v>5</v>
      </c>
      <c r="B2765" t="s">
        <v>183</v>
      </c>
      <c r="E2765" s="1">
        <v>50</v>
      </c>
    </row>
    <row r="2766" spans="1:6">
      <c r="A2766">
        <v>5</v>
      </c>
      <c r="B2766" t="s">
        <v>183</v>
      </c>
      <c r="E2766" s="1">
        <v>60</v>
      </c>
    </row>
    <row r="2767" spans="1:6">
      <c r="A2767">
        <v>6</v>
      </c>
      <c r="B2767" t="s">
        <v>184</v>
      </c>
      <c r="E2767" s="1">
        <v>63</v>
      </c>
    </row>
    <row r="2768" spans="1:6">
      <c r="A2768">
        <v>11</v>
      </c>
      <c r="B2768" t="s">
        <v>186</v>
      </c>
      <c r="C2768" s="1">
        <v>1</v>
      </c>
      <c r="D2768" s="1" t="s">
        <v>192</v>
      </c>
      <c r="E2768" s="1">
        <v>2</v>
      </c>
      <c r="F2768" s="1" t="s">
        <v>192</v>
      </c>
    </row>
    <row r="2769" spans="1:6">
      <c r="A2769">
        <v>11</v>
      </c>
      <c r="B2769" t="s">
        <v>186</v>
      </c>
      <c r="C2769" s="1">
        <v>1</v>
      </c>
      <c r="D2769" s="1">
        <v>40</v>
      </c>
      <c r="E2769" s="1">
        <v>10</v>
      </c>
      <c r="F2769" s="1">
        <v>40</v>
      </c>
    </row>
    <row r="2770" spans="1:6">
      <c r="A2770">
        <v>11</v>
      </c>
      <c r="B2770" t="s">
        <v>186</v>
      </c>
      <c r="C2770" s="1">
        <v>1</v>
      </c>
      <c r="D2770" s="1" t="s">
        <v>193</v>
      </c>
      <c r="E2770" s="1">
        <v>12</v>
      </c>
      <c r="F2770" s="1" t="s">
        <v>193</v>
      </c>
    </row>
    <row r="2771" spans="1:6">
      <c r="A2771">
        <v>11</v>
      </c>
      <c r="B2771" t="s">
        <v>186</v>
      </c>
      <c r="C2771" s="1">
        <v>1</v>
      </c>
      <c r="D2771" s="1">
        <v>41</v>
      </c>
      <c r="E2771" s="1">
        <v>20</v>
      </c>
      <c r="F2771" s="1">
        <v>41</v>
      </c>
    </row>
    <row r="2772" spans="1:6">
      <c r="A2772">
        <v>11</v>
      </c>
      <c r="B2772" t="s">
        <v>186</v>
      </c>
      <c r="C2772" s="1">
        <v>1</v>
      </c>
      <c r="D2772" s="1" t="s">
        <v>194</v>
      </c>
      <c r="E2772" s="1">
        <v>22</v>
      </c>
      <c r="F2772" s="1" t="s">
        <v>194</v>
      </c>
    </row>
    <row r="2773" spans="1:6">
      <c r="A2773">
        <v>11</v>
      </c>
      <c r="B2773" t="s">
        <v>186</v>
      </c>
      <c r="C2773" s="1">
        <v>1</v>
      </c>
      <c r="D2773" s="1">
        <v>42</v>
      </c>
      <c r="E2773" s="1">
        <v>30</v>
      </c>
      <c r="F2773" s="1">
        <v>42</v>
      </c>
    </row>
    <row r="2774" spans="1:6">
      <c r="A2774">
        <v>11</v>
      </c>
      <c r="B2774" t="s">
        <v>186</v>
      </c>
      <c r="C2774" s="1">
        <v>1</v>
      </c>
      <c r="D2774" s="1" t="s">
        <v>195</v>
      </c>
      <c r="E2774" s="1">
        <v>32</v>
      </c>
      <c r="F2774" s="1" t="s">
        <v>195</v>
      </c>
    </row>
    <row r="2775" spans="1:6">
      <c r="A2775">
        <v>11</v>
      </c>
      <c r="B2775" t="s">
        <v>186</v>
      </c>
      <c r="C2775" s="1">
        <v>1</v>
      </c>
      <c r="D2775" s="1">
        <v>43</v>
      </c>
      <c r="E2775" s="1">
        <v>40</v>
      </c>
      <c r="F2775" s="1">
        <v>43</v>
      </c>
    </row>
    <row r="2776" spans="1:6">
      <c r="A2776">
        <v>11</v>
      </c>
      <c r="B2776" t="s">
        <v>186</v>
      </c>
      <c r="C2776" s="1">
        <v>1</v>
      </c>
      <c r="D2776" s="1" t="s">
        <v>196</v>
      </c>
      <c r="E2776" s="1">
        <v>42</v>
      </c>
      <c r="F2776" s="1" t="s">
        <v>196</v>
      </c>
    </row>
    <row r="2777" spans="1:6">
      <c r="A2777">
        <v>11</v>
      </c>
      <c r="B2777" t="s">
        <v>186</v>
      </c>
      <c r="C2777" s="1">
        <v>1</v>
      </c>
      <c r="D2777" s="1">
        <v>44</v>
      </c>
      <c r="E2777" s="1">
        <v>50</v>
      </c>
      <c r="F2777" s="1">
        <v>44</v>
      </c>
    </row>
    <row r="2778" spans="1:6">
      <c r="A2778">
        <v>11</v>
      </c>
      <c r="B2778" t="s">
        <v>186</v>
      </c>
      <c r="C2778" s="1">
        <v>1</v>
      </c>
      <c r="D2778" s="1" t="s">
        <v>197</v>
      </c>
      <c r="E2778" s="1">
        <v>52</v>
      </c>
      <c r="F2778" s="1" t="s">
        <v>197</v>
      </c>
    </row>
    <row r="2779" spans="1:6">
      <c r="A2779">
        <v>11</v>
      </c>
      <c r="B2779" t="s">
        <v>186</v>
      </c>
      <c r="C2779" s="1">
        <v>1</v>
      </c>
      <c r="D2779" s="1">
        <v>45</v>
      </c>
      <c r="E2779" s="1">
        <v>60</v>
      </c>
      <c r="F2779" s="1">
        <v>45</v>
      </c>
    </row>
    <row r="2780" spans="1:6">
      <c r="A2780">
        <v>11</v>
      </c>
      <c r="B2780" t="s">
        <v>186</v>
      </c>
      <c r="C2780" s="1">
        <v>1</v>
      </c>
      <c r="D2780" s="1" t="s">
        <v>198</v>
      </c>
      <c r="E2780" s="1">
        <v>62</v>
      </c>
      <c r="F2780" s="1" t="s">
        <v>198</v>
      </c>
    </row>
    <row r="2781" spans="1:6">
      <c r="A2781">
        <v>11</v>
      </c>
      <c r="B2781" t="s">
        <v>186</v>
      </c>
      <c r="C2781" s="1">
        <v>1</v>
      </c>
      <c r="D2781" s="1" t="s">
        <v>199</v>
      </c>
      <c r="E2781" s="1">
        <v>72</v>
      </c>
      <c r="F2781" s="1" t="s">
        <v>199</v>
      </c>
    </row>
    <row r="2782" spans="1:6">
      <c r="A2782">
        <v>11</v>
      </c>
      <c r="B2782" t="s">
        <v>186</v>
      </c>
      <c r="E2782" s="1">
        <v>95</v>
      </c>
    </row>
    <row r="2783" spans="1:6">
      <c r="A2783">
        <v>11</v>
      </c>
      <c r="B2783" t="s">
        <v>186</v>
      </c>
      <c r="E2783" s="1">
        <v>96</v>
      </c>
    </row>
    <row r="2784" spans="1:6">
      <c r="A2784">
        <v>12</v>
      </c>
      <c r="B2784" t="s">
        <v>107</v>
      </c>
      <c r="C2784" s="1">
        <v>1</v>
      </c>
      <c r="D2784" s="1" t="s">
        <v>195</v>
      </c>
      <c r="E2784" s="1">
        <v>32</v>
      </c>
      <c r="F2784" s="1" t="s">
        <v>195</v>
      </c>
    </row>
    <row r="2785" spans="1:6">
      <c r="A2785">
        <v>12</v>
      </c>
      <c r="B2785" t="s">
        <v>107</v>
      </c>
      <c r="C2785" s="1">
        <v>1</v>
      </c>
      <c r="D2785" s="1">
        <v>43</v>
      </c>
      <c r="E2785" s="1">
        <v>40</v>
      </c>
      <c r="F2785" s="1">
        <v>43</v>
      </c>
    </row>
    <row r="2786" spans="1:6">
      <c r="A2786">
        <v>12</v>
      </c>
      <c r="B2786" t="s">
        <v>107</v>
      </c>
      <c r="C2786" s="1">
        <v>1</v>
      </c>
      <c r="D2786" s="1" t="s">
        <v>196</v>
      </c>
      <c r="E2786" s="1">
        <v>42</v>
      </c>
      <c r="F2786" s="1" t="s">
        <v>196</v>
      </c>
    </row>
    <row r="2787" spans="1:6">
      <c r="A2787">
        <v>12</v>
      </c>
      <c r="B2787" t="s">
        <v>107</v>
      </c>
      <c r="C2787" s="1">
        <v>1</v>
      </c>
      <c r="D2787" s="1">
        <v>44</v>
      </c>
      <c r="E2787" s="1">
        <v>50</v>
      </c>
      <c r="F2787" s="1">
        <v>44</v>
      </c>
    </row>
    <row r="2788" spans="1:6">
      <c r="A2788">
        <v>12</v>
      </c>
      <c r="B2788" t="s">
        <v>107</v>
      </c>
      <c r="C2788" s="1">
        <v>1</v>
      </c>
      <c r="D2788" s="1" t="s">
        <v>197</v>
      </c>
      <c r="E2788" s="1">
        <v>52</v>
      </c>
      <c r="F2788" s="1" t="s">
        <v>197</v>
      </c>
    </row>
    <row r="2789" spans="1:6">
      <c r="A2789">
        <v>12</v>
      </c>
      <c r="B2789" t="s">
        <v>107</v>
      </c>
      <c r="C2789" s="1">
        <v>1</v>
      </c>
      <c r="D2789" s="1" t="s">
        <v>198</v>
      </c>
      <c r="E2789" s="1">
        <v>62</v>
      </c>
      <c r="F2789" s="1" t="s">
        <v>198</v>
      </c>
    </row>
    <row r="2790" spans="1:6">
      <c r="A2790">
        <v>13</v>
      </c>
      <c r="B2790" t="s">
        <v>200</v>
      </c>
      <c r="C2790" s="1">
        <v>1</v>
      </c>
      <c r="D2790" s="1">
        <v>40</v>
      </c>
      <c r="E2790" s="1">
        <v>10</v>
      </c>
      <c r="F2790" s="1">
        <v>40</v>
      </c>
    </row>
    <row r="2791" spans="1:6">
      <c r="A2791">
        <v>13</v>
      </c>
      <c r="B2791" t="s">
        <v>200</v>
      </c>
      <c r="C2791" s="1">
        <v>1</v>
      </c>
      <c r="D2791" s="1">
        <v>41</v>
      </c>
      <c r="E2791" s="1">
        <v>20</v>
      </c>
      <c r="F2791" s="1">
        <v>41</v>
      </c>
    </row>
    <row r="2792" spans="1:6">
      <c r="A2792">
        <v>13</v>
      </c>
      <c r="B2792" t="s">
        <v>200</v>
      </c>
      <c r="C2792" s="1">
        <v>1</v>
      </c>
      <c r="D2792" s="1">
        <v>42</v>
      </c>
      <c r="E2792" s="1">
        <v>30</v>
      </c>
      <c r="F2792" s="1">
        <v>42</v>
      </c>
    </row>
    <row r="2793" spans="1:6">
      <c r="A2793">
        <v>13</v>
      </c>
      <c r="B2793" t="s">
        <v>200</v>
      </c>
      <c r="C2793" s="1">
        <v>1</v>
      </c>
      <c r="D2793" s="1" t="s">
        <v>195</v>
      </c>
      <c r="E2793" s="1">
        <v>32</v>
      </c>
      <c r="F2793" s="1" t="s">
        <v>195</v>
      </c>
    </row>
    <row r="2794" spans="1:6">
      <c r="A2794">
        <v>13</v>
      </c>
      <c r="B2794" t="s">
        <v>200</v>
      </c>
      <c r="C2794" s="1">
        <v>1</v>
      </c>
      <c r="D2794" s="1">
        <v>43</v>
      </c>
      <c r="E2794" s="1">
        <v>40</v>
      </c>
      <c r="F2794" s="1">
        <v>43</v>
      </c>
    </row>
    <row r="2795" spans="1:6">
      <c r="A2795">
        <v>13</v>
      </c>
      <c r="B2795" t="s">
        <v>200</v>
      </c>
      <c r="C2795" s="1">
        <v>1</v>
      </c>
      <c r="D2795" s="1" t="s">
        <v>196</v>
      </c>
      <c r="E2795" s="1">
        <v>42</v>
      </c>
      <c r="F2795" s="1" t="s">
        <v>196</v>
      </c>
    </row>
    <row r="2796" spans="1:6">
      <c r="A2796">
        <v>13</v>
      </c>
      <c r="B2796" t="s">
        <v>200</v>
      </c>
      <c r="C2796" s="1">
        <v>1</v>
      </c>
      <c r="D2796" s="1">
        <v>44</v>
      </c>
      <c r="E2796" s="1">
        <v>50</v>
      </c>
      <c r="F2796" s="1">
        <v>44</v>
      </c>
    </row>
    <row r="2797" spans="1:6">
      <c r="A2797">
        <v>13</v>
      </c>
      <c r="B2797" t="s">
        <v>200</v>
      </c>
      <c r="C2797" s="1">
        <v>1</v>
      </c>
      <c r="D2797" s="1" t="s">
        <v>197</v>
      </c>
      <c r="E2797" s="1">
        <v>52</v>
      </c>
      <c r="F2797" s="1" t="s">
        <v>197</v>
      </c>
    </row>
    <row r="2798" spans="1:6">
      <c r="A2798">
        <v>13</v>
      </c>
      <c r="B2798" t="s">
        <v>200</v>
      </c>
      <c r="C2798" s="1">
        <v>1</v>
      </c>
      <c r="D2798" s="1">
        <v>45</v>
      </c>
      <c r="E2798" s="1">
        <v>60</v>
      </c>
      <c r="F2798" s="1">
        <v>45</v>
      </c>
    </row>
    <row r="2799" spans="1:6">
      <c r="A2799">
        <v>13</v>
      </c>
      <c r="B2799" t="s">
        <v>200</v>
      </c>
      <c r="C2799" s="1">
        <v>1</v>
      </c>
      <c r="D2799" s="1" t="s">
        <v>198</v>
      </c>
      <c r="E2799" s="1">
        <v>62</v>
      </c>
      <c r="F2799" s="1" t="s">
        <v>198</v>
      </c>
    </row>
    <row r="2800" spans="1:6">
      <c r="A2800">
        <v>13</v>
      </c>
      <c r="B2800" t="s">
        <v>200</v>
      </c>
      <c r="C2800" s="1">
        <v>1</v>
      </c>
      <c r="D2800" s="1" t="s">
        <v>199</v>
      </c>
      <c r="E2800" s="1">
        <v>72</v>
      </c>
      <c r="F2800" s="1" t="s">
        <v>199</v>
      </c>
    </row>
    <row r="2801" spans="1:6">
      <c r="A2801">
        <v>15</v>
      </c>
      <c r="B2801" t="s">
        <v>201</v>
      </c>
      <c r="C2801" s="1">
        <v>4</v>
      </c>
      <c r="D2801" s="1" t="s">
        <v>286</v>
      </c>
      <c r="E2801" s="1">
        <v>70</v>
      </c>
      <c r="F2801" s="1" t="s">
        <v>286</v>
      </c>
    </row>
    <row r="2802" spans="1:6">
      <c r="A2802">
        <v>15</v>
      </c>
      <c r="B2802" t="s">
        <v>201</v>
      </c>
      <c r="E2802" s="1">
        <v>70</v>
      </c>
    </row>
    <row r="2803" spans="1:6">
      <c r="A2803">
        <v>21</v>
      </c>
      <c r="B2803" t="s">
        <v>205</v>
      </c>
      <c r="C2803" s="1">
        <v>1</v>
      </c>
      <c r="D2803" s="1" t="s">
        <v>394</v>
      </c>
      <c r="E2803" s="1">
        <v>12</v>
      </c>
      <c r="F2803" s="1" t="s">
        <v>394</v>
      </c>
    </row>
    <row r="2804" spans="1:6">
      <c r="A2804">
        <v>21</v>
      </c>
      <c r="B2804" t="s">
        <v>205</v>
      </c>
      <c r="C2804" s="1">
        <v>1</v>
      </c>
      <c r="D2804" s="1" t="s">
        <v>328</v>
      </c>
      <c r="E2804" s="1">
        <v>20</v>
      </c>
      <c r="F2804" s="1" t="s">
        <v>328</v>
      </c>
    </row>
    <row r="2805" spans="1:6">
      <c r="A2805">
        <v>21</v>
      </c>
      <c r="B2805" t="s">
        <v>205</v>
      </c>
      <c r="C2805" s="1">
        <v>1</v>
      </c>
      <c r="D2805" s="1" t="s">
        <v>329</v>
      </c>
      <c r="E2805" s="1">
        <v>30</v>
      </c>
      <c r="F2805" s="1" t="s">
        <v>329</v>
      </c>
    </row>
    <row r="2806" spans="1:6">
      <c r="A2806">
        <v>21</v>
      </c>
      <c r="B2806" t="s">
        <v>205</v>
      </c>
      <c r="C2806" s="1">
        <v>1</v>
      </c>
      <c r="D2806" s="1" t="s">
        <v>323</v>
      </c>
      <c r="E2806" s="1">
        <v>32</v>
      </c>
      <c r="F2806" s="1" t="s">
        <v>323</v>
      </c>
    </row>
    <row r="2807" spans="1:6">
      <c r="A2807">
        <v>21</v>
      </c>
      <c r="B2807" t="s">
        <v>205</v>
      </c>
      <c r="C2807" s="1">
        <v>1</v>
      </c>
      <c r="D2807" s="1" t="s">
        <v>332</v>
      </c>
      <c r="E2807" s="1">
        <v>40</v>
      </c>
      <c r="F2807" s="1" t="s">
        <v>332</v>
      </c>
    </row>
    <row r="2808" spans="1:6">
      <c r="A2808">
        <v>21</v>
      </c>
      <c r="B2808" t="s">
        <v>205</v>
      </c>
      <c r="C2808" s="1">
        <v>1</v>
      </c>
      <c r="D2808" s="1" t="s">
        <v>330</v>
      </c>
      <c r="E2808" s="1">
        <v>42</v>
      </c>
      <c r="F2808" s="1" t="s">
        <v>330</v>
      </c>
    </row>
    <row r="2809" spans="1:6">
      <c r="A2809">
        <v>21</v>
      </c>
      <c r="B2809" t="s">
        <v>205</v>
      </c>
      <c r="C2809" s="1">
        <v>1</v>
      </c>
      <c r="D2809" s="1" t="s">
        <v>331</v>
      </c>
      <c r="E2809" s="1">
        <v>50</v>
      </c>
      <c r="F2809" s="1" t="s">
        <v>331</v>
      </c>
    </row>
    <row r="2810" spans="1:6">
      <c r="A2810">
        <v>21</v>
      </c>
      <c r="B2810" t="s">
        <v>205</v>
      </c>
      <c r="C2810" s="1">
        <v>1</v>
      </c>
      <c r="D2810" s="1" t="s">
        <v>287</v>
      </c>
      <c r="E2810" s="1">
        <v>52</v>
      </c>
      <c r="F2810" s="1" t="s">
        <v>287</v>
      </c>
    </row>
    <row r="2811" spans="1:6">
      <c r="A2811">
        <v>21</v>
      </c>
      <c r="B2811" t="s">
        <v>205</v>
      </c>
      <c r="C2811" s="1">
        <v>1</v>
      </c>
      <c r="D2811" s="1" t="s">
        <v>288</v>
      </c>
      <c r="E2811" s="1">
        <v>62</v>
      </c>
      <c r="F2811" s="1" t="s">
        <v>288</v>
      </c>
    </row>
    <row r="2812" spans="1:6">
      <c r="A2812">
        <v>21</v>
      </c>
      <c r="B2812" t="s">
        <v>205</v>
      </c>
      <c r="C2812" s="1">
        <v>1</v>
      </c>
      <c r="D2812" s="1" t="s">
        <v>284</v>
      </c>
      <c r="F2812" s="1" t="s">
        <v>284</v>
      </c>
    </row>
    <row r="2813" spans="1:6">
      <c r="A2813">
        <v>22</v>
      </c>
      <c r="B2813" t="s">
        <v>206</v>
      </c>
      <c r="C2813" s="1">
        <v>1</v>
      </c>
      <c r="D2813" s="1" t="s">
        <v>288</v>
      </c>
      <c r="E2813" s="1">
        <v>62</v>
      </c>
      <c r="F2813" s="1" t="s">
        <v>288</v>
      </c>
    </row>
    <row r="2814" spans="1:6">
      <c r="A2814">
        <v>57</v>
      </c>
      <c r="B2814" t="s">
        <v>183</v>
      </c>
      <c r="C2814" s="1">
        <v>3</v>
      </c>
      <c r="D2814" s="1" t="s">
        <v>492</v>
      </c>
      <c r="E2814" s="1">
        <v>50</v>
      </c>
      <c r="F2814" s="1" t="s">
        <v>492</v>
      </c>
    </row>
    <row r="2815" spans="1:6">
      <c r="A2815">
        <v>57</v>
      </c>
      <c r="B2815" t="s">
        <v>183</v>
      </c>
      <c r="C2815" s="1">
        <v>3</v>
      </c>
      <c r="D2815" s="1" t="s">
        <v>338</v>
      </c>
      <c r="E2815" s="1">
        <v>60</v>
      </c>
      <c r="F2815" s="1" t="s">
        <v>338</v>
      </c>
    </row>
    <row r="2816" spans="1:6">
      <c r="A2816">
        <v>57</v>
      </c>
      <c r="B2816" t="s">
        <v>183</v>
      </c>
      <c r="E2816" s="1">
        <v>50</v>
      </c>
    </row>
    <row r="2817" spans="1:6">
      <c r="A2817">
        <v>57</v>
      </c>
      <c r="B2817" t="s">
        <v>183</v>
      </c>
      <c r="E2817" s="1">
        <v>60</v>
      </c>
    </row>
    <row r="2818" spans="1:6">
      <c r="A2818">
        <v>59</v>
      </c>
      <c r="B2818" t="s">
        <v>227</v>
      </c>
      <c r="C2818" s="1">
        <v>3</v>
      </c>
      <c r="D2818" s="1" t="s">
        <v>295</v>
      </c>
      <c r="E2818" s="1">
        <v>23</v>
      </c>
      <c r="F2818" s="1" t="s">
        <v>295</v>
      </c>
    </row>
    <row r="2819" spans="1:6">
      <c r="A2819">
        <v>59</v>
      </c>
      <c r="B2819" t="s">
        <v>227</v>
      </c>
      <c r="E2819" s="1">
        <v>23</v>
      </c>
    </row>
    <row r="2820" spans="1:6">
      <c r="A2820">
        <v>74</v>
      </c>
      <c r="B2820" t="s">
        <v>235</v>
      </c>
      <c r="C2820" s="1">
        <v>3</v>
      </c>
      <c r="D2820" s="1" t="s">
        <v>320</v>
      </c>
      <c r="E2820" s="1">
        <v>50</v>
      </c>
      <c r="F2820" s="1" t="s">
        <v>320</v>
      </c>
    </row>
    <row r="2821" spans="1:6">
      <c r="A2821">
        <v>74</v>
      </c>
      <c r="B2821" t="s">
        <v>235</v>
      </c>
      <c r="C2821" s="1">
        <v>3</v>
      </c>
      <c r="D2821" s="1" t="s">
        <v>321</v>
      </c>
      <c r="E2821" s="1">
        <v>60</v>
      </c>
      <c r="F2821" s="1" t="s">
        <v>321</v>
      </c>
    </row>
    <row r="2822" spans="1:6">
      <c r="A2822">
        <v>1</v>
      </c>
      <c r="B2822" t="s">
        <v>137</v>
      </c>
      <c r="C2822" s="1">
        <v>1</v>
      </c>
      <c r="D2822" s="1">
        <v>14</v>
      </c>
      <c r="E2822" s="1">
        <v>70</v>
      </c>
      <c r="F2822" s="1">
        <v>14</v>
      </c>
    </row>
    <row r="2823" spans="1:6">
      <c r="A2823">
        <v>1</v>
      </c>
      <c r="B2823" t="s">
        <v>137</v>
      </c>
      <c r="C2823" s="1">
        <v>1</v>
      </c>
      <c r="D2823" s="1" t="s">
        <v>147</v>
      </c>
      <c r="E2823" s="1">
        <v>72</v>
      </c>
      <c r="F2823" s="1" t="s">
        <v>147</v>
      </c>
    </row>
    <row r="2824" spans="1:6">
      <c r="A2824">
        <v>1</v>
      </c>
      <c r="B2824" t="s">
        <v>137</v>
      </c>
      <c r="C2824" s="1">
        <v>1</v>
      </c>
      <c r="D2824" s="1">
        <v>15</v>
      </c>
      <c r="E2824" s="1">
        <v>80</v>
      </c>
      <c r="F2824" s="1">
        <v>15</v>
      </c>
    </row>
    <row r="2825" spans="1:6">
      <c r="A2825">
        <v>1</v>
      </c>
      <c r="B2825" t="s">
        <v>137</v>
      </c>
      <c r="C2825" s="1">
        <v>1</v>
      </c>
      <c r="D2825" s="1" t="s">
        <v>150</v>
      </c>
      <c r="E2825" s="1">
        <v>82</v>
      </c>
      <c r="F2825" s="1" t="s">
        <v>150</v>
      </c>
    </row>
    <row r="2826" spans="1:6">
      <c r="A2826">
        <v>1</v>
      </c>
      <c r="B2826" t="s">
        <v>137</v>
      </c>
      <c r="C2826" s="1">
        <v>1</v>
      </c>
      <c r="D2826" s="1">
        <v>16</v>
      </c>
      <c r="E2826" s="1">
        <v>90</v>
      </c>
      <c r="F2826" s="1">
        <v>16</v>
      </c>
    </row>
    <row r="2827" spans="1:6">
      <c r="A2827">
        <v>1</v>
      </c>
      <c r="B2827" t="s">
        <v>137</v>
      </c>
      <c r="C2827" s="1">
        <v>1</v>
      </c>
      <c r="D2827" s="1" t="s">
        <v>156</v>
      </c>
      <c r="E2827" s="1">
        <v>96</v>
      </c>
      <c r="F2827" s="1" t="s">
        <v>156</v>
      </c>
    </row>
    <row r="2828" spans="1:6">
      <c r="A2828">
        <v>1</v>
      </c>
      <c r="B2828" t="s">
        <v>137</v>
      </c>
      <c r="C2828" s="1">
        <v>2</v>
      </c>
      <c r="D2828" s="1" t="s">
        <v>159</v>
      </c>
      <c r="E2828" s="1">
        <v>2</v>
      </c>
      <c r="F2828" s="1" t="s">
        <v>159</v>
      </c>
    </row>
    <row r="2829" spans="1:6">
      <c r="A2829">
        <v>1</v>
      </c>
      <c r="B2829" t="s">
        <v>137</v>
      </c>
      <c r="C2829" s="1">
        <v>2</v>
      </c>
      <c r="D2829" s="1">
        <v>19</v>
      </c>
      <c r="E2829" s="1">
        <v>10</v>
      </c>
      <c r="F2829" s="1">
        <v>19</v>
      </c>
    </row>
    <row r="2830" spans="1:6">
      <c r="A2830">
        <v>1</v>
      </c>
      <c r="B2830" t="s">
        <v>137</v>
      </c>
      <c r="C2830" s="1">
        <v>2</v>
      </c>
      <c r="D2830" s="1" t="s">
        <v>162</v>
      </c>
      <c r="E2830" s="1">
        <v>12</v>
      </c>
      <c r="F2830" s="1" t="s">
        <v>162</v>
      </c>
    </row>
    <row r="2831" spans="1:6">
      <c r="A2831">
        <v>1</v>
      </c>
      <c r="B2831" t="s">
        <v>137</v>
      </c>
      <c r="C2831" s="1">
        <v>2</v>
      </c>
      <c r="D2831" s="1">
        <v>20</v>
      </c>
      <c r="E2831" s="1">
        <v>20</v>
      </c>
      <c r="F2831" s="1">
        <v>20</v>
      </c>
    </row>
    <row r="2832" spans="1:6">
      <c r="A2832">
        <v>1</v>
      </c>
      <c r="B2832" t="s">
        <v>137</v>
      </c>
      <c r="C2832" s="1">
        <v>2</v>
      </c>
      <c r="D2832" s="1" t="s">
        <v>165</v>
      </c>
      <c r="E2832" s="1">
        <v>22</v>
      </c>
      <c r="F2832" s="1" t="s">
        <v>165</v>
      </c>
    </row>
    <row r="2833" spans="1:6">
      <c r="A2833">
        <v>1</v>
      </c>
      <c r="B2833" t="s">
        <v>137</v>
      </c>
      <c r="C2833" s="1">
        <v>2</v>
      </c>
      <c r="D2833" s="1">
        <v>21</v>
      </c>
      <c r="E2833" s="1">
        <v>30</v>
      </c>
      <c r="F2833" s="1">
        <v>21</v>
      </c>
    </row>
    <row r="2834" spans="1:6">
      <c r="A2834">
        <v>1</v>
      </c>
      <c r="B2834" t="s">
        <v>137</v>
      </c>
      <c r="C2834" s="1">
        <v>2</v>
      </c>
      <c r="D2834" s="1">
        <v>22</v>
      </c>
      <c r="E2834" s="1">
        <v>40</v>
      </c>
      <c r="F2834" s="1">
        <v>22</v>
      </c>
    </row>
    <row r="2835" spans="1:6">
      <c r="A2835">
        <v>1</v>
      </c>
      <c r="B2835" t="s">
        <v>137</v>
      </c>
      <c r="C2835" s="1">
        <v>2</v>
      </c>
      <c r="D2835" s="1">
        <v>23</v>
      </c>
      <c r="E2835" s="1">
        <v>50</v>
      </c>
      <c r="F2835" s="1">
        <v>23</v>
      </c>
    </row>
    <row r="2836" spans="1:6">
      <c r="A2836">
        <v>1</v>
      </c>
      <c r="B2836" t="s">
        <v>137</v>
      </c>
      <c r="C2836" s="1">
        <v>2</v>
      </c>
      <c r="D2836" s="1">
        <v>18</v>
      </c>
      <c r="F2836" s="1">
        <v>18</v>
      </c>
    </row>
    <row r="2837" spans="1:6">
      <c r="A2837">
        <v>5</v>
      </c>
      <c r="B2837" t="s">
        <v>183</v>
      </c>
      <c r="E2837" s="1">
        <v>60</v>
      </c>
    </row>
    <row r="2838" spans="1:6">
      <c r="A2838">
        <v>5</v>
      </c>
      <c r="B2838" t="s">
        <v>183</v>
      </c>
      <c r="E2838" s="1">
        <v>80</v>
      </c>
    </row>
    <row r="2839" spans="1:6">
      <c r="A2839">
        <v>11</v>
      </c>
      <c r="B2839" t="s">
        <v>186</v>
      </c>
      <c r="C2839" s="1">
        <v>1</v>
      </c>
      <c r="D2839" s="1" t="s">
        <v>192</v>
      </c>
      <c r="E2839" s="1">
        <v>2</v>
      </c>
      <c r="F2839" s="1" t="s">
        <v>192</v>
      </c>
    </row>
    <row r="2840" spans="1:6">
      <c r="A2840">
        <v>11</v>
      </c>
      <c r="B2840" t="s">
        <v>186</v>
      </c>
      <c r="C2840" s="1">
        <v>1</v>
      </c>
      <c r="D2840" s="1" t="s">
        <v>194</v>
      </c>
      <c r="E2840" s="1">
        <v>22</v>
      </c>
      <c r="F2840" s="1" t="s">
        <v>194</v>
      </c>
    </row>
    <row r="2841" spans="1:6">
      <c r="A2841">
        <v>11</v>
      </c>
      <c r="B2841" t="s">
        <v>186</v>
      </c>
      <c r="C2841" s="1">
        <v>1</v>
      </c>
      <c r="D2841" s="1" t="s">
        <v>195</v>
      </c>
      <c r="E2841" s="1">
        <v>32</v>
      </c>
      <c r="F2841" s="1" t="s">
        <v>195</v>
      </c>
    </row>
    <row r="2842" spans="1:6">
      <c r="A2842">
        <v>11</v>
      </c>
      <c r="B2842" t="s">
        <v>186</v>
      </c>
      <c r="C2842" s="1">
        <v>1</v>
      </c>
      <c r="D2842" s="1">
        <v>43</v>
      </c>
      <c r="E2842" s="1">
        <v>40</v>
      </c>
      <c r="F2842" s="1">
        <v>43</v>
      </c>
    </row>
    <row r="2843" spans="1:6">
      <c r="A2843">
        <v>11</v>
      </c>
      <c r="B2843" t="s">
        <v>186</v>
      </c>
      <c r="C2843" s="1">
        <v>1</v>
      </c>
      <c r="D2843" s="1" t="s">
        <v>196</v>
      </c>
      <c r="E2843" s="1">
        <v>42</v>
      </c>
      <c r="F2843" s="1" t="s">
        <v>196</v>
      </c>
    </row>
    <row r="2844" spans="1:6">
      <c r="A2844">
        <v>11</v>
      </c>
      <c r="B2844" t="s">
        <v>186</v>
      </c>
      <c r="C2844" s="1">
        <v>1</v>
      </c>
      <c r="D2844" s="1">
        <v>44</v>
      </c>
      <c r="E2844" s="1">
        <v>50</v>
      </c>
      <c r="F2844" s="1">
        <v>44</v>
      </c>
    </row>
    <row r="2845" spans="1:6">
      <c r="A2845">
        <v>11</v>
      </c>
      <c r="B2845" t="s">
        <v>186</v>
      </c>
      <c r="C2845" s="1">
        <v>1</v>
      </c>
      <c r="D2845" s="1" t="s">
        <v>197</v>
      </c>
      <c r="E2845" s="1">
        <v>52</v>
      </c>
      <c r="F2845" s="1" t="s">
        <v>197</v>
      </c>
    </row>
    <row r="2846" spans="1:6">
      <c r="A2846">
        <v>11</v>
      </c>
      <c r="B2846" t="s">
        <v>186</v>
      </c>
      <c r="C2846" s="1">
        <v>1</v>
      </c>
      <c r="D2846" s="1" t="s">
        <v>198</v>
      </c>
      <c r="E2846" s="1">
        <v>62</v>
      </c>
      <c r="F2846" s="1" t="s">
        <v>198</v>
      </c>
    </row>
    <row r="2847" spans="1:6">
      <c r="A2847">
        <v>11</v>
      </c>
      <c r="B2847" t="s">
        <v>186</v>
      </c>
      <c r="E2847" s="1">
        <v>80</v>
      </c>
    </row>
    <row r="2848" spans="1:6">
      <c r="A2848">
        <v>12</v>
      </c>
      <c r="B2848" t="s">
        <v>107</v>
      </c>
      <c r="C2848" s="1">
        <v>1</v>
      </c>
      <c r="D2848" s="1" t="s">
        <v>192</v>
      </c>
      <c r="E2848" s="1">
        <v>2</v>
      </c>
      <c r="F2848" s="1" t="s">
        <v>192</v>
      </c>
    </row>
    <row r="2849" spans="1:6">
      <c r="A2849">
        <v>12</v>
      </c>
      <c r="B2849" t="s">
        <v>107</v>
      </c>
      <c r="C2849" s="1">
        <v>1</v>
      </c>
      <c r="D2849" s="1">
        <v>40</v>
      </c>
      <c r="E2849" s="1">
        <v>10</v>
      </c>
      <c r="F2849" s="1">
        <v>40</v>
      </c>
    </row>
    <row r="2850" spans="1:6">
      <c r="A2850">
        <v>12</v>
      </c>
      <c r="B2850" t="s">
        <v>107</v>
      </c>
      <c r="C2850" s="1">
        <v>1</v>
      </c>
      <c r="D2850" s="1" t="s">
        <v>193</v>
      </c>
      <c r="E2850" s="1">
        <v>12</v>
      </c>
      <c r="F2850" s="1" t="s">
        <v>193</v>
      </c>
    </row>
    <row r="2851" spans="1:6">
      <c r="A2851">
        <v>12</v>
      </c>
      <c r="B2851" t="s">
        <v>107</v>
      </c>
      <c r="C2851" s="1">
        <v>1</v>
      </c>
      <c r="D2851" s="1">
        <v>41</v>
      </c>
      <c r="E2851" s="1">
        <v>20</v>
      </c>
      <c r="F2851" s="1">
        <v>41</v>
      </c>
    </row>
    <row r="2852" spans="1:6">
      <c r="A2852">
        <v>12</v>
      </c>
      <c r="B2852" t="s">
        <v>107</v>
      </c>
      <c r="C2852" s="1">
        <v>1</v>
      </c>
      <c r="D2852" s="1" t="s">
        <v>194</v>
      </c>
      <c r="E2852" s="1">
        <v>22</v>
      </c>
      <c r="F2852" s="1" t="s">
        <v>194</v>
      </c>
    </row>
    <row r="2853" spans="1:6">
      <c r="A2853">
        <v>12</v>
      </c>
      <c r="B2853" t="s">
        <v>107</v>
      </c>
      <c r="C2853" s="1">
        <v>1</v>
      </c>
      <c r="D2853" s="1">
        <v>42</v>
      </c>
      <c r="E2853" s="1">
        <v>30</v>
      </c>
      <c r="F2853" s="1">
        <v>42</v>
      </c>
    </row>
    <row r="2854" spans="1:6">
      <c r="A2854">
        <v>12</v>
      </c>
      <c r="B2854" t="s">
        <v>107</v>
      </c>
      <c r="C2854" s="1">
        <v>1</v>
      </c>
      <c r="D2854" s="1" t="s">
        <v>195</v>
      </c>
      <c r="E2854" s="1">
        <v>32</v>
      </c>
      <c r="F2854" s="1" t="s">
        <v>195</v>
      </c>
    </row>
    <row r="2855" spans="1:6">
      <c r="A2855">
        <v>12</v>
      </c>
      <c r="B2855" t="s">
        <v>107</v>
      </c>
      <c r="C2855" s="1">
        <v>1</v>
      </c>
      <c r="D2855" s="1">
        <v>43</v>
      </c>
      <c r="E2855" s="1">
        <v>40</v>
      </c>
      <c r="F2855" s="1">
        <v>43</v>
      </c>
    </row>
    <row r="2856" spans="1:6">
      <c r="A2856">
        <v>12</v>
      </c>
      <c r="B2856" t="s">
        <v>107</v>
      </c>
      <c r="C2856" s="1">
        <v>1</v>
      </c>
      <c r="D2856" s="1" t="s">
        <v>196</v>
      </c>
      <c r="E2856" s="1">
        <v>42</v>
      </c>
      <c r="F2856" s="1" t="s">
        <v>196</v>
      </c>
    </row>
    <row r="2857" spans="1:6">
      <c r="A2857">
        <v>12</v>
      </c>
      <c r="B2857" t="s">
        <v>107</v>
      </c>
      <c r="C2857" s="1">
        <v>1</v>
      </c>
      <c r="D2857" s="1">
        <v>44</v>
      </c>
      <c r="E2857" s="1">
        <v>50</v>
      </c>
      <c r="F2857" s="1">
        <v>44</v>
      </c>
    </row>
    <row r="2858" spans="1:6">
      <c r="A2858">
        <v>12</v>
      </c>
      <c r="B2858" t="s">
        <v>107</v>
      </c>
      <c r="C2858" s="1">
        <v>1</v>
      </c>
      <c r="D2858" s="1" t="s">
        <v>197</v>
      </c>
      <c r="E2858" s="1">
        <v>52</v>
      </c>
      <c r="F2858" s="1" t="s">
        <v>197</v>
      </c>
    </row>
    <row r="2859" spans="1:6">
      <c r="A2859">
        <v>12</v>
      </c>
      <c r="B2859" t="s">
        <v>107</v>
      </c>
      <c r="C2859" s="1">
        <v>1</v>
      </c>
      <c r="D2859" s="1">
        <v>45</v>
      </c>
      <c r="E2859" s="1">
        <v>60</v>
      </c>
      <c r="F2859" s="1">
        <v>45</v>
      </c>
    </row>
    <row r="2860" spans="1:6">
      <c r="A2860">
        <v>12</v>
      </c>
      <c r="B2860" t="s">
        <v>107</v>
      </c>
      <c r="C2860" s="1">
        <v>1</v>
      </c>
      <c r="D2860" s="1" t="s">
        <v>198</v>
      </c>
      <c r="E2860" s="1">
        <v>62</v>
      </c>
      <c r="F2860" s="1" t="s">
        <v>198</v>
      </c>
    </row>
    <row r="2861" spans="1:6">
      <c r="A2861">
        <v>12</v>
      </c>
      <c r="B2861" t="s">
        <v>107</v>
      </c>
      <c r="C2861" s="1">
        <v>1</v>
      </c>
      <c r="D2861" s="1" t="s">
        <v>199</v>
      </c>
      <c r="E2861" s="1">
        <v>72</v>
      </c>
      <c r="F2861" s="1" t="s">
        <v>199</v>
      </c>
    </row>
    <row r="2862" spans="1:6">
      <c r="A2862">
        <v>13</v>
      </c>
      <c r="B2862" t="s">
        <v>200</v>
      </c>
      <c r="C2862" s="1">
        <v>1</v>
      </c>
      <c r="D2862" s="1" t="s">
        <v>192</v>
      </c>
      <c r="E2862" s="1">
        <v>2</v>
      </c>
      <c r="F2862" s="1" t="s">
        <v>192</v>
      </c>
    </row>
    <row r="2863" spans="1:6">
      <c r="A2863">
        <v>13</v>
      </c>
      <c r="B2863" t="s">
        <v>200</v>
      </c>
      <c r="C2863" s="1">
        <v>1</v>
      </c>
      <c r="D2863" s="1">
        <v>40</v>
      </c>
      <c r="E2863" s="1">
        <v>10</v>
      </c>
      <c r="F2863" s="1">
        <v>40</v>
      </c>
    </row>
    <row r="2864" spans="1:6">
      <c r="A2864">
        <v>13</v>
      </c>
      <c r="B2864" t="s">
        <v>200</v>
      </c>
      <c r="C2864" s="1">
        <v>1</v>
      </c>
      <c r="D2864" s="1" t="s">
        <v>193</v>
      </c>
      <c r="E2864" s="1">
        <v>12</v>
      </c>
      <c r="F2864" s="1" t="s">
        <v>193</v>
      </c>
    </row>
    <row r="2865" spans="1:6">
      <c r="A2865">
        <v>13</v>
      </c>
      <c r="B2865" t="s">
        <v>200</v>
      </c>
      <c r="C2865" s="1">
        <v>1</v>
      </c>
      <c r="D2865" s="1">
        <v>41</v>
      </c>
      <c r="E2865" s="1">
        <v>20</v>
      </c>
      <c r="F2865" s="1">
        <v>41</v>
      </c>
    </row>
    <row r="2866" spans="1:6">
      <c r="A2866">
        <v>13</v>
      </c>
      <c r="B2866" t="s">
        <v>200</v>
      </c>
      <c r="C2866" s="1">
        <v>1</v>
      </c>
      <c r="D2866" s="1" t="s">
        <v>194</v>
      </c>
      <c r="E2866" s="1">
        <v>22</v>
      </c>
      <c r="F2866" s="1" t="s">
        <v>194</v>
      </c>
    </row>
    <row r="2867" spans="1:6">
      <c r="A2867">
        <v>13</v>
      </c>
      <c r="B2867" t="s">
        <v>200</v>
      </c>
      <c r="C2867" s="1">
        <v>1</v>
      </c>
      <c r="D2867" s="1">
        <v>42</v>
      </c>
      <c r="E2867" s="1">
        <v>30</v>
      </c>
      <c r="F2867" s="1">
        <v>42</v>
      </c>
    </row>
    <row r="2868" spans="1:6">
      <c r="A2868">
        <v>13</v>
      </c>
      <c r="B2868" t="s">
        <v>200</v>
      </c>
      <c r="C2868" s="1">
        <v>1</v>
      </c>
      <c r="D2868" s="1" t="s">
        <v>195</v>
      </c>
      <c r="E2868" s="1">
        <v>32</v>
      </c>
      <c r="F2868" s="1" t="s">
        <v>195</v>
      </c>
    </row>
    <row r="2869" spans="1:6">
      <c r="A2869">
        <v>13</v>
      </c>
      <c r="B2869" t="s">
        <v>200</v>
      </c>
      <c r="C2869" s="1">
        <v>1</v>
      </c>
      <c r="D2869" s="1">
        <v>43</v>
      </c>
      <c r="E2869" s="1">
        <v>40</v>
      </c>
      <c r="F2869" s="1">
        <v>43</v>
      </c>
    </row>
    <row r="2870" spans="1:6">
      <c r="A2870">
        <v>13</v>
      </c>
      <c r="B2870" t="s">
        <v>200</v>
      </c>
      <c r="C2870" s="1">
        <v>1</v>
      </c>
      <c r="D2870" s="1" t="s">
        <v>196</v>
      </c>
      <c r="E2870" s="1">
        <v>42</v>
      </c>
      <c r="F2870" s="1" t="s">
        <v>196</v>
      </c>
    </row>
    <row r="2871" spans="1:6">
      <c r="A2871">
        <v>13</v>
      </c>
      <c r="B2871" t="s">
        <v>200</v>
      </c>
      <c r="C2871" s="1">
        <v>1</v>
      </c>
      <c r="D2871" s="1">
        <v>44</v>
      </c>
      <c r="E2871" s="1">
        <v>50</v>
      </c>
      <c r="F2871" s="1">
        <v>44</v>
      </c>
    </row>
    <row r="2872" spans="1:6">
      <c r="A2872">
        <v>13</v>
      </c>
      <c r="B2872" t="s">
        <v>200</v>
      </c>
      <c r="C2872" s="1">
        <v>1</v>
      </c>
      <c r="D2872" s="1" t="s">
        <v>197</v>
      </c>
      <c r="E2872" s="1">
        <v>52</v>
      </c>
      <c r="F2872" s="1" t="s">
        <v>197</v>
      </c>
    </row>
    <row r="2873" spans="1:6">
      <c r="A2873">
        <v>13</v>
      </c>
      <c r="B2873" t="s">
        <v>200</v>
      </c>
      <c r="C2873" s="1">
        <v>1</v>
      </c>
      <c r="D2873" s="1" t="s">
        <v>198</v>
      </c>
      <c r="E2873" s="1">
        <v>62</v>
      </c>
      <c r="F2873" s="1" t="s">
        <v>198</v>
      </c>
    </row>
    <row r="2874" spans="1:6">
      <c r="A2874">
        <v>13</v>
      </c>
      <c r="B2874" t="s">
        <v>200</v>
      </c>
      <c r="C2874" s="1">
        <v>1</v>
      </c>
      <c r="D2874" s="1">
        <v>39</v>
      </c>
      <c r="F2874" s="1">
        <v>39</v>
      </c>
    </row>
    <row r="2875" spans="1:6">
      <c r="A2875">
        <v>13</v>
      </c>
      <c r="B2875" t="s">
        <v>200</v>
      </c>
      <c r="E2875" s="1">
        <v>95</v>
      </c>
    </row>
    <row r="2876" spans="1:6">
      <c r="A2876">
        <v>13</v>
      </c>
      <c r="B2876" t="s">
        <v>200</v>
      </c>
      <c r="E2876" s="1">
        <v>96</v>
      </c>
    </row>
    <row r="2877" spans="1:6">
      <c r="A2877">
        <v>57</v>
      </c>
      <c r="B2877" t="s">
        <v>183</v>
      </c>
      <c r="E2877" s="1">
        <v>50</v>
      </c>
    </row>
    <row r="2878" spans="1:6">
      <c r="A2878">
        <v>62</v>
      </c>
      <c r="B2878" t="s">
        <v>514</v>
      </c>
      <c r="C2878" s="1">
        <v>1</v>
      </c>
      <c r="D2878" s="1" t="s">
        <v>334</v>
      </c>
      <c r="E2878" s="1">
        <v>32</v>
      </c>
      <c r="F2878" s="1" t="s">
        <v>334</v>
      </c>
    </row>
    <row r="2879" spans="1:6">
      <c r="A2879">
        <v>62</v>
      </c>
      <c r="B2879" t="s">
        <v>514</v>
      </c>
      <c r="C2879" s="1">
        <v>1</v>
      </c>
      <c r="D2879" s="1">
        <v>10</v>
      </c>
      <c r="E2879" s="1">
        <v>40</v>
      </c>
      <c r="F2879" s="1">
        <v>10</v>
      </c>
    </row>
    <row r="2880" spans="1:6">
      <c r="A2880">
        <v>62</v>
      </c>
      <c r="B2880" t="s">
        <v>514</v>
      </c>
      <c r="C2880" s="1">
        <v>1</v>
      </c>
      <c r="D2880" s="1" t="s">
        <v>335</v>
      </c>
      <c r="E2880" s="1">
        <v>42</v>
      </c>
      <c r="F2880" s="1" t="s">
        <v>335</v>
      </c>
    </row>
    <row r="2881" spans="1:6">
      <c r="A2881">
        <v>62</v>
      </c>
      <c r="B2881" t="s">
        <v>514</v>
      </c>
      <c r="C2881" s="1">
        <v>1</v>
      </c>
      <c r="D2881" s="1">
        <v>12</v>
      </c>
      <c r="E2881" s="1">
        <v>60</v>
      </c>
      <c r="F2881" s="1">
        <v>12</v>
      </c>
    </row>
    <row r="2882" spans="1:6">
      <c r="A2882">
        <v>62</v>
      </c>
      <c r="B2882" t="s">
        <v>514</v>
      </c>
      <c r="C2882" s="1">
        <v>1</v>
      </c>
      <c r="D2882" s="1" t="s">
        <v>141</v>
      </c>
      <c r="E2882" s="1">
        <v>62</v>
      </c>
      <c r="F2882" s="1" t="s">
        <v>141</v>
      </c>
    </row>
    <row r="2883" spans="1:6">
      <c r="A2883">
        <v>62</v>
      </c>
      <c r="B2883" t="s">
        <v>514</v>
      </c>
      <c r="C2883" s="1">
        <v>1</v>
      </c>
      <c r="D2883" s="1" t="s">
        <v>144</v>
      </c>
      <c r="E2883" s="1">
        <v>72</v>
      </c>
      <c r="F2883" s="1" t="s">
        <v>144</v>
      </c>
    </row>
    <row r="2884" spans="1:6">
      <c r="A2884">
        <v>74</v>
      </c>
      <c r="B2884" t="s">
        <v>235</v>
      </c>
      <c r="C2884" s="1">
        <v>3</v>
      </c>
      <c r="D2884" s="1" t="s">
        <v>320</v>
      </c>
      <c r="E2884" s="1">
        <v>50</v>
      </c>
      <c r="F2884" s="1" t="s">
        <v>320</v>
      </c>
    </row>
    <row r="2885" spans="1:6">
      <c r="A2885">
        <v>1</v>
      </c>
      <c r="B2885" t="s">
        <v>137</v>
      </c>
      <c r="C2885" s="1">
        <v>1</v>
      </c>
      <c r="D2885" s="1" t="s">
        <v>144</v>
      </c>
      <c r="E2885" s="1">
        <v>62</v>
      </c>
      <c r="F2885" s="1" t="s">
        <v>144</v>
      </c>
    </row>
    <row r="2886" spans="1:6">
      <c r="A2886">
        <v>1</v>
      </c>
      <c r="B2886" t="s">
        <v>137</v>
      </c>
      <c r="C2886" s="1">
        <v>1</v>
      </c>
      <c r="D2886" s="1">
        <v>14</v>
      </c>
      <c r="E2886" s="1">
        <v>70</v>
      </c>
      <c r="F2886" s="1">
        <v>14</v>
      </c>
    </row>
    <row r="2887" spans="1:6">
      <c r="A2887">
        <v>1</v>
      </c>
      <c r="B2887" t="s">
        <v>137</v>
      </c>
      <c r="C2887" s="1">
        <v>1</v>
      </c>
      <c r="D2887" s="1" t="s">
        <v>147</v>
      </c>
      <c r="E2887" s="1">
        <v>72</v>
      </c>
      <c r="F2887" s="1" t="s">
        <v>147</v>
      </c>
    </row>
    <row r="2888" spans="1:6">
      <c r="A2888">
        <v>1</v>
      </c>
      <c r="B2888" t="s">
        <v>137</v>
      </c>
      <c r="C2888" s="1">
        <v>1</v>
      </c>
      <c r="D2888" s="1" t="s">
        <v>150</v>
      </c>
      <c r="E2888" s="1">
        <v>82</v>
      </c>
      <c r="F2888" s="1" t="s">
        <v>150</v>
      </c>
    </row>
    <row r="2889" spans="1:6">
      <c r="A2889">
        <v>1</v>
      </c>
      <c r="B2889" t="s">
        <v>137</v>
      </c>
      <c r="C2889" s="1">
        <v>1</v>
      </c>
      <c r="D2889" s="1">
        <v>16</v>
      </c>
      <c r="E2889" s="1">
        <v>90</v>
      </c>
      <c r="F2889" s="1">
        <v>16</v>
      </c>
    </row>
    <row r="2890" spans="1:6">
      <c r="A2890">
        <v>1</v>
      </c>
      <c r="B2890" t="s">
        <v>137</v>
      </c>
      <c r="C2890" s="1">
        <v>1</v>
      </c>
      <c r="D2890" s="1" t="s">
        <v>153</v>
      </c>
      <c r="E2890" s="1">
        <v>92</v>
      </c>
      <c r="F2890" s="1" t="s">
        <v>153</v>
      </c>
    </row>
    <row r="2891" spans="1:6">
      <c r="A2891">
        <v>1</v>
      </c>
      <c r="B2891" t="s">
        <v>137</v>
      </c>
      <c r="C2891" s="1">
        <v>1</v>
      </c>
      <c r="D2891" s="1">
        <v>17</v>
      </c>
      <c r="E2891" s="1">
        <v>94</v>
      </c>
      <c r="F2891" s="1">
        <v>17</v>
      </c>
    </row>
    <row r="2892" spans="1:6">
      <c r="A2892">
        <v>1</v>
      </c>
      <c r="B2892" t="s">
        <v>137</v>
      </c>
      <c r="C2892" s="1">
        <v>1</v>
      </c>
      <c r="D2892" s="1" t="s">
        <v>156</v>
      </c>
      <c r="E2892" s="1">
        <v>96</v>
      </c>
      <c r="F2892" s="1" t="s">
        <v>156</v>
      </c>
    </row>
    <row r="2893" spans="1:6">
      <c r="A2893">
        <v>1</v>
      </c>
      <c r="B2893" t="s">
        <v>137</v>
      </c>
      <c r="C2893" s="1">
        <v>2</v>
      </c>
      <c r="D2893" s="1" t="s">
        <v>159</v>
      </c>
      <c r="E2893" s="1">
        <v>2</v>
      </c>
      <c r="F2893" s="1" t="s">
        <v>159</v>
      </c>
    </row>
    <row r="2894" spans="1:6">
      <c r="A2894">
        <v>1</v>
      </c>
      <c r="B2894" t="s">
        <v>137</v>
      </c>
      <c r="C2894" s="1">
        <v>2</v>
      </c>
      <c r="D2894" s="1">
        <v>19</v>
      </c>
      <c r="E2894" s="1">
        <v>10</v>
      </c>
      <c r="F2894" s="1">
        <v>19</v>
      </c>
    </row>
    <row r="2895" spans="1:6">
      <c r="A2895">
        <v>1</v>
      </c>
      <c r="B2895" t="s">
        <v>137</v>
      </c>
      <c r="C2895" s="1">
        <v>2</v>
      </c>
      <c r="D2895" s="1" t="s">
        <v>162</v>
      </c>
      <c r="E2895" s="1">
        <v>12</v>
      </c>
      <c r="F2895" s="1" t="s">
        <v>162</v>
      </c>
    </row>
    <row r="2896" spans="1:6">
      <c r="A2896">
        <v>1</v>
      </c>
      <c r="B2896" t="s">
        <v>137</v>
      </c>
      <c r="C2896" s="1">
        <v>2</v>
      </c>
      <c r="D2896" s="1">
        <v>20</v>
      </c>
      <c r="E2896" s="1">
        <v>20</v>
      </c>
      <c r="F2896" s="1">
        <v>20</v>
      </c>
    </row>
    <row r="2897" spans="1:6">
      <c r="A2897">
        <v>1</v>
      </c>
      <c r="B2897" t="s">
        <v>137</v>
      </c>
      <c r="C2897" s="1">
        <v>2</v>
      </c>
      <c r="D2897" s="1" t="s">
        <v>165</v>
      </c>
      <c r="E2897" s="1">
        <v>22</v>
      </c>
      <c r="F2897" s="1" t="s">
        <v>165</v>
      </c>
    </row>
    <row r="2898" spans="1:6">
      <c r="A2898">
        <v>1</v>
      </c>
      <c r="B2898" t="s">
        <v>137</v>
      </c>
      <c r="C2898" s="1">
        <v>2</v>
      </c>
      <c r="D2898" s="1">
        <v>21</v>
      </c>
      <c r="E2898" s="1">
        <v>30</v>
      </c>
      <c r="F2898" s="1">
        <v>21</v>
      </c>
    </row>
    <row r="2899" spans="1:6">
      <c r="A2899">
        <v>1</v>
      </c>
      <c r="B2899" t="s">
        <v>137</v>
      </c>
      <c r="C2899" s="1">
        <v>2</v>
      </c>
      <c r="D2899" s="1" t="s">
        <v>168</v>
      </c>
      <c r="E2899" s="1">
        <v>32</v>
      </c>
      <c r="F2899" s="1" t="s">
        <v>168</v>
      </c>
    </row>
    <row r="2900" spans="1:6">
      <c r="A2900">
        <v>1</v>
      </c>
      <c r="B2900" t="s">
        <v>137</v>
      </c>
      <c r="C2900" s="1">
        <v>2</v>
      </c>
      <c r="D2900" s="1">
        <v>22</v>
      </c>
      <c r="E2900" s="1">
        <v>40</v>
      </c>
      <c r="F2900" s="1">
        <v>22</v>
      </c>
    </row>
    <row r="2901" spans="1:6">
      <c r="A2901">
        <v>1</v>
      </c>
      <c r="B2901" t="s">
        <v>137</v>
      </c>
      <c r="C2901" s="1">
        <v>2</v>
      </c>
      <c r="D2901" s="1" t="s">
        <v>171</v>
      </c>
      <c r="E2901" s="1">
        <v>42</v>
      </c>
      <c r="F2901" s="1" t="s">
        <v>171</v>
      </c>
    </row>
    <row r="2902" spans="1:6">
      <c r="A2902">
        <v>1</v>
      </c>
      <c r="B2902" t="s">
        <v>137</v>
      </c>
      <c r="C2902" s="1">
        <v>2</v>
      </c>
      <c r="D2902" s="1">
        <v>23</v>
      </c>
      <c r="E2902" s="1">
        <v>50</v>
      </c>
      <c r="F2902" s="1">
        <v>23</v>
      </c>
    </row>
    <row r="2903" spans="1:6">
      <c r="A2903">
        <v>1</v>
      </c>
      <c r="B2903" t="s">
        <v>137</v>
      </c>
      <c r="C2903" s="1">
        <v>2</v>
      </c>
      <c r="D2903" s="1" t="s">
        <v>174</v>
      </c>
      <c r="E2903" s="1">
        <v>52</v>
      </c>
      <c r="F2903" s="1" t="s">
        <v>174</v>
      </c>
    </row>
    <row r="2904" spans="1:6">
      <c r="A2904">
        <v>1</v>
      </c>
      <c r="B2904" t="s">
        <v>137</v>
      </c>
      <c r="C2904" s="1">
        <v>2</v>
      </c>
      <c r="D2904" s="1">
        <v>24</v>
      </c>
      <c r="E2904" s="1">
        <v>60</v>
      </c>
      <c r="F2904" s="1">
        <v>24</v>
      </c>
    </row>
    <row r="2905" spans="1:6">
      <c r="A2905">
        <v>1</v>
      </c>
      <c r="B2905" t="s">
        <v>137</v>
      </c>
      <c r="C2905" s="1">
        <v>2</v>
      </c>
      <c r="D2905" s="1" t="s">
        <v>177</v>
      </c>
      <c r="E2905" s="1">
        <v>62</v>
      </c>
      <c r="F2905" s="1" t="s">
        <v>177</v>
      </c>
    </row>
    <row r="2906" spans="1:6">
      <c r="A2906">
        <v>1</v>
      </c>
      <c r="B2906" t="s">
        <v>137</v>
      </c>
      <c r="C2906" s="1">
        <v>2</v>
      </c>
      <c r="D2906" s="1">
        <v>18</v>
      </c>
      <c r="F2906" s="1">
        <v>18</v>
      </c>
    </row>
    <row r="2907" spans="1:6">
      <c r="A2907">
        <v>5</v>
      </c>
      <c r="B2907" t="s">
        <v>183</v>
      </c>
      <c r="E2907" s="1">
        <v>60</v>
      </c>
    </row>
    <row r="2908" spans="1:6">
      <c r="A2908">
        <v>6</v>
      </c>
      <c r="B2908" t="s">
        <v>184</v>
      </c>
      <c r="C2908" s="1">
        <v>1</v>
      </c>
      <c r="D2908" s="1" t="s">
        <v>290</v>
      </c>
      <c r="E2908" s="1">
        <v>10</v>
      </c>
      <c r="F2908" s="1" t="s">
        <v>290</v>
      </c>
    </row>
    <row r="2909" spans="1:6">
      <c r="A2909">
        <v>6</v>
      </c>
      <c r="B2909" t="s">
        <v>184</v>
      </c>
      <c r="E2909" s="1">
        <v>63</v>
      </c>
    </row>
    <row r="2910" spans="1:6">
      <c r="A2910">
        <v>11</v>
      </c>
      <c r="B2910" t="s">
        <v>186</v>
      </c>
      <c r="C2910" s="1">
        <v>1</v>
      </c>
      <c r="D2910" s="1" t="s">
        <v>192</v>
      </c>
      <c r="E2910" s="1">
        <v>2</v>
      </c>
      <c r="F2910" s="1" t="s">
        <v>192</v>
      </c>
    </row>
    <row r="2911" spans="1:6">
      <c r="A2911">
        <v>11</v>
      </c>
      <c r="B2911" t="s">
        <v>186</v>
      </c>
      <c r="C2911" s="1">
        <v>1</v>
      </c>
      <c r="D2911" s="1">
        <v>40</v>
      </c>
      <c r="E2911" s="1">
        <v>10</v>
      </c>
      <c r="F2911" s="1">
        <v>40</v>
      </c>
    </row>
    <row r="2912" spans="1:6">
      <c r="A2912">
        <v>11</v>
      </c>
      <c r="B2912" t="s">
        <v>186</v>
      </c>
      <c r="C2912" s="1">
        <v>1</v>
      </c>
      <c r="D2912" s="1" t="s">
        <v>193</v>
      </c>
      <c r="E2912" s="1">
        <v>12</v>
      </c>
      <c r="F2912" s="1" t="s">
        <v>193</v>
      </c>
    </row>
    <row r="2913" spans="1:6">
      <c r="A2913">
        <v>11</v>
      </c>
      <c r="B2913" t="s">
        <v>186</v>
      </c>
      <c r="C2913" s="1">
        <v>1</v>
      </c>
      <c r="D2913" s="1">
        <v>41</v>
      </c>
      <c r="E2913" s="1">
        <v>20</v>
      </c>
      <c r="F2913" s="1">
        <v>41</v>
      </c>
    </row>
    <row r="2914" spans="1:6">
      <c r="A2914">
        <v>11</v>
      </c>
      <c r="B2914" t="s">
        <v>186</v>
      </c>
      <c r="C2914" s="1">
        <v>1</v>
      </c>
      <c r="D2914" s="1" t="s">
        <v>194</v>
      </c>
      <c r="E2914" s="1">
        <v>22</v>
      </c>
      <c r="F2914" s="1" t="s">
        <v>194</v>
      </c>
    </row>
    <row r="2915" spans="1:6">
      <c r="A2915">
        <v>11</v>
      </c>
      <c r="B2915" t="s">
        <v>186</v>
      </c>
      <c r="C2915" s="1">
        <v>1</v>
      </c>
      <c r="D2915" s="1">
        <v>42</v>
      </c>
      <c r="E2915" s="1">
        <v>30</v>
      </c>
      <c r="F2915" s="1">
        <v>42</v>
      </c>
    </row>
    <row r="2916" spans="1:6">
      <c r="A2916">
        <v>11</v>
      </c>
      <c r="B2916" t="s">
        <v>186</v>
      </c>
      <c r="C2916" s="1">
        <v>1</v>
      </c>
      <c r="D2916" s="1" t="s">
        <v>195</v>
      </c>
      <c r="E2916" s="1">
        <v>32</v>
      </c>
      <c r="F2916" s="1" t="s">
        <v>195</v>
      </c>
    </row>
    <row r="2917" spans="1:6">
      <c r="A2917">
        <v>11</v>
      </c>
      <c r="B2917" t="s">
        <v>186</v>
      </c>
      <c r="C2917" s="1">
        <v>1</v>
      </c>
      <c r="D2917" s="1">
        <v>43</v>
      </c>
      <c r="E2917" s="1">
        <v>40</v>
      </c>
      <c r="F2917" s="1">
        <v>43</v>
      </c>
    </row>
    <row r="2918" spans="1:6">
      <c r="A2918">
        <v>11</v>
      </c>
      <c r="B2918" t="s">
        <v>186</v>
      </c>
      <c r="C2918" s="1">
        <v>1</v>
      </c>
      <c r="D2918" s="1" t="s">
        <v>196</v>
      </c>
      <c r="E2918" s="1">
        <v>42</v>
      </c>
      <c r="F2918" s="1" t="s">
        <v>196</v>
      </c>
    </row>
    <row r="2919" spans="1:6">
      <c r="A2919">
        <v>11</v>
      </c>
      <c r="B2919" t="s">
        <v>186</v>
      </c>
      <c r="C2919" s="1">
        <v>1</v>
      </c>
      <c r="D2919" s="1">
        <v>44</v>
      </c>
      <c r="E2919" s="1">
        <v>50</v>
      </c>
      <c r="F2919" s="1">
        <v>44</v>
      </c>
    </row>
    <row r="2920" spans="1:6">
      <c r="A2920">
        <v>11</v>
      </c>
      <c r="B2920" t="s">
        <v>186</v>
      </c>
      <c r="C2920" s="1">
        <v>1</v>
      </c>
      <c r="D2920" s="1" t="s">
        <v>197</v>
      </c>
      <c r="E2920" s="1">
        <v>52</v>
      </c>
      <c r="F2920" s="1" t="s">
        <v>197</v>
      </c>
    </row>
    <row r="2921" spans="1:6">
      <c r="A2921">
        <v>11</v>
      </c>
      <c r="B2921" t="s">
        <v>186</v>
      </c>
      <c r="C2921" s="1">
        <v>1</v>
      </c>
      <c r="D2921" s="1">
        <v>45</v>
      </c>
      <c r="E2921" s="1">
        <v>60</v>
      </c>
      <c r="F2921" s="1">
        <v>45</v>
      </c>
    </row>
    <row r="2922" spans="1:6">
      <c r="A2922">
        <v>11</v>
      </c>
      <c r="B2922" t="s">
        <v>186</v>
      </c>
      <c r="C2922" s="1">
        <v>1</v>
      </c>
      <c r="D2922" s="1" t="s">
        <v>198</v>
      </c>
      <c r="E2922" s="1">
        <v>62</v>
      </c>
      <c r="F2922" s="1" t="s">
        <v>198</v>
      </c>
    </row>
    <row r="2923" spans="1:6">
      <c r="A2923">
        <v>15</v>
      </c>
      <c r="B2923" t="s">
        <v>201</v>
      </c>
      <c r="C2923" s="1">
        <v>4</v>
      </c>
      <c r="D2923" s="1" t="s">
        <v>286</v>
      </c>
      <c r="E2923" s="1">
        <v>70</v>
      </c>
      <c r="F2923" s="1" t="s">
        <v>286</v>
      </c>
    </row>
    <row r="2924" spans="1:6">
      <c r="A2924">
        <v>16</v>
      </c>
      <c r="B2924" t="s">
        <v>202</v>
      </c>
      <c r="C2924" s="1">
        <v>1</v>
      </c>
      <c r="D2924" s="1" t="s">
        <v>193</v>
      </c>
      <c r="E2924" s="1">
        <v>12</v>
      </c>
      <c r="F2924" s="1" t="s">
        <v>193</v>
      </c>
    </row>
    <row r="2925" spans="1:6">
      <c r="A2925">
        <v>16</v>
      </c>
      <c r="B2925" t="s">
        <v>202</v>
      </c>
      <c r="C2925" s="1">
        <v>1</v>
      </c>
      <c r="D2925" s="1">
        <v>41</v>
      </c>
      <c r="E2925" s="1">
        <v>20</v>
      </c>
      <c r="F2925" s="1">
        <v>41</v>
      </c>
    </row>
    <row r="2926" spans="1:6">
      <c r="A2926">
        <v>16</v>
      </c>
      <c r="B2926" t="s">
        <v>202</v>
      </c>
      <c r="C2926" s="1">
        <v>1</v>
      </c>
      <c r="D2926" s="1">
        <v>42</v>
      </c>
      <c r="E2926" s="1">
        <v>30</v>
      </c>
      <c r="F2926" s="1">
        <v>42</v>
      </c>
    </row>
    <row r="2927" spans="1:6">
      <c r="A2927">
        <v>16</v>
      </c>
      <c r="B2927" t="s">
        <v>202</v>
      </c>
      <c r="C2927" s="1">
        <v>1</v>
      </c>
      <c r="D2927" s="1" t="s">
        <v>195</v>
      </c>
      <c r="E2927" s="1">
        <v>32</v>
      </c>
      <c r="F2927" s="1" t="s">
        <v>195</v>
      </c>
    </row>
    <row r="2928" spans="1:6">
      <c r="A2928">
        <v>16</v>
      </c>
      <c r="B2928" t="s">
        <v>202</v>
      </c>
      <c r="C2928" s="1">
        <v>1</v>
      </c>
      <c r="D2928" s="1" t="s">
        <v>196</v>
      </c>
      <c r="E2928" s="1">
        <v>42</v>
      </c>
      <c r="F2928" s="1" t="s">
        <v>196</v>
      </c>
    </row>
    <row r="2929" spans="1:6">
      <c r="A2929">
        <v>16</v>
      </c>
      <c r="B2929" t="s">
        <v>202</v>
      </c>
      <c r="C2929" s="1">
        <v>1</v>
      </c>
      <c r="D2929" s="1">
        <v>44</v>
      </c>
      <c r="E2929" s="1">
        <v>50</v>
      </c>
      <c r="F2929" s="1">
        <v>44</v>
      </c>
    </row>
    <row r="2930" spans="1:6">
      <c r="A2930">
        <v>16</v>
      </c>
      <c r="B2930" t="s">
        <v>202</v>
      </c>
      <c r="C2930" s="1">
        <v>1</v>
      </c>
      <c r="D2930" s="1" t="s">
        <v>197</v>
      </c>
      <c r="E2930" s="1">
        <v>52</v>
      </c>
      <c r="F2930" s="1" t="s">
        <v>197</v>
      </c>
    </row>
    <row r="2931" spans="1:6">
      <c r="A2931">
        <v>16</v>
      </c>
      <c r="B2931" t="s">
        <v>202</v>
      </c>
      <c r="C2931" s="1">
        <v>1</v>
      </c>
      <c r="D2931" s="1">
        <v>45</v>
      </c>
      <c r="E2931" s="1">
        <v>60</v>
      </c>
      <c r="F2931" s="1">
        <v>45</v>
      </c>
    </row>
    <row r="2932" spans="1:6">
      <c r="A2932">
        <v>16</v>
      </c>
      <c r="B2932" t="s">
        <v>202</v>
      </c>
      <c r="C2932" s="1">
        <v>1</v>
      </c>
      <c r="D2932" s="1" t="s">
        <v>198</v>
      </c>
      <c r="E2932" s="1">
        <v>62</v>
      </c>
      <c r="F2932" s="1" t="s">
        <v>198</v>
      </c>
    </row>
    <row r="2933" spans="1:6">
      <c r="A2933">
        <v>21</v>
      </c>
      <c r="B2933" t="s">
        <v>205</v>
      </c>
      <c r="C2933" s="1">
        <v>1</v>
      </c>
      <c r="D2933" s="1" t="s">
        <v>330</v>
      </c>
      <c r="E2933" s="1">
        <v>42</v>
      </c>
      <c r="F2933" s="1" t="s">
        <v>330</v>
      </c>
    </row>
    <row r="2934" spans="1:6">
      <c r="A2934">
        <v>21</v>
      </c>
      <c r="B2934" t="s">
        <v>205</v>
      </c>
      <c r="C2934" s="1">
        <v>1</v>
      </c>
      <c r="D2934" s="1" t="s">
        <v>331</v>
      </c>
      <c r="E2934" s="1">
        <v>50</v>
      </c>
      <c r="F2934" s="1" t="s">
        <v>331</v>
      </c>
    </row>
    <row r="2935" spans="1:6">
      <c r="A2935">
        <v>21</v>
      </c>
      <c r="B2935" t="s">
        <v>205</v>
      </c>
      <c r="C2935" s="1">
        <v>1</v>
      </c>
      <c r="D2935" s="1" t="s">
        <v>288</v>
      </c>
      <c r="E2935" s="1">
        <v>62</v>
      </c>
      <c r="F2935" s="1" t="s">
        <v>288</v>
      </c>
    </row>
    <row r="2936" spans="1:6">
      <c r="A2936">
        <v>24</v>
      </c>
      <c r="B2936" t="s">
        <v>208</v>
      </c>
      <c r="C2936" s="1">
        <v>1</v>
      </c>
      <c r="D2936" s="1" t="s">
        <v>347</v>
      </c>
      <c r="E2936" s="1">
        <v>30</v>
      </c>
      <c r="F2936" s="1" t="s">
        <v>347</v>
      </c>
    </row>
    <row r="2937" spans="1:6">
      <c r="A2937">
        <v>27</v>
      </c>
      <c r="B2937" t="s">
        <v>210</v>
      </c>
      <c r="C2937" s="1">
        <v>1</v>
      </c>
      <c r="D2937" s="1">
        <v>45</v>
      </c>
      <c r="E2937" s="1">
        <v>60</v>
      </c>
      <c r="F2937" s="1">
        <v>45</v>
      </c>
    </row>
    <row r="2938" spans="1:6">
      <c r="A2938">
        <v>31</v>
      </c>
      <c r="B2938" t="s">
        <v>110</v>
      </c>
      <c r="C2938" s="1">
        <v>1</v>
      </c>
      <c r="D2938" s="1" t="s">
        <v>335</v>
      </c>
      <c r="E2938" s="1">
        <v>22</v>
      </c>
      <c r="F2938" s="1" t="s">
        <v>335</v>
      </c>
    </row>
    <row r="2939" spans="1:6">
      <c r="A2939">
        <v>57</v>
      </c>
      <c r="B2939" t="s">
        <v>183</v>
      </c>
      <c r="E2939" s="1">
        <v>40</v>
      </c>
    </row>
    <row r="2940" spans="1:6">
      <c r="A2940">
        <v>57</v>
      </c>
      <c r="B2940" t="s">
        <v>183</v>
      </c>
      <c r="E2940" s="1">
        <v>50</v>
      </c>
    </row>
    <row r="2941" spans="1:6">
      <c r="A2941">
        <v>57</v>
      </c>
      <c r="B2941" t="s">
        <v>183</v>
      </c>
      <c r="E2941" s="1">
        <v>70</v>
      </c>
    </row>
    <row r="2942" spans="1:6">
      <c r="A2942">
        <v>59</v>
      </c>
      <c r="B2942" t="s">
        <v>227</v>
      </c>
      <c r="C2942" s="1">
        <v>3</v>
      </c>
      <c r="D2942" s="1" t="s">
        <v>295</v>
      </c>
      <c r="E2942" s="1">
        <v>23</v>
      </c>
      <c r="F2942" s="1" t="s">
        <v>295</v>
      </c>
    </row>
    <row r="2943" spans="1:6">
      <c r="A2943">
        <v>59</v>
      </c>
      <c r="B2943" t="s">
        <v>227</v>
      </c>
      <c r="E2943" s="1">
        <v>23</v>
      </c>
    </row>
    <row r="2944" spans="1:6">
      <c r="A2944">
        <v>74</v>
      </c>
      <c r="B2944" t="s">
        <v>235</v>
      </c>
      <c r="C2944" s="1">
        <v>3</v>
      </c>
      <c r="D2944" s="1" t="s">
        <v>320</v>
      </c>
      <c r="E2944" s="1">
        <v>50</v>
      </c>
      <c r="F2944" s="1" t="s">
        <v>320</v>
      </c>
    </row>
    <row r="2945" spans="1:6">
      <c r="A2945">
        <v>74</v>
      </c>
      <c r="B2945" t="s">
        <v>235</v>
      </c>
      <c r="C2945" s="1">
        <v>3</v>
      </c>
      <c r="D2945" s="1" t="s">
        <v>321</v>
      </c>
      <c r="E2945" s="1">
        <v>60</v>
      </c>
      <c r="F2945" s="1" t="s">
        <v>321</v>
      </c>
    </row>
    <row r="2946" spans="1:6">
      <c r="A2946">
        <v>1</v>
      </c>
      <c r="B2946" t="s">
        <v>137</v>
      </c>
      <c r="C2946" s="1">
        <v>1</v>
      </c>
      <c r="D2946" s="1" t="s">
        <v>144</v>
      </c>
      <c r="E2946" s="1">
        <v>62</v>
      </c>
      <c r="F2946" s="1" t="s">
        <v>144</v>
      </c>
    </row>
    <row r="2947" spans="1:6">
      <c r="A2947">
        <v>1</v>
      </c>
      <c r="B2947" t="s">
        <v>137</v>
      </c>
      <c r="C2947" s="1">
        <v>1</v>
      </c>
      <c r="D2947" s="1">
        <v>14</v>
      </c>
      <c r="E2947" s="1">
        <v>70</v>
      </c>
      <c r="F2947" s="1">
        <v>14</v>
      </c>
    </row>
    <row r="2948" spans="1:6">
      <c r="A2948">
        <v>1</v>
      </c>
      <c r="B2948" t="s">
        <v>137</v>
      </c>
      <c r="C2948" s="1">
        <v>1</v>
      </c>
      <c r="D2948" s="1">
        <v>15</v>
      </c>
      <c r="E2948" s="1">
        <v>80</v>
      </c>
      <c r="F2948" s="1">
        <v>15</v>
      </c>
    </row>
    <row r="2949" spans="1:6">
      <c r="A2949">
        <v>1</v>
      </c>
      <c r="B2949" t="s">
        <v>137</v>
      </c>
      <c r="C2949" s="1">
        <v>1</v>
      </c>
      <c r="D2949" s="1" t="s">
        <v>150</v>
      </c>
      <c r="E2949" s="1">
        <v>82</v>
      </c>
      <c r="F2949" s="1" t="s">
        <v>150</v>
      </c>
    </row>
    <row r="2950" spans="1:6">
      <c r="A2950">
        <v>1</v>
      </c>
      <c r="B2950" t="s">
        <v>137</v>
      </c>
      <c r="C2950" s="1">
        <v>1</v>
      </c>
      <c r="D2950" s="1">
        <v>16</v>
      </c>
      <c r="E2950" s="1">
        <v>90</v>
      </c>
      <c r="F2950" s="1">
        <v>16</v>
      </c>
    </row>
    <row r="2951" spans="1:6">
      <c r="A2951">
        <v>1</v>
      </c>
      <c r="B2951" t="s">
        <v>137</v>
      </c>
      <c r="C2951" s="1">
        <v>1</v>
      </c>
      <c r="D2951" s="1" t="s">
        <v>153</v>
      </c>
      <c r="E2951" s="1">
        <v>92</v>
      </c>
      <c r="F2951" s="1" t="s">
        <v>153</v>
      </c>
    </row>
    <row r="2952" spans="1:6">
      <c r="A2952">
        <v>1</v>
      </c>
      <c r="B2952" t="s">
        <v>137</v>
      </c>
      <c r="C2952" s="1">
        <v>1</v>
      </c>
      <c r="D2952" s="1">
        <v>17</v>
      </c>
      <c r="E2952" s="1">
        <v>94</v>
      </c>
      <c r="F2952" s="1">
        <v>17</v>
      </c>
    </row>
    <row r="2953" spans="1:6">
      <c r="A2953">
        <v>1</v>
      </c>
      <c r="B2953" t="s">
        <v>137</v>
      </c>
      <c r="C2953" s="1">
        <v>1</v>
      </c>
      <c r="D2953" s="1" t="s">
        <v>156</v>
      </c>
      <c r="E2953" s="1">
        <v>96</v>
      </c>
      <c r="F2953" s="1" t="s">
        <v>156</v>
      </c>
    </row>
    <row r="2954" spans="1:6">
      <c r="A2954">
        <v>1</v>
      </c>
      <c r="B2954" t="s">
        <v>137</v>
      </c>
      <c r="C2954" s="1">
        <v>2</v>
      </c>
      <c r="D2954" s="1" t="s">
        <v>159</v>
      </c>
      <c r="E2954" s="1">
        <v>2</v>
      </c>
      <c r="F2954" s="1" t="s">
        <v>159</v>
      </c>
    </row>
    <row r="2955" spans="1:6">
      <c r="A2955">
        <v>1</v>
      </c>
      <c r="B2955" t="s">
        <v>137</v>
      </c>
      <c r="C2955" s="1">
        <v>2</v>
      </c>
      <c r="D2955" s="1">
        <v>19</v>
      </c>
      <c r="E2955" s="1">
        <v>10</v>
      </c>
      <c r="F2955" s="1">
        <v>19</v>
      </c>
    </row>
    <row r="2956" spans="1:6">
      <c r="A2956">
        <v>1</v>
      </c>
      <c r="B2956" t="s">
        <v>137</v>
      </c>
      <c r="C2956" s="1">
        <v>2</v>
      </c>
      <c r="D2956" s="1" t="s">
        <v>162</v>
      </c>
      <c r="E2956" s="1">
        <v>12</v>
      </c>
      <c r="F2956" s="1" t="s">
        <v>162</v>
      </c>
    </row>
    <row r="2957" spans="1:6">
      <c r="A2957">
        <v>1</v>
      </c>
      <c r="B2957" t="s">
        <v>137</v>
      </c>
      <c r="C2957" s="1">
        <v>2</v>
      </c>
      <c r="D2957" s="1">
        <v>20</v>
      </c>
      <c r="E2957" s="1">
        <v>20</v>
      </c>
      <c r="F2957" s="1">
        <v>20</v>
      </c>
    </row>
    <row r="2958" spans="1:6">
      <c r="A2958">
        <v>1</v>
      </c>
      <c r="B2958" t="s">
        <v>137</v>
      </c>
      <c r="C2958" s="1">
        <v>2</v>
      </c>
      <c r="D2958" s="1" t="s">
        <v>165</v>
      </c>
      <c r="E2958" s="1">
        <v>22</v>
      </c>
      <c r="F2958" s="1" t="s">
        <v>165</v>
      </c>
    </row>
    <row r="2959" spans="1:6">
      <c r="A2959">
        <v>1</v>
      </c>
      <c r="B2959" t="s">
        <v>137</v>
      </c>
      <c r="C2959" s="1">
        <v>2</v>
      </c>
      <c r="D2959" s="1">
        <v>21</v>
      </c>
      <c r="E2959" s="1">
        <v>30</v>
      </c>
      <c r="F2959" s="1">
        <v>21</v>
      </c>
    </row>
    <row r="2960" spans="1:6">
      <c r="A2960">
        <v>1</v>
      </c>
      <c r="B2960" t="s">
        <v>137</v>
      </c>
      <c r="C2960" s="1">
        <v>2</v>
      </c>
      <c r="D2960" s="1" t="s">
        <v>168</v>
      </c>
      <c r="E2960" s="1">
        <v>32</v>
      </c>
      <c r="F2960" s="1" t="s">
        <v>168</v>
      </c>
    </row>
    <row r="2961" spans="1:6">
      <c r="A2961">
        <v>1</v>
      </c>
      <c r="B2961" t="s">
        <v>137</v>
      </c>
      <c r="C2961" s="1">
        <v>2</v>
      </c>
      <c r="D2961" s="1">
        <v>18</v>
      </c>
      <c r="F2961" s="1">
        <v>18</v>
      </c>
    </row>
    <row r="2962" spans="1:6">
      <c r="A2962">
        <v>9</v>
      </c>
      <c r="B2962" t="s">
        <v>185</v>
      </c>
      <c r="C2962" s="1">
        <v>3</v>
      </c>
      <c r="D2962" s="1" t="s">
        <v>598</v>
      </c>
      <c r="E2962" s="1">
        <v>56</v>
      </c>
      <c r="F2962" s="1" t="s">
        <v>598</v>
      </c>
    </row>
    <row r="2963" spans="1:6">
      <c r="A2963">
        <v>11</v>
      </c>
      <c r="B2963" t="s">
        <v>186</v>
      </c>
      <c r="C2963" s="1">
        <v>1</v>
      </c>
      <c r="D2963" s="1" t="s">
        <v>195</v>
      </c>
      <c r="E2963" s="1">
        <v>32</v>
      </c>
      <c r="F2963" s="1" t="s">
        <v>195</v>
      </c>
    </row>
    <row r="2964" spans="1:6">
      <c r="A2964">
        <v>11</v>
      </c>
      <c r="B2964" t="s">
        <v>186</v>
      </c>
      <c r="C2964" s="1">
        <v>1</v>
      </c>
      <c r="D2964" s="1" t="s">
        <v>196</v>
      </c>
      <c r="E2964" s="1">
        <v>42</v>
      </c>
      <c r="F2964" s="1" t="s">
        <v>196</v>
      </c>
    </row>
    <row r="2965" spans="1:6">
      <c r="A2965">
        <v>11</v>
      </c>
      <c r="B2965" t="s">
        <v>186</v>
      </c>
      <c r="C2965" s="1">
        <v>1</v>
      </c>
      <c r="D2965" s="1" t="s">
        <v>198</v>
      </c>
      <c r="E2965" s="1">
        <v>62</v>
      </c>
      <c r="F2965" s="1" t="s">
        <v>198</v>
      </c>
    </row>
    <row r="2966" spans="1:6">
      <c r="A2966">
        <v>12</v>
      </c>
      <c r="B2966" t="s">
        <v>107</v>
      </c>
      <c r="C2966" s="1">
        <v>1</v>
      </c>
      <c r="D2966" s="1" t="s">
        <v>192</v>
      </c>
      <c r="E2966" s="1">
        <v>2</v>
      </c>
      <c r="F2966" s="1" t="s">
        <v>192</v>
      </c>
    </row>
    <row r="2967" spans="1:6">
      <c r="A2967">
        <v>12</v>
      </c>
      <c r="B2967" t="s">
        <v>107</v>
      </c>
      <c r="C2967" s="1">
        <v>1</v>
      </c>
      <c r="D2967" s="1" t="s">
        <v>193</v>
      </c>
      <c r="E2967" s="1">
        <v>12</v>
      </c>
      <c r="F2967" s="1" t="s">
        <v>193</v>
      </c>
    </row>
    <row r="2968" spans="1:6">
      <c r="A2968">
        <v>12</v>
      </c>
      <c r="B2968" t="s">
        <v>107</v>
      </c>
      <c r="C2968" s="1">
        <v>1</v>
      </c>
      <c r="D2968" s="1">
        <v>41</v>
      </c>
      <c r="E2968" s="1">
        <v>20</v>
      </c>
      <c r="F2968" s="1">
        <v>41</v>
      </c>
    </row>
    <row r="2969" spans="1:6">
      <c r="A2969">
        <v>12</v>
      </c>
      <c r="B2969" t="s">
        <v>107</v>
      </c>
      <c r="C2969" s="1">
        <v>1</v>
      </c>
      <c r="D2969" s="1" t="s">
        <v>194</v>
      </c>
      <c r="E2969" s="1">
        <v>22</v>
      </c>
      <c r="F2969" s="1" t="s">
        <v>194</v>
      </c>
    </row>
    <row r="2970" spans="1:6">
      <c r="A2970">
        <v>12</v>
      </c>
      <c r="B2970" t="s">
        <v>107</v>
      </c>
      <c r="C2970" s="1">
        <v>1</v>
      </c>
      <c r="D2970" s="1">
        <v>42</v>
      </c>
      <c r="E2970" s="1">
        <v>30</v>
      </c>
      <c r="F2970" s="1">
        <v>42</v>
      </c>
    </row>
    <row r="2971" spans="1:6">
      <c r="A2971">
        <v>12</v>
      </c>
      <c r="B2971" t="s">
        <v>107</v>
      </c>
      <c r="C2971" s="1">
        <v>1</v>
      </c>
      <c r="D2971" s="1" t="s">
        <v>195</v>
      </c>
      <c r="E2971" s="1">
        <v>32</v>
      </c>
      <c r="F2971" s="1" t="s">
        <v>195</v>
      </c>
    </row>
    <row r="2972" spans="1:6">
      <c r="A2972">
        <v>12</v>
      </c>
      <c r="B2972" t="s">
        <v>107</v>
      </c>
      <c r="C2972" s="1">
        <v>1</v>
      </c>
      <c r="D2972" s="1">
        <v>43</v>
      </c>
      <c r="E2972" s="1">
        <v>40</v>
      </c>
      <c r="F2972" s="1">
        <v>43</v>
      </c>
    </row>
    <row r="2973" spans="1:6">
      <c r="A2973">
        <v>12</v>
      </c>
      <c r="B2973" t="s">
        <v>107</v>
      </c>
      <c r="C2973" s="1">
        <v>1</v>
      </c>
      <c r="D2973" s="1" t="s">
        <v>196</v>
      </c>
      <c r="E2973" s="1">
        <v>42</v>
      </c>
      <c r="F2973" s="1" t="s">
        <v>196</v>
      </c>
    </row>
    <row r="2974" spans="1:6">
      <c r="A2974">
        <v>12</v>
      </c>
      <c r="B2974" t="s">
        <v>107</v>
      </c>
      <c r="C2974" s="1">
        <v>1</v>
      </c>
      <c r="D2974" s="1">
        <v>44</v>
      </c>
      <c r="E2974" s="1">
        <v>50</v>
      </c>
      <c r="F2974" s="1">
        <v>44</v>
      </c>
    </row>
    <row r="2975" spans="1:6">
      <c r="A2975">
        <v>12</v>
      </c>
      <c r="B2975" t="s">
        <v>107</v>
      </c>
      <c r="C2975" s="1">
        <v>1</v>
      </c>
      <c r="D2975" s="1" t="s">
        <v>197</v>
      </c>
      <c r="E2975" s="1">
        <v>52</v>
      </c>
      <c r="F2975" s="1" t="s">
        <v>197</v>
      </c>
    </row>
    <row r="2976" spans="1:6">
      <c r="A2976">
        <v>12</v>
      </c>
      <c r="B2976" t="s">
        <v>107</v>
      </c>
      <c r="C2976" s="1">
        <v>1</v>
      </c>
      <c r="D2976" s="1">
        <v>45</v>
      </c>
      <c r="E2976" s="1">
        <v>60</v>
      </c>
      <c r="F2976" s="1">
        <v>45</v>
      </c>
    </row>
    <row r="2977" spans="1:6">
      <c r="A2977">
        <v>12</v>
      </c>
      <c r="B2977" t="s">
        <v>107</v>
      </c>
      <c r="C2977" s="1">
        <v>1</v>
      </c>
      <c r="D2977" s="1" t="s">
        <v>198</v>
      </c>
      <c r="E2977" s="1">
        <v>62</v>
      </c>
      <c r="F2977" s="1" t="s">
        <v>198</v>
      </c>
    </row>
    <row r="2978" spans="1:6">
      <c r="A2978">
        <v>12</v>
      </c>
      <c r="B2978" t="s">
        <v>107</v>
      </c>
      <c r="E2978" s="1">
        <v>96</v>
      </c>
    </row>
    <row r="2979" spans="1:6">
      <c r="A2979">
        <v>13</v>
      </c>
      <c r="B2979" t="s">
        <v>200</v>
      </c>
      <c r="C2979" s="1">
        <v>1</v>
      </c>
      <c r="D2979" s="1">
        <v>40</v>
      </c>
      <c r="E2979" s="1">
        <v>10</v>
      </c>
      <c r="F2979" s="1">
        <v>40</v>
      </c>
    </row>
    <row r="2980" spans="1:6">
      <c r="A2980">
        <v>13</v>
      </c>
      <c r="B2980" t="s">
        <v>200</v>
      </c>
      <c r="C2980" s="1">
        <v>1</v>
      </c>
      <c r="D2980" s="1" t="s">
        <v>193</v>
      </c>
      <c r="E2980" s="1">
        <v>12</v>
      </c>
      <c r="F2980" s="1" t="s">
        <v>193</v>
      </c>
    </row>
    <row r="2981" spans="1:6">
      <c r="A2981">
        <v>13</v>
      </c>
      <c r="B2981" t="s">
        <v>200</v>
      </c>
      <c r="C2981" s="1">
        <v>1</v>
      </c>
      <c r="D2981" s="1">
        <v>41</v>
      </c>
      <c r="E2981" s="1">
        <v>20</v>
      </c>
      <c r="F2981" s="1">
        <v>41</v>
      </c>
    </row>
    <row r="2982" spans="1:6">
      <c r="A2982">
        <v>13</v>
      </c>
      <c r="B2982" t="s">
        <v>200</v>
      </c>
      <c r="C2982" s="1">
        <v>1</v>
      </c>
      <c r="D2982" s="1" t="s">
        <v>194</v>
      </c>
      <c r="E2982" s="1">
        <v>22</v>
      </c>
      <c r="F2982" s="1" t="s">
        <v>194</v>
      </c>
    </row>
    <row r="2983" spans="1:6">
      <c r="A2983">
        <v>13</v>
      </c>
      <c r="B2983" t="s">
        <v>200</v>
      </c>
      <c r="C2983" s="1">
        <v>1</v>
      </c>
      <c r="D2983" s="1">
        <v>42</v>
      </c>
      <c r="E2983" s="1">
        <v>30</v>
      </c>
      <c r="F2983" s="1">
        <v>42</v>
      </c>
    </row>
    <row r="2984" spans="1:6">
      <c r="A2984">
        <v>13</v>
      </c>
      <c r="B2984" t="s">
        <v>200</v>
      </c>
      <c r="C2984" s="1">
        <v>1</v>
      </c>
      <c r="D2984" s="1" t="s">
        <v>195</v>
      </c>
      <c r="E2984" s="1">
        <v>32</v>
      </c>
      <c r="F2984" s="1" t="s">
        <v>195</v>
      </c>
    </row>
    <row r="2985" spans="1:6">
      <c r="A2985">
        <v>13</v>
      </c>
      <c r="B2985" t="s">
        <v>200</v>
      </c>
      <c r="C2985" s="1">
        <v>1</v>
      </c>
      <c r="D2985" s="1">
        <v>43</v>
      </c>
      <c r="E2985" s="1">
        <v>40</v>
      </c>
      <c r="F2985" s="1">
        <v>43</v>
      </c>
    </row>
    <row r="2986" spans="1:6">
      <c r="A2986">
        <v>13</v>
      </c>
      <c r="B2986" t="s">
        <v>200</v>
      </c>
      <c r="C2986" s="1">
        <v>1</v>
      </c>
      <c r="D2986" s="1" t="s">
        <v>196</v>
      </c>
      <c r="E2986" s="1">
        <v>42</v>
      </c>
      <c r="F2986" s="1" t="s">
        <v>196</v>
      </c>
    </row>
    <row r="2987" spans="1:6">
      <c r="A2987">
        <v>13</v>
      </c>
      <c r="B2987" t="s">
        <v>200</v>
      </c>
      <c r="C2987" s="1">
        <v>1</v>
      </c>
      <c r="D2987" s="1">
        <v>44</v>
      </c>
      <c r="E2987" s="1">
        <v>50</v>
      </c>
      <c r="F2987" s="1">
        <v>44</v>
      </c>
    </row>
    <row r="2988" spans="1:6">
      <c r="A2988">
        <v>13</v>
      </c>
      <c r="B2988" t="s">
        <v>200</v>
      </c>
      <c r="C2988" s="1">
        <v>1</v>
      </c>
      <c r="D2988" s="1" t="s">
        <v>197</v>
      </c>
      <c r="E2988" s="1">
        <v>52</v>
      </c>
      <c r="F2988" s="1" t="s">
        <v>197</v>
      </c>
    </row>
    <row r="2989" spans="1:6">
      <c r="A2989">
        <v>13</v>
      </c>
      <c r="B2989" t="s">
        <v>200</v>
      </c>
      <c r="C2989" s="1">
        <v>1</v>
      </c>
      <c r="D2989" s="1">
        <v>45</v>
      </c>
      <c r="E2989" s="1">
        <v>60</v>
      </c>
      <c r="F2989" s="1">
        <v>45</v>
      </c>
    </row>
    <row r="2990" spans="1:6">
      <c r="A2990">
        <v>13</v>
      </c>
      <c r="B2990" t="s">
        <v>200</v>
      </c>
      <c r="C2990" s="1">
        <v>1</v>
      </c>
      <c r="D2990" s="1" t="s">
        <v>198</v>
      </c>
      <c r="E2990" s="1">
        <v>62</v>
      </c>
      <c r="F2990" s="1" t="s">
        <v>198</v>
      </c>
    </row>
    <row r="2991" spans="1:6">
      <c r="A2991">
        <v>13</v>
      </c>
      <c r="B2991" t="s">
        <v>200</v>
      </c>
      <c r="C2991" s="1">
        <v>1</v>
      </c>
      <c r="D2991" s="1">
        <v>39</v>
      </c>
      <c r="F2991" s="1">
        <v>39</v>
      </c>
    </row>
    <row r="2992" spans="1:6">
      <c r="A2992">
        <v>13</v>
      </c>
      <c r="B2992" t="s">
        <v>200</v>
      </c>
      <c r="E2992" s="1">
        <v>96</v>
      </c>
    </row>
    <row r="2993" spans="1:6">
      <c r="A2993">
        <v>33</v>
      </c>
      <c r="B2993" t="s">
        <v>213</v>
      </c>
      <c r="E2993" s="1">
        <v>62</v>
      </c>
    </row>
    <row r="2994" spans="1:6">
      <c r="A2994">
        <v>43</v>
      </c>
      <c r="B2994" t="s">
        <v>221</v>
      </c>
      <c r="E2994" s="1">
        <v>30</v>
      </c>
    </row>
    <row r="2995" spans="1:6">
      <c r="A2995">
        <v>43</v>
      </c>
      <c r="B2995" t="s">
        <v>221</v>
      </c>
      <c r="E2995" s="1">
        <v>40</v>
      </c>
    </row>
    <row r="2996" spans="1:6">
      <c r="A2996">
        <v>43</v>
      </c>
      <c r="B2996" t="s">
        <v>221</v>
      </c>
      <c r="E2996" s="1">
        <v>50</v>
      </c>
    </row>
    <row r="2997" spans="1:6">
      <c r="A2997">
        <v>43</v>
      </c>
      <c r="B2997" t="s">
        <v>221</v>
      </c>
      <c r="E2997" s="1">
        <v>60</v>
      </c>
    </row>
    <row r="2998" spans="1:6">
      <c r="A2998">
        <v>62</v>
      </c>
      <c r="B2998" t="s">
        <v>514</v>
      </c>
      <c r="C2998" s="1">
        <v>1</v>
      </c>
      <c r="D2998" s="1" t="s">
        <v>335</v>
      </c>
      <c r="E2998" s="1">
        <v>42</v>
      </c>
      <c r="F2998" s="1" t="s">
        <v>335</v>
      </c>
    </row>
    <row r="2999" spans="1:6">
      <c r="A2999">
        <v>62</v>
      </c>
      <c r="B2999" t="s">
        <v>514</v>
      </c>
      <c r="C2999" s="1">
        <v>1</v>
      </c>
      <c r="D2999" s="1" t="s">
        <v>141</v>
      </c>
      <c r="E2999" s="1">
        <v>62</v>
      </c>
      <c r="F2999" s="1" t="s">
        <v>141</v>
      </c>
    </row>
    <row r="3000" spans="1:6">
      <c r="A3000">
        <v>74</v>
      </c>
      <c r="B3000" t="s">
        <v>235</v>
      </c>
      <c r="C3000" s="1">
        <v>3</v>
      </c>
      <c r="D3000" s="1" t="s">
        <v>320</v>
      </c>
      <c r="E3000" s="1">
        <v>50</v>
      </c>
      <c r="F3000" s="1" t="s">
        <v>320</v>
      </c>
    </row>
    <row r="3001" spans="1:6">
      <c r="A3001">
        <v>1</v>
      </c>
      <c r="B3001" t="s">
        <v>137</v>
      </c>
      <c r="C3001" s="1">
        <v>2</v>
      </c>
      <c r="D3001" s="1">
        <v>22</v>
      </c>
      <c r="E3001" s="1">
        <v>40</v>
      </c>
      <c r="F3001" s="1">
        <v>22</v>
      </c>
    </row>
    <row r="3002" spans="1:6">
      <c r="A3002">
        <v>11</v>
      </c>
      <c r="B3002" t="s">
        <v>186</v>
      </c>
      <c r="C3002" s="1">
        <v>1</v>
      </c>
      <c r="D3002" s="1" t="s">
        <v>198</v>
      </c>
      <c r="E3002" s="1">
        <v>62</v>
      </c>
      <c r="F3002" s="1" t="s">
        <v>198</v>
      </c>
    </row>
    <row r="3003" spans="1:6">
      <c r="A3003">
        <v>12</v>
      </c>
      <c r="B3003" t="s">
        <v>107</v>
      </c>
      <c r="C3003" s="1">
        <v>1</v>
      </c>
      <c r="D3003" s="1" t="s">
        <v>198</v>
      </c>
      <c r="E3003" s="1">
        <v>62</v>
      </c>
      <c r="F3003" s="1" t="s">
        <v>198</v>
      </c>
    </row>
    <row r="3004" spans="1:6">
      <c r="A3004">
        <v>57</v>
      </c>
      <c r="B3004" t="s">
        <v>183</v>
      </c>
      <c r="E3004" s="1">
        <v>50</v>
      </c>
    </row>
    <row r="3005" spans="1:6">
      <c r="A3005">
        <v>74</v>
      </c>
      <c r="B3005" t="s">
        <v>235</v>
      </c>
      <c r="C3005" s="1">
        <v>3</v>
      </c>
      <c r="D3005" s="1" t="s">
        <v>320</v>
      </c>
      <c r="E3005" s="1">
        <v>50</v>
      </c>
      <c r="F3005" s="1" t="s">
        <v>320</v>
      </c>
    </row>
    <row r="3006" spans="1:6">
      <c r="A3006">
        <v>1</v>
      </c>
      <c r="B3006" t="s">
        <v>137</v>
      </c>
      <c r="C3006" s="1">
        <v>1</v>
      </c>
      <c r="D3006" s="1">
        <v>12</v>
      </c>
      <c r="E3006" s="1">
        <v>50</v>
      </c>
      <c r="F3006" s="1">
        <v>12</v>
      </c>
    </row>
    <row r="3007" spans="1:6">
      <c r="A3007">
        <v>1</v>
      </c>
      <c r="B3007" t="s">
        <v>137</v>
      </c>
      <c r="C3007" s="1">
        <v>1</v>
      </c>
      <c r="D3007" s="1">
        <v>14</v>
      </c>
      <c r="E3007" s="1">
        <v>70</v>
      </c>
      <c r="F3007" s="1">
        <v>14</v>
      </c>
    </row>
    <row r="3008" spans="1:6">
      <c r="A3008">
        <v>1</v>
      </c>
      <c r="B3008" t="s">
        <v>137</v>
      </c>
      <c r="C3008" s="1">
        <v>1</v>
      </c>
      <c r="D3008" s="1" t="s">
        <v>147</v>
      </c>
      <c r="E3008" s="1">
        <v>72</v>
      </c>
      <c r="F3008" s="1" t="s">
        <v>147</v>
      </c>
    </row>
    <row r="3009" spans="1:6">
      <c r="A3009">
        <v>1</v>
      </c>
      <c r="B3009" t="s">
        <v>137</v>
      </c>
      <c r="C3009" s="1">
        <v>1</v>
      </c>
      <c r="D3009" s="1">
        <v>15</v>
      </c>
      <c r="E3009" s="1">
        <v>80</v>
      </c>
      <c r="F3009" s="1">
        <v>15</v>
      </c>
    </row>
    <row r="3010" spans="1:6">
      <c r="A3010">
        <v>1</v>
      </c>
      <c r="B3010" t="s">
        <v>137</v>
      </c>
      <c r="C3010" s="1">
        <v>1</v>
      </c>
      <c r="D3010" s="1" t="s">
        <v>150</v>
      </c>
      <c r="E3010" s="1">
        <v>82</v>
      </c>
      <c r="F3010" s="1" t="s">
        <v>150</v>
      </c>
    </row>
    <row r="3011" spans="1:6">
      <c r="A3011">
        <v>1</v>
      </c>
      <c r="B3011" t="s">
        <v>137</v>
      </c>
      <c r="C3011" s="1">
        <v>1</v>
      </c>
      <c r="D3011" s="1">
        <v>16</v>
      </c>
      <c r="E3011" s="1">
        <v>90</v>
      </c>
      <c r="F3011" s="1">
        <v>16</v>
      </c>
    </row>
    <row r="3012" spans="1:6">
      <c r="A3012">
        <v>1</v>
      </c>
      <c r="B3012" t="s">
        <v>137</v>
      </c>
      <c r="C3012" s="1">
        <v>1</v>
      </c>
      <c r="D3012" s="1" t="s">
        <v>153</v>
      </c>
      <c r="E3012" s="1">
        <v>92</v>
      </c>
      <c r="F3012" s="1" t="s">
        <v>153</v>
      </c>
    </row>
    <row r="3013" spans="1:6">
      <c r="A3013">
        <v>1</v>
      </c>
      <c r="B3013" t="s">
        <v>137</v>
      </c>
      <c r="C3013" s="1">
        <v>1</v>
      </c>
      <c r="D3013" s="1">
        <v>17</v>
      </c>
      <c r="E3013" s="1">
        <v>94</v>
      </c>
      <c r="F3013" s="1">
        <v>17</v>
      </c>
    </row>
    <row r="3014" spans="1:6">
      <c r="A3014">
        <v>1</v>
      </c>
      <c r="B3014" t="s">
        <v>137</v>
      </c>
      <c r="C3014" s="1">
        <v>1</v>
      </c>
      <c r="D3014" s="1" t="s">
        <v>156</v>
      </c>
      <c r="E3014" s="1">
        <v>96</v>
      </c>
      <c r="F3014" s="1" t="s">
        <v>156</v>
      </c>
    </row>
    <row r="3015" spans="1:6">
      <c r="A3015">
        <v>1</v>
      </c>
      <c r="B3015" t="s">
        <v>137</v>
      </c>
      <c r="C3015" s="1">
        <v>2</v>
      </c>
      <c r="D3015" s="1" t="s">
        <v>159</v>
      </c>
      <c r="E3015" s="1">
        <v>2</v>
      </c>
      <c r="F3015" s="1" t="s">
        <v>159</v>
      </c>
    </row>
    <row r="3016" spans="1:6">
      <c r="A3016">
        <v>1</v>
      </c>
      <c r="B3016" t="s">
        <v>137</v>
      </c>
      <c r="C3016" s="1">
        <v>2</v>
      </c>
      <c r="D3016" s="1">
        <v>19</v>
      </c>
      <c r="E3016" s="1">
        <v>10</v>
      </c>
      <c r="F3016" s="1">
        <v>19</v>
      </c>
    </row>
    <row r="3017" spans="1:6">
      <c r="A3017">
        <v>1</v>
      </c>
      <c r="B3017" t="s">
        <v>137</v>
      </c>
      <c r="C3017" s="1">
        <v>2</v>
      </c>
      <c r="D3017" s="1" t="s">
        <v>162</v>
      </c>
      <c r="E3017" s="1">
        <v>12</v>
      </c>
      <c r="F3017" s="1" t="s">
        <v>162</v>
      </c>
    </row>
    <row r="3018" spans="1:6">
      <c r="A3018">
        <v>1</v>
      </c>
      <c r="B3018" t="s">
        <v>137</v>
      </c>
      <c r="C3018" s="1">
        <v>2</v>
      </c>
      <c r="D3018" s="1">
        <v>20</v>
      </c>
      <c r="E3018" s="1">
        <v>20</v>
      </c>
      <c r="F3018" s="1">
        <v>20</v>
      </c>
    </row>
    <row r="3019" spans="1:6">
      <c r="A3019">
        <v>1</v>
      </c>
      <c r="B3019" t="s">
        <v>137</v>
      </c>
      <c r="C3019" s="1">
        <v>2</v>
      </c>
      <c r="D3019" s="1" t="s">
        <v>165</v>
      </c>
      <c r="E3019" s="1">
        <v>22</v>
      </c>
      <c r="F3019" s="1" t="s">
        <v>165</v>
      </c>
    </row>
    <row r="3020" spans="1:6">
      <c r="A3020">
        <v>1</v>
      </c>
      <c r="B3020" t="s">
        <v>137</v>
      </c>
      <c r="C3020" s="1">
        <v>2</v>
      </c>
      <c r="D3020" s="1">
        <v>21</v>
      </c>
      <c r="E3020" s="1">
        <v>30</v>
      </c>
      <c r="F3020" s="1">
        <v>21</v>
      </c>
    </row>
    <row r="3021" spans="1:6">
      <c r="A3021">
        <v>1</v>
      </c>
      <c r="B3021" t="s">
        <v>137</v>
      </c>
      <c r="C3021" s="1">
        <v>2</v>
      </c>
      <c r="D3021" s="1" t="s">
        <v>168</v>
      </c>
      <c r="E3021" s="1">
        <v>32</v>
      </c>
      <c r="F3021" s="1" t="s">
        <v>168</v>
      </c>
    </row>
    <row r="3022" spans="1:6">
      <c r="A3022">
        <v>1</v>
      </c>
      <c r="B3022" t="s">
        <v>137</v>
      </c>
      <c r="C3022" s="1">
        <v>2</v>
      </c>
      <c r="D3022" s="1" t="s">
        <v>171</v>
      </c>
      <c r="E3022" s="1">
        <v>42</v>
      </c>
      <c r="F3022" s="1" t="s">
        <v>171</v>
      </c>
    </row>
    <row r="3023" spans="1:6">
      <c r="A3023">
        <v>1</v>
      </c>
      <c r="B3023" t="s">
        <v>137</v>
      </c>
      <c r="C3023" s="1">
        <v>2</v>
      </c>
      <c r="D3023" s="1">
        <v>23</v>
      </c>
      <c r="E3023" s="1">
        <v>50</v>
      </c>
      <c r="F3023" s="1">
        <v>23</v>
      </c>
    </row>
    <row r="3024" spans="1:6">
      <c r="A3024">
        <v>1</v>
      </c>
      <c r="B3024" t="s">
        <v>137</v>
      </c>
      <c r="C3024" s="1">
        <v>2</v>
      </c>
      <c r="D3024" s="1">
        <v>18</v>
      </c>
      <c r="F3024" s="1">
        <v>18</v>
      </c>
    </row>
    <row r="3025" spans="1:6">
      <c r="A3025">
        <v>5</v>
      </c>
      <c r="B3025" t="s">
        <v>183</v>
      </c>
      <c r="E3025" s="1">
        <v>50</v>
      </c>
    </row>
    <row r="3026" spans="1:6">
      <c r="A3026">
        <v>6</v>
      </c>
      <c r="B3026" t="s">
        <v>184</v>
      </c>
      <c r="C3026" s="1">
        <v>1</v>
      </c>
      <c r="D3026" s="1" t="s">
        <v>290</v>
      </c>
      <c r="E3026" s="1">
        <v>10</v>
      </c>
      <c r="F3026" s="1" t="s">
        <v>290</v>
      </c>
    </row>
    <row r="3027" spans="1:6">
      <c r="A3027">
        <v>6</v>
      </c>
      <c r="B3027" t="s">
        <v>184</v>
      </c>
      <c r="E3027" s="1">
        <v>63</v>
      </c>
    </row>
    <row r="3028" spans="1:6">
      <c r="A3028">
        <v>11</v>
      </c>
      <c r="B3028" t="s">
        <v>186</v>
      </c>
      <c r="C3028" s="1">
        <v>1</v>
      </c>
      <c r="D3028" s="1" t="s">
        <v>192</v>
      </c>
      <c r="E3028" s="1">
        <v>2</v>
      </c>
      <c r="F3028" s="1" t="s">
        <v>192</v>
      </c>
    </row>
    <row r="3029" spans="1:6">
      <c r="A3029">
        <v>11</v>
      </c>
      <c r="B3029" t="s">
        <v>186</v>
      </c>
      <c r="C3029" s="1">
        <v>1</v>
      </c>
      <c r="D3029" s="1">
        <v>41</v>
      </c>
      <c r="E3029" s="1">
        <v>20</v>
      </c>
      <c r="F3029" s="1">
        <v>41</v>
      </c>
    </row>
    <row r="3030" spans="1:6">
      <c r="A3030">
        <v>11</v>
      </c>
      <c r="B3030" t="s">
        <v>186</v>
      </c>
      <c r="C3030" s="1">
        <v>1</v>
      </c>
      <c r="D3030" s="1" t="s">
        <v>194</v>
      </c>
      <c r="E3030" s="1">
        <v>22</v>
      </c>
      <c r="F3030" s="1" t="s">
        <v>194</v>
      </c>
    </row>
    <row r="3031" spans="1:6">
      <c r="A3031">
        <v>11</v>
      </c>
      <c r="B3031" t="s">
        <v>186</v>
      </c>
      <c r="C3031" s="1">
        <v>1</v>
      </c>
      <c r="D3031" s="1">
        <v>42</v>
      </c>
      <c r="E3031" s="1">
        <v>30</v>
      </c>
      <c r="F3031" s="1">
        <v>42</v>
      </c>
    </row>
    <row r="3032" spans="1:6">
      <c r="A3032">
        <v>11</v>
      </c>
      <c r="B3032" t="s">
        <v>186</v>
      </c>
      <c r="C3032" s="1">
        <v>1</v>
      </c>
      <c r="D3032" s="1" t="s">
        <v>195</v>
      </c>
      <c r="E3032" s="1">
        <v>32</v>
      </c>
      <c r="F3032" s="1" t="s">
        <v>195</v>
      </c>
    </row>
    <row r="3033" spans="1:6">
      <c r="A3033">
        <v>11</v>
      </c>
      <c r="B3033" t="s">
        <v>186</v>
      </c>
      <c r="C3033" s="1">
        <v>1</v>
      </c>
      <c r="D3033" s="1">
        <v>43</v>
      </c>
      <c r="E3033" s="1">
        <v>40</v>
      </c>
      <c r="F3033" s="1">
        <v>43</v>
      </c>
    </row>
    <row r="3034" spans="1:6">
      <c r="A3034">
        <v>11</v>
      </c>
      <c r="B3034" t="s">
        <v>186</v>
      </c>
      <c r="C3034" s="1">
        <v>1</v>
      </c>
      <c r="D3034" s="1" t="s">
        <v>196</v>
      </c>
      <c r="E3034" s="1">
        <v>42</v>
      </c>
      <c r="F3034" s="1" t="s">
        <v>196</v>
      </c>
    </row>
    <row r="3035" spans="1:6">
      <c r="A3035">
        <v>11</v>
      </c>
      <c r="B3035" t="s">
        <v>186</v>
      </c>
      <c r="C3035" s="1">
        <v>1</v>
      </c>
      <c r="D3035" s="1">
        <v>44</v>
      </c>
      <c r="E3035" s="1">
        <v>50</v>
      </c>
      <c r="F3035" s="1">
        <v>44</v>
      </c>
    </row>
    <row r="3036" spans="1:6">
      <c r="A3036">
        <v>11</v>
      </c>
      <c r="B3036" t="s">
        <v>186</v>
      </c>
      <c r="C3036" s="1">
        <v>1</v>
      </c>
      <c r="D3036" s="1" t="s">
        <v>197</v>
      </c>
      <c r="E3036" s="1">
        <v>52</v>
      </c>
      <c r="F3036" s="1" t="s">
        <v>197</v>
      </c>
    </row>
    <row r="3037" spans="1:6">
      <c r="A3037">
        <v>11</v>
      </c>
      <c r="B3037" t="s">
        <v>186</v>
      </c>
      <c r="C3037" s="1">
        <v>1</v>
      </c>
      <c r="D3037" s="1">
        <v>45</v>
      </c>
      <c r="E3037" s="1">
        <v>60</v>
      </c>
      <c r="F3037" s="1">
        <v>45</v>
      </c>
    </row>
    <row r="3038" spans="1:6">
      <c r="A3038">
        <v>11</v>
      </c>
      <c r="B3038" t="s">
        <v>186</v>
      </c>
      <c r="C3038" s="1">
        <v>1</v>
      </c>
      <c r="D3038" s="1" t="s">
        <v>198</v>
      </c>
      <c r="E3038" s="1">
        <v>62</v>
      </c>
      <c r="F3038" s="1" t="s">
        <v>198</v>
      </c>
    </row>
    <row r="3039" spans="1:6">
      <c r="A3039">
        <v>11</v>
      </c>
      <c r="B3039" t="s">
        <v>186</v>
      </c>
      <c r="C3039" s="1">
        <v>1</v>
      </c>
      <c r="D3039" s="1">
        <v>39</v>
      </c>
      <c r="F3039" s="1">
        <v>39</v>
      </c>
    </row>
    <row r="3040" spans="1:6">
      <c r="A3040">
        <v>12</v>
      </c>
      <c r="B3040" t="s">
        <v>107</v>
      </c>
      <c r="C3040" s="1">
        <v>1</v>
      </c>
      <c r="D3040" s="1" t="s">
        <v>193</v>
      </c>
      <c r="E3040" s="1">
        <v>12</v>
      </c>
      <c r="F3040" s="1" t="s">
        <v>193</v>
      </c>
    </row>
    <row r="3041" spans="1:6">
      <c r="A3041">
        <v>12</v>
      </c>
      <c r="B3041" t="s">
        <v>107</v>
      </c>
      <c r="C3041" s="1">
        <v>1</v>
      </c>
      <c r="D3041" s="1" t="s">
        <v>195</v>
      </c>
      <c r="E3041" s="1">
        <v>32</v>
      </c>
      <c r="F3041" s="1" t="s">
        <v>195</v>
      </c>
    </row>
    <row r="3042" spans="1:6">
      <c r="A3042">
        <v>12</v>
      </c>
      <c r="B3042" t="s">
        <v>107</v>
      </c>
      <c r="C3042" s="1">
        <v>1</v>
      </c>
      <c r="D3042" s="1">
        <v>43</v>
      </c>
      <c r="E3042" s="1">
        <v>40</v>
      </c>
      <c r="F3042" s="1">
        <v>43</v>
      </c>
    </row>
    <row r="3043" spans="1:6">
      <c r="A3043">
        <v>12</v>
      </c>
      <c r="B3043" t="s">
        <v>107</v>
      </c>
      <c r="C3043" s="1">
        <v>1</v>
      </c>
      <c r="D3043" s="1" t="s">
        <v>196</v>
      </c>
      <c r="E3043" s="1">
        <v>42</v>
      </c>
      <c r="F3043" s="1" t="s">
        <v>196</v>
      </c>
    </row>
    <row r="3044" spans="1:6">
      <c r="A3044">
        <v>12</v>
      </c>
      <c r="B3044" t="s">
        <v>107</v>
      </c>
      <c r="C3044" s="1">
        <v>1</v>
      </c>
      <c r="D3044" s="1">
        <v>44</v>
      </c>
      <c r="E3044" s="1">
        <v>50</v>
      </c>
      <c r="F3044" s="1">
        <v>44</v>
      </c>
    </row>
    <row r="3045" spans="1:6">
      <c r="A3045">
        <v>12</v>
      </c>
      <c r="B3045" t="s">
        <v>107</v>
      </c>
      <c r="C3045" s="1">
        <v>1</v>
      </c>
      <c r="D3045" s="1" t="s">
        <v>197</v>
      </c>
      <c r="E3045" s="1">
        <v>52</v>
      </c>
      <c r="F3045" s="1" t="s">
        <v>197</v>
      </c>
    </row>
    <row r="3046" spans="1:6">
      <c r="A3046">
        <v>12</v>
      </c>
      <c r="B3046" t="s">
        <v>107</v>
      </c>
      <c r="C3046" s="1">
        <v>1</v>
      </c>
      <c r="D3046" s="1" t="s">
        <v>198</v>
      </c>
      <c r="E3046" s="1">
        <v>62</v>
      </c>
      <c r="F3046" s="1" t="s">
        <v>198</v>
      </c>
    </row>
    <row r="3047" spans="1:6">
      <c r="A3047">
        <v>13</v>
      </c>
      <c r="B3047" t="s">
        <v>200</v>
      </c>
      <c r="C3047" s="1">
        <v>1</v>
      </c>
      <c r="D3047" s="1" t="s">
        <v>192</v>
      </c>
      <c r="E3047" s="1">
        <v>2</v>
      </c>
      <c r="F3047" s="1" t="s">
        <v>192</v>
      </c>
    </row>
    <row r="3048" spans="1:6">
      <c r="A3048">
        <v>13</v>
      </c>
      <c r="B3048" t="s">
        <v>200</v>
      </c>
      <c r="C3048" s="1">
        <v>1</v>
      </c>
      <c r="D3048" s="1">
        <v>40</v>
      </c>
      <c r="E3048" s="1">
        <v>10</v>
      </c>
      <c r="F3048" s="1">
        <v>40</v>
      </c>
    </row>
    <row r="3049" spans="1:6">
      <c r="A3049">
        <v>13</v>
      </c>
      <c r="B3049" t="s">
        <v>200</v>
      </c>
      <c r="C3049" s="1">
        <v>1</v>
      </c>
      <c r="D3049" s="1" t="s">
        <v>193</v>
      </c>
      <c r="E3049" s="1">
        <v>12</v>
      </c>
      <c r="F3049" s="1" t="s">
        <v>193</v>
      </c>
    </row>
    <row r="3050" spans="1:6">
      <c r="A3050">
        <v>13</v>
      </c>
      <c r="B3050" t="s">
        <v>200</v>
      </c>
      <c r="C3050" s="1">
        <v>1</v>
      </c>
      <c r="D3050" s="1">
        <v>41</v>
      </c>
      <c r="E3050" s="1">
        <v>20</v>
      </c>
      <c r="F3050" s="1">
        <v>41</v>
      </c>
    </row>
    <row r="3051" spans="1:6">
      <c r="A3051">
        <v>13</v>
      </c>
      <c r="B3051" t="s">
        <v>200</v>
      </c>
      <c r="C3051" s="1">
        <v>1</v>
      </c>
      <c r="D3051" s="1" t="s">
        <v>194</v>
      </c>
      <c r="E3051" s="1">
        <v>22</v>
      </c>
      <c r="F3051" s="1" t="s">
        <v>194</v>
      </c>
    </row>
    <row r="3052" spans="1:6">
      <c r="A3052">
        <v>13</v>
      </c>
      <c r="B3052" t="s">
        <v>200</v>
      </c>
      <c r="C3052" s="1">
        <v>1</v>
      </c>
      <c r="D3052" s="1">
        <v>42</v>
      </c>
      <c r="E3052" s="1">
        <v>30</v>
      </c>
      <c r="F3052" s="1">
        <v>42</v>
      </c>
    </row>
    <row r="3053" spans="1:6">
      <c r="A3053">
        <v>13</v>
      </c>
      <c r="B3053" t="s">
        <v>200</v>
      </c>
      <c r="C3053" s="1">
        <v>1</v>
      </c>
      <c r="D3053" s="1" t="s">
        <v>195</v>
      </c>
      <c r="E3053" s="1">
        <v>32</v>
      </c>
      <c r="F3053" s="1" t="s">
        <v>195</v>
      </c>
    </row>
    <row r="3054" spans="1:6">
      <c r="A3054">
        <v>13</v>
      </c>
      <c r="B3054" t="s">
        <v>200</v>
      </c>
      <c r="C3054" s="1">
        <v>1</v>
      </c>
      <c r="D3054" s="1">
        <v>43</v>
      </c>
      <c r="E3054" s="1">
        <v>40</v>
      </c>
      <c r="F3054" s="1">
        <v>43</v>
      </c>
    </row>
    <row r="3055" spans="1:6">
      <c r="A3055">
        <v>13</v>
      </c>
      <c r="B3055" t="s">
        <v>200</v>
      </c>
      <c r="C3055" s="1">
        <v>1</v>
      </c>
      <c r="D3055" s="1" t="s">
        <v>196</v>
      </c>
      <c r="E3055" s="1">
        <v>42</v>
      </c>
      <c r="F3055" s="1" t="s">
        <v>196</v>
      </c>
    </row>
    <row r="3056" spans="1:6">
      <c r="A3056">
        <v>13</v>
      </c>
      <c r="B3056" t="s">
        <v>200</v>
      </c>
      <c r="C3056" s="1">
        <v>1</v>
      </c>
      <c r="D3056" s="1" t="s">
        <v>197</v>
      </c>
      <c r="E3056" s="1">
        <v>52</v>
      </c>
      <c r="F3056" s="1" t="s">
        <v>197</v>
      </c>
    </row>
    <row r="3057" spans="1:6">
      <c r="A3057">
        <v>13</v>
      </c>
      <c r="B3057" t="s">
        <v>200</v>
      </c>
      <c r="C3057" s="1">
        <v>1</v>
      </c>
      <c r="D3057" s="1">
        <v>39</v>
      </c>
      <c r="F3057" s="1">
        <v>39</v>
      </c>
    </row>
    <row r="3058" spans="1:6">
      <c r="A3058">
        <v>13</v>
      </c>
      <c r="B3058" t="s">
        <v>200</v>
      </c>
      <c r="E3058" s="1">
        <v>70</v>
      </c>
    </row>
    <row r="3059" spans="1:6">
      <c r="A3059">
        <v>13</v>
      </c>
      <c r="B3059" t="s">
        <v>200</v>
      </c>
      <c r="E3059" s="1">
        <v>90</v>
      </c>
    </row>
    <row r="3060" spans="1:6">
      <c r="A3060">
        <v>13</v>
      </c>
      <c r="B3060" t="s">
        <v>200</v>
      </c>
      <c r="E3060" s="1">
        <v>96</v>
      </c>
    </row>
    <row r="3061" spans="1:6">
      <c r="A3061">
        <v>15</v>
      </c>
      <c r="B3061" t="s">
        <v>201</v>
      </c>
      <c r="C3061" s="1">
        <v>1</v>
      </c>
      <c r="D3061" s="1">
        <v>100</v>
      </c>
      <c r="E3061" s="1">
        <v>80</v>
      </c>
      <c r="F3061" s="1">
        <v>100</v>
      </c>
    </row>
    <row r="3062" spans="1:6">
      <c r="A3062">
        <v>21</v>
      </c>
      <c r="B3062" t="s">
        <v>205</v>
      </c>
      <c r="C3062" s="1">
        <v>1</v>
      </c>
      <c r="D3062" s="1" t="s">
        <v>394</v>
      </c>
      <c r="E3062" s="1">
        <v>12</v>
      </c>
      <c r="F3062" s="1" t="s">
        <v>394</v>
      </c>
    </row>
    <row r="3063" spans="1:6">
      <c r="A3063">
        <v>21</v>
      </c>
      <c r="B3063" t="s">
        <v>205</v>
      </c>
      <c r="C3063" s="1">
        <v>1</v>
      </c>
      <c r="D3063" s="1" t="s">
        <v>287</v>
      </c>
      <c r="E3063" s="1">
        <v>52</v>
      </c>
      <c r="F3063" s="1" t="s">
        <v>287</v>
      </c>
    </row>
    <row r="3064" spans="1:6">
      <c r="A3064">
        <v>21</v>
      </c>
      <c r="B3064" t="s">
        <v>205</v>
      </c>
      <c r="C3064" s="1">
        <v>1</v>
      </c>
      <c r="D3064" s="1" t="s">
        <v>288</v>
      </c>
      <c r="E3064" s="1">
        <v>62</v>
      </c>
      <c r="F3064" s="1" t="s">
        <v>288</v>
      </c>
    </row>
    <row r="3065" spans="1:6">
      <c r="A3065">
        <v>39</v>
      </c>
      <c r="B3065" t="s">
        <v>218</v>
      </c>
      <c r="C3065" s="1">
        <v>2</v>
      </c>
      <c r="D3065" s="1" t="s">
        <v>405</v>
      </c>
      <c r="E3065" s="1">
        <v>60</v>
      </c>
      <c r="F3065" s="1" t="s">
        <v>405</v>
      </c>
    </row>
    <row r="3066" spans="1:6">
      <c r="A3066">
        <v>41</v>
      </c>
      <c r="B3066" t="s">
        <v>219</v>
      </c>
      <c r="E3066" s="1">
        <v>91</v>
      </c>
    </row>
    <row r="3067" spans="1:6">
      <c r="A3067">
        <v>57</v>
      </c>
      <c r="B3067" t="s">
        <v>183</v>
      </c>
      <c r="C3067" s="1">
        <v>3</v>
      </c>
      <c r="D3067" s="1" t="s">
        <v>492</v>
      </c>
      <c r="E3067" s="1">
        <v>50</v>
      </c>
      <c r="F3067" s="1" t="s">
        <v>492</v>
      </c>
    </row>
    <row r="3068" spans="1:6">
      <c r="A3068">
        <v>74</v>
      </c>
      <c r="B3068" t="s">
        <v>235</v>
      </c>
      <c r="C3068" s="1">
        <v>3</v>
      </c>
      <c r="D3068" s="1" t="s">
        <v>320</v>
      </c>
      <c r="E3068" s="1">
        <v>50</v>
      </c>
      <c r="F3068" s="1" t="s">
        <v>320</v>
      </c>
    </row>
    <row r="3069" spans="1:6">
      <c r="A3069">
        <v>90</v>
      </c>
      <c r="B3069" t="s">
        <v>244</v>
      </c>
      <c r="E3069" s="1">
        <v>5</v>
      </c>
    </row>
    <row r="3070" spans="1:6">
      <c r="A3070">
        <v>1</v>
      </c>
      <c r="B3070" t="s">
        <v>137</v>
      </c>
      <c r="C3070" s="1">
        <v>2</v>
      </c>
      <c r="D3070" s="1" t="s">
        <v>162</v>
      </c>
      <c r="E3070" s="1">
        <v>12</v>
      </c>
      <c r="F3070" s="1" t="s">
        <v>162</v>
      </c>
    </row>
    <row r="3071" spans="1:6">
      <c r="A3071">
        <v>1</v>
      </c>
      <c r="B3071" t="s">
        <v>137</v>
      </c>
      <c r="C3071" s="1">
        <v>2</v>
      </c>
      <c r="D3071" s="1">
        <v>20</v>
      </c>
      <c r="E3071" s="1">
        <v>20</v>
      </c>
      <c r="F3071" s="1">
        <v>20</v>
      </c>
    </row>
    <row r="3072" spans="1:6">
      <c r="A3072">
        <v>1</v>
      </c>
      <c r="B3072" t="s">
        <v>137</v>
      </c>
      <c r="C3072" s="1">
        <v>2</v>
      </c>
      <c r="D3072" s="1">
        <v>21</v>
      </c>
      <c r="E3072" s="1">
        <v>30</v>
      </c>
      <c r="F3072" s="1">
        <v>21</v>
      </c>
    </row>
    <row r="3073" spans="1:6">
      <c r="A3073">
        <v>1</v>
      </c>
      <c r="B3073" t="s">
        <v>137</v>
      </c>
      <c r="C3073" s="1">
        <v>2</v>
      </c>
      <c r="D3073" s="1" t="s">
        <v>168</v>
      </c>
      <c r="E3073" s="1">
        <v>32</v>
      </c>
      <c r="F3073" s="1" t="s">
        <v>168</v>
      </c>
    </row>
    <row r="3074" spans="1:6">
      <c r="A3074">
        <v>1</v>
      </c>
      <c r="B3074" t="s">
        <v>137</v>
      </c>
      <c r="C3074" s="1">
        <v>2</v>
      </c>
      <c r="D3074" s="1" t="s">
        <v>171</v>
      </c>
      <c r="E3074" s="1">
        <v>42</v>
      </c>
      <c r="F3074" s="1" t="s">
        <v>171</v>
      </c>
    </row>
    <row r="3075" spans="1:6">
      <c r="A3075">
        <v>11</v>
      </c>
      <c r="B3075" t="s">
        <v>186</v>
      </c>
      <c r="C3075" s="1">
        <v>1</v>
      </c>
      <c r="D3075" s="1">
        <v>42</v>
      </c>
      <c r="E3075" s="1">
        <v>30</v>
      </c>
      <c r="F3075" s="1">
        <v>42</v>
      </c>
    </row>
    <row r="3076" spans="1:6">
      <c r="A3076">
        <v>11</v>
      </c>
      <c r="B3076" t="s">
        <v>186</v>
      </c>
      <c r="C3076" s="1">
        <v>1</v>
      </c>
      <c r="D3076" s="1" t="s">
        <v>197</v>
      </c>
      <c r="E3076" s="1">
        <v>52</v>
      </c>
      <c r="F3076" s="1" t="s">
        <v>197</v>
      </c>
    </row>
    <row r="3077" spans="1:6">
      <c r="A3077">
        <v>11</v>
      </c>
      <c r="B3077" t="s">
        <v>186</v>
      </c>
      <c r="C3077" s="1">
        <v>1</v>
      </c>
      <c r="D3077" s="1">
        <v>45</v>
      </c>
      <c r="E3077" s="1">
        <v>60</v>
      </c>
      <c r="F3077" s="1">
        <v>45</v>
      </c>
    </row>
    <row r="3078" spans="1:6">
      <c r="A3078">
        <v>11</v>
      </c>
      <c r="B3078" t="s">
        <v>186</v>
      </c>
      <c r="C3078" s="1">
        <v>1</v>
      </c>
      <c r="D3078" s="1" t="s">
        <v>198</v>
      </c>
      <c r="E3078" s="1">
        <v>62</v>
      </c>
      <c r="F3078" s="1" t="s">
        <v>198</v>
      </c>
    </row>
    <row r="3079" spans="1:6">
      <c r="A3079">
        <v>12</v>
      </c>
      <c r="B3079" t="s">
        <v>107</v>
      </c>
      <c r="C3079" s="1">
        <v>1</v>
      </c>
      <c r="D3079" s="1" t="s">
        <v>197</v>
      </c>
      <c r="E3079" s="1">
        <v>52</v>
      </c>
      <c r="F3079" s="1" t="s">
        <v>197</v>
      </c>
    </row>
    <row r="3080" spans="1:6">
      <c r="A3080">
        <v>58</v>
      </c>
      <c r="B3080" t="s">
        <v>226</v>
      </c>
      <c r="C3080" s="1">
        <v>2</v>
      </c>
      <c r="D3080" s="1" t="s">
        <v>561</v>
      </c>
      <c r="E3080" s="1">
        <v>50</v>
      </c>
      <c r="F3080" s="1" t="s">
        <v>561</v>
      </c>
    </row>
    <row r="3081" spans="1:6">
      <c r="A3081">
        <v>59</v>
      </c>
      <c r="B3081" t="s">
        <v>227</v>
      </c>
      <c r="C3081" s="1">
        <v>3</v>
      </c>
      <c r="D3081" s="1" t="s">
        <v>295</v>
      </c>
      <c r="E3081" s="1">
        <v>23</v>
      </c>
      <c r="F3081" s="1" t="s">
        <v>295</v>
      </c>
    </row>
    <row r="3082" spans="1:6">
      <c r="A3082">
        <v>1</v>
      </c>
      <c r="B3082" t="s">
        <v>137</v>
      </c>
      <c r="C3082" s="1">
        <v>2</v>
      </c>
      <c r="D3082" s="1" t="s">
        <v>159</v>
      </c>
      <c r="E3082" s="1">
        <v>2</v>
      </c>
      <c r="F3082" s="1" t="s">
        <v>159</v>
      </c>
    </row>
    <row r="3083" spans="1:6">
      <c r="A3083">
        <v>1</v>
      </c>
      <c r="B3083" t="s">
        <v>137</v>
      </c>
      <c r="C3083" s="1">
        <v>2</v>
      </c>
      <c r="D3083" s="1">
        <v>19</v>
      </c>
      <c r="E3083" s="1">
        <v>10</v>
      </c>
      <c r="F3083" s="1">
        <v>19</v>
      </c>
    </row>
    <row r="3084" spans="1:6">
      <c r="A3084">
        <v>1</v>
      </c>
      <c r="B3084" t="s">
        <v>137</v>
      </c>
      <c r="C3084" s="1">
        <v>2</v>
      </c>
      <c r="D3084" s="1" t="s">
        <v>162</v>
      </c>
      <c r="E3084" s="1">
        <v>12</v>
      </c>
      <c r="F3084" s="1" t="s">
        <v>162</v>
      </c>
    </row>
    <row r="3085" spans="1:6">
      <c r="A3085">
        <v>1</v>
      </c>
      <c r="B3085" t="s">
        <v>137</v>
      </c>
      <c r="C3085" s="1">
        <v>2</v>
      </c>
      <c r="D3085" s="1" t="s">
        <v>165</v>
      </c>
      <c r="E3085" s="1">
        <v>22</v>
      </c>
      <c r="F3085" s="1" t="s">
        <v>165</v>
      </c>
    </row>
    <row r="3086" spans="1:6">
      <c r="A3086">
        <v>1</v>
      </c>
      <c r="B3086" t="s">
        <v>137</v>
      </c>
      <c r="C3086" s="1">
        <v>2</v>
      </c>
      <c r="D3086" s="1">
        <v>21</v>
      </c>
      <c r="E3086" s="1">
        <v>30</v>
      </c>
      <c r="F3086" s="1">
        <v>21</v>
      </c>
    </row>
    <row r="3087" spans="1:6">
      <c r="A3087">
        <v>1</v>
      </c>
      <c r="B3087" t="s">
        <v>137</v>
      </c>
      <c r="C3087" s="1">
        <v>2</v>
      </c>
      <c r="D3087" s="1" t="s">
        <v>168</v>
      </c>
      <c r="E3087" s="1">
        <v>32</v>
      </c>
      <c r="F3087" s="1" t="s">
        <v>168</v>
      </c>
    </row>
    <row r="3088" spans="1:6">
      <c r="A3088">
        <v>1</v>
      </c>
      <c r="B3088" t="s">
        <v>137</v>
      </c>
      <c r="C3088" s="1">
        <v>2</v>
      </c>
      <c r="D3088" s="1">
        <v>23</v>
      </c>
      <c r="E3088" s="1">
        <v>50</v>
      </c>
      <c r="F3088" s="1">
        <v>23</v>
      </c>
    </row>
    <row r="3089" spans="1:6">
      <c r="A3089">
        <v>5</v>
      </c>
      <c r="B3089" t="s">
        <v>183</v>
      </c>
      <c r="E3089" s="1">
        <v>60</v>
      </c>
    </row>
    <row r="3090" spans="1:6">
      <c r="A3090">
        <v>11</v>
      </c>
      <c r="B3090" t="s">
        <v>186</v>
      </c>
      <c r="C3090" s="1">
        <v>1</v>
      </c>
      <c r="D3090" s="1" t="s">
        <v>193</v>
      </c>
      <c r="E3090" s="1">
        <v>12</v>
      </c>
      <c r="F3090" s="1" t="s">
        <v>193</v>
      </c>
    </row>
    <row r="3091" spans="1:6">
      <c r="A3091">
        <v>11</v>
      </c>
      <c r="B3091" t="s">
        <v>186</v>
      </c>
      <c r="C3091" s="1">
        <v>1</v>
      </c>
      <c r="D3091" s="1">
        <v>42</v>
      </c>
      <c r="E3091" s="1">
        <v>30</v>
      </c>
      <c r="F3091" s="1">
        <v>42</v>
      </c>
    </row>
    <row r="3092" spans="1:6">
      <c r="A3092">
        <v>11</v>
      </c>
      <c r="B3092" t="s">
        <v>186</v>
      </c>
      <c r="C3092" s="1">
        <v>1</v>
      </c>
      <c r="D3092" s="1" t="s">
        <v>195</v>
      </c>
      <c r="E3092" s="1">
        <v>32</v>
      </c>
      <c r="F3092" s="1" t="s">
        <v>195</v>
      </c>
    </row>
    <row r="3093" spans="1:6">
      <c r="A3093">
        <v>11</v>
      </c>
      <c r="B3093" t="s">
        <v>186</v>
      </c>
      <c r="C3093" s="1">
        <v>1</v>
      </c>
      <c r="D3093" s="1" t="s">
        <v>197</v>
      </c>
      <c r="E3093" s="1">
        <v>52</v>
      </c>
      <c r="F3093" s="1" t="s">
        <v>197</v>
      </c>
    </row>
    <row r="3094" spans="1:6">
      <c r="A3094">
        <v>11</v>
      </c>
      <c r="B3094" t="s">
        <v>186</v>
      </c>
      <c r="C3094" s="1">
        <v>1</v>
      </c>
      <c r="D3094" s="1" t="s">
        <v>199</v>
      </c>
      <c r="E3094" s="1">
        <v>72</v>
      </c>
      <c r="F3094" s="1" t="s">
        <v>199</v>
      </c>
    </row>
    <row r="3095" spans="1:6">
      <c r="A3095">
        <v>27</v>
      </c>
      <c r="B3095" t="s">
        <v>210</v>
      </c>
      <c r="C3095" s="1">
        <v>1</v>
      </c>
      <c r="D3095" s="1" t="s">
        <v>195</v>
      </c>
      <c r="E3095" s="1">
        <v>32</v>
      </c>
      <c r="F3095" s="1" t="s">
        <v>195</v>
      </c>
    </row>
    <row r="3096" spans="1:6">
      <c r="A3096">
        <v>27</v>
      </c>
      <c r="B3096" t="s">
        <v>210</v>
      </c>
      <c r="C3096" s="1">
        <v>1</v>
      </c>
      <c r="D3096" s="1" t="s">
        <v>196</v>
      </c>
      <c r="E3096" s="1">
        <v>42</v>
      </c>
      <c r="F3096" s="1" t="s">
        <v>196</v>
      </c>
    </row>
    <row r="3097" spans="1:6">
      <c r="A3097">
        <v>27</v>
      </c>
      <c r="B3097" t="s">
        <v>210</v>
      </c>
      <c r="C3097" s="1">
        <v>1</v>
      </c>
      <c r="D3097" s="1" t="s">
        <v>197</v>
      </c>
      <c r="E3097" s="1">
        <v>52</v>
      </c>
      <c r="F3097" s="1" t="s">
        <v>197</v>
      </c>
    </row>
    <row r="3098" spans="1:6">
      <c r="A3098">
        <v>27</v>
      </c>
      <c r="B3098" t="s">
        <v>210</v>
      </c>
      <c r="C3098" s="1">
        <v>1</v>
      </c>
      <c r="D3098" s="1">
        <v>45</v>
      </c>
      <c r="E3098" s="1">
        <v>60</v>
      </c>
      <c r="F3098" s="1">
        <v>45</v>
      </c>
    </row>
    <row r="3099" spans="1:6">
      <c r="A3099">
        <v>27</v>
      </c>
      <c r="B3099" t="s">
        <v>210</v>
      </c>
      <c r="C3099" s="1">
        <v>1</v>
      </c>
      <c r="D3099" s="1" t="s">
        <v>198</v>
      </c>
      <c r="E3099" s="1">
        <v>62</v>
      </c>
      <c r="F3099" s="1" t="s">
        <v>198</v>
      </c>
    </row>
    <row r="3100" spans="1:6">
      <c r="A3100">
        <v>11</v>
      </c>
      <c r="B3100" t="s">
        <v>186</v>
      </c>
      <c r="C3100" s="1">
        <v>1</v>
      </c>
      <c r="D3100" s="1">
        <v>42</v>
      </c>
      <c r="E3100" s="1">
        <v>30</v>
      </c>
      <c r="F3100" s="1">
        <v>42</v>
      </c>
    </row>
    <row r="3101" spans="1:6">
      <c r="A3101">
        <v>11</v>
      </c>
      <c r="B3101" t="s">
        <v>186</v>
      </c>
      <c r="C3101" s="1">
        <v>1</v>
      </c>
      <c r="D3101" s="1" t="s">
        <v>198</v>
      </c>
      <c r="E3101" s="1">
        <v>62</v>
      </c>
      <c r="F3101" s="1" t="s">
        <v>198</v>
      </c>
    </row>
    <row r="3102" spans="1:6">
      <c r="A3102">
        <v>11</v>
      </c>
      <c r="B3102" t="s">
        <v>186</v>
      </c>
      <c r="C3102" s="1">
        <v>1</v>
      </c>
      <c r="D3102" s="1" t="s">
        <v>198</v>
      </c>
      <c r="E3102" s="1">
        <v>62</v>
      </c>
      <c r="F3102" s="1" t="s">
        <v>198</v>
      </c>
    </row>
    <row r="3103" spans="1:6">
      <c r="A3103">
        <v>65</v>
      </c>
      <c r="B3103" t="s">
        <v>231</v>
      </c>
      <c r="E3103" s="1">
        <v>40</v>
      </c>
    </row>
    <row r="3104" spans="1:6">
      <c r="A3104">
        <v>1</v>
      </c>
      <c r="B3104" t="s">
        <v>137</v>
      </c>
      <c r="C3104" s="1">
        <v>2</v>
      </c>
      <c r="D3104" s="1" t="s">
        <v>165</v>
      </c>
      <c r="E3104" s="1">
        <v>22</v>
      </c>
      <c r="F3104" s="1" t="s">
        <v>165</v>
      </c>
    </row>
    <row r="3105" spans="1:6">
      <c r="A3105">
        <v>1</v>
      </c>
      <c r="B3105" t="s">
        <v>137</v>
      </c>
      <c r="C3105" s="1">
        <v>2</v>
      </c>
      <c r="D3105" s="1">
        <v>21</v>
      </c>
      <c r="E3105" s="1">
        <v>30</v>
      </c>
      <c r="F3105" s="1">
        <v>21</v>
      </c>
    </row>
    <row r="3106" spans="1:6">
      <c r="A3106">
        <v>1</v>
      </c>
      <c r="B3106" t="s">
        <v>137</v>
      </c>
      <c r="C3106" s="1">
        <v>2</v>
      </c>
      <c r="D3106" s="1" t="s">
        <v>168</v>
      </c>
      <c r="E3106" s="1">
        <v>32</v>
      </c>
      <c r="F3106" s="1" t="s">
        <v>168</v>
      </c>
    </row>
    <row r="3107" spans="1:6">
      <c r="A3107">
        <v>1</v>
      </c>
      <c r="B3107" t="s">
        <v>137</v>
      </c>
      <c r="C3107" s="1">
        <v>2</v>
      </c>
      <c r="D3107" s="1">
        <v>23</v>
      </c>
      <c r="E3107" s="1">
        <v>50</v>
      </c>
      <c r="F3107" s="1">
        <v>23</v>
      </c>
    </row>
    <row r="3108" spans="1:6">
      <c r="A3108">
        <v>11</v>
      </c>
      <c r="B3108" t="s">
        <v>186</v>
      </c>
      <c r="C3108" s="1">
        <v>1</v>
      </c>
      <c r="D3108" s="1" t="s">
        <v>194</v>
      </c>
      <c r="E3108" s="1">
        <v>22</v>
      </c>
      <c r="F3108" s="1" t="s">
        <v>194</v>
      </c>
    </row>
    <row r="3109" spans="1:6">
      <c r="A3109">
        <v>11</v>
      </c>
      <c r="B3109" t="s">
        <v>186</v>
      </c>
      <c r="C3109" s="1">
        <v>1</v>
      </c>
      <c r="D3109" s="1" t="s">
        <v>195</v>
      </c>
      <c r="E3109" s="1">
        <v>32</v>
      </c>
      <c r="F3109" s="1" t="s">
        <v>195</v>
      </c>
    </row>
    <row r="3110" spans="1:6">
      <c r="A3110">
        <v>11</v>
      </c>
      <c r="B3110" t="s">
        <v>186</v>
      </c>
      <c r="C3110" s="1">
        <v>1</v>
      </c>
      <c r="D3110" s="1" t="s">
        <v>196</v>
      </c>
      <c r="E3110" s="1">
        <v>42</v>
      </c>
      <c r="F3110" s="1" t="s">
        <v>196</v>
      </c>
    </row>
    <row r="3111" spans="1:6">
      <c r="A3111">
        <v>11</v>
      </c>
      <c r="B3111" t="s">
        <v>186</v>
      </c>
      <c r="C3111" s="1">
        <v>1</v>
      </c>
      <c r="D3111" s="1" t="s">
        <v>198</v>
      </c>
      <c r="E3111" s="1">
        <v>62</v>
      </c>
      <c r="F3111" s="1" t="s">
        <v>198</v>
      </c>
    </row>
    <row r="3112" spans="1:6">
      <c r="A3112">
        <v>12</v>
      </c>
      <c r="B3112" t="s">
        <v>107</v>
      </c>
      <c r="C3112" s="1">
        <v>1</v>
      </c>
      <c r="D3112" s="1" t="s">
        <v>194</v>
      </c>
      <c r="E3112" s="1">
        <v>22</v>
      </c>
      <c r="F3112" s="1" t="s">
        <v>194</v>
      </c>
    </row>
    <row r="3113" spans="1:6">
      <c r="A3113">
        <v>12</v>
      </c>
      <c r="B3113" t="s">
        <v>107</v>
      </c>
      <c r="C3113" s="1">
        <v>1</v>
      </c>
      <c r="D3113" s="1">
        <v>44</v>
      </c>
      <c r="E3113" s="1">
        <v>50</v>
      </c>
      <c r="F3113" s="1">
        <v>44</v>
      </c>
    </row>
    <row r="3114" spans="1:6">
      <c r="A3114">
        <v>12</v>
      </c>
      <c r="B3114" t="s">
        <v>107</v>
      </c>
      <c r="C3114" s="1">
        <v>1</v>
      </c>
      <c r="D3114" s="1" t="s">
        <v>198</v>
      </c>
      <c r="E3114" s="1">
        <v>62</v>
      </c>
      <c r="F3114" s="1" t="s">
        <v>198</v>
      </c>
    </row>
    <row r="3115" spans="1:6">
      <c r="A3115">
        <v>11</v>
      </c>
      <c r="B3115" t="s">
        <v>186</v>
      </c>
      <c r="C3115" s="1">
        <v>1</v>
      </c>
      <c r="D3115" s="1" t="s">
        <v>198</v>
      </c>
      <c r="E3115" s="1">
        <v>62</v>
      </c>
      <c r="F3115" s="1" t="s">
        <v>198</v>
      </c>
    </row>
    <row r="3116" spans="1:6">
      <c r="A3116">
        <v>21</v>
      </c>
      <c r="B3116" t="s">
        <v>205</v>
      </c>
      <c r="C3116" s="1">
        <v>1</v>
      </c>
      <c r="D3116" s="1" t="s">
        <v>287</v>
      </c>
      <c r="E3116" s="1">
        <v>52</v>
      </c>
      <c r="F3116" s="1" t="s">
        <v>287</v>
      </c>
    </row>
    <row r="3117" spans="1:6">
      <c r="A3117">
        <v>57</v>
      </c>
      <c r="B3117" t="s">
        <v>183</v>
      </c>
      <c r="E3117" s="1">
        <v>50</v>
      </c>
    </row>
    <row r="3118" spans="1:6">
      <c r="A3118">
        <v>58</v>
      </c>
      <c r="B3118" t="s">
        <v>226</v>
      </c>
      <c r="C3118" s="1">
        <v>2</v>
      </c>
      <c r="D3118" s="1" t="s">
        <v>318</v>
      </c>
      <c r="E3118" s="1">
        <v>60</v>
      </c>
      <c r="F3118" s="1" t="s">
        <v>318</v>
      </c>
    </row>
    <row r="3119" spans="1:6">
      <c r="A3119">
        <v>1</v>
      </c>
      <c r="B3119" t="s">
        <v>137</v>
      </c>
      <c r="C3119" s="1">
        <v>1</v>
      </c>
      <c r="D3119" s="1" t="s">
        <v>156</v>
      </c>
      <c r="E3119" s="1">
        <v>96</v>
      </c>
      <c r="F3119" s="1" t="s">
        <v>156</v>
      </c>
    </row>
    <row r="3120" spans="1:6">
      <c r="A3120">
        <v>11</v>
      </c>
      <c r="B3120" t="s">
        <v>186</v>
      </c>
      <c r="C3120" s="1">
        <v>1</v>
      </c>
      <c r="D3120" s="1" t="s">
        <v>196</v>
      </c>
      <c r="E3120" s="1">
        <v>42</v>
      </c>
      <c r="F3120" s="1" t="s">
        <v>196</v>
      </c>
    </row>
    <row r="3121" spans="1:6">
      <c r="A3121">
        <v>1</v>
      </c>
      <c r="B3121" t="s">
        <v>137</v>
      </c>
      <c r="C3121" s="1">
        <v>2</v>
      </c>
      <c r="D3121" s="1" t="s">
        <v>159</v>
      </c>
      <c r="E3121" s="1">
        <v>2</v>
      </c>
      <c r="F3121" s="1" t="s">
        <v>159</v>
      </c>
    </row>
    <row r="3122" spans="1:6">
      <c r="A3122">
        <v>1</v>
      </c>
      <c r="B3122" t="s">
        <v>137</v>
      </c>
      <c r="C3122" s="1">
        <v>2</v>
      </c>
      <c r="D3122" s="1">
        <v>19</v>
      </c>
      <c r="E3122" s="1">
        <v>10</v>
      </c>
      <c r="F3122" s="1">
        <v>19</v>
      </c>
    </row>
    <row r="3123" spans="1:6">
      <c r="A3123">
        <v>1</v>
      </c>
      <c r="B3123" t="s">
        <v>137</v>
      </c>
      <c r="C3123" s="1">
        <v>2</v>
      </c>
      <c r="D3123" s="1" t="s">
        <v>162</v>
      </c>
      <c r="E3123" s="1">
        <v>12</v>
      </c>
      <c r="F3123" s="1" t="s">
        <v>162</v>
      </c>
    </row>
    <row r="3124" spans="1:6">
      <c r="A3124">
        <v>1</v>
      </c>
      <c r="B3124" t="s">
        <v>137</v>
      </c>
      <c r="C3124" s="1">
        <v>2</v>
      </c>
      <c r="D3124" s="1">
        <v>20</v>
      </c>
      <c r="E3124" s="1">
        <v>20</v>
      </c>
      <c r="F3124" s="1">
        <v>20</v>
      </c>
    </row>
    <row r="3125" spans="1:6">
      <c r="A3125">
        <v>1</v>
      </c>
      <c r="B3125" t="s">
        <v>137</v>
      </c>
      <c r="C3125" s="1">
        <v>2</v>
      </c>
      <c r="D3125" s="1" t="s">
        <v>165</v>
      </c>
      <c r="E3125" s="1">
        <v>22</v>
      </c>
      <c r="F3125" s="1" t="s">
        <v>165</v>
      </c>
    </row>
    <row r="3126" spans="1:6">
      <c r="A3126">
        <v>1</v>
      </c>
      <c r="B3126" t="s">
        <v>137</v>
      </c>
      <c r="C3126" s="1">
        <v>2</v>
      </c>
      <c r="D3126" s="1">
        <v>21</v>
      </c>
      <c r="E3126" s="1">
        <v>30</v>
      </c>
      <c r="F3126" s="1">
        <v>21</v>
      </c>
    </row>
    <row r="3127" spans="1:6">
      <c r="A3127">
        <v>1</v>
      </c>
      <c r="B3127" t="s">
        <v>137</v>
      </c>
      <c r="C3127" s="1">
        <v>2</v>
      </c>
      <c r="D3127" s="1" t="s">
        <v>168</v>
      </c>
      <c r="E3127" s="1">
        <v>32</v>
      </c>
      <c r="F3127" s="1" t="s">
        <v>168</v>
      </c>
    </row>
    <row r="3128" spans="1:6">
      <c r="A3128">
        <v>1</v>
      </c>
      <c r="B3128" t="s">
        <v>137</v>
      </c>
      <c r="C3128" s="1">
        <v>2</v>
      </c>
      <c r="D3128" s="1" t="s">
        <v>171</v>
      </c>
      <c r="E3128" s="1">
        <v>42</v>
      </c>
      <c r="F3128" s="1" t="s">
        <v>171</v>
      </c>
    </row>
    <row r="3129" spans="1:6">
      <c r="A3129">
        <v>1</v>
      </c>
      <c r="B3129" t="s">
        <v>137</v>
      </c>
      <c r="C3129" s="1">
        <v>2</v>
      </c>
      <c r="D3129" s="1">
        <v>18</v>
      </c>
      <c r="F3129" s="1">
        <v>18</v>
      </c>
    </row>
    <row r="3130" spans="1:6">
      <c r="A3130">
        <v>11</v>
      </c>
      <c r="B3130" t="s">
        <v>186</v>
      </c>
      <c r="C3130" s="1">
        <v>1</v>
      </c>
      <c r="D3130" s="1" t="s">
        <v>193</v>
      </c>
      <c r="E3130" s="1">
        <v>12</v>
      </c>
      <c r="F3130" s="1" t="s">
        <v>193</v>
      </c>
    </row>
    <row r="3131" spans="1:6">
      <c r="A3131">
        <v>11</v>
      </c>
      <c r="B3131" t="s">
        <v>186</v>
      </c>
      <c r="C3131" s="1">
        <v>1</v>
      </c>
      <c r="D3131" s="1">
        <v>41</v>
      </c>
      <c r="E3131" s="1">
        <v>20</v>
      </c>
      <c r="F3131" s="1">
        <v>41</v>
      </c>
    </row>
    <row r="3132" spans="1:6">
      <c r="A3132">
        <v>11</v>
      </c>
      <c r="B3132" t="s">
        <v>186</v>
      </c>
      <c r="C3132" s="1">
        <v>1</v>
      </c>
      <c r="D3132" s="1" t="s">
        <v>194</v>
      </c>
      <c r="E3132" s="1">
        <v>22</v>
      </c>
      <c r="F3132" s="1" t="s">
        <v>194</v>
      </c>
    </row>
    <row r="3133" spans="1:6">
      <c r="A3133">
        <v>11</v>
      </c>
      <c r="B3133" t="s">
        <v>186</v>
      </c>
      <c r="C3133" s="1">
        <v>1</v>
      </c>
      <c r="D3133" s="1">
        <v>42</v>
      </c>
      <c r="E3133" s="1">
        <v>30</v>
      </c>
      <c r="F3133" s="1">
        <v>42</v>
      </c>
    </row>
    <row r="3134" spans="1:6">
      <c r="A3134">
        <v>11</v>
      </c>
      <c r="B3134" t="s">
        <v>186</v>
      </c>
      <c r="C3134" s="1">
        <v>1</v>
      </c>
      <c r="D3134" s="1" t="s">
        <v>195</v>
      </c>
      <c r="E3134" s="1">
        <v>32</v>
      </c>
      <c r="F3134" s="1" t="s">
        <v>195</v>
      </c>
    </row>
    <row r="3135" spans="1:6">
      <c r="A3135">
        <v>11</v>
      </c>
      <c r="B3135" t="s">
        <v>186</v>
      </c>
      <c r="C3135" s="1">
        <v>1</v>
      </c>
      <c r="D3135" s="1">
        <v>43</v>
      </c>
      <c r="E3135" s="1">
        <v>40</v>
      </c>
      <c r="F3135" s="1">
        <v>43</v>
      </c>
    </row>
    <row r="3136" spans="1:6">
      <c r="A3136">
        <v>11</v>
      </c>
      <c r="B3136" t="s">
        <v>186</v>
      </c>
      <c r="C3136" s="1">
        <v>1</v>
      </c>
      <c r="D3136" s="1">
        <v>44</v>
      </c>
      <c r="E3136" s="1">
        <v>50</v>
      </c>
      <c r="F3136" s="1">
        <v>44</v>
      </c>
    </row>
    <row r="3137" spans="1:6">
      <c r="A3137">
        <v>11</v>
      </c>
      <c r="B3137" t="s">
        <v>186</v>
      </c>
      <c r="C3137" s="1">
        <v>1</v>
      </c>
      <c r="D3137" s="1" t="s">
        <v>197</v>
      </c>
      <c r="E3137" s="1">
        <v>52</v>
      </c>
      <c r="F3137" s="1" t="s">
        <v>197</v>
      </c>
    </row>
    <row r="3138" spans="1:6">
      <c r="A3138">
        <v>11</v>
      </c>
      <c r="B3138" t="s">
        <v>186</v>
      </c>
      <c r="C3138" s="1">
        <v>1</v>
      </c>
      <c r="D3138" s="1">
        <v>45</v>
      </c>
      <c r="E3138" s="1">
        <v>60</v>
      </c>
      <c r="F3138" s="1">
        <v>45</v>
      </c>
    </row>
    <row r="3139" spans="1:6">
      <c r="A3139">
        <v>11</v>
      </c>
      <c r="B3139" t="s">
        <v>186</v>
      </c>
      <c r="C3139" s="1">
        <v>1</v>
      </c>
      <c r="D3139" s="1" t="s">
        <v>198</v>
      </c>
      <c r="E3139" s="1">
        <v>62</v>
      </c>
      <c r="F3139" s="1" t="s">
        <v>198</v>
      </c>
    </row>
    <row r="3140" spans="1:6">
      <c r="A3140">
        <v>11</v>
      </c>
      <c r="B3140" t="s">
        <v>186</v>
      </c>
      <c r="C3140" s="1">
        <v>1</v>
      </c>
      <c r="D3140" s="1" t="s">
        <v>199</v>
      </c>
      <c r="E3140" s="1">
        <v>72</v>
      </c>
      <c r="F3140" s="1" t="s">
        <v>199</v>
      </c>
    </row>
    <row r="3141" spans="1:6">
      <c r="A3141">
        <v>12</v>
      </c>
      <c r="B3141" t="s">
        <v>107</v>
      </c>
      <c r="C3141" s="1">
        <v>1</v>
      </c>
      <c r="D3141" s="1" t="s">
        <v>195</v>
      </c>
      <c r="E3141" s="1">
        <v>32</v>
      </c>
      <c r="F3141" s="1" t="s">
        <v>195</v>
      </c>
    </row>
    <row r="3142" spans="1:6">
      <c r="A3142">
        <v>12</v>
      </c>
      <c r="B3142" t="s">
        <v>107</v>
      </c>
      <c r="C3142" s="1">
        <v>1</v>
      </c>
      <c r="D3142" s="1" t="s">
        <v>196</v>
      </c>
      <c r="E3142" s="1">
        <v>42</v>
      </c>
      <c r="F3142" s="1" t="s">
        <v>196</v>
      </c>
    </row>
    <row r="3143" spans="1:6">
      <c r="A3143">
        <v>12</v>
      </c>
      <c r="B3143" t="s">
        <v>107</v>
      </c>
      <c r="C3143" s="1">
        <v>1</v>
      </c>
      <c r="D3143" s="1">
        <v>44</v>
      </c>
      <c r="E3143" s="1">
        <v>50</v>
      </c>
      <c r="F3143" s="1">
        <v>44</v>
      </c>
    </row>
    <row r="3144" spans="1:6">
      <c r="A3144">
        <v>12</v>
      </c>
      <c r="B3144" t="s">
        <v>107</v>
      </c>
      <c r="C3144" s="1">
        <v>1</v>
      </c>
      <c r="D3144" s="1" t="s">
        <v>197</v>
      </c>
      <c r="E3144" s="1">
        <v>52</v>
      </c>
      <c r="F3144" s="1" t="s">
        <v>197</v>
      </c>
    </row>
    <row r="3145" spans="1:6">
      <c r="A3145">
        <v>12</v>
      </c>
      <c r="B3145" t="s">
        <v>107</v>
      </c>
      <c r="C3145" s="1">
        <v>1</v>
      </c>
      <c r="D3145" s="1">
        <v>45</v>
      </c>
      <c r="E3145" s="1">
        <v>60</v>
      </c>
      <c r="F3145" s="1">
        <v>45</v>
      </c>
    </row>
    <row r="3146" spans="1:6">
      <c r="A3146">
        <v>12</v>
      </c>
      <c r="B3146" t="s">
        <v>107</v>
      </c>
      <c r="C3146" s="1">
        <v>1</v>
      </c>
      <c r="D3146" s="1" t="s">
        <v>198</v>
      </c>
      <c r="E3146" s="1">
        <v>62</v>
      </c>
      <c r="F3146" s="1" t="s">
        <v>198</v>
      </c>
    </row>
    <row r="3147" spans="1:6">
      <c r="A3147">
        <v>12</v>
      </c>
      <c r="B3147" t="s">
        <v>107</v>
      </c>
      <c r="C3147" s="1">
        <v>1</v>
      </c>
      <c r="D3147" s="1" t="s">
        <v>199</v>
      </c>
      <c r="E3147" s="1">
        <v>72</v>
      </c>
      <c r="F3147" s="1" t="s">
        <v>199</v>
      </c>
    </row>
    <row r="3148" spans="1:6">
      <c r="A3148">
        <v>13</v>
      </c>
      <c r="B3148" t="s">
        <v>200</v>
      </c>
      <c r="C3148" s="1">
        <v>1</v>
      </c>
      <c r="D3148" s="1" t="s">
        <v>195</v>
      </c>
      <c r="E3148" s="1">
        <v>32</v>
      </c>
      <c r="F3148" s="1" t="s">
        <v>195</v>
      </c>
    </row>
    <row r="3149" spans="1:6">
      <c r="A3149">
        <v>13</v>
      </c>
      <c r="B3149" t="s">
        <v>200</v>
      </c>
      <c r="C3149" s="1">
        <v>1</v>
      </c>
      <c r="D3149" s="1">
        <v>43</v>
      </c>
      <c r="E3149" s="1">
        <v>40</v>
      </c>
      <c r="F3149" s="1">
        <v>43</v>
      </c>
    </row>
    <row r="3150" spans="1:6">
      <c r="A3150">
        <v>13</v>
      </c>
      <c r="B3150" t="s">
        <v>200</v>
      </c>
      <c r="C3150" s="1">
        <v>1</v>
      </c>
      <c r="D3150" s="1" t="s">
        <v>198</v>
      </c>
      <c r="E3150" s="1">
        <v>62</v>
      </c>
      <c r="F3150" s="1" t="s">
        <v>198</v>
      </c>
    </row>
    <row r="3151" spans="1:6">
      <c r="A3151">
        <v>21</v>
      </c>
      <c r="B3151" t="s">
        <v>205</v>
      </c>
      <c r="C3151" s="1">
        <v>1</v>
      </c>
      <c r="D3151" s="1" t="s">
        <v>395</v>
      </c>
      <c r="E3151" s="1">
        <v>22</v>
      </c>
      <c r="F3151" s="1" t="s">
        <v>395</v>
      </c>
    </row>
    <row r="3152" spans="1:6">
      <c r="A3152">
        <v>21</v>
      </c>
      <c r="B3152" t="s">
        <v>205</v>
      </c>
      <c r="C3152" s="1">
        <v>1</v>
      </c>
      <c r="D3152" s="1" t="s">
        <v>323</v>
      </c>
      <c r="E3152" s="1">
        <v>32</v>
      </c>
      <c r="F3152" s="1" t="s">
        <v>323</v>
      </c>
    </row>
    <row r="3153" spans="1:6">
      <c r="A3153">
        <v>21</v>
      </c>
      <c r="B3153" t="s">
        <v>205</v>
      </c>
      <c r="C3153" s="1">
        <v>1</v>
      </c>
      <c r="D3153" s="1" t="s">
        <v>330</v>
      </c>
      <c r="E3153" s="1">
        <v>42</v>
      </c>
      <c r="F3153" s="1" t="s">
        <v>330</v>
      </c>
    </row>
    <row r="3154" spans="1:6">
      <c r="A3154">
        <v>24</v>
      </c>
      <c r="B3154" t="s">
        <v>208</v>
      </c>
      <c r="C3154" s="1">
        <v>1</v>
      </c>
      <c r="D3154" s="1" t="s">
        <v>284</v>
      </c>
      <c r="E3154" s="1">
        <v>20</v>
      </c>
      <c r="F3154" s="1" t="s">
        <v>284</v>
      </c>
    </row>
    <row r="3155" spans="1:6">
      <c r="A3155">
        <v>41</v>
      </c>
      <c r="B3155" t="s">
        <v>219</v>
      </c>
      <c r="C3155" s="1">
        <v>1</v>
      </c>
      <c r="D3155" s="1" t="s">
        <v>442</v>
      </c>
      <c r="E3155" s="1">
        <v>10</v>
      </c>
      <c r="F3155" s="1" t="s">
        <v>442</v>
      </c>
    </row>
    <row r="3156" spans="1:6">
      <c r="A3156">
        <v>41</v>
      </c>
      <c r="B3156" t="s">
        <v>219</v>
      </c>
      <c r="C3156" s="1">
        <v>1</v>
      </c>
      <c r="D3156" s="1" t="s">
        <v>443</v>
      </c>
      <c r="F3156" s="1" t="s">
        <v>443</v>
      </c>
    </row>
    <row r="3157" spans="1:6">
      <c r="A3157">
        <v>50</v>
      </c>
      <c r="B3157" t="s">
        <v>224</v>
      </c>
      <c r="E3157" s="1">
        <v>10</v>
      </c>
    </row>
    <row r="3158" spans="1:6">
      <c r="A3158">
        <v>63</v>
      </c>
      <c r="B3158" t="s">
        <v>229</v>
      </c>
      <c r="E3158" s="1">
        <v>10</v>
      </c>
    </row>
    <row r="3159" spans="1:6">
      <c r="A3159">
        <v>64</v>
      </c>
      <c r="B3159" t="s">
        <v>230</v>
      </c>
      <c r="E3159" s="1">
        <v>10</v>
      </c>
    </row>
    <row r="3160" spans="1:6">
      <c r="A3160">
        <v>64</v>
      </c>
      <c r="B3160" t="s">
        <v>230</v>
      </c>
      <c r="E3160" s="1">
        <v>15</v>
      </c>
    </row>
    <row r="3161" spans="1:6">
      <c r="A3161">
        <v>64</v>
      </c>
      <c r="B3161" t="s">
        <v>230</v>
      </c>
      <c r="E3161" s="1">
        <v>20</v>
      </c>
    </row>
    <row r="3162" spans="1:6">
      <c r="A3162">
        <v>64</v>
      </c>
      <c r="B3162" t="s">
        <v>230</v>
      </c>
      <c r="E3162" s="1">
        <v>25</v>
      </c>
    </row>
    <row r="3163" spans="1:6">
      <c r="A3163">
        <v>64</v>
      </c>
      <c r="B3163" t="s">
        <v>230</v>
      </c>
      <c r="E3163" s="1">
        <v>30</v>
      </c>
    </row>
    <row r="3164" spans="1:6">
      <c r="A3164">
        <v>64</v>
      </c>
      <c r="B3164" t="s">
        <v>230</v>
      </c>
      <c r="E3164" s="1">
        <v>35</v>
      </c>
    </row>
    <row r="3165" spans="1:6">
      <c r="A3165">
        <v>64</v>
      </c>
      <c r="B3165" t="s">
        <v>230</v>
      </c>
      <c r="E3165" s="1">
        <v>40</v>
      </c>
    </row>
    <row r="3166" spans="1:6">
      <c r="A3166">
        <v>67</v>
      </c>
      <c r="B3166" t="s">
        <v>232</v>
      </c>
      <c r="E3166" s="1">
        <v>10</v>
      </c>
    </row>
    <row r="3167" spans="1:6">
      <c r="A3167">
        <v>67</v>
      </c>
      <c r="B3167" t="s">
        <v>232</v>
      </c>
      <c r="E3167" s="1">
        <v>30</v>
      </c>
    </row>
    <row r="3168" spans="1:6">
      <c r="A3168">
        <v>68</v>
      </c>
      <c r="B3168" t="s">
        <v>233</v>
      </c>
      <c r="E3168" s="1">
        <v>40</v>
      </c>
    </row>
    <row r="3169" spans="1:6">
      <c r="A3169">
        <v>74</v>
      </c>
      <c r="B3169" t="s">
        <v>235</v>
      </c>
      <c r="C3169" s="1">
        <v>3</v>
      </c>
      <c r="D3169" s="1" t="s">
        <v>321</v>
      </c>
      <c r="E3169" s="1">
        <v>60</v>
      </c>
      <c r="F3169" s="1" t="s">
        <v>321</v>
      </c>
    </row>
    <row r="3170" spans="1:6">
      <c r="A3170">
        <v>74</v>
      </c>
      <c r="B3170" t="s">
        <v>235</v>
      </c>
      <c r="C3170" s="1">
        <v>3</v>
      </c>
      <c r="D3170" s="1" t="s">
        <v>609</v>
      </c>
      <c r="E3170" s="1">
        <v>70</v>
      </c>
      <c r="F3170" s="1" t="s">
        <v>609</v>
      </c>
    </row>
    <row r="3171" spans="1:6">
      <c r="A3171">
        <v>1</v>
      </c>
      <c r="B3171" t="s">
        <v>137</v>
      </c>
      <c r="C3171" s="1">
        <v>1</v>
      </c>
      <c r="D3171" s="1">
        <v>14</v>
      </c>
      <c r="E3171" s="1">
        <v>70</v>
      </c>
      <c r="F3171" s="1">
        <v>14</v>
      </c>
    </row>
    <row r="3172" spans="1:6">
      <c r="A3172">
        <v>1</v>
      </c>
      <c r="B3172" t="s">
        <v>137</v>
      </c>
      <c r="C3172" s="1">
        <v>1</v>
      </c>
      <c r="D3172" s="1">
        <v>15</v>
      </c>
      <c r="E3172" s="1">
        <v>80</v>
      </c>
      <c r="F3172" s="1">
        <v>15</v>
      </c>
    </row>
    <row r="3173" spans="1:6">
      <c r="A3173">
        <v>1</v>
      </c>
      <c r="B3173" t="s">
        <v>137</v>
      </c>
      <c r="C3173" s="1">
        <v>1</v>
      </c>
      <c r="D3173" s="1">
        <v>16</v>
      </c>
      <c r="E3173" s="1">
        <v>90</v>
      </c>
      <c r="F3173" s="1">
        <v>16</v>
      </c>
    </row>
    <row r="3174" spans="1:6">
      <c r="A3174">
        <v>1</v>
      </c>
      <c r="B3174" t="s">
        <v>137</v>
      </c>
      <c r="C3174" s="1">
        <v>1</v>
      </c>
      <c r="D3174" s="1" t="s">
        <v>153</v>
      </c>
      <c r="E3174" s="1">
        <v>92</v>
      </c>
      <c r="F3174" s="1" t="s">
        <v>153</v>
      </c>
    </row>
    <row r="3175" spans="1:6">
      <c r="A3175">
        <v>1</v>
      </c>
      <c r="B3175" t="s">
        <v>137</v>
      </c>
      <c r="C3175" s="1">
        <v>1</v>
      </c>
      <c r="D3175" s="1">
        <v>17</v>
      </c>
      <c r="E3175" s="1">
        <v>94</v>
      </c>
      <c r="F3175" s="1">
        <v>17</v>
      </c>
    </row>
    <row r="3176" spans="1:6">
      <c r="A3176">
        <v>1</v>
      </c>
      <c r="B3176" t="s">
        <v>137</v>
      </c>
      <c r="C3176" s="1">
        <v>1</v>
      </c>
      <c r="D3176" s="1" t="s">
        <v>156</v>
      </c>
      <c r="E3176" s="1">
        <v>96</v>
      </c>
      <c r="F3176" s="1" t="s">
        <v>156</v>
      </c>
    </row>
    <row r="3177" spans="1:6">
      <c r="A3177">
        <v>1</v>
      </c>
      <c r="B3177" t="s">
        <v>137</v>
      </c>
      <c r="C3177" s="1">
        <v>2</v>
      </c>
      <c r="D3177" s="1" t="s">
        <v>159</v>
      </c>
      <c r="E3177" s="1">
        <v>2</v>
      </c>
      <c r="F3177" s="1" t="s">
        <v>159</v>
      </c>
    </row>
    <row r="3178" spans="1:6">
      <c r="A3178">
        <v>1</v>
      </c>
      <c r="B3178" t="s">
        <v>137</v>
      </c>
      <c r="C3178" s="1">
        <v>2</v>
      </c>
      <c r="D3178" s="1">
        <v>19</v>
      </c>
      <c r="E3178" s="1">
        <v>10</v>
      </c>
      <c r="F3178" s="1">
        <v>19</v>
      </c>
    </row>
    <row r="3179" spans="1:6">
      <c r="A3179">
        <v>1</v>
      </c>
      <c r="B3179" t="s">
        <v>137</v>
      </c>
      <c r="C3179" s="1">
        <v>2</v>
      </c>
      <c r="D3179" s="1" t="s">
        <v>162</v>
      </c>
      <c r="E3179" s="1">
        <v>12</v>
      </c>
      <c r="F3179" s="1" t="s">
        <v>162</v>
      </c>
    </row>
    <row r="3180" spans="1:6">
      <c r="A3180">
        <v>1</v>
      </c>
      <c r="B3180" t="s">
        <v>137</v>
      </c>
      <c r="C3180" s="1">
        <v>2</v>
      </c>
      <c r="D3180" s="1">
        <v>20</v>
      </c>
      <c r="E3180" s="1">
        <v>20</v>
      </c>
      <c r="F3180" s="1">
        <v>20</v>
      </c>
    </row>
    <row r="3181" spans="1:6">
      <c r="A3181">
        <v>1</v>
      </c>
      <c r="B3181" t="s">
        <v>137</v>
      </c>
      <c r="C3181" s="1">
        <v>2</v>
      </c>
      <c r="D3181" s="1" t="s">
        <v>165</v>
      </c>
      <c r="E3181" s="1">
        <v>22</v>
      </c>
      <c r="F3181" s="1" t="s">
        <v>165</v>
      </c>
    </row>
    <row r="3182" spans="1:6">
      <c r="A3182">
        <v>1</v>
      </c>
      <c r="B3182" t="s">
        <v>137</v>
      </c>
      <c r="C3182" s="1">
        <v>2</v>
      </c>
      <c r="D3182" s="1">
        <v>21</v>
      </c>
      <c r="E3182" s="1">
        <v>30</v>
      </c>
      <c r="F3182" s="1">
        <v>21</v>
      </c>
    </row>
    <row r="3183" spans="1:6">
      <c r="A3183">
        <v>1</v>
      </c>
      <c r="B3183" t="s">
        <v>137</v>
      </c>
      <c r="C3183" s="1">
        <v>2</v>
      </c>
      <c r="D3183" s="1" t="s">
        <v>168</v>
      </c>
      <c r="E3183" s="1">
        <v>32</v>
      </c>
      <c r="F3183" s="1" t="s">
        <v>168</v>
      </c>
    </row>
    <row r="3184" spans="1:6">
      <c r="A3184">
        <v>1</v>
      </c>
      <c r="B3184" t="s">
        <v>137</v>
      </c>
      <c r="C3184" s="1">
        <v>2</v>
      </c>
      <c r="D3184" s="1">
        <v>22</v>
      </c>
      <c r="E3184" s="1">
        <v>40</v>
      </c>
      <c r="F3184" s="1">
        <v>22</v>
      </c>
    </row>
    <row r="3185" spans="1:6">
      <c r="A3185">
        <v>1</v>
      </c>
      <c r="B3185" t="s">
        <v>137</v>
      </c>
      <c r="C3185" s="1">
        <v>2</v>
      </c>
      <c r="D3185" s="1" t="s">
        <v>171</v>
      </c>
      <c r="E3185" s="1">
        <v>42</v>
      </c>
      <c r="F3185" s="1" t="s">
        <v>171</v>
      </c>
    </row>
    <row r="3186" spans="1:6">
      <c r="A3186">
        <v>1</v>
      </c>
      <c r="B3186" t="s">
        <v>137</v>
      </c>
      <c r="C3186" s="1">
        <v>2</v>
      </c>
      <c r="D3186" s="1">
        <v>23</v>
      </c>
      <c r="E3186" s="1">
        <v>50</v>
      </c>
      <c r="F3186" s="1">
        <v>23</v>
      </c>
    </row>
    <row r="3187" spans="1:6">
      <c r="A3187">
        <v>1</v>
      </c>
      <c r="B3187" t="s">
        <v>137</v>
      </c>
      <c r="C3187" s="1">
        <v>2</v>
      </c>
      <c r="D3187" s="1" t="s">
        <v>174</v>
      </c>
      <c r="E3187" s="1">
        <v>52</v>
      </c>
      <c r="F3187" s="1" t="s">
        <v>174</v>
      </c>
    </row>
    <row r="3188" spans="1:6">
      <c r="A3188">
        <v>1</v>
      </c>
      <c r="B3188" t="s">
        <v>137</v>
      </c>
      <c r="C3188" s="1">
        <v>2</v>
      </c>
      <c r="D3188" s="1">
        <v>24</v>
      </c>
      <c r="E3188" s="1">
        <v>60</v>
      </c>
      <c r="F3188" s="1">
        <v>24</v>
      </c>
    </row>
    <row r="3189" spans="1:6">
      <c r="A3189">
        <v>1</v>
      </c>
      <c r="B3189" t="s">
        <v>137</v>
      </c>
      <c r="C3189" s="1">
        <v>2</v>
      </c>
      <c r="D3189" s="1" t="s">
        <v>177</v>
      </c>
      <c r="E3189" s="1">
        <v>62</v>
      </c>
      <c r="F3189" s="1" t="s">
        <v>177</v>
      </c>
    </row>
    <row r="3190" spans="1:6">
      <c r="A3190">
        <v>1</v>
      </c>
      <c r="B3190" t="s">
        <v>137</v>
      </c>
      <c r="C3190" s="1">
        <v>2</v>
      </c>
      <c r="D3190" s="1">
        <v>25</v>
      </c>
      <c r="E3190" s="1">
        <v>70</v>
      </c>
      <c r="F3190" s="1">
        <v>25</v>
      </c>
    </row>
    <row r="3191" spans="1:6">
      <c r="A3191">
        <v>1</v>
      </c>
      <c r="B3191" t="s">
        <v>137</v>
      </c>
      <c r="C3191" s="1">
        <v>2</v>
      </c>
      <c r="D3191" s="1" t="s">
        <v>180</v>
      </c>
      <c r="E3191" s="1">
        <v>72</v>
      </c>
      <c r="F3191" s="1" t="s">
        <v>180</v>
      </c>
    </row>
    <row r="3192" spans="1:6">
      <c r="A3192">
        <v>1</v>
      </c>
      <c r="B3192" t="s">
        <v>137</v>
      </c>
      <c r="C3192" s="1">
        <v>2</v>
      </c>
      <c r="D3192" s="1">
        <v>18</v>
      </c>
      <c r="F3192" s="1">
        <v>18</v>
      </c>
    </row>
    <row r="3193" spans="1:6">
      <c r="A3193">
        <v>11</v>
      </c>
      <c r="B3193" t="s">
        <v>186</v>
      </c>
      <c r="C3193" s="1">
        <v>1</v>
      </c>
      <c r="D3193" s="1" t="s">
        <v>193</v>
      </c>
      <c r="E3193" s="1">
        <v>12</v>
      </c>
      <c r="F3193" s="1" t="s">
        <v>193</v>
      </c>
    </row>
    <row r="3194" spans="1:6">
      <c r="A3194">
        <v>11</v>
      </c>
      <c r="B3194" t="s">
        <v>186</v>
      </c>
      <c r="C3194" s="1">
        <v>1</v>
      </c>
      <c r="D3194" s="1">
        <v>41</v>
      </c>
      <c r="E3194" s="1">
        <v>20</v>
      </c>
      <c r="F3194" s="1">
        <v>41</v>
      </c>
    </row>
    <row r="3195" spans="1:6">
      <c r="A3195">
        <v>11</v>
      </c>
      <c r="B3195" t="s">
        <v>186</v>
      </c>
      <c r="C3195" s="1">
        <v>1</v>
      </c>
      <c r="D3195" s="1" t="s">
        <v>194</v>
      </c>
      <c r="E3195" s="1">
        <v>22</v>
      </c>
      <c r="F3195" s="1" t="s">
        <v>194</v>
      </c>
    </row>
    <row r="3196" spans="1:6">
      <c r="A3196">
        <v>11</v>
      </c>
      <c r="B3196" t="s">
        <v>186</v>
      </c>
      <c r="C3196" s="1">
        <v>1</v>
      </c>
      <c r="D3196" s="1" t="s">
        <v>195</v>
      </c>
      <c r="E3196" s="1">
        <v>32</v>
      </c>
      <c r="F3196" s="1" t="s">
        <v>195</v>
      </c>
    </row>
    <row r="3197" spans="1:6">
      <c r="A3197">
        <v>11</v>
      </c>
      <c r="B3197" t="s">
        <v>186</v>
      </c>
      <c r="C3197" s="1">
        <v>1</v>
      </c>
      <c r="D3197" s="1">
        <v>43</v>
      </c>
      <c r="E3197" s="1">
        <v>40</v>
      </c>
      <c r="F3197" s="1">
        <v>43</v>
      </c>
    </row>
    <row r="3198" spans="1:6">
      <c r="A3198">
        <v>11</v>
      </c>
      <c r="B3198" t="s">
        <v>186</v>
      </c>
      <c r="C3198" s="1">
        <v>1</v>
      </c>
      <c r="D3198" s="1" t="s">
        <v>196</v>
      </c>
      <c r="E3198" s="1">
        <v>42</v>
      </c>
      <c r="F3198" s="1" t="s">
        <v>196</v>
      </c>
    </row>
    <row r="3199" spans="1:6">
      <c r="A3199">
        <v>11</v>
      </c>
      <c r="B3199" t="s">
        <v>186</v>
      </c>
      <c r="C3199" s="1">
        <v>1</v>
      </c>
      <c r="D3199" s="1">
        <v>44</v>
      </c>
      <c r="E3199" s="1">
        <v>50</v>
      </c>
      <c r="F3199" s="1">
        <v>44</v>
      </c>
    </row>
    <row r="3200" spans="1:6">
      <c r="A3200">
        <v>11</v>
      </c>
      <c r="B3200" t="s">
        <v>186</v>
      </c>
      <c r="C3200" s="1">
        <v>1</v>
      </c>
      <c r="D3200" s="1" t="s">
        <v>197</v>
      </c>
      <c r="E3200" s="1">
        <v>52</v>
      </c>
      <c r="F3200" s="1" t="s">
        <v>197</v>
      </c>
    </row>
    <row r="3201" spans="1:6">
      <c r="A3201">
        <v>11</v>
      </c>
      <c r="B3201" t="s">
        <v>186</v>
      </c>
      <c r="C3201" s="1">
        <v>1</v>
      </c>
      <c r="D3201" s="1">
        <v>45</v>
      </c>
      <c r="E3201" s="1">
        <v>60</v>
      </c>
      <c r="F3201" s="1">
        <v>45</v>
      </c>
    </row>
    <row r="3202" spans="1:6">
      <c r="A3202">
        <v>11</v>
      </c>
      <c r="B3202" t="s">
        <v>186</v>
      </c>
      <c r="C3202" s="1">
        <v>1</v>
      </c>
      <c r="D3202" s="1" t="s">
        <v>198</v>
      </c>
      <c r="E3202" s="1">
        <v>62</v>
      </c>
      <c r="F3202" s="1" t="s">
        <v>198</v>
      </c>
    </row>
    <row r="3203" spans="1:6">
      <c r="A3203">
        <v>11</v>
      </c>
      <c r="B3203" t="s">
        <v>186</v>
      </c>
      <c r="C3203" s="1">
        <v>1</v>
      </c>
      <c r="D3203" s="1" t="s">
        <v>199</v>
      </c>
      <c r="E3203" s="1">
        <v>72</v>
      </c>
      <c r="F3203" s="1" t="s">
        <v>199</v>
      </c>
    </row>
    <row r="3204" spans="1:6">
      <c r="A3204">
        <v>12</v>
      </c>
      <c r="B3204" t="s">
        <v>107</v>
      </c>
      <c r="C3204" s="1">
        <v>1</v>
      </c>
      <c r="D3204" s="1">
        <v>44</v>
      </c>
      <c r="E3204" s="1">
        <v>50</v>
      </c>
      <c r="F3204" s="1">
        <v>44</v>
      </c>
    </row>
    <row r="3205" spans="1:6">
      <c r="A3205">
        <v>12</v>
      </c>
      <c r="B3205" t="s">
        <v>107</v>
      </c>
      <c r="C3205" s="1">
        <v>1</v>
      </c>
      <c r="D3205" s="1" t="s">
        <v>198</v>
      </c>
      <c r="E3205" s="1">
        <v>62</v>
      </c>
      <c r="F3205" s="1" t="s">
        <v>198</v>
      </c>
    </row>
    <row r="3206" spans="1:6">
      <c r="A3206">
        <v>12</v>
      </c>
      <c r="B3206" t="s">
        <v>107</v>
      </c>
      <c r="C3206" s="1">
        <v>1</v>
      </c>
      <c r="D3206" s="1" t="s">
        <v>199</v>
      </c>
      <c r="E3206" s="1">
        <v>72</v>
      </c>
      <c r="F3206" s="1" t="s">
        <v>199</v>
      </c>
    </row>
    <row r="3207" spans="1:6">
      <c r="A3207">
        <v>13</v>
      </c>
      <c r="B3207" t="s">
        <v>200</v>
      </c>
      <c r="C3207" s="1">
        <v>1</v>
      </c>
      <c r="D3207" s="1" t="s">
        <v>194</v>
      </c>
      <c r="E3207" s="1">
        <v>22</v>
      </c>
      <c r="F3207" s="1" t="s">
        <v>194</v>
      </c>
    </row>
    <row r="3208" spans="1:6">
      <c r="A3208">
        <v>13</v>
      </c>
      <c r="B3208" t="s">
        <v>200</v>
      </c>
      <c r="C3208" s="1">
        <v>1</v>
      </c>
      <c r="D3208" s="1">
        <v>43</v>
      </c>
      <c r="E3208" s="1">
        <v>40</v>
      </c>
      <c r="F3208" s="1">
        <v>43</v>
      </c>
    </row>
    <row r="3209" spans="1:6">
      <c r="A3209">
        <v>13</v>
      </c>
      <c r="B3209" t="s">
        <v>200</v>
      </c>
      <c r="C3209" s="1">
        <v>1</v>
      </c>
      <c r="D3209" s="1" t="s">
        <v>196</v>
      </c>
      <c r="E3209" s="1">
        <v>42</v>
      </c>
      <c r="F3209" s="1" t="s">
        <v>196</v>
      </c>
    </row>
    <row r="3210" spans="1:6">
      <c r="A3210">
        <v>13</v>
      </c>
      <c r="B3210" t="s">
        <v>200</v>
      </c>
      <c r="C3210" s="1">
        <v>1</v>
      </c>
      <c r="D3210" s="1" t="s">
        <v>197</v>
      </c>
      <c r="E3210" s="1">
        <v>52</v>
      </c>
      <c r="F3210" s="1" t="s">
        <v>197</v>
      </c>
    </row>
    <row r="3211" spans="1:6">
      <c r="A3211">
        <v>13</v>
      </c>
      <c r="B3211" t="s">
        <v>200</v>
      </c>
      <c r="C3211" s="1">
        <v>1</v>
      </c>
      <c r="D3211" s="1">
        <v>45</v>
      </c>
      <c r="E3211" s="1">
        <v>60</v>
      </c>
      <c r="F3211" s="1">
        <v>45</v>
      </c>
    </row>
    <row r="3212" spans="1:6">
      <c r="A3212">
        <v>13</v>
      </c>
      <c r="B3212" t="s">
        <v>200</v>
      </c>
      <c r="C3212" s="1">
        <v>1</v>
      </c>
      <c r="D3212" s="1" t="s">
        <v>198</v>
      </c>
      <c r="E3212" s="1">
        <v>62</v>
      </c>
      <c r="F3212" s="1" t="s">
        <v>198</v>
      </c>
    </row>
    <row r="3213" spans="1:6">
      <c r="A3213">
        <v>13</v>
      </c>
      <c r="B3213" t="s">
        <v>200</v>
      </c>
      <c r="C3213" s="1">
        <v>1</v>
      </c>
      <c r="D3213" s="1" t="s">
        <v>199</v>
      </c>
      <c r="E3213" s="1">
        <v>72</v>
      </c>
      <c r="F3213" s="1" t="s">
        <v>199</v>
      </c>
    </row>
    <row r="3214" spans="1:6">
      <c r="A3214">
        <v>21</v>
      </c>
      <c r="B3214" t="s">
        <v>205</v>
      </c>
      <c r="C3214" s="1">
        <v>1</v>
      </c>
      <c r="D3214" s="1" t="s">
        <v>331</v>
      </c>
      <c r="E3214" s="1">
        <v>50</v>
      </c>
      <c r="F3214" s="1" t="s">
        <v>331</v>
      </c>
    </row>
    <row r="3215" spans="1:6">
      <c r="A3215">
        <v>21</v>
      </c>
      <c r="B3215" t="s">
        <v>205</v>
      </c>
      <c r="C3215" s="1">
        <v>1</v>
      </c>
      <c r="D3215" s="1" t="s">
        <v>287</v>
      </c>
      <c r="E3215" s="1">
        <v>52</v>
      </c>
      <c r="F3215" s="1" t="s">
        <v>287</v>
      </c>
    </row>
    <row r="3216" spans="1:6">
      <c r="A3216">
        <v>21</v>
      </c>
      <c r="B3216" t="s">
        <v>205</v>
      </c>
      <c r="C3216" s="1">
        <v>1</v>
      </c>
      <c r="D3216" s="1" t="s">
        <v>288</v>
      </c>
      <c r="E3216" s="1">
        <v>62</v>
      </c>
      <c r="F3216" s="1" t="s">
        <v>288</v>
      </c>
    </row>
    <row r="3217" spans="1:6">
      <c r="A3217">
        <v>41</v>
      </c>
      <c r="B3217" t="s">
        <v>219</v>
      </c>
      <c r="C3217" s="1">
        <v>1</v>
      </c>
      <c r="D3217" s="1" t="s">
        <v>442</v>
      </c>
      <c r="E3217" s="1">
        <v>10</v>
      </c>
      <c r="F3217" s="1" t="s">
        <v>442</v>
      </c>
    </row>
    <row r="3218" spans="1:6">
      <c r="A3218">
        <v>6</v>
      </c>
      <c r="B3218" t="s">
        <v>184</v>
      </c>
      <c r="C3218" s="1">
        <v>1</v>
      </c>
      <c r="D3218" s="1" t="s">
        <v>290</v>
      </c>
      <c r="E3218" s="1">
        <v>10</v>
      </c>
      <c r="F3218" s="1" t="s">
        <v>290</v>
      </c>
    </row>
    <row r="3219" spans="1:6">
      <c r="A3219">
        <v>6</v>
      </c>
      <c r="B3219" t="s">
        <v>184</v>
      </c>
      <c r="E3219" s="1">
        <v>23</v>
      </c>
    </row>
    <row r="3220" spans="1:6">
      <c r="A3220">
        <v>6</v>
      </c>
      <c r="B3220" t="s">
        <v>184</v>
      </c>
      <c r="E3220" s="1">
        <v>50</v>
      </c>
    </row>
    <row r="3221" spans="1:6">
      <c r="A3221">
        <v>6</v>
      </c>
      <c r="B3221" t="s">
        <v>184</v>
      </c>
      <c r="E3221" s="1">
        <v>63</v>
      </c>
    </row>
    <row r="3222" spans="1:6">
      <c r="A3222">
        <v>6</v>
      </c>
      <c r="B3222" t="s">
        <v>184</v>
      </c>
      <c r="E3222" s="1">
        <v>64</v>
      </c>
    </row>
    <row r="3223" spans="1:6">
      <c r="A3223">
        <v>6</v>
      </c>
      <c r="B3223" t="s">
        <v>184</v>
      </c>
      <c r="E3223" s="1">
        <v>65</v>
      </c>
    </row>
    <row r="3224" spans="1:6">
      <c r="A3224">
        <v>6</v>
      </c>
      <c r="B3224" t="s">
        <v>184</v>
      </c>
      <c r="E3224" s="1">
        <v>63</v>
      </c>
    </row>
    <row r="3225" spans="1:6">
      <c r="A3225">
        <v>1</v>
      </c>
      <c r="B3225" t="s">
        <v>137</v>
      </c>
      <c r="C3225" s="1">
        <v>1</v>
      </c>
      <c r="D3225" s="1">
        <v>16</v>
      </c>
      <c r="E3225" s="1">
        <v>90</v>
      </c>
      <c r="F3225" s="1">
        <v>16</v>
      </c>
    </row>
    <row r="3226" spans="1:6">
      <c r="A3226">
        <v>1</v>
      </c>
      <c r="B3226" t="s">
        <v>137</v>
      </c>
      <c r="C3226" s="1">
        <v>2</v>
      </c>
      <c r="D3226" s="1" t="s">
        <v>168</v>
      </c>
      <c r="E3226" s="1">
        <v>32</v>
      </c>
      <c r="F3226" s="1" t="s">
        <v>168</v>
      </c>
    </row>
    <row r="3227" spans="1:6">
      <c r="A3227">
        <v>5</v>
      </c>
      <c r="B3227" t="s">
        <v>183</v>
      </c>
      <c r="E3227" s="1">
        <v>60</v>
      </c>
    </row>
    <row r="3228" spans="1:6">
      <c r="A3228">
        <v>5</v>
      </c>
      <c r="B3228" t="s">
        <v>183</v>
      </c>
      <c r="E3228" s="1">
        <v>70</v>
      </c>
    </row>
    <row r="3229" spans="1:6">
      <c r="A3229">
        <v>6</v>
      </c>
      <c r="B3229" t="s">
        <v>184</v>
      </c>
      <c r="E3229" s="1">
        <v>23</v>
      </c>
    </row>
    <row r="3230" spans="1:6">
      <c r="A3230">
        <v>6</v>
      </c>
      <c r="B3230" t="s">
        <v>184</v>
      </c>
      <c r="E3230" s="1">
        <v>63</v>
      </c>
    </row>
    <row r="3231" spans="1:6">
      <c r="A3231">
        <v>11</v>
      </c>
      <c r="B3231" t="s">
        <v>186</v>
      </c>
      <c r="C3231" s="1">
        <v>1</v>
      </c>
      <c r="D3231" s="1" t="s">
        <v>195</v>
      </c>
      <c r="E3231" s="1">
        <v>32</v>
      </c>
      <c r="F3231" s="1" t="s">
        <v>195</v>
      </c>
    </row>
    <row r="3232" spans="1:6">
      <c r="A3232">
        <v>11</v>
      </c>
      <c r="B3232" t="s">
        <v>186</v>
      </c>
      <c r="C3232" s="1">
        <v>1</v>
      </c>
      <c r="D3232" s="1">
        <v>43</v>
      </c>
      <c r="E3232" s="1">
        <v>40</v>
      </c>
      <c r="F3232" s="1">
        <v>43</v>
      </c>
    </row>
    <row r="3233" spans="1:6">
      <c r="A3233">
        <v>11</v>
      </c>
      <c r="B3233" t="s">
        <v>186</v>
      </c>
      <c r="C3233" s="1">
        <v>1</v>
      </c>
      <c r="D3233" s="1" t="s">
        <v>196</v>
      </c>
      <c r="E3233" s="1">
        <v>42</v>
      </c>
      <c r="F3233" s="1" t="s">
        <v>196</v>
      </c>
    </row>
    <row r="3234" spans="1:6">
      <c r="A3234">
        <v>11</v>
      </c>
      <c r="B3234" t="s">
        <v>186</v>
      </c>
      <c r="C3234" s="1">
        <v>1</v>
      </c>
      <c r="D3234" s="1">
        <v>44</v>
      </c>
      <c r="E3234" s="1">
        <v>50</v>
      </c>
      <c r="F3234" s="1">
        <v>44</v>
      </c>
    </row>
    <row r="3235" spans="1:6">
      <c r="A3235">
        <v>11</v>
      </c>
      <c r="B3235" t="s">
        <v>186</v>
      </c>
      <c r="C3235" s="1">
        <v>1</v>
      </c>
      <c r="D3235" s="1" t="s">
        <v>197</v>
      </c>
      <c r="E3235" s="1">
        <v>52</v>
      </c>
      <c r="F3235" s="1" t="s">
        <v>197</v>
      </c>
    </row>
    <row r="3236" spans="1:6">
      <c r="A3236">
        <v>11</v>
      </c>
      <c r="B3236" t="s">
        <v>186</v>
      </c>
      <c r="C3236" s="1">
        <v>1</v>
      </c>
      <c r="D3236" s="1" t="s">
        <v>198</v>
      </c>
      <c r="E3236" s="1">
        <v>62</v>
      </c>
      <c r="F3236" s="1" t="s">
        <v>198</v>
      </c>
    </row>
    <row r="3237" spans="1:6">
      <c r="A3237">
        <v>11</v>
      </c>
      <c r="B3237" t="s">
        <v>186</v>
      </c>
      <c r="C3237" s="1">
        <v>1</v>
      </c>
      <c r="D3237" s="1">
        <v>46</v>
      </c>
      <c r="E3237" s="1">
        <v>70</v>
      </c>
      <c r="F3237" s="1">
        <v>46</v>
      </c>
    </row>
    <row r="3238" spans="1:6">
      <c r="A3238">
        <v>11</v>
      </c>
      <c r="B3238" t="s">
        <v>186</v>
      </c>
      <c r="C3238" s="1">
        <v>1</v>
      </c>
      <c r="D3238" s="1" t="s">
        <v>199</v>
      </c>
      <c r="E3238" s="1">
        <v>72</v>
      </c>
      <c r="F3238" s="1" t="s">
        <v>199</v>
      </c>
    </row>
    <row r="3239" spans="1:6">
      <c r="A3239">
        <v>12</v>
      </c>
      <c r="B3239" t="s">
        <v>107</v>
      </c>
      <c r="C3239" s="1">
        <v>1</v>
      </c>
      <c r="D3239" s="1" t="s">
        <v>194</v>
      </c>
      <c r="E3239" s="1">
        <v>22</v>
      </c>
      <c r="F3239" s="1" t="s">
        <v>194</v>
      </c>
    </row>
    <row r="3240" spans="1:6">
      <c r="A3240">
        <v>12</v>
      </c>
      <c r="B3240" t="s">
        <v>107</v>
      </c>
      <c r="C3240" s="1">
        <v>1</v>
      </c>
      <c r="D3240" s="1" t="s">
        <v>195</v>
      </c>
      <c r="E3240" s="1">
        <v>32</v>
      </c>
      <c r="F3240" s="1" t="s">
        <v>195</v>
      </c>
    </row>
    <row r="3241" spans="1:6">
      <c r="A3241">
        <v>12</v>
      </c>
      <c r="B3241" t="s">
        <v>107</v>
      </c>
      <c r="C3241" s="1">
        <v>1</v>
      </c>
      <c r="D3241" s="1">
        <v>43</v>
      </c>
      <c r="E3241" s="1">
        <v>40</v>
      </c>
      <c r="F3241" s="1">
        <v>43</v>
      </c>
    </row>
    <row r="3242" spans="1:6">
      <c r="A3242">
        <v>12</v>
      </c>
      <c r="B3242" t="s">
        <v>107</v>
      </c>
      <c r="C3242" s="1">
        <v>1</v>
      </c>
      <c r="D3242" s="1" t="s">
        <v>196</v>
      </c>
      <c r="E3242" s="1">
        <v>42</v>
      </c>
      <c r="F3242" s="1" t="s">
        <v>196</v>
      </c>
    </row>
    <row r="3243" spans="1:6">
      <c r="A3243">
        <v>12</v>
      </c>
      <c r="B3243" t="s">
        <v>107</v>
      </c>
      <c r="C3243" s="1">
        <v>1</v>
      </c>
      <c r="D3243" s="1">
        <v>44</v>
      </c>
      <c r="E3243" s="1">
        <v>50</v>
      </c>
      <c r="F3243" s="1">
        <v>44</v>
      </c>
    </row>
    <row r="3244" spans="1:6">
      <c r="A3244">
        <v>12</v>
      </c>
      <c r="B3244" t="s">
        <v>107</v>
      </c>
      <c r="C3244" s="1">
        <v>1</v>
      </c>
      <c r="D3244" s="1" t="s">
        <v>197</v>
      </c>
      <c r="E3244" s="1">
        <v>52</v>
      </c>
      <c r="F3244" s="1" t="s">
        <v>197</v>
      </c>
    </row>
    <row r="3245" spans="1:6">
      <c r="A3245">
        <v>12</v>
      </c>
      <c r="B3245" t="s">
        <v>107</v>
      </c>
      <c r="C3245" s="1">
        <v>1</v>
      </c>
      <c r="D3245" s="1" t="s">
        <v>198</v>
      </c>
      <c r="E3245" s="1">
        <v>62</v>
      </c>
      <c r="F3245" s="1" t="s">
        <v>198</v>
      </c>
    </row>
    <row r="3246" spans="1:6">
      <c r="A3246">
        <v>13</v>
      </c>
      <c r="B3246" t="s">
        <v>200</v>
      </c>
      <c r="C3246" s="1">
        <v>1</v>
      </c>
      <c r="D3246" s="1">
        <v>40</v>
      </c>
      <c r="E3246" s="1">
        <v>10</v>
      </c>
      <c r="F3246" s="1">
        <v>40</v>
      </c>
    </row>
    <row r="3247" spans="1:6">
      <c r="A3247">
        <v>13</v>
      </c>
      <c r="B3247" t="s">
        <v>200</v>
      </c>
      <c r="C3247" s="1">
        <v>1</v>
      </c>
      <c r="D3247" s="1">
        <v>41</v>
      </c>
      <c r="E3247" s="1">
        <v>20</v>
      </c>
      <c r="F3247" s="1">
        <v>41</v>
      </c>
    </row>
    <row r="3248" spans="1:6">
      <c r="A3248">
        <v>13</v>
      </c>
      <c r="B3248" t="s">
        <v>200</v>
      </c>
      <c r="C3248" s="1">
        <v>1</v>
      </c>
      <c r="D3248" s="1" t="s">
        <v>194</v>
      </c>
      <c r="E3248" s="1">
        <v>22</v>
      </c>
      <c r="F3248" s="1" t="s">
        <v>194</v>
      </c>
    </row>
    <row r="3249" spans="1:6">
      <c r="A3249">
        <v>13</v>
      </c>
      <c r="B3249" t="s">
        <v>200</v>
      </c>
      <c r="C3249" s="1">
        <v>1</v>
      </c>
      <c r="D3249" s="1">
        <v>42</v>
      </c>
      <c r="E3249" s="1">
        <v>30</v>
      </c>
      <c r="F3249" s="1">
        <v>42</v>
      </c>
    </row>
    <row r="3250" spans="1:6">
      <c r="A3250">
        <v>13</v>
      </c>
      <c r="B3250" t="s">
        <v>200</v>
      </c>
      <c r="C3250" s="1">
        <v>1</v>
      </c>
      <c r="D3250" s="1" t="s">
        <v>195</v>
      </c>
      <c r="E3250" s="1">
        <v>32</v>
      </c>
      <c r="F3250" s="1" t="s">
        <v>195</v>
      </c>
    </row>
    <row r="3251" spans="1:6">
      <c r="A3251">
        <v>13</v>
      </c>
      <c r="B3251" t="s">
        <v>200</v>
      </c>
      <c r="C3251" s="1">
        <v>1</v>
      </c>
      <c r="D3251" s="1">
        <v>43</v>
      </c>
      <c r="E3251" s="1">
        <v>40</v>
      </c>
      <c r="F3251" s="1">
        <v>43</v>
      </c>
    </row>
    <row r="3252" spans="1:6">
      <c r="A3252">
        <v>13</v>
      </c>
      <c r="B3252" t="s">
        <v>200</v>
      </c>
      <c r="C3252" s="1">
        <v>1</v>
      </c>
      <c r="D3252" s="1" t="s">
        <v>196</v>
      </c>
      <c r="E3252" s="1">
        <v>42</v>
      </c>
      <c r="F3252" s="1" t="s">
        <v>196</v>
      </c>
    </row>
    <row r="3253" spans="1:6">
      <c r="A3253">
        <v>13</v>
      </c>
      <c r="B3253" t="s">
        <v>200</v>
      </c>
      <c r="C3253" s="1">
        <v>1</v>
      </c>
      <c r="D3253" s="1">
        <v>44</v>
      </c>
      <c r="E3253" s="1">
        <v>50</v>
      </c>
      <c r="F3253" s="1">
        <v>44</v>
      </c>
    </row>
    <row r="3254" spans="1:6">
      <c r="A3254">
        <v>13</v>
      </c>
      <c r="B3254" t="s">
        <v>200</v>
      </c>
      <c r="C3254" s="1">
        <v>1</v>
      </c>
      <c r="D3254" s="1" t="s">
        <v>197</v>
      </c>
      <c r="E3254" s="1">
        <v>52</v>
      </c>
      <c r="F3254" s="1" t="s">
        <v>197</v>
      </c>
    </row>
    <row r="3255" spans="1:6">
      <c r="A3255">
        <v>13</v>
      </c>
      <c r="B3255" t="s">
        <v>200</v>
      </c>
      <c r="C3255" s="1">
        <v>1</v>
      </c>
      <c r="D3255" s="1">
        <v>45</v>
      </c>
      <c r="E3255" s="1">
        <v>60</v>
      </c>
      <c r="F3255" s="1">
        <v>45</v>
      </c>
    </row>
    <row r="3256" spans="1:6">
      <c r="A3256">
        <v>13</v>
      </c>
      <c r="B3256" t="s">
        <v>200</v>
      </c>
      <c r="C3256" s="1">
        <v>1</v>
      </c>
      <c r="D3256" s="1" t="s">
        <v>198</v>
      </c>
      <c r="E3256" s="1">
        <v>62</v>
      </c>
      <c r="F3256" s="1" t="s">
        <v>198</v>
      </c>
    </row>
    <row r="3257" spans="1:6">
      <c r="A3257">
        <v>13</v>
      </c>
      <c r="B3257" t="s">
        <v>200</v>
      </c>
      <c r="C3257" s="1">
        <v>1</v>
      </c>
      <c r="D3257" s="1" t="s">
        <v>199</v>
      </c>
      <c r="E3257" s="1">
        <v>72</v>
      </c>
      <c r="F3257" s="1" t="s">
        <v>199</v>
      </c>
    </row>
    <row r="3258" spans="1:6">
      <c r="A3258">
        <v>13</v>
      </c>
      <c r="B3258" t="s">
        <v>200</v>
      </c>
      <c r="E3258" s="1">
        <v>96</v>
      </c>
    </row>
    <row r="3259" spans="1:6">
      <c r="A3259">
        <v>21</v>
      </c>
      <c r="B3259" t="s">
        <v>205</v>
      </c>
      <c r="C3259" s="1">
        <v>1</v>
      </c>
      <c r="D3259" s="1" t="s">
        <v>288</v>
      </c>
      <c r="E3259" s="1">
        <v>62</v>
      </c>
      <c r="F3259" s="1" t="s">
        <v>288</v>
      </c>
    </row>
    <row r="3260" spans="1:6">
      <c r="A3260">
        <v>27</v>
      </c>
      <c r="B3260" t="s">
        <v>210</v>
      </c>
      <c r="C3260" s="1">
        <v>1</v>
      </c>
      <c r="D3260" s="1">
        <v>44</v>
      </c>
      <c r="E3260" s="1">
        <v>50</v>
      </c>
      <c r="F3260" s="1">
        <v>44</v>
      </c>
    </row>
    <row r="3261" spans="1:6">
      <c r="A3261">
        <v>27</v>
      </c>
      <c r="B3261" t="s">
        <v>210</v>
      </c>
      <c r="C3261" s="1">
        <v>1</v>
      </c>
      <c r="D3261" s="1" t="s">
        <v>199</v>
      </c>
      <c r="E3261" s="1">
        <v>72</v>
      </c>
      <c r="F3261" s="1" t="s">
        <v>199</v>
      </c>
    </row>
    <row r="3262" spans="1:6">
      <c r="A3262">
        <v>28</v>
      </c>
      <c r="B3262" t="s">
        <v>211</v>
      </c>
      <c r="C3262" s="1">
        <v>1</v>
      </c>
      <c r="D3262" s="1" t="s">
        <v>614</v>
      </c>
      <c r="E3262" s="1">
        <v>2</v>
      </c>
      <c r="F3262" s="1" t="s">
        <v>614</v>
      </c>
    </row>
    <row r="3263" spans="1:6">
      <c r="A3263">
        <v>28</v>
      </c>
      <c r="B3263" t="s">
        <v>211</v>
      </c>
      <c r="C3263" s="1">
        <v>1</v>
      </c>
      <c r="D3263" s="1" t="s">
        <v>615</v>
      </c>
      <c r="E3263" s="1">
        <v>10</v>
      </c>
      <c r="F3263" s="1" t="s">
        <v>615</v>
      </c>
    </row>
    <row r="3264" spans="1:6">
      <c r="A3264">
        <v>28</v>
      </c>
      <c r="B3264" t="s">
        <v>211</v>
      </c>
      <c r="C3264" s="1">
        <v>1</v>
      </c>
      <c r="D3264" s="1" t="s">
        <v>616</v>
      </c>
      <c r="E3264" s="1">
        <v>12</v>
      </c>
      <c r="F3264" s="1" t="s">
        <v>616</v>
      </c>
    </row>
    <row r="3265" spans="1:6">
      <c r="A3265">
        <v>28</v>
      </c>
      <c r="B3265" t="s">
        <v>211</v>
      </c>
      <c r="C3265" s="1">
        <v>1</v>
      </c>
      <c r="D3265" s="1" t="s">
        <v>617</v>
      </c>
      <c r="E3265" s="1">
        <v>20</v>
      </c>
      <c r="F3265" s="1" t="s">
        <v>617</v>
      </c>
    </row>
    <row r="3266" spans="1:6">
      <c r="A3266">
        <v>28</v>
      </c>
      <c r="B3266" t="s">
        <v>211</v>
      </c>
      <c r="C3266" s="1">
        <v>1</v>
      </c>
      <c r="D3266" s="1" t="s">
        <v>618</v>
      </c>
      <c r="E3266" s="1">
        <v>22</v>
      </c>
      <c r="F3266" s="1" t="s">
        <v>618</v>
      </c>
    </row>
    <row r="3267" spans="1:6">
      <c r="A3267">
        <v>28</v>
      </c>
      <c r="B3267" t="s">
        <v>211</v>
      </c>
      <c r="C3267" s="1">
        <v>1</v>
      </c>
      <c r="D3267" s="1" t="s">
        <v>293</v>
      </c>
      <c r="E3267" s="1">
        <v>30</v>
      </c>
      <c r="F3267" s="1" t="s">
        <v>293</v>
      </c>
    </row>
    <row r="3268" spans="1:6">
      <c r="A3268">
        <v>28</v>
      </c>
      <c r="B3268" t="s">
        <v>211</v>
      </c>
      <c r="C3268" s="1">
        <v>1</v>
      </c>
      <c r="D3268" s="1" t="s">
        <v>619</v>
      </c>
      <c r="E3268" s="1">
        <v>32</v>
      </c>
      <c r="F3268" s="1" t="s">
        <v>619</v>
      </c>
    </row>
    <row r="3269" spans="1:6">
      <c r="A3269">
        <v>28</v>
      </c>
      <c r="B3269" t="s">
        <v>211</v>
      </c>
      <c r="C3269" s="1">
        <v>1</v>
      </c>
      <c r="D3269" s="1" t="s">
        <v>620</v>
      </c>
      <c r="E3269" s="1">
        <v>40</v>
      </c>
      <c r="F3269" s="1" t="s">
        <v>620</v>
      </c>
    </row>
    <row r="3270" spans="1:6">
      <c r="A3270">
        <v>28</v>
      </c>
      <c r="B3270" t="s">
        <v>211</v>
      </c>
      <c r="C3270" s="1">
        <v>1</v>
      </c>
      <c r="D3270" s="1" t="s">
        <v>621</v>
      </c>
      <c r="E3270" s="1">
        <v>42</v>
      </c>
      <c r="F3270" s="1" t="s">
        <v>621</v>
      </c>
    </row>
    <row r="3271" spans="1:6">
      <c r="A3271">
        <v>28</v>
      </c>
      <c r="B3271" t="s">
        <v>211</v>
      </c>
      <c r="C3271" s="1">
        <v>1</v>
      </c>
      <c r="D3271" s="1" t="s">
        <v>622</v>
      </c>
      <c r="E3271" s="1">
        <v>50</v>
      </c>
      <c r="F3271" s="1" t="s">
        <v>622</v>
      </c>
    </row>
    <row r="3272" spans="1:6">
      <c r="A3272">
        <v>28</v>
      </c>
      <c r="B3272" t="s">
        <v>211</v>
      </c>
      <c r="C3272" s="1">
        <v>1</v>
      </c>
      <c r="D3272" s="1" t="s">
        <v>623</v>
      </c>
      <c r="E3272" s="1">
        <v>52</v>
      </c>
      <c r="F3272" s="1" t="s">
        <v>623</v>
      </c>
    </row>
    <row r="3273" spans="1:6">
      <c r="A3273">
        <v>28</v>
      </c>
      <c r="B3273" t="s">
        <v>211</v>
      </c>
      <c r="C3273" s="1">
        <v>1</v>
      </c>
      <c r="D3273" s="1" t="s">
        <v>624</v>
      </c>
      <c r="E3273" s="1">
        <v>60</v>
      </c>
      <c r="F3273" s="1" t="s">
        <v>624</v>
      </c>
    </row>
    <row r="3274" spans="1:6">
      <c r="A3274">
        <v>28</v>
      </c>
      <c r="B3274" t="s">
        <v>211</v>
      </c>
      <c r="C3274" s="1">
        <v>1</v>
      </c>
      <c r="D3274" s="1" t="s">
        <v>625</v>
      </c>
      <c r="E3274" s="1">
        <v>62</v>
      </c>
      <c r="F3274" s="1" t="s">
        <v>625</v>
      </c>
    </row>
    <row r="3275" spans="1:6">
      <c r="A3275">
        <v>28</v>
      </c>
      <c r="B3275" t="s">
        <v>211</v>
      </c>
      <c r="C3275" s="1">
        <v>1</v>
      </c>
      <c r="D3275" s="1" t="s">
        <v>626</v>
      </c>
      <c r="F3275" s="1" t="s">
        <v>626</v>
      </c>
    </row>
    <row r="3276" spans="1:6">
      <c r="A3276">
        <v>28</v>
      </c>
      <c r="B3276" t="s">
        <v>211</v>
      </c>
      <c r="E3276" s="1">
        <v>80</v>
      </c>
    </row>
    <row r="3277" spans="1:6">
      <c r="A3277">
        <v>28</v>
      </c>
      <c r="B3277" t="s">
        <v>211</v>
      </c>
      <c r="E3277" s="1">
        <v>86</v>
      </c>
    </row>
    <row r="3278" spans="1:6">
      <c r="A3278">
        <v>28</v>
      </c>
      <c r="B3278" t="s">
        <v>211</v>
      </c>
      <c r="E3278" s="1">
        <v>90</v>
      </c>
    </row>
    <row r="3279" spans="1:6">
      <c r="A3279">
        <v>28</v>
      </c>
      <c r="B3279" t="s">
        <v>211</v>
      </c>
      <c r="E3279" s="1">
        <v>92</v>
      </c>
    </row>
    <row r="3280" spans="1:6">
      <c r="A3280">
        <v>29</v>
      </c>
      <c r="B3280" t="s">
        <v>627</v>
      </c>
      <c r="C3280" s="1">
        <v>1</v>
      </c>
      <c r="D3280" s="1" t="s">
        <v>193</v>
      </c>
      <c r="E3280" s="1">
        <v>2</v>
      </c>
      <c r="F3280" s="1" t="s">
        <v>193</v>
      </c>
    </row>
    <row r="3281" spans="1:6">
      <c r="A3281">
        <v>29</v>
      </c>
      <c r="B3281" t="s">
        <v>627</v>
      </c>
      <c r="C3281" s="1">
        <v>1</v>
      </c>
      <c r="D3281" s="1" t="s">
        <v>194</v>
      </c>
      <c r="E3281" s="1">
        <v>12</v>
      </c>
      <c r="F3281" s="1" t="s">
        <v>194</v>
      </c>
    </row>
    <row r="3282" spans="1:6">
      <c r="A3282">
        <v>29</v>
      </c>
      <c r="B3282" t="s">
        <v>627</v>
      </c>
      <c r="C3282" s="1">
        <v>1</v>
      </c>
      <c r="D3282" s="1">
        <v>40</v>
      </c>
      <c r="F3282" s="1">
        <v>40</v>
      </c>
    </row>
    <row r="3283" spans="1:6">
      <c r="A3283">
        <v>29</v>
      </c>
      <c r="B3283" t="s">
        <v>627</v>
      </c>
      <c r="E3283" s="1">
        <v>92</v>
      </c>
    </row>
    <row r="3284" spans="1:6">
      <c r="A3284">
        <v>30</v>
      </c>
      <c r="B3284" t="s">
        <v>628</v>
      </c>
      <c r="C3284" s="1">
        <v>1</v>
      </c>
      <c r="D3284" s="1">
        <v>13</v>
      </c>
      <c r="E3284" s="1">
        <v>30</v>
      </c>
      <c r="F3284" s="1">
        <v>13</v>
      </c>
    </row>
    <row r="3285" spans="1:6">
      <c r="A3285">
        <v>30</v>
      </c>
      <c r="B3285" t="s">
        <v>628</v>
      </c>
      <c r="C3285" s="1">
        <v>1</v>
      </c>
      <c r="D3285" s="1" t="s">
        <v>144</v>
      </c>
      <c r="E3285" s="1">
        <v>32</v>
      </c>
      <c r="F3285" s="1" t="s">
        <v>144</v>
      </c>
    </row>
    <row r="3286" spans="1:6">
      <c r="A3286">
        <v>30</v>
      </c>
      <c r="B3286" t="s">
        <v>628</v>
      </c>
      <c r="C3286" s="1">
        <v>1</v>
      </c>
      <c r="D3286" s="1">
        <v>14</v>
      </c>
      <c r="E3286" s="1">
        <v>40</v>
      </c>
      <c r="F3286" s="1">
        <v>14</v>
      </c>
    </row>
    <row r="3287" spans="1:6">
      <c r="A3287">
        <v>30</v>
      </c>
      <c r="B3287" t="s">
        <v>628</v>
      </c>
      <c r="C3287" s="1">
        <v>1</v>
      </c>
      <c r="D3287" s="1" t="s">
        <v>147</v>
      </c>
      <c r="E3287" s="1">
        <v>42</v>
      </c>
      <c r="F3287" s="1" t="s">
        <v>147</v>
      </c>
    </row>
    <row r="3288" spans="1:6">
      <c r="A3288">
        <v>30</v>
      </c>
      <c r="B3288" t="s">
        <v>628</v>
      </c>
      <c r="C3288" s="1">
        <v>1</v>
      </c>
      <c r="D3288" s="1">
        <v>15</v>
      </c>
      <c r="E3288" s="1">
        <v>50</v>
      </c>
      <c r="F3288" s="1">
        <v>15</v>
      </c>
    </row>
    <row r="3289" spans="1:6">
      <c r="A3289">
        <v>30</v>
      </c>
      <c r="B3289" t="s">
        <v>628</v>
      </c>
      <c r="C3289" s="1">
        <v>1</v>
      </c>
      <c r="D3289" s="1" t="s">
        <v>150</v>
      </c>
      <c r="E3289" s="1">
        <v>52</v>
      </c>
      <c r="F3289" s="1" t="s">
        <v>150</v>
      </c>
    </row>
    <row r="3290" spans="1:6">
      <c r="A3290">
        <v>30</v>
      </c>
      <c r="B3290" t="s">
        <v>628</v>
      </c>
      <c r="C3290" s="1">
        <v>1</v>
      </c>
      <c r="D3290" s="1">
        <v>16</v>
      </c>
      <c r="E3290" s="1">
        <v>60</v>
      </c>
      <c r="F3290" s="1">
        <v>16</v>
      </c>
    </row>
    <row r="3291" spans="1:6">
      <c r="A3291">
        <v>30</v>
      </c>
      <c r="B3291" t="s">
        <v>628</v>
      </c>
      <c r="C3291" s="1">
        <v>1</v>
      </c>
      <c r="D3291" s="1" t="s">
        <v>153</v>
      </c>
      <c r="E3291" s="1">
        <v>62</v>
      </c>
      <c r="F3291" s="1" t="s">
        <v>153</v>
      </c>
    </row>
    <row r="3292" spans="1:6">
      <c r="A3292">
        <v>30</v>
      </c>
      <c r="B3292" t="s">
        <v>628</v>
      </c>
      <c r="C3292" s="1">
        <v>1</v>
      </c>
      <c r="D3292" s="1">
        <v>17</v>
      </c>
      <c r="E3292" s="1">
        <v>70</v>
      </c>
      <c r="F3292" s="1">
        <v>17</v>
      </c>
    </row>
    <row r="3293" spans="1:6">
      <c r="A3293">
        <v>30</v>
      </c>
      <c r="B3293" t="s">
        <v>628</v>
      </c>
      <c r="C3293" s="1">
        <v>1</v>
      </c>
      <c r="D3293" s="1" t="s">
        <v>156</v>
      </c>
      <c r="E3293" s="1">
        <v>72</v>
      </c>
      <c r="F3293" s="1" t="s">
        <v>156</v>
      </c>
    </row>
    <row r="3294" spans="1:6">
      <c r="A3294">
        <v>30</v>
      </c>
      <c r="B3294" t="s">
        <v>628</v>
      </c>
      <c r="C3294" s="1">
        <v>1</v>
      </c>
      <c r="D3294" s="1">
        <v>18</v>
      </c>
      <c r="E3294" s="1">
        <v>80</v>
      </c>
      <c r="F3294" s="1">
        <v>18</v>
      </c>
    </row>
    <row r="3295" spans="1:6">
      <c r="A3295">
        <v>30</v>
      </c>
      <c r="B3295" t="s">
        <v>628</v>
      </c>
      <c r="C3295" s="1">
        <v>1</v>
      </c>
      <c r="D3295" s="1" t="s">
        <v>159</v>
      </c>
      <c r="E3295" s="1">
        <v>82</v>
      </c>
      <c r="F3295" s="1" t="s">
        <v>159</v>
      </c>
    </row>
    <row r="3296" spans="1:6">
      <c r="A3296">
        <v>30</v>
      </c>
      <c r="B3296" t="s">
        <v>628</v>
      </c>
      <c r="C3296" s="1">
        <v>1</v>
      </c>
      <c r="D3296" s="1">
        <v>19</v>
      </c>
      <c r="E3296" s="1">
        <v>90</v>
      </c>
      <c r="F3296" s="1">
        <v>19</v>
      </c>
    </row>
    <row r="3297" spans="1:6">
      <c r="A3297">
        <v>30</v>
      </c>
      <c r="B3297" t="s">
        <v>628</v>
      </c>
      <c r="C3297" s="1">
        <v>1</v>
      </c>
      <c r="D3297" s="1" t="s">
        <v>162</v>
      </c>
      <c r="E3297" s="1">
        <v>92</v>
      </c>
      <c r="F3297" s="1" t="s">
        <v>162</v>
      </c>
    </row>
    <row r="3298" spans="1:6">
      <c r="A3298">
        <v>30</v>
      </c>
      <c r="B3298" t="s">
        <v>628</v>
      </c>
      <c r="C3298" s="1">
        <v>2</v>
      </c>
      <c r="D3298" s="1" t="s">
        <v>165</v>
      </c>
      <c r="E3298" s="1">
        <v>2</v>
      </c>
      <c r="F3298" s="1" t="s">
        <v>165</v>
      </c>
    </row>
    <row r="3299" spans="1:6">
      <c r="A3299">
        <v>30</v>
      </c>
      <c r="B3299" t="s">
        <v>628</v>
      </c>
      <c r="C3299" s="1">
        <v>2</v>
      </c>
      <c r="D3299" s="1">
        <v>21</v>
      </c>
      <c r="E3299" s="1">
        <v>10</v>
      </c>
      <c r="F3299" s="1">
        <v>21</v>
      </c>
    </row>
    <row r="3300" spans="1:6">
      <c r="A3300">
        <v>30</v>
      </c>
      <c r="B3300" t="s">
        <v>628</v>
      </c>
      <c r="C3300" s="1">
        <v>2</v>
      </c>
      <c r="D3300" s="1" t="s">
        <v>168</v>
      </c>
      <c r="E3300" s="1">
        <v>12</v>
      </c>
      <c r="F3300" s="1" t="s">
        <v>168</v>
      </c>
    </row>
    <row r="3301" spans="1:6">
      <c r="A3301">
        <v>30</v>
      </c>
      <c r="B3301" t="s">
        <v>628</v>
      </c>
      <c r="C3301" s="1">
        <v>2</v>
      </c>
      <c r="D3301" s="1" t="s">
        <v>171</v>
      </c>
      <c r="E3301" s="1">
        <v>22</v>
      </c>
      <c r="F3301" s="1" t="s">
        <v>171</v>
      </c>
    </row>
    <row r="3302" spans="1:6">
      <c r="A3302">
        <v>30</v>
      </c>
      <c r="B3302" t="s">
        <v>628</v>
      </c>
      <c r="C3302" s="1">
        <v>2</v>
      </c>
      <c r="D3302" s="1">
        <v>20</v>
      </c>
      <c r="F3302" s="1">
        <v>20</v>
      </c>
    </row>
    <row r="3303" spans="1:6">
      <c r="A3303">
        <v>45</v>
      </c>
      <c r="B3303" t="s">
        <v>223</v>
      </c>
      <c r="C3303" s="1">
        <v>2</v>
      </c>
      <c r="D3303" s="1" t="s">
        <v>490</v>
      </c>
      <c r="E3303" s="1">
        <v>23</v>
      </c>
      <c r="F3303" s="1" t="s">
        <v>513</v>
      </c>
    </row>
    <row r="3304" spans="1:6">
      <c r="A3304">
        <v>57</v>
      </c>
      <c r="B3304" t="s">
        <v>183</v>
      </c>
      <c r="C3304" s="1">
        <v>3</v>
      </c>
      <c r="D3304" s="1" t="s">
        <v>338</v>
      </c>
      <c r="E3304" s="1">
        <v>60</v>
      </c>
      <c r="F3304" s="1" t="s">
        <v>338</v>
      </c>
    </row>
    <row r="3305" spans="1:6">
      <c r="A3305">
        <v>57</v>
      </c>
      <c r="B3305" t="s">
        <v>183</v>
      </c>
      <c r="E3305" s="1">
        <v>60</v>
      </c>
    </row>
    <row r="3306" spans="1:6">
      <c r="A3306">
        <v>59</v>
      </c>
      <c r="B3306" t="s">
        <v>227</v>
      </c>
      <c r="C3306" s="1">
        <v>3</v>
      </c>
      <c r="D3306" s="1" t="s">
        <v>295</v>
      </c>
      <c r="E3306" s="1">
        <v>23</v>
      </c>
      <c r="F3306" s="1" t="s">
        <v>295</v>
      </c>
    </row>
    <row r="3307" spans="1:6">
      <c r="A3307">
        <v>74</v>
      </c>
      <c r="B3307" t="s">
        <v>235</v>
      </c>
      <c r="C3307" s="1">
        <v>3</v>
      </c>
      <c r="D3307" s="1" t="s">
        <v>321</v>
      </c>
      <c r="E3307" s="1">
        <v>60</v>
      </c>
      <c r="F3307" s="1" t="s">
        <v>321</v>
      </c>
    </row>
    <row r="3308" spans="1:6">
      <c r="A3308">
        <v>1</v>
      </c>
      <c r="B3308" t="s">
        <v>137</v>
      </c>
      <c r="C3308" s="1">
        <v>2</v>
      </c>
      <c r="D3308" s="1">
        <v>19</v>
      </c>
      <c r="E3308" s="1">
        <v>10</v>
      </c>
      <c r="F3308" s="1">
        <v>19</v>
      </c>
    </row>
    <row r="3309" spans="1:6">
      <c r="A3309">
        <v>1</v>
      </c>
      <c r="B3309" t="s">
        <v>137</v>
      </c>
      <c r="C3309" s="1">
        <v>2</v>
      </c>
      <c r="D3309" s="1" t="s">
        <v>171</v>
      </c>
      <c r="E3309" s="1">
        <v>42</v>
      </c>
      <c r="F3309" s="1" t="s">
        <v>171</v>
      </c>
    </row>
    <row r="3310" spans="1:6">
      <c r="A3310">
        <v>1</v>
      </c>
      <c r="B3310" t="s">
        <v>137</v>
      </c>
      <c r="C3310" s="1">
        <v>2</v>
      </c>
      <c r="D3310" s="1">
        <v>23</v>
      </c>
      <c r="E3310" s="1">
        <v>50</v>
      </c>
      <c r="F3310" s="1">
        <v>23</v>
      </c>
    </row>
    <row r="3311" spans="1:6">
      <c r="A3311">
        <v>1</v>
      </c>
      <c r="B3311" t="s">
        <v>137</v>
      </c>
      <c r="C3311" s="1">
        <v>2</v>
      </c>
      <c r="D3311" s="1" t="s">
        <v>177</v>
      </c>
      <c r="E3311" s="1">
        <v>62</v>
      </c>
      <c r="F3311" s="1" t="s">
        <v>177</v>
      </c>
    </row>
    <row r="3312" spans="1:6">
      <c r="A3312">
        <v>18</v>
      </c>
      <c r="B3312" t="s">
        <v>204</v>
      </c>
      <c r="C3312" s="1">
        <v>1</v>
      </c>
      <c r="D3312" s="1" t="s">
        <v>195</v>
      </c>
      <c r="E3312" s="1">
        <v>32</v>
      </c>
      <c r="F3312" s="1" t="s">
        <v>195</v>
      </c>
    </row>
    <row r="3313" spans="1:6">
      <c r="A3313">
        <v>18</v>
      </c>
      <c r="B3313" t="s">
        <v>204</v>
      </c>
      <c r="C3313" s="1">
        <v>1</v>
      </c>
      <c r="D3313" s="1" t="s">
        <v>196</v>
      </c>
      <c r="E3313" s="1">
        <v>42</v>
      </c>
      <c r="F3313" s="1" t="s">
        <v>196</v>
      </c>
    </row>
    <row r="3314" spans="1:6">
      <c r="A3314">
        <v>18</v>
      </c>
      <c r="B3314" t="s">
        <v>204</v>
      </c>
      <c r="C3314" s="1">
        <v>1</v>
      </c>
      <c r="D3314" s="1">
        <v>44</v>
      </c>
      <c r="E3314" s="1">
        <v>50</v>
      </c>
      <c r="F3314" s="1">
        <v>44</v>
      </c>
    </row>
    <row r="3315" spans="1:6">
      <c r="A3315">
        <v>18</v>
      </c>
      <c r="B3315" t="s">
        <v>204</v>
      </c>
      <c r="C3315" s="1">
        <v>1</v>
      </c>
      <c r="D3315" s="1">
        <v>45</v>
      </c>
      <c r="E3315" s="1">
        <v>60</v>
      </c>
      <c r="F3315" s="1">
        <v>45</v>
      </c>
    </row>
    <row r="3316" spans="1:6">
      <c r="A3316">
        <v>22</v>
      </c>
      <c r="B3316" t="s">
        <v>206</v>
      </c>
      <c r="C3316" s="1">
        <v>1</v>
      </c>
      <c r="D3316" s="1" t="s">
        <v>287</v>
      </c>
      <c r="E3316" s="1">
        <v>52</v>
      </c>
      <c r="F3316" s="1" t="s">
        <v>287</v>
      </c>
    </row>
    <row r="3317" spans="1:6">
      <c r="A3317">
        <v>1</v>
      </c>
      <c r="B3317" t="s">
        <v>137</v>
      </c>
      <c r="C3317" s="1">
        <v>1</v>
      </c>
      <c r="D3317" s="1">
        <v>13</v>
      </c>
      <c r="E3317" s="1">
        <v>60</v>
      </c>
      <c r="F3317" s="1">
        <v>13</v>
      </c>
    </row>
    <row r="3318" spans="1:6">
      <c r="A3318">
        <v>1</v>
      </c>
      <c r="B3318" t="s">
        <v>137</v>
      </c>
      <c r="C3318" s="1">
        <v>1</v>
      </c>
      <c r="D3318" s="1" t="s">
        <v>144</v>
      </c>
      <c r="E3318" s="1">
        <v>62</v>
      </c>
      <c r="F3318" s="1" t="s">
        <v>144</v>
      </c>
    </row>
    <row r="3319" spans="1:6">
      <c r="A3319">
        <v>1</v>
      </c>
      <c r="B3319" t="s">
        <v>137</v>
      </c>
      <c r="C3319" s="1">
        <v>1</v>
      </c>
      <c r="D3319" s="1">
        <v>14</v>
      </c>
      <c r="E3319" s="1">
        <v>70</v>
      </c>
      <c r="F3319" s="1">
        <v>14</v>
      </c>
    </row>
    <row r="3320" spans="1:6">
      <c r="A3320">
        <v>1</v>
      </c>
      <c r="B3320" t="s">
        <v>137</v>
      </c>
      <c r="C3320" s="1">
        <v>1</v>
      </c>
      <c r="D3320" s="1" t="s">
        <v>147</v>
      </c>
      <c r="E3320" s="1">
        <v>72</v>
      </c>
      <c r="F3320" s="1" t="s">
        <v>147</v>
      </c>
    </row>
    <row r="3321" spans="1:6">
      <c r="A3321">
        <v>1</v>
      </c>
      <c r="B3321" t="s">
        <v>137</v>
      </c>
      <c r="C3321" s="1">
        <v>1</v>
      </c>
      <c r="D3321" s="1">
        <v>15</v>
      </c>
      <c r="E3321" s="1">
        <v>80</v>
      </c>
      <c r="F3321" s="1">
        <v>15</v>
      </c>
    </row>
    <row r="3322" spans="1:6">
      <c r="A3322">
        <v>1</v>
      </c>
      <c r="B3322" t="s">
        <v>137</v>
      </c>
      <c r="C3322" s="1">
        <v>1</v>
      </c>
      <c r="D3322" s="1" t="s">
        <v>150</v>
      </c>
      <c r="E3322" s="1">
        <v>82</v>
      </c>
      <c r="F3322" s="1" t="s">
        <v>150</v>
      </c>
    </row>
    <row r="3323" spans="1:6">
      <c r="A3323">
        <v>1</v>
      </c>
      <c r="B3323" t="s">
        <v>137</v>
      </c>
      <c r="C3323" s="1">
        <v>1</v>
      </c>
      <c r="D3323" s="1">
        <v>16</v>
      </c>
      <c r="E3323" s="1">
        <v>90</v>
      </c>
      <c r="F3323" s="1">
        <v>16</v>
      </c>
    </row>
    <row r="3324" spans="1:6">
      <c r="A3324">
        <v>1</v>
      </c>
      <c r="B3324" t="s">
        <v>137</v>
      </c>
      <c r="C3324" s="1">
        <v>1</v>
      </c>
      <c r="D3324" s="1" t="s">
        <v>153</v>
      </c>
      <c r="E3324" s="1">
        <v>92</v>
      </c>
      <c r="F3324" s="1" t="s">
        <v>153</v>
      </c>
    </row>
    <row r="3325" spans="1:6">
      <c r="A3325">
        <v>1</v>
      </c>
      <c r="B3325" t="s">
        <v>137</v>
      </c>
      <c r="C3325" s="1">
        <v>1</v>
      </c>
      <c r="D3325" s="1">
        <v>17</v>
      </c>
      <c r="E3325" s="1">
        <v>94</v>
      </c>
      <c r="F3325" s="1">
        <v>17</v>
      </c>
    </row>
    <row r="3326" spans="1:6">
      <c r="A3326">
        <v>1</v>
      </c>
      <c r="B3326" t="s">
        <v>137</v>
      </c>
      <c r="C3326" s="1">
        <v>1</v>
      </c>
      <c r="D3326" s="1" t="s">
        <v>156</v>
      </c>
      <c r="E3326" s="1">
        <v>96</v>
      </c>
      <c r="F3326" s="1" t="s">
        <v>156</v>
      </c>
    </row>
    <row r="3327" spans="1:6">
      <c r="A3327">
        <v>1</v>
      </c>
      <c r="B3327" t="s">
        <v>137</v>
      </c>
      <c r="C3327" s="1">
        <v>2</v>
      </c>
      <c r="D3327" s="1" t="s">
        <v>159</v>
      </c>
      <c r="E3327" s="1">
        <v>2</v>
      </c>
      <c r="F3327" s="1" t="s">
        <v>159</v>
      </c>
    </row>
    <row r="3328" spans="1:6">
      <c r="A3328">
        <v>1</v>
      </c>
      <c r="B3328" t="s">
        <v>137</v>
      </c>
      <c r="C3328" s="1">
        <v>2</v>
      </c>
      <c r="D3328" s="1">
        <v>19</v>
      </c>
      <c r="E3328" s="1">
        <v>10</v>
      </c>
      <c r="F3328" s="1">
        <v>19</v>
      </c>
    </row>
    <row r="3329" spans="1:6">
      <c r="A3329">
        <v>1</v>
      </c>
      <c r="B3329" t="s">
        <v>137</v>
      </c>
      <c r="C3329" s="1">
        <v>2</v>
      </c>
      <c r="D3329" s="1" t="s">
        <v>162</v>
      </c>
      <c r="E3329" s="1">
        <v>12</v>
      </c>
      <c r="F3329" s="1" t="s">
        <v>162</v>
      </c>
    </row>
    <row r="3330" spans="1:6">
      <c r="A3330">
        <v>1</v>
      </c>
      <c r="B3330" t="s">
        <v>137</v>
      </c>
      <c r="C3330" s="1">
        <v>2</v>
      </c>
      <c r="D3330" s="1">
        <v>20</v>
      </c>
      <c r="E3330" s="1">
        <v>20</v>
      </c>
      <c r="F3330" s="1">
        <v>20</v>
      </c>
    </row>
    <row r="3331" spans="1:6">
      <c r="A3331">
        <v>1</v>
      </c>
      <c r="B3331" t="s">
        <v>137</v>
      </c>
      <c r="C3331" s="1">
        <v>2</v>
      </c>
      <c r="D3331" s="1" t="s">
        <v>165</v>
      </c>
      <c r="E3331" s="1">
        <v>22</v>
      </c>
      <c r="F3331" s="1" t="s">
        <v>165</v>
      </c>
    </row>
    <row r="3332" spans="1:6">
      <c r="A3332">
        <v>1</v>
      </c>
      <c r="B3332" t="s">
        <v>137</v>
      </c>
      <c r="C3332" s="1">
        <v>2</v>
      </c>
      <c r="D3332" s="1">
        <v>21</v>
      </c>
      <c r="E3332" s="1">
        <v>30</v>
      </c>
      <c r="F3332" s="1">
        <v>21</v>
      </c>
    </row>
    <row r="3333" spans="1:6">
      <c r="A3333">
        <v>1</v>
      </c>
      <c r="B3333" t="s">
        <v>137</v>
      </c>
      <c r="C3333" s="1">
        <v>2</v>
      </c>
      <c r="D3333" s="1" t="s">
        <v>168</v>
      </c>
      <c r="E3333" s="1">
        <v>32</v>
      </c>
      <c r="F3333" s="1" t="s">
        <v>168</v>
      </c>
    </row>
    <row r="3334" spans="1:6">
      <c r="A3334">
        <v>1</v>
      </c>
      <c r="B3334" t="s">
        <v>137</v>
      </c>
      <c r="C3334" s="1">
        <v>2</v>
      </c>
      <c r="D3334" s="1">
        <v>22</v>
      </c>
      <c r="E3334" s="1">
        <v>40</v>
      </c>
      <c r="F3334" s="1">
        <v>22</v>
      </c>
    </row>
    <row r="3335" spans="1:6">
      <c r="A3335">
        <v>1</v>
      </c>
      <c r="B3335" t="s">
        <v>137</v>
      </c>
      <c r="C3335" s="1">
        <v>2</v>
      </c>
      <c r="D3335" s="1" t="s">
        <v>171</v>
      </c>
      <c r="E3335" s="1">
        <v>42</v>
      </c>
      <c r="F3335" s="1" t="s">
        <v>171</v>
      </c>
    </row>
    <row r="3336" spans="1:6">
      <c r="A3336">
        <v>1</v>
      </c>
      <c r="B3336" t="s">
        <v>137</v>
      </c>
      <c r="C3336" s="1">
        <v>2</v>
      </c>
      <c r="D3336" s="1">
        <v>23</v>
      </c>
      <c r="E3336" s="1">
        <v>50</v>
      </c>
      <c r="F3336" s="1">
        <v>23</v>
      </c>
    </row>
    <row r="3337" spans="1:6">
      <c r="A3337">
        <v>1</v>
      </c>
      <c r="B3337" t="s">
        <v>137</v>
      </c>
      <c r="C3337" s="1">
        <v>2</v>
      </c>
      <c r="D3337" s="1" t="s">
        <v>174</v>
      </c>
      <c r="E3337" s="1">
        <v>52</v>
      </c>
      <c r="F3337" s="1" t="s">
        <v>174</v>
      </c>
    </row>
    <row r="3338" spans="1:6">
      <c r="A3338">
        <v>1</v>
      </c>
      <c r="B3338" t="s">
        <v>137</v>
      </c>
      <c r="C3338" s="1">
        <v>2</v>
      </c>
      <c r="D3338" s="1">
        <v>24</v>
      </c>
      <c r="E3338" s="1">
        <v>60</v>
      </c>
      <c r="F3338" s="1">
        <v>24</v>
      </c>
    </row>
    <row r="3339" spans="1:6">
      <c r="A3339">
        <v>1</v>
      </c>
      <c r="B3339" t="s">
        <v>137</v>
      </c>
      <c r="C3339" s="1">
        <v>2</v>
      </c>
      <c r="D3339" s="1" t="s">
        <v>177</v>
      </c>
      <c r="E3339" s="1">
        <v>62</v>
      </c>
      <c r="F3339" s="1" t="s">
        <v>177</v>
      </c>
    </row>
    <row r="3340" spans="1:6">
      <c r="A3340">
        <v>1</v>
      </c>
      <c r="B3340" t="s">
        <v>137</v>
      </c>
      <c r="C3340" s="1">
        <v>2</v>
      </c>
      <c r="D3340" s="1" t="s">
        <v>180</v>
      </c>
      <c r="E3340" s="1">
        <v>72</v>
      </c>
      <c r="F3340" s="1" t="s">
        <v>180</v>
      </c>
    </row>
    <row r="3341" spans="1:6">
      <c r="A3341">
        <v>1</v>
      </c>
      <c r="B3341" t="s">
        <v>137</v>
      </c>
      <c r="C3341" s="1">
        <v>2</v>
      </c>
      <c r="D3341" s="1">
        <v>18</v>
      </c>
      <c r="F3341" s="1">
        <v>18</v>
      </c>
    </row>
    <row r="3342" spans="1:6">
      <c r="A3342">
        <v>2</v>
      </c>
      <c r="B3342" t="s">
        <v>181</v>
      </c>
      <c r="C3342" s="1">
        <v>2</v>
      </c>
      <c r="D3342" s="1">
        <v>9</v>
      </c>
      <c r="F3342" s="1">
        <v>9</v>
      </c>
    </row>
    <row r="3343" spans="1:6">
      <c r="A3343">
        <v>5</v>
      </c>
      <c r="B3343" t="s">
        <v>183</v>
      </c>
      <c r="E3343" s="1">
        <v>50</v>
      </c>
    </row>
    <row r="3344" spans="1:6">
      <c r="A3344">
        <v>5</v>
      </c>
      <c r="B3344" t="s">
        <v>183</v>
      </c>
      <c r="E3344" s="1">
        <v>60</v>
      </c>
    </row>
    <row r="3345" spans="1:6">
      <c r="A3345">
        <v>5</v>
      </c>
      <c r="B3345" t="s">
        <v>183</v>
      </c>
      <c r="E3345" s="1">
        <v>80</v>
      </c>
    </row>
    <row r="3346" spans="1:6">
      <c r="A3346">
        <v>6</v>
      </c>
      <c r="B3346" t="s">
        <v>184</v>
      </c>
      <c r="E3346" s="1">
        <v>63</v>
      </c>
    </row>
    <row r="3347" spans="1:6">
      <c r="A3347">
        <v>11</v>
      </c>
      <c r="B3347" t="s">
        <v>186</v>
      </c>
      <c r="C3347" s="1">
        <v>1</v>
      </c>
      <c r="D3347" s="1" t="s">
        <v>192</v>
      </c>
      <c r="E3347" s="1">
        <v>2</v>
      </c>
      <c r="F3347" s="1" t="s">
        <v>192</v>
      </c>
    </row>
    <row r="3348" spans="1:6">
      <c r="A3348">
        <v>11</v>
      </c>
      <c r="B3348" t="s">
        <v>186</v>
      </c>
      <c r="C3348" s="1">
        <v>1</v>
      </c>
      <c r="D3348" s="1">
        <v>40</v>
      </c>
      <c r="E3348" s="1">
        <v>10</v>
      </c>
      <c r="F3348" s="1">
        <v>40</v>
      </c>
    </row>
    <row r="3349" spans="1:6">
      <c r="A3349">
        <v>11</v>
      </c>
      <c r="B3349" t="s">
        <v>186</v>
      </c>
      <c r="C3349" s="1">
        <v>1</v>
      </c>
      <c r="D3349" s="1" t="s">
        <v>193</v>
      </c>
      <c r="E3349" s="1">
        <v>12</v>
      </c>
      <c r="F3349" s="1" t="s">
        <v>193</v>
      </c>
    </row>
    <row r="3350" spans="1:6">
      <c r="A3350">
        <v>11</v>
      </c>
      <c r="B3350" t="s">
        <v>186</v>
      </c>
      <c r="C3350" s="1">
        <v>1</v>
      </c>
      <c r="D3350" s="1">
        <v>41</v>
      </c>
      <c r="E3350" s="1">
        <v>20</v>
      </c>
      <c r="F3350" s="1">
        <v>41</v>
      </c>
    </row>
    <row r="3351" spans="1:6">
      <c r="A3351">
        <v>11</v>
      </c>
      <c r="B3351" t="s">
        <v>186</v>
      </c>
      <c r="C3351" s="1">
        <v>1</v>
      </c>
      <c r="D3351" s="1" t="s">
        <v>194</v>
      </c>
      <c r="E3351" s="1">
        <v>22</v>
      </c>
      <c r="F3351" s="1" t="s">
        <v>194</v>
      </c>
    </row>
    <row r="3352" spans="1:6">
      <c r="A3352">
        <v>11</v>
      </c>
      <c r="B3352" t="s">
        <v>186</v>
      </c>
      <c r="C3352" s="1">
        <v>1</v>
      </c>
      <c r="D3352" s="1">
        <v>42</v>
      </c>
      <c r="E3352" s="1">
        <v>30</v>
      </c>
      <c r="F3352" s="1">
        <v>42</v>
      </c>
    </row>
    <row r="3353" spans="1:6">
      <c r="A3353">
        <v>11</v>
      </c>
      <c r="B3353" t="s">
        <v>186</v>
      </c>
      <c r="C3353" s="1">
        <v>1</v>
      </c>
      <c r="D3353" s="1" t="s">
        <v>195</v>
      </c>
      <c r="E3353" s="1">
        <v>32</v>
      </c>
      <c r="F3353" s="1" t="s">
        <v>195</v>
      </c>
    </row>
    <row r="3354" spans="1:6">
      <c r="A3354">
        <v>11</v>
      </c>
      <c r="B3354" t="s">
        <v>186</v>
      </c>
      <c r="C3354" s="1">
        <v>1</v>
      </c>
      <c r="D3354" s="1">
        <v>43</v>
      </c>
      <c r="E3354" s="1">
        <v>40</v>
      </c>
      <c r="F3354" s="1">
        <v>43</v>
      </c>
    </row>
    <row r="3355" spans="1:6">
      <c r="A3355">
        <v>11</v>
      </c>
      <c r="B3355" t="s">
        <v>186</v>
      </c>
      <c r="C3355" s="1">
        <v>1</v>
      </c>
      <c r="D3355" s="1" t="s">
        <v>196</v>
      </c>
      <c r="E3355" s="1">
        <v>42</v>
      </c>
      <c r="F3355" s="1" t="s">
        <v>196</v>
      </c>
    </row>
    <row r="3356" spans="1:6">
      <c r="A3356">
        <v>11</v>
      </c>
      <c r="B3356" t="s">
        <v>186</v>
      </c>
      <c r="C3356" s="1">
        <v>1</v>
      </c>
      <c r="D3356" s="1">
        <v>44</v>
      </c>
      <c r="E3356" s="1">
        <v>50</v>
      </c>
      <c r="F3356" s="1">
        <v>44</v>
      </c>
    </row>
    <row r="3357" spans="1:6">
      <c r="A3357">
        <v>11</v>
      </c>
      <c r="B3357" t="s">
        <v>186</v>
      </c>
      <c r="C3357" s="1">
        <v>1</v>
      </c>
      <c r="D3357" s="1" t="s">
        <v>197</v>
      </c>
      <c r="E3357" s="1">
        <v>52</v>
      </c>
      <c r="F3357" s="1" t="s">
        <v>197</v>
      </c>
    </row>
    <row r="3358" spans="1:6">
      <c r="A3358">
        <v>11</v>
      </c>
      <c r="B3358" t="s">
        <v>186</v>
      </c>
      <c r="C3358" s="1">
        <v>1</v>
      </c>
      <c r="D3358" s="1">
        <v>45</v>
      </c>
      <c r="E3358" s="1">
        <v>60</v>
      </c>
      <c r="F3358" s="1">
        <v>45</v>
      </c>
    </row>
    <row r="3359" spans="1:6">
      <c r="A3359">
        <v>11</v>
      </c>
      <c r="B3359" t="s">
        <v>186</v>
      </c>
      <c r="C3359" s="1">
        <v>1</v>
      </c>
      <c r="D3359" s="1" t="s">
        <v>198</v>
      </c>
      <c r="E3359" s="1">
        <v>62</v>
      </c>
      <c r="F3359" s="1" t="s">
        <v>198</v>
      </c>
    </row>
    <row r="3360" spans="1:6">
      <c r="A3360">
        <v>11</v>
      </c>
      <c r="B3360" t="s">
        <v>186</v>
      </c>
      <c r="C3360" s="1">
        <v>1</v>
      </c>
      <c r="D3360" s="1" t="s">
        <v>199</v>
      </c>
      <c r="E3360" s="1">
        <v>72</v>
      </c>
      <c r="F3360" s="1" t="s">
        <v>199</v>
      </c>
    </row>
    <row r="3361" spans="1:6">
      <c r="A3361">
        <v>11</v>
      </c>
      <c r="B3361" t="s">
        <v>186</v>
      </c>
      <c r="C3361" s="1">
        <v>1</v>
      </c>
      <c r="D3361" s="1">
        <v>39</v>
      </c>
      <c r="F3361" s="1">
        <v>39</v>
      </c>
    </row>
    <row r="3362" spans="1:6">
      <c r="A3362">
        <v>11</v>
      </c>
      <c r="B3362" t="s">
        <v>186</v>
      </c>
      <c r="E3362" s="1">
        <v>96</v>
      </c>
    </row>
    <row r="3363" spans="1:6">
      <c r="A3363">
        <v>12</v>
      </c>
      <c r="B3363" t="s">
        <v>107</v>
      </c>
      <c r="C3363" s="1">
        <v>1</v>
      </c>
      <c r="D3363" s="1" t="s">
        <v>195</v>
      </c>
      <c r="E3363" s="1">
        <v>32</v>
      </c>
      <c r="F3363" s="1" t="s">
        <v>195</v>
      </c>
    </row>
    <row r="3364" spans="1:6">
      <c r="A3364">
        <v>12</v>
      </c>
      <c r="B3364" t="s">
        <v>107</v>
      </c>
      <c r="C3364" s="1">
        <v>1</v>
      </c>
      <c r="D3364" s="1">
        <v>44</v>
      </c>
      <c r="E3364" s="1">
        <v>50</v>
      </c>
      <c r="F3364" s="1">
        <v>44</v>
      </c>
    </row>
    <row r="3365" spans="1:6">
      <c r="A3365">
        <v>13</v>
      </c>
      <c r="B3365" t="s">
        <v>200</v>
      </c>
      <c r="C3365" s="1">
        <v>1</v>
      </c>
      <c r="D3365" s="1" t="s">
        <v>193</v>
      </c>
      <c r="E3365" s="1">
        <v>12</v>
      </c>
      <c r="F3365" s="1" t="s">
        <v>193</v>
      </c>
    </row>
    <row r="3366" spans="1:6">
      <c r="A3366">
        <v>13</v>
      </c>
      <c r="B3366" t="s">
        <v>200</v>
      </c>
      <c r="C3366" s="1">
        <v>1</v>
      </c>
      <c r="D3366" s="1">
        <v>42</v>
      </c>
      <c r="E3366" s="1">
        <v>30</v>
      </c>
      <c r="F3366" s="1">
        <v>42</v>
      </c>
    </row>
    <row r="3367" spans="1:6">
      <c r="A3367">
        <v>13</v>
      </c>
      <c r="B3367" t="s">
        <v>200</v>
      </c>
      <c r="C3367" s="1">
        <v>1</v>
      </c>
      <c r="D3367" s="1" t="s">
        <v>195</v>
      </c>
      <c r="E3367" s="1">
        <v>32</v>
      </c>
      <c r="F3367" s="1" t="s">
        <v>195</v>
      </c>
    </row>
    <row r="3368" spans="1:6">
      <c r="A3368">
        <v>13</v>
      </c>
      <c r="B3368" t="s">
        <v>200</v>
      </c>
      <c r="C3368" s="1">
        <v>1</v>
      </c>
      <c r="D3368" s="1">
        <v>43</v>
      </c>
      <c r="E3368" s="1">
        <v>40</v>
      </c>
      <c r="F3368" s="1">
        <v>43</v>
      </c>
    </row>
    <row r="3369" spans="1:6">
      <c r="A3369">
        <v>13</v>
      </c>
      <c r="B3369" t="s">
        <v>200</v>
      </c>
      <c r="C3369" s="1">
        <v>1</v>
      </c>
      <c r="D3369" s="1" t="s">
        <v>196</v>
      </c>
      <c r="E3369" s="1">
        <v>42</v>
      </c>
      <c r="F3369" s="1" t="s">
        <v>196</v>
      </c>
    </row>
    <row r="3370" spans="1:6">
      <c r="A3370">
        <v>13</v>
      </c>
      <c r="B3370" t="s">
        <v>200</v>
      </c>
      <c r="C3370" s="1">
        <v>1</v>
      </c>
      <c r="D3370" s="1">
        <v>44</v>
      </c>
      <c r="E3370" s="1">
        <v>50</v>
      </c>
      <c r="F3370" s="1">
        <v>44</v>
      </c>
    </row>
    <row r="3371" spans="1:6">
      <c r="A3371">
        <v>13</v>
      </c>
      <c r="B3371" t="s">
        <v>200</v>
      </c>
      <c r="C3371" s="1">
        <v>1</v>
      </c>
      <c r="D3371" s="1" t="s">
        <v>197</v>
      </c>
      <c r="E3371" s="1">
        <v>52</v>
      </c>
      <c r="F3371" s="1" t="s">
        <v>197</v>
      </c>
    </row>
    <row r="3372" spans="1:6">
      <c r="A3372">
        <v>13</v>
      </c>
      <c r="B3372" t="s">
        <v>200</v>
      </c>
      <c r="C3372" s="1">
        <v>1</v>
      </c>
      <c r="D3372" s="1">
        <v>45</v>
      </c>
      <c r="E3372" s="1">
        <v>60</v>
      </c>
      <c r="F3372" s="1">
        <v>45</v>
      </c>
    </row>
    <row r="3373" spans="1:6">
      <c r="A3373">
        <v>13</v>
      </c>
      <c r="B3373" t="s">
        <v>200</v>
      </c>
      <c r="C3373" s="1">
        <v>1</v>
      </c>
      <c r="D3373" s="1" t="s">
        <v>198</v>
      </c>
      <c r="E3373" s="1">
        <v>62</v>
      </c>
      <c r="F3373" s="1" t="s">
        <v>198</v>
      </c>
    </row>
    <row r="3374" spans="1:6">
      <c r="A3374">
        <v>13</v>
      </c>
      <c r="B3374" t="s">
        <v>200</v>
      </c>
      <c r="E3374" s="1">
        <v>90</v>
      </c>
    </row>
    <row r="3375" spans="1:6">
      <c r="A3375">
        <v>21</v>
      </c>
      <c r="B3375" t="s">
        <v>205</v>
      </c>
      <c r="C3375" s="1">
        <v>1</v>
      </c>
      <c r="D3375" s="1" t="s">
        <v>329</v>
      </c>
      <c r="E3375" s="1">
        <v>30</v>
      </c>
      <c r="F3375" s="1" t="s">
        <v>329</v>
      </c>
    </row>
    <row r="3376" spans="1:6">
      <c r="A3376">
        <v>21</v>
      </c>
      <c r="B3376" t="s">
        <v>205</v>
      </c>
      <c r="C3376" s="1">
        <v>1</v>
      </c>
      <c r="D3376" s="1" t="s">
        <v>323</v>
      </c>
      <c r="E3376" s="1">
        <v>32</v>
      </c>
      <c r="F3376" s="1" t="s">
        <v>323</v>
      </c>
    </row>
    <row r="3377" spans="1:6">
      <c r="A3377">
        <v>21</v>
      </c>
      <c r="B3377" t="s">
        <v>205</v>
      </c>
      <c r="C3377" s="1">
        <v>1</v>
      </c>
      <c r="D3377" s="1" t="s">
        <v>332</v>
      </c>
      <c r="E3377" s="1">
        <v>40</v>
      </c>
      <c r="F3377" s="1" t="s">
        <v>332</v>
      </c>
    </row>
    <row r="3378" spans="1:6">
      <c r="A3378">
        <v>21</v>
      </c>
      <c r="B3378" t="s">
        <v>205</v>
      </c>
      <c r="C3378" s="1">
        <v>1</v>
      </c>
      <c r="D3378" s="1" t="s">
        <v>330</v>
      </c>
      <c r="E3378" s="1">
        <v>42</v>
      </c>
      <c r="F3378" s="1" t="s">
        <v>330</v>
      </c>
    </row>
    <row r="3379" spans="1:6">
      <c r="A3379">
        <v>21</v>
      </c>
      <c r="B3379" t="s">
        <v>205</v>
      </c>
      <c r="C3379" s="1">
        <v>1</v>
      </c>
      <c r="D3379" s="1" t="s">
        <v>287</v>
      </c>
      <c r="E3379" s="1">
        <v>52</v>
      </c>
      <c r="F3379" s="1" t="s">
        <v>287</v>
      </c>
    </row>
    <row r="3380" spans="1:6">
      <c r="A3380">
        <v>21</v>
      </c>
      <c r="B3380" t="s">
        <v>205</v>
      </c>
      <c r="C3380" s="1">
        <v>1</v>
      </c>
      <c r="D3380" s="1" t="s">
        <v>288</v>
      </c>
      <c r="E3380" s="1">
        <v>62</v>
      </c>
      <c r="F3380" s="1" t="s">
        <v>288</v>
      </c>
    </row>
    <row r="3381" spans="1:6">
      <c r="A3381">
        <v>24</v>
      </c>
      <c r="B3381" t="s">
        <v>208</v>
      </c>
      <c r="C3381" s="1">
        <v>1</v>
      </c>
      <c r="D3381" s="1" t="s">
        <v>373</v>
      </c>
      <c r="E3381" s="1">
        <v>10</v>
      </c>
      <c r="F3381" s="1" t="s">
        <v>373</v>
      </c>
    </row>
    <row r="3382" spans="1:6">
      <c r="A3382">
        <v>24</v>
      </c>
      <c r="B3382" t="s">
        <v>208</v>
      </c>
      <c r="C3382" s="1">
        <v>1</v>
      </c>
      <c r="D3382" s="1" t="s">
        <v>284</v>
      </c>
      <c r="E3382" s="1">
        <v>20</v>
      </c>
      <c r="F3382" s="1" t="s">
        <v>284</v>
      </c>
    </row>
    <row r="3383" spans="1:6">
      <c r="A3383">
        <v>24</v>
      </c>
      <c r="B3383" t="s">
        <v>208</v>
      </c>
      <c r="C3383" s="1">
        <v>1</v>
      </c>
      <c r="D3383" s="1" t="s">
        <v>347</v>
      </c>
      <c r="E3383" s="1">
        <v>30</v>
      </c>
      <c r="F3383" s="1" t="s">
        <v>347</v>
      </c>
    </row>
    <row r="3384" spans="1:6">
      <c r="A3384">
        <v>24</v>
      </c>
      <c r="B3384" t="s">
        <v>208</v>
      </c>
      <c r="C3384" s="1">
        <v>1</v>
      </c>
      <c r="D3384" s="1" t="s">
        <v>374</v>
      </c>
      <c r="F3384" s="1" t="s">
        <v>374</v>
      </c>
    </row>
    <row r="3385" spans="1:6">
      <c r="A3385">
        <v>24</v>
      </c>
      <c r="B3385" t="s">
        <v>208</v>
      </c>
      <c r="C3385" s="1">
        <v>44</v>
      </c>
      <c r="D3385" s="1" t="s">
        <v>383</v>
      </c>
      <c r="E3385" s="1">
        <v>30</v>
      </c>
      <c r="F3385" s="1" t="s">
        <v>383</v>
      </c>
    </row>
    <row r="3386" spans="1:6">
      <c r="A3386">
        <v>24</v>
      </c>
      <c r="B3386" t="s">
        <v>208</v>
      </c>
      <c r="C3386" s="1">
        <v>44</v>
      </c>
      <c r="D3386" s="1" t="s">
        <v>384</v>
      </c>
      <c r="E3386" s="1">
        <v>40</v>
      </c>
      <c r="F3386" s="1" t="s">
        <v>384</v>
      </c>
    </row>
    <row r="3387" spans="1:6">
      <c r="A3387">
        <v>24</v>
      </c>
      <c r="B3387" t="s">
        <v>208</v>
      </c>
      <c r="C3387" s="1">
        <v>45</v>
      </c>
      <c r="D3387" s="1" t="s">
        <v>386</v>
      </c>
      <c r="E3387" s="1">
        <v>40</v>
      </c>
      <c r="F3387" s="1" t="s">
        <v>386</v>
      </c>
    </row>
    <row r="3388" spans="1:6">
      <c r="A3388">
        <v>24</v>
      </c>
      <c r="B3388" t="s">
        <v>208</v>
      </c>
      <c r="C3388" s="1">
        <v>45</v>
      </c>
      <c r="D3388" s="1" t="s">
        <v>531</v>
      </c>
      <c r="E3388" s="1">
        <v>50</v>
      </c>
      <c r="F3388" s="1" t="s">
        <v>531</v>
      </c>
    </row>
    <row r="3389" spans="1:6">
      <c r="A3389">
        <v>24</v>
      </c>
      <c r="B3389" t="s">
        <v>208</v>
      </c>
      <c r="C3389" s="1">
        <v>46</v>
      </c>
      <c r="D3389" s="1" t="s">
        <v>630</v>
      </c>
      <c r="E3389" s="1">
        <v>20</v>
      </c>
      <c r="F3389" s="1" t="s">
        <v>630</v>
      </c>
    </row>
    <row r="3390" spans="1:6">
      <c r="A3390">
        <v>24</v>
      </c>
      <c r="B3390" t="s">
        <v>208</v>
      </c>
      <c r="C3390" s="1">
        <v>46</v>
      </c>
      <c r="D3390" s="1" t="s">
        <v>532</v>
      </c>
      <c r="E3390" s="1">
        <v>30</v>
      </c>
      <c r="F3390" s="1" t="s">
        <v>532</v>
      </c>
    </row>
    <row r="3391" spans="1:6">
      <c r="A3391">
        <v>24</v>
      </c>
      <c r="B3391" t="s">
        <v>208</v>
      </c>
      <c r="C3391" s="1">
        <v>46</v>
      </c>
      <c r="D3391" s="1" t="s">
        <v>533</v>
      </c>
      <c r="E3391" s="1">
        <v>40</v>
      </c>
      <c r="F3391" s="1" t="s">
        <v>533</v>
      </c>
    </row>
    <row r="3392" spans="1:6">
      <c r="A3392">
        <v>24</v>
      </c>
      <c r="B3392" t="s">
        <v>208</v>
      </c>
      <c r="C3392" s="1">
        <v>47</v>
      </c>
      <c r="D3392" s="1" t="s">
        <v>631</v>
      </c>
      <c r="E3392" s="1">
        <v>20</v>
      </c>
      <c r="F3392" s="1" t="s">
        <v>631</v>
      </c>
    </row>
    <row r="3393" spans="1:6">
      <c r="A3393">
        <v>24</v>
      </c>
      <c r="B3393" t="s">
        <v>208</v>
      </c>
      <c r="C3393" s="1">
        <v>47</v>
      </c>
      <c r="D3393" s="1" t="s">
        <v>632</v>
      </c>
      <c r="E3393" s="1">
        <v>40</v>
      </c>
      <c r="F3393" s="1" t="s">
        <v>632</v>
      </c>
    </row>
    <row r="3394" spans="1:6">
      <c r="A3394">
        <v>24</v>
      </c>
      <c r="B3394" t="s">
        <v>208</v>
      </c>
      <c r="C3394" s="1">
        <v>48</v>
      </c>
      <c r="D3394" s="1" t="s">
        <v>633</v>
      </c>
      <c r="E3394" s="1">
        <v>40</v>
      </c>
      <c r="F3394" s="1" t="s">
        <v>633</v>
      </c>
    </row>
    <row r="3395" spans="1:6">
      <c r="A3395">
        <v>24</v>
      </c>
      <c r="B3395" t="s">
        <v>208</v>
      </c>
      <c r="E3395" s="1">
        <v>30</v>
      </c>
    </row>
    <row r="3396" spans="1:6">
      <c r="A3396">
        <v>24</v>
      </c>
      <c r="B3396" t="s">
        <v>208</v>
      </c>
      <c r="E3396" s="1">
        <v>40</v>
      </c>
    </row>
    <row r="3397" spans="1:6">
      <c r="A3397">
        <v>24</v>
      </c>
      <c r="B3397" t="s">
        <v>208</v>
      </c>
      <c r="E3397" s="1">
        <v>60</v>
      </c>
    </row>
    <row r="3398" spans="1:6">
      <c r="A3398">
        <v>24</v>
      </c>
      <c r="B3398" t="s">
        <v>208</v>
      </c>
      <c r="E3398" s="1">
        <v>70</v>
      </c>
    </row>
    <row r="3399" spans="1:6">
      <c r="A3399">
        <v>24</v>
      </c>
      <c r="B3399" t="s">
        <v>208</v>
      </c>
      <c r="E3399" s="1">
        <v>80</v>
      </c>
    </row>
    <row r="3400" spans="1:6">
      <c r="A3400">
        <v>24</v>
      </c>
      <c r="B3400" t="s">
        <v>208</v>
      </c>
      <c r="E3400" s="1">
        <v>90</v>
      </c>
    </row>
    <row r="3401" spans="1:6">
      <c r="A3401">
        <v>27</v>
      </c>
      <c r="B3401" t="s">
        <v>210</v>
      </c>
      <c r="C3401" s="1">
        <v>1</v>
      </c>
      <c r="D3401" s="1" t="s">
        <v>197</v>
      </c>
      <c r="E3401" s="1">
        <v>52</v>
      </c>
      <c r="F3401" s="1" t="s">
        <v>197</v>
      </c>
    </row>
    <row r="3402" spans="1:6">
      <c r="A3402">
        <v>31</v>
      </c>
      <c r="B3402" t="s">
        <v>110</v>
      </c>
      <c r="C3402" s="1">
        <v>1</v>
      </c>
      <c r="D3402" s="1" t="s">
        <v>333</v>
      </c>
      <c r="E3402" s="1">
        <v>2</v>
      </c>
      <c r="F3402" s="1" t="s">
        <v>333</v>
      </c>
    </row>
    <row r="3403" spans="1:6">
      <c r="A3403">
        <v>31</v>
      </c>
      <c r="B3403" t="s">
        <v>110</v>
      </c>
      <c r="C3403" s="1">
        <v>1</v>
      </c>
      <c r="D3403" s="1">
        <v>9</v>
      </c>
      <c r="E3403" s="1">
        <v>10</v>
      </c>
      <c r="F3403" s="1">
        <v>9</v>
      </c>
    </row>
    <row r="3404" spans="1:6">
      <c r="A3404">
        <v>31</v>
      </c>
      <c r="B3404" t="s">
        <v>110</v>
      </c>
      <c r="C3404" s="1">
        <v>1</v>
      </c>
      <c r="D3404" s="1" t="s">
        <v>334</v>
      </c>
      <c r="E3404" s="1">
        <v>12</v>
      </c>
      <c r="F3404" s="1" t="s">
        <v>334</v>
      </c>
    </row>
    <row r="3405" spans="1:6">
      <c r="A3405">
        <v>31</v>
      </c>
      <c r="B3405" t="s">
        <v>110</v>
      </c>
      <c r="C3405" s="1">
        <v>1</v>
      </c>
      <c r="D3405" s="1">
        <v>10</v>
      </c>
      <c r="E3405" s="1">
        <v>20</v>
      </c>
      <c r="F3405" s="1">
        <v>10</v>
      </c>
    </row>
    <row r="3406" spans="1:6">
      <c r="A3406">
        <v>31</v>
      </c>
      <c r="B3406" t="s">
        <v>110</v>
      </c>
      <c r="C3406" s="1">
        <v>1</v>
      </c>
      <c r="D3406" s="1" t="s">
        <v>335</v>
      </c>
      <c r="E3406" s="1">
        <v>22</v>
      </c>
      <c r="F3406" s="1" t="s">
        <v>335</v>
      </c>
    </row>
    <row r="3407" spans="1:6">
      <c r="A3407">
        <v>31</v>
      </c>
      <c r="B3407" t="s">
        <v>110</v>
      </c>
      <c r="C3407" s="1">
        <v>1</v>
      </c>
      <c r="D3407" s="1" t="s">
        <v>389</v>
      </c>
      <c r="E3407" s="1">
        <v>32</v>
      </c>
      <c r="F3407" s="1" t="s">
        <v>389</v>
      </c>
    </row>
    <row r="3408" spans="1:6">
      <c r="A3408">
        <v>31</v>
      </c>
      <c r="B3408" t="s">
        <v>110</v>
      </c>
      <c r="C3408" s="1">
        <v>1</v>
      </c>
      <c r="D3408" s="1">
        <v>8</v>
      </c>
      <c r="F3408" s="1">
        <v>8</v>
      </c>
    </row>
    <row r="3409" spans="1:6">
      <c r="A3409">
        <v>31</v>
      </c>
      <c r="B3409" t="s">
        <v>110</v>
      </c>
      <c r="E3409" s="1">
        <v>96</v>
      </c>
    </row>
    <row r="3410" spans="1:6">
      <c r="A3410">
        <v>38</v>
      </c>
      <c r="B3410" t="s">
        <v>217</v>
      </c>
      <c r="C3410" s="1">
        <v>2</v>
      </c>
      <c r="D3410" s="1" t="s">
        <v>408</v>
      </c>
      <c r="E3410" s="1">
        <v>90</v>
      </c>
      <c r="F3410" s="1" t="s">
        <v>408</v>
      </c>
    </row>
    <row r="3411" spans="1:6">
      <c r="A3411">
        <v>42</v>
      </c>
      <c r="B3411" t="s">
        <v>220</v>
      </c>
      <c r="C3411" s="1">
        <v>1</v>
      </c>
      <c r="D3411" s="1" t="s">
        <v>634</v>
      </c>
      <c r="E3411" s="1">
        <v>50</v>
      </c>
      <c r="F3411" s="1" t="s">
        <v>634</v>
      </c>
    </row>
    <row r="3412" spans="1:6">
      <c r="A3412">
        <v>42</v>
      </c>
      <c r="B3412" t="s">
        <v>220</v>
      </c>
      <c r="C3412" s="1">
        <v>1</v>
      </c>
      <c r="D3412" s="1" t="s">
        <v>526</v>
      </c>
      <c r="E3412" s="1">
        <v>60</v>
      </c>
      <c r="F3412" s="1" t="s">
        <v>526</v>
      </c>
    </row>
    <row r="3413" spans="1:6">
      <c r="A3413">
        <v>42</v>
      </c>
      <c r="B3413" t="s">
        <v>220</v>
      </c>
      <c r="C3413" s="1">
        <v>2</v>
      </c>
      <c r="D3413" s="1" t="s">
        <v>512</v>
      </c>
      <c r="E3413" s="1">
        <v>80</v>
      </c>
      <c r="F3413" s="1" t="s">
        <v>512</v>
      </c>
    </row>
    <row r="3414" spans="1:6">
      <c r="A3414">
        <v>57</v>
      </c>
      <c r="B3414" t="s">
        <v>183</v>
      </c>
      <c r="C3414" s="1">
        <v>3</v>
      </c>
      <c r="D3414" s="1" t="s">
        <v>492</v>
      </c>
      <c r="E3414" s="1">
        <v>50</v>
      </c>
      <c r="F3414" s="1" t="s">
        <v>492</v>
      </c>
    </row>
    <row r="3415" spans="1:6">
      <c r="A3415">
        <v>57</v>
      </c>
      <c r="B3415" t="s">
        <v>183</v>
      </c>
      <c r="C3415" s="1">
        <v>3</v>
      </c>
      <c r="D3415" s="1" t="s">
        <v>338</v>
      </c>
      <c r="E3415" s="1">
        <v>60</v>
      </c>
      <c r="F3415" s="1" t="s">
        <v>338</v>
      </c>
    </row>
    <row r="3416" spans="1:6">
      <c r="A3416">
        <v>57</v>
      </c>
      <c r="B3416" t="s">
        <v>183</v>
      </c>
      <c r="E3416" s="1">
        <v>50</v>
      </c>
    </row>
    <row r="3417" spans="1:6">
      <c r="A3417">
        <v>57</v>
      </c>
      <c r="B3417" t="s">
        <v>183</v>
      </c>
      <c r="E3417" s="1">
        <v>60</v>
      </c>
    </row>
    <row r="3418" spans="1:6">
      <c r="A3418">
        <v>59</v>
      </c>
      <c r="B3418" t="s">
        <v>227</v>
      </c>
      <c r="E3418" s="1">
        <v>23</v>
      </c>
    </row>
    <row r="3419" spans="1:6">
      <c r="A3419">
        <v>74</v>
      </c>
      <c r="B3419" t="s">
        <v>235</v>
      </c>
      <c r="C3419" s="1">
        <v>3</v>
      </c>
      <c r="D3419" s="1" t="s">
        <v>320</v>
      </c>
      <c r="E3419" s="1">
        <v>50</v>
      </c>
      <c r="F3419" s="1" t="s">
        <v>320</v>
      </c>
    </row>
    <row r="3420" spans="1:6">
      <c r="A3420">
        <v>74</v>
      </c>
      <c r="B3420" t="s">
        <v>235</v>
      </c>
      <c r="C3420" s="1">
        <v>3</v>
      </c>
      <c r="D3420" s="1" t="s">
        <v>321</v>
      </c>
      <c r="E3420" s="1">
        <v>60</v>
      </c>
      <c r="F3420" s="1" t="s">
        <v>321</v>
      </c>
    </row>
    <row r="3421" spans="1:6">
      <c r="A3421">
        <v>78</v>
      </c>
      <c r="B3421" t="s">
        <v>237</v>
      </c>
      <c r="E3421" s="1">
        <v>10</v>
      </c>
    </row>
    <row r="3422" spans="1:6">
      <c r="A3422">
        <v>78</v>
      </c>
      <c r="B3422" t="s">
        <v>237</v>
      </c>
      <c r="E3422" s="1">
        <v>30</v>
      </c>
    </row>
    <row r="3423" spans="1:6">
      <c r="A3423">
        <v>78</v>
      </c>
      <c r="B3423" t="s">
        <v>237</v>
      </c>
      <c r="E3423" s="1">
        <v>50</v>
      </c>
    </row>
    <row r="3424" spans="1:6">
      <c r="A3424">
        <v>82</v>
      </c>
      <c r="B3424" t="s">
        <v>239</v>
      </c>
      <c r="E3424" s="1">
        <v>32</v>
      </c>
    </row>
    <row r="3425" spans="1:6">
      <c r="A3425">
        <v>1</v>
      </c>
      <c r="B3425" t="s">
        <v>137</v>
      </c>
      <c r="C3425" s="1">
        <v>1</v>
      </c>
      <c r="D3425" s="1">
        <v>13</v>
      </c>
      <c r="E3425" s="1">
        <v>60</v>
      </c>
      <c r="F3425" s="1">
        <v>13</v>
      </c>
    </row>
    <row r="3426" spans="1:6">
      <c r="A3426">
        <v>1</v>
      </c>
      <c r="B3426" t="s">
        <v>137</v>
      </c>
      <c r="C3426" s="1">
        <v>1</v>
      </c>
      <c r="D3426" s="1">
        <v>14</v>
      </c>
      <c r="E3426" s="1">
        <v>70</v>
      </c>
      <c r="F3426" s="1">
        <v>14</v>
      </c>
    </row>
    <row r="3427" spans="1:6">
      <c r="A3427">
        <v>1</v>
      </c>
      <c r="B3427" t="s">
        <v>137</v>
      </c>
      <c r="C3427" s="1">
        <v>1</v>
      </c>
      <c r="D3427" s="1">
        <v>16</v>
      </c>
      <c r="E3427" s="1">
        <v>90</v>
      </c>
      <c r="F3427" s="1">
        <v>16</v>
      </c>
    </row>
    <row r="3428" spans="1:6">
      <c r="A3428">
        <v>1</v>
      </c>
      <c r="B3428" t="s">
        <v>137</v>
      </c>
      <c r="C3428" s="1">
        <v>1</v>
      </c>
      <c r="D3428" s="1" t="s">
        <v>153</v>
      </c>
      <c r="E3428" s="1">
        <v>92</v>
      </c>
      <c r="F3428" s="1" t="s">
        <v>153</v>
      </c>
    </row>
    <row r="3429" spans="1:6">
      <c r="A3429">
        <v>1</v>
      </c>
      <c r="B3429" t="s">
        <v>137</v>
      </c>
      <c r="C3429" s="1">
        <v>1</v>
      </c>
      <c r="D3429" s="1">
        <v>17</v>
      </c>
      <c r="E3429" s="1">
        <v>94</v>
      </c>
      <c r="F3429" s="1">
        <v>17</v>
      </c>
    </row>
    <row r="3430" spans="1:6">
      <c r="A3430">
        <v>1</v>
      </c>
      <c r="B3430" t="s">
        <v>137</v>
      </c>
      <c r="C3430" s="1">
        <v>1</v>
      </c>
      <c r="D3430" s="1" t="s">
        <v>156</v>
      </c>
      <c r="E3430" s="1">
        <v>96</v>
      </c>
      <c r="F3430" s="1" t="s">
        <v>156</v>
      </c>
    </row>
    <row r="3431" spans="1:6">
      <c r="A3431">
        <v>1</v>
      </c>
      <c r="B3431" t="s">
        <v>137</v>
      </c>
      <c r="C3431" s="1">
        <v>2</v>
      </c>
      <c r="D3431" s="1" t="s">
        <v>159</v>
      </c>
      <c r="E3431" s="1">
        <v>2</v>
      </c>
      <c r="F3431" s="1" t="s">
        <v>159</v>
      </c>
    </row>
    <row r="3432" spans="1:6">
      <c r="A3432">
        <v>1</v>
      </c>
      <c r="B3432" t="s">
        <v>137</v>
      </c>
      <c r="C3432" s="1">
        <v>2</v>
      </c>
      <c r="D3432" s="1">
        <v>19</v>
      </c>
      <c r="E3432" s="1">
        <v>10</v>
      </c>
      <c r="F3432" s="1">
        <v>19</v>
      </c>
    </row>
    <row r="3433" spans="1:6">
      <c r="A3433">
        <v>1</v>
      </c>
      <c r="B3433" t="s">
        <v>137</v>
      </c>
      <c r="C3433" s="1">
        <v>2</v>
      </c>
      <c r="D3433" s="1" t="s">
        <v>162</v>
      </c>
      <c r="E3433" s="1">
        <v>12</v>
      </c>
      <c r="F3433" s="1" t="s">
        <v>162</v>
      </c>
    </row>
    <row r="3434" spans="1:6">
      <c r="A3434">
        <v>1</v>
      </c>
      <c r="B3434" t="s">
        <v>137</v>
      </c>
      <c r="C3434" s="1">
        <v>2</v>
      </c>
      <c r="D3434" s="1">
        <v>20</v>
      </c>
      <c r="E3434" s="1">
        <v>20</v>
      </c>
      <c r="F3434" s="1">
        <v>20</v>
      </c>
    </row>
    <row r="3435" spans="1:6">
      <c r="A3435">
        <v>1</v>
      </c>
      <c r="B3435" t="s">
        <v>137</v>
      </c>
      <c r="C3435" s="1">
        <v>2</v>
      </c>
      <c r="D3435" s="1" t="s">
        <v>165</v>
      </c>
      <c r="E3435" s="1">
        <v>22</v>
      </c>
      <c r="F3435" s="1" t="s">
        <v>165</v>
      </c>
    </row>
    <row r="3436" spans="1:6">
      <c r="A3436">
        <v>1</v>
      </c>
      <c r="B3436" t="s">
        <v>137</v>
      </c>
      <c r="C3436" s="1">
        <v>2</v>
      </c>
      <c r="D3436" s="1">
        <v>18</v>
      </c>
      <c r="F3436" s="1">
        <v>18</v>
      </c>
    </row>
    <row r="3437" spans="1:6">
      <c r="A3437">
        <v>5</v>
      </c>
      <c r="B3437" t="s">
        <v>183</v>
      </c>
      <c r="E3437" s="1">
        <v>80</v>
      </c>
    </row>
    <row r="3438" spans="1:6">
      <c r="A3438">
        <v>11</v>
      </c>
      <c r="B3438" t="s">
        <v>186</v>
      </c>
      <c r="C3438" s="1">
        <v>1</v>
      </c>
      <c r="D3438" s="1" t="s">
        <v>192</v>
      </c>
      <c r="E3438" s="1">
        <v>2</v>
      </c>
      <c r="F3438" s="1" t="s">
        <v>192</v>
      </c>
    </row>
    <row r="3439" spans="1:6">
      <c r="A3439">
        <v>11</v>
      </c>
      <c r="B3439" t="s">
        <v>186</v>
      </c>
      <c r="C3439" s="1">
        <v>1</v>
      </c>
      <c r="D3439" s="1">
        <v>40</v>
      </c>
      <c r="E3439" s="1">
        <v>10</v>
      </c>
      <c r="F3439" s="1">
        <v>40</v>
      </c>
    </row>
    <row r="3440" spans="1:6">
      <c r="A3440">
        <v>11</v>
      </c>
      <c r="B3440" t="s">
        <v>186</v>
      </c>
      <c r="C3440" s="1">
        <v>1</v>
      </c>
      <c r="D3440" s="1" t="s">
        <v>193</v>
      </c>
      <c r="E3440" s="1">
        <v>12</v>
      </c>
      <c r="F3440" s="1" t="s">
        <v>193</v>
      </c>
    </row>
    <row r="3441" spans="1:6">
      <c r="A3441">
        <v>11</v>
      </c>
      <c r="B3441" t="s">
        <v>186</v>
      </c>
      <c r="C3441" s="1">
        <v>1</v>
      </c>
      <c r="D3441" s="1">
        <v>41</v>
      </c>
      <c r="E3441" s="1">
        <v>20</v>
      </c>
      <c r="F3441" s="1">
        <v>41</v>
      </c>
    </row>
    <row r="3442" spans="1:6">
      <c r="A3442">
        <v>11</v>
      </c>
      <c r="B3442" t="s">
        <v>186</v>
      </c>
      <c r="C3442" s="1">
        <v>1</v>
      </c>
      <c r="D3442" s="1" t="s">
        <v>194</v>
      </c>
      <c r="E3442" s="1">
        <v>22</v>
      </c>
      <c r="F3442" s="1" t="s">
        <v>194</v>
      </c>
    </row>
    <row r="3443" spans="1:6">
      <c r="A3443">
        <v>11</v>
      </c>
      <c r="B3443" t="s">
        <v>186</v>
      </c>
      <c r="C3443" s="1">
        <v>1</v>
      </c>
      <c r="D3443" s="1">
        <v>42</v>
      </c>
      <c r="E3443" s="1">
        <v>30</v>
      </c>
      <c r="F3443" s="1">
        <v>42</v>
      </c>
    </row>
    <row r="3444" spans="1:6">
      <c r="A3444">
        <v>11</v>
      </c>
      <c r="B3444" t="s">
        <v>186</v>
      </c>
      <c r="C3444" s="1">
        <v>1</v>
      </c>
      <c r="D3444" s="1">
        <v>43</v>
      </c>
      <c r="E3444" s="1">
        <v>40</v>
      </c>
      <c r="F3444" s="1">
        <v>43</v>
      </c>
    </row>
    <row r="3445" spans="1:6">
      <c r="A3445">
        <v>11</v>
      </c>
      <c r="B3445" t="s">
        <v>186</v>
      </c>
      <c r="C3445" s="1">
        <v>1</v>
      </c>
      <c r="D3445" s="1">
        <v>44</v>
      </c>
      <c r="E3445" s="1">
        <v>50</v>
      </c>
      <c r="F3445" s="1">
        <v>44</v>
      </c>
    </row>
    <row r="3446" spans="1:6">
      <c r="A3446">
        <v>11</v>
      </c>
      <c r="B3446" t="s">
        <v>186</v>
      </c>
      <c r="C3446" s="1">
        <v>1</v>
      </c>
      <c r="D3446" s="1" t="s">
        <v>197</v>
      </c>
      <c r="E3446" s="1">
        <v>52</v>
      </c>
      <c r="F3446" s="1" t="s">
        <v>197</v>
      </c>
    </row>
    <row r="3447" spans="1:6">
      <c r="A3447">
        <v>11</v>
      </c>
      <c r="B3447" t="s">
        <v>186</v>
      </c>
      <c r="C3447" s="1">
        <v>1</v>
      </c>
      <c r="D3447" s="1">
        <v>39</v>
      </c>
      <c r="F3447" s="1">
        <v>39</v>
      </c>
    </row>
    <row r="3448" spans="1:6">
      <c r="A3448">
        <v>11</v>
      </c>
      <c r="B3448" t="s">
        <v>186</v>
      </c>
      <c r="E3448" s="1">
        <v>92</v>
      </c>
    </row>
    <row r="3449" spans="1:6">
      <c r="A3449">
        <v>11</v>
      </c>
      <c r="B3449" t="s">
        <v>186</v>
      </c>
      <c r="E3449" s="1">
        <v>96</v>
      </c>
    </row>
    <row r="3450" spans="1:6">
      <c r="A3450">
        <v>12</v>
      </c>
      <c r="B3450" t="s">
        <v>107</v>
      </c>
      <c r="C3450" s="1">
        <v>1</v>
      </c>
      <c r="D3450" s="1">
        <v>41</v>
      </c>
      <c r="E3450" s="1">
        <v>20</v>
      </c>
      <c r="F3450" s="1">
        <v>41</v>
      </c>
    </row>
    <row r="3451" spans="1:6">
      <c r="A3451">
        <v>12</v>
      </c>
      <c r="B3451" t="s">
        <v>107</v>
      </c>
      <c r="C3451" s="1">
        <v>1</v>
      </c>
      <c r="D3451" s="1" t="s">
        <v>194</v>
      </c>
      <c r="E3451" s="1">
        <v>22</v>
      </c>
      <c r="F3451" s="1" t="s">
        <v>194</v>
      </c>
    </row>
    <row r="3452" spans="1:6">
      <c r="A3452">
        <v>12</v>
      </c>
      <c r="B3452" t="s">
        <v>107</v>
      </c>
      <c r="C3452" s="1">
        <v>1</v>
      </c>
      <c r="D3452" s="1" t="s">
        <v>195</v>
      </c>
      <c r="E3452" s="1">
        <v>32</v>
      </c>
      <c r="F3452" s="1" t="s">
        <v>195</v>
      </c>
    </row>
    <row r="3453" spans="1:6">
      <c r="A3453">
        <v>12</v>
      </c>
      <c r="B3453" t="s">
        <v>107</v>
      </c>
      <c r="C3453" s="1">
        <v>1</v>
      </c>
      <c r="D3453" s="1">
        <v>43</v>
      </c>
      <c r="E3453" s="1">
        <v>40</v>
      </c>
      <c r="F3453" s="1">
        <v>43</v>
      </c>
    </row>
    <row r="3454" spans="1:6">
      <c r="A3454">
        <v>12</v>
      </c>
      <c r="B3454" t="s">
        <v>107</v>
      </c>
      <c r="C3454" s="1">
        <v>1</v>
      </c>
      <c r="D3454" s="1" t="s">
        <v>196</v>
      </c>
      <c r="E3454" s="1">
        <v>42</v>
      </c>
      <c r="F3454" s="1" t="s">
        <v>196</v>
      </c>
    </row>
    <row r="3455" spans="1:6">
      <c r="A3455">
        <v>13</v>
      </c>
      <c r="B3455" t="s">
        <v>200</v>
      </c>
      <c r="C3455" s="1">
        <v>1</v>
      </c>
      <c r="D3455" s="1" t="s">
        <v>192</v>
      </c>
      <c r="E3455" s="1">
        <v>2</v>
      </c>
      <c r="F3455" s="1" t="s">
        <v>192</v>
      </c>
    </row>
    <row r="3456" spans="1:6">
      <c r="A3456">
        <v>13</v>
      </c>
      <c r="B3456" t="s">
        <v>200</v>
      </c>
      <c r="C3456" s="1">
        <v>1</v>
      </c>
      <c r="D3456" s="1" t="s">
        <v>193</v>
      </c>
      <c r="E3456" s="1">
        <v>12</v>
      </c>
      <c r="F3456" s="1" t="s">
        <v>193</v>
      </c>
    </row>
    <row r="3457" spans="1:6">
      <c r="A3457">
        <v>13</v>
      </c>
      <c r="B3457" t="s">
        <v>200</v>
      </c>
      <c r="C3457" s="1">
        <v>1</v>
      </c>
      <c r="D3457" s="1" t="s">
        <v>194</v>
      </c>
      <c r="E3457" s="1">
        <v>22</v>
      </c>
      <c r="F3457" s="1" t="s">
        <v>194</v>
      </c>
    </row>
    <row r="3458" spans="1:6">
      <c r="A3458">
        <v>13</v>
      </c>
      <c r="B3458" t="s">
        <v>200</v>
      </c>
      <c r="C3458" s="1">
        <v>1</v>
      </c>
      <c r="D3458" s="1" t="s">
        <v>195</v>
      </c>
      <c r="E3458" s="1">
        <v>32</v>
      </c>
      <c r="F3458" s="1" t="s">
        <v>195</v>
      </c>
    </row>
    <row r="3459" spans="1:6">
      <c r="A3459">
        <v>13</v>
      </c>
      <c r="B3459" t="s">
        <v>200</v>
      </c>
      <c r="C3459" s="1">
        <v>1</v>
      </c>
      <c r="D3459" s="1">
        <v>43</v>
      </c>
      <c r="E3459" s="1">
        <v>40</v>
      </c>
      <c r="F3459" s="1">
        <v>43</v>
      </c>
    </row>
    <row r="3460" spans="1:6">
      <c r="A3460">
        <v>13</v>
      </c>
      <c r="B3460" t="s">
        <v>200</v>
      </c>
      <c r="C3460" s="1">
        <v>1</v>
      </c>
      <c r="D3460" s="1" t="s">
        <v>196</v>
      </c>
      <c r="E3460" s="1">
        <v>42</v>
      </c>
      <c r="F3460" s="1" t="s">
        <v>196</v>
      </c>
    </row>
    <row r="3461" spans="1:6">
      <c r="A3461">
        <v>27</v>
      </c>
      <c r="B3461" t="s">
        <v>210</v>
      </c>
      <c r="C3461" s="1">
        <v>1</v>
      </c>
      <c r="D3461" s="1">
        <v>40</v>
      </c>
      <c r="E3461" s="1">
        <v>10</v>
      </c>
      <c r="F3461" s="1">
        <v>40</v>
      </c>
    </row>
    <row r="3462" spans="1:6">
      <c r="A3462">
        <v>27</v>
      </c>
      <c r="B3462" t="s">
        <v>210</v>
      </c>
      <c r="C3462" s="1">
        <v>1</v>
      </c>
      <c r="D3462" s="1" t="s">
        <v>193</v>
      </c>
      <c r="E3462" s="1">
        <v>12</v>
      </c>
      <c r="F3462" s="1" t="s">
        <v>193</v>
      </c>
    </row>
    <row r="3463" spans="1:6">
      <c r="A3463">
        <v>27</v>
      </c>
      <c r="B3463" t="s">
        <v>210</v>
      </c>
      <c r="C3463" s="1">
        <v>1</v>
      </c>
      <c r="D3463" s="1">
        <v>43</v>
      </c>
      <c r="E3463" s="1">
        <v>40</v>
      </c>
      <c r="F3463" s="1">
        <v>43</v>
      </c>
    </row>
    <row r="3464" spans="1:6">
      <c r="A3464">
        <v>1</v>
      </c>
      <c r="B3464" t="s">
        <v>137</v>
      </c>
      <c r="C3464" s="1">
        <v>2</v>
      </c>
      <c r="D3464" s="1" t="s">
        <v>174</v>
      </c>
      <c r="E3464" s="1">
        <v>52</v>
      </c>
      <c r="F3464" s="1" t="s">
        <v>174</v>
      </c>
    </row>
    <row r="3465" spans="1:6">
      <c r="A3465">
        <v>11</v>
      </c>
      <c r="B3465" t="s">
        <v>186</v>
      </c>
      <c r="C3465" s="1">
        <v>1</v>
      </c>
      <c r="D3465" s="1" t="s">
        <v>195</v>
      </c>
      <c r="E3465" s="1">
        <v>32</v>
      </c>
      <c r="F3465" s="1" t="s">
        <v>195</v>
      </c>
    </row>
    <row r="3466" spans="1:6">
      <c r="A3466">
        <v>11</v>
      </c>
      <c r="B3466" t="s">
        <v>186</v>
      </c>
      <c r="C3466" s="1">
        <v>1</v>
      </c>
      <c r="D3466" s="1" t="s">
        <v>196</v>
      </c>
      <c r="E3466" s="1">
        <v>42</v>
      </c>
      <c r="F3466" s="1" t="s">
        <v>196</v>
      </c>
    </row>
    <row r="3467" spans="1:6">
      <c r="A3467">
        <v>15</v>
      </c>
      <c r="B3467" t="s">
        <v>201</v>
      </c>
      <c r="C3467" s="1">
        <v>4</v>
      </c>
      <c r="D3467" s="1" t="s">
        <v>286</v>
      </c>
      <c r="E3467" s="1">
        <v>70</v>
      </c>
      <c r="F3467" s="1" t="s">
        <v>286</v>
      </c>
    </row>
    <row r="3468" spans="1:6">
      <c r="A3468">
        <v>21</v>
      </c>
      <c r="B3468" t="s">
        <v>205</v>
      </c>
      <c r="C3468" s="1">
        <v>1</v>
      </c>
      <c r="D3468" s="1" t="s">
        <v>288</v>
      </c>
      <c r="E3468" s="1">
        <v>62</v>
      </c>
      <c r="F3468" s="1" t="s">
        <v>288</v>
      </c>
    </row>
    <row r="3469" spans="1:6">
      <c r="A3469">
        <v>1</v>
      </c>
      <c r="B3469" t="s">
        <v>137</v>
      </c>
      <c r="C3469" s="1">
        <v>2</v>
      </c>
      <c r="D3469" s="1" t="s">
        <v>159</v>
      </c>
      <c r="E3469" s="1">
        <v>2</v>
      </c>
      <c r="F3469" s="1" t="s">
        <v>159</v>
      </c>
    </row>
    <row r="3470" spans="1:6">
      <c r="A3470">
        <v>1</v>
      </c>
      <c r="B3470" t="s">
        <v>137</v>
      </c>
      <c r="C3470" s="1">
        <v>2</v>
      </c>
      <c r="D3470" s="1" t="s">
        <v>168</v>
      </c>
      <c r="E3470" s="1">
        <v>32</v>
      </c>
      <c r="F3470" s="1" t="s">
        <v>168</v>
      </c>
    </row>
    <row r="3471" spans="1:6">
      <c r="A3471">
        <v>6</v>
      </c>
      <c r="B3471" t="s">
        <v>184</v>
      </c>
      <c r="E3471" s="1">
        <v>63</v>
      </c>
    </row>
    <row r="3472" spans="1:6">
      <c r="A3472">
        <v>11</v>
      </c>
      <c r="B3472" t="s">
        <v>186</v>
      </c>
      <c r="C3472" s="1">
        <v>1</v>
      </c>
      <c r="D3472" s="1">
        <v>44</v>
      </c>
      <c r="E3472" s="1">
        <v>50</v>
      </c>
      <c r="F3472" s="1">
        <v>44</v>
      </c>
    </row>
    <row r="3473" spans="1:6">
      <c r="A3473">
        <v>24</v>
      </c>
      <c r="B3473" t="s">
        <v>208</v>
      </c>
      <c r="C3473" s="1">
        <v>1</v>
      </c>
      <c r="D3473" s="1" t="s">
        <v>373</v>
      </c>
      <c r="E3473" s="1">
        <v>10</v>
      </c>
      <c r="F3473" s="1" t="s">
        <v>373</v>
      </c>
    </row>
    <row r="3474" spans="1:6">
      <c r="A3474">
        <v>24</v>
      </c>
      <c r="B3474" t="s">
        <v>208</v>
      </c>
      <c r="C3474" s="1">
        <v>1</v>
      </c>
      <c r="D3474" s="1" t="s">
        <v>374</v>
      </c>
      <c r="F3474" s="1" t="s">
        <v>374</v>
      </c>
    </row>
    <row r="3475" spans="1:6">
      <c r="A3475">
        <v>24</v>
      </c>
      <c r="B3475" t="s">
        <v>208</v>
      </c>
      <c r="E3475" s="1">
        <v>90</v>
      </c>
    </row>
    <row r="3476" spans="1:6">
      <c r="A3476">
        <v>41</v>
      </c>
      <c r="B3476" t="s">
        <v>219</v>
      </c>
      <c r="C3476" s="1">
        <v>1</v>
      </c>
      <c r="D3476" s="1" t="s">
        <v>442</v>
      </c>
      <c r="E3476" s="1">
        <v>10</v>
      </c>
      <c r="F3476" s="1" t="s">
        <v>442</v>
      </c>
    </row>
    <row r="3477" spans="1:6">
      <c r="A3477">
        <v>1</v>
      </c>
      <c r="B3477" t="s">
        <v>137</v>
      </c>
      <c r="C3477" s="1">
        <v>1</v>
      </c>
      <c r="D3477" s="1">
        <v>11</v>
      </c>
      <c r="E3477" s="1">
        <v>40</v>
      </c>
      <c r="F3477" s="1">
        <v>11</v>
      </c>
    </row>
    <row r="3478" spans="1:6">
      <c r="A3478">
        <v>1</v>
      </c>
      <c r="B3478" t="s">
        <v>137</v>
      </c>
      <c r="C3478" s="1">
        <v>1</v>
      </c>
      <c r="D3478" s="1">
        <v>12</v>
      </c>
      <c r="E3478" s="1">
        <v>50</v>
      </c>
      <c r="F3478" s="1">
        <v>12</v>
      </c>
    </row>
    <row r="3479" spans="1:6">
      <c r="A3479">
        <v>1</v>
      </c>
      <c r="B3479" t="s">
        <v>137</v>
      </c>
      <c r="C3479" s="1">
        <v>1</v>
      </c>
      <c r="D3479" s="1">
        <v>13</v>
      </c>
      <c r="E3479" s="1">
        <v>60</v>
      </c>
      <c r="F3479" s="1">
        <v>13</v>
      </c>
    </row>
    <row r="3480" spans="1:6">
      <c r="A3480">
        <v>1</v>
      </c>
      <c r="B3480" t="s">
        <v>137</v>
      </c>
      <c r="C3480" s="1">
        <v>1</v>
      </c>
      <c r="D3480" s="1" t="s">
        <v>144</v>
      </c>
      <c r="E3480" s="1">
        <v>62</v>
      </c>
      <c r="F3480" s="1" t="s">
        <v>144</v>
      </c>
    </row>
    <row r="3481" spans="1:6">
      <c r="A3481">
        <v>1</v>
      </c>
      <c r="B3481" t="s">
        <v>137</v>
      </c>
      <c r="C3481" s="1">
        <v>1</v>
      </c>
      <c r="D3481" s="1">
        <v>14</v>
      </c>
      <c r="E3481" s="1">
        <v>70</v>
      </c>
      <c r="F3481" s="1">
        <v>14</v>
      </c>
    </row>
    <row r="3482" spans="1:6">
      <c r="A3482">
        <v>1</v>
      </c>
      <c r="B3482" t="s">
        <v>137</v>
      </c>
      <c r="C3482" s="1">
        <v>1</v>
      </c>
      <c r="D3482" s="1">
        <v>15</v>
      </c>
      <c r="E3482" s="1">
        <v>80</v>
      </c>
      <c r="F3482" s="1">
        <v>15</v>
      </c>
    </row>
    <row r="3483" spans="1:6">
      <c r="A3483">
        <v>1</v>
      </c>
      <c r="B3483" t="s">
        <v>137</v>
      </c>
      <c r="C3483" s="1">
        <v>1</v>
      </c>
      <c r="D3483" s="1" t="s">
        <v>150</v>
      </c>
      <c r="E3483" s="1">
        <v>82</v>
      </c>
      <c r="F3483" s="1" t="s">
        <v>150</v>
      </c>
    </row>
    <row r="3484" spans="1:6">
      <c r="A3484">
        <v>1</v>
      </c>
      <c r="B3484" t="s">
        <v>137</v>
      </c>
      <c r="C3484" s="1">
        <v>1</v>
      </c>
      <c r="D3484" s="1">
        <v>16</v>
      </c>
      <c r="E3484" s="1">
        <v>90</v>
      </c>
      <c r="F3484" s="1">
        <v>16</v>
      </c>
    </row>
    <row r="3485" spans="1:6">
      <c r="A3485">
        <v>1</v>
      </c>
      <c r="B3485" t="s">
        <v>137</v>
      </c>
      <c r="C3485" s="1">
        <v>1</v>
      </c>
      <c r="D3485" s="1">
        <v>17</v>
      </c>
      <c r="E3485" s="1">
        <v>94</v>
      </c>
      <c r="F3485" s="1">
        <v>17</v>
      </c>
    </row>
    <row r="3486" spans="1:6">
      <c r="A3486">
        <v>1</v>
      </c>
      <c r="B3486" t="s">
        <v>137</v>
      </c>
      <c r="C3486" s="1">
        <v>2</v>
      </c>
      <c r="D3486" s="1">
        <v>18</v>
      </c>
      <c r="F3486" s="1">
        <v>18</v>
      </c>
    </row>
    <row r="3487" spans="1:6">
      <c r="A3487">
        <v>56</v>
      </c>
      <c r="B3487" t="s">
        <v>544</v>
      </c>
      <c r="E3487" s="1">
        <v>50</v>
      </c>
    </row>
    <row r="3488" spans="1:6">
      <c r="A3488">
        <v>83</v>
      </c>
      <c r="B3488" t="s">
        <v>240</v>
      </c>
      <c r="E3488" s="1">
        <v>10</v>
      </c>
    </row>
    <row r="3489" spans="1:6">
      <c r="A3489">
        <v>83</v>
      </c>
      <c r="B3489" t="s">
        <v>240</v>
      </c>
      <c r="E3489" s="1">
        <v>20</v>
      </c>
    </row>
    <row r="3490" spans="1:6">
      <c r="A3490">
        <v>83</v>
      </c>
      <c r="B3490" t="s">
        <v>240</v>
      </c>
      <c r="E3490" s="1">
        <v>40</v>
      </c>
    </row>
    <row r="3491" spans="1:6">
      <c r="A3491">
        <v>74</v>
      </c>
      <c r="B3491" t="s">
        <v>235</v>
      </c>
      <c r="C3491" s="1">
        <v>3</v>
      </c>
      <c r="D3491" s="1" t="s">
        <v>321</v>
      </c>
      <c r="E3491" s="1">
        <v>60</v>
      </c>
      <c r="F3491" s="1" t="s">
        <v>321</v>
      </c>
    </row>
    <row r="3492" spans="1:6">
      <c r="A3492">
        <v>80</v>
      </c>
      <c r="B3492" t="s">
        <v>238</v>
      </c>
      <c r="C3492" s="1">
        <v>1</v>
      </c>
      <c r="D3492" s="1" t="s">
        <v>347</v>
      </c>
      <c r="E3492" s="1">
        <v>20</v>
      </c>
      <c r="F3492" s="1" t="s">
        <v>347</v>
      </c>
    </row>
    <row r="3493" spans="1:6">
      <c r="A3493">
        <v>80</v>
      </c>
      <c r="B3493" t="s">
        <v>238</v>
      </c>
      <c r="C3493" s="1">
        <v>1</v>
      </c>
      <c r="D3493" s="1" t="s">
        <v>394</v>
      </c>
      <c r="E3493" s="1">
        <v>22</v>
      </c>
      <c r="F3493" s="1" t="s">
        <v>394</v>
      </c>
    </row>
    <row r="3494" spans="1:6">
      <c r="A3494">
        <v>1</v>
      </c>
      <c r="B3494" t="s">
        <v>137</v>
      </c>
      <c r="C3494" s="1">
        <v>1</v>
      </c>
      <c r="D3494" s="1">
        <v>15</v>
      </c>
      <c r="E3494" s="1">
        <v>80</v>
      </c>
      <c r="F3494" s="1">
        <v>15</v>
      </c>
    </row>
    <row r="3495" spans="1:6">
      <c r="A3495">
        <v>1</v>
      </c>
      <c r="B3495" t="s">
        <v>137</v>
      </c>
      <c r="C3495" s="1">
        <v>1</v>
      </c>
      <c r="D3495" s="1">
        <v>16</v>
      </c>
      <c r="E3495" s="1">
        <v>90</v>
      </c>
      <c r="F3495" s="1">
        <v>16</v>
      </c>
    </row>
    <row r="3496" spans="1:6">
      <c r="A3496">
        <v>1</v>
      </c>
      <c r="B3496" t="s">
        <v>137</v>
      </c>
      <c r="C3496" s="1">
        <v>1</v>
      </c>
      <c r="D3496" s="1">
        <v>17</v>
      </c>
      <c r="E3496" s="1">
        <v>94</v>
      </c>
      <c r="F3496" s="1">
        <v>17</v>
      </c>
    </row>
    <row r="3497" spans="1:6">
      <c r="A3497">
        <v>1</v>
      </c>
      <c r="B3497" t="s">
        <v>137</v>
      </c>
      <c r="C3497" s="1">
        <v>1</v>
      </c>
      <c r="D3497" s="1" t="s">
        <v>156</v>
      </c>
      <c r="E3497" s="1">
        <v>96</v>
      </c>
      <c r="F3497" s="1" t="s">
        <v>156</v>
      </c>
    </row>
    <row r="3498" spans="1:6">
      <c r="A3498">
        <v>1</v>
      </c>
      <c r="B3498" t="s">
        <v>137</v>
      </c>
      <c r="C3498" s="1">
        <v>2</v>
      </c>
      <c r="D3498" s="1" t="s">
        <v>159</v>
      </c>
      <c r="E3498" s="1">
        <v>2</v>
      </c>
      <c r="F3498" s="1" t="s">
        <v>159</v>
      </c>
    </row>
    <row r="3499" spans="1:6">
      <c r="A3499">
        <v>1</v>
      </c>
      <c r="B3499" t="s">
        <v>137</v>
      </c>
      <c r="C3499" s="1">
        <v>2</v>
      </c>
      <c r="D3499" s="1">
        <v>19</v>
      </c>
      <c r="E3499" s="1">
        <v>10</v>
      </c>
      <c r="F3499" s="1">
        <v>19</v>
      </c>
    </row>
    <row r="3500" spans="1:6">
      <c r="A3500">
        <v>1</v>
      </c>
      <c r="B3500" t="s">
        <v>137</v>
      </c>
      <c r="C3500" s="1">
        <v>2</v>
      </c>
      <c r="D3500" s="1" t="s">
        <v>162</v>
      </c>
      <c r="E3500" s="1">
        <v>12</v>
      </c>
      <c r="F3500" s="1" t="s">
        <v>162</v>
      </c>
    </row>
    <row r="3501" spans="1:6">
      <c r="A3501">
        <v>1</v>
      </c>
      <c r="B3501" t="s">
        <v>137</v>
      </c>
      <c r="C3501" s="1">
        <v>2</v>
      </c>
      <c r="D3501" s="1">
        <v>20</v>
      </c>
      <c r="E3501" s="1">
        <v>20</v>
      </c>
      <c r="F3501" s="1">
        <v>20</v>
      </c>
    </row>
    <row r="3502" spans="1:6">
      <c r="A3502">
        <v>1</v>
      </c>
      <c r="B3502" t="s">
        <v>137</v>
      </c>
      <c r="C3502" s="1">
        <v>2</v>
      </c>
      <c r="D3502" s="1" t="s">
        <v>165</v>
      </c>
      <c r="E3502" s="1">
        <v>22</v>
      </c>
      <c r="F3502" s="1" t="s">
        <v>165</v>
      </c>
    </row>
    <row r="3503" spans="1:6">
      <c r="A3503">
        <v>1</v>
      </c>
      <c r="B3503" t="s">
        <v>137</v>
      </c>
      <c r="C3503" s="1">
        <v>2</v>
      </c>
      <c r="D3503" s="1">
        <v>21</v>
      </c>
      <c r="E3503" s="1">
        <v>30</v>
      </c>
      <c r="F3503" s="1">
        <v>21</v>
      </c>
    </row>
    <row r="3504" spans="1:6">
      <c r="A3504">
        <v>1</v>
      </c>
      <c r="B3504" t="s">
        <v>137</v>
      </c>
      <c r="C3504" s="1">
        <v>2</v>
      </c>
      <c r="D3504" s="1" t="s">
        <v>168</v>
      </c>
      <c r="E3504" s="1">
        <v>32</v>
      </c>
      <c r="F3504" s="1" t="s">
        <v>168</v>
      </c>
    </row>
    <row r="3505" spans="1:6">
      <c r="A3505">
        <v>1</v>
      </c>
      <c r="B3505" t="s">
        <v>137</v>
      </c>
      <c r="C3505" s="1">
        <v>2</v>
      </c>
      <c r="D3505" s="1">
        <v>22</v>
      </c>
      <c r="E3505" s="1">
        <v>40</v>
      </c>
      <c r="F3505" s="1">
        <v>22</v>
      </c>
    </row>
    <row r="3506" spans="1:6">
      <c r="A3506">
        <v>1</v>
      </c>
      <c r="B3506" t="s">
        <v>137</v>
      </c>
      <c r="C3506" s="1">
        <v>2</v>
      </c>
      <c r="D3506" s="1">
        <v>18</v>
      </c>
      <c r="F3506" s="1">
        <v>18</v>
      </c>
    </row>
    <row r="3507" spans="1:6">
      <c r="A3507">
        <v>11</v>
      </c>
      <c r="B3507" t="s">
        <v>186</v>
      </c>
      <c r="C3507" s="1">
        <v>1</v>
      </c>
      <c r="D3507" s="1">
        <v>41</v>
      </c>
      <c r="E3507" s="1">
        <v>20</v>
      </c>
      <c r="F3507" s="1">
        <v>41</v>
      </c>
    </row>
    <row r="3508" spans="1:6">
      <c r="A3508">
        <v>11</v>
      </c>
      <c r="B3508" t="s">
        <v>186</v>
      </c>
      <c r="C3508" s="1">
        <v>1</v>
      </c>
      <c r="D3508" s="1" t="s">
        <v>194</v>
      </c>
      <c r="E3508" s="1">
        <v>22</v>
      </c>
      <c r="F3508" s="1" t="s">
        <v>194</v>
      </c>
    </row>
    <row r="3509" spans="1:6">
      <c r="A3509">
        <v>11</v>
      </c>
      <c r="B3509" t="s">
        <v>186</v>
      </c>
      <c r="C3509" s="1">
        <v>1</v>
      </c>
      <c r="D3509" s="1">
        <v>42</v>
      </c>
      <c r="E3509" s="1">
        <v>30</v>
      </c>
      <c r="F3509" s="1">
        <v>42</v>
      </c>
    </row>
    <row r="3510" spans="1:6">
      <c r="A3510">
        <v>11</v>
      </c>
      <c r="B3510" t="s">
        <v>186</v>
      </c>
      <c r="C3510" s="1">
        <v>1</v>
      </c>
      <c r="D3510" s="1" t="s">
        <v>195</v>
      </c>
      <c r="E3510" s="1">
        <v>32</v>
      </c>
      <c r="F3510" s="1" t="s">
        <v>195</v>
      </c>
    </row>
    <row r="3511" spans="1:6">
      <c r="A3511">
        <v>11</v>
      </c>
      <c r="B3511" t="s">
        <v>186</v>
      </c>
      <c r="C3511" s="1">
        <v>1</v>
      </c>
      <c r="D3511" s="1" t="s">
        <v>196</v>
      </c>
      <c r="E3511" s="1">
        <v>42</v>
      </c>
      <c r="F3511" s="1" t="s">
        <v>196</v>
      </c>
    </row>
    <row r="3512" spans="1:6">
      <c r="A3512">
        <v>11</v>
      </c>
      <c r="B3512" t="s">
        <v>186</v>
      </c>
      <c r="C3512" s="1">
        <v>1</v>
      </c>
      <c r="D3512" s="1">
        <v>44</v>
      </c>
      <c r="E3512" s="1">
        <v>50</v>
      </c>
      <c r="F3512" s="1">
        <v>44</v>
      </c>
    </row>
    <row r="3513" spans="1:6">
      <c r="A3513">
        <v>11</v>
      </c>
      <c r="B3513" t="s">
        <v>186</v>
      </c>
      <c r="C3513" s="1">
        <v>1</v>
      </c>
      <c r="D3513" s="1" t="s">
        <v>197</v>
      </c>
      <c r="E3513" s="1">
        <v>52</v>
      </c>
      <c r="F3513" s="1" t="s">
        <v>197</v>
      </c>
    </row>
    <row r="3514" spans="1:6">
      <c r="A3514">
        <v>11</v>
      </c>
      <c r="B3514" t="s">
        <v>186</v>
      </c>
      <c r="C3514" s="1">
        <v>1</v>
      </c>
      <c r="D3514" s="1" t="s">
        <v>198</v>
      </c>
      <c r="E3514" s="1">
        <v>62</v>
      </c>
      <c r="F3514" s="1" t="s">
        <v>198</v>
      </c>
    </row>
    <row r="3515" spans="1:6">
      <c r="A3515">
        <v>11</v>
      </c>
      <c r="B3515" t="s">
        <v>186</v>
      </c>
      <c r="C3515" s="1">
        <v>1</v>
      </c>
      <c r="D3515" s="1" t="s">
        <v>199</v>
      </c>
      <c r="E3515" s="1">
        <v>72</v>
      </c>
      <c r="F3515" s="1" t="s">
        <v>199</v>
      </c>
    </row>
    <row r="3516" spans="1:6">
      <c r="A3516">
        <v>11</v>
      </c>
      <c r="B3516" t="s">
        <v>186</v>
      </c>
      <c r="C3516" s="1">
        <v>1</v>
      </c>
      <c r="D3516" s="1">
        <v>39</v>
      </c>
      <c r="F3516" s="1">
        <v>39</v>
      </c>
    </row>
    <row r="3517" spans="1:6">
      <c r="A3517">
        <v>13</v>
      </c>
      <c r="B3517" t="s">
        <v>200</v>
      </c>
      <c r="C3517" s="1">
        <v>1</v>
      </c>
      <c r="D3517" s="1">
        <v>40</v>
      </c>
      <c r="E3517" s="1">
        <v>10</v>
      </c>
      <c r="F3517" s="1">
        <v>40</v>
      </c>
    </row>
    <row r="3518" spans="1:6">
      <c r="A3518">
        <v>13</v>
      </c>
      <c r="B3518" t="s">
        <v>200</v>
      </c>
      <c r="C3518" s="1">
        <v>1</v>
      </c>
      <c r="D3518" s="1" t="s">
        <v>194</v>
      </c>
      <c r="E3518" s="1">
        <v>22</v>
      </c>
      <c r="F3518" s="1" t="s">
        <v>194</v>
      </c>
    </row>
    <row r="3519" spans="1:6">
      <c r="A3519">
        <v>13</v>
      </c>
      <c r="B3519" t="s">
        <v>200</v>
      </c>
      <c r="C3519" s="1">
        <v>1</v>
      </c>
      <c r="D3519" s="1">
        <v>42</v>
      </c>
      <c r="E3519" s="1">
        <v>30</v>
      </c>
      <c r="F3519" s="1">
        <v>42</v>
      </c>
    </row>
    <row r="3520" spans="1:6">
      <c r="A3520">
        <v>13</v>
      </c>
      <c r="B3520" t="s">
        <v>200</v>
      </c>
      <c r="C3520" s="1">
        <v>1</v>
      </c>
      <c r="D3520" s="1" t="s">
        <v>195</v>
      </c>
      <c r="E3520" s="1">
        <v>32</v>
      </c>
      <c r="F3520" s="1" t="s">
        <v>195</v>
      </c>
    </row>
    <row r="3521" spans="1:6">
      <c r="A3521">
        <v>13</v>
      </c>
      <c r="B3521" t="s">
        <v>200</v>
      </c>
      <c r="C3521" s="1">
        <v>1</v>
      </c>
      <c r="D3521" s="1">
        <v>43</v>
      </c>
      <c r="E3521" s="1">
        <v>40</v>
      </c>
      <c r="F3521" s="1">
        <v>43</v>
      </c>
    </row>
    <row r="3522" spans="1:6">
      <c r="A3522">
        <v>13</v>
      </c>
      <c r="B3522" t="s">
        <v>200</v>
      </c>
      <c r="C3522" s="1">
        <v>1</v>
      </c>
      <c r="D3522" s="1" t="s">
        <v>196</v>
      </c>
      <c r="E3522" s="1">
        <v>42</v>
      </c>
      <c r="F3522" s="1" t="s">
        <v>196</v>
      </c>
    </row>
    <row r="3523" spans="1:6">
      <c r="A3523">
        <v>13</v>
      </c>
      <c r="B3523" t="s">
        <v>200</v>
      </c>
      <c r="C3523" s="1">
        <v>1</v>
      </c>
      <c r="D3523" s="1">
        <v>44</v>
      </c>
      <c r="E3523" s="1">
        <v>50</v>
      </c>
      <c r="F3523" s="1">
        <v>44</v>
      </c>
    </row>
    <row r="3524" spans="1:6">
      <c r="A3524">
        <v>13</v>
      </c>
      <c r="B3524" t="s">
        <v>200</v>
      </c>
      <c r="C3524" s="1">
        <v>1</v>
      </c>
      <c r="D3524" s="1" t="s">
        <v>197</v>
      </c>
      <c r="E3524" s="1">
        <v>52</v>
      </c>
      <c r="F3524" s="1" t="s">
        <v>197</v>
      </c>
    </row>
    <row r="3525" spans="1:6">
      <c r="A3525">
        <v>13</v>
      </c>
      <c r="B3525" t="s">
        <v>200</v>
      </c>
      <c r="C3525" s="1">
        <v>1</v>
      </c>
      <c r="D3525" s="1" t="s">
        <v>198</v>
      </c>
      <c r="E3525" s="1">
        <v>62</v>
      </c>
      <c r="F3525" s="1" t="s">
        <v>198</v>
      </c>
    </row>
    <row r="3526" spans="1:6">
      <c r="A3526">
        <v>13</v>
      </c>
      <c r="B3526" t="s">
        <v>200</v>
      </c>
      <c r="C3526" s="1">
        <v>1</v>
      </c>
      <c r="D3526" s="1" t="s">
        <v>199</v>
      </c>
      <c r="E3526" s="1">
        <v>72</v>
      </c>
      <c r="F3526" s="1" t="s">
        <v>199</v>
      </c>
    </row>
    <row r="3527" spans="1:6">
      <c r="A3527">
        <v>13</v>
      </c>
      <c r="B3527" t="s">
        <v>200</v>
      </c>
      <c r="C3527" s="1">
        <v>1</v>
      </c>
      <c r="D3527" s="1">
        <v>39</v>
      </c>
      <c r="F3527" s="1">
        <v>39</v>
      </c>
    </row>
    <row r="3528" spans="1:6">
      <c r="A3528">
        <v>21</v>
      </c>
      <c r="B3528" t="s">
        <v>205</v>
      </c>
      <c r="C3528" s="1">
        <v>1</v>
      </c>
      <c r="D3528" s="1" t="s">
        <v>287</v>
      </c>
      <c r="E3528" s="1">
        <v>52</v>
      </c>
      <c r="F3528" s="1" t="s">
        <v>287</v>
      </c>
    </row>
    <row r="3529" spans="1:6">
      <c r="A3529">
        <v>1</v>
      </c>
      <c r="B3529" t="s">
        <v>137</v>
      </c>
      <c r="C3529" s="1">
        <v>1</v>
      </c>
      <c r="D3529" s="1">
        <v>14</v>
      </c>
      <c r="E3529" s="1">
        <v>70</v>
      </c>
      <c r="F3529" s="1">
        <v>14</v>
      </c>
    </row>
    <row r="3530" spans="1:6">
      <c r="A3530">
        <v>1</v>
      </c>
      <c r="B3530" t="s">
        <v>137</v>
      </c>
      <c r="C3530" s="1">
        <v>2</v>
      </c>
      <c r="D3530" s="1">
        <v>20</v>
      </c>
      <c r="E3530" s="1">
        <v>20</v>
      </c>
      <c r="F3530" s="1">
        <v>20</v>
      </c>
    </row>
    <row r="3531" spans="1:6">
      <c r="A3531">
        <v>2</v>
      </c>
      <c r="B3531" t="s">
        <v>181</v>
      </c>
      <c r="C3531" s="1">
        <v>2</v>
      </c>
      <c r="D3531" s="1">
        <v>11</v>
      </c>
      <c r="E3531" s="1">
        <v>20</v>
      </c>
      <c r="F3531" s="1">
        <v>11</v>
      </c>
    </row>
    <row r="3532" spans="1:6">
      <c r="A3532">
        <v>2</v>
      </c>
      <c r="B3532" t="s">
        <v>181</v>
      </c>
      <c r="C3532" s="1">
        <v>2</v>
      </c>
      <c r="D3532" s="1">
        <v>13</v>
      </c>
      <c r="E3532" s="1">
        <v>42</v>
      </c>
      <c r="F3532" s="1">
        <v>13</v>
      </c>
    </row>
    <row r="3533" spans="1:6">
      <c r="A3533">
        <v>2</v>
      </c>
      <c r="B3533" t="s">
        <v>181</v>
      </c>
      <c r="C3533" s="1">
        <v>2</v>
      </c>
      <c r="D3533" s="1">
        <v>14</v>
      </c>
      <c r="E3533" s="1">
        <v>50</v>
      </c>
      <c r="F3533" s="1">
        <v>14</v>
      </c>
    </row>
    <row r="3534" spans="1:6">
      <c r="A3534">
        <v>11</v>
      </c>
      <c r="B3534" t="s">
        <v>186</v>
      </c>
      <c r="C3534" s="1">
        <v>1</v>
      </c>
      <c r="D3534" s="1">
        <v>42</v>
      </c>
      <c r="E3534" s="1">
        <v>30</v>
      </c>
      <c r="F3534" s="1">
        <v>42</v>
      </c>
    </row>
    <row r="3535" spans="1:6">
      <c r="A3535">
        <v>11</v>
      </c>
      <c r="B3535" t="s">
        <v>186</v>
      </c>
      <c r="C3535" s="1">
        <v>1</v>
      </c>
      <c r="D3535" s="1">
        <v>43</v>
      </c>
      <c r="E3535" s="1">
        <v>40</v>
      </c>
      <c r="F3535" s="1">
        <v>43</v>
      </c>
    </row>
    <row r="3536" spans="1:6">
      <c r="A3536">
        <v>11</v>
      </c>
      <c r="B3536" t="s">
        <v>186</v>
      </c>
      <c r="C3536" s="1">
        <v>1</v>
      </c>
      <c r="D3536" s="1" t="s">
        <v>197</v>
      </c>
      <c r="E3536" s="1">
        <v>52</v>
      </c>
      <c r="F3536" s="1" t="s">
        <v>197</v>
      </c>
    </row>
    <row r="3537" spans="1:6">
      <c r="A3537">
        <v>11</v>
      </c>
      <c r="B3537" t="s">
        <v>186</v>
      </c>
      <c r="C3537" s="1">
        <v>1</v>
      </c>
      <c r="D3537" s="1">
        <v>45</v>
      </c>
      <c r="E3537" s="1">
        <v>60</v>
      </c>
      <c r="F3537" s="1">
        <v>45</v>
      </c>
    </row>
    <row r="3538" spans="1:6">
      <c r="A3538">
        <v>11</v>
      </c>
      <c r="B3538" t="s">
        <v>186</v>
      </c>
      <c r="C3538" s="1">
        <v>1</v>
      </c>
      <c r="D3538" s="1" t="s">
        <v>198</v>
      </c>
      <c r="E3538" s="1">
        <v>62</v>
      </c>
      <c r="F3538" s="1" t="s">
        <v>198</v>
      </c>
    </row>
    <row r="3539" spans="1:6">
      <c r="A3539">
        <v>11</v>
      </c>
      <c r="B3539" t="s">
        <v>186</v>
      </c>
      <c r="C3539" s="1">
        <v>1</v>
      </c>
      <c r="D3539" s="1" t="s">
        <v>199</v>
      </c>
      <c r="E3539" s="1">
        <v>72</v>
      </c>
      <c r="F3539" s="1" t="s">
        <v>199</v>
      </c>
    </row>
    <row r="3540" spans="1:6">
      <c r="A3540">
        <v>12</v>
      </c>
      <c r="B3540" t="s">
        <v>107</v>
      </c>
      <c r="C3540" s="1">
        <v>1</v>
      </c>
      <c r="D3540" s="1" t="s">
        <v>197</v>
      </c>
      <c r="E3540" s="1">
        <v>52</v>
      </c>
      <c r="F3540" s="1" t="s">
        <v>197</v>
      </c>
    </row>
    <row r="3542" spans="1:6">
      <c r="A3542">
        <v>2</v>
      </c>
      <c r="B3542" t="s">
        <v>181</v>
      </c>
      <c r="C3542" s="1">
        <v>1</v>
      </c>
      <c r="D3542" s="1">
        <v>5</v>
      </c>
      <c r="E3542" s="1">
        <v>70</v>
      </c>
      <c r="F3542" s="1">
        <v>5</v>
      </c>
    </row>
    <row r="3543" spans="1:6">
      <c r="A3543">
        <v>2</v>
      </c>
      <c r="B3543" t="s">
        <v>181</v>
      </c>
      <c r="C3543" s="1">
        <v>1</v>
      </c>
      <c r="D3543" s="1">
        <v>7</v>
      </c>
      <c r="E3543" s="1">
        <v>92</v>
      </c>
      <c r="F3543" s="1">
        <v>7</v>
      </c>
    </row>
    <row r="3544" spans="1:6">
      <c r="A3544">
        <v>2</v>
      </c>
      <c r="B3544" t="s">
        <v>181</v>
      </c>
      <c r="C3544" s="1">
        <v>1</v>
      </c>
      <c r="D3544" s="1">
        <v>8</v>
      </c>
      <c r="E3544" s="1">
        <v>94</v>
      </c>
      <c r="F3544" s="1">
        <v>8</v>
      </c>
    </row>
    <row r="3545" spans="1:6">
      <c r="A3545">
        <v>2</v>
      </c>
      <c r="B3545" t="s">
        <v>181</v>
      </c>
      <c r="C3545" s="1">
        <v>1</v>
      </c>
      <c r="D3545" s="1" t="s">
        <v>333</v>
      </c>
      <c r="E3545" s="1">
        <v>96</v>
      </c>
      <c r="F3545" s="1" t="s">
        <v>333</v>
      </c>
    </row>
    <row r="3546" spans="1:6">
      <c r="A3546">
        <v>2</v>
      </c>
      <c r="B3546" t="s">
        <v>181</v>
      </c>
      <c r="C3546" s="1">
        <v>2</v>
      </c>
      <c r="D3546" s="1">
        <v>9</v>
      </c>
      <c r="E3546" s="1">
        <v>2</v>
      </c>
      <c r="F3546" s="1">
        <v>9</v>
      </c>
    </row>
    <row r="3547" spans="1:6">
      <c r="A3547">
        <v>2</v>
      </c>
      <c r="B3547" t="s">
        <v>181</v>
      </c>
      <c r="C3547" s="1">
        <v>2</v>
      </c>
      <c r="D3547" s="1">
        <v>10</v>
      </c>
      <c r="E3547" s="1">
        <v>10</v>
      </c>
      <c r="F3547" s="1">
        <v>10</v>
      </c>
    </row>
    <row r="3548" spans="1:6">
      <c r="A3548">
        <v>2</v>
      </c>
      <c r="B3548" t="s">
        <v>181</v>
      </c>
      <c r="C3548" s="1">
        <v>2</v>
      </c>
      <c r="D3548" s="1">
        <v>10</v>
      </c>
      <c r="E3548" s="1">
        <v>12</v>
      </c>
      <c r="F3548" s="1">
        <v>10</v>
      </c>
    </row>
    <row r="3549" spans="1:6">
      <c r="A3549">
        <v>2</v>
      </c>
      <c r="B3549" t="s">
        <v>181</v>
      </c>
      <c r="C3549" s="1">
        <v>2</v>
      </c>
      <c r="D3549" s="1">
        <v>11</v>
      </c>
      <c r="E3549" s="1">
        <v>20</v>
      </c>
      <c r="F3549" s="1">
        <v>11</v>
      </c>
    </row>
    <row r="3550" spans="1:6">
      <c r="A3550">
        <v>2</v>
      </c>
      <c r="B3550" t="s">
        <v>181</v>
      </c>
      <c r="C3550" s="1">
        <v>2</v>
      </c>
      <c r="D3550" s="1" t="s">
        <v>389</v>
      </c>
      <c r="E3550" s="1">
        <v>22</v>
      </c>
      <c r="F3550" s="1" t="s">
        <v>389</v>
      </c>
    </row>
    <row r="3551" spans="1:6">
      <c r="A3551">
        <v>2</v>
      </c>
      <c r="B3551" t="s">
        <v>181</v>
      </c>
      <c r="C3551" s="1">
        <v>2</v>
      </c>
      <c r="D3551" s="1">
        <v>12</v>
      </c>
      <c r="E3551" s="1">
        <v>30</v>
      </c>
      <c r="F3551" s="1">
        <v>12</v>
      </c>
    </row>
    <row r="3552" spans="1:6">
      <c r="A3552">
        <v>2</v>
      </c>
      <c r="B3552" t="s">
        <v>181</v>
      </c>
      <c r="C3552" s="1">
        <v>2</v>
      </c>
      <c r="D3552" s="1">
        <v>12</v>
      </c>
      <c r="E3552" s="1">
        <v>32</v>
      </c>
      <c r="F3552" s="1">
        <v>12</v>
      </c>
    </row>
    <row r="3553" spans="1:6">
      <c r="A3553">
        <v>2</v>
      </c>
      <c r="B3553" t="s">
        <v>181</v>
      </c>
      <c r="C3553" s="1">
        <v>2</v>
      </c>
      <c r="D3553" s="1">
        <v>13</v>
      </c>
      <c r="E3553" s="1">
        <v>40</v>
      </c>
      <c r="F3553" s="1">
        <v>13</v>
      </c>
    </row>
    <row r="3554" spans="1:6">
      <c r="A3554">
        <v>2</v>
      </c>
      <c r="B3554" t="s">
        <v>181</v>
      </c>
      <c r="C3554" s="1">
        <v>2</v>
      </c>
      <c r="D3554" s="1">
        <v>13</v>
      </c>
      <c r="E3554" s="1">
        <v>42</v>
      </c>
      <c r="F3554" s="1">
        <v>13</v>
      </c>
    </row>
    <row r="3555" spans="1:6">
      <c r="A3555">
        <v>2</v>
      </c>
      <c r="B3555" t="s">
        <v>181</v>
      </c>
      <c r="C3555" s="1">
        <v>2</v>
      </c>
      <c r="D3555" s="1" t="s">
        <v>147</v>
      </c>
      <c r="E3555" s="1">
        <v>52</v>
      </c>
      <c r="F3555" s="1" t="s">
        <v>147</v>
      </c>
    </row>
    <row r="3556" spans="1:6">
      <c r="A3556">
        <v>2</v>
      </c>
      <c r="B3556" t="s">
        <v>181</v>
      </c>
      <c r="C3556" s="1">
        <v>2</v>
      </c>
      <c r="D3556" s="1">
        <v>16</v>
      </c>
      <c r="E3556" s="1">
        <v>70</v>
      </c>
      <c r="F3556" s="1">
        <v>16</v>
      </c>
    </row>
    <row r="3557" spans="1:6">
      <c r="A3557">
        <v>2</v>
      </c>
      <c r="B3557" t="s">
        <v>181</v>
      </c>
      <c r="C3557" s="1">
        <v>2</v>
      </c>
      <c r="D3557" s="1">
        <v>9</v>
      </c>
      <c r="F3557" s="1">
        <v>9</v>
      </c>
    </row>
    <row r="3558" spans="1:6">
      <c r="A3558">
        <v>11</v>
      </c>
      <c r="B3558" t="s">
        <v>186</v>
      </c>
      <c r="C3558" s="1">
        <v>1</v>
      </c>
      <c r="D3558" s="1" t="s">
        <v>193</v>
      </c>
      <c r="E3558" s="1">
        <v>12</v>
      </c>
      <c r="F3558" s="1" t="s">
        <v>193</v>
      </c>
    </row>
    <row r="3559" spans="1:6">
      <c r="A3559">
        <v>11</v>
      </c>
      <c r="B3559" t="s">
        <v>186</v>
      </c>
      <c r="C3559" s="1">
        <v>1</v>
      </c>
      <c r="D3559" s="1" t="s">
        <v>195</v>
      </c>
      <c r="E3559" s="1">
        <v>32</v>
      </c>
      <c r="F3559" s="1" t="s">
        <v>195</v>
      </c>
    </row>
    <row r="3560" spans="1:6">
      <c r="A3560">
        <v>11</v>
      </c>
      <c r="B3560" t="s">
        <v>186</v>
      </c>
      <c r="C3560" s="1">
        <v>1</v>
      </c>
      <c r="D3560" s="1">
        <v>45</v>
      </c>
      <c r="E3560" s="1">
        <v>60</v>
      </c>
      <c r="F3560" s="1">
        <v>45</v>
      </c>
    </row>
    <row r="3561" spans="1:6">
      <c r="A3561">
        <v>24</v>
      </c>
      <c r="B3561" t="s">
        <v>208</v>
      </c>
      <c r="E3561" s="1">
        <v>60</v>
      </c>
    </row>
    <row r="3562" spans="1:6">
      <c r="A3562">
        <v>24</v>
      </c>
      <c r="B3562" t="s">
        <v>208</v>
      </c>
      <c r="E3562" s="1">
        <v>80</v>
      </c>
    </row>
    <row r="3563" spans="1:6">
      <c r="A3563">
        <v>24</v>
      </c>
      <c r="B3563" t="s">
        <v>208</v>
      </c>
      <c r="E3563" s="1">
        <v>90</v>
      </c>
    </row>
    <row r="3564" spans="1:6">
      <c r="A3564">
        <v>33</v>
      </c>
      <c r="B3564" t="s">
        <v>213</v>
      </c>
      <c r="E3564" s="1">
        <v>70</v>
      </c>
    </row>
    <row r="3565" spans="1:6">
      <c r="A3565">
        <v>39</v>
      </c>
      <c r="B3565" t="s">
        <v>218</v>
      </c>
      <c r="C3565" s="1">
        <v>1</v>
      </c>
      <c r="D3565" s="1" t="s">
        <v>432</v>
      </c>
      <c r="E3565" s="1">
        <v>80</v>
      </c>
      <c r="F3565" s="1" t="s">
        <v>432</v>
      </c>
    </row>
    <row r="3566" spans="1:6">
      <c r="A3566">
        <v>41</v>
      </c>
      <c r="B3566" t="s">
        <v>219</v>
      </c>
      <c r="C3566" s="1">
        <v>1</v>
      </c>
      <c r="D3566" s="1" t="s">
        <v>442</v>
      </c>
      <c r="E3566" s="1">
        <v>10</v>
      </c>
      <c r="F3566" s="1" t="s">
        <v>442</v>
      </c>
    </row>
    <row r="3567" spans="1:6">
      <c r="A3567">
        <v>41</v>
      </c>
      <c r="B3567" t="s">
        <v>219</v>
      </c>
      <c r="C3567" s="1">
        <v>1</v>
      </c>
      <c r="D3567" s="1" t="s">
        <v>443</v>
      </c>
      <c r="F3567" s="1" t="s">
        <v>443</v>
      </c>
    </row>
    <row r="3568" spans="1:6">
      <c r="A3568">
        <v>41</v>
      </c>
      <c r="B3568" t="s">
        <v>219</v>
      </c>
      <c r="E3568" s="1">
        <v>30</v>
      </c>
    </row>
    <row r="3569" spans="1:6">
      <c r="A3569">
        <v>41</v>
      </c>
      <c r="B3569" t="s">
        <v>219</v>
      </c>
      <c r="E3569" s="1">
        <v>70</v>
      </c>
    </row>
    <row r="3570" spans="1:6">
      <c r="A3570">
        <v>41</v>
      </c>
      <c r="B3570" t="s">
        <v>219</v>
      </c>
      <c r="E3570" s="1">
        <v>90</v>
      </c>
    </row>
    <row r="3571" spans="1:6">
      <c r="A3571">
        <v>41</v>
      </c>
      <c r="B3571" t="s">
        <v>219</v>
      </c>
      <c r="E3571" s="1">
        <v>91</v>
      </c>
    </row>
    <row r="3572" spans="1:6">
      <c r="A3572">
        <v>44</v>
      </c>
      <c r="B3572" t="s">
        <v>222</v>
      </c>
      <c r="C3572" s="1">
        <v>4</v>
      </c>
      <c r="D3572" s="1" t="s">
        <v>643</v>
      </c>
      <c r="E3572" s="1">
        <v>44</v>
      </c>
      <c r="F3572" s="1" t="s">
        <v>643</v>
      </c>
    </row>
    <row r="3573" spans="1:6">
      <c r="A3573">
        <v>44</v>
      </c>
      <c r="B3573" t="s">
        <v>222</v>
      </c>
      <c r="C3573" s="1">
        <v>5</v>
      </c>
      <c r="D3573" s="1" t="s">
        <v>644</v>
      </c>
      <c r="F3573" s="1" t="s">
        <v>644</v>
      </c>
    </row>
    <row r="3574" spans="1:6">
      <c r="A3574">
        <v>44</v>
      </c>
      <c r="B3574" t="s">
        <v>222</v>
      </c>
      <c r="E3574" s="1">
        <v>30</v>
      </c>
    </row>
    <row r="3575" spans="1:6">
      <c r="A3575">
        <v>45</v>
      </c>
      <c r="B3575" t="s">
        <v>223</v>
      </c>
      <c r="C3575" s="1">
        <v>1</v>
      </c>
      <c r="D3575" s="1" t="s">
        <v>336</v>
      </c>
      <c r="E3575" s="1">
        <v>1</v>
      </c>
      <c r="F3575" s="1" t="s">
        <v>645</v>
      </c>
    </row>
    <row r="3576" spans="1:6">
      <c r="A3576">
        <v>45</v>
      </c>
      <c r="B3576" t="s">
        <v>223</v>
      </c>
      <c r="C3576" s="1">
        <v>1</v>
      </c>
      <c r="D3576" s="1" t="s">
        <v>324</v>
      </c>
      <c r="E3576" s="1">
        <v>14</v>
      </c>
      <c r="F3576" s="1" t="s">
        <v>325</v>
      </c>
    </row>
    <row r="3577" spans="1:6">
      <c r="A3577">
        <v>45</v>
      </c>
      <c r="B3577" t="s">
        <v>223</v>
      </c>
      <c r="C3577" s="1">
        <v>1</v>
      </c>
      <c r="D3577" s="1" t="s">
        <v>646</v>
      </c>
      <c r="E3577" s="1">
        <v>74</v>
      </c>
      <c r="F3577" s="1" t="s">
        <v>647</v>
      </c>
    </row>
    <row r="3578" spans="1:6">
      <c r="A3578">
        <v>45</v>
      </c>
      <c r="B3578" t="s">
        <v>223</v>
      </c>
      <c r="C3578" s="1">
        <v>2</v>
      </c>
      <c r="D3578" s="1" t="s">
        <v>524</v>
      </c>
      <c r="E3578" s="1">
        <v>24</v>
      </c>
      <c r="F3578" s="1" t="s">
        <v>524</v>
      </c>
    </row>
    <row r="3579" spans="1:6">
      <c r="A3579">
        <v>55</v>
      </c>
      <c r="B3579" t="s">
        <v>648</v>
      </c>
      <c r="E3579" s="1">
        <v>12</v>
      </c>
    </row>
    <row r="3580" spans="1:6">
      <c r="A3580">
        <v>86</v>
      </c>
      <c r="B3580" t="s">
        <v>243</v>
      </c>
      <c r="C3580" s="1">
        <v>4</v>
      </c>
      <c r="D3580" s="1" t="s">
        <v>643</v>
      </c>
      <c r="E3580" s="1">
        <v>1</v>
      </c>
      <c r="F3580" s="1" t="s">
        <v>643</v>
      </c>
    </row>
    <row r="3581" spans="1:6">
      <c r="A3581">
        <v>1</v>
      </c>
      <c r="B3581" t="s">
        <v>137</v>
      </c>
      <c r="C3581" s="1">
        <v>1</v>
      </c>
      <c r="D3581" s="1">
        <v>14</v>
      </c>
      <c r="E3581" s="1">
        <v>70</v>
      </c>
      <c r="F3581" s="1">
        <v>14</v>
      </c>
    </row>
    <row r="3582" spans="1:6">
      <c r="A3582">
        <v>1</v>
      </c>
      <c r="B3582" t="s">
        <v>137</v>
      </c>
      <c r="C3582" s="1">
        <v>1</v>
      </c>
      <c r="D3582" s="1">
        <v>15</v>
      </c>
      <c r="E3582" s="1">
        <v>80</v>
      </c>
      <c r="F3582" s="1">
        <v>15</v>
      </c>
    </row>
    <row r="3583" spans="1:6">
      <c r="A3583">
        <v>1</v>
      </c>
      <c r="B3583" t="s">
        <v>137</v>
      </c>
      <c r="C3583" s="1">
        <v>1</v>
      </c>
      <c r="D3583" s="1" t="s">
        <v>150</v>
      </c>
      <c r="E3583" s="1">
        <v>82</v>
      </c>
      <c r="F3583" s="1" t="s">
        <v>150</v>
      </c>
    </row>
    <row r="3584" spans="1:6">
      <c r="A3584">
        <v>1</v>
      </c>
      <c r="B3584" t="s">
        <v>137</v>
      </c>
      <c r="C3584" s="1">
        <v>1</v>
      </c>
      <c r="D3584" s="1">
        <v>16</v>
      </c>
      <c r="E3584" s="1">
        <v>90</v>
      </c>
      <c r="F3584" s="1">
        <v>16</v>
      </c>
    </row>
    <row r="3585" spans="1:6">
      <c r="A3585">
        <v>1</v>
      </c>
      <c r="B3585" t="s">
        <v>137</v>
      </c>
      <c r="C3585" s="1">
        <v>1</v>
      </c>
      <c r="D3585" s="1" t="s">
        <v>153</v>
      </c>
      <c r="E3585" s="1">
        <v>92</v>
      </c>
      <c r="F3585" s="1" t="s">
        <v>153</v>
      </c>
    </row>
    <row r="3586" spans="1:6">
      <c r="A3586">
        <v>1</v>
      </c>
      <c r="B3586" t="s">
        <v>137</v>
      </c>
      <c r="C3586" s="1">
        <v>1</v>
      </c>
      <c r="D3586" s="1">
        <v>17</v>
      </c>
      <c r="E3586" s="1">
        <v>94</v>
      </c>
      <c r="F3586" s="1">
        <v>17</v>
      </c>
    </row>
    <row r="3587" spans="1:6">
      <c r="A3587">
        <v>1</v>
      </c>
      <c r="B3587" t="s">
        <v>137</v>
      </c>
      <c r="C3587" s="1">
        <v>1</v>
      </c>
      <c r="D3587" s="1" t="s">
        <v>156</v>
      </c>
      <c r="E3587" s="1">
        <v>96</v>
      </c>
      <c r="F3587" s="1" t="s">
        <v>156</v>
      </c>
    </row>
    <row r="3588" spans="1:6">
      <c r="A3588">
        <v>1</v>
      </c>
      <c r="B3588" t="s">
        <v>137</v>
      </c>
      <c r="C3588" s="1">
        <v>2</v>
      </c>
      <c r="D3588" s="1" t="s">
        <v>159</v>
      </c>
      <c r="E3588" s="1">
        <v>2</v>
      </c>
      <c r="F3588" s="1" t="s">
        <v>159</v>
      </c>
    </row>
    <row r="3589" spans="1:6">
      <c r="A3589">
        <v>1</v>
      </c>
      <c r="B3589" t="s">
        <v>137</v>
      </c>
      <c r="C3589" s="1">
        <v>2</v>
      </c>
      <c r="D3589" s="1">
        <v>19</v>
      </c>
      <c r="E3589" s="1">
        <v>10</v>
      </c>
      <c r="F3589" s="1">
        <v>19</v>
      </c>
    </row>
    <row r="3590" spans="1:6">
      <c r="A3590">
        <v>1</v>
      </c>
      <c r="B3590" t="s">
        <v>137</v>
      </c>
      <c r="C3590" s="1">
        <v>2</v>
      </c>
      <c r="D3590" s="1" t="s">
        <v>162</v>
      </c>
      <c r="E3590" s="1">
        <v>12</v>
      </c>
      <c r="F3590" s="1" t="s">
        <v>162</v>
      </c>
    </row>
    <row r="3591" spans="1:6">
      <c r="A3591">
        <v>1</v>
      </c>
      <c r="B3591" t="s">
        <v>137</v>
      </c>
      <c r="C3591" s="1">
        <v>2</v>
      </c>
      <c r="D3591" s="1">
        <v>20</v>
      </c>
      <c r="E3591" s="1">
        <v>20</v>
      </c>
      <c r="F3591" s="1">
        <v>20</v>
      </c>
    </row>
    <row r="3592" spans="1:6">
      <c r="A3592">
        <v>1</v>
      </c>
      <c r="B3592" t="s">
        <v>137</v>
      </c>
      <c r="C3592" s="1">
        <v>2</v>
      </c>
      <c r="D3592" s="1" t="s">
        <v>165</v>
      </c>
      <c r="E3592" s="1">
        <v>22</v>
      </c>
      <c r="F3592" s="1" t="s">
        <v>165</v>
      </c>
    </row>
    <row r="3593" spans="1:6">
      <c r="A3593">
        <v>1</v>
      </c>
      <c r="B3593" t="s">
        <v>137</v>
      </c>
      <c r="C3593" s="1">
        <v>2</v>
      </c>
      <c r="D3593" s="1">
        <v>21</v>
      </c>
      <c r="E3593" s="1">
        <v>30</v>
      </c>
      <c r="F3593" s="1">
        <v>21</v>
      </c>
    </row>
    <row r="3594" spans="1:6">
      <c r="A3594">
        <v>1</v>
      </c>
      <c r="B3594" t="s">
        <v>137</v>
      </c>
      <c r="C3594" s="1">
        <v>2</v>
      </c>
      <c r="D3594" s="1" t="s">
        <v>168</v>
      </c>
      <c r="E3594" s="1">
        <v>32</v>
      </c>
      <c r="F3594" s="1" t="s">
        <v>168</v>
      </c>
    </row>
    <row r="3595" spans="1:6">
      <c r="A3595">
        <v>1</v>
      </c>
      <c r="B3595" t="s">
        <v>137</v>
      </c>
      <c r="C3595" s="1">
        <v>2</v>
      </c>
      <c r="D3595" s="1">
        <v>18</v>
      </c>
      <c r="F3595" s="1">
        <v>18</v>
      </c>
    </row>
    <row r="3596" spans="1:6">
      <c r="A3596">
        <v>11</v>
      </c>
      <c r="B3596" t="s">
        <v>186</v>
      </c>
      <c r="C3596" s="1">
        <v>1</v>
      </c>
      <c r="D3596" s="1">
        <v>40</v>
      </c>
      <c r="E3596" s="1">
        <v>10</v>
      </c>
      <c r="F3596" s="1">
        <v>40</v>
      </c>
    </row>
    <row r="3597" spans="1:6">
      <c r="A3597">
        <v>11</v>
      </c>
      <c r="B3597" t="s">
        <v>186</v>
      </c>
      <c r="C3597" s="1">
        <v>1</v>
      </c>
      <c r="D3597" s="1" t="s">
        <v>193</v>
      </c>
      <c r="E3597" s="1">
        <v>12</v>
      </c>
      <c r="F3597" s="1" t="s">
        <v>193</v>
      </c>
    </row>
    <row r="3598" spans="1:6">
      <c r="A3598">
        <v>11</v>
      </c>
      <c r="B3598" t="s">
        <v>186</v>
      </c>
      <c r="C3598" s="1">
        <v>1</v>
      </c>
      <c r="D3598" s="1">
        <v>41</v>
      </c>
      <c r="E3598" s="1">
        <v>20</v>
      </c>
      <c r="F3598" s="1">
        <v>41</v>
      </c>
    </row>
    <row r="3599" spans="1:6">
      <c r="A3599">
        <v>11</v>
      </c>
      <c r="B3599" t="s">
        <v>186</v>
      </c>
      <c r="C3599" s="1">
        <v>1</v>
      </c>
      <c r="D3599" s="1" t="s">
        <v>194</v>
      </c>
      <c r="E3599" s="1">
        <v>22</v>
      </c>
      <c r="F3599" s="1" t="s">
        <v>194</v>
      </c>
    </row>
    <row r="3600" spans="1:6">
      <c r="A3600">
        <v>11</v>
      </c>
      <c r="B3600" t="s">
        <v>186</v>
      </c>
      <c r="C3600" s="1">
        <v>1</v>
      </c>
      <c r="D3600" s="1">
        <v>42</v>
      </c>
      <c r="E3600" s="1">
        <v>30</v>
      </c>
      <c r="F3600" s="1">
        <v>42</v>
      </c>
    </row>
    <row r="3601" spans="1:6">
      <c r="A3601">
        <v>11</v>
      </c>
      <c r="B3601" t="s">
        <v>186</v>
      </c>
      <c r="C3601" s="1">
        <v>1</v>
      </c>
      <c r="D3601" s="1" t="s">
        <v>195</v>
      </c>
      <c r="E3601" s="1">
        <v>32</v>
      </c>
      <c r="F3601" s="1" t="s">
        <v>195</v>
      </c>
    </row>
    <row r="3602" spans="1:6">
      <c r="A3602">
        <v>11</v>
      </c>
      <c r="B3602" t="s">
        <v>186</v>
      </c>
      <c r="C3602" s="1">
        <v>1</v>
      </c>
      <c r="D3602" s="1">
        <v>43</v>
      </c>
      <c r="E3602" s="1">
        <v>40</v>
      </c>
      <c r="F3602" s="1">
        <v>43</v>
      </c>
    </row>
    <row r="3603" spans="1:6">
      <c r="A3603">
        <v>11</v>
      </c>
      <c r="B3603" t="s">
        <v>186</v>
      </c>
      <c r="C3603" s="1">
        <v>1</v>
      </c>
      <c r="D3603" s="1">
        <v>44</v>
      </c>
      <c r="E3603" s="1">
        <v>50</v>
      </c>
      <c r="F3603" s="1">
        <v>44</v>
      </c>
    </row>
    <row r="3604" spans="1:6">
      <c r="A3604">
        <v>12</v>
      </c>
      <c r="B3604" t="s">
        <v>107</v>
      </c>
      <c r="C3604" s="1">
        <v>1</v>
      </c>
      <c r="D3604" s="1">
        <v>40</v>
      </c>
      <c r="E3604" s="1">
        <v>10</v>
      </c>
      <c r="F3604" s="1">
        <v>40</v>
      </c>
    </row>
    <row r="3605" spans="1:6">
      <c r="A3605">
        <v>12</v>
      </c>
      <c r="B3605" t="s">
        <v>107</v>
      </c>
      <c r="C3605" s="1">
        <v>1</v>
      </c>
      <c r="D3605" s="1" t="s">
        <v>193</v>
      </c>
      <c r="E3605" s="1">
        <v>12</v>
      </c>
      <c r="F3605" s="1" t="s">
        <v>193</v>
      </c>
    </row>
    <row r="3606" spans="1:6">
      <c r="A3606">
        <v>12</v>
      </c>
      <c r="B3606" t="s">
        <v>107</v>
      </c>
      <c r="C3606" s="1">
        <v>1</v>
      </c>
      <c r="D3606" s="1">
        <v>41</v>
      </c>
      <c r="E3606" s="1">
        <v>20</v>
      </c>
      <c r="F3606" s="1">
        <v>41</v>
      </c>
    </row>
    <row r="3607" spans="1:6">
      <c r="A3607">
        <v>12</v>
      </c>
      <c r="B3607" t="s">
        <v>107</v>
      </c>
      <c r="C3607" s="1">
        <v>1</v>
      </c>
      <c r="D3607" s="1" t="s">
        <v>194</v>
      </c>
      <c r="E3607" s="1">
        <v>22</v>
      </c>
      <c r="F3607" s="1" t="s">
        <v>194</v>
      </c>
    </row>
    <row r="3608" spans="1:6">
      <c r="A3608">
        <v>12</v>
      </c>
      <c r="B3608" t="s">
        <v>107</v>
      </c>
      <c r="C3608" s="1">
        <v>1</v>
      </c>
      <c r="D3608" s="1">
        <v>42</v>
      </c>
      <c r="E3608" s="1">
        <v>30</v>
      </c>
      <c r="F3608" s="1">
        <v>42</v>
      </c>
    </row>
    <row r="3609" spans="1:6">
      <c r="A3609">
        <v>12</v>
      </c>
      <c r="B3609" t="s">
        <v>107</v>
      </c>
      <c r="C3609" s="1">
        <v>1</v>
      </c>
      <c r="D3609" s="1" t="s">
        <v>195</v>
      </c>
      <c r="E3609" s="1">
        <v>32</v>
      </c>
      <c r="F3609" s="1" t="s">
        <v>195</v>
      </c>
    </row>
    <row r="3610" spans="1:6">
      <c r="A3610">
        <v>12</v>
      </c>
      <c r="B3610" t="s">
        <v>107</v>
      </c>
      <c r="C3610" s="1">
        <v>1</v>
      </c>
      <c r="D3610" s="1">
        <v>43</v>
      </c>
      <c r="E3610" s="1">
        <v>40</v>
      </c>
      <c r="F3610" s="1">
        <v>43</v>
      </c>
    </row>
    <row r="3611" spans="1:6">
      <c r="A3611">
        <v>12</v>
      </c>
      <c r="B3611" t="s">
        <v>107</v>
      </c>
      <c r="C3611" s="1">
        <v>1</v>
      </c>
      <c r="D3611" s="1" t="s">
        <v>196</v>
      </c>
      <c r="E3611" s="1">
        <v>42</v>
      </c>
      <c r="F3611" s="1" t="s">
        <v>196</v>
      </c>
    </row>
    <row r="3612" spans="1:6">
      <c r="A3612">
        <v>12</v>
      </c>
      <c r="B3612" t="s">
        <v>107</v>
      </c>
      <c r="C3612" s="1">
        <v>1</v>
      </c>
      <c r="D3612" s="1">
        <v>44</v>
      </c>
      <c r="E3612" s="1">
        <v>50</v>
      </c>
      <c r="F3612" s="1">
        <v>44</v>
      </c>
    </row>
    <row r="3613" spans="1:6">
      <c r="A3613">
        <v>12</v>
      </c>
      <c r="B3613" t="s">
        <v>107</v>
      </c>
      <c r="C3613" s="1">
        <v>1</v>
      </c>
      <c r="D3613" s="1" t="s">
        <v>197</v>
      </c>
      <c r="E3613" s="1">
        <v>52</v>
      </c>
      <c r="F3613" s="1" t="s">
        <v>197</v>
      </c>
    </row>
    <row r="3614" spans="1:6">
      <c r="A3614">
        <v>12</v>
      </c>
      <c r="B3614" t="s">
        <v>107</v>
      </c>
      <c r="C3614" s="1">
        <v>1</v>
      </c>
      <c r="D3614" s="1" t="s">
        <v>199</v>
      </c>
      <c r="E3614" s="1">
        <v>72</v>
      </c>
      <c r="F3614" s="1" t="s">
        <v>199</v>
      </c>
    </row>
    <row r="3615" spans="1:6">
      <c r="A3615">
        <v>12</v>
      </c>
      <c r="B3615" t="s">
        <v>107</v>
      </c>
      <c r="E3615" s="1">
        <v>95</v>
      </c>
    </row>
    <row r="3616" spans="1:6">
      <c r="A3616">
        <v>13</v>
      </c>
      <c r="B3616" t="s">
        <v>200</v>
      </c>
      <c r="C3616" s="1">
        <v>1</v>
      </c>
      <c r="D3616" s="1" t="s">
        <v>192</v>
      </c>
      <c r="E3616" s="1">
        <v>2</v>
      </c>
      <c r="F3616" s="1" t="s">
        <v>192</v>
      </c>
    </row>
    <row r="3617" spans="1:6">
      <c r="A3617">
        <v>13</v>
      </c>
      <c r="B3617" t="s">
        <v>200</v>
      </c>
      <c r="C3617" s="1">
        <v>1</v>
      </c>
      <c r="D3617" s="1">
        <v>40</v>
      </c>
      <c r="E3617" s="1">
        <v>10</v>
      </c>
      <c r="F3617" s="1">
        <v>40</v>
      </c>
    </row>
    <row r="3618" spans="1:6">
      <c r="A3618">
        <v>13</v>
      </c>
      <c r="B3618" t="s">
        <v>200</v>
      </c>
      <c r="C3618" s="1">
        <v>1</v>
      </c>
      <c r="D3618" s="1" t="s">
        <v>193</v>
      </c>
      <c r="E3618" s="1">
        <v>12</v>
      </c>
      <c r="F3618" s="1" t="s">
        <v>193</v>
      </c>
    </row>
    <row r="3619" spans="1:6">
      <c r="A3619">
        <v>13</v>
      </c>
      <c r="B3619" t="s">
        <v>200</v>
      </c>
      <c r="C3619" s="1">
        <v>1</v>
      </c>
      <c r="D3619" s="1">
        <v>41</v>
      </c>
      <c r="E3619" s="1">
        <v>20</v>
      </c>
      <c r="F3619" s="1">
        <v>41</v>
      </c>
    </row>
    <row r="3620" spans="1:6">
      <c r="A3620">
        <v>13</v>
      </c>
      <c r="B3620" t="s">
        <v>200</v>
      </c>
      <c r="C3620" s="1">
        <v>1</v>
      </c>
      <c r="D3620" s="1" t="s">
        <v>194</v>
      </c>
      <c r="E3620" s="1">
        <v>22</v>
      </c>
      <c r="F3620" s="1" t="s">
        <v>194</v>
      </c>
    </row>
    <row r="3621" spans="1:6">
      <c r="A3621">
        <v>13</v>
      </c>
      <c r="B3621" t="s">
        <v>200</v>
      </c>
      <c r="C3621" s="1">
        <v>1</v>
      </c>
      <c r="D3621" s="1">
        <v>42</v>
      </c>
      <c r="E3621" s="1">
        <v>30</v>
      </c>
      <c r="F3621" s="1">
        <v>42</v>
      </c>
    </row>
    <row r="3622" spans="1:6">
      <c r="A3622">
        <v>13</v>
      </c>
      <c r="B3622" t="s">
        <v>200</v>
      </c>
      <c r="C3622" s="1">
        <v>1</v>
      </c>
      <c r="D3622" s="1" t="s">
        <v>195</v>
      </c>
      <c r="E3622" s="1">
        <v>32</v>
      </c>
      <c r="F3622" s="1" t="s">
        <v>195</v>
      </c>
    </row>
    <row r="3623" spans="1:6">
      <c r="A3623">
        <v>13</v>
      </c>
      <c r="B3623" t="s">
        <v>200</v>
      </c>
      <c r="C3623" s="1">
        <v>1</v>
      </c>
      <c r="D3623" s="1">
        <v>43</v>
      </c>
      <c r="E3623" s="1">
        <v>40</v>
      </c>
      <c r="F3623" s="1">
        <v>43</v>
      </c>
    </row>
    <row r="3624" spans="1:6">
      <c r="A3624">
        <v>13</v>
      </c>
      <c r="B3624" t="s">
        <v>200</v>
      </c>
      <c r="C3624" s="1">
        <v>1</v>
      </c>
      <c r="D3624" s="1" t="s">
        <v>196</v>
      </c>
      <c r="E3624" s="1">
        <v>42</v>
      </c>
      <c r="F3624" s="1" t="s">
        <v>196</v>
      </c>
    </row>
    <row r="3625" spans="1:6">
      <c r="A3625">
        <v>13</v>
      </c>
      <c r="B3625" t="s">
        <v>200</v>
      </c>
      <c r="C3625" s="1">
        <v>1</v>
      </c>
      <c r="D3625" s="1">
        <v>44</v>
      </c>
      <c r="E3625" s="1">
        <v>50</v>
      </c>
      <c r="F3625" s="1">
        <v>44</v>
      </c>
    </row>
    <row r="3626" spans="1:6">
      <c r="A3626">
        <v>13</v>
      </c>
      <c r="B3626" t="s">
        <v>200</v>
      </c>
      <c r="C3626" s="1">
        <v>1</v>
      </c>
      <c r="D3626" s="1" t="s">
        <v>197</v>
      </c>
      <c r="E3626" s="1">
        <v>52</v>
      </c>
      <c r="F3626" s="1" t="s">
        <v>197</v>
      </c>
    </row>
    <row r="3627" spans="1:6">
      <c r="A3627">
        <v>13</v>
      </c>
      <c r="B3627" t="s">
        <v>200</v>
      </c>
      <c r="C3627" s="1">
        <v>1</v>
      </c>
      <c r="D3627" s="1">
        <v>39</v>
      </c>
      <c r="F3627" s="1">
        <v>39</v>
      </c>
    </row>
    <row r="3628" spans="1:6">
      <c r="A3628">
        <v>13</v>
      </c>
      <c r="B3628" t="s">
        <v>200</v>
      </c>
      <c r="E3628" s="1">
        <v>92</v>
      </c>
    </row>
    <row r="3629" spans="1:6">
      <c r="A3629">
        <v>13</v>
      </c>
      <c r="B3629" t="s">
        <v>200</v>
      </c>
      <c r="E3629" s="1">
        <v>96</v>
      </c>
    </row>
    <row r="3630" spans="1:6">
      <c r="A3630">
        <v>21</v>
      </c>
      <c r="B3630" t="s">
        <v>205</v>
      </c>
      <c r="C3630" s="1">
        <v>1</v>
      </c>
      <c r="D3630" s="1" t="s">
        <v>323</v>
      </c>
      <c r="E3630" s="1">
        <v>32</v>
      </c>
      <c r="F3630" s="1" t="s">
        <v>323</v>
      </c>
    </row>
    <row r="3631" spans="1:6">
      <c r="A3631">
        <v>27</v>
      </c>
      <c r="B3631" t="s">
        <v>210</v>
      </c>
      <c r="C3631" s="1">
        <v>1</v>
      </c>
      <c r="D3631" s="1" t="s">
        <v>196</v>
      </c>
      <c r="E3631" s="1">
        <v>42</v>
      </c>
      <c r="F3631" s="1" t="s">
        <v>196</v>
      </c>
    </row>
    <row r="3632" spans="1:6">
      <c r="A3632">
        <v>39</v>
      </c>
      <c r="B3632" t="s">
        <v>218</v>
      </c>
      <c r="C3632" s="1">
        <v>1</v>
      </c>
      <c r="D3632" s="1" t="s">
        <v>399</v>
      </c>
      <c r="E3632" s="1">
        <v>50</v>
      </c>
      <c r="F3632" s="1" t="s">
        <v>399</v>
      </c>
    </row>
    <row r="3633" spans="1:6">
      <c r="A3633">
        <v>51</v>
      </c>
      <c r="B3633" t="s">
        <v>225</v>
      </c>
      <c r="E3633" s="1">
        <v>10</v>
      </c>
    </row>
    <row r="3634" spans="1:6">
      <c r="A3634">
        <v>51</v>
      </c>
      <c r="B3634" t="s">
        <v>225</v>
      </c>
      <c r="E3634" s="1">
        <v>20</v>
      </c>
    </row>
    <row r="3635" spans="1:6">
      <c r="A3635">
        <v>51</v>
      </c>
      <c r="B3635" t="s">
        <v>225</v>
      </c>
      <c r="E3635" s="1">
        <v>30</v>
      </c>
    </row>
    <row r="3636" spans="1:6">
      <c r="A3636">
        <v>51</v>
      </c>
      <c r="B3636" t="s">
        <v>225</v>
      </c>
      <c r="E3636" s="1">
        <v>40</v>
      </c>
    </row>
    <row r="3637" spans="1:6">
      <c r="A3637">
        <v>90</v>
      </c>
      <c r="B3637" t="s">
        <v>244</v>
      </c>
    </row>
    <row r="3638" spans="1:6">
      <c r="A3638">
        <v>1</v>
      </c>
      <c r="B3638" t="s">
        <v>137</v>
      </c>
      <c r="C3638" s="1">
        <v>1</v>
      </c>
      <c r="D3638" s="1">
        <v>13</v>
      </c>
      <c r="E3638" s="1">
        <v>60</v>
      </c>
      <c r="F3638" s="1">
        <v>13</v>
      </c>
    </row>
    <row r="3639" spans="1:6">
      <c r="A3639">
        <v>6</v>
      </c>
      <c r="B3639" t="s">
        <v>184</v>
      </c>
      <c r="E3639" s="1">
        <v>63</v>
      </c>
    </row>
    <row r="3640" spans="1:6">
      <c r="A3640">
        <v>11</v>
      </c>
      <c r="B3640" t="s">
        <v>186</v>
      </c>
      <c r="C3640" s="1">
        <v>1</v>
      </c>
      <c r="D3640" s="1">
        <v>39</v>
      </c>
      <c r="F3640" s="1">
        <v>39</v>
      </c>
    </row>
    <row r="3641" spans="1:6">
      <c r="A3641">
        <v>13</v>
      </c>
      <c r="B3641" t="s">
        <v>200</v>
      </c>
      <c r="E3641" s="1">
        <v>95</v>
      </c>
    </row>
    <row r="3642" spans="1:6">
      <c r="A3642">
        <v>41</v>
      </c>
      <c r="B3642" t="s">
        <v>219</v>
      </c>
      <c r="C3642" s="1">
        <v>1</v>
      </c>
      <c r="D3642" s="1" t="s">
        <v>511</v>
      </c>
      <c r="E3642" s="1">
        <v>20</v>
      </c>
      <c r="F3642" s="1" t="s">
        <v>511</v>
      </c>
    </row>
    <row r="3643" spans="1:6">
      <c r="A3643">
        <v>41</v>
      </c>
      <c r="B3643" t="s">
        <v>219</v>
      </c>
      <c r="E3643" s="1">
        <v>90</v>
      </c>
    </row>
    <row r="3644" spans="1:6">
      <c r="A3644">
        <v>41</v>
      </c>
      <c r="B3644" t="s">
        <v>219</v>
      </c>
      <c r="E3644" s="1">
        <v>91</v>
      </c>
    </row>
    <row r="3645" spans="1:6">
      <c r="A3645">
        <v>43</v>
      </c>
      <c r="B3645" t="s">
        <v>221</v>
      </c>
      <c r="E3645" s="1">
        <v>40</v>
      </c>
    </row>
    <row r="3646" spans="1:6">
      <c r="A3646">
        <v>90</v>
      </c>
      <c r="B3646" t="s">
        <v>244</v>
      </c>
    </row>
  </sheetData>
  <sortState xmlns:xlrd2="http://schemas.microsoft.com/office/spreadsheetml/2017/richdata2" ref="A130:F133">
    <sortCondition ref="E130:E133"/>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A2423-26E7-4CAB-A033-2EFEF46ABB01}">
  <sheetPr codeName="גיליון29"/>
  <dimension ref="A1:O111"/>
  <sheetViews>
    <sheetView rightToLeft="1" topLeftCell="A33" workbookViewId="0">
      <selection activeCell="A54" sqref="A54:XFD54"/>
    </sheetView>
  </sheetViews>
  <sheetFormatPr defaultRowHeight="14.4"/>
  <cols>
    <col min="4" max="4" width="13.5546875" bestFit="1" customWidth="1"/>
    <col min="5" max="5" width="13.44140625" bestFit="1" customWidth="1"/>
    <col min="13" max="13" width="13.44140625" bestFit="1" customWidth="1"/>
    <col min="14" max="14" width="12.33203125" bestFit="1" customWidth="1"/>
    <col min="15" max="15" width="9.33203125" bestFit="1" customWidth="1"/>
  </cols>
  <sheetData>
    <row r="1" spans="1:15">
      <c r="B1" s="1" t="s">
        <v>17</v>
      </c>
      <c r="D1" s="1" t="s">
        <v>123</v>
      </c>
      <c r="E1" s="1" t="s">
        <v>125</v>
      </c>
      <c r="M1" s="1" t="s">
        <v>123</v>
      </c>
      <c r="N1" s="1"/>
      <c r="O1" s="192">
        <v>328.76</v>
      </c>
    </row>
    <row r="2" spans="1:15">
      <c r="A2">
        <v>1</v>
      </c>
      <c r="B2" s="1">
        <v>10</v>
      </c>
      <c r="C2">
        <v>1</v>
      </c>
      <c r="D2" s="16">
        <v>328.76</v>
      </c>
      <c r="E2" s="192">
        <v>0</v>
      </c>
      <c r="M2" s="1" t="s">
        <v>125</v>
      </c>
      <c r="N2" s="1"/>
      <c r="O2" s="192">
        <v>328.76</v>
      </c>
    </row>
    <row r="3" spans="1:15">
      <c r="A3">
        <v>2</v>
      </c>
      <c r="B3" s="1">
        <v>11</v>
      </c>
      <c r="C3">
        <v>2</v>
      </c>
      <c r="D3" s="16">
        <v>328.76</v>
      </c>
      <c r="E3" s="192">
        <v>0</v>
      </c>
      <c r="M3" s="1" t="s">
        <v>125</v>
      </c>
      <c r="N3" s="1" t="s">
        <v>127</v>
      </c>
      <c r="O3" s="192">
        <v>430.86</v>
      </c>
    </row>
    <row r="4" spans="1:15">
      <c r="A4">
        <v>3</v>
      </c>
      <c r="B4" s="1">
        <v>12</v>
      </c>
      <c r="C4">
        <v>3</v>
      </c>
      <c r="D4" s="16">
        <v>328.76</v>
      </c>
      <c r="E4" s="192">
        <v>0</v>
      </c>
      <c r="M4" s="1" t="s">
        <v>125</v>
      </c>
      <c r="N4" s="1" t="s">
        <v>128</v>
      </c>
      <c r="O4" s="17">
        <v>0.09</v>
      </c>
    </row>
    <row r="5" spans="1:15">
      <c r="A5">
        <v>4</v>
      </c>
      <c r="B5" s="1" t="s">
        <v>141</v>
      </c>
      <c r="C5">
        <v>4</v>
      </c>
      <c r="D5" s="16">
        <v>328.76</v>
      </c>
      <c r="E5" s="192">
        <v>0</v>
      </c>
    </row>
    <row r="6" spans="1:15">
      <c r="A6">
        <v>5</v>
      </c>
      <c r="B6" s="1">
        <v>13</v>
      </c>
      <c r="C6">
        <v>5</v>
      </c>
      <c r="D6" s="16">
        <v>328.76</v>
      </c>
      <c r="E6" s="192">
        <v>0</v>
      </c>
    </row>
    <row r="7" spans="1:15">
      <c r="A7">
        <v>6</v>
      </c>
      <c r="B7" s="1" t="s">
        <v>144</v>
      </c>
      <c r="C7">
        <v>6</v>
      </c>
      <c r="D7" s="16">
        <v>328.76</v>
      </c>
      <c r="E7" s="192">
        <v>0</v>
      </c>
    </row>
    <row r="8" spans="1:15">
      <c r="A8">
        <v>7</v>
      </c>
      <c r="B8" s="1">
        <v>14</v>
      </c>
      <c r="C8">
        <v>7</v>
      </c>
      <c r="D8" s="16">
        <v>328.76</v>
      </c>
      <c r="E8" s="192">
        <v>0</v>
      </c>
    </row>
    <row r="9" spans="1:15">
      <c r="A9">
        <v>8</v>
      </c>
      <c r="B9" s="1" t="s">
        <v>147</v>
      </c>
      <c r="C9">
        <v>8</v>
      </c>
      <c r="D9" s="16">
        <v>328.76</v>
      </c>
      <c r="E9" s="192">
        <v>0</v>
      </c>
    </row>
    <row r="10" spans="1:15">
      <c r="A10">
        <v>9</v>
      </c>
      <c r="B10" s="1">
        <v>15</v>
      </c>
      <c r="C10">
        <v>9</v>
      </c>
      <c r="D10" s="16">
        <v>328.76</v>
      </c>
      <c r="E10" s="192">
        <v>0</v>
      </c>
    </row>
    <row r="11" spans="1:15">
      <c r="A11">
        <v>10</v>
      </c>
      <c r="B11" s="1" t="s">
        <v>150</v>
      </c>
      <c r="C11">
        <v>10</v>
      </c>
      <c r="D11" s="16">
        <v>328.76</v>
      </c>
      <c r="E11" s="192">
        <v>0</v>
      </c>
    </row>
    <row r="12" spans="1:15">
      <c r="A12">
        <v>11</v>
      </c>
      <c r="B12" s="1">
        <v>16</v>
      </c>
      <c r="C12">
        <v>11</v>
      </c>
      <c r="D12" s="16">
        <v>328.76</v>
      </c>
      <c r="E12" s="192">
        <v>0</v>
      </c>
    </row>
    <row r="13" spans="1:15">
      <c r="A13">
        <v>12</v>
      </c>
      <c r="B13" s="1" t="s">
        <v>153</v>
      </c>
      <c r="C13">
        <v>12</v>
      </c>
      <c r="D13" s="16">
        <v>328.76</v>
      </c>
      <c r="E13" s="192">
        <v>0</v>
      </c>
    </row>
    <row r="14" spans="1:15">
      <c r="A14">
        <v>13</v>
      </c>
      <c r="B14" s="1">
        <v>17</v>
      </c>
      <c r="C14">
        <v>13</v>
      </c>
      <c r="D14" s="16">
        <v>328.76</v>
      </c>
      <c r="E14" s="192">
        <v>0</v>
      </c>
    </row>
    <row r="15" spans="1:15">
      <c r="A15">
        <v>14</v>
      </c>
      <c r="B15" s="1" t="s">
        <v>156</v>
      </c>
      <c r="C15">
        <v>14</v>
      </c>
      <c r="D15" s="16">
        <v>328.76</v>
      </c>
      <c r="E15" s="192">
        <v>0</v>
      </c>
    </row>
    <row r="16" spans="1:15">
      <c r="A16">
        <v>15</v>
      </c>
      <c r="B16" s="1">
        <v>18</v>
      </c>
      <c r="C16">
        <v>15</v>
      </c>
      <c r="D16" s="16">
        <v>328.76</v>
      </c>
      <c r="E16" s="192">
        <v>0</v>
      </c>
    </row>
    <row r="17" spans="1:5">
      <c r="A17">
        <v>16</v>
      </c>
      <c r="B17" s="1" t="s">
        <v>159</v>
      </c>
      <c r="C17">
        <v>16</v>
      </c>
      <c r="D17" s="16">
        <v>328.76</v>
      </c>
      <c r="E17" s="192">
        <v>0</v>
      </c>
    </row>
    <row r="18" spans="1:5">
      <c r="A18">
        <v>17</v>
      </c>
      <c r="B18" s="1">
        <v>19</v>
      </c>
      <c r="C18">
        <v>17</v>
      </c>
      <c r="D18" s="16">
        <v>328.76</v>
      </c>
      <c r="E18" s="192">
        <v>0</v>
      </c>
    </row>
    <row r="19" spans="1:5">
      <c r="A19">
        <v>18</v>
      </c>
      <c r="B19" s="1" t="s">
        <v>162</v>
      </c>
      <c r="C19">
        <v>18</v>
      </c>
      <c r="D19" s="16">
        <v>328.76</v>
      </c>
      <c r="E19" s="192">
        <v>0</v>
      </c>
    </row>
    <row r="20" spans="1:5">
      <c r="A20">
        <v>19</v>
      </c>
      <c r="B20" s="1">
        <v>20</v>
      </c>
      <c r="C20">
        <v>19</v>
      </c>
      <c r="D20" s="16">
        <v>328.76</v>
      </c>
      <c r="E20" s="192">
        <v>0</v>
      </c>
    </row>
    <row r="21" spans="1:5">
      <c r="A21">
        <v>20</v>
      </c>
      <c r="B21" s="1" t="s">
        <v>165</v>
      </c>
      <c r="C21">
        <v>20</v>
      </c>
      <c r="D21" s="16">
        <v>328.76</v>
      </c>
      <c r="E21" s="192">
        <v>0</v>
      </c>
    </row>
    <row r="22" spans="1:5">
      <c r="A22">
        <v>21</v>
      </c>
      <c r="B22" s="1">
        <v>21</v>
      </c>
      <c r="C22">
        <v>21</v>
      </c>
      <c r="D22" s="16">
        <v>328.76</v>
      </c>
      <c r="E22" s="192">
        <v>0</v>
      </c>
    </row>
    <row r="23" spans="1:5">
      <c r="A23">
        <v>22</v>
      </c>
      <c r="B23" s="1" t="s">
        <v>168</v>
      </c>
      <c r="C23">
        <v>22</v>
      </c>
      <c r="D23" s="16">
        <v>328.76</v>
      </c>
      <c r="E23" s="192">
        <v>0</v>
      </c>
    </row>
    <row r="24" spans="1:5">
      <c r="A24">
        <v>23</v>
      </c>
      <c r="B24" s="1">
        <v>22</v>
      </c>
      <c r="C24">
        <v>23</v>
      </c>
      <c r="D24" s="16">
        <v>328.76</v>
      </c>
      <c r="E24" s="192">
        <v>0</v>
      </c>
    </row>
    <row r="25" spans="1:5">
      <c r="A25">
        <v>24</v>
      </c>
      <c r="B25" s="1" t="s">
        <v>171</v>
      </c>
      <c r="C25">
        <v>24</v>
      </c>
      <c r="D25" s="16">
        <v>328.76</v>
      </c>
      <c r="E25" s="192">
        <v>0</v>
      </c>
    </row>
    <row r="26" spans="1:5">
      <c r="A26">
        <v>25</v>
      </c>
      <c r="B26" s="1">
        <v>23</v>
      </c>
      <c r="C26">
        <v>25</v>
      </c>
      <c r="D26" s="16">
        <v>328.76</v>
      </c>
      <c r="E26" s="192">
        <v>0</v>
      </c>
    </row>
    <row r="27" spans="1:5">
      <c r="A27">
        <v>26</v>
      </c>
      <c r="B27" s="1" t="s">
        <v>174</v>
      </c>
      <c r="C27">
        <v>26</v>
      </c>
      <c r="D27" s="16">
        <v>328.76</v>
      </c>
      <c r="E27" s="192">
        <v>0</v>
      </c>
    </row>
    <row r="28" spans="1:5">
      <c r="A28">
        <v>27</v>
      </c>
      <c r="B28" s="1">
        <v>24</v>
      </c>
      <c r="C28">
        <v>27</v>
      </c>
      <c r="D28" s="16">
        <v>328.76</v>
      </c>
      <c r="E28" s="192">
        <v>0</v>
      </c>
    </row>
    <row r="29" spans="1:5">
      <c r="A29">
        <v>28</v>
      </c>
      <c r="B29" s="1" t="s">
        <v>177</v>
      </c>
      <c r="C29">
        <v>28</v>
      </c>
      <c r="D29" s="16">
        <v>328.76</v>
      </c>
      <c r="E29" s="192">
        <v>0</v>
      </c>
    </row>
    <row r="30" spans="1:5">
      <c r="A30">
        <v>29</v>
      </c>
      <c r="B30" s="1">
        <v>25</v>
      </c>
      <c r="C30">
        <v>29</v>
      </c>
      <c r="D30" s="16">
        <v>328.76</v>
      </c>
      <c r="E30" s="192">
        <v>0</v>
      </c>
    </row>
    <row r="31" spans="1:5">
      <c r="A31">
        <v>30</v>
      </c>
      <c r="B31" s="1" t="s">
        <v>180</v>
      </c>
      <c r="C31">
        <v>30</v>
      </c>
      <c r="D31" s="16">
        <v>328.76</v>
      </c>
      <c r="E31" s="192">
        <v>0</v>
      </c>
    </row>
    <row r="32" spans="1:5">
      <c r="A32">
        <v>31</v>
      </c>
      <c r="B32" s="1" t="s">
        <v>702</v>
      </c>
      <c r="C32">
        <v>31</v>
      </c>
      <c r="D32" s="16">
        <v>328.76</v>
      </c>
      <c r="E32" s="192">
        <v>0</v>
      </c>
    </row>
    <row r="33" spans="1:5">
      <c r="A33">
        <v>32</v>
      </c>
      <c r="B33" s="1" t="s">
        <v>702</v>
      </c>
      <c r="C33">
        <v>32</v>
      </c>
      <c r="D33" s="16">
        <v>328.76</v>
      </c>
      <c r="E33" s="192">
        <v>0</v>
      </c>
    </row>
    <row r="34" spans="1:5">
      <c r="A34">
        <v>33</v>
      </c>
      <c r="B34" s="1">
        <v>34</v>
      </c>
      <c r="C34">
        <v>33</v>
      </c>
      <c r="D34" s="16">
        <v>328.76</v>
      </c>
      <c r="E34" s="16">
        <v>328.76</v>
      </c>
    </row>
    <row r="35" spans="1:5">
      <c r="A35">
        <v>34</v>
      </c>
      <c r="B35" s="1" t="s">
        <v>187</v>
      </c>
      <c r="C35">
        <v>34</v>
      </c>
      <c r="D35" s="16">
        <v>328.76</v>
      </c>
      <c r="E35" s="16">
        <v>328.76</v>
      </c>
    </row>
    <row r="36" spans="1:5">
      <c r="A36">
        <v>35</v>
      </c>
      <c r="B36" s="1">
        <v>35</v>
      </c>
      <c r="C36">
        <v>35</v>
      </c>
      <c r="D36" s="16">
        <v>328.76</v>
      </c>
      <c r="E36" s="16">
        <v>328.76</v>
      </c>
    </row>
    <row r="37" spans="1:5">
      <c r="A37">
        <v>36</v>
      </c>
      <c r="B37" s="1" t="s">
        <v>188</v>
      </c>
      <c r="C37">
        <v>36</v>
      </c>
      <c r="D37" s="16">
        <v>328.76</v>
      </c>
      <c r="E37" s="16">
        <v>328.76</v>
      </c>
    </row>
    <row r="38" spans="1:5">
      <c r="A38">
        <v>37</v>
      </c>
      <c r="B38" s="1">
        <v>36</v>
      </c>
      <c r="C38">
        <v>37</v>
      </c>
      <c r="D38" s="16">
        <v>328.76</v>
      </c>
      <c r="E38" s="16">
        <v>328.76</v>
      </c>
    </row>
    <row r="39" spans="1:5">
      <c r="A39">
        <v>38</v>
      </c>
      <c r="B39" s="1" t="s">
        <v>189</v>
      </c>
      <c r="C39">
        <v>38</v>
      </c>
      <c r="D39" s="16">
        <v>328.76</v>
      </c>
      <c r="E39" s="16">
        <v>328.76</v>
      </c>
    </row>
    <row r="40" spans="1:5">
      <c r="A40">
        <v>39</v>
      </c>
      <c r="B40" s="1">
        <v>37</v>
      </c>
      <c r="C40">
        <v>39</v>
      </c>
      <c r="D40" s="16">
        <v>328.76</v>
      </c>
      <c r="E40" s="16">
        <v>328.76</v>
      </c>
    </row>
    <row r="41" spans="1:5">
      <c r="A41">
        <v>40</v>
      </c>
      <c r="B41" s="1" t="s">
        <v>190</v>
      </c>
      <c r="C41">
        <v>40</v>
      </c>
      <c r="D41" s="16">
        <v>328.76</v>
      </c>
      <c r="E41" s="16">
        <v>328.76</v>
      </c>
    </row>
    <row r="42" spans="1:5">
      <c r="A42">
        <v>41</v>
      </c>
      <c r="B42" s="1">
        <v>38</v>
      </c>
      <c r="C42">
        <v>41</v>
      </c>
      <c r="D42" s="16">
        <v>328.76</v>
      </c>
      <c r="E42" s="16">
        <v>328.76</v>
      </c>
    </row>
    <row r="43" spans="1:5">
      <c r="A43">
        <v>42</v>
      </c>
      <c r="B43" s="1" t="s">
        <v>191</v>
      </c>
      <c r="C43">
        <v>42</v>
      </c>
      <c r="D43" s="16">
        <v>328.76</v>
      </c>
      <c r="E43" s="16">
        <v>328.76</v>
      </c>
    </row>
    <row r="44" spans="1:5">
      <c r="A44">
        <v>43</v>
      </c>
      <c r="B44" s="1">
        <v>39</v>
      </c>
      <c r="C44">
        <v>43</v>
      </c>
      <c r="D44" s="16">
        <v>328.76</v>
      </c>
      <c r="E44" s="16">
        <v>328.76</v>
      </c>
    </row>
    <row r="45" spans="1:5">
      <c r="A45">
        <v>44</v>
      </c>
      <c r="B45" s="1" t="s">
        <v>192</v>
      </c>
      <c r="C45">
        <v>44</v>
      </c>
      <c r="D45" s="16">
        <v>328.76</v>
      </c>
      <c r="E45" s="16">
        <v>328.76</v>
      </c>
    </row>
    <row r="46" spans="1:5">
      <c r="A46">
        <v>45</v>
      </c>
      <c r="B46" s="1">
        <v>40</v>
      </c>
      <c r="C46">
        <v>45</v>
      </c>
      <c r="D46" s="16">
        <v>328.76</v>
      </c>
      <c r="E46" s="16">
        <v>328.76</v>
      </c>
    </row>
    <row r="47" spans="1:5">
      <c r="A47">
        <v>46</v>
      </c>
      <c r="B47" s="1" t="s">
        <v>193</v>
      </c>
      <c r="C47">
        <v>46</v>
      </c>
      <c r="D47" s="16">
        <v>328.76</v>
      </c>
      <c r="E47" s="16">
        <v>328.76</v>
      </c>
    </row>
    <row r="48" spans="1:5">
      <c r="A48">
        <v>47</v>
      </c>
      <c r="B48" s="1">
        <v>41</v>
      </c>
      <c r="C48">
        <v>47</v>
      </c>
      <c r="D48" s="16">
        <v>328.76</v>
      </c>
      <c r="E48" s="16">
        <v>328.76</v>
      </c>
    </row>
    <row r="49" spans="1:5">
      <c r="A49">
        <v>48</v>
      </c>
      <c r="B49" s="1" t="s">
        <v>194</v>
      </c>
      <c r="C49">
        <v>48</v>
      </c>
      <c r="D49" s="16">
        <v>328.76</v>
      </c>
      <c r="E49" s="16">
        <v>328.76</v>
      </c>
    </row>
    <row r="50" spans="1:5">
      <c r="A50">
        <v>49</v>
      </c>
      <c r="B50" s="1">
        <v>42</v>
      </c>
      <c r="C50">
        <v>49</v>
      </c>
      <c r="D50" s="16">
        <v>328.76</v>
      </c>
      <c r="E50" s="16">
        <v>430.86</v>
      </c>
    </row>
    <row r="51" spans="1:5">
      <c r="A51">
        <v>50</v>
      </c>
      <c r="B51" s="1" t="s">
        <v>195</v>
      </c>
      <c r="C51">
        <v>50</v>
      </c>
      <c r="D51" s="16">
        <v>328.76</v>
      </c>
      <c r="E51" s="16">
        <v>430.86</v>
      </c>
    </row>
    <row r="52" spans="1:5">
      <c r="A52">
        <v>51</v>
      </c>
      <c r="B52" s="1">
        <v>43</v>
      </c>
      <c r="C52">
        <v>51</v>
      </c>
      <c r="D52" s="16">
        <v>328.76</v>
      </c>
      <c r="E52" s="16">
        <v>430.86</v>
      </c>
    </row>
    <row r="53" spans="1:5">
      <c r="A53">
        <v>52</v>
      </c>
      <c r="B53" s="1" t="s">
        <v>196</v>
      </c>
      <c r="C53">
        <v>52</v>
      </c>
      <c r="D53" s="16">
        <v>328.76</v>
      </c>
      <c r="E53" s="16">
        <v>430.86</v>
      </c>
    </row>
    <row r="54" spans="1:5">
      <c r="A54">
        <v>53</v>
      </c>
      <c r="B54" s="1">
        <v>44</v>
      </c>
      <c r="C54">
        <v>53</v>
      </c>
      <c r="D54" s="16">
        <v>328.76</v>
      </c>
      <c r="E54" s="5">
        <v>0.09</v>
      </c>
    </row>
    <row r="55" spans="1:5">
      <c r="A55">
        <v>54</v>
      </c>
      <c r="B55" s="1" t="s">
        <v>197</v>
      </c>
      <c r="C55">
        <v>54</v>
      </c>
      <c r="D55" s="16">
        <v>328.76</v>
      </c>
      <c r="E55" s="5">
        <v>0.09</v>
      </c>
    </row>
    <row r="56" spans="1:5">
      <c r="A56">
        <v>55</v>
      </c>
      <c r="B56" s="1">
        <v>45</v>
      </c>
      <c r="C56">
        <v>55</v>
      </c>
      <c r="D56" s="16">
        <v>328.76</v>
      </c>
      <c r="E56" s="5">
        <v>0.09</v>
      </c>
    </row>
    <row r="57" spans="1:5">
      <c r="A57">
        <v>56</v>
      </c>
      <c r="B57" s="1" t="s">
        <v>198</v>
      </c>
      <c r="C57">
        <v>56</v>
      </c>
      <c r="D57" s="16">
        <v>328.76</v>
      </c>
      <c r="E57" s="5">
        <v>0.09</v>
      </c>
    </row>
    <row r="58" spans="1:5">
      <c r="A58">
        <v>57</v>
      </c>
      <c r="B58" s="1">
        <v>46</v>
      </c>
      <c r="C58">
        <v>57</v>
      </c>
      <c r="D58" s="16">
        <v>328.76</v>
      </c>
      <c r="E58" s="5">
        <v>0.09</v>
      </c>
    </row>
    <row r="59" spans="1:5">
      <c r="A59">
        <v>58</v>
      </c>
      <c r="B59" s="1" t="s">
        <v>199</v>
      </c>
      <c r="C59">
        <v>58</v>
      </c>
      <c r="D59" s="16">
        <v>328.76</v>
      </c>
      <c r="E59" s="5">
        <v>0.09</v>
      </c>
    </row>
    <row r="60" spans="1:5">
      <c r="A60">
        <v>59</v>
      </c>
      <c r="B60" s="1" t="s">
        <v>702</v>
      </c>
      <c r="C60">
        <v>59</v>
      </c>
    </row>
    <row r="61" spans="1:5">
      <c r="A61">
        <v>60</v>
      </c>
      <c r="B61" s="1" t="s">
        <v>702</v>
      </c>
      <c r="C61">
        <v>60</v>
      </c>
    </row>
    <row r="62" spans="1:5">
      <c r="A62">
        <v>61</v>
      </c>
      <c r="B62" s="1">
        <v>60</v>
      </c>
      <c r="C62">
        <v>61</v>
      </c>
    </row>
    <row r="63" spans="1:5">
      <c r="A63">
        <v>62</v>
      </c>
      <c r="B63" s="1">
        <v>61</v>
      </c>
      <c r="C63">
        <v>62</v>
      </c>
    </row>
    <row r="64" spans="1:5">
      <c r="A64">
        <v>63</v>
      </c>
      <c r="B64" s="1">
        <v>61</v>
      </c>
      <c r="C64">
        <v>63</v>
      </c>
    </row>
    <row r="65" spans="1:3">
      <c r="A65">
        <v>64</v>
      </c>
      <c r="B65" s="1" t="s">
        <v>703</v>
      </c>
      <c r="C65">
        <v>64</v>
      </c>
    </row>
    <row r="66" spans="1:3">
      <c r="A66">
        <v>65</v>
      </c>
      <c r="B66" s="1">
        <v>63</v>
      </c>
      <c r="C66">
        <v>65</v>
      </c>
    </row>
    <row r="67" spans="1:3">
      <c r="A67">
        <v>66</v>
      </c>
      <c r="B67" s="1" t="s">
        <v>704</v>
      </c>
      <c r="C67">
        <v>66</v>
      </c>
    </row>
    <row r="68" spans="1:3">
      <c r="A68">
        <v>67</v>
      </c>
      <c r="B68" s="1">
        <v>64</v>
      </c>
      <c r="C68">
        <v>67</v>
      </c>
    </row>
    <row r="69" spans="1:3">
      <c r="A69">
        <v>68</v>
      </c>
      <c r="B69" s="1" t="s">
        <v>705</v>
      </c>
      <c r="C69">
        <v>68</v>
      </c>
    </row>
    <row r="70" spans="1:3">
      <c r="A70">
        <v>69</v>
      </c>
      <c r="B70" s="1">
        <v>65</v>
      </c>
      <c r="C70">
        <v>69</v>
      </c>
    </row>
    <row r="71" spans="1:3">
      <c r="A71">
        <v>70</v>
      </c>
      <c r="B71" s="1" t="s">
        <v>706</v>
      </c>
      <c r="C71">
        <v>70</v>
      </c>
    </row>
    <row r="72" spans="1:3">
      <c r="A72">
        <v>71</v>
      </c>
      <c r="B72" s="1">
        <v>66</v>
      </c>
      <c r="C72">
        <v>71</v>
      </c>
    </row>
    <row r="73" spans="1:3">
      <c r="A73">
        <v>72</v>
      </c>
      <c r="B73" s="1" t="s">
        <v>707</v>
      </c>
      <c r="C73">
        <v>72</v>
      </c>
    </row>
    <row r="74" spans="1:3">
      <c r="A74">
        <v>73</v>
      </c>
      <c r="B74" s="1">
        <v>67</v>
      </c>
      <c r="C74">
        <v>73</v>
      </c>
    </row>
    <row r="75" spans="1:3">
      <c r="A75">
        <v>74</v>
      </c>
      <c r="B75" s="1" t="s">
        <v>708</v>
      </c>
      <c r="C75">
        <v>74</v>
      </c>
    </row>
    <row r="76" spans="1:3">
      <c r="A76">
        <v>75</v>
      </c>
      <c r="B76" s="1">
        <v>68</v>
      </c>
      <c r="C76">
        <v>75</v>
      </c>
    </row>
    <row r="77" spans="1:3">
      <c r="A77">
        <v>76</v>
      </c>
      <c r="B77" s="1" t="s">
        <v>709</v>
      </c>
      <c r="C77">
        <v>76</v>
      </c>
    </row>
    <row r="78" spans="1:3">
      <c r="A78">
        <v>77</v>
      </c>
      <c r="B78" s="1">
        <v>69</v>
      </c>
      <c r="C78">
        <v>77</v>
      </c>
    </row>
    <row r="79" spans="1:3">
      <c r="A79">
        <v>78</v>
      </c>
      <c r="B79" s="1" t="s">
        <v>710</v>
      </c>
      <c r="C79">
        <v>78</v>
      </c>
    </row>
    <row r="80" spans="1:3">
      <c r="A80">
        <v>79</v>
      </c>
      <c r="B80" s="1">
        <v>70</v>
      </c>
      <c r="C80">
        <v>79</v>
      </c>
    </row>
    <row r="81" spans="1:3">
      <c r="A81">
        <v>80</v>
      </c>
      <c r="B81" s="1" t="s">
        <v>711</v>
      </c>
      <c r="C81">
        <v>80</v>
      </c>
    </row>
    <row r="82" spans="1:3">
      <c r="A82">
        <v>81</v>
      </c>
      <c r="B82" s="1">
        <v>71</v>
      </c>
      <c r="C82">
        <v>81</v>
      </c>
    </row>
    <row r="83" spans="1:3">
      <c r="A83">
        <v>82</v>
      </c>
      <c r="B83" s="1" t="s">
        <v>712</v>
      </c>
      <c r="C83">
        <v>82</v>
      </c>
    </row>
    <row r="84" spans="1:3">
      <c r="A84">
        <v>83</v>
      </c>
      <c r="B84" s="1">
        <v>72</v>
      </c>
      <c r="C84">
        <v>83</v>
      </c>
    </row>
    <row r="85" spans="1:3">
      <c r="A85">
        <v>84</v>
      </c>
      <c r="B85" s="1" t="s">
        <v>713</v>
      </c>
      <c r="C85">
        <v>84</v>
      </c>
    </row>
    <row r="86" spans="1:3">
      <c r="A86">
        <v>85</v>
      </c>
      <c r="B86" s="1">
        <v>73</v>
      </c>
      <c r="C86">
        <v>85</v>
      </c>
    </row>
    <row r="87" spans="1:3">
      <c r="A87">
        <v>86</v>
      </c>
      <c r="B87" s="1" t="s">
        <v>714</v>
      </c>
      <c r="C87">
        <v>86</v>
      </c>
    </row>
    <row r="88" spans="1:3">
      <c r="A88">
        <v>87</v>
      </c>
      <c r="B88" s="1">
        <v>74</v>
      </c>
      <c r="C88">
        <v>87</v>
      </c>
    </row>
    <row r="89" spans="1:3">
      <c r="A89">
        <v>88</v>
      </c>
      <c r="B89" s="1" t="s">
        <v>715</v>
      </c>
      <c r="C89">
        <v>88</v>
      </c>
    </row>
    <row r="90" spans="1:3">
      <c r="A90">
        <v>89</v>
      </c>
      <c r="B90" s="1">
        <v>75</v>
      </c>
      <c r="C90">
        <v>89</v>
      </c>
    </row>
    <row r="91" spans="1:3">
      <c r="A91">
        <v>90</v>
      </c>
      <c r="B91" s="1" t="s">
        <v>716</v>
      </c>
      <c r="C91">
        <v>90</v>
      </c>
    </row>
    <row r="92" spans="1:3">
      <c r="A92">
        <v>91</v>
      </c>
      <c r="B92" s="1">
        <v>1</v>
      </c>
      <c r="C92">
        <v>91</v>
      </c>
    </row>
    <row r="93" spans="1:3">
      <c r="A93">
        <v>92</v>
      </c>
      <c r="B93" s="1">
        <v>2</v>
      </c>
      <c r="C93">
        <v>92</v>
      </c>
    </row>
    <row r="94" spans="1:3">
      <c r="A94">
        <v>93</v>
      </c>
      <c r="B94" s="1">
        <v>3</v>
      </c>
      <c r="C94">
        <v>93</v>
      </c>
    </row>
    <row r="95" spans="1:3">
      <c r="A95">
        <v>94</v>
      </c>
      <c r="B95" s="1" t="s">
        <v>717</v>
      </c>
      <c r="C95">
        <v>94</v>
      </c>
    </row>
    <row r="96" spans="1:3">
      <c r="A96">
        <v>95</v>
      </c>
      <c r="B96" s="1">
        <v>4</v>
      </c>
      <c r="C96">
        <v>95</v>
      </c>
    </row>
    <row r="97" spans="1:3">
      <c r="A97">
        <v>96</v>
      </c>
      <c r="B97" s="1">
        <v>5</v>
      </c>
      <c r="C97">
        <v>96</v>
      </c>
    </row>
    <row r="98" spans="1:3">
      <c r="A98">
        <v>97</v>
      </c>
      <c r="B98" s="1">
        <v>6</v>
      </c>
      <c r="C98">
        <v>97</v>
      </c>
    </row>
    <row r="99" spans="1:3">
      <c r="A99">
        <v>98</v>
      </c>
      <c r="B99" s="1" t="s">
        <v>718</v>
      </c>
      <c r="C99">
        <v>98</v>
      </c>
    </row>
    <row r="100" spans="1:3">
      <c r="A100">
        <v>99</v>
      </c>
      <c r="B100" s="1">
        <v>7</v>
      </c>
      <c r="C100">
        <v>99</v>
      </c>
    </row>
    <row r="101" spans="1:3">
      <c r="A101">
        <v>100</v>
      </c>
      <c r="B101" s="1" t="s">
        <v>719</v>
      </c>
      <c r="C101">
        <v>100</v>
      </c>
    </row>
    <row r="102" spans="1:3">
      <c r="A102">
        <v>101</v>
      </c>
      <c r="B102" s="1">
        <v>8</v>
      </c>
      <c r="C102">
        <v>101</v>
      </c>
    </row>
    <row r="103" spans="1:3">
      <c r="A103">
        <v>102</v>
      </c>
      <c r="B103" s="1" t="s">
        <v>333</v>
      </c>
      <c r="C103">
        <v>102</v>
      </c>
    </row>
    <row r="104" spans="1:3">
      <c r="A104">
        <v>103</v>
      </c>
      <c r="B104" s="1">
        <v>9</v>
      </c>
      <c r="C104">
        <v>103</v>
      </c>
    </row>
    <row r="105" spans="1:3">
      <c r="A105">
        <v>104</v>
      </c>
      <c r="B105" s="1" t="s">
        <v>334</v>
      </c>
      <c r="C105">
        <v>104</v>
      </c>
    </row>
    <row r="106" spans="1:3">
      <c r="A106">
        <v>105</v>
      </c>
      <c r="B106" s="1">
        <v>10</v>
      </c>
      <c r="C106">
        <v>105</v>
      </c>
    </row>
    <row r="107" spans="1:3">
      <c r="A107">
        <v>106</v>
      </c>
      <c r="B107" s="1" t="s">
        <v>335</v>
      </c>
      <c r="C107">
        <v>106</v>
      </c>
    </row>
    <row r="108" spans="1:3">
      <c r="A108">
        <v>107</v>
      </c>
      <c r="B108" s="1">
        <v>11</v>
      </c>
      <c r="C108">
        <v>107</v>
      </c>
    </row>
    <row r="109" spans="1:3">
      <c r="A109">
        <v>108</v>
      </c>
      <c r="B109" s="1" t="s">
        <v>389</v>
      </c>
      <c r="C109">
        <v>108</v>
      </c>
    </row>
    <row r="110" spans="1:3">
      <c r="A110">
        <v>109</v>
      </c>
      <c r="B110" s="1">
        <v>12</v>
      </c>
      <c r="C110">
        <v>109</v>
      </c>
    </row>
    <row r="111" spans="1:3">
      <c r="A111">
        <v>110</v>
      </c>
      <c r="B111" s="1" t="s">
        <v>141</v>
      </c>
      <c r="C111">
        <v>110</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C520C-FEE3-4618-A5DA-6712BC71702B}">
  <sheetPr codeName="גיליון31"/>
  <dimension ref="A1:C177"/>
  <sheetViews>
    <sheetView rightToLeft="1" topLeftCell="A115" workbookViewId="0">
      <selection activeCell="C125" sqref="C125"/>
    </sheetView>
  </sheetViews>
  <sheetFormatPr defaultRowHeight="14.4"/>
  <cols>
    <col min="1" max="1" width="11.33203125" style="207" bestFit="1" customWidth="1"/>
    <col min="2" max="2" width="18.109375" style="207" customWidth="1"/>
    <col min="3" max="3" width="51.33203125" style="208" customWidth="1"/>
  </cols>
  <sheetData>
    <row r="1" spans="1:3">
      <c r="A1" s="193" t="s">
        <v>783</v>
      </c>
      <c r="B1" s="193" t="s">
        <v>91</v>
      </c>
      <c r="C1" s="194" t="s">
        <v>784</v>
      </c>
    </row>
    <row r="2" spans="1:3" ht="27.6">
      <c r="A2" s="195">
        <v>509</v>
      </c>
      <c r="B2" s="195" t="s">
        <v>785</v>
      </c>
      <c r="C2" s="196" t="s">
        <v>786</v>
      </c>
    </row>
    <row r="3" spans="1:3">
      <c r="A3" s="195">
        <v>534</v>
      </c>
      <c r="B3" s="195" t="s">
        <v>787</v>
      </c>
      <c r="C3" s="196" t="s">
        <v>788</v>
      </c>
    </row>
    <row r="4" spans="1:3" ht="41.4">
      <c r="A4" s="197">
        <v>549</v>
      </c>
      <c r="B4" s="197" t="s">
        <v>789</v>
      </c>
      <c r="C4" s="196" t="s">
        <v>790</v>
      </c>
    </row>
    <row r="5" spans="1:3">
      <c r="A5" s="195">
        <v>559</v>
      </c>
      <c r="B5" s="195" t="s">
        <v>791</v>
      </c>
      <c r="C5" s="196" t="s">
        <v>792</v>
      </c>
    </row>
    <row r="6" spans="1:3">
      <c r="A6" s="195">
        <v>569</v>
      </c>
      <c r="B6" s="195" t="s">
        <v>793</v>
      </c>
      <c r="C6" s="196" t="s">
        <v>794</v>
      </c>
    </row>
    <row r="7" spans="1:3">
      <c r="A7" s="195">
        <v>570</v>
      </c>
      <c r="B7" s="195" t="s">
        <v>795</v>
      </c>
      <c r="C7" s="196" t="s">
        <v>796</v>
      </c>
    </row>
    <row r="8" spans="1:3">
      <c r="A8" s="195">
        <v>578</v>
      </c>
      <c r="B8" s="195" t="s">
        <v>797</v>
      </c>
      <c r="C8" s="196" t="s">
        <v>798</v>
      </c>
    </row>
    <row r="9" spans="1:3">
      <c r="A9" s="195">
        <v>585</v>
      </c>
      <c r="B9" s="195" t="s">
        <v>799</v>
      </c>
      <c r="C9" s="196" t="s">
        <v>800</v>
      </c>
    </row>
    <row r="10" spans="1:3" ht="27.6">
      <c r="A10" s="195">
        <v>594</v>
      </c>
      <c r="B10" s="195" t="s">
        <v>801</v>
      </c>
      <c r="C10" s="196" t="s">
        <v>802</v>
      </c>
    </row>
    <row r="11" spans="1:3" ht="27.6">
      <c r="A11" s="197">
        <v>594</v>
      </c>
      <c r="B11" s="198" t="s">
        <v>801</v>
      </c>
      <c r="C11" s="196" t="s">
        <v>802</v>
      </c>
    </row>
    <row r="12" spans="1:3">
      <c r="A12" s="195">
        <v>600</v>
      </c>
      <c r="B12" s="195" t="s">
        <v>803</v>
      </c>
      <c r="C12" s="196" t="s">
        <v>804</v>
      </c>
    </row>
    <row r="13" spans="1:3" ht="27.6">
      <c r="A13" s="195">
        <v>616</v>
      </c>
      <c r="B13" s="195" t="s">
        <v>805</v>
      </c>
      <c r="C13" s="196" t="s">
        <v>806</v>
      </c>
    </row>
    <row r="14" spans="1:3" ht="27.6">
      <c r="A14" s="195">
        <v>628</v>
      </c>
      <c r="B14" s="195" t="s">
        <v>807</v>
      </c>
      <c r="C14" s="196" t="s">
        <v>808</v>
      </c>
    </row>
    <row r="15" spans="1:3">
      <c r="A15" s="195">
        <v>630</v>
      </c>
      <c r="B15" s="195" t="s">
        <v>809</v>
      </c>
      <c r="C15" s="196" t="s">
        <v>810</v>
      </c>
    </row>
    <row r="16" spans="1:3" ht="41.4">
      <c r="A16" s="195">
        <v>636</v>
      </c>
      <c r="B16" s="195" t="s">
        <v>94</v>
      </c>
      <c r="C16" s="196" t="s">
        <v>811</v>
      </c>
    </row>
    <row r="17" spans="1:3">
      <c r="A17" s="195">
        <v>639</v>
      </c>
      <c r="B17" s="195" t="s">
        <v>812</v>
      </c>
      <c r="C17" s="196" t="s">
        <v>813</v>
      </c>
    </row>
    <row r="18" spans="1:3" ht="27.6">
      <c r="A18" s="195">
        <v>643</v>
      </c>
      <c r="B18" s="195" t="s">
        <v>814</v>
      </c>
      <c r="C18" s="196" t="s">
        <v>815</v>
      </c>
    </row>
    <row r="19" spans="1:3">
      <c r="A19" s="195">
        <v>647</v>
      </c>
      <c r="B19" s="195" t="s">
        <v>123</v>
      </c>
      <c r="C19" s="196" t="s">
        <v>816</v>
      </c>
    </row>
    <row r="20" spans="1:3">
      <c r="A20" s="195">
        <v>652</v>
      </c>
      <c r="B20" s="195" t="s">
        <v>817</v>
      </c>
      <c r="C20" s="196" t="s">
        <v>818</v>
      </c>
    </row>
    <row r="21" spans="1:3">
      <c r="A21" s="195">
        <v>654</v>
      </c>
      <c r="B21" s="195" t="s">
        <v>819</v>
      </c>
      <c r="C21" s="196" t="s">
        <v>820</v>
      </c>
    </row>
    <row r="22" spans="1:3" ht="27.6">
      <c r="A22" s="195">
        <v>658</v>
      </c>
      <c r="B22" s="195" t="s">
        <v>68</v>
      </c>
      <c r="C22" s="196" t="s">
        <v>821</v>
      </c>
    </row>
    <row r="23" spans="1:3">
      <c r="A23" s="195">
        <v>659</v>
      </c>
      <c r="B23" s="195" t="s">
        <v>822</v>
      </c>
      <c r="C23" s="196" t="s">
        <v>823</v>
      </c>
    </row>
    <row r="24" spans="1:3">
      <c r="A24" s="195">
        <v>667</v>
      </c>
      <c r="B24" s="195" t="s">
        <v>123</v>
      </c>
      <c r="C24" s="196" t="s">
        <v>824</v>
      </c>
    </row>
    <row r="25" spans="1:3" ht="27.6">
      <c r="A25" s="195">
        <v>669</v>
      </c>
      <c r="B25" s="195" t="s">
        <v>825</v>
      </c>
      <c r="C25" s="196" t="s">
        <v>826</v>
      </c>
    </row>
    <row r="26" spans="1:3">
      <c r="A26" s="195">
        <v>674</v>
      </c>
      <c r="B26" s="195" t="s">
        <v>827</v>
      </c>
      <c r="C26" s="196" t="s">
        <v>828</v>
      </c>
    </row>
    <row r="27" spans="1:3">
      <c r="A27" s="195">
        <v>684</v>
      </c>
      <c r="B27" s="195" t="s">
        <v>829</v>
      </c>
      <c r="C27" s="196" t="s">
        <v>830</v>
      </c>
    </row>
    <row r="28" spans="1:3">
      <c r="A28" s="195">
        <v>692</v>
      </c>
      <c r="B28" s="195" t="s">
        <v>829</v>
      </c>
      <c r="C28" s="196" t="s">
        <v>831</v>
      </c>
    </row>
    <row r="29" spans="1:3" ht="27.6">
      <c r="A29" s="195">
        <v>694</v>
      </c>
      <c r="B29" s="195" t="s">
        <v>832</v>
      </c>
      <c r="C29" s="196" t="s">
        <v>833</v>
      </c>
    </row>
    <row r="30" spans="1:3" ht="69">
      <c r="A30" s="195">
        <v>695</v>
      </c>
      <c r="B30" s="195" t="s">
        <v>834</v>
      </c>
      <c r="C30" s="196" t="s">
        <v>835</v>
      </c>
    </row>
    <row r="31" spans="1:3" ht="27.6">
      <c r="A31" s="195">
        <v>697</v>
      </c>
      <c r="B31" s="195" t="s">
        <v>836</v>
      </c>
      <c r="C31" s="196" t="s">
        <v>837</v>
      </c>
    </row>
    <row r="32" spans="1:3" ht="27.6">
      <c r="A32" s="195">
        <v>699</v>
      </c>
      <c r="B32" s="195" t="s">
        <v>838</v>
      </c>
      <c r="C32" s="196" t="s">
        <v>839</v>
      </c>
    </row>
    <row r="33" spans="1:3">
      <c r="A33" s="195">
        <v>705</v>
      </c>
      <c r="B33" s="195" t="s">
        <v>840</v>
      </c>
      <c r="C33" s="196" t="s">
        <v>841</v>
      </c>
    </row>
    <row r="34" spans="1:3" ht="41.4">
      <c r="A34" s="195">
        <v>724</v>
      </c>
      <c r="B34" s="195" t="s">
        <v>842</v>
      </c>
      <c r="C34" s="196" t="s">
        <v>843</v>
      </c>
    </row>
    <row r="35" spans="1:3" ht="41.4">
      <c r="A35" s="195">
        <v>727</v>
      </c>
      <c r="B35" s="195" t="s">
        <v>844</v>
      </c>
      <c r="C35" s="196" t="s">
        <v>843</v>
      </c>
    </row>
    <row r="36" spans="1:3">
      <c r="A36" s="195">
        <v>730</v>
      </c>
      <c r="B36" s="195" t="s">
        <v>845</v>
      </c>
      <c r="C36" s="196" t="s">
        <v>846</v>
      </c>
    </row>
    <row r="37" spans="1:3" ht="41.4">
      <c r="A37" s="195">
        <v>741</v>
      </c>
      <c r="B37" s="195" t="s">
        <v>847</v>
      </c>
      <c r="C37" s="196" t="s">
        <v>848</v>
      </c>
    </row>
    <row r="38" spans="1:3">
      <c r="A38" s="195">
        <v>743</v>
      </c>
      <c r="B38" s="195" t="s">
        <v>849</v>
      </c>
      <c r="C38" s="196" t="s">
        <v>850</v>
      </c>
    </row>
    <row r="39" spans="1:3">
      <c r="A39" s="195">
        <v>751</v>
      </c>
      <c r="B39" s="195" t="s">
        <v>851</v>
      </c>
      <c r="C39" s="196" t="s">
        <v>852</v>
      </c>
    </row>
    <row r="40" spans="1:3">
      <c r="A40" s="195">
        <v>752</v>
      </c>
      <c r="B40" s="195" t="s">
        <v>853</v>
      </c>
      <c r="C40" s="196" t="s">
        <v>854</v>
      </c>
    </row>
    <row r="41" spans="1:3" ht="55.2">
      <c r="A41" s="195">
        <v>756</v>
      </c>
      <c r="B41" s="195" t="s">
        <v>855</v>
      </c>
      <c r="C41" s="196" t="s">
        <v>856</v>
      </c>
    </row>
    <row r="42" spans="1:3">
      <c r="A42" s="195">
        <v>764</v>
      </c>
      <c r="B42" s="195" t="s">
        <v>94</v>
      </c>
      <c r="C42" s="196" t="s">
        <v>857</v>
      </c>
    </row>
    <row r="43" spans="1:3">
      <c r="A43" s="195">
        <v>766</v>
      </c>
      <c r="B43" s="195" t="s">
        <v>858</v>
      </c>
      <c r="C43" s="196" t="s">
        <v>859</v>
      </c>
    </row>
    <row r="44" spans="1:3" ht="27.6">
      <c r="A44" s="195">
        <v>776</v>
      </c>
      <c r="B44" s="197" t="s">
        <v>860</v>
      </c>
      <c r="C44" s="199" t="s">
        <v>861</v>
      </c>
    </row>
    <row r="45" spans="1:3" ht="27.6">
      <c r="A45" s="197">
        <v>776</v>
      </c>
      <c r="B45" s="198" t="s">
        <v>860</v>
      </c>
      <c r="C45" s="196" t="s">
        <v>861</v>
      </c>
    </row>
    <row r="46" spans="1:3" ht="27.6">
      <c r="A46" s="195">
        <v>786</v>
      </c>
      <c r="B46" s="195" t="s">
        <v>862</v>
      </c>
      <c r="C46" s="196" t="s">
        <v>863</v>
      </c>
    </row>
    <row r="47" spans="1:3">
      <c r="A47" s="195">
        <v>794</v>
      </c>
      <c r="B47" s="195" t="s">
        <v>864</v>
      </c>
      <c r="C47" s="196" t="s">
        <v>865</v>
      </c>
    </row>
    <row r="48" spans="1:3">
      <c r="A48" s="195">
        <v>798</v>
      </c>
      <c r="B48" s="195" t="s">
        <v>866</v>
      </c>
      <c r="C48" s="196" t="s">
        <v>867</v>
      </c>
    </row>
    <row r="49" spans="1:3">
      <c r="A49" s="195">
        <v>805</v>
      </c>
      <c r="B49" s="195" t="s">
        <v>868</v>
      </c>
      <c r="C49" s="196" t="s">
        <v>869</v>
      </c>
    </row>
    <row r="50" spans="1:3">
      <c r="A50" s="195">
        <v>807</v>
      </c>
      <c r="B50" s="195" t="s">
        <v>870</v>
      </c>
      <c r="C50" s="196" t="s">
        <v>871</v>
      </c>
    </row>
    <row r="51" spans="1:3">
      <c r="A51" s="195">
        <v>839</v>
      </c>
      <c r="B51" s="195" t="s">
        <v>872</v>
      </c>
      <c r="C51" s="196" t="s">
        <v>873</v>
      </c>
    </row>
    <row r="52" spans="1:3" ht="55.2">
      <c r="A52" s="195">
        <v>852</v>
      </c>
      <c r="B52" s="195" t="s">
        <v>874</v>
      </c>
      <c r="C52" s="196" t="s">
        <v>875</v>
      </c>
    </row>
    <row r="53" spans="1:3">
      <c r="A53" s="195">
        <v>853</v>
      </c>
      <c r="B53" s="195" t="s">
        <v>876</v>
      </c>
      <c r="C53" s="196" t="s">
        <v>877</v>
      </c>
    </row>
    <row r="54" spans="1:3">
      <c r="A54" s="195">
        <v>858</v>
      </c>
      <c r="B54" s="195" t="s">
        <v>855</v>
      </c>
      <c r="C54" s="196" t="s">
        <v>878</v>
      </c>
    </row>
    <row r="55" spans="1:3">
      <c r="A55" s="195">
        <v>875</v>
      </c>
      <c r="B55" s="195" t="s">
        <v>879</v>
      </c>
      <c r="C55" s="196" t="s">
        <v>880</v>
      </c>
    </row>
    <row r="56" spans="1:3">
      <c r="A56" s="195">
        <v>877</v>
      </c>
      <c r="B56" s="195" t="s">
        <v>881</v>
      </c>
      <c r="C56" s="196" t="s">
        <v>882</v>
      </c>
    </row>
    <row r="57" spans="1:3">
      <c r="A57" s="195">
        <v>884</v>
      </c>
      <c r="B57" s="195" t="s">
        <v>883</v>
      </c>
      <c r="C57" s="196" t="s">
        <v>884</v>
      </c>
    </row>
    <row r="58" spans="1:3" ht="27.6">
      <c r="A58" s="195">
        <v>894</v>
      </c>
      <c r="B58" s="195" t="s">
        <v>885</v>
      </c>
      <c r="C58" s="196" t="s">
        <v>886</v>
      </c>
    </row>
    <row r="59" spans="1:3" ht="27.6">
      <c r="A59" s="195">
        <v>895</v>
      </c>
      <c r="B59" s="195" t="s">
        <v>887</v>
      </c>
      <c r="C59" s="196" t="s">
        <v>888</v>
      </c>
    </row>
    <row r="60" spans="1:3">
      <c r="A60" s="195">
        <v>897</v>
      </c>
      <c r="B60" s="195" t="s">
        <v>125</v>
      </c>
      <c r="C60" s="196" t="s">
        <v>889</v>
      </c>
    </row>
    <row r="61" spans="1:3">
      <c r="A61" s="195">
        <v>899</v>
      </c>
      <c r="B61" s="195" t="s">
        <v>890</v>
      </c>
      <c r="C61" s="196" t="s">
        <v>891</v>
      </c>
    </row>
    <row r="62" spans="1:3" ht="27.6">
      <c r="A62" s="195">
        <v>907</v>
      </c>
      <c r="B62" s="195" t="s">
        <v>892</v>
      </c>
      <c r="C62" s="196" t="s">
        <v>893</v>
      </c>
    </row>
    <row r="63" spans="1:3" ht="27.6">
      <c r="A63" s="195">
        <v>913</v>
      </c>
      <c r="B63" s="195" t="s">
        <v>894</v>
      </c>
      <c r="C63" s="196" t="s">
        <v>895</v>
      </c>
    </row>
    <row r="64" spans="1:3">
      <c r="A64" s="195">
        <v>920</v>
      </c>
      <c r="B64" s="195" t="s">
        <v>896</v>
      </c>
      <c r="C64" s="196" t="s">
        <v>897</v>
      </c>
    </row>
    <row r="65" spans="1:3">
      <c r="A65" s="197">
        <v>922</v>
      </c>
      <c r="B65" s="197" t="s">
        <v>817</v>
      </c>
      <c r="C65" s="196" t="s">
        <v>898</v>
      </c>
    </row>
    <row r="66" spans="1:3">
      <c r="A66" s="195">
        <v>924</v>
      </c>
      <c r="B66" s="195" t="s">
        <v>125</v>
      </c>
      <c r="C66" s="196" t="s">
        <v>899</v>
      </c>
    </row>
    <row r="67" spans="1:3">
      <c r="A67" s="195">
        <v>955</v>
      </c>
      <c r="B67" s="195" t="s">
        <v>900</v>
      </c>
      <c r="C67" s="196" t="s">
        <v>901</v>
      </c>
    </row>
    <row r="68" spans="1:3" ht="27.6">
      <c r="A68" s="195">
        <v>956</v>
      </c>
      <c r="B68" s="195" t="s">
        <v>902</v>
      </c>
      <c r="C68" s="196" t="s">
        <v>903</v>
      </c>
    </row>
    <row r="69" spans="1:3" ht="27.6">
      <c r="A69" s="195">
        <v>957</v>
      </c>
      <c r="B69" s="195" t="s">
        <v>904</v>
      </c>
      <c r="C69" s="196" t="s">
        <v>905</v>
      </c>
    </row>
    <row r="70" spans="1:3" ht="27.6">
      <c r="A70" s="195">
        <v>959</v>
      </c>
      <c r="B70" s="195" t="s">
        <v>902</v>
      </c>
      <c r="C70" s="196" t="s">
        <v>906</v>
      </c>
    </row>
    <row r="71" spans="1:3" ht="27.6">
      <c r="A71" s="195">
        <v>965</v>
      </c>
      <c r="B71" s="195" t="s">
        <v>907</v>
      </c>
      <c r="C71" s="196" t="s">
        <v>908</v>
      </c>
    </row>
    <row r="72" spans="1:3">
      <c r="A72" s="195">
        <v>976</v>
      </c>
      <c r="B72" s="195" t="s">
        <v>829</v>
      </c>
      <c r="C72" s="196" t="s">
        <v>909</v>
      </c>
    </row>
    <row r="73" spans="1:3">
      <c r="A73" s="195">
        <v>978</v>
      </c>
      <c r="B73" s="195" t="s">
        <v>910</v>
      </c>
      <c r="C73" s="196" t="s">
        <v>911</v>
      </c>
    </row>
    <row r="74" spans="1:3" ht="27.6">
      <c r="A74" s="195">
        <v>1021</v>
      </c>
      <c r="B74" s="195" t="s">
        <v>912</v>
      </c>
      <c r="C74" s="196" t="s">
        <v>913</v>
      </c>
    </row>
    <row r="75" spans="1:3">
      <c r="A75" s="195">
        <v>1076</v>
      </c>
      <c r="B75" s="195" t="s">
        <v>883</v>
      </c>
      <c r="C75" s="196" t="s">
        <v>914</v>
      </c>
    </row>
    <row r="76" spans="1:3">
      <c r="A76" s="195">
        <v>1118</v>
      </c>
      <c r="B76" s="195" t="s">
        <v>915</v>
      </c>
      <c r="C76" s="196" t="s">
        <v>916</v>
      </c>
    </row>
    <row r="77" spans="1:3">
      <c r="A77" s="195">
        <v>1132</v>
      </c>
      <c r="B77" s="195" t="s">
        <v>917</v>
      </c>
      <c r="C77" s="196" t="s">
        <v>918</v>
      </c>
    </row>
    <row r="78" spans="1:3" ht="27.6">
      <c r="A78" s="195">
        <v>1375</v>
      </c>
      <c r="B78" s="195" t="s">
        <v>919</v>
      </c>
      <c r="C78" s="196" t="s">
        <v>920</v>
      </c>
    </row>
    <row r="79" spans="1:3">
      <c r="A79" s="195">
        <v>1389</v>
      </c>
      <c r="B79" s="195" t="s">
        <v>921</v>
      </c>
      <c r="C79" s="196" t="s">
        <v>922</v>
      </c>
    </row>
    <row r="80" spans="1:3" ht="27.6">
      <c r="A80" s="195">
        <v>1464</v>
      </c>
      <c r="B80" s="195" t="s">
        <v>923</v>
      </c>
      <c r="C80" s="196" t="s">
        <v>924</v>
      </c>
    </row>
    <row r="81" spans="1:3">
      <c r="A81" s="195">
        <v>1501</v>
      </c>
      <c r="B81" s="200" t="s">
        <v>925</v>
      </c>
      <c r="C81" s="201" t="s">
        <v>926</v>
      </c>
    </row>
    <row r="82" spans="1:3" ht="27.6">
      <c r="A82" s="195">
        <v>1565</v>
      </c>
      <c r="B82" s="195" t="s">
        <v>927</v>
      </c>
      <c r="C82" s="196" t="s">
        <v>928</v>
      </c>
    </row>
    <row r="83" spans="1:3" ht="27.6">
      <c r="A83" s="195">
        <v>1614</v>
      </c>
      <c r="B83" s="195" t="s">
        <v>929</v>
      </c>
      <c r="C83" s="196" t="s">
        <v>930</v>
      </c>
    </row>
    <row r="84" spans="1:3">
      <c r="A84" s="195">
        <v>1619</v>
      </c>
      <c r="B84" s="195" t="s">
        <v>931</v>
      </c>
      <c r="C84" s="196" t="s">
        <v>932</v>
      </c>
    </row>
    <row r="85" spans="1:3">
      <c r="A85" s="195">
        <v>1648</v>
      </c>
      <c r="B85" s="195" t="s">
        <v>933</v>
      </c>
      <c r="C85" s="196" t="s">
        <v>934</v>
      </c>
    </row>
    <row r="86" spans="1:3" ht="27.6">
      <c r="A86" s="195">
        <v>1672</v>
      </c>
      <c r="B86" s="195" t="s">
        <v>935</v>
      </c>
      <c r="C86" s="196" t="s">
        <v>936</v>
      </c>
    </row>
    <row r="87" spans="1:3" ht="27.6">
      <c r="A87" s="195">
        <v>1715</v>
      </c>
      <c r="B87" s="195" t="s">
        <v>937</v>
      </c>
      <c r="C87" s="196" t="s">
        <v>938</v>
      </c>
    </row>
    <row r="88" spans="1:3" ht="27.6">
      <c r="A88" s="195">
        <v>1730</v>
      </c>
      <c r="B88" s="195" t="s">
        <v>939</v>
      </c>
      <c r="C88" s="196" t="s">
        <v>940</v>
      </c>
    </row>
    <row r="89" spans="1:3" ht="27.6">
      <c r="A89" s="195">
        <v>1731</v>
      </c>
      <c r="B89" s="195" t="s">
        <v>941</v>
      </c>
      <c r="C89" s="196" t="s">
        <v>942</v>
      </c>
    </row>
    <row r="90" spans="1:3">
      <c r="A90" s="195">
        <v>1792</v>
      </c>
      <c r="B90" s="195" t="s">
        <v>943</v>
      </c>
      <c r="C90" s="196" t="s">
        <v>944</v>
      </c>
    </row>
    <row r="91" spans="1:3" ht="27.6">
      <c r="A91" s="195">
        <v>1797</v>
      </c>
      <c r="B91" s="195" t="s">
        <v>945</v>
      </c>
      <c r="C91" s="196" t="s">
        <v>946</v>
      </c>
    </row>
    <row r="92" spans="1:3" ht="55.2">
      <c r="A92" s="195">
        <v>1942</v>
      </c>
      <c r="B92" s="195" t="s">
        <v>947</v>
      </c>
      <c r="C92" s="196" t="s">
        <v>948</v>
      </c>
    </row>
    <row r="93" spans="1:3" ht="55.2">
      <c r="A93" s="197">
        <v>1942</v>
      </c>
      <c r="B93" s="198" t="s">
        <v>947</v>
      </c>
      <c r="C93" s="196" t="s">
        <v>948</v>
      </c>
    </row>
    <row r="94" spans="1:3">
      <c r="A94" s="195">
        <v>1944</v>
      </c>
      <c r="B94" s="195" t="s">
        <v>22</v>
      </c>
      <c r="C94" s="196" t="s">
        <v>949</v>
      </c>
    </row>
    <row r="95" spans="1:3" ht="27.6">
      <c r="A95" s="197">
        <v>1961</v>
      </c>
      <c r="B95" s="197" t="s">
        <v>950</v>
      </c>
      <c r="C95" s="196" t="s">
        <v>951</v>
      </c>
    </row>
    <row r="96" spans="1:3">
      <c r="A96" s="195">
        <v>1989</v>
      </c>
      <c r="B96" s="195" t="s">
        <v>952</v>
      </c>
      <c r="C96" s="196" t="s">
        <v>953</v>
      </c>
    </row>
    <row r="97" spans="1:3">
      <c r="A97" s="197">
        <v>1989</v>
      </c>
      <c r="B97" s="198" t="s">
        <v>952</v>
      </c>
      <c r="C97" s="196" t="s">
        <v>953</v>
      </c>
    </row>
    <row r="98" spans="1:3">
      <c r="A98" s="195">
        <v>4124</v>
      </c>
      <c r="B98" s="195" t="s">
        <v>954</v>
      </c>
      <c r="C98" s="196" t="s">
        <v>955</v>
      </c>
    </row>
    <row r="99" spans="1:3" ht="41.4">
      <c r="A99" s="195">
        <v>4147</v>
      </c>
      <c r="B99" s="195" t="s">
        <v>35</v>
      </c>
      <c r="C99" s="196" t="s">
        <v>956</v>
      </c>
    </row>
    <row r="100" spans="1:3">
      <c r="A100" s="202">
        <v>4156</v>
      </c>
      <c r="B100" s="203" t="s">
        <v>957</v>
      </c>
      <c r="C100" s="204" t="s">
        <v>958</v>
      </c>
    </row>
    <row r="101" spans="1:3" ht="27.6">
      <c r="A101" s="195">
        <v>4169</v>
      </c>
      <c r="B101" s="195" t="s">
        <v>959</v>
      </c>
      <c r="C101" s="196" t="s">
        <v>960</v>
      </c>
    </row>
    <row r="102" spans="1:3">
      <c r="A102" s="195">
        <v>4180</v>
      </c>
      <c r="B102" s="195" t="s">
        <v>961</v>
      </c>
      <c r="C102" s="196" t="s">
        <v>962</v>
      </c>
    </row>
    <row r="103" spans="1:3">
      <c r="A103" s="195">
        <v>4233</v>
      </c>
      <c r="B103" s="195" t="s">
        <v>963</v>
      </c>
      <c r="C103" s="196" t="s">
        <v>964</v>
      </c>
    </row>
    <row r="104" spans="1:3">
      <c r="A104" s="197">
        <v>4233</v>
      </c>
      <c r="B104" s="198" t="s">
        <v>963</v>
      </c>
      <c r="C104" s="196" t="s">
        <v>964</v>
      </c>
    </row>
    <row r="105" spans="1:3">
      <c r="A105" s="195">
        <v>4262</v>
      </c>
      <c r="B105" s="195" t="s">
        <v>965</v>
      </c>
      <c r="C105" s="196" t="s">
        <v>806</v>
      </c>
    </row>
    <row r="106" spans="1:3" ht="27.6">
      <c r="A106" s="205">
        <v>4271</v>
      </c>
      <c r="B106" s="205" t="s">
        <v>966</v>
      </c>
      <c r="C106" s="205" t="s">
        <v>967</v>
      </c>
    </row>
    <row r="107" spans="1:3">
      <c r="A107" s="195">
        <v>4318</v>
      </c>
      <c r="B107" s="195" t="s">
        <v>968</v>
      </c>
      <c r="C107" s="196" t="s">
        <v>969</v>
      </c>
    </row>
    <row r="108" spans="1:3">
      <c r="A108" s="195">
        <v>4319</v>
      </c>
      <c r="B108" s="195" t="s">
        <v>970</v>
      </c>
      <c r="C108" s="196" t="s">
        <v>971</v>
      </c>
    </row>
    <row r="109" spans="1:3">
      <c r="A109" s="195">
        <v>4366</v>
      </c>
      <c r="B109" s="195" t="s">
        <v>954</v>
      </c>
      <c r="C109" s="196" t="s">
        <v>972</v>
      </c>
    </row>
    <row r="110" spans="1:3">
      <c r="A110" s="195">
        <v>4374</v>
      </c>
      <c r="B110" s="195" t="s">
        <v>973</v>
      </c>
      <c r="C110" s="196" t="s">
        <v>974</v>
      </c>
    </row>
    <row r="111" spans="1:3">
      <c r="A111" s="195">
        <v>4406</v>
      </c>
      <c r="B111" s="195" t="s">
        <v>975</v>
      </c>
      <c r="C111" s="196" t="s">
        <v>976</v>
      </c>
    </row>
    <row r="112" spans="1:3">
      <c r="A112" s="195">
        <v>4415</v>
      </c>
      <c r="B112" s="195" t="s">
        <v>977</v>
      </c>
      <c r="C112" s="196" t="s">
        <v>978</v>
      </c>
    </row>
    <row r="113" spans="1:3">
      <c r="A113" s="195">
        <v>4418</v>
      </c>
      <c r="B113" s="195" t="s">
        <v>979</v>
      </c>
      <c r="C113" s="196" t="s">
        <v>980</v>
      </c>
    </row>
    <row r="114" spans="1:3">
      <c r="A114" s="195">
        <v>4419</v>
      </c>
      <c r="B114" s="195" t="s">
        <v>981</v>
      </c>
      <c r="C114" s="196" t="s">
        <v>982</v>
      </c>
    </row>
    <row r="115" spans="1:3">
      <c r="A115" s="195">
        <v>4420</v>
      </c>
      <c r="B115" s="195" t="s">
        <v>983</v>
      </c>
      <c r="C115" s="196" t="s">
        <v>984</v>
      </c>
    </row>
    <row r="116" spans="1:3" ht="27.6">
      <c r="A116" s="195">
        <v>4422</v>
      </c>
      <c r="B116" s="195" t="s">
        <v>985</v>
      </c>
      <c r="C116" s="196" t="s">
        <v>986</v>
      </c>
    </row>
    <row r="117" spans="1:3">
      <c r="A117" s="195">
        <v>4427</v>
      </c>
      <c r="B117" s="195" t="s">
        <v>987</v>
      </c>
      <c r="C117" s="196" t="s">
        <v>971</v>
      </c>
    </row>
    <row r="118" spans="1:3">
      <c r="A118" s="195">
        <v>4428</v>
      </c>
      <c r="B118" s="195" t="s">
        <v>988</v>
      </c>
      <c r="C118" s="196" t="s">
        <v>971</v>
      </c>
    </row>
    <row r="119" spans="1:3">
      <c r="A119" s="195">
        <v>4453</v>
      </c>
      <c r="B119" s="195" t="s">
        <v>989</v>
      </c>
      <c r="C119" s="196" t="s">
        <v>990</v>
      </c>
    </row>
    <row r="120" spans="1:3">
      <c r="A120" s="195">
        <v>4500</v>
      </c>
      <c r="B120" s="195" t="s">
        <v>991</v>
      </c>
      <c r="C120" s="196" t="s">
        <v>992</v>
      </c>
    </row>
    <row r="121" spans="1:3">
      <c r="A121" s="195">
        <v>4534</v>
      </c>
      <c r="B121" s="195" t="s">
        <v>943</v>
      </c>
      <c r="C121" s="196" t="s">
        <v>993</v>
      </c>
    </row>
    <row r="122" spans="1:3" ht="27.6">
      <c r="A122" s="195">
        <v>4544</v>
      </c>
      <c r="B122" s="195" t="s">
        <v>994</v>
      </c>
      <c r="C122" s="196" t="s">
        <v>995</v>
      </c>
    </row>
    <row r="123" spans="1:3">
      <c r="A123" s="195">
        <v>4547</v>
      </c>
      <c r="B123" s="195" t="s">
        <v>996</v>
      </c>
      <c r="C123" s="196" t="s">
        <v>997</v>
      </c>
    </row>
    <row r="124" spans="1:3">
      <c r="A124" s="195">
        <v>4549</v>
      </c>
      <c r="B124" s="195" t="s">
        <v>789</v>
      </c>
      <c r="C124" s="196" t="s">
        <v>806</v>
      </c>
    </row>
    <row r="125" spans="1:3" ht="27.6">
      <c r="A125" s="195">
        <v>4550</v>
      </c>
      <c r="B125" s="195" t="s">
        <v>998</v>
      </c>
      <c r="C125" s="196" t="s">
        <v>999</v>
      </c>
    </row>
    <row r="126" spans="1:3" ht="27.6">
      <c r="A126" s="195">
        <v>4576</v>
      </c>
      <c r="B126" s="195" t="s">
        <v>1000</v>
      </c>
      <c r="C126" s="196" t="s">
        <v>1001</v>
      </c>
    </row>
    <row r="127" spans="1:3" ht="27.6">
      <c r="A127" s="195">
        <v>4577</v>
      </c>
      <c r="B127" s="195" t="s">
        <v>1002</v>
      </c>
      <c r="C127" s="196" t="s">
        <v>1003</v>
      </c>
    </row>
    <row r="128" spans="1:3">
      <c r="A128" s="195">
        <v>4579</v>
      </c>
      <c r="B128" s="195" t="s">
        <v>1004</v>
      </c>
      <c r="C128" s="196" t="s">
        <v>1005</v>
      </c>
    </row>
    <row r="129" spans="1:3">
      <c r="A129" s="197">
        <v>4579</v>
      </c>
      <c r="B129" s="198" t="s">
        <v>1004</v>
      </c>
      <c r="C129" s="196" t="s">
        <v>1005</v>
      </c>
    </row>
    <row r="130" spans="1:3" ht="27.6">
      <c r="A130" s="195">
        <v>4592</v>
      </c>
      <c r="B130" s="195" t="s">
        <v>1006</v>
      </c>
      <c r="C130" s="196" t="s">
        <v>1007</v>
      </c>
    </row>
    <row r="131" spans="1:3">
      <c r="A131" s="195">
        <v>4624</v>
      </c>
      <c r="B131" s="195" t="s">
        <v>1008</v>
      </c>
      <c r="C131" s="196" t="s">
        <v>1009</v>
      </c>
    </row>
    <row r="132" spans="1:3">
      <c r="A132" s="195">
        <v>4628</v>
      </c>
      <c r="B132" s="195" t="s">
        <v>1010</v>
      </c>
      <c r="C132" s="196" t="s">
        <v>1011</v>
      </c>
    </row>
    <row r="133" spans="1:3" ht="27.6">
      <c r="A133" s="195">
        <v>4639</v>
      </c>
      <c r="B133" s="195" t="s">
        <v>1012</v>
      </c>
      <c r="C133" s="196" t="s">
        <v>1013</v>
      </c>
    </row>
    <row r="134" spans="1:3">
      <c r="A134" s="195">
        <v>4640</v>
      </c>
      <c r="B134" s="195" t="s">
        <v>1014</v>
      </c>
      <c r="C134" s="196" t="s">
        <v>1015</v>
      </c>
    </row>
    <row r="135" spans="1:3">
      <c r="A135" s="195">
        <v>4642</v>
      </c>
      <c r="B135" s="195" t="s">
        <v>1008</v>
      </c>
      <c r="C135" s="196" t="s">
        <v>1015</v>
      </c>
    </row>
    <row r="136" spans="1:3" ht="27.6">
      <c r="A136" s="195">
        <v>4643</v>
      </c>
      <c r="B136" s="195" t="s">
        <v>1016</v>
      </c>
      <c r="C136" s="196" t="s">
        <v>1017</v>
      </c>
    </row>
    <row r="137" spans="1:3">
      <c r="A137" s="197">
        <v>4644</v>
      </c>
      <c r="B137" s="198" t="s">
        <v>1018</v>
      </c>
      <c r="C137" s="196" t="s">
        <v>1019</v>
      </c>
    </row>
    <row r="138" spans="1:3">
      <c r="A138" s="197">
        <v>4644</v>
      </c>
      <c r="B138" s="198" t="s">
        <v>1018</v>
      </c>
      <c r="C138" s="196" t="s">
        <v>1019</v>
      </c>
    </row>
    <row r="139" spans="1:3">
      <c r="A139" s="195">
        <v>4650</v>
      </c>
      <c r="B139" s="195" t="s">
        <v>1020</v>
      </c>
      <c r="C139" s="196" t="s">
        <v>1021</v>
      </c>
    </row>
    <row r="140" spans="1:3" ht="27.6">
      <c r="A140" s="195">
        <v>4651</v>
      </c>
      <c r="B140" s="195" t="s">
        <v>954</v>
      </c>
      <c r="C140" s="196" t="s">
        <v>1022</v>
      </c>
    </row>
    <row r="141" spans="1:3" ht="27.6">
      <c r="A141" s="195">
        <v>4687</v>
      </c>
      <c r="B141" s="195" t="s">
        <v>954</v>
      </c>
      <c r="C141" s="196" t="s">
        <v>1023</v>
      </c>
    </row>
    <row r="142" spans="1:3" ht="27.6">
      <c r="A142" s="195">
        <v>4926</v>
      </c>
      <c r="B142" s="195" t="s">
        <v>1024</v>
      </c>
      <c r="C142" s="196" t="s">
        <v>1025</v>
      </c>
    </row>
    <row r="143" spans="1:3" ht="27.6">
      <c r="A143" s="195">
        <v>4932</v>
      </c>
      <c r="B143" s="195" t="s">
        <v>1026</v>
      </c>
      <c r="C143" s="196" t="s">
        <v>1027</v>
      </c>
    </row>
    <row r="144" spans="1:3" ht="27.6">
      <c r="A144" s="195">
        <v>4934</v>
      </c>
      <c r="B144" s="195" t="s">
        <v>1028</v>
      </c>
      <c r="C144" s="196" t="s">
        <v>1029</v>
      </c>
    </row>
    <row r="145" spans="1:3" ht="27.6">
      <c r="A145" s="195">
        <v>4935</v>
      </c>
      <c r="B145" s="195" t="s">
        <v>1030</v>
      </c>
      <c r="C145" s="206" t="s">
        <v>1031</v>
      </c>
    </row>
    <row r="146" spans="1:3" ht="27.6">
      <c r="A146" s="195">
        <v>4936</v>
      </c>
      <c r="B146" s="195" t="s">
        <v>1032</v>
      </c>
      <c r="C146" s="206" t="s">
        <v>1033</v>
      </c>
    </row>
    <row r="147" spans="1:3" ht="27.6">
      <c r="A147" s="195">
        <v>4959</v>
      </c>
      <c r="B147" s="195" t="s">
        <v>1034</v>
      </c>
      <c r="C147" s="206" t="s">
        <v>1035</v>
      </c>
    </row>
    <row r="148" spans="1:3" ht="27.6">
      <c r="A148" s="195">
        <v>4983</v>
      </c>
      <c r="B148" s="195" t="s">
        <v>41</v>
      </c>
      <c r="C148" s="196" t="s">
        <v>1036</v>
      </c>
    </row>
    <row r="149" spans="1:3" ht="27.6">
      <c r="A149" s="195">
        <v>4994</v>
      </c>
      <c r="B149" s="195" t="s">
        <v>1037</v>
      </c>
      <c r="C149" s="206" t="s">
        <v>1038</v>
      </c>
    </row>
    <row r="150" spans="1:3" ht="27.6">
      <c r="A150" s="195">
        <v>4996</v>
      </c>
      <c r="B150" s="195" t="s">
        <v>1039</v>
      </c>
      <c r="C150" s="196" t="s">
        <v>1040</v>
      </c>
    </row>
    <row r="151" spans="1:3" ht="27.6">
      <c r="A151" s="195">
        <v>4997</v>
      </c>
      <c r="B151" s="195" t="s">
        <v>1041</v>
      </c>
      <c r="C151" s="206" t="s">
        <v>1042</v>
      </c>
    </row>
    <row r="152" spans="1:3">
      <c r="A152" s="195">
        <v>4998</v>
      </c>
      <c r="B152" s="195" t="s">
        <v>879</v>
      </c>
      <c r="C152" s="196" t="s">
        <v>1043</v>
      </c>
    </row>
    <row r="153" spans="1:3" ht="27.6">
      <c r="A153" s="195">
        <v>5216</v>
      </c>
      <c r="B153" s="195" t="s">
        <v>95</v>
      </c>
      <c r="C153" s="206" t="s">
        <v>1044</v>
      </c>
    </row>
    <row r="154" spans="1:3" ht="27.6">
      <c r="A154" s="205">
        <v>5216</v>
      </c>
      <c r="B154" s="205" t="s">
        <v>95</v>
      </c>
      <c r="C154" s="205" t="s">
        <v>1044</v>
      </c>
    </row>
    <row r="155" spans="1:3" ht="41.4">
      <c r="A155" s="195">
        <v>5219</v>
      </c>
      <c r="B155" s="195" t="s">
        <v>1045</v>
      </c>
      <c r="C155" s="196" t="s">
        <v>1046</v>
      </c>
    </row>
    <row r="156" spans="1:3" ht="27.6">
      <c r="A156" s="197">
        <v>5224</v>
      </c>
      <c r="B156" s="198" t="s">
        <v>1047</v>
      </c>
      <c r="C156" s="196" t="s">
        <v>1048</v>
      </c>
    </row>
    <row r="157" spans="1:3" ht="27.6">
      <c r="A157" s="197">
        <v>5224</v>
      </c>
      <c r="B157" s="198" t="s">
        <v>1047</v>
      </c>
      <c r="C157" s="196" t="s">
        <v>1048</v>
      </c>
    </row>
    <row r="158" spans="1:3" ht="27.6">
      <c r="A158" s="195">
        <v>5251</v>
      </c>
      <c r="B158" s="195" t="s">
        <v>1049</v>
      </c>
      <c r="C158" s="206" t="s">
        <v>1050</v>
      </c>
    </row>
    <row r="159" spans="1:3" ht="27.6">
      <c r="A159" s="195">
        <v>5253</v>
      </c>
      <c r="B159" s="195" t="s">
        <v>78</v>
      </c>
      <c r="C159" s="196" t="s">
        <v>1051</v>
      </c>
    </row>
    <row r="160" spans="1:3">
      <c r="A160" s="195">
        <v>5254</v>
      </c>
      <c r="B160" s="195" t="s">
        <v>78</v>
      </c>
      <c r="C160" s="196" t="s">
        <v>1052</v>
      </c>
    </row>
    <row r="161" spans="1:3" ht="27.6">
      <c r="A161" s="195">
        <v>5268</v>
      </c>
      <c r="B161" s="195" t="s">
        <v>1053</v>
      </c>
      <c r="C161" s="206" t="s">
        <v>1054</v>
      </c>
    </row>
    <row r="162" spans="1:3">
      <c r="A162" s="197">
        <v>5270</v>
      </c>
      <c r="B162" s="198" t="s">
        <v>1055</v>
      </c>
      <c r="C162" s="196"/>
    </row>
    <row r="163" spans="1:3">
      <c r="A163" s="197">
        <v>5270</v>
      </c>
      <c r="B163" s="198" t="s">
        <v>1055</v>
      </c>
      <c r="C163" s="196"/>
    </row>
    <row r="164" spans="1:3">
      <c r="A164" s="195">
        <v>5276</v>
      </c>
      <c r="B164" s="195" t="s">
        <v>1056</v>
      </c>
      <c r="C164" s="196" t="s">
        <v>1057</v>
      </c>
    </row>
    <row r="165" spans="1:3">
      <c r="A165" s="195">
        <v>5279</v>
      </c>
      <c r="B165" s="195" t="s">
        <v>1058</v>
      </c>
      <c r="C165" s="206" t="s">
        <v>1059</v>
      </c>
    </row>
    <row r="166" spans="1:3">
      <c r="A166" s="195">
        <v>5280</v>
      </c>
      <c r="B166" s="195" t="s">
        <v>1060</v>
      </c>
      <c r="C166" s="206" t="s">
        <v>1061</v>
      </c>
    </row>
    <row r="167" spans="1:3">
      <c r="A167" s="195">
        <v>5283</v>
      </c>
      <c r="B167" s="195" t="s">
        <v>985</v>
      </c>
      <c r="C167" s="206" t="s">
        <v>1062</v>
      </c>
    </row>
    <row r="168" spans="1:3">
      <c r="A168" s="197">
        <v>5321</v>
      </c>
      <c r="B168" s="198" t="s">
        <v>1063</v>
      </c>
      <c r="C168" s="196" t="s">
        <v>1064</v>
      </c>
    </row>
    <row r="169" spans="1:3">
      <c r="A169" s="197">
        <v>5321</v>
      </c>
      <c r="B169" s="197" t="s">
        <v>1063</v>
      </c>
      <c r="C169" s="196" t="s">
        <v>1064</v>
      </c>
    </row>
    <row r="170" spans="1:3">
      <c r="A170" s="197">
        <v>5322</v>
      </c>
      <c r="B170" s="198" t="s">
        <v>1065</v>
      </c>
      <c r="C170" s="196" t="s">
        <v>1066</v>
      </c>
    </row>
    <row r="171" spans="1:3">
      <c r="A171" s="197">
        <v>5322</v>
      </c>
      <c r="B171" s="197" t="s">
        <v>1065</v>
      </c>
      <c r="C171" s="196" t="s">
        <v>1066</v>
      </c>
    </row>
    <row r="172" spans="1:3">
      <c r="A172" s="197">
        <v>5338</v>
      </c>
      <c r="B172" s="198" t="s">
        <v>1067</v>
      </c>
      <c r="C172" s="196" t="s">
        <v>1068</v>
      </c>
    </row>
    <row r="173" spans="1:3">
      <c r="A173" s="197">
        <v>5338</v>
      </c>
      <c r="B173" s="197" t="s">
        <v>1067</v>
      </c>
      <c r="C173" s="196" t="s">
        <v>1068</v>
      </c>
    </row>
    <row r="174" spans="1:3">
      <c r="A174" s="197">
        <v>5339</v>
      </c>
      <c r="B174" s="198" t="s">
        <v>1069</v>
      </c>
      <c r="C174" s="196" t="s">
        <v>1068</v>
      </c>
    </row>
    <row r="175" spans="1:3">
      <c r="A175" s="197">
        <v>5339</v>
      </c>
      <c r="B175" s="197" t="s">
        <v>1069</v>
      </c>
      <c r="C175" s="196" t="s">
        <v>1068</v>
      </c>
    </row>
    <row r="176" spans="1:3" ht="27.6">
      <c r="A176" s="195">
        <v>5340</v>
      </c>
      <c r="B176" s="195" t="s">
        <v>1070</v>
      </c>
      <c r="C176" s="196" t="s">
        <v>1071</v>
      </c>
    </row>
    <row r="177" spans="1:3">
      <c r="A177" s="195">
        <v>5422</v>
      </c>
      <c r="B177" s="195" t="s">
        <v>1072</v>
      </c>
      <c r="C177" s="206" t="s">
        <v>1073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2"/>
  <dimension ref="A1:AF19"/>
  <sheetViews>
    <sheetView rightToLeft="1" workbookViewId="0">
      <selection activeCell="N28" sqref="N28"/>
    </sheetView>
  </sheetViews>
  <sheetFormatPr defaultRowHeight="14.4"/>
  <cols>
    <col min="1" max="1" width="2.88671875" bestFit="1" customWidth="1"/>
    <col min="2" max="2" width="9.88671875" bestFit="1" customWidth="1"/>
    <col min="3" max="3" width="10.5546875" bestFit="1" customWidth="1"/>
    <col min="4" max="4" width="11.88671875" bestFit="1" customWidth="1"/>
    <col min="6" max="6" width="11.6640625" customWidth="1"/>
    <col min="7" max="7" width="10.88671875" bestFit="1" customWidth="1"/>
    <col min="8" max="8" width="11.88671875" bestFit="1" customWidth="1"/>
    <col min="9" max="9" width="10.88671875" bestFit="1" customWidth="1"/>
    <col min="10" max="12" width="10.88671875" customWidth="1"/>
    <col min="13" max="13" width="11.88671875" bestFit="1" customWidth="1"/>
    <col min="14" max="15" width="8.88671875" bestFit="1" customWidth="1"/>
    <col min="16" max="18" width="9.88671875" bestFit="1" customWidth="1"/>
    <col min="19" max="19" width="8.33203125" bestFit="1" customWidth="1"/>
    <col min="20" max="20" width="9.33203125" bestFit="1" customWidth="1"/>
    <col min="21" max="21" width="9.88671875" bestFit="1" customWidth="1"/>
    <col min="22" max="22" width="10.109375" bestFit="1" customWidth="1"/>
    <col min="23" max="24" width="10.88671875" bestFit="1" customWidth="1"/>
    <col min="25" max="25" width="9.88671875" bestFit="1" customWidth="1"/>
    <col min="26" max="33" width="12.109375" customWidth="1"/>
    <col min="34" max="34" width="14" bestFit="1" customWidth="1"/>
    <col min="35" max="35" width="11.44140625" bestFit="1" customWidth="1"/>
    <col min="36" max="36" width="10.88671875" bestFit="1" customWidth="1"/>
    <col min="37" max="38" width="10.88671875" customWidth="1"/>
    <col min="45" max="45" width="9.33203125" bestFit="1" customWidth="1"/>
    <col min="46" max="46" width="9.88671875" bestFit="1" customWidth="1"/>
    <col min="48" max="48" width="10.88671875" customWidth="1"/>
    <col min="49" max="49" width="10.6640625" customWidth="1"/>
    <col min="50" max="50" width="12.109375" customWidth="1"/>
    <col min="51" max="51" width="11.109375" customWidth="1"/>
    <col min="52" max="52" width="10.6640625" customWidth="1"/>
    <col min="53" max="53" width="9.88671875" bestFit="1" customWidth="1"/>
    <col min="54" max="54" width="10.44140625" bestFit="1" customWidth="1"/>
    <col min="55" max="58" width="10.88671875" bestFit="1" customWidth="1"/>
    <col min="65" max="65" width="11.44140625" bestFit="1" customWidth="1"/>
    <col min="66" max="66" width="9.88671875" bestFit="1" customWidth="1"/>
    <col min="68" max="69" width="10.88671875" bestFit="1" customWidth="1"/>
    <col min="70" max="70" width="9.6640625" bestFit="1" customWidth="1"/>
    <col min="71" max="71" width="6.109375" bestFit="1" customWidth="1"/>
    <col min="72" max="72" width="7.6640625" bestFit="1" customWidth="1"/>
    <col min="73" max="73" width="5.109375" bestFit="1" customWidth="1"/>
    <col min="74" max="74" width="6.109375" bestFit="1" customWidth="1"/>
    <col min="76" max="76" width="6.6640625" bestFit="1" customWidth="1"/>
    <col min="77" max="77" width="10.88671875" bestFit="1" customWidth="1"/>
    <col min="78" max="79" width="9.109375" bestFit="1" customWidth="1"/>
    <col min="80" max="80" width="10.6640625" bestFit="1" customWidth="1"/>
    <col min="81" max="81" width="9.6640625" bestFit="1" customWidth="1"/>
    <col min="82" max="82" width="10.109375" bestFit="1" customWidth="1"/>
    <col min="83" max="83" width="8.88671875" bestFit="1" customWidth="1"/>
    <col min="84" max="84" width="7.88671875" bestFit="1" customWidth="1"/>
    <col min="85" max="85" width="7.6640625" customWidth="1"/>
    <col min="86" max="86" width="7.88671875" customWidth="1"/>
    <col min="88" max="88" width="11.6640625" bestFit="1" customWidth="1"/>
    <col min="89" max="89" width="10.6640625" bestFit="1" customWidth="1"/>
    <col min="91" max="91" width="11.6640625" bestFit="1" customWidth="1"/>
    <col min="92" max="92" width="12.88671875" bestFit="1" customWidth="1"/>
    <col min="93" max="93" width="10.6640625" bestFit="1" customWidth="1"/>
    <col min="94" max="94" width="11.6640625" bestFit="1" customWidth="1"/>
    <col min="95" max="95" width="13.33203125" bestFit="1" customWidth="1"/>
    <col min="96" max="100" width="12.88671875" bestFit="1" customWidth="1"/>
    <col min="101" max="101" width="14.33203125" bestFit="1" customWidth="1"/>
  </cols>
  <sheetData>
    <row r="1" spans="1:32">
      <c r="B1" t="s">
        <v>9</v>
      </c>
      <c r="C1" s="120">
        <v>45230</v>
      </c>
    </row>
    <row r="2" spans="1:32">
      <c r="B2" s="6" t="s">
        <v>1076</v>
      </c>
      <c r="C2" s="159">
        <v>110.5</v>
      </c>
    </row>
    <row r="3" spans="1:32" ht="15" thickBot="1">
      <c r="D3" s="2"/>
    </row>
    <row r="4" spans="1:32" ht="15.6" thickTop="1" thickBot="1">
      <c r="A4" s="112"/>
      <c r="B4" s="111"/>
      <c r="C4" s="111"/>
      <c r="D4" s="111"/>
      <c r="E4" s="111"/>
      <c r="F4" s="111"/>
      <c r="G4" s="111" t="s">
        <v>39</v>
      </c>
      <c r="H4" s="111"/>
      <c r="I4" s="111"/>
      <c r="J4" s="111"/>
      <c r="K4" s="111"/>
      <c r="L4" s="111"/>
      <c r="M4" s="109"/>
      <c r="N4" s="112"/>
      <c r="O4" s="111"/>
      <c r="P4" s="111"/>
      <c r="Q4" s="111"/>
      <c r="R4" s="111"/>
      <c r="S4" s="111"/>
      <c r="T4" s="111" t="s">
        <v>96</v>
      </c>
      <c r="U4" s="111"/>
      <c r="V4" s="111"/>
      <c r="W4" s="111"/>
      <c r="X4" s="109"/>
      <c r="Y4" s="112"/>
      <c r="Z4" s="175" t="s">
        <v>1077</v>
      </c>
      <c r="AA4" s="111"/>
      <c r="AB4" s="176"/>
      <c r="AC4" s="175" t="s">
        <v>1078</v>
      </c>
      <c r="AD4" s="111"/>
      <c r="AE4" s="110"/>
      <c r="AF4" s="110"/>
    </row>
    <row r="5" spans="1:32" ht="15" thickTop="1">
      <c r="A5" s="9"/>
      <c r="B5" s="6"/>
      <c r="C5" s="6"/>
      <c r="D5" s="119"/>
      <c r="M5" s="10"/>
      <c r="N5" s="9"/>
      <c r="U5" t="e">
        <f>+#REF!</f>
        <v>#REF!</v>
      </c>
      <c r="X5" s="10"/>
      <c r="Y5" s="9"/>
      <c r="Z5" s="170"/>
      <c r="AB5" s="169"/>
      <c r="AC5" s="170"/>
      <c r="AE5" s="67"/>
      <c r="AF5" s="67"/>
    </row>
    <row r="6" spans="1:32">
      <c r="A6" s="9"/>
      <c r="D6" s="119"/>
      <c r="F6" s="8"/>
      <c r="J6" s="13">
        <v>0.10235</v>
      </c>
      <c r="M6" s="160"/>
      <c r="N6" s="125" t="e">
        <f>#REF!</f>
        <v>#REF!</v>
      </c>
      <c r="O6" s="5" t="e">
        <f>#REF!</f>
        <v>#REF!</v>
      </c>
      <c r="P6" s="5" t="e">
        <f>#REF!</f>
        <v>#REF!</v>
      </c>
      <c r="Q6" s="5" t="e">
        <f>#REF!</f>
        <v>#REF!</v>
      </c>
      <c r="R6" s="5" t="e">
        <f>#REF!</f>
        <v>#REF!</v>
      </c>
      <c r="S6" s="5" t="e">
        <f>#REF!</f>
        <v>#REF!</v>
      </c>
      <c r="T6" s="5" t="e">
        <f>#REF!</f>
        <v>#REF!</v>
      </c>
      <c r="U6" s="8">
        <v>2.25</v>
      </c>
      <c r="V6" s="8" t="e">
        <f>+#REF!</f>
        <v>#REF!</v>
      </c>
      <c r="W6" s="8"/>
      <c r="X6" s="86"/>
      <c r="Y6" s="168" t="e">
        <f>+#REF!</f>
        <v>#REF!</v>
      </c>
      <c r="Z6" s="172" t="e">
        <f>+#REF!</f>
        <v>#REF!</v>
      </c>
      <c r="AA6" s="78"/>
      <c r="AB6" s="171" t="e">
        <f>+#REF!</f>
        <v>#REF!</v>
      </c>
      <c r="AC6" s="172" t="e">
        <f>+#REF!</f>
        <v>#REF!</v>
      </c>
      <c r="AD6" s="78"/>
      <c r="AE6" s="77"/>
      <c r="AF6" s="67"/>
    </row>
    <row r="7" spans="1:32" s="3" customFormat="1" ht="29.4" thickBot="1">
      <c r="A7" s="162"/>
      <c r="B7" s="163" t="s">
        <v>1079</v>
      </c>
      <c r="C7" s="163" t="s">
        <v>1080</v>
      </c>
      <c r="D7" s="163" t="s">
        <v>84</v>
      </c>
      <c r="E7" s="163" t="s">
        <v>4</v>
      </c>
      <c r="F7" s="164" t="s">
        <v>1081</v>
      </c>
      <c r="G7" s="165">
        <v>3.8199999999999998E-2</v>
      </c>
      <c r="H7" s="166" t="s">
        <v>1082</v>
      </c>
      <c r="I7" s="163" t="s">
        <v>39</v>
      </c>
      <c r="J7" s="163" t="s">
        <v>1083</v>
      </c>
      <c r="K7" s="163" t="s">
        <v>1084</v>
      </c>
      <c r="L7" s="163" t="s">
        <v>1085</v>
      </c>
      <c r="M7" s="167" t="s">
        <v>1086</v>
      </c>
      <c r="N7" s="155" t="e">
        <f>+#REF!</f>
        <v>#REF!</v>
      </c>
      <c r="O7" s="156" t="e">
        <f>+#REF!</f>
        <v>#REF!</v>
      </c>
      <c r="P7" s="156" t="e">
        <f>+#REF!</f>
        <v>#REF!</v>
      </c>
      <c r="Q7" s="156" t="e">
        <f>+#REF!</f>
        <v>#REF!</v>
      </c>
      <c r="R7" s="156" t="e">
        <f>+#REF!</f>
        <v>#REF!</v>
      </c>
      <c r="S7" s="156" t="e">
        <f>+#REF!</f>
        <v>#REF!</v>
      </c>
      <c r="T7" s="156" t="e">
        <f>+#REF!</f>
        <v>#REF!</v>
      </c>
      <c r="U7" s="157" t="s">
        <v>1087</v>
      </c>
      <c r="V7" s="157" t="s">
        <v>1088</v>
      </c>
      <c r="W7" s="157" t="s">
        <v>1089</v>
      </c>
      <c r="X7" s="158" t="s">
        <v>1090</v>
      </c>
      <c r="Y7" s="177" t="e">
        <f>+#REF!</f>
        <v>#REF!</v>
      </c>
      <c r="Z7" s="178" t="e">
        <f>+#REF!</f>
        <v>#REF!</v>
      </c>
      <c r="AA7" s="157" t="s">
        <v>1091</v>
      </c>
      <c r="AB7" s="179" t="e">
        <f>+Y7</f>
        <v>#REF!</v>
      </c>
      <c r="AC7" s="178" t="e">
        <f>+Z7</f>
        <v>#REF!</v>
      </c>
      <c r="AD7" s="157" t="s">
        <v>1092</v>
      </c>
      <c r="AE7" s="180" t="s">
        <v>1093</v>
      </c>
      <c r="AF7" s="181" t="s">
        <v>1094</v>
      </c>
    </row>
    <row r="8" spans="1:32" ht="15" thickTop="1">
      <c r="A8" s="9">
        <v>1</v>
      </c>
      <c r="B8" s="161">
        <v>1.2023999999999999</v>
      </c>
      <c r="C8" s="159">
        <v>112</v>
      </c>
      <c r="D8" s="119">
        <v>41033</v>
      </c>
      <c r="E8" s="78">
        <v>0.76</v>
      </c>
      <c r="F8" s="119">
        <f>+D8*E8</f>
        <v>31185.08</v>
      </c>
      <c r="G8" s="79">
        <v>1496</v>
      </c>
      <c r="H8" s="79"/>
      <c r="I8" s="119">
        <f>+F8+G8+H8</f>
        <v>32681.08</v>
      </c>
      <c r="J8" s="119">
        <f>+(F8+G8)*$J$6</f>
        <v>3344.9085380000001</v>
      </c>
      <c r="K8" s="119">
        <v>0</v>
      </c>
      <c r="L8" s="119">
        <f>+I8-J8-K8</f>
        <v>29336.171462000002</v>
      </c>
      <c r="M8" s="122">
        <f>+L8</f>
        <v>29336.171462000002</v>
      </c>
      <c r="N8" s="154" t="e">
        <f>+MIN(M8,$N$7*A8)*$N$6</f>
        <v>#REF!</v>
      </c>
      <c r="O8" s="118" t="e">
        <f>IF(M8&gt;$O$7*A8,($O$7-$N$7)*A8*$O$6,MAX(M8-$N$7*A8,0)*$O$6)</f>
        <v>#REF!</v>
      </c>
      <c r="P8" s="118" t="e">
        <f>IF(M8&gt;$P$7*A8,($P$7-$O$7)*A8*$P$6,MAX(M8-$O$7*A8,0)*$P$6)</f>
        <v>#REF!</v>
      </c>
      <c r="Q8" s="118" t="e">
        <f>IF(M8&gt;$Q$7*A8,($Q$7-$P$7)*A8*$Q$6,MAX(M8-$P$7*A8,0)*$Q$6)</f>
        <v>#REF!</v>
      </c>
      <c r="R8" s="118" t="e">
        <f>IF(M8&gt;$R$7*A8,($R$7-$Q$7)*A8*$R$6,MAX(M8-$Q$7*A8,0)*$R$6)</f>
        <v>#REF!</v>
      </c>
      <c r="S8" s="118" t="e">
        <f>IF(I8&gt;$S$7*A8,($S$7-$R$7)*A8*$S$6,MAX(I8-$R$7*A8,0)*$S$6)</f>
        <v>#REF!</v>
      </c>
      <c r="T8" s="118" t="e">
        <f>IF(I8&gt;$S$7*A8,I8-$S$7*$T$6*A8,0)</f>
        <v>#REF!</v>
      </c>
      <c r="U8" s="119" t="e">
        <f>+$U$6*$U$5*A8</f>
        <v>#REF!</v>
      </c>
      <c r="V8" s="119"/>
      <c r="W8" s="119" t="e">
        <f>SUM(N8:T8)-U8-V8</f>
        <v>#REF!</v>
      </c>
      <c r="X8" s="122" t="e">
        <f>SUM(N8:T8)-U8-V8</f>
        <v>#REF!</v>
      </c>
      <c r="Y8" s="123" t="e">
        <f>MIN(L8,$Y$7)*$Y$6</f>
        <v>#REF!</v>
      </c>
      <c r="Z8" s="174" t="e">
        <f>IF(L8&gt;$Y$7,MIN($Z$7,L8)-$Y$7,0)*$Z$6</f>
        <v>#REF!</v>
      </c>
      <c r="AA8" s="119" t="e">
        <f>+Z8+Y8</f>
        <v>#REF!</v>
      </c>
      <c r="AB8" s="173" t="e">
        <f>MIN(L8,$AB$7)*$AB$6</f>
        <v>#REF!</v>
      </c>
      <c r="AC8" s="174" t="e">
        <f>IF(L8&gt;$AB$7,MIN($AC$7,L8)-$AB$7,0)*$AC$6</f>
        <v>#REF!</v>
      </c>
      <c r="AD8" s="119" t="e">
        <f>+AC8+AB8</f>
        <v>#REF!</v>
      </c>
      <c r="AE8" s="124" t="e">
        <f>+AD8+AA8</f>
        <v>#REF!</v>
      </c>
      <c r="AF8" s="124" t="e">
        <f>+L8-X8-AE8</f>
        <v>#REF!</v>
      </c>
    </row>
    <row r="9" spans="1:32">
      <c r="A9" s="9">
        <v>2</v>
      </c>
      <c r="B9" s="161">
        <v>2.2023999999999999</v>
      </c>
      <c r="C9" s="159">
        <v>112</v>
      </c>
      <c r="D9" s="119">
        <v>41033</v>
      </c>
      <c r="E9" s="78">
        <v>0.76</v>
      </c>
      <c r="F9" s="119">
        <f>+D9*E9</f>
        <v>31185.08</v>
      </c>
      <c r="G9" s="79">
        <v>1496</v>
      </c>
      <c r="H9" s="79"/>
      <c r="I9" s="119">
        <f t="shared" ref="I9:I19" si="0">+F9+G9+H9</f>
        <v>32681.08</v>
      </c>
      <c r="J9" s="119">
        <f t="shared" ref="J9:J19" si="1">+(F9+G9)*$J$6</f>
        <v>3344.9085380000001</v>
      </c>
      <c r="K9" s="119">
        <v>0</v>
      </c>
      <c r="L9" s="119">
        <f t="shared" ref="L9:L19" si="2">+I9-J9-K9</f>
        <v>29336.171462000002</v>
      </c>
      <c r="M9" s="122">
        <f>+L9+M8</f>
        <v>58672.342924000004</v>
      </c>
      <c r="N9" s="154" t="e">
        <f>+MIN(M9,$N$7*A9)*$N$6</f>
        <v>#REF!</v>
      </c>
      <c r="O9" s="118" t="e">
        <f>IF(M9&gt;$O$7*A9,($O$7-$N$7)*A9*$O$6,MAX(M9-$N$7*A9,0)*$O$6)</f>
        <v>#REF!</v>
      </c>
      <c r="P9" s="118" t="e">
        <f t="shared" ref="P9:P19" si="3">IF(M9&gt;$P$7*A9,($P$7-$O$7)*A9*$P$6,MAX(M9-$O$7*A9,0)*$P$6)</f>
        <v>#REF!</v>
      </c>
      <c r="Q9" s="118" t="e">
        <f t="shared" ref="Q9:Q19" si="4">IF(M9&gt;$Q$7*A9,($Q$7-$P$7)*A9*$Q$6,MAX(M9-$P$7*A9,0)*$Q$6)</f>
        <v>#REF!</v>
      </c>
      <c r="R9" s="118" t="e">
        <f t="shared" ref="R9:R19" si="5">IF(M9&gt;$R$7*A9,($R$7-$Q$7)*A9*$R$6,MAX(M9-$Q$7*A9,0)*$R$6)</f>
        <v>#REF!</v>
      </c>
      <c r="S9" s="118" t="e">
        <f t="shared" ref="S9:S19" si="6">IF(I9&gt;$S$7*A9,($S$7-$R$7)*A9*$S$6,MAX(I9-$R$7*A9,0)*$S$6)</f>
        <v>#REF!</v>
      </c>
      <c r="T9" s="118" t="e">
        <f t="shared" ref="T9:T19" si="7">IF(I9&gt;$S$7*A9,I9-$S$7*$T$6*A9,0)</f>
        <v>#REF!</v>
      </c>
      <c r="U9" s="119" t="e">
        <f t="shared" ref="U9:U19" si="8">+$U$6*$U$5*A9</f>
        <v>#REF!</v>
      </c>
      <c r="V9" s="119"/>
      <c r="W9" s="119" t="e">
        <f>SUM(N9:T9)-U9-V9</f>
        <v>#REF!</v>
      </c>
      <c r="X9" s="122" t="e">
        <f>+W9-W8</f>
        <v>#REF!</v>
      </c>
      <c r="Y9" s="123" t="e">
        <f t="shared" ref="Y9:Y19" si="9">MIN(L9,$Y$7)*$Y$6</f>
        <v>#REF!</v>
      </c>
      <c r="Z9" s="174" t="e">
        <f t="shared" ref="Z9:Z19" si="10">IF(L9&gt;$Y$7,MIN($Z$7,L9)-$Y$7,0)*$Z$6</f>
        <v>#REF!</v>
      </c>
      <c r="AA9" s="119" t="e">
        <f t="shared" ref="AA9:AA19" si="11">+Z9+Y9</f>
        <v>#REF!</v>
      </c>
      <c r="AB9" s="173" t="e">
        <f t="shared" ref="AB9:AB19" si="12">MIN(L9,$AB$7)*$AB$6</f>
        <v>#REF!</v>
      </c>
      <c r="AC9" s="174" t="e">
        <f t="shared" ref="AC9:AC19" si="13">IF(L9&gt;$AB$7,MIN($AC$7,L9)-$AB$7,0)*$AC$6</f>
        <v>#REF!</v>
      </c>
      <c r="AD9" s="119" t="e">
        <f t="shared" ref="AD9:AD19" si="14">+AC9+AB9</f>
        <v>#REF!</v>
      </c>
      <c r="AE9" s="124" t="e">
        <f t="shared" ref="AE9:AE19" si="15">+AD9+AA9</f>
        <v>#REF!</v>
      </c>
      <c r="AF9" s="124" t="e">
        <f>+L9-X9-AE9</f>
        <v>#REF!</v>
      </c>
    </row>
    <row r="10" spans="1:32">
      <c r="A10" s="9">
        <v>3</v>
      </c>
      <c r="B10" s="161">
        <v>3.2023999999999999</v>
      </c>
      <c r="C10" s="159">
        <v>112</v>
      </c>
      <c r="D10" s="119">
        <v>41033</v>
      </c>
      <c r="E10" s="78">
        <v>0.76</v>
      </c>
      <c r="F10" s="119">
        <f t="shared" ref="F10:F19" si="16">+D10*E10</f>
        <v>31185.08</v>
      </c>
      <c r="G10" s="79">
        <v>1496</v>
      </c>
      <c r="H10" s="79"/>
      <c r="I10" s="119">
        <f t="shared" si="0"/>
        <v>32681.08</v>
      </c>
      <c r="J10" s="119">
        <f t="shared" si="1"/>
        <v>3344.9085380000001</v>
      </c>
      <c r="K10" s="119">
        <v>0</v>
      </c>
      <c r="L10" s="119">
        <f t="shared" si="2"/>
        <v>29336.171462000002</v>
      </c>
      <c r="M10" s="122">
        <f t="shared" ref="M10:M19" si="17">+L10+M9</f>
        <v>88008.51438600001</v>
      </c>
      <c r="N10" s="154" t="e">
        <f t="shared" ref="N10:N19" si="18">+MIN(M10,$N$7*A10)*$N$6</f>
        <v>#REF!</v>
      </c>
      <c r="O10" s="118" t="e">
        <f t="shared" ref="O10:O19" si="19">IF(M10&gt;$O$7*A10,($O$7-$N$7)*A10*$O$6,MAX(M10-$N$7*A10,0)*$O$6)</f>
        <v>#REF!</v>
      </c>
      <c r="P10" s="118" t="e">
        <f t="shared" si="3"/>
        <v>#REF!</v>
      </c>
      <c r="Q10" s="118" t="e">
        <f t="shared" si="4"/>
        <v>#REF!</v>
      </c>
      <c r="R10" s="118" t="e">
        <f t="shared" si="5"/>
        <v>#REF!</v>
      </c>
      <c r="S10" s="118" t="e">
        <f t="shared" si="6"/>
        <v>#REF!</v>
      </c>
      <c r="T10" s="118" t="e">
        <f t="shared" si="7"/>
        <v>#REF!</v>
      </c>
      <c r="U10" s="119" t="e">
        <f t="shared" si="8"/>
        <v>#REF!</v>
      </c>
      <c r="W10" s="119" t="e">
        <f t="shared" ref="W10:W19" si="20">SUM(N10:T10)-U10-V10</f>
        <v>#REF!</v>
      </c>
      <c r="X10" s="122" t="e">
        <f t="shared" ref="X10:X19" si="21">+W10-W9</f>
        <v>#REF!</v>
      </c>
      <c r="Y10" s="123" t="e">
        <f t="shared" si="9"/>
        <v>#REF!</v>
      </c>
      <c r="Z10" s="174" t="e">
        <f t="shared" si="10"/>
        <v>#REF!</v>
      </c>
      <c r="AA10" s="119" t="e">
        <f t="shared" si="11"/>
        <v>#REF!</v>
      </c>
      <c r="AB10" s="173" t="e">
        <f t="shared" si="12"/>
        <v>#REF!</v>
      </c>
      <c r="AC10" s="174" t="e">
        <f t="shared" si="13"/>
        <v>#REF!</v>
      </c>
      <c r="AD10" s="119" t="e">
        <f t="shared" si="14"/>
        <v>#REF!</v>
      </c>
      <c r="AE10" s="124" t="e">
        <f t="shared" si="15"/>
        <v>#REF!</v>
      </c>
      <c r="AF10" s="124" t="e">
        <f t="shared" ref="AF10:AF19" si="22">+L10-X10-AE10</f>
        <v>#REF!</v>
      </c>
    </row>
    <row r="11" spans="1:32">
      <c r="A11" s="9">
        <v>4</v>
      </c>
      <c r="B11" s="161">
        <v>4.2023999999999999</v>
      </c>
      <c r="C11" s="159">
        <v>112</v>
      </c>
      <c r="D11" s="119">
        <v>41033</v>
      </c>
      <c r="E11" s="78">
        <v>0.76</v>
      </c>
      <c r="F11" s="119">
        <f t="shared" si="16"/>
        <v>31185.08</v>
      </c>
      <c r="G11" s="79">
        <v>1496</v>
      </c>
      <c r="H11" s="79"/>
      <c r="I11" s="119">
        <f t="shared" si="0"/>
        <v>32681.08</v>
      </c>
      <c r="J11" s="119">
        <f t="shared" si="1"/>
        <v>3344.9085380000001</v>
      </c>
      <c r="K11" s="119">
        <v>0</v>
      </c>
      <c r="L11" s="119">
        <f t="shared" si="2"/>
        <v>29336.171462000002</v>
      </c>
      <c r="M11" s="122">
        <f t="shared" si="17"/>
        <v>117344.68584800001</v>
      </c>
      <c r="N11" s="154" t="e">
        <f t="shared" si="18"/>
        <v>#REF!</v>
      </c>
      <c r="O11" s="118" t="e">
        <f t="shared" si="19"/>
        <v>#REF!</v>
      </c>
      <c r="P11" s="118" t="e">
        <f t="shared" si="3"/>
        <v>#REF!</v>
      </c>
      <c r="Q11" s="118" t="e">
        <f t="shared" si="4"/>
        <v>#REF!</v>
      </c>
      <c r="R11" s="118" t="e">
        <f t="shared" si="5"/>
        <v>#REF!</v>
      </c>
      <c r="S11" s="118" t="e">
        <f t="shared" si="6"/>
        <v>#REF!</v>
      </c>
      <c r="T11" s="118" t="e">
        <f t="shared" si="7"/>
        <v>#REF!</v>
      </c>
      <c r="U11" s="119" t="e">
        <f t="shared" si="8"/>
        <v>#REF!</v>
      </c>
      <c r="W11" s="119" t="e">
        <f t="shared" si="20"/>
        <v>#REF!</v>
      </c>
      <c r="X11" s="122" t="e">
        <f t="shared" si="21"/>
        <v>#REF!</v>
      </c>
      <c r="Y11" s="123" t="e">
        <f t="shared" si="9"/>
        <v>#REF!</v>
      </c>
      <c r="Z11" s="174" t="e">
        <f t="shared" si="10"/>
        <v>#REF!</v>
      </c>
      <c r="AA11" s="119" t="e">
        <f t="shared" si="11"/>
        <v>#REF!</v>
      </c>
      <c r="AB11" s="173" t="e">
        <f t="shared" si="12"/>
        <v>#REF!</v>
      </c>
      <c r="AC11" s="174" t="e">
        <f t="shared" si="13"/>
        <v>#REF!</v>
      </c>
      <c r="AD11" s="119" t="e">
        <f t="shared" si="14"/>
        <v>#REF!</v>
      </c>
      <c r="AE11" s="124" t="e">
        <f t="shared" si="15"/>
        <v>#REF!</v>
      </c>
      <c r="AF11" s="124" t="e">
        <f t="shared" si="22"/>
        <v>#REF!</v>
      </c>
    </row>
    <row r="12" spans="1:32">
      <c r="A12" s="9">
        <v>5</v>
      </c>
      <c r="B12" s="161">
        <v>5.2023999999999999</v>
      </c>
      <c r="C12" s="159">
        <v>112</v>
      </c>
      <c r="D12" s="119">
        <v>41033</v>
      </c>
      <c r="E12" s="78">
        <v>0.76</v>
      </c>
      <c r="F12" s="119">
        <f t="shared" si="16"/>
        <v>31185.08</v>
      </c>
      <c r="G12" s="79">
        <v>1496</v>
      </c>
      <c r="H12" s="79"/>
      <c r="I12" s="119">
        <f t="shared" si="0"/>
        <v>32681.08</v>
      </c>
      <c r="J12" s="119">
        <f t="shared" si="1"/>
        <v>3344.9085380000001</v>
      </c>
      <c r="K12" s="119">
        <v>0</v>
      </c>
      <c r="L12" s="119">
        <f t="shared" si="2"/>
        <v>29336.171462000002</v>
      </c>
      <c r="M12" s="122">
        <f t="shared" si="17"/>
        <v>146680.85731000002</v>
      </c>
      <c r="N12" s="154" t="e">
        <f t="shared" si="18"/>
        <v>#REF!</v>
      </c>
      <c r="O12" s="118" t="e">
        <f t="shared" si="19"/>
        <v>#REF!</v>
      </c>
      <c r="P12" s="118" t="e">
        <f t="shared" si="3"/>
        <v>#REF!</v>
      </c>
      <c r="Q12" s="118" t="e">
        <f t="shared" si="4"/>
        <v>#REF!</v>
      </c>
      <c r="R12" s="118" t="e">
        <f t="shared" si="5"/>
        <v>#REF!</v>
      </c>
      <c r="S12" s="118" t="e">
        <f t="shared" si="6"/>
        <v>#REF!</v>
      </c>
      <c r="T12" s="118" t="e">
        <f t="shared" si="7"/>
        <v>#REF!</v>
      </c>
      <c r="U12" s="119" t="e">
        <f t="shared" si="8"/>
        <v>#REF!</v>
      </c>
      <c r="W12" s="119" t="e">
        <f t="shared" si="20"/>
        <v>#REF!</v>
      </c>
      <c r="X12" s="122" t="e">
        <f t="shared" si="21"/>
        <v>#REF!</v>
      </c>
      <c r="Y12" s="123" t="e">
        <f t="shared" si="9"/>
        <v>#REF!</v>
      </c>
      <c r="Z12" s="174" t="e">
        <f t="shared" si="10"/>
        <v>#REF!</v>
      </c>
      <c r="AA12" s="119" t="e">
        <f t="shared" si="11"/>
        <v>#REF!</v>
      </c>
      <c r="AB12" s="173" t="e">
        <f t="shared" si="12"/>
        <v>#REF!</v>
      </c>
      <c r="AC12" s="174" t="e">
        <f t="shared" si="13"/>
        <v>#REF!</v>
      </c>
      <c r="AD12" s="119" t="e">
        <f t="shared" si="14"/>
        <v>#REF!</v>
      </c>
      <c r="AE12" s="124" t="e">
        <f t="shared" si="15"/>
        <v>#REF!</v>
      </c>
      <c r="AF12" s="124" t="e">
        <f t="shared" si="22"/>
        <v>#REF!</v>
      </c>
    </row>
    <row r="13" spans="1:32">
      <c r="A13" s="9">
        <v>6</v>
      </c>
      <c r="B13" s="161">
        <v>6.2023999999999999</v>
      </c>
      <c r="C13" s="159">
        <v>112</v>
      </c>
      <c r="D13" s="119">
        <v>41033</v>
      </c>
      <c r="E13" s="78">
        <v>0.76</v>
      </c>
      <c r="F13" s="119">
        <f t="shared" si="16"/>
        <v>31185.08</v>
      </c>
      <c r="G13" s="79">
        <v>1496</v>
      </c>
      <c r="H13" s="79">
        <v>4000</v>
      </c>
      <c r="I13" s="119">
        <f t="shared" si="0"/>
        <v>36681.08</v>
      </c>
      <c r="J13" s="119">
        <f t="shared" si="1"/>
        <v>3344.9085380000001</v>
      </c>
      <c r="K13" s="119">
        <v>0</v>
      </c>
      <c r="L13" s="119">
        <f t="shared" si="2"/>
        <v>33336.171461999998</v>
      </c>
      <c r="M13" s="122">
        <f t="shared" si="17"/>
        <v>180017.02877200002</v>
      </c>
      <c r="N13" s="154" t="e">
        <f t="shared" si="18"/>
        <v>#REF!</v>
      </c>
      <c r="O13" s="118" t="e">
        <f t="shared" si="19"/>
        <v>#REF!</v>
      </c>
      <c r="P13" s="118" t="e">
        <f t="shared" si="3"/>
        <v>#REF!</v>
      </c>
      <c r="Q13" s="118" t="e">
        <f t="shared" si="4"/>
        <v>#REF!</v>
      </c>
      <c r="R13" s="118" t="e">
        <f t="shared" si="5"/>
        <v>#REF!</v>
      </c>
      <c r="S13" s="118" t="e">
        <f t="shared" si="6"/>
        <v>#REF!</v>
      </c>
      <c r="T13" s="118" t="e">
        <f t="shared" si="7"/>
        <v>#REF!</v>
      </c>
      <c r="U13" s="119" t="e">
        <f t="shared" si="8"/>
        <v>#REF!</v>
      </c>
      <c r="W13" s="119" t="e">
        <f t="shared" si="20"/>
        <v>#REF!</v>
      </c>
      <c r="X13" s="122" t="e">
        <f t="shared" si="21"/>
        <v>#REF!</v>
      </c>
      <c r="Y13" s="123" t="e">
        <f t="shared" si="9"/>
        <v>#REF!</v>
      </c>
      <c r="Z13" s="174" t="e">
        <f t="shared" si="10"/>
        <v>#REF!</v>
      </c>
      <c r="AA13" s="119" t="e">
        <f t="shared" si="11"/>
        <v>#REF!</v>
      </c>
      <c r="AB13" s="173" t="e">
        <f t="shared" si="12"/>
        <v>#REF!</v>
      </c>
      <c r="AC13" s="174" t="e">
        <f t="shared" si="13"/>
        <v>#REF!</v>
      </c>
      <c r="AD13" s="119" t="e">
        <f t="shared" si="14"/>
        <v>#REF!</v>
      </c>
      <c r="AE13" s="124" t="e">
        <f t="shared" si="15"/>
        <v>#REF!</v>
      </c>
      <c r="AF13" s="124" t="e">
        <f t="shared" si="22"/>
        <v>#REF!</v>
      </c>
    </row>
    <row r="14" spans="1:32">
      <c r="A14" s="9">
        <v>7</v>
      </c>
      <c r="B14" s="161">
        <v>7.2023999999999999</v>
      </c>
      <c r="C14" s="159">
        <v>112</v>
      </c>
      <c r="D14" s="119">
        <v>41033</v>
      </c>
      <c r="E14" s="78">
        <v>0.76</v>
      </c>
      <c r="F14" s="119">
        <f t="shared" si="16"/>
        <v>31185.08</v>
      </c>
      <c r="G14" s="79">
        <v>1496</v>
      </c>
      <c r="H14" s="79">
        <v>1500</v>
      </c>
      <c r="I14" s="119">
        <f t="shared" si="0"/>
        <v>34181.08</v>
      </c>
      <c r="J14" s="119">
        <f t="shared" si="1"/>
        <v>3344.9085380000001</v>
      </c>
      <c r="K14" s="119">
        <v>0</v>
      </c>
      <c r="L14" s="119">
        <f t="shared" si="2"/>
        <v>30836.171462000002</v>
      </c>
      <c r="M14" s="122">
        <f t="shared" si="17"/>
        <v>210853.20023400002</v>
      </c>
      <c r="N14" s="154" t="e">
        <f t="shared" si="18"/>
        <v>#REF!</v>
      </c>
      <c r="O14" s="118" t="e">
        <f t="shared" si="19"/>
        <v>#REF!</v>
      </c>
      <c r="P14" s="118" t="e">
        <f t="shared" si="3"/>
        <v>#REF!</v>
      </c>
      <c r="Q14" s="118" t="e">
        <f t="shared" si="4"/>
        <v>#REF!</v>
      </c>
      <c r="R14" s="118" t="e">
        <f t="shared" si="5"/>
        <v>#REF!</v>
      </c>
      <c r="S14" s="118" t="e">
        <f t="shared" si="6"/>
        <v>#REF!</v>
      </c>
      <c r="T14" s="118" t="e">
        <f t="shared" si="7"/>
        <v>#REF!</v>
      </c>
      <c r="U14" s="119" t="e">
        <f t="shared" si="8"/>
        <v>#REF!</v>
      </c>
      <c r="W14" s="119" t="e">
        <f t="shared" si="20"/>
        <v>#REF!</v>
      </c>
      <c r="X14" s="122" t="e">
        <f t="shared" si="21"/>
        <v>#REF!</v>
      </c>
      <c r="Y14" s="123" t="e">
        <f t="shared" si="9"/>
        <v>#REF!</v>
      </c>
      <c r="Z14" s="174" t="e">
        <f t="shared" si="10"/>
        <v>#REF!</v>
      </c>
      <c r="AA14" s="119" t="e">
        <f t="shared" si="11"/>
        <v>#REF!</v>
      </c>
      <c r="AB14" s="173" t="e">
        <f t="shared" si="12"/>
        <v>#REF!</v>
      </c>
      <c r="AC14" s="174" t="e">
        <f t="shared" si="13"/>
        <v>#REF!</v>
      </c>
      <c r="AD14" s="119" t="e">
        <f t="shared" si="14"/>
        <v>#REF!</v>
      </c>
      <c r="AE14" s="124" t="e">
        <f t="shared" si="15"/>
        <v>#REF!</v>
      </c>
      <c r="AF14" s="124" t="e">
        <f t="shared" si="22"/>
        <v>#REF!</v>
      </c>
    </row>
    <row r="15" spans="1:32">
      <c r="A15" s="9">
        <v>8</v>
      </c>
      <c r="B15" s="161">
        <v>8.2024000000000008</v>
      </c>
      <c r="C15" s="159">
        <v>112</v>
      </c>
      <c r="D15" s="119">
        <v>41033</v>
      </c>
      <c r="E15" s="78">
        <v>0.76</v>
      </c>
      <c r="F15" s="119">
        <f t="shared" si="16"/>
        <v>31185.08</v>
      </c>
      <c r="G15" s="79">
        <v>1496</v>
      </c>
      <c r="H15" s="79"/>
      <c r="I15" s="119">
        <f t="shared" si="0"/>
        <v>32681.08</v>
      </c>
      <c r="J15" s="119">
        <f t="shared" si="1"/>
        <v>3344.9085380000001</v>
      </c>
      <c r="K15" s="119">
        <v>0</v>
      </c>
      <c r="L15" s="119">
        <f t="shared" si="2"/>
        <v>29336.171462000002</v>
      </c>
      <c r="M15" s="122">
        <f t="shared" si="17"/>
        <v>240189.37169600002</v>
      </c>
      <c r="N15" s="154" t="e">
        <f t="shared" si="18"/>
        <v>#REF!</v>
      </c>
      <c r="O15" s="118" t="e">
        <f t="shared" si="19"/>
        <v>#REF!</v>
      </c>
      <c r="P15" s="118" t="e">
        <f t="shared" si="3"/>
        <v>#REF!</v>
      </c>
      <c r="Q15" s="118" t="e">
        <f t="shared" si="4"/>
        <v>#REF!</v>
      </c>
      <c r="R15" s="118" t="e">
        <f t="shared" si="5"/>
        <v>#REF!</v>
      </c>
      <c r="S15" s="118" t="e">
        <f t="shared" si="6"/>
        <v>#REF!</v>
      </c>
      <c r="T15" s="118" t="e">
        <f t="shared" si="7"/>
        <v>#REF!</v>
      </c>
      <c r="U15" s="119" t="e">
        <f t="shared" si="8"/>
        <v>#REF!</v>
      </c>
      <c r="W15" s="119" t="e">
        <f t="shared" si="20"/>
        <v>#REF!</v>
      </c>
      <c r="X15" s="122" t="e">
        <f t="shared" si="21"/>
        <v>#REF!</v>
      </c>
      <c r="Y15" s="123" t="e">
        <f t="shared" si="9"/>
        <v>#REF!</v>
      </c>
      <c r="Z15" s="174" t="e">
        <f t="shared" si="10"/>
        <v>#REF!</v>
      </c>
      <c r="AA15" s="119" t="e">
        <f t="shared" si="11"/>
        <v>#REF!</v>
      </c>
      <c r="AB15" s="173" t="e">
        <f t="shared" si="12"/>
        <v>#REF!</v>
      </c>
      <c r="AC15" s="174" t="e">
        <f t="shared" si="13"/>
        <v>#REF!</v>
      </c>
      <c r="AD15" s="119" t="e">
        <f t="shared" si="14"/>
        <v>#REF!</v>
      </c>
      <c r="AE15" s="124" t="e">
        <f t="shared" si="15"/>
        <v>#REF!</v>
      </c>
      <c r="AF15" s="124" t="e">
        <f t="shared" si="22"/>
        <v>#REF!</v>
      </c>
    </row>
    <row r="16" spans="1:32">
      <c r="A16" s="9">
        <v>9</v>
      </c>
      <c r="B16" s="161">
        <v>9.2024000000000008</v>
      </c>
      <c r="C16" s="159">
        <v>112</v>
      </c>
      <c r="D16" s="119">
        <v>41033</v>
      </c>
      <c r="E16" s="78">
        <v>0.76</v>
      </c>
      <c r="F16" s="119">
        <f t="shared" si="16"/>
        <v>31185.08</v>
      </c>
      <c r="G16" s="79">
        <v>1496</v>
      </c>
      <c r="H16" s="79">
        <v>18000</v>
      </c>
      <c r="I16" s="119">
        <f t="shared" si="0"/>
        <v>50681.08</v>
      </c>
      <c r="J16" s="119">
        <f t="shared" si="1"/>
        <v>3344.9085380000001</v>
      </c>
      <c r="K16" s="119">
        <v>0</v>
      </c>
      <c r="L16" s="119">
        <f t="shared" si="2"/>
        <v>47336.171461999998</v>
      </c>
      <c r="M16" s="122">
        <f t="shared" si="17"/>
        <v>287525.54315799999</v>
      </c>
      <c r="N16" s="154" t="e">
        <f t="shared" si="18"/>
        <v>#REF!</v>
      </c>
      <c r="O16" s="118" t="e">
        <f t="shared" si="19"/>
        <v>#REF!</v>
      </c>
      <c r="P16" s="118" t="e">
        <f t="shared" si="3"/>
        <v>#REF!</v>
      </c>
      <c r="Q16" s="118" t="e">
        <f t="shared" si="4"/>
        <v>#REF!</v>
      </c>
      <c r="R16" s="118" t="e">
        <f t="shared" si="5"/>
        <v>#REF!</v>
      </c>
      <c r="S16" s="118" t="e">
        <f t="shared" si="6"/>
        <v>#REF!</v>
      </c>
      <c r="T16" s="118" t="e">
        <f t="shared" si="7"/>
        <v>#REF!</v>
      </c>
      <c r="U16" s="119" t="e">
        <f t="shared" si="8"/>
        <v>#REF!</v>
      </c>
      <c r="W16" s="119" t="e">
        <f t="shared" si="20"/>
        <v>#REF!</v>
      </c>
      <c r="X16" s="122" t="e">
        <f t="shared" si="21"/>
        <v>#REF!</v>
      </c>
      <c r="Y16" s="123" t="e">
        <f t="shared" si="9"/>
        <v>#REF!</v>
      </c>
      <c r="Z16" s="174" t="e">
        <f t="shared" si="10"/>
        <v>#REF!</v>
      </c>
      <c r="AA16" s="119" t="e">
        <f t="shared" si="11"/>
        <v>#REF!</v>
      </c>
      <c r="AB16" s="173" t="e">
        <f t="shared" si="12"/>
        <v>#REF!</v>
      </c>
      <c r="AC16" s="174" t="e">
        <f t="shared" si="13"/>
        <v>#REF!</v>
      </c>
      <c r="AD16" s="119" t="e">
        <f t="shared" si="14"/>
        <v>#REF!</v>
      </c>
      <c r="AE16" s="124" t="e">
        <f t="shared" si="15"/>
        <v>#REF!</v>
      </c>
      <c r="AF16" s="124" t="e">
        <f t="shared" si="22"/>
        <v>#REF!</v>
      </c>
    </row>
    <row r="17" spans="1:32">
      <c r="A17" s="9">
        <v>10</v>
      </c>
      <c r="B17" s="161">
        <v>10.202400000000001</v>
      </c>
      <c r="C17" s="159">
        <v>112</v>
      </c>
      <c r="D17" s="119">
        <v>41033</v>
      </c>
      <c r="E17" s="78">
        <v>0.76</v>
      </c>
      <c r="F17" s="119">
        <f t="shared" si="16"/>
        <v>31185.08</v>
      </c>
      <c r="G17" s="79">
        <v>1496</v>
      </c>
      <c r="H17" s="79"/>
      <c r="I17" s="119">
        <f t="shared" si="0"/>
        <v>32681.08</v>
      </c>
      <c r="J17" s="119">
        <f t="shared" si="1"/>
        <v>3344.9085380000001</v>
      </c>
      <c r="K17" s="119">
        <v>0</v>
      </c>
      <c r="L17" s="119">
        <f t="shared" si="2"/>
        <v>29336.171462000002</v>
      </c>
      <c r="M17" s="122">
        <f t="shared" si="17"/>
        <v>316861.71461999998</v>
      </c>
      <c r="N17" s="154" t="e">
        <f t="shared" si="18"/>
        <v>#REF!</v>
      </c>
      <c r="O17" s="118" t="e">
        <f t="shared" si="19"/>
        <v>#REF!</v>
      </c>
      <c r="P17" s="118" t="e">
        <f t="shared" si="3"/>
        <v>#REF!</v>
      </c>
      <c r="Q17" s="118" t="e">
        <f t="shared" si="4"/>
        <v>#REF!</v>
      </c>
      <c r="R17" s="118" t="e">
        <f t="shared" si="5"/>
        <v>#REF!</v>
      </c>
      <c r="S17" s="118" t="e">
        <f t="shared" si="6"/>
        <v>#REF!</v>
      </c>
      <c r="T17" s="118" t="e">
        <f t="shared" si="7"/>
        <v>#REF!</v>
      </c>
      <c r="U17" s="119" t="e">
        <f t="shared" si="8"/>
        <v>#REF!</v>
      </c>
      <c r="W17" s="119" t="e">
        <f t="shared" si="20"/>
        <v>#REF!</v>
      </c>
      <c r="X17" s="122" t="e">
        <f t="shared" si="21"/>
        <v>#REF!</v>
      </c>
      <c r="Y17" s="123" t="e">
        <f t="shared" si="9"/>
        <v>#REF!</v>
      </c>
      <c r="Z17" s="174" t="e">
        <f t="shared" si="10"/>
        <v>#REF!</v>
      </c>
      <c r="AA17" s="119" t="e">
        <f t="shared" si="11"/>
        <v>#REF!</v>
      </c>
      <c r="AB17" s="173" t="e">
        <f t="shared" si="12"/>
        <v>#REF!</v>
      </c>
      <c r="AC17" s="174" t="e">
        <f t="shared" si="13"/>
        <v>#REF!</v>
      </c>
      <c r="AD17" s="119" t="e">
        <f t="shared" si="14"/>
        <v>#REF!</v>
      </c>
      <c r="AE17" s="124" t="e">
        <f t="shared" si="15"/>
        <v>#REF!</v>
      </c>
      <c r="AF17" s="124" t="e">
        <f t="shared" si="22"/>
        <v>#REF!</v>
      </c>
    </row>
    <row r="18" spans="1:32">
      <c r="A18" s="9">
        <v>11</v>
      </c>
      <c r="B18" s="161">
        <v>11.202400000000001</v>
      </c>
      <c r="C18" s="159">
        <v>112</v>
      </c>
      <c r="D18" s="119">
        <v>41033</v>
      </c>
      <c r="E18" s="78">
        <v>0.76</v>
      </c>
      <c r="F18" s="119">
        <f t="shared" si="16"/>
        <v>31185.08</v>
      </c>
      <c r="G18" s="79">
        <v>1496</v>
      </c>
      <c r="H18" s="79"/>
      <c r="I18" s="119">
        <f t="shared" si="0"/>
        <v>32681.08</v>
      </c>
      <c r="J18" s="119">
        <f t="shared" si="1"/>
        <v>3344.9085380000001</v>
      </c>
      <c r="K18" s="119">
        <v>0</v>
      </c>
      <c r="L18" s="119">
        <f t="shared" si="2"/>
        <v>29336.171462000002</v>
      </c>
      <c r="M18" s="122">
        <f t="shared" si="17"/>
        <v>346197.88608199998</v>
      </c>
      <c r="N18" s="154" t="e">
        <f t="shared" si="18"/>
        <v>#REF!</v>
      </c>
      <c r="O18" s="118" t="e">
        <f t="shared" si="19"/>
        <v>#REF!</v>
      </c>
      <c r="P18" s="118" t="e">
        <f t="shared" si="3"/>
        <v>#REF!</v>
      </c>
      <c r="Q18" s="118" t="e">
        <f t="shared" si="4"/>
        <v>#REF!</v>
      </c>
      <c r="R18" s="118" t="e">
        <f t="shared" si="5"/>
        <v>#REF!</v>
      </c>
      <c r="S18" s="118" t="e">
        <f t="shared" si="6"/>
        <v>#REF!</v>
      </c>
      <c r="T18" s="118" t="e">
        <f t="shared" si="7"/>
        <v>#REF!</v>
      </c>
      <c r="U18" s="119" t="e">
        <f t="shared" si="8"/>
        <v>#REF!</v>
      </c>
      <c r="W18" s="119" t="e">
        <f t="shared" si="20"/>
        <v>#REF!</v>
      </c>
      <c r="X18" s="122" t="e">
        <f t="shared" si="21"/>
        <v>#REF!</v>
      </c>
      <c r="Y18" s="123" t="e">
        <f t="shared" si="9"/>
        <v>#REF!</v>
      </c>
      <c r="Z18" s="174" t="e">
        <f t="shared" si="10"/>
        <v>#REF!</v>
      </c>
      <c r="AA18" s="119" t="e">
        <f t="shared" si="11"/>
        <v>#REF!</v>
      </c>
      <c r="AB18" s="173" t="e">
        <f t="shared" si="12"/>
        <v>#REF!</v>
      </c>
      <c r="AC18" s="174" t="e">
        <f t="shared" si="13"/>
        <v>#REF!</v>
      </c>
      <c r="AD18" s="119" t="e">
        <f t="shared" si="14"/>
        <v>#REF!</v>
      </c>
      <c r="AE18" s="124" t="e">
        <f t="shared" si="15"/>
        <v>#REF!</v>
      </c>
      <c r="AF18" s="124" t="e">
        <f t="shared" si="22"/>
        <v>#REF!</v>
      </c>
    </row>
    <row r="19" spans="1:32">
      <c r="A19" s="9">
        <v>12</v>
      </c>
      <c r="B19" s="161">
        <v>12.202400000000001</v>
      </c>
      <c r="C19" s="159">
        <v>112</v>
      </c>
      <c r="D19" s="119">
        <v>41033</v>
      </c>
      <c r="E19" s="78">
        <v>0.76</v>
      </c>
      <c r="F19" s="119">
        <f t="shared" si="16"/>
        <v>31185.08</v>
      </c>
      <c r="G19" s="79">
        <v>1496</v>
      </c>
      <c r="H19" s="79"/>
      <c r="I19" s="119">
        <f t="shared" si="0"/>
        <v>32681.08</v>
      </c>
      <c r="J19" s="119">
        <f t="shared" si="1"/>
        <v>3344.9085380000001</v>
      </c>
      <c r="K19" s="119">
        <v>0</v>
      </c>
      <c r="L19" s="119">
        <f t="shared" si="2"/>
        <v>29336.171462000002</v>
      </c>
      <c r="M19" s="122">
        <f t="shared" si="17"/>
        <v>375534.05754399998</v>
      </c>
      <c r="N19" s="154" t="e">
        <f t="shared" si="18"/>
        <v>#REF!</v>
      </c>
      <c r="O19" s="118" t="e">
        <f t="shared" si="19"/>
        <v>#REF!</v>
      </c>
      <c r="P19" s="118" t="e">
        <f t="shared" si="3"/>
        <v>#REF!</v>
      </c>
      <c r="Q19" s="118" t="e">
        <f t="shared" si="4"/>
        <v>#REF!</v>
      </c>
      <c r="R19" s="118" t="e">
        <f t="shared" si="5"/>
        <v>#REF!</v>
      </c>
      <c r="S19" s="118" t="e">
        <f t="shared" si="6"/>
        <v>#REF!</v>
      </c>
      <c r="T19" s="118" t="e">
        <f t="shared" si="7"/>
        <v>#REF!</v>
      </c>
      <c r="U19" s="119" t="e">
        <f t="shared" si="8"/>
        <v>#REF!</v>
      </c>
      <c r="W19" s="119" t="e">
        <f t="shared" si="20"/>
        <v>#REF!</v>
      </c>
      <c r="X19" s="122" t="e">
        <f t="shared" si="21"/>
        <v>#REF!</v>
      </c>
      <c r="Y19" s="123" t="e">
        <f t="shared" si="9"/>
        <v>#REF!</v>
      </c>
      <c r="Z19" s="174" t="e">
        <f t="shared" si="10"/>
        <v>#REF!</v>
      </c>
      <c r="AA19" s="119" t="e">
        <f t="shared" si="11"/>
        <v>#REF!</v>
      </c>
      <c r="AB19" s="173" t="e">
        <f t="shared" si="12"/>
        <v>#REF!</v>
      </c>
      <c r="AC19" s="174" t="e">
        <f t="shared" si="13"/>
        <v>#REF!</v>
      </c>
      <c r="AD19" s="119" t="e">
        <f t="shared" si="14"/>
        <v>#REF!</v>
      </c>
      <c r="AE19" s="124" t="e">
        <f t="shared" si="15"/>
        <v>#REF!</v>
      </c>
      <c r="AF19" s="124" t="e">
        <f t="shared" si="22"/>
        <v>#REF!</v>
      </c>
    </row>
  </sheetData>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5AF8B-3BA1-45C1-A658-D6F2937C7300}">
  <sheetPr codeName="גיליון33"/>
  <dimension ref="A1:W112"/>
  <sheetViews>
    <sheetView rightToLeft="1" workbookViewId="0">
      <selection activeCell="A12" sqref="A12:C21"/>
    </sheetView>
  </sheetViews>
  <sheetFormatPr defaultRowHeight="14.4"/>
  <cols>
    <col min="1" max="1" width="3" style="1" bestFit="1" customWidth="1"/>
    <col min="2" max="2" width="11.88671875" bestFit="1" customWidth="1"/>
    <col min="3" max="3" width="11.33203125" bestFit="1" customWidth="1"/>
    <col min="4" max="4" width="17.6640625" bestFit="1" customWidth="1"/>
    <col min="5" max="5" width="13.33203125" bestFit="1" customWidth="1"/>
    <col min="6" max="6" width="13.33203125" customWidth="1"/>
    <col min="7" max="7" width="9.33203125" bestFit="1" customWidth="1"/>
    <col min="8" max="8" width="10.88671875" bestFit="1" customWidth="1"/>
    <col min="9" max="9" width="13.6640625" bestFit="1" customWidth="1"/>
    <col min="10" max="10" width="17.33203125" bestFit="1" customWidth="1"/>
    <col min="11" max="11" width="9.33203125" style="1" bestFit="1" customWidth="1"/>
    <col min="12" max="12" width="6.6640625" style="1" bestFit="1" customWidth="1"/>
    <col min="13" max="13" width="7" style="1" bestFit="1" customWidth="1"/>
    <col min="15" max="15" width="2.88671875" bestFit="1" customWidth="1"/>
    <col min="17" max="17" width="1.88671875" bestFit="1" customWidth="1"/>
    <col min="18" max="18" width="9.33203125" bestFit="1" customWidth="1"/>
    <col min="19" max="19" width="9.33203125" customWidth="1"/>
    <col min="20" max="20" width="3.88671875" bestFit="1" customWidth="1"/>
    <col min="21" max="21" width="7.109375" style="1" customWidth="1"/>
    <col min="22" max="22" width="3.88671875" bestFit="1" customWidth="1"/>
    <col min="23" max="23" width="11.88671875" bestFit="1" customWidth="1"/>
  </cols>
  <sheetData>
    <row r="1" spans="1:23">
      <c r="A1" s="1">
        <v>1</v>
      </c>
      <c r="B1" t="s">
        <v>115</v>
      </c>
      <c r="C1">
        <v>1</v>
      </c>
      <c r="E1" s="1" t="s">
        <v>123</v>
      </c>
      <c r="F1" s="1"/>
      <c r="G1" s="182">
        <v>328.76</v>
      </c>
      <c r="H1" s="1"/>
      <c r="K1"/>
      <c r="L1"/>
      <c r="M1"/>
    </row>
    <row r="2" spans="1:23">
      <c r="A2" s="1">
        <v>2</v>
      </c>
      <c r="B2" t="s">
        <v>116</v>
      </c>
      <c r="C2">
        <v>2</v>
      </c>
      <c r="E2" s="1" t="s">
        <v>125</v>
      </c>
      <c r="F2" s="1"/>
      <c r="G2" s="182">
        <v>328.76</v>
      </c>
      <c r="H2" s="16"/>
      <c r="I2" s="3"/>
      <c r="J2" s="3"/>
      <c r="K2" s="108" t="s">
        <v>1095</v>
      </c>
      <c r="L2" s="108" t="s">
        <v>1096</v>
      </c>
      <c r="M2"/>
      <c r="P2" s="108" t="s">
        <v>1097</v>
      </c>
      <c r="U2" s="1" t="s">
        <v>17</v>
      </c>
      <c r="W2" s="4" t="s">
        <v>67</v>
      </c>
    </row>
    <row r="3" spans="1:23">
      <c r="E3" s="1" t="s">
        <v>125</v>
      </c>
      <c r="F3" s="1" t="s">
        <v>127</v>
      </c>
      <c r="G3" s="182">
        <v>430.86</v>
      </c>
      <c r="H3" s="16"/>
      <c r="I3" s="3"/>
      <c r="J3" s="3"/>
      <c r="K3" t="s">
        <v>1098</v>
      </c>
      <c r="L3">
        <v>1</v>
      </c>
      <c r="M3"/>
      <c r="O3">
        <v>1</v>
      </c>
      <c r="P3" t="s">
        <v>138</v>
      </c>
      <c r="Q3">
        <v>1</v>
      </c>
      <c r="T3">
        <v>1</v>
      </c>
      <c r="U3" s="1">
        <v>10</v>
      </c>
      <c r="V3">
        <v>1</v>
      </c>
      <c r="W3" s="2">
        <v>0</v>
      </c>
    </row>
    <row r="4" spans="1:23">
      <c r="A4" s="1">
        <v>1</v>
      </c>
      <c r="B4" t="s">
        <v>117</v>
      </c>
      <c r="C4">
        <v>1</v>
      </c>
      <c r="E4" s="1" t="s">
        <v>125</v>
      </c>
      <c r="F4" s="1" t="s">
        <v>128</v>
      </c>
      <c r="G4" s="17">
        <v>0.09</v>
      </c>
      <c r="H4" s="16"/>
      <c r="I4" s="3"/>
      <c r="J4" s="3"/>
      <c r="K4" t="s">
        <v>730</v>
      </c>
      <c r="L4">
        <v>2</v>
      </c>
      <c r="M4"/>
      <c r="O4">
        <v>2</v>
      </c>
      <c r="P4" t="s">
        <v>139</v>
      </c>
      <c r="Q4">
        <v>2</v>
      </c>
      <c r="T4">
        <v>2</v>
      </c>
      <c r="U4" s="1">
        <v>11</v>
      </c>
      <c r="V4">
        <v>2</v>
      </c>
      <c r="W4" s="2">
        <v>0</v>
      </c>
    </row>
    <row r="5" spans="1:23">
      <c r="A5" s="1">
        <v>2</v>
      </c>
      <c r="B5" t="s">
        <v>118</v>
      </c>
      <c r="C5">
        <v>2</v>
      </c>
      <c r="H5" s="17"/>
      <c r="I5" s="3"/>
      <c r="J5" s="3"/>
      <c r="K5" t="s">
        <v>374</v>
      </c>
      <c r="L5">
        <v>3</v>
      </c>
      <c r="M5"/>
      <c r="O5">
        <v>3</v>
      </c>
      <c r="P5" t="s">
        <v>142</v>
      </c>
      <c r="Q5">
        <v>3</v>
      </c>
      <c r="T5">
        <v>3</v>
      </c>
      <c r="U5" s="1">
        <v>12</v>
      </c>
      <c r="V5">
        <v>3</v>
      </c>
      <c r="W5" s="2">
        <v>1401.4</v>
      </c>
    </row>
    <row r="6" spans="1:23">
      <c r="E6" s="1"/>
      <c r="F6" s="1"/>
      <c r="G6" s="1"/>
      <c r="H6" s="1"/>
      <c r="I6" s="3"/>
      <c r="J6" s="3"/>
      <c r="K6" t="s">
        <v>1099</v>
      </c>
      <c r="L6">
        <v>4</v>
      </c>
      <c r="M6"/>
      <c r="O6">
        <v>4</v>
      </c>
      <c r="P6" t="s">
        <v>732</v>
      </c>
      <c r="Q6">
        <v>4</v>
      </c>
      <c r="R6" s="6">
        <v>7.2999999999999995E-2</v>
      </c>
      <c r="S6" s="6"/>
      <c r="T6">
        <v>4</v>
      </c>
      <c r="U6" s="1" t="s">
        <v>141</v>
      </c>
      <c r="V6">
        <v>4</v>
      </c>
      <c r="W6" s="2">
        <v>1420.18</v>
      </c>
    </row>
    <row r="7" spans="1:23">
      <c r="E7" s="1"/>
      <c r="F7" s="16"/>
      <c r="G7" s="1"/>
      <c r="H7" s="1"/>
      <c r="K7" t="s">
        <v>373</v>
      </c>
      <c r="L7">
        <v>5</v>
      </c>
      <c r="M7"/>
      <c r="O7">
        <v>5</v>
      </c>
      <c r="P7" t="s">
        <v>733</v>
      </c>
      <c r="Q7">
        <v>5</v>
      </c>
      <c r="R7" s="6">
        <v>6.6000000000000003E-2</v>
      </c>
      <c r="S7" s="6"/>
      <c r="T7">
        <v>5</v>
      </c>
      <c r="U7" s="1">
        <v>13</v>
      </c>
      <c r="V7">
        <v>5</v>
      </c>
      <c r="W7" s="2">
        <v>1438.99</v>
      </c>
    </row>
    <row r="8" spans="1:23">
      <c r="E8" s="1"/>
      <c r="F8" s="16"/>
      <c r="G8" s="1"/>
      <c r="H8" s="1"/>
      <c r="I8" s="1"/>
      <c r="J8" s="1"/>
      <c r="K8" s="6" t="s">
        <v>1100</v>
      </c>
      <c r="L8">
        <v>6</v>
      </c>
      <c r="M8" s="12"/>
      <c r="N8" s="12"/>
      <c r="O8">
        <v>6</v>
      </c>
      <c r="P8" t="s">
        <v>734</v>
      </c>
      <c r="Q8">
        <v>6</v>
      </c>
      <c r="R8" s="6">
        <v>6.6000000000000003E-2</v>
      </c>
      <c r="S8" s="6"/>
      <c r="T8">
        <v>6</v>
      </c>
      <c r="U8" s="1" t="s">
        <v>144</v>
      </c>
      <c r="V8">
        <v>6</v>
      </c>
      <c r="W8" s="2">
        <v>1467.77</v>
      </c>
    </row>
    <row r="9" spans="1:23">
      <c r="E9" s="1"/>
      <c r="F9" s="1"/>
      <c r="G9" s="1"/>
      <c r="H9" s="1"/>
      <c r="I9" s="1"/>
      <c r="J9" s="1"/>
      <c r="K9" s="6" t="s">
        <v>1101</v>
      </c>
      <c r="L9">
        <v>7</v>
      </c>
      <c r="M9" s="12"/>
      <c r="N9" s="12"/>
      <c r="O9">
        <v>7</v>
      </c>
      <c r="P9" t="s">
        <v>735</v>
      </c>
      <c r="Q9">
        <v>7</v>
      </c>
      <c r="R9" s="6">
        <v>1.35E-2</v>
      </c>
      <c r="S9" s="6"/>
      <c r="T9">
        <v>7</v>
      </c>
      <c r="U9" s="1">
        <v>14</v>
      </c>
      <c r="V9">
        <v>7</v>
      </c>
      <c r="W9" s="2">
        <v>1398.64</v>
      </c>
    </row>
    <row r="10" spans="1:23">
      <c r="E10" s="1"/>
      <c r="F10" s="1"/>
      <c r="G10" s="1"/>
      <c r="H10" s="1"/>
      <c r="I10" s="1"/>
      <c r="J10" s="1"/>
      <c r="K10" s="6" t="s">
        <v>1102</v>
      </c>
      <c r="L10">
        <v>8</v>
      </c>
      <c r="M10" s="12"/>
      <c r="N10" s="12"/>
      <c r="O10">
        <v>8</v>
      </c>
      <c r="P10" t="s">
        <v>736</v>
      </c>
      <c r="Q10">
        <v>8</v>
      </c>
      <c r="R10" s="6">
        <v>1.35E-2</v>
      </c>
      <c r="S10" s="6"/>
      <c r="T10">
        <v>8</v>
      </c>
      <c r="U10" s="1" t="s">
        <v>147</v>
      </c>
      <c r="V10">
        <v>8</v>
      </c>
      <c r="W10" s="2">
        <v>1426.62</v>
      </c>
    </row>
    <row r="11" spans="1:23">
      <c r="D11" s="85" t="s">
        <v>70</v>
      </c>
      <c r="E11" s="85" t="s">
        <v>76</v>
      </c>
      <c r="F11" s="85" t="s">
        <v>63</v>
      </c>
      <c r="G11" s="85" t="s">
        <v>99</v>
      </c>
      <c r="H11" s="85" t="s">
        <v>100</v>
      </c>
      <c r="N11" s="12"/>
      <c r="O11" s="12"/>
      <c r="P11" s="12"/>
      <c r="T11">
        <v>9</v>
      </c>
      <c r="U11" s="1">
        <v>15</v>
      </c>
      <c r="V11">
        <v>9</v>
      </c>
      <c r="W11" s="2">
        <v>1715.11</v>
      </c>
    </row>
    <row r="12" spans="1:23">
      <c r="A12" s="3">
        <v>1</v>
      </c>
      <c r="B12" s="4" t="s">
        <v>102</v>
      </c>
      <c r="C12" s="3">
        <v>1</v>
      </c>
      <c r="D12" s="5">
        <v>0.04</v>
      </c>
      <c r="E12" s="6">
        <v>4.7E-2</v>
      </c>
      <c r="F12" s="1">
        <v>258.36</v>
      </c>
      <c r="G12" s="1"/>
      <c r="H12" s="6"/>
      <c r="L12"/>
      <c r="M12" s="12"/>
      <c r="N12" s="12"/>
      <c r="P12" s="108" t="s">
        <v>7</v>
      </c>
      <c r="T12">
        <v>10</v>
      </c>
      <c r="U12" s="1" t="s">
        <v>150</v>
      </c>
      <c r="V12">
        <v>10</v>
      </c>
      <c r="W12" s="2">
        <v>1783.72</v>
      </c>
    </row>
    <row r="13" spans="1:23">
      <c r="A13" s="3">
        <v>2</v>
      </c>
      <c r="B13" s="4" t="s">
        <v>103</v>
      </c>
      <c r="C13" s="3">
        <v>2</v>
      </c>
      <c r="D13" s="6">
        <v>3.5999999999999997E-2</v>
      </c>
      <c r="E13" s="6">
        <v>4.7E-2</v>
      </c>
      <c r="F13" s="1"/>
      <c r="G13" s="1"/>
      <c r="H13" s="1"/>
      <c r="M13" s="12"/>
      <c r="N13" s="12"/>
      <c r="O13">
        <v>1</v>
      </c>
      <c r="P13" t="s">
        <v>1103</v>
      </c>
      <c r="Q13">
        <v>1</v>
      </c>
      <c r="T13">
        <v>11</v>
      </c>
      <c r="U13" s="1">
        <v>16</v>
      </c>
      <c r="V13">
        <v>11</v>
      </c>
      <c r="W13" s="2">
        <v>1993</v>
      </c>
    </row>
    <row r="14" spans="1:23">
      <c r="A14" s="3">
        <v>3</v>
      </c>
      <c r="B14" s="1" t="s">
        <v>104</v>
      </c>
      <c r="C14" s="3">
        <v>3</v>
      </c>
      <c r="D14" s="6">
        <v>3.5999999999999997E-2</v>
      </c>
      <c r="E14" s="6">
        <v>4.7E-2</v>
      </c>
      <c r="F14" s="1">
        <v>424.64</v>
      </c>
      <c r="G14" s="183">
        <v>556.08000000000004</v>
      </c>
      <c r="H14" s="184">
        <v>589.25</v>
      </c>
      <c r="L14" s="5"/>
      <c r="M14" s="12"/>
      <c r="N14" s="12"/>
      <c r="O14">
        <v>2</v>
      </c>
      <c r="P14" t="s">
        <v>1104</v>
      </c>
      <c r="Q14">
        <v>2</v>
      </c>
      <c r="R14" s="108"/>
      <c r="S14" s="108"/>
      <c r="T14">
        <v>12</v>
      </c>
      <c r="U14" s="1" t="s">
        <v>153</v>
      </c>
      <c r="V14">
        <v>12</v>
      </c>
      <c r="W14" s="2">
        <v>2097.11</v>
      </c>
    </row>
    <row r="15" spans="1:23">
      <c r="A15" s="3">
        <v>4</v>
      </c>
      <c r="B15" s="1" t="s">
        <v>105</v>
      </c>
      <c r="C15" s="3">
        <v>4</v>
      </c>
      <c r="D15" s="6">
        <v>3.5999999999999997E-2</v>
      </c>
      <c r="E15" s="6">
        <v>4.7E-2</v>
      </c>
      <c r="F15" s="1">
        <v>424.64</v>
      </c>
      <c r="G15" s="183">
        <v>556.08000000000004</v>
      </c>
      <c r="H15" s="184">
        <v>589.25</v>
      </c>
      <c r="L15" s="5"/>
      <c r="M15" s="12"/>
      <c r="N15" s="12"/>
      <c r="O15">
        <v>3</v>
      </c>
      <c r="P15" t="s">
        <v>523</v>
      </c>
      <c r="Q15">
        <v>3</v>
      </c>
      <c r="T15">
        <v>13</v>
      </c>
      <c r="U15" s="1">
        <v>17</v>
      </c>
      <c r="V15">
        <v>13</v>
      </c>
      <c r="W15" s="2">
        <v>2264.88</v>
      </c>
    </row>
    <row r="16" spans="1:23">
      <c r="A16" s="3">
        <v>5</v>
      </c>
      <c r="B16" s="1" t="s">
        <v>106</v>
      </c>
      <c r="C16" s="3">
        <v>5</v>
      </c>
      <c r="D16" s="6">
        <v>3.5999999999999997E-2</v>
      </c>
      <c r="E16" s="6">
        <v>4.7E-2</v>
      </c>
      <c r="F16" s="1">
        <v>539.82000000000005</v>
      </c>
      <c r="G16" s="1"/>
      <c r="H16" s="6"/>
      <c r="L16" s="5"/>
      <c r="M16" s="12"/>
      <c r="N16" s="12"/>
      <c r="O16">
        <v>4</v>
      </c>
      <c r="P16" t="s">
        <v>1105</v>
      </c>
      <c r="Q16">
        <v>4</v>
      </c>
      <c r="T16">
        <v>14</v>
      </c>
      <c r="U16" s="1" t="s">
        <v>156</v>
      </c>
      <c r="V16">
        <v>14</v>
      </c>
      <c r="W16" s="2">
        <v>2382.86</v>
      </c>
    </row>
    <row r="17" spans="1:23">
      <c r="A17" s="3">
        <v>6</v>
      </c>
      <c r="B17" s="1" t="s">
        <v>107</v>
      </c>
      <c r="C17" s="3">
        <v>6</v>
      </c>
      <c r="D17" s="6">
        <v>0</v>
      </c>
      <c r="E17" s="6">
        <v>0.05</v>
      </c>
      <c r="F17" s="1">
        <v>501.16</v>
      </c>
      <c r="G17" s="1"/>
      <c r="H17" s="13"/>
      <c r="L17" s="5"/>
      <c r="M17" s="12"/>
      <c r="N17" s="12"/>
      <c r="O17">
        <v>5</v>
      </c>
      <c r="P17" t="s">
        <v>1106</v>
      </c>
      <c r="Q17">
        <v>5</v>
      </c>
      <c r="T17">
        <v>15</v>
      </c>
      <c r="U17" s="1">
        <v>18</v>
      </c>
      <c r="V17">
        <v>15</v>
      </c>
      <c r="W17" s="2">
        <v>2844.26</v>
      </c>
    </row>
    <row r="18" spans="1:23">
      <c r="A18" s="3">
        <v>7</v>
      </c>
      <c r="B18" s="1" t="s">
        <v>108</v>
      </c>
      <c r="C18" s="3">
        <v>7</v>
      </c>
      <c r="D18" s="6">
        <v>3.5999999999999997E-2</v>
      </c>
      <c r="E18" s="6">
        <v>0.05</v>
      </c>
      <c r="F18" s="1">
        <v>307.89999999999998</v>
      </c>
      <c r="G18" s="1"/>
      <c r="H18" s="13"/>
      <c r="L18" s="5"/>
      <c r="M18" s="12"/>
      <c r="N18" s="12"/>
      <c r="O18">
        <v>6</v>
      </c>
      <c r="P18" t="s">
        <v>1107</v>
      </c>
      <c r="Q18">
        <v>6</v>
      </c>
      <c r="T18">
        <v>16</v>
      </c>
      <c r="U18" s="1" t="s">
        <v>159</v>
      </c>
      <c r="V18">
        <v>16</v>
      </c>
      <c r="W18" s="2">
        <v>2972.25</v>
      </c>
    </row>
    <row r="19" spans="1:23">
      <c r="A19" s="3">
        <v>8</v>
      </c>
      <c r="B19" s="1" t="s">
        <v>109</v>
      </c>
      <c r="C19" s="3">
        <v>8</v>
      </c>
      <c r="F19" s="1">
        <v>616.41999999999996</v>
      </c>
      <c r="G19" s="1"/>
      <c r="H19" s="13"/>
      <c r="L19" s="5"/>
      <c r="M19" s="12"/>
      <c r="N19" s="12"/>
      <c r="T19">
        <v>17</v>
      </c>
      <c r="U19" s="1">
        <v>19</v>
      </c>
      <c r="V19">
        <v>17</v>
      </c>
      <c r="W19" s="2">
        <v>3100.25</v>
      </c>
    </row>
    <row r="20" spans="1:23">
      <c r="A20" s="3">
        <v>9</v>
      </c>
      <c r="B20" s="1" t="s">
        <v>110</v>
      </c>
      <c r="C20" s="3">
        <v>9</v>
      </c>
      <c r="F20" s="1"/>
      <c r="G20" s="1"/>
      <c r="H20" s="13"/>
      <c r="L20" s="5"/>
      <c r="M20" s="12"/>
      <c r="N20" s="12"/>
      <c r="T20">
        <v>18</v>
      </c>
      <c r="U20" s="1" t="s">
        <v>162</v>
      </c>
      <c r="V20">
        <v>18</v>
      </c>
      <c r="W20" s="2">
        <v>3255.25</v>
      </c>
    </row>
    <row r="21" spans="1:23">
      <c r="A21" s="3">
        <v>10</v>
      </c>
      <c r="B21" s="1" t="s">
        <v>111</v>
      </c>
      <c r="C21" s="3">
        <v>10</v>
      </c>
      <c r="F21" s="1">
        <v>663.14</v>
      </c>
      <c r="G21" s="1"/>
      <c r="H21" s="13"/>
      <c r="L21" s="5"/>
      <c r="M21" s="12"/>
      <c r="N21" s="12"/>
      <c r="T21">
        <v>19</v>
      </c>
      <c r="U21" s="1">
        <v>20</v>
      </c>
      <c r="V21">
        <v>19</v>
      </c>
      <c r="W21" s="2">
        <v>3410.27</v>
      </c>
    </row>
    <row r="22" spans="1:23">
      <c r="B22" s="79"/>
      <c r="D22" s="1"/>
      <c r="E22" s="1"/>
      <c r="F22" s="1"/>
      <c r="G22" s="1"/>
      <c r="H22" s="13"/>
      <c r="L22" s="5"/>
      <c r="M22" s="12"/>
      <c r="N22" s="12"/>
      <c r="T22">
        <v>20</v>
      </c>
      <c r="U22" s="1" t="s">
        <v>165</v>
      </c>
      <c r="V22">
        <v>20</v>
      </c>
      <c r="W22" s="2">
        <v>3614.89</v>
      </c>
    </row>
    <row r="23" spans="1:23">
      <c r="D23" s="1" t="s">
        <v>62</v>
      </c>
      <c r="F23" s="117">
        <v>1.375E-2</v>
      </c>
      <c r="G23" s="1"/>
      <c r="H23" s="13"/>
      <c r="L23" s="5"/>
      <c r="M23" s="12"/>
      <c r="N23" s="12"/>
      <c r="O23" s="12"/>
      <c r="P23" s="12"/>
      <c r="T23">
        <v>21</v>
      </c>
      <c r="U23" s="1">
        <v>21</v>
      </c>
      <c r="V23">
        <v>21</v>
      </c>
      <c r="W23" s="2">
        <v>3819.51</v>
      </c>
    </row>
    <row r="24" spans="1:23">
      <c r="A24" s="121"/>
      <c r="D24" s="1" t="s">
        <v>113</v>
      </c>
      <c r="E24" s="1"/>
      <c r="F24" s="117">
        <v>8.7500000000000008E-3</v>
      </c>
      <c r="G24" s="1"/>
      <c r="H24" s="13"/>
      <c r="L24" s="5"/>
      <c r="R24" s="108"/>
      <c r="S24" s="108"/>
      <c r="T24">
        <v>22</v>
      </c>
      <c r="U24" s="1" t="s">
        <v>168</v>
      </c>
      <c r="V24">
        <v>22</v>
      </c>
      <c r="W24" s="2">
        <v>4048.68</v>
      </c>
    </row>
    <row r="25" spans="1:23">
      <c r="B25" s="2"/>
      <c r="C25" s="2"/>
      <c r="D25" s="1" t="s">
        <v>114</v>
      </c>
      <c r="E25" s="1"/>
      <c r="F25" s="117">
        <v>2.5749999999999999E-2</v>
      </c>
      <c r="G25" s="1"/>
      <c r="H25" s="13"/>
      <c r="L25" s="5"/>
      <c r="M25"/>
      <c r="R25" s="2"/>
      <c r="S25" s="5"/>
      <c r="T25">
        <v>23</v>
      </c>
      <c r="U25" s="1">
        <v>22</v>
      </c>
      <c r="V25">
        <v>23</v>
      </c>
      <c r="W25" s="2">
        <v>4316.04</v>
      </c>
    </row>
    <row r="26" spans="1:23">
      <c r="E26" s="3"/>
      <c r="F26" s="4"/>
      <c r="G26" s="1"/>
      <c r="H26" s="1"/>
      <c r="I26" s="1"/>
      <c r="J26" s="1"/>
      <c r="K26" s="13"/>
      <c r="L26" s="5"/>
      <c r="M26"/>
      <c r="R26" s="2"/>
      <c r="S26" s="5"/>
      <c r="T26">
        <v>24</v>
      </c>
      <c r="U26" s="1" t="s">
        <v>171</v>
      </c>
      <c r="V26">
        <v>24</v>
      </c>
      <c r="W26" s="2">
        <v>4596.58</v>
      </c>
    </row>
    <row r="27" spans="1:23">
      <c r="E27" s="3"/>
      <c r="F27" s="4"/>
      <c r="G27" s="12" t="s">
        <v>26</v>
      </c>
      <c r="I27" s="182">
        <v>400</v>
      </c>
      <c r="J27" s="1"/>
      <c r="K27" s="13"/>
      <c r="L27" s="5"/>
      <c r="M27"/>
      <c r="R27" s="2"/>
      <c r="S27" s="5"/>
      <c r="T27">
        <v>25</v>
      </c>
      <c r="U27" s="1">
        <v>23</v>
      </c>
      <c r="V27">
        <v>25</v>
      </c>
      <c r="W27" s="2">
        <v>4877.13</v>
      </c>
    </row>
    <row r="28" spans="1:23">
      <c r="E28" s="3"/>
      <c r="F28" s="1"/>
      <c r="M28"/>
      <c r="R28" s="2"/>
      <c r="S28" s="5"/>
      <c r="T28">
        <v>26</v>
      </c>
      <c r="U28" s="1" t="s">
        <v>174</v>
      </c>
      <c r="V28">
        <v>26</v>
      </c>
      <c r="W28" s="2">
        <v>5218.54</v>
      </c>
    </row>
    <row r="29" spans="1:23">
      <c r="E29" s="3"/>
      <c r="F29" s="1"/>
      <c r="M29"/>
      <c r="R29" s="2"/>
      <c r="S29" s="5"/>
      <c r="T29">
        <v>27</v>
      </c>
      <c r="U29" s="1">
        <v>24</v>
      </c>
      <c r="V29">
        <v>27</v>
      </c>
      <c r="W29" s="2">
        <v>5559.93</v>
      </c>
    </row>
    <row r="30" spans="1:23">
      <c r="E30" s="3"/>
      <c r="F30" s="1" t="s">
        <v>122</v>
      </c>
      <c r="H30" s="184">
        <v>7865</v>
      </c>
      <c r="M30"/>
      <c r="R30" s="2"/>
      <c r="S30" s="5"/>
      <c r="T30">
        <v>28</v>
      </c>
      <c r="U30" s="1" t="s">
        <v>177</v>
      </c>
      <c r="V30">
        <v>28</v>
      </c>
      <c r="W30" s="2">
        <v>6004.73</v>
      </c>
    </row>
    <row r="31" spans="1:23">
      <c r="E31" s="3"/>
      <c r="F31" s="1"/>
      <c r="T31">
        <v>29</v>
      </c>
      <c r="U31" s="1">
        <v>25</v>
      </c>
      <c r="V31">
        <v>29</v>
      </c>
      <c r="W31" s="2">
        <v>6449.51</v>
      </c>
    </row>
    <row r="32" spans="1:23">
      <c r="E32" s="3"/>
      <c r="F32" s="1"/>
      <c r="R32" s="2"/>
      <c r="T32">
        <v>30</v>
      </c>
      <c r="U32" s="1" t="s">
        <v>180</v>
      </c>
      <c r="V32">
        <v>30</v>
      </c>
      <c r="W32" s="2">
        <v>6900.98</v>
      </c>
    </row>
    <row r="33" spans="6:23">
      <c r="F33" s="1" t="s">
        <v>124</v>
      </c>
      <c r="H33" s="11">
        <v>426</v>
      </c>
      <c r="T33">
        <v>31</v>
      </c>
      <c r="U33" s="1" t="s">
        <v>702</v>
      </c>
      <c r="V33">
        <v>31</v>
      </c>
      <c r="W33" s="2"/>
    </row>
    <row r="34" spans="6:23">
      <c r="F34" s="1" t="s">
        <v>126</v>
      </c>
      <c r="G34">
        <v>1</v>
      </c>
      <c r="H34" s="11">
        <v>1517</v>
      </c>
      <c r="T34">
        <v>32</v>
      </c>
      <c r="U34" s="1" t="s">
        <v>702</v>
      </c>
      <c r="V34">
        <v>32</v>
      </c>
      <c r="W34" s="2"/>
    </row>
    <row r="35" spans="6:23">
      <c r="F35" s="1"/>
      <c r="G35">
        <v>2</v>
      </c>
      <c r="H35" s="11">
        <v>2118</v>
      </c>
      <c r="I35" s="1"/>
      <c r="J35" s="1"/>
      <c r="K35" s="13"/>
      <c r="L35" s="5"/>
      <c r="M35" s="12"/>
      <c r="N35" s="12"/>
      <c r="O35" s="12"/>
      <c r="P35" s="12"/>
      <c r="T35">
        <v>33</v>
      </c>
      <c r="U35" s="1">
        <v>34</v>
      </c>
      <c r="V35">
        <v>33</v>
      </c>
      <c r="W35" s="2">
        <v>2007.26</v>
      </c>
    </row>
    <row r="36" spans="6:23">
      <c r="F36" s="1"/>
      <c r="G36" s="1"/>
      <c r="H36" s="1"/>
      <c r="I36" s="1"/>
      <c r="J36" s="1"/>
      <c r="K36" s="13"/>
      <c r="L36" s="5"/>
      <c r="M36" s="12"/>
      <c r="N36" s="12"/>
      <c r="O36" s="12"/>
      <c r="P36" s="12"/>
      <c r="T36">
        <v>34</v>
      </c>
      <c r="U36" s="1" t="s">
        <v>187</v>
      </c>
      <c r="V36">
        <v>34</v>
      </c>
      <c r="W36" s="2">
        <v>2047.4</v>
      </c>
    </row>
    <row r="37" spans="6:23">
      <c r="T37">
        <v>35</v>
      </c>
      <c r="U37" s="1">
        <v>35</v>
      </c>
      <c r="V37">
        <v>35</v>
      </c>
      <c r="W37" s="2">
        <v>2087.5500000000002</v>
      </c>
    </row>
    <row r="38" spans="6:23">
      <c r="T38">
        <v>36</v>
      </c>
      <c r="U38" s="1" t="s">
        <v>188</v>
      </c>
      <c r="V38">
        <v>36</v>
      </c>
      <c r="W38" s="2">
        <v>2129.3000000000002</v>
      </c>
    </row>
    <row r="39" spans="6:23">
      <c r="T39">
        <v>37</v>
      </c>
      <c r="U39" s="1">
        <v>36</v>
      </c>
      <c r="V39">
        <v>37</v>
      </c>
      <c r="W39" s="2">
        <v>2171.04</v>
      </c>
    </row>
    <row r="40" spans="6:23">
      <c r="T40">
        <v>38</v>
      </c>
      <c r="U40" s="1" t="s">
        <v>189</v>
      </c>
      <c r="V40">
        <v>38</v>
      </c>
      <c r="W40" s="2">
        <v>2257.89</v>
      </c>
    </row>
    <row r="41" spans="6:23" s="3" customFormat="1">
      <c r="K41" s="4"/>
      <c r="L41" s="4"/>
      <c r="M41" s="4"/>
      <c r="T41">
        <v>39</v>
      </c>
      <c r="U41" s="1">
        <v>37</v>
      </c>
      <c r="V41">
        <v>39</v>
      </c>
      <c r="W41" s="2">
        <v>2344.73</v>
      </c>
    </row>
    <row r="42" spans="6:23" s="3" customFormat="1">
      <c r="K42" s="4"/>
      <c r="L42" s="4"/>
      <c r="M42" s="4"/>
      <c r="T42">
        <v>40</v>
      </c>
      <c r="U42" s="1" t="s">
        <v>190</v>
      </c>
      <c r="V42">
        <v>40</v>
      </c>
      <c r="W42" s="2">
        <v>2438.52</v>
      </c>
    </row>
    <row r="43" spans="6:23">
      <c r="T43">
        <v>41</v>
      </c>
      <c r="U43" s="1">
        <v>38</v>
      </c>
      <c r="V43">
        <v>41</v>
      </c>
      <c r="W43" s="2">
        <v>2623.47</v>
      </c>
    </row>
    <row r="44" spans="6:23">
      <c r="T44">
        <v>42</v>
      </c>
      <c r="U44" s="1" t="s">
        <v>191</v>
      </c>
      <c r="V44">
        <v>42</v>
      </c>
      <c r="W44" s="2">
        <v>2741.53</v>
      </c>
    </row>
    <row r="45" spans="6:23">
      <c r="I45" s="7"/>
      <c r="J45" s="7"/>
      <c r="T45">
        <v>43</v>
      </c>
      <c r="U45" s="1">
        <v>39</v>
      </c>
      <c r="V45">
        <v>43</v>
      </c>
      <c r="W45" s="2">
        <v>2859.59</v>
      </c>
    </row>
    <row r="46" spans="6:23">
      <c r="T46">
        <v>44</v>
      </c>
      <c r="U46" s="1" t="s">
        <v>192</v>
      </c>
      <c r="V46">
        <v>44</v>
      </c>
      <c r="W46" s="2">
        <v>3002.57</v>
      </c>
    </row>
    <row r="47" spans="6:23">
      <c r="T47">
        <v>45</v>
      </c>
      <c r="U47" s="1">
        <v>40</v>
      </c>
      <c r="V47">
        <v>45</v>
      </c>
      <c r="W47" s="2">
        <v>3145.55</v>
      </c>
    </row>
    <row r="48" spans="6:23">
      <c r="T48">
        <v>46</v>
      </c>
      <c r="U48" s="1" t="s">
        <v>193</v>
      </c>
      <c r="V48">
        <v>46</v>
      </c>
      <c r="W48" s="2">
        <v>3310.68</v>
      </c>
    </row>
    <row r="49" spans="20:23">
      <c r="T49">
        <v>47</v>
      </c>
      <c r="U49" s="1">
        <v>41</v>
      </c>
      <c r="V49">
        <v>47</v>
      </c>
      <c r="W49" s="2">
        <v>3475.83</v>
      </c>
    </row>
    <row r="50" spans="20:23">
      <c r="T50">
        <v>48</v>
      </c>
      <c r="U50" s="1" t="s">
        <v>194</v>
      </c>
      <c r="V50">
        <v>48</v>
      </c>
      <c r="W50" s="2">
        <v>3684.38</v>
      </c>
    </row>
    <row r="51" spans="20:23">
      <c r="T51">
        <v>49</v>
      </c>
      <c r="U51" s="1">
        <v>42</v>
      </c>
      <c r="V51">
        <v>49</v>
      </c>
      <c r="W51" s="2">
        <v>3962.45</v>
      </c>
    </row>
    <row r="52" spans="20:23">
      <c r="T52">
        <v>50</v>
      </c>
      <c r="U52" s="1" t="s">
        <v>195</v>
      </c>
      <c r="V52">
        <v>50</v>
      </c>
      <c r="W52" s="2">
        <v>4289.3500000000004</v>
      </c>
    </row>
    <row r="53" spans="20:23">
      <c r="T53">
        <v>51</v>
      </c>
      <c r="U53" s="1">
        <v>43</v>
      </c>
      <c r="V53">
        <v>51</v>
      </c>
      <c r="W53" s="2">
        <v>4616.26</v>
      </c>
    </row>
    <row r="54" spans="20:23">
      <c r="T54">
        <v>52</v>
      </c>
      <c r="U54" s="1" t="s">
        <v>196</v>
      </c>
      <c r="V54">
        <v>52</v>
      </c>
      <c r="W54" s="2">
        <v>4916.32</v>
      </c>
    </row>
    <row r="55" spans="20:23">
      <c r="T55">
        <v>53</v>
      </c>
      <c r="U55" s="1">
        <v>44</v>
      </c>
      <c r="V55">
        <v>53</v>
      </c>
      <c r="W55" s="2">
        <v>5216.37</v>
      </c>
    </row>
    <row r="56" spans="20:23">
      <c r="T56">
        <v>54</v>
      </c>
      <c r="U56" s="1" t="s">
        <v>197</v>
      </c>
      <c r="V56">
        <v>54</v>
      </c>
      <c r="W56" s="2">
        <v>5581.52</v>
      </c>
    </row>
    <row r="57" spans="20:23">
      <c r="T57">
        <v>55</v>
      </c>
      <c r="U57" s="1">
        <v>45</v>
      </c>
      <c r="V57">
        <v>55</v>
      </c>
      <c r="W57" s="2">
        <v>5946.66</v>
      </c>
    </row>
    <row r="58" spans="20:23">
      <c r="T58">
        <v>56</v>
      </c>
      <c r="U58" s="1" t="s">
        <v>198</v>
      </c>
      <c r="V58">
        <v>56</v>
      </c>
      <c r="W58" s="2">
        <v>6422.4</v>
      </c>
    </row>
    <row r="59" spans="20:23">
      <c r="T59">
        <v>57</v>
      </c>
      <c r="U59" s="1">
        <v>46</v>
      </c>
      <c r="V59">
        <v>57</v>
      </c>
      <c r="W59" s="2">
        <v>6898.13</v>
      </c>
    </row>
    <row r="60" spans="20:23">
      <c r="T60">
        <v>58</v>
      </c>
      <c r="U60" s="1" t="s">
        <v>199</v>
      </c>
      <c r="V60">
        <v>58</v>
      </c>
      <c r="W60" s="2">
        <v>7449.98</v>
      </c>
    </row>
    <row r="61" spans="20:23">
      <c r="T61">
        <v>59</v>
      </c>
      <c r="U61" s="1" t="s">
        <v>702</v>
      </c>
      <c r="V61">
        <v>59</v>
      </c>
      <c r="W61" s="1"/>
    </row>
    <row r="62" spans="20:23">
      <c r="T62">
        <v>60</v>
      </c>
      <c r="U62" s="1" t="s">
        <v>702</v>
      </c>
      <c r="V62">
        <v>60</v>
      </c>
      <c r="W62" s="1"/>
    </row>
    <row r="63" spans="20:23">
      <c r="T63">
        <v>61</v>
      </c>
      <c r="U63" s="1">
        <v>60</v>
      </c>
      <c r="V63">
        <v>61</v>
      </c>
      <c r="W63" s="2">
        <v>0</v>
      </c>
    </row>
    <row r="64" spans="20:23">
      <c r="T64">
        <v>62</v>
      </c>
      <c r="U64" s="1">
        <v>61</v>
      </c>
      <c r="V64">
        <v>62</v>
      </c>
      <c r="W64" s="2">
        <v>0</v>
      </c>
    </row>
    <row r="65" spans="20:23">
      <c r="T65">
        <v>63</v>
      </c>
      <c r="U65" s="1">
        <v>61</v>
      </c>
      <c r="V65">
        <v>63</v>
      </c>
      <c r="W65" s="2">
        <v>0</v>
      </c>
    </row>
    <row r="66" spans="20:23">
      <c r="T66">
        <v>64</v>
      </c>
      <c r="U66" s="1" t="s">
        <v>703</v>
      </c>
      <c r="V66">
        <v>64</v>
      </c>
      <c r="W66" s="2">
        <v>0</v>
      </c>
    </row>
    <row r="67" spans="20:23">
      <c r="T67">
        <v>65</v>
      </c>
      <c r="U67" s="1">
        <v>63</v>
      </c>
      <c r="V67">
        <v>65</v>
      </c>
      <c r="W67" s="2" t="e">
        <f>+W37*#REF!</f>
        <v>#REF!</v>
      </c>
    </row>
    <row r="68" spans="20:23">
      <c r="T68">
        <v>66</v>
      </c>
      <c r="U68" s="1" t="s">
        <v>704</v>
      </c>
      <c r="V68">
        <v>66</v>
      </c>
      <c r="W68" s="2" t="e">
        <f>+W38*#REF!</f>
        <v>#REF!</v>
      </c>
    </row>
    <row r="69" spans="20:23">
      <c r="T69">
        <v>67</v>
      </c>
      <c r="U69" s="1">
        <v>64</v>
      </c>
      <c r="V69">
        <v>67</v>
      </c>
      <c r="W69" s="2" t="e">
        <f>+W39*#REF!</f>
        <v>#REF!</v>
      </c>
    </row>
    <row r="70" spans="20:23">
      <c r="T70">
        <v>68</v>
      </c>
      <c r="U70" s="1" t="s">
        <v>705</v>
      </c>
      <c r="V70">
        <v>68</v>
      </c>
      <c r="W70" s="2" t="e">
        <f>+W40*#REF!</f>
        <v>#REF!</v>
      </c>
    </row>
    <row r="71" spans="20:23">
      <c r="T71">
        <v>69</v>
      </c>
      <c r="U71" s="1">
        <v>65</v>
      </c>
      <c r="V71">
        <v>69</v>
      </c>
      <c r="W71" s="2" t="e">
        <f>+W41*#REF!</f>
        <v>#REF!</v>
      </c>
    </row>
    <row r="72" spans="20:23">
      <c r="T72">
        <v>70</v>
      </c>
      <c r="U72" s="1" t="s">
        <v>706</v>
      </c>
      <c r="V72">
        <v>70</v>
      </c>
      <c r="W72" s="2" t="e">
        <f>+W42*#REF!</f>
        <v>#REF!</v>
      </c>
    </row>
    <row r="73" spans="20:23">
      <c r="T73">
        <v>71</v>
      </c>
      <c r="U73" s="1">
        <v>66</v>
      </c>
      <c r="V73">
        <v>71</v>
      </c>
      <c r="W73" s="2" t="e">
        <f>+W43*#REF!</f>
        <v>#REF!</v>
      </c>
    </row>
    <row r="74" spans="20:23">
      <c r="T74">
        <v>72</v>
      </c>
      <c r="U74" s="1" t="s">
        <v>707</v>
      </c>
      <c r="V74">
        <v>72</v>
      </c>
      <c r="W74" s="2" t="e">
        <f>+W44*#REF!</f>
        <v>#REF!</v>
      </c>
    </row>
    <row r="75" spans="20:23">
      <c r="T75">
        <v>73</v>
      </c>
      <c r="U75" s="1">
        <v>67</v>
      </c>
      <c r="V75">
        <v>73</v>
      </c>
      <c r="W75" s="2" t="e">
        <f>+W45*#REF!</f>
        <v>#REF!</v>
      </c>
    </row>
    <row r="76" spans="20:23">
      <c r="T76">
        <v>74</v>
      </c>
      <c r="U76" s="1" t="s">
        <v>708</v>
      </c>
      <c r="V76">
        <v>74</v>
      </c>
      <c r="W76" s="2" t="e">
        <f>+W46*#REF!</f>
        <v>#REF!</v>
      </c>
    </row>
    <row r="77" spans="20:23">
      <c r="T77">
        <v>75</v>
      </c>
      <c r="U77" s="1">
        <v>68</v>
      </c>
      <c r="V77">
        <v>75</v>
      </c>
      <c r="W77" s="2" t="e">
        <f>+W47*#REF!</f>
        <v>#REF!</v>
      </c>
    </row>
    <row r="78" spans="20:23">
      <c r="T78">
        <v>76</v>
      </c>
      <c r="U78" s="1" t="s">
        <v>709</v>
      </c>
      <c r="V78">
        <v>76</v>
      </c>
      <c r="W78" s="2" t="e">
        <f>+W48*#REF!</f>
        <v>#REF!</v>
      </c>
    </row>
    <row r="79" spans="20:23">
      <c r="T79">
        <v>77</v>
      </c>
      <c r="U79" s="1">
        <v>69</v>
      </c>
      <c r="V79">
        <v>77</v>
      </c>
      <c r="W79" s="2" t="e">
        <f>+W49*#REF!</f>
        <v>#REF!</v>
      </c>
    </row>
    <row r="80" spans="20:23">
      <c r="T80">
        <v>78</v>
      </c>
      <c r="U80" s="1" t="s">
        <v>710</v>
      </c>
      <c r="V80">
        <v>78</v>
      </c>
      <c r="W80" s="2" t="e">
        <f>+W50*#REF!</f>
        <v>#REF!</v>
      </c>
    </row>
    <row r="81" spans="20:23">
      <c r="T81">
        <v>79</v>
      </c>
      <c r="U81" s="1">
        <v>70</v>
      </c>
      <c r="V81">
        <v>79</v>
      </c>
      <c r="W81" s="2" t="e">
        <f>+W51*#REF!</f>
        <v>#REF!</v>
      </c>
    </row>
    <row r="82" spans="20:23">
      <c r="T82">
        <v>80</v>
      </c>
      <c r="U82" s="1" t="s">
        <v>711</v>
      </c>
      <c r="V82">
        <v>80</v>
      </c>
      <c r="W82" s="2" t="e">
        <f>+W52*#REF!</f>
        <v>#REF!</v>
      </c>
    </row>
    <row r="83" spans="20:23">
      <c r="T83">
        <v>81</v>
      </c>
      <c r="U83" s="1">
        <v>71</v>
      </c>
      <c r="V83">
        <v>81</v>
      </c>
      <c r="W83" s="2" t="e">
        <f>+W53*#REF!</f>
        <v>#REF!</v>
      </c>
    </row>
    <row r="84" spans="20:23">
      <c r="T84">
        <v>82</v>
      </c>
      <c r="U84" s="1" t="s">
        <v>712</v>
      </c>
      <c r="V84">
        <v>82</v>
      </c>
      <c r="W84" s="2" t="e">
        <f>+W54*#REF!</f>
        <v>#REF!</v>
      </c>
    </row>
    <row r="85" spans="20:23">
      <c r="T85">
        <v>83</v>
      </c>
      <c r="U85" s="1">
        <v>72</v>
      </c>
      <c r="V85">
        <v>83</v>
      </c>
      <c r="W85" s="2" t="e">
        <f>+W55*#REF!</f>
        <v>#REF!</v>
      </c>
    </row>
    <row r="86" spans="20:23">
      <c r="T86">
        <v>84</v>
      </c>
      <c r="U86" s="1" t="s">
        <v>713</v>
      </c>
      <c r="V86">
        <v>84</v>
      </c>
      <c r="W86" s="2" t="e">
        <f>+W56*#REF!</f>
        <v>#REF!</v>
      </c>
    </row>
    <row r="87" spans="20:23">
      <c r="T87">
        <v>85</v>
      </c>
      <c r="U87" s="1">
        <v>73</v>
      </c>
      <c r="V87">
        <v>85</v>
      </c>
      <c r="W87" s="2" t="e">
        <f>+W57*#REF!</f>
        <v>#REF!</v>
      </c>
    </row>
    <row r="88" spans="20:23">
      <c r="T88">
        <v>86</v>
      </c>
      <c r="U88" s="1" t="s">
        <v>714</v>
      </c>
      <c r="V88">
        <v>86</v>
      </c>
      <c r="W88" s="2" t="e">
        <f>+W58*#REF!</f>
        <v>#REF!</v>
      </c>
    </row>
    <row r="89" spans="20:23">
      <c r="T89">
        <v>87</v>
      </c>
      <c r="U89" s="1">
        <v>74</v>
      </c>
      <c r="V89">
        <v>87</v>
      </c>
      <c r="W89" s="2" t="e">
        <f>+W59*#REF!</f>
        <v>#REF!</v>
      </c>
    </row>
    <row r="90" spans="20:23">
      <c r="T90">
        <v>88</v>
      </c>
      <c r="U90" s="1" t="s">
        <v>715</v>
      </c>
      <c r="V90">
        <v>88</v>
      </c>
      <c r="W90" s="2" t="e">
        <f>+W60*#REF!</f>
        <v>#REF!</v>
      </c>
    </row>
    <row r="91" spans="20:23">
      <c r="T91">
        <v>89</v>
      </c>
      <c r="U91" s="1">
        <v>75</v>
      </c>
      <c r="V91">
        <v>89</v>
      </c>
      <c r="W91" s="2" t="e">
        <f>+W61*#REF!</f>
        <v>#REF!</v>
      </c>
    </row>
    <row r="92" spans="20:23">
      <c r="T92">
        <v>90</v>
      </c>
      <c r="U92" s="1" t="s">
        <v>716</v>
      </c>
      <c r="V92">
        <v>90</v>
      </c>
      <c r="W92" s="2" t="e">
        <f>+W62*#REF!</f>
        <v>#REF!</v>
      </c>
    </row>
    <row r="93" spans="20:23">
      <c r="T93">
        <v>91</v>
      </c>
      <c r="U93" s="1">
        <v>1</v>
      </c>
      <c r="V93">
        <v>91</v>
      </c>
      <c r="W93" s="2">
        <v>5544.89</v>
      </c>
    </row>
    <row r="94" spans="20:23">
      <c r="T94">
        <v>92</v>
      </c>
      <c r="U94" s="1">
        <v>2</v>
      </c>
      <c r="V94">
        <v>92</v>
      </c>
      <c r="W94" s="2">
        <v>5877.58</v>
      </c>
    </row>
    <row r="95" spans="20:23">
      <c r="T95">
        <v>93</v>
      </c>
      <c r="U95" s="1">
        <v>3</v>
      </c>
      <c r="V95">
        <v>93</v>
      </c>
      <c r="W95" s="2">
        <v>6347.79</v>
      </c>
    </row>
    <row r="96" spans="20:23">
      <c r="T96">
        <v>94</v>
      </c>
      <c r="U96" s="1" t="s">
        <v>717</v>
      </c>
      <c r="V96">
        <v>94</v>
      </c>
      <c r="W96" s="2">
        <v>6538.22</v>
      </c>
    </row>
    <row r="97" spans="20:23">
      <c r="T97">
        <v>95</v>
      </c>
      <c r="U97" s="1">
        <v>4</v>
      </c>
      <c r="V97">
        <v>95</v>
      </c>
      <c r="W97" s="2">
        <v>7192.05</v>
      </c>
    </row>
    <row r="98" spans="20:23">
      <c r="T98">
        <v>96</v>
      </c>
      <c r="U98" s="1">
        <v>5</v>
      </c>
      <c r="V98">
        <v>96</v>
      </c>
      <c r="W98" s="2">
        <v>7623.57</v>
      </c>
    </row>
    <row r="99" spans="20:23">
      <c r="T99">
        <v>97</v>
      </c>
      <c r="U99" s="1">
        <v>6</v>
      </c>
      <c r="V99">
        <v>97</v>
      </c>
      <c r="W99" s="2">
        <v>8080.98</v>
      </c>
    </row>
    <row r="100" spans="20:23">
      <c r="T100">
        <v>98</v>
      </c>
      <c r="U100" s="1" t="s">
        <v>718</v>
      </c>
      <c r="V100">
        <v>98</v>
      </c>
      <c r="W100" s="2">
        <v>6323.41</v>
      </c>
    </row>
    <row r="101" spans="20:23">
      <c r="T101">
        <v>99</v>
      </c>
      <c r="U101" s="1">
        <v>7</v>
      </c>
      <c r="V101">
        <v>99</v>
      </c>
      <c r="W101" s="2">
        <v>8573.11</v>
      </c>
    </row>
    <row r="102" spans="20:23">
      <c r="T102">
        <v>100</v>
      </c>
      <c r="U102" s="1" t="s">
        <v>719</v>
      </c>
      <c r="V102">
        <v>100</v>
      </c>
      <c r="W102" s="2">
        <v>8830.31</v>
      </c>
    </row>
    <row r="103" spans="20:23">
      <c r="T103">
        <v>101</v>
      </c>
      <c r="U103" s="1">
        <v>8</v>
      </c>
      <c r="V103">
        <v>101</v>
      </c>
      <c r="W103" s="2">
        <v>9095.2199999999993</v>
      </c>
    </row>
    <row r="104" spans="20:23">
      <c r="T104">
        <v>102</v>
      </c>
      <c r="U104" s="1" t="s">
        <v>333</v>
      </c>
      <c r="V104">
        <v>102</v>
      </c>
      <c r="W104" s="2">
        <v>9368.07</v>
      </c>
    </row>
    <row r="105" spans="20:23">
      <c r="T105">
        <v>103</v>
      </c>
      <c r="U105" s="1">
        <v>9</v>
      </c>
      <c r="V105">
        <v>103</v>
      </c>
      <c r="W105" s="2">
        <v>9356.73</v>
      </c>
    </row>
    <row r="106" spans="20:23">
      <c r="T106">
        <v>104</v>
      </c>
      <c r="U106" s="1" t="s">
        <v>334</v>
      </c>
      <c r="V106">
        <v>104</v>
      </c>
      <c r="W106" s="2">
        <v>9938.59</v>
      </c>
    </row>
    <row r="107" spans="20:23">
      <c r="T107">
        <v>105</v>
      </c>
      <c r="U107" s="1">
        <v>10</v>
      </c>
      <c r="V107">
        <v>105</v>
      </c>
      <c r="W107" s="2">
        <v>10435.52</v>
      </c>
    </row>
    <row r="108" spans="20:23">
      <c r="T108">
        <v>106</v>
      </c>
      <c r="U108" s="1" t="s">
        <v>335</v>
      </c>
      <c r="V108">
        <v>106</v>
      </c>
      <c r="W108" s="2">
        <v>10852.94</v>
      </c>
    </row>
    <row r="109" spans="20:23">
      <c r="T109">
        <v>107</v>
      </c>
      <c r="U109" s="1">
        <v>11</v>
      </c>
      <c r="V109">
        <v>107</v>
      </c>
      <c r="W109" s="2">
        <v>11287.06</v>
      </c>
    </row>
    <row r="110" spans="20:23">
      <c r="T110">
        <v>108</v>
      </c>
      <c r="U110" s="1" t="s">
        <v>389</v>
      </c>
      <c r="V110">
        <v>108</v>
      </c>
      <c r="W110" s="2">
        <v>11738.54</v>
      </c>
    </row>
    <row r="111" spans="20:23">
      <c r="T111">
        <v>109</v>
      </c>
      <c r="U111" s="1">
        <v>12</v>
      </c>
      <c r="V111">
        <v>109</v>
      </c>
      <c r="W111" s="2">
        <v>12208.08</v>
      </c>
    </row>
    <row r="112" spans="20:23">
      <c r="T112">
        <v>110</v>
      </c>
      <c r="U112" s="1" t="s">
        <v>141</v>
      </c>
      <c r="V112">
        <v>110</v>
      </c>
      <c r="W112" s="2">
        <v>12696.4</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גיליון34"/>
  <dimension ref="A2:E13"/>
  <sheetViews>
    <sheetView rightToLeft="1" workbookViewId="0">
      <selection activeCell="G17" sqref="G17"/>
    </sheetView>
  </sheetViews>
  <sheetFormatPr defaultRowHeight="14.4"/>
  <cols>
    <col min="4" max="5" width="9.33203125" bestFit="1" customWidth="1"/>
  </cols>
  <sheetData>
    <row r="2" spans="1:5">
      <c r="C2" s="108">
        <v>2021</v>
      </c>
      <c r="D2" s="108">
        <v>2022</v>
      </c>
      <c r="E2" s="108">
        <v>2023</v>
      </c>
    </row>
    <row r="3" spans="1:5" ht="15" thickBot="1">
      <c r="A3" t="s">
        <v>1108</v>
      </c>
      <c r="D3" s="6">
        <v>2.1000000000000001E-2</v>
      </c>
      <c r="E3" s="6">
        <v>5.1999999999999998E-2</v>
      </c>
    </row>
    <row r="4" spans="1:5" ht="15.6" thickTop="1" thickBot="1">
      <c r="A4" s="87">
        <v>1</v>
      </c>
      <c r="B4" s="151" t="s">
        <v>102</v>
      </c>
      <c r="C4" s="110"/>
      <c r="D4" s="110"/>
    </row>
    <row r="5" spans="1:5" ht="15.6" thickTop="1" thickBot="1">
      <c r="A5" s="87">
        <v>2</v>
      </c>
      <c r="B5" s="151" t="s">
        <v>103</v>
      </c>
      <c r="C5" s="110"/>
      <c r="D5" s="110"/>
    </row>
    <row r="6" spans="1:5" ht="15.6" thickTop="1" thickBot="1">
      <c r="A6" s="87">
        <v>3</v>
      </c>
      <c r="B6" s="152" t="s">
        <v>104</v>
      </c>
      <c r="C6" s="110"/>
      <c r="D6" s="110"/>
    </row>
    <row r="7" spans="1:5" ht="15.6" thickTop="1" thickBot="1">
      <c r="A7" s="87">
        <v>4</v>
      </c>
      <c r="B7" s="152" t="s">
        <v>105</v>
      </c>
      <c r="C7" s="110">
        <v>589.25</v>
      </c>
      <c r="D7" s="143">
        <v>601.55999999999995</v>
      </c>
      <c r="E7" s="2">
        <v>633.22</v>
      </c>
    </row>
    <row r="8" spans="1:5" ht="15.6" thickTop="1" thickBot="1">
      <c r="A8" s="87">
        <v>5</v>
      </c>
      <c r="B8" s="152" t="s">
        <v>106</v>
      </c>
      <c r="C8" s="110"/>
      <c r="D8" s="110"/>
    </row>
    <row r="9" spans="1:5" ht="15.6" thickTop="1" thickBot="1">
      <c r="A9" s="87">
        <v>6</v>
      </c>
      <c r="B9" s="152" t="s">
        <v>107</v>
      </c>
      <c r="C9" s="110"/>
      <c r="D9" s="110"/>
    </row>
    <row r="10" spans="1:5" ht="15.6" thickTop="1" thickBot="1">
      <c r="A10" s="87">
        <v>7</v>
      </c>
      <c r="B10" s="152" t="s">
        <v>108</v>
      </c>
      <c r="C10" s="110"/>
      <c r="D10" s="110"/>
    </row>
    <row r="11" spans="1:5" ht="15.6" thickTop="1" thickBot="1">
      <c r="A11" s="87">
        <v>8</v>
      </c>
      <c r="B11" s="152" t="s">
        <v>109</v>
      </c>
      <c r="C11" s="110"/>
      <c r="D11" s="110"/>
    </row>
    <row r="12" spans="1:5" ht="15.6" thickTop="1" thickBot="1">
      <c r="A12" s="87">
        <v>9</v>
      </c>
      <c r="B12" s="152" t="s">
        <v>110</v>
      </c>
      <c r="C12" s="110"/>
      <c r="D12" s="110"/>
    </row>
    <row r="13" spans="1:5" ht="15.6" thickTop="1" thickBot="1">
      <c r="A13" s="87">
        <v>10</v>
      </c>
      <c r="B13" s="152" t="s">
        <v>112</v>
      </c>
      <c r="C13" s="110"/>
      <c r="D13" s="110"/>
    </row>
  </sheetData>
  <pageMargins left="0.7" right="0.7" top="0.75" bottom="0.75" header="0.3" footer="0.3"/>
  <pageSetup paperSize="9" orientation="portrait"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גיליון35"/>
  <dimension ref="A1:I59"/>
  <sheetViews>
    <sheetView rightToLeft="1" topLeftCell="A52" workbookViewId="0">
      <selection activeCell="I59" sqref="I59"/>
    </sheetView>
  </sheetViews>
  <sheetFormatPr defaultColWidth="9" defaultRowHeight="14.4"/>
  <cols>
    <col min="3" max="3" width="9.6640625" bestFit="1" customWidth="1"/>
    <col min="5" max="5" width="9.33203125" bestFit="1" customWidth="1"/>
    <col min="7" max="7" width="9.33203125" bestFit="1" customWidth="1"/>
    <col min="9" max="9" width="10.88671875" bestFit="1" customWidth="1"/>
  </cols>
  <sheetData>
    <row r="1" spans="1:9" ht="34.200000000000003" thickBot="1">
      <c r="A1" s="113" t="s">
        <v>1109</v>
      </c>
      <c r="B1" s="596" t="s">
        <v>1110</v>
      </c>
      <c r="C1" s="597"/>
      <c r="D1" s="596" t="s">
        <v>1111</v>
      </c>
      <c r="E1" s="597"/>
      <c r="F1" s="596" t="s">
        <v>1112</v>
      </c>
      <c r="G1" s="597"/>
      <c r="H1" s="596" t="s">
        <v>1113</v>
      </c>
      <c r="I1" s="597"/>
    </row>
    <row r="2" spans="1:9" ht="51" thickBot="1">
      <c r="A2" s="114" t="s">
        <v>17</v>
      </c>
      <c r="B2" s="115" t="s">
        <v>64</v>
      </c>
      <c r="C2" s="115" t="s">
        <v>65</v>
      </c>
      <c r="D2" s="115" t="s">
        <v>64</v>
      </c>
      <c r="E2" s="115" t="s">
        <v>65</v>
      </c>
      <c r="F2" s="115" t="s">
        <v>64</v>
      </c>
      <c r="G2" s="115" t="s">
        <v>65</v>
      </c>
      <c r="H2" s="115" t="s">
        <v>64</v>
      </c>
      <c r="I2" s="114" t="s">
        <v>65</v>
      </c>
    </row>
    <row r="3" spans="1:9" ht="17.399999999999999" thickBot="1">
      <c r="A3" t="s">
        <v>737</v>
      </c>
      <c r="B3" s="116">
        <v>2.4299999999999999E-2</v>
      </c>
      <c r="C3" s="115">
        <v>302.70999999999998</v>
      </c>
      <c r="D3" s="116">
        <v>3.04E-2</v>
      </c>
      <c r="E3" s="150">
        <f>+E27</f>
        <v>378.38677999999999</v>
      </c>
      <c r="F3" s="116">
        <v>3.6400000000000002E-2</v>
      </c>
      <c r="G3" s="150">
        <f>+G39</f>
        <v>463.59332009999997</v>
      </c>
      <c r="H3" s="116">
        <v>4.2500000000000003E-2</v>
      </c>
      <c r="I3" s="153">
        <f>+I52</f>
        <v>568.98893755216011</v>
      </c>
    </row>
    <row r="4" spans="1:9" ht="17.399999999999999" thickBot="1">
      <c r="A4" t="s">
        <v>738</v>
      </c>
      <c r="B4" s="116">
        <v>1.8599999999999998E-2</v>
      </c>
      <c r="C4" s="115">
        <v>331.27</v>
      </c>
      <c r="D4" s="116">
        <v>2.3199999999999998E-2</v>
      </c>
      <c r="E4" s="150">
        <f t="shared" ref="E4:E10" si="0">+E28</f>
        <v>414.07965999999999</v>
      </c>
      <c r="F4" s="116">
        <v>2.7900000000000001E-2</v>
      </c>
      <c r="G4" s="150">
        <f t="shared" ref="G4:G10" si="1">+G40</f>
        <v>507.33861643999995</v>
      </c>
      <c r="H4" s="116">
        <v>3.2500000000000001E-2</v>
      </c>
      <c r="I4" s="153">
        <f t="shared" ref="I4:I10" si="2">+I53</f>
        <v>622.66999345552006</v>
      </c>
    </row>
    <row r="5" spans="1:9" ht="17.399999999999999" thickBot="1">
      <c r="A5" t="s">
        <v>740</v>
      </c>
      <c r="B5" s="116">
        <v>1.8599999999999998E-2</v>
      </c>
      <c r="C5" s="115">
        <v>429.41</v>
      </c>
      <c r="D5" s="116">
        <v>2.3199999999999998E-2</v>
      </c>
      <c r="E5" s="150">
        <f t="shared" si="0"/>
        <v>536.76135999999997</v>
      </c>
      <c r="F5" s="116">
        <v>2.7900000000000001E-2</v>
      </c>
      <c r="G5" s="150">
        <f t="shared" si="1"/>
        <v>657.63796401999991</v>
      </c>
      <c r="H5" s="116">
        <v>3.2500000000000001E-2</v>
      </c>
      <c r="I5" s="153">
        <f t="shared" si="2"/>
        <v>807.13919361296007</v>
      </c>
    </row>
    <row r="6" spans="1:9" ht="17.399999999999999" thickBot="1">
      <c r="A6" t="s">
        <v>741</v>
      </c>
      <c r="B6" s="116">
        <v>1.7100000000000001E-2</v>
      </c>
      <c r="C6" s="115">
        <v>450.92</v>
      </c>
      <c r="D6" s="116">
        <v>2.1399999999999999E-2</v>
      </c>
      <c r="E6" s="150">
        <f t="shared" si="0"/>
        <v>563.65174000000002</v>
      </c>
      <c r="F6" s="116">
        <v>2.5700000000000001E-2</v>
      </c>
      <c r="G6" s="150">
        <f t="shared" si="1"/>
        <v>690.58816609999997</v>
      </c>
      <c r="H6" s="116">
        <v>0.03</v>
      </c>
      <c r="I6" s="153">
        <f t="shared" si="2"/>
        <v>847.58367675431987</v>
      </c>
    </row>
    <row r="7" spans="1:9" ht="17.399999999999999" thickBot="1">
      <c r="A7" t="s">
        <v>742</v>
      </c>
      <c r="B7" s="116">
        <v>1.7100000000000001E-2</v>
      </c>
      <c r="C7" s="115">
        <v>544.28</v>
      </c>
      <c r="D7" s="116">
        <v>2.1399999999999999E-2</v>
      </c>
      <c r="E7" s="150">
        <f t="shared" si="0"/>
        <v>680.34773999999993</v>
      </c>
      <c r="F7" s="116">
        <v>2.5700000000000001E-2</v>
      </c>
      <c r="G7" s="150">
        <f t="shared" si="1"/>
        <v>833.55383403999986</v>
      </c>
      <c r="H7" s="116">
        <v>0.03</v>
      </c>
      <c r="I7" s="153">
        <f t="shared" si="2"/>
        <v>1023.0520074335999</v>
      </c>
    </row>
    <row r="8" spans="1:9" ht="17.399999999999999" thickBot="1">
      <c r="A8" t="s">
        <v>743</v>
      </c>
      <c r="B8" s="116">
        <v>1.14E-2</v>
      </c>
      <c r="C8" s="115">
        <v>431.91</v>
      </c>
      <c r="D8" s="116">
        <v>1.43E-2</v>
      </c>
      <c r="E8" s="150">
        <f t="shared" si="0"/>
        <v>539.87995999999998</v>
      </c>
      <c r="F8" s="116">
        <v>1.7100000000000001E-2</v>
      </c>
      <c r="G8" s="150">
        <f t="shared" si="1"/>
        <v>661.45887273999995</v>
      </c>
      <c r="H8" s="116">
        <v>0.02</v>
      </c>
      <c r="I8" s="153">
        <f t="shared" si="2"/>
        <v>811.82872224864002</v>
      </c>
    </row>
    <row r="9" spans="1:9" ht="17.399999999999999" thickBot="1">
      <c r="A9" t="s">
        <v>744</v>
      </c>
      <c r="B9" s="116">
        <v>1.14E-2</v>
      </c>
      <c r="C9" s="115">
        <v>460.77</v>
      </c>
      <c r="D9" s="116">
        <v>1.43E-2</v>
      </c>
      <c r="E9" s="150">
        <f t="shared" si="0"/>
        <v>575.96518000000003</v>
      </c>
      <c r="F9" s="116">
        <v>1.7100000000000001E-2</v>
      </c>
      <c r="G9" s="150">
        <f t="shared" si="1"/>
        <v>705.6</v>
      </c>
      <c r="H9" s="116">
        <v>0.02</v>
      </c>
      <c r="I9" s="153">
        <f t="shared" si="2"/>
        <v>866.53</v>
      </c>
    </row>
    <row r="10" spans="1:9" ht="17.399999999999999" thickBot="1">
      <c r="A10" t="s">
        <v>745</v>
      </c>
      <c r="B10" s="116">
        <v>1.14E-2</v>
      </c>
      <c r="C10" s="115">
        <v>547.79999999999995</v>
      </c>
      <c r="D10" s="116">
        <v>1.43E-2</v>
      </c>
      <c r="E10" s="150">
        <f t="shared" si="0"/>
        <v>684.74396000000002</v>
      </c>
      <c r="F10" s="116">
        <v>1.7100000000000001E-2</v>
      </c>
      <c r="G10" s="150">
        <f t="shared" si="1"/>
        <v>838.94624553999995</v>
      </c>
      <c r="H10" s="116">
        <v>0.02</v>
      </c>
      <c r="I10" s="153">
        <f t="shared" si="2"/>
        <v>1029.66489113184</v>
      </c>
    </row>
    <row r="12" spans="1:9" ht="15" thickBot="1">
      <c r="A12" t="s">
        <v>1114</v>
      </c>
      <c r="C12" s="6"/>
    </row>
    <row r="13" spans="1:9" ht="35.4" thickBot="1">
      <c r="A13" s="144" t="s">
        <v>1109</v>
      </c>
      <c r="B13" s="594" t="s">
        <v>1110</v>
      </c>
      <c r="C13" s="595"/>
      <c r="D13" s="594" t="s">
        <v>1111</v>
      </c>
      <c r="E13" s="595"/>
      <c r="F13" s="594" t="s">
        <v>1112</v>
      </c>
      <c r="G13" s="595"/>
      <c r="H13" s="594" t="s">
        <v>1113</v>
      </c>
      <c r="I13" s="595"/>
    </row>
    <row r="14" spans="1:9" ht="52.8" thickBot="1">
      <c r="A14" s="145" t="s">
        <v>17</v>
      </c>
      <c r="B14" s="146" t="s">
        <v>64</v>
      </c>
      <c r="C14" s="146" t="s">
        <v>65</v>
      </c>
      <c r="D14" s="146" t="s">
        <v>64</v>
      </c>
      <c r="E14" s="146" t="s">
        <v>65</v>
      </c>
      <c r="F14" s="146" t="s">
        <v>64</v>
      </c>
      <c r="G14" s="146" t="s">
        <v>65</v>
      </c>
      <c r="H14" s="146" t="s">
        <v>64</v>
      </c>
      <c r="I14" s="145" t="s">
        <v>65</v>
      </c>
    </row>
    <row r="15" spans="1:9" ht="18" thickBot="1">
      <c r="A15" s="145" t="s">
        <v>737</v>
      </c>
      <c r="B15" s="147">
        <v>2.4299999999999999E-2</v>
      </c>
      <c r="C15" s="148">
        <v>300.89999999999998</v>
      </c>
      <c r="D15" s="147">
        <v>3.04E-2</v>
      </c>
      <c r="E15" s="148">
        <v>376.13</v>
      </c>
      <c r="F15" s="147">
        <v>3.6400000000000002E-2</v>
      </c>
      <c r="G15" s="148">
        <v>451.35</v>
      </c>
      <c r="H15" s="147">
        <v>4.2500000000000003E-2</v>
      </c>
      <c r="I15" s="148">
        <v>526.58000000000004</v>
      </c>
    </row>
    <row r="16" spans="1:9" ht="18" thickBot="1">
      <c r="A16" s="145" t="s">
        <v>738</v>
      </c>
      <c r="B16" s="147">
        <v>1.8599999999999998E-2</v>
      </c>
      <c r="C16" s="148">
        <v>329.29</v>
      </c>
      <c r="D16" s="147">
        <v>2.3199999999999998E-2</v>
      </c>
      <c r="E16" s="148">
        <v>411.61</v>
      </c>
      <c r="F16" s="147">
        <v>2.7900000000000001E-2</v>
      </c>
      <c r="G16" s="148">
        <v>493.94</v>
      </c>
      <c r="H16" s="147">
        <v>3.2500000000000001E-2</v>
      </c>
      <c r="I16" s="148">
        <v>576.26</v>
      </c>
    </row>
    <row r="17" spans="1:9" ht="18" thickBot="1">
      <c r="A17" s="145" t="s">
        <v>740</v>
      </c>
      <c r="B17" s="147">
        <v>1.8599999999999998E-2</v>
      </c>
      <c r="C17" s="148">
        <v>426.85</v>
      </c>
      <c r="D17" s="147">
        <v>2.3199999999999998E-2</v>
      </c>
      <c r="E17" s="148">
        <v>533.55999999999995</v>
      </c>
      <c r="F17" s="147">
        <v>2.7900000000000001E-2</v>
      </c>
      <c r="G17" s="148">
        <v>640.27</v>
      </c>
      <c r="H17" s="147">
        <v>3.2500000000000001E-2</v>
      </c>
      <c r="I17" s="148">
        <v>746.98</v>
      </c>
    </row>
    <row r="18" spans="1:9" ht="18" thickBot="1">
      <c r="A18" s="145" t="s">
        <v>741</v>
      </c>
      <c r="B18" s="147">
        <v>1.7100000000000001E-2</v>
      </c>
      <c r="C18" s="149">
        <v>448.23</v>
      </c>
      <c r="D18" s="147">
        <v>2.1399999999999999E-2</v>
      </c>
      <c r="E18" s="148">
        <v>560.29</v>
      </c>
      <c r="F18" s="147">
        <v>2.5700000000000001E-2</v>
      </c>
      <c r="G18" s="148">
        <v>672.35</v>
      </c>
      <c r="H18" s="147">
        <v>0.03</v>
      </c>
      <c r="I18" s="148">
        <v>784.41</v>
      </c>
    </row>
    <row r="19" spans="1:9" ht="18" thickBot="1">
      <c r="A19" s="145" t="s">
        <v>742</v>
      </c>
      <c r="B19" s="147">
        <v>1.7100000000000001E-2</v>
      </c>
      <c r="C19" s="149">
        <v>541.03</v>
      </c>
      <c r="D19" s="147">
        <v>2.1399999999999999E-2</v>
      </c>
      <c r="E19" s="148">
        <v>676.29</v>
      </c>
      <c r="F19" s="147">
        <v>2.5700000000000001E-2</v>
      </c>
      <c r="G19" s="148">
        <v>811.54</v>
      </c>
      <c r="H19" s="147">
        <v>0.03</v>
      </c>
      <c r="I19" s="148">
        <v>946.8</v>
      </c>
    </row>
    <row r="20" spans="1:9" ht="18" thickBot="1">
      <c r="A20" s="145" t="s">
        <v>743</v>
      </c>
      <c r="B20" s="147">
        <v>1.14E-2</v>
      </c>
      <c r="C20" s="149">
        <v>429.33</v>
      </c>
      <c r="D20" s="147">
        <v>1.43E-2</v>
      </c>
      <c r="E20" s="148">
        <v>536.66</v>
      </c>
      <c r="F20" s="147">
        <v>1.7100000000000001E-2</v>
      </c>
      <c r="G20" s="148">
        <v>643.99</v>
      </c>
      <c r="H20" s="147">
        <v>0.02</v>
      </c>
      <c r="I20" s="148">
        <v>751.32</v>
      </c>
    </row>
    <row r="21" spans="1:9" ht="18" thickBot="1">
      <c r="A21" s="145" t="s">
        <v>744</v>
      </c>
      <c r="B21" s="147">
        <v>1.14E-2</v>
      </c>
      <c r="C21" s="149">
        <v>458.02</v>
      </c>
      <c r="D21" s="147">
        <v>1.43E-2</v>
      </c>
      <c r="E21" s="148">
        <v>572.53</v>
      </c>
      <c r="F21" s="147">
        <v>1.7100000000000001E-2</v>
      </c>
      <c r="G21" s="148">
        <v>687.03</v>
      </c>
      <c r="H21" s="147">
        <v>0.02</v>
      </c>
      <c r="I21" s="148">
        <v>801.54</v>
      </c>
    </row>
    <row r="22" spans="1:9" ht="18" thickBot="1">
      <c r="A22" s="145" t="s">
        <v>745</v>
      </c>
      <c r="B22" s="147">
        <v>1.14E-2</v>
      </c>
      <c r="C22" s="149">
        <v>544.53</v>
      </c>
      <c r="D22" s="147">
        <v>1.43E-2</v>
      </c>
      <c r="E22" s="148">
        <v>680.66</v>
      </c>
      <c r="F22" s="147">
        <v>1.7100000000000001E-2</v>
      </c>
      <c r="G22" s="148">
        <v>816.79</v>
      </c>
      <c r="H22" s="147">
        <v>0.02</v>
      </c>
      <c r="I22" s="148">
        <v>952.92</v>
      </c>
    </row>
    <row r="24" spans="1:9" ht="15" thickBot="1">
      <c r="A24">
        <v>2020</v>
      </c>
      <c r="B24" t="s">
        <v>1108</v>
      </c>
      <c r="C24" s="6">
        <v>6.0000000000000001E-3</v>
      </c>
    </row>
    <row r="25" spans="1:9" ht="35.4" thickBot="1">
      <c r="A25" s="144" t="s">
        <v>1109</v>
      </c>
      <c r="B25" s="594" t="s">
        <v>1110</v>
      </c>
      <c r="C25" s="595"/>
      <c r="D25" s="594" t="s">
        <v>1111</v>
      </c>
      <c r="E25" s="595"/>
      <c r="F25" s="594" t="s">
        <v>1112</v>
      </c>
      <c r="G25" s="595"/>
      <c r="H25" s="594" t="s">
        <v>1113</v>
      </c>
      <c r="I25" s="595"/>
    </row>
    <row r="26" spans="1:9" ht="52.8" thickBot="1">
      <c r="A26" s="145" t="s">
        <v>17</v>
      </c>
      <c r="B26" s="146" t="s">
        <v>64</v>
      </c>
      <c r="C26" s="146" t="s">
        <v>65</v>
      </c>
      <c r="D26" s="146" t="s">
        <v>64</v>
      </c>
      <c r="E26" s="146" t="s">
        <v>65</v>
      </c>
      <c r="F26" s="146" t="s">
        <v>64</v>
      </c>
      <c r="G26" s="146" t="s">
        <v>65</v>
      </c>
      <c r="H26" s="146" t="s">
        <v>64</v>
      </c>
      <c r="I26" s="145" t="s">
        <v>65</v>
      </c>
    </row>
    <row r="27" spans="1:9" ht="18" thickBot="1">
      <c r="A27" s="145" t="s">
        <v>737</v>
      </c>
      <c r="B27" s="147">
        <v>2.4299999999999999E-2</v>
      </c>
      <c r="C27" s="148">
        <f>+C15*(1+$C$24)</f>
        <v>302.7054</v>
      </c>
      <c r="D27" s="147">
        <v>3.04E-2</v>
      </c>
      <c r="E27" s="148">
        <f>+E15*(1+$C$24)</f>
        <v>378.38677999999999</v>
      </c>
      <c r="F27" s="147">
        <v>3.6400000000000002E-2</v>
      </c>
      <c r="G27" s="148">
        <f>+G15*(1+$C$24)</f>
        <v>454.05810000000002</v>
      </c>
      <c r="H27" s="147">
        <v>4.2500000000000003E-2</v>
      </c>
      <c r="I27" s="148">
        <f>+I15*(1+$C$24)</f>
        <v>529.73948000000007</v>
      </c>
    </row>
    <row r="28" spans="1:9" ht="18" thickBot="1">
      <c r="A28" s="145" t="s">
        <v>738</v>
      </c>
      <c r="B28" s="147">
        <v>1.8599999999999998E-2</v>
      </c>
      <c r="C28" s="148">
        <f t="shared" ref="C28:C34" si="3">+C16*(1+$C$24)</f>
        <v>331.26574000000005</v>
      </c>
      <c r="D28" s="147">
        <v>2.3199999999999998E-2</v>
      </c>
      <c r="E28" s="148">
        <f t="shared" ref="E28:E34" si="4">+E16*(1+$C$24)</f>
        <v>414.07965999999999</v>
      </c>
      <c r="F28" s="147">
        <v>2.7900000000000001E-2</v>
      </c>
      <c r="G28" s="148">
        <f t="shared" ref="G28:G34" si="5">+G16*(1+$C$24)</f>
        <v>496.90364</v>
      </c>
      <c r="H28" s="147">
        <v>3.2500000000000001E-2</v>
      </c>
      <c r="I28" s="148">
        <f t="shared" ref="I28:I34" si="6">+I16*(1+$C$24)</f>
        <v>579.71756000000005</v>
      </c>
    </row>
    <row r="29" spans="1:9" ht="18" thickBot="1">
      <c r="A29" s="145" t="s">
        <v>740</v>
      </c>
      <c r="B29" s="147">
        <v>1.8599999999999998E-2</v>
      </c>
      <c r="C29" s="148">
        <f t="shared" si="3"/>
        <v>429.41110000000003</v>
      </c>
      <c r="D29" s="147">
        <v>2.3199999999999998E-2</v>
      </c>
      <c r="E29" s="148">
        <f t="shared" si="4"/>
        <v>536.76135999999997</v>
      </c>
      <c r="F29" s="147">
        <v>2.7900000000000001E-2</v>
      </c>
      <c r="G29" s="148">
        <f t="shared" si="5"/>
        <v>644.11162000000002</v>
      </c>
      <c r="H29" s="147">
        <v>3.2500000000000001E-2</v>
      </c>
      <c r="I29" s="148">
        <f t="shared" si="6"/>
        <v>751.46188000000006</v>
      </c>
    </row>
    <row r="30" spans="1:9" ht="18" thickBot="1">
      <c r="A30" s="145" t="s">
        <v>741</v>
      </c>
      <c r="B30" s="147">
        <v>1.7100000000000001E-2</v>
      </c>
      <c r="C30" s="148">
        <f t="shared" si="3"/>
        <v>450.91938000000005</v>
      </c>
      <c r="D30" s="147">
        <v>2.1399999999999999E-2</v>
      </c>
      <c r="E30" s="148">
        <f t="shared" si="4"/>
        <v>563.65174000000002</v>
      </c>
      <c r="F30" s="147">
        <v>2.5700000000000001E-2</v>
      </c>
      <c r="G30" s="148">
        <f t="shared" si="5"/>
        <v>676.38409999999999</v>
      </c>
      <c r="H30" s="147">
        <v>0.03</v>
      </c>
      <c r="I30" s="148">
        <f t="shared" si="6"/>
        <v>789.11645999999996</v>
      </c>
    </row>
    <row r="31" spans="1:9" ht="18" thickBot="1">
      <c r="A31" s="145" t="s">
        <v>742</v>
      </c>
      <c r="B31" s="147">
        <v>1.7100000000000001E-2</v>
      </c>
      <c r="C31" s="148">
        <f t="shared" si="3"/>
        <v>544.27617999999995</v>
      </c>
      <c r="D31" s="147">
        <v>2.1399999999999999E-2</v>
      </c>
      <c r="E31" s="148">
        <f t="shared" si="4"/>
        <v>680.34773999999993</v>
      </c>
      <c r="F31" s="147">
        <v>2.5700000000000001E-2</v>
      </c>
      <c r="G31" s="148">
        <f t="shared" si="5"/>
        <v>816.40923999999995</v>
      </c>
      <c r="H31" s="147">
        <v>0.03</v>
      </c>
      <c r="I31" s="148">
        <f t="shared" si="6"/>
        <v>952.48079999999993</v>
      </c>
    </row>
    <row r="32" spans="1:9" ht="18" thickBot="1">
      <c r="A32" s="145" t="s">
        <v>743</v>
      </c>
      <c r="B32" s="147">
        <v>1.14E-2</v>
      </c>
      <c r="C32" s="148">
        <f t="shared" si="3"/>
        <v>431.90598</v>
      </c>
      <c r="D32" s="147">
        <v>1.43E-2</v>
      </c>
      <c r="E32" s="148">
        <f t="shared" si="4"/>
        <v>539.87995999999998</v>
      </c>
      <c r="F32" s="147">
        <v>1.7100000000000001E-2</v>
      </c>
      <c r="G32" s="148">
        <f t="shared" si="5"/>
        <v>647.85393999999997</v>
      </c>
      <c r="H32" s="147">
        <v>0.02</v>
      </c>
      <c r="I32" s="148">
        <f t="shared" si="6"/>
        <v>755.82792000000006</v>
      </c>
    </row>
    <row r="33" spans="1:9" ht="18" thickBot="1">
      <c r="A33" s="145" t="s">
        <v>744</v>
      </c>
      <c r="B33" s="147">
        <v>1.14E-2</v>
      </c>
      <c r="C33" s="148">
        <f t="shared" si="3"/>
        <v>460.76812000000001</v>
      </c>
      <c r="D33" s="147">
        <v>1.43E-2</v>
      </c>
      <c r="E33" s="148">
        <f t="shared" si="4"/>
        <v>575.96518000000003</v>
      </c>
      <c r="F33" s="147">
        <v>1.7100000000000001E-2</v>
      </c>
      <c r="G33" s="148">
        <f t="shared" si="5"/>
        <v>691.15217999999993</v>
      </c>
      <c r="H33" s="147">
        <v>0.02</v>
      </c>
      <c r="I33" s="148">
        <f t="shared" si="6"/>
        <v>806.34924000000001</v>
      </c>
    </row>
    <row r="34" spans="1:9" ht="18" thickBot="1">
      <c r="A34" s="145" t="s">
        <v>745</v>
      </c>
      <c r="B34" s="147">
        <v>1.14E-2</v>
      </c>
      <c r="C34" s="148">
        <f t="shared" si="3"/>
        <v>547.79718000000003</v>
      </c>
      <c r="D34" s="147">
        <v>1.43E-2</v>
      </c>
      <c r="E34" s="148">
        <f t="shared" si="4"/>
        <v>684.74396000000002</v>
      </c>
      <c r="F34" s="147">
        <v>1.7100000000000001E-2</v>
      </c>
      <c r="G34" s="148">
        <f t="shared" si="5"/>
        <v>821.69074000000001</v>
      </c>
      <c r="H34" s="147">
        <v>0.02</v>
      </c>
      <c r="I34" s="148">
        <f t="shared" si="6"/>
        <v>958.63751999999999</v>
      </c>
    </row>
    <row r="36" spans="1:9" ht="15" thickBot="1">
      <c r="A36">
        <v>2022</v>
      </c>
      <c r="B36" t="s">
        <v>1108</v>
      </c>
      <c r="C36" s="6">
        <v>2.1000000000000001E-2</v>
      </c>
      <c r="D36" s="1" t="s">
        <v>1115</v>
      </c>
    </row>
    <row r="37" spans="1:9" ht="35.4" thickBot="1">
      <c r="A37" s="144" t="s">
        <v>1109</v>
      </c>
      <c r="B37" s="594" t="s">
        <v>1110</v>
      </c>
      <c r="C37" s="595"/>
      <c r="D37" s="594" t="s">
        <v>1111</v>
      </c>
      <c r="E37" s="595"/>
      <c r="F37" s="594" t="s">
        <v>1112</v>
      </c>
      <c r="G37" s="595"/>
      <c r="H37" s="594" t="s">
        <v>1113</v>
      </c>
      <c r="I37" s="595"/>
    </row>
    <row r="38" spans="1:9" ht="52.8" thickBot="1">
      <c r="A38" s="145" t="s">
        <v>17</v>
      </c>
      <c r="B38" s="146" t="s">
        <v>64</v>
      </c>
      <c r="C38" s="146" t="s">
        <v>65</v>
      </c>
      <c r="D38" s="146" t="s">
        <v>64</v>
      </c>
      <c r="E38" s="146" t="s">
        <v>65</v>
      </c>
      <c r="F38" s="146" t="s">
        <v>64</v>
      </c>
      <c r="G38" s="146" t="s">
        <v>65</v>
      </c>
      <c r="H38" s="146" t="s">
        <v>64</v>
      </c>
      <c r="I38" s="145" t="s">
        <v>65</v>
      </c>
    </row>
    <row r="39" spans="1:9" ht="18" thickBot="1">
      <c r="A39" s="145" t="s">
        <v>737</v>
      </c>
      <c r="B39" s="147"/>
      <c r="C39" s="148"/>
      <c r="D39" s="147"/>
      <c r="E39" s="148"/>
      <c r="F39" s="147">
        <v>3.6400000000000002E-2</v>
      </c>
      <c r="G39" s="148">
        <f>+G27*(1+$C$36)</f>
        <v>463.59332009999997</v>
      </c>
      <c r="H39" s="147">
        <v>4.2500000000000003E-2</v>
      </c>
      <c r="I39" s="148">
        <f>+I27*(1+$C$36)</f>
        <v>540.86400908000007</v>
      </c>
    </row>
    <row r="40" spans="1:9" ht="18" thickBot="1">
      <c r="A40" s="145" t="s">
        <v>738</v>
      </c>
      <c r="B40" s="147"/>
      <c r="C40" s="148"/>
      <c r="D40" s="147"/>
      <c r="E40" s="148"/>
      <c r="F40" s="147">
        <v>2.7900000000000001E-2</v>
      </c>
      <c r="G40" s="148">
        <f t="shared" ref="G40:G46" si="7">+G28*(1+$C$36)</f>
        <v>507.33861643999995</v>
      </c>
      <c r="H40" s="147">
        <v>3.2500000000000001E-2</v>
      </c>
      <c r="I40" s="148">
        <f t="shared" ref="I40:I46" si="8">+I28*(1+$C$36)</f>
        <v>591.89162876</v>
      </c>
    </row>
    <row r="41" spans="1:9" ht="18" thickBot="1">
      <c r="A41" s="145" t="s">
        <v>740</v>
      </c>
      <c r="B41" s="147"/>
      <c r="C41" s="148"/>
      <c r="D41" s="147"/>
      <c r="E41" s="148"/>
      <c r="F41" s="147">
        <v>2.7900000000000001E-2</v>
      </c>
      <c r="G41" s="148">
        <f t="shared" si="7"/>
        <v>657.63796401999991</v>
      </c>
      <c r="H41" s="147">
        <v>3.2500000000000001E-2</v>
      </c>
      <c r="I41" s="148">
        <f t="shared" si="8"/>
        <v>767.24257948000002</v>
      </c>
    </row>
    <row r="42" spans="1:9" ht="18" thickBot="1">
      <c r="A42" s="145" t="s">
        <v>741</v>
      </c>
      <c r="B42" s="147"/>
      <c r="C42" s="148"/>
      <c r="D42" s="147"/>
      <c r="E42" s="148"/>
      <c r="F42" s="147">
        <v>2.5700000000000001E-2</v>
      </c>
      <c r="G42" s="148">
        <f t="shared" si="7"/>
        <v>690.58816609999997</v>
      </c>
      <c r="H42" s="147">
        <v>0.03</v>
      </c>
      <c r="I42" s="148">
        <f t="shared" si="8"/>
        <v>805.68790565999984</v>
      </c>
    </row>
    <row r="43" spans="1:9" ht="18" thickBot="1">
      <c r="A43" s="145" t="s">
        <v>742</v>
      </c>
      <c r="B43" s="147"/>
      <c r="C43" s="148"/>
      <c r="D43" s="147"/>
      <c r="E43" s="148"/>
      <c r="F43" s="147">
        <v>2.5700000000000001E-2</v>
      </c>
      <c r="G43" s="148">
        <f t="shared" si="7"/>
        <v>833.55383403999986</v>
      </c>
      <c r="H43" s="147">
        <v>0.03</v>
      </c>
      <c r="I43" s="148">
        <f t="shared" si="8"/>
        <v>972.48289679999982</v>
      </c>
    </row>
    <row r="44" spans="1:9" ht="18" thickBot="1">
      <c r="A44" s="145" t="s">
        <v>743</v>
      </c>
      <c r="B44" s="147"/>
      <c r="C44" s="148"/>
      <c r="D44" s="147"/>
      <c r="E44" s="148"/>
      <c r="F44" s="147">
        <v>1.7100000000000001E-2</v>
      </c>
      <c r="G44" s="148">
        <f t="shared" si="7"/>
        <v>661.45887273999995</v>
      </c>
      <c r="H44" s="147">
        <v>0.02</v>
      </c>
      <c r="I44" s="148">
        <f t="shared" si="8"/>
        <v>771.70030631999998</v>
      </c>
    </row>
    <row r="45" spans="1:9" ht="18" thickBot="1">
      <c r="A45" s="145" t="s">
        <v>744</v>
      </c>
      <c r="B45" s="147"/>
      <c r="C45" s="148"/>
      <c r="D45" s="147"/>
      <c r="E45" s="148"/>
      <c r="F45" s="147">
        <v>1.7100000000000001E-2</v>
      </c>
      <c r="G45" s="148">
        <v>705.6</v>
      </c>
      <c r="H45" s="147">
        <v>0.02</v>
      </c>
      <c r="I45" s="148">
        <f t="shared" si="8"/>
        <v>823.28257403999999</v>
      </c>
    </row>
    <row r="46" spans="1:9" ht="18" thickBot="1">
      <c r="A46" s="145" t="s">
        <v>745</v>
      </c>
      <c r="B46" s="147"/>
      <c r="C46" s="148"/>
      <c r="D46" s="147"/>
      <c r="E46" s="148"/>
      <c r="F46" s="147">
        <v>1.7100000000000001E-2</v>
      </c>
      <c r="G46" s="148">
        <f t="shared" si="7"/>
        <v>838.94624553999995</v>
      </c>
      <c r="H46" s="147">
        <v>0.02</v>
      </c>
      <c r="I46" s="148">
        <f t="shared" si="8"/>
        <v>978.76890791999995</v>
      </c>
    </row>
    <row r="49" spans="1:9" ht="15" thickBot="1">
      <c r="A49">
        <v>2023</v>
      </c>
      <c r="B49" t="s">
        <v>1108</v>
      </c>
      <c r="C49" s="6">
        <v>5.1999999999999998E-2</v>
      </c>
      <c r="D49" s="1" t="s">
        <v>1115</v>
      </c>
    </row>
    <row r="50" spans="1:9" ht="35.4" thickBot="1">
      <c r="A50" s="144" t="s">
        <v>1109</v>
      </c>
      <c r="B50" s="594" t="s">
        <v>1110</v>
      </c>
      <c r="C50" s="595"/>
      <c r="D50" s="594" t="s">
        <v>1111</v>
      </c>
      <c r="E50" s="595"/>
      <c r="F50" s="594" t="s">
        <v>1112</v>
      </c>
      <c r="G50" s="595"/>
      <c r="H50" s="594" t="s">
        <v>1113</v>
      </c>
      <c r="I50" s="595"/>
    </row>
    <row r="51" spans="1:9" ht="52.8" thickBot="1">
      <c r="A51" s="145" t="s">
        <v>17</v>
      </c>
      <c r="B51" s="146" t="s">
        <v>64</v>
      </c>
      <c r="C51" s="146" t="s">
        <v>65</v>
      </c>
      <c r="D51" s="146" t="s">
        <v>64</v>
      </c>
      <c r="E51" s="146" t="s">
        <v>65</v>
      </c>
      <c r="F51" s="146" t="s">
        <v>64</v>
      </c>
      <c r="G51" s="146" t="s">
        <v>65</v>
      </c>
      <c r="H51" s="146" t="s">
        <v>64</v>
      </c>
      <c r="I51" s="145" t="s">
        <v>65</v>
      </c>
    </row>
    <row r="52" spans="1:9" ht="18" thickBot="1">
      <c r="A52" s="145" t="s">
        <v>737</v>
      </c>
      <c r="B52" s="147"/>
      <c r="C52" s="148"/>
      <c r="D52" s="147"/>
      <c r="E52" s="148"/>
      <c r="F52" s="147">
        <v>3.6400000000000002E-2</v>
      </c>
      <c r="G52" s="148">
        <f>+G40*(1+$C$36)</f>
        <v>517.99272738523996</v>
      </c>
      <c r="H52" s="147">
        <v>4.2500000000000003E-2</v>
      </c>
      <c r="I52" s="148">
        <f>+I39*(1+$C$49)</f>
        <v>568.98893755216011</v>
      </c>
    </row>
    <row r="53" spans="1:9" ht="18" thickBot="1">
      <c r="A53" s="145" t="s">
        <v>738</v>
      </c>
      <c r="B53" s="147"/>
      <c r="C53" s="148"/>
      <c r="D53" s="147"/>
      <c r="E53" s="148"/>
      <c r="F53" s="147">
        <v>2.7900000000000001E-2</v>
      </c>
      <c r="G53" s="148">
        <f t="shared" ref="G53:G59" si="9">+G41*(1+$C$36)</f>
        <v>671.44836126441987</v>
      </c>
      <c r="H53" s="147">
        <v>3.2500000000000001E-2</v>
      </c>
      <c r="I53" s="148">
        <f t="shared" ref="I53:I59" si="10">+I40*(1+$C$49)</f>
        <v>622.66999345552006</v>
      </c>
    </row>
    <row r="54" spans="1:9" ht="18" thickBot="1">
      <c r="A54" s="145" t="s">
        <v>740</v>
      </c>
      <c r="B54" s="147"/>
      <c r="C54" s="148"/>
      <c r="D54" s="147"/>
      <c r="E54" s="148"/>
      <c r="F54" s="147">
        <v>2.7900000000000001E-2</v>
      </c>
      <c r="G54" s="148">
        <f t="shared" si="9"/>
        <v>705.09051758809994</v>
      </c>
      <c r="H54" s="147">
        <v>3.2500000000000001E-2</v>
      </c>
      <c r="I54" s="148">
        <f t="shared" si="10"/>
        <v>807.13919361296007</v>
      </c>
    </row>
    <row r="55" spans="1:9" ht="18" thickBot="1">
      <c r="A55" s="145" t="s">
        <v>741</v>
      </c>
      <c r="B55" s="147"/>
      <c r="C55" s="148"/>
      <c r="D55" s="147"/>
      <c r="E55" s="148"/>
      <c r="F55" s="147">
        <v>2.5700000000000001E-2</v>
      </c>
      <c r="G55" s="148">
        <f t="shared" si="9"/>
        <v>851.05846455483982</v>
      </c>
      <c r="H55" s="147">
        <v>0.03</v>
      </c>
      <c r="I55" s="148">
        <f t="shared" si="10"/>
        <v>847.58367675431987</v>
      </c>
    </row>
    <row r="56" spans="1:9" ht="18" thickBot="1">
      <c r="A56" s="145" t="s">
        <v>742</v>
      </c>
      <c r="B56" s="147"/>
      <c r="C56" s="148"/>
      <c r="D56" s="147"/>
      <c r="E56" s="148"/>
      <c r="F56" s="147">
        <v>2.5700000000000001E-2</v>
      </c>
      <c r="G56" s="148">
        <f t="shared" si="9"/>
        <v>675.34950906753988</v>
      </c>
      <c r="H56" s="147">
        <v>0.03</v>
      </c>
      <c r="I56" s="148">
        <f t="shared" si="10"/>
        <v>1023.0520074335999</v>
      </c>
    </row>
    <row r="57" spans="1:9" ht="18" thickBot="1">
      <c r="A57" s="145" t="s">
        <v>743</v>
      </c>
      <c r="B57" s="147"/>
      <c r="C57" s="148"/>
      <c r="D57" s="147"/>
      <c r="E57" s="148"/>
      <c r="F57" s="147">
        <v>1.7100000000000001E-2</v>
      </c>
      <c r="G57" s="148">
        <f t="shared" si="9"/>
        <v>720.41759999999999</v>
      </c>
      <c r="H57" s="147">
        <v>0.02</v>
      </c>
      <c r="I57" s="148">
        <f t="shared" si="10"/>
        <v>811.82872224864002</v>
      </c>
    </row>
    <row r="58" spans="1:9" ht="18" thickBot="1">
      <c r="A58" s="145" t="s">
        <v>744</v>
      </c>
      <c r="B58" s="147"/>
      <c r="C58" s="148"/>
      <c r="D58" s="147"/>
      <c r="E58" s="148"/>
      <c r="F58" s="147">
        <v>1.7100000000000001E-2</v>
      </c>
      <c r="G58" s="148">
        <v>705.6</v>
      </c>
      <c r="H58" s="147">
        <v>0.02</v>
      </c>
      <c r="I58" s="148">
        <v>866.53</v>
      </c>
    </row>
    <row r="59" spans="1:9" ht="18" thickBot="1">
      <c r="A59" s="145" t="s">
        <v>745</v>
      </c>
      <c r="B59" s="147"/>
      <c r="C59" s="148"/>
      <c r="D59" s="147"/>
      <c r="E59" s="148"/>
      <c r="F59" s="147">
        <v>1.7100000000000001E-2</v>
      </c>
      <c r="G59" s="148">
        <f t="shared" si="9"/>
        <v>0</v>
      </c>
      <c r="H59" s="147">
        <v>0.02</v>
      </c>
      <c r="I59" s="148">
        <f t="shared" si="10"/>
        <v>1029.66489113184</v>
      </c>
    </row>
  </sheetData>
  <mergeCells count="20">
    <mergeCell ref="B1:C1"/>
    <mergeCell ref="D1:E1"/>
    <mergeCell ref="F1:G1"/>
    <mergeCell ref="H1:I1"/>
    <mergeCell ref="B25:C25"/>
    <mergeCell ref="D25:E25"/>
    <mergeCell ref="F25:G25"/>
    <mergeCell ref="H25:I25"/>
    <mergeCell ref="B50:C50"/>
    <mergeCell ref="D50:E50"/>
    <mergeCell ref="F50:G50"/>
    <mergeCell ref="H50:I50"/>
    <mergeCell ref="B13:C13"/>
    <mergeCell ref="D13:E13"/>
    <mergeCell ref="F13:G13"/>
    <mergeCell ref="H13:I13"/>
    <mergeCell ref="B37:C37"/>
    <mergeCell ref="D37:E37"/>
    <mergeCell ref="F37:G37"/>
    <mergeCell ref="H37:I37"/>
  </mergeCells>
  <pageMargins left="0.7" right="0.7" top="0.75" bottom="0.75" header="0.3" footer="0.3"/>
  <pageSetup paperSize="9" orientation="portrait" verticalDpi="0"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גיליון36"/>
  <dimension ref="A1:AA55"/>
  <sheetViews>
    <sheetView rightToLeft="1" workbookViewId="0">
      <selection activeCell="A5" sqref="A5:C12"/>
    </sheetView>
  </sheetViews>
  <sheetFormatPr defaultRowHeight="14.4"/>
  <cols>
    <col min="1" max="1" width="21.33203125" bestFit="1" customWidth="1"/>
  </cols>
  <sheetData>
    <row r="1" spans="1:18">
      <c r="D1" s="18" t="s">
        <v>54</v>
      </c>
      <c r="E1" s="18" t="s">
        <v>17</v>
      </c>
      <c r="F1" s="18" t="s">
        <v>1095</v>
      </c>
      <c r="G1" s="18" t="s">
        <v>1116</v>
      </c>
      <c r="N1" s="19" t="s">
        <v>1117</v>
      </c>
    </row>
    <row r="2" spans="1:18" ht="15" thickBot="1">
      <c r="A2" s="1" t="s">
        <v>1118</v>
      </c>
      <c r="B2" s="1"/>
      <c r="D2" s="18"/>
      <c r="E2" s="18"/>
      <c r="F2" s="18"/>
    </row>
    <row r="3" spans="1:18" ht="16.2" thickBot="1">
      <c r="A3" s="20"/>
      <c r="B3" s="20"/>
      <c r="C3" s="20" t="s">
        <v>102</v>
      </c>
      <c r="D3" s="20" t="s">
        <v>103</v>
      </c>
      <c r="E3" s="20" t="s">
        <v>104</v>
      </c>
      <c r="F3" s="20" t="s">
        <v>105</v>
      </c>
      <c r="G3" s="20" t="s">
        <v>1119</v>
      </c>
      <c r="H3" s="20" t="s">
        <v>107</v>
      </c>
      <c r="I3" s="20" t="s">
        <v>200</v>
      </c>
      <c r="J3" s="20" t="s">
        <v>109</v>
      </c>
      <c r="K3" s="20" t="s">
        <v>110</v>
      </c>
      <c r="L3" s="20" t="s">
        <v>112</v>
      </c>
      <c r="M3" s="20" t="s">
        <v>221</v>
      </c>
      <c r="N3" s="20" t="s">
        <v>1120</v>
      </c>
      <c r="O3" s="20" t="s">
        <v>1121</v>
      </c>
      <c r="P3" s="20" t="s">
        <v>1122</v>
      </c>
      <c r="Q3" s="20" t="s">
        <v>393</v>
      </c>
    </row>
    <row r="4" spans="1:18" ht="16.2" thickBot="1">
      <c r="A4" s="20"/>
      <c r="B4" s="68"/>
      <c r="C4" s="68">
        <v>1</v>
      </c>
      <c r="D4" s="76">
        <v>2</v>
      </c>
      <c r="E4" s="68">
        <v>3</v>
      </c>
      <c r="F4" s="76">
        <v>4</v>
      </c>
      <c r="G4" s="68">
        <v>5</v>
      </c>
      <c r="H4" s="76">
        <v>6</v>
      </c>
      <c r="I4" s="68">
        <v>7</v>
      </c>
      <c r="J4" s="76">
        <v>8</v>
      </c>
      <c r="K4" s="68">
        <v>9</v>
      </c>
      <c r="L4" s="75">
        <v>10</v>
      </c>
      <c r="M4" s="75"/>
      <c r="N4" s="75"/>
      <c r="O4" s="75"/>
      <c r="P4" s="75"/>
      <c r="Q4" s="75"/>
    </row>
    <row r="5" spans="1:18" ht="16.2" thickBot="1">
      <c r="A5" s="20" t="s">
        <v>1123</v>
      </c>
      <c r="B5" s="68">
        <v>1</v>
      </c>
      <c r="C5" s="21">
        <v>0.17300000000000001</v>
      </c>
      <c r="D5" s="23">
        <v>0.17300000000000001</v>
      </c>
      <c r="E5" s="22">
        <v>0.30099999999999999</v>
      </c>
      <c r="F5" s="22">
        <v>0.30099999999999999</v>
      </c>
      <c r="G5" s="22">
        <v>0.30099999999999999</v>
      </c>
      <c r="H5" s="22">
        <v>0.30099999999999999</v>
      </c>
      <c r="I5" s="22">
        <v>0.29699999999999999</v>
      </c>
      <c r="J5" s="22"/>
      <c r="K5" s="22"/>
      <c r="L5" s="22">
        <v>0.30099999999999999</v>
      </c>
      <c r="M5" s="22"/>
      <c r="N5" s="22">
        <v>0.08</v>
      </c>
      <c r="O5" s="22">
        <v>0.06</v>
      </c>
      <c r="P5" s="22">
        <v>0.06</v>
      </c>
      <c r="Q5" s="22"/>
      <c r="R5" t="s">
        <v>1124</v>
      </c>
    </row>
    <row r="6" spans="1:18" ht="16.2" thickBot="1">
      <c r="A6" s="20" t="s">
        <v>139</v>
      </c>
      <c r="B6" s="69">
        <v>2</v>
      </c>
      <c r="C6" s="24">
        <v>0.2</v>
      </c>
      <c r="D6" s="26">
        <v>0.2</v>
      </c>
      <c r="E6" s="25">
        <v>0.318</v>
      </c>
      <c r="F6" s="25">
        <v>0.318</v>
      </c>
      <c r="G6" s="25">
        <v>0.318</v>
      </c>
      <c r="H6" s="25">
        <v>0.318</v>
      </c>
      <c r="I6" s="25">
        <v>0.315</v>
      </c>
      <c r="J6" s="25">
        <v>0.27</v>
      </c>
      <c r="K6" s="25">
        <v>7.8E-2</v>
      </c>
      <c r="L6" s="25">
        <v>0.318</v>
      </c>
      <c r="M6" s="25"/>
      <c r="N6" s="25">
        <v>0.11</v>
      </c>
      <c r="O6" s="25">
        <v>0.08</v>
      </c>
      <c r="P6" s="25">
        <v>0.08</v>
      </c>
      <c r="Q6" s="25">
        <v>7.8E-2</v>
      </c>
      <c r="R6" t="s">
        <v>1125</v>
      </c>
    </row>
    <row r="7" spans="1:18" ht="16.2" thickBot="1">
      <c r="A7" s="20" t="s">
        <v>142</v>
      </c>
      <c r="B7" s="68">
        <v>3</v>
      </c>
      <c r="C7" s="24">
        <v>0.24199999999999999</v>
      </c>
      <c r="D7" s="26">
        <v>0.27900000000000003</v>
      </c>
      <c r="E7" s="25">
        <v>0.377</v>
      </c>
      <c r="F7" s="25">
        <v>0.377</v>
      </c>
      <c r="G7" s="25">
        <v>0.377</v>
      </c>
      <c r="H7" s="25">
        <v>0.377</v>
      </c>
      <c r="I7" s="25">
        <v>0.376</v>
      </c>
      <c r="J7" s="25">
        <v>0.32</v>
      </c>
      <c r="K7" s="25">
        <v>0.114</v>
      </c>
      <c r="L7" s="25">
        <v>0.377</v>
      </c>
      <c r="M7" s="25">
        <v>0.113</v>
      </c>
      <c r="N7" s="25">
        <v>0.13</v>
      </c>
      <c r="O7" s="25">
        <v>0.1</v>
      </c>
      <c r="P7" s="25">
        <v>0.13</v>
      </c>
      <c r="Q7" s="25">
        <v>0.114</v>
      </c>
    </row>
    <row r="8" spans="1:18" ht="16.2" thickBot="1">
      <c r="A8" s="20" t="s">
        <v>1126</v>
      </c>
      <c r="B8" s="69">
        <v>4</v>
      </c>
      <c r="C8" s="24">
        <v>0.185</v>
      </c>
      <c r="D8" s="26">
        <v>0.28899999999999998</v>
      </c>
      <c r="E8" s="25">
        <v>0.32799999999999996</v>
      </c>
      <c r="F8" s="25">
        <v>0.32799999999999996</v>
      </c>
      <c r="G8" s="25">
        <v>0.32799999999999996</v>
      </c>
      <c r="H8" s="25">
        <v>0.32799999999999996</v>
      </c>
      <c r="I8" s="25">
        <v>0.32400000000000001</v>
      </c>
      <c r="J8" s="25">
        <v>0.32</v>
      </c>
      <c r="K8" s="25">
        <v>9.6999999999999989E-2</v>
      </c>
      <c r="L8" s="25">
        <v>0.32799999999999996</v>
      </c>
      <c r="M8" s="25">
        <v>0.113</v>
      </c>
      <c r="N8" s="25">
        <v>0.13</v>
      </c>
      <c r="O8" s="25">
        <v>0.09</v>
      </c>
      <c r="P8" s="25">
        <v>0.11</v>
      </c>
      <c r="Q8" s="25">
        <v>9.6999999999999989E-2</v>
      </c>
    </row>
    <row r="9" spans="1:18" ht="16.2" thickBot="1">
      <c r="A9" s="20" t="s">
        <v>733</v>
      </c>
      <c r="B9" s="68">
        <v>5</v>
      </c>
      <c r="C9" s="24">
        <v>0.215</v>
      </c>
      <c r="D9" s="26">
        <v>0.30599999999999999</v>
      </c>
      <c r="E9" s="25">
        <v>0.36</v>
      </c>
      <c r="F9" s="25">
        <v>0.36</v>
      </c>
      <c r="G9" s="25">
        <v>0.36</v>
      </c>
      <c r="H9" s="25">
        <v>0.36</v>
      </c>
      <c r="I9" s="25">
        <v>0.33</v>
      </c>
      <c r="J9" s="25">
        <v>0.32</v>
      </c>
      <c r="K9" s="25">
        <v>0.125</v>
      </c>
      <c r="L9" s="25">
        <v>0.36</v>
      </c>
      <c r="M9" s="25">
        <v>0.153</v>
      </c>
      <c r="N9" s="25">
        <v>0.5</v>
      </c>
      <c r="O9" s="25">
        <v>0.09</v>
      </c>
      <c r="P9" s="25">
        <v>0.11</v>
      </c>
      <c r="Q9" s="25">
        <v>0.125</v>
      </c>
    </row>
    <row r="10" spans="1:18" ht="16.2" thickBot="1">
      <c r="A10" s="20" t="s">
        <v>1127</v>
      </c>
      <c r="B10" s="69">
        <v>6</v>
      </c>
      <c r="C10" s="24">
        <v>0.35700000000000004</v>
      </c>
      <c r="D10" s="26">
        <v>0.35700000000000004</v>
      </c>
      <c r="E10" s="25">
        <v>0.39100000000000001</v>
      </c>
      <c r="F10" s="25">
        <v>0.39100000000000001</v>
      </c>
      <c r="G10" s="25">
        <v>0.39100000000000001</v>
      </c>
      <c r="H10" s="25">
        <v>0.39100000000000001</v>
      </c>
      <c r="I10" s="25">
        <v>0.35100000000000003</v>
      </c>
      <c r="J10" s="25">
        <v>0.38</v>
      </c>
      <c r="K10" s="25">
        <v>0.158</v>
      </c>
      <c r="L10" s="25">
        <v>0.39100000000000001</v>
      </c>
      <c r="M10" s="25">
        <v>0.25700000000000001</v>
      </c>
      <c r="N10" s="25">
        <v>0.5</v>
      </c>
      <c r="O10" s="25">
        <v>0</v>
      </c>
      <c r="P10" s="25">
        <v>0</v>
      </c>
      <c r="Q10" s="25">
        <v>0.158</v>
      </c>
    </row>
    <row r="11" spans="1:18" ht="16.2" thickBot="1">
      <c r="A11" s="20" t="s">
        <v>735</v>
      </c>
      <c r="B11" s="68">
        <v>7</v>
      </c>
      <c r="C11" s="24">
        <v>0.35200000000000004</v>
      </c>
      <c r="D11" s="26">
        <v>0.35200000000000004</v>
      </c>
      <c r="E11" s="25">
        <v>0.39</v>
      </c>
      <c r="F11" s="25">
        <v>0.39</v>
      </c>
      <c r="G11" s="25">
        <v>0.39</v>
      </c>
      <c r="H11" s="25">
        <v>0.39</v>
      </c>
      <c r="I11" s="25">
        <v>0.34299999999999997</v>
      </c>
      <c r="J11" s="25">
        <v>0.3</v>
      </c>
      <c r="K11" s="25">
        <v>0.16500000000000001</v>
      </c>
      <c r="L11" s="25">
        <v>0.39</v>
      </c>
      <c r="M11" s="25">
        <v>0.32100000000000001</v>
      </c>
      <c r="N11" s="25">
        <v>0</v>
      </c>
      <c r="O11" s="25">
        <v>0</v>
      </c>
      <c r="P11" s="25">
        <v>0</v>
      </c>
      <c r="Q11" s="25">
        <v>0.16500000000000001</v>
      </c>
    </row>
    <row r="12" spans="1:18" ht="16.2" thickBot="1">
      <c r="A12" s="20" t="s">
        <v>1128</v>
      </c>
      <c r="B12" s="69">
        <v>8</v>
      </c>
      <c r="C12" s="27">
        <v>0.42</v>
      </c>
      <c r="D12" s="29">
        <v>0.42</v>
      </c>
      <c r="E12" s="28">
        <v>0.42</v>
      </c>
      <c r="F12" s="28">
        <v>0.42</v>
      </c>
      <c r="G12" s="28">
        <v>0.42</v>
      </c>
      <c r="H12" s="28">
        <v>0.42</v>
      </c>
      <c r="I12" s="28">
        <v>0.42</v>
      </c>
      <c r="J12" s="28">
        <v>0.42</v>
      </c>
      <c r="K12" s="28">
        <v>0</v>
      </c>
      <c r="L12" s="28">
        <v>0.42</v>
      </c>
      <c r="M12" s="28">
        <v>0.42</v>
      </c>
      <c r="N12" s="28">
        <v>0</v>
      </c>
      <c r="O12" s="28">
        <v>0</v>
      </c>
      <c r="P12" s="28">
        <v>0</v>
      </c>
      <c r="Q12" s="28">
        <v>0</v>
      </c>
    </row>
    <row r="15" spans="1:18" ht="16.2" thickBot="1">
      <c r="A15" s="66" t="s">
        <v>1129</v>
      </c>
      <c r="B15" s="66"/>
      <c r="C15" t="s">
        <v>1130</v>
      </c>
    </row>
    <row r="16" spans="1:18" ht="16.2" thickBot="1">
      <c r="A16" s="30"/>
      <c r="B16" s="30"/>
      <c r="C16" t="s">
        <v>102</v>
      </c>
      <c r="D16" s="30" t="s">
        <v>103</v>
      </c>
      <c r="E16" s="30" t="s">
        <v>104</v>
      </c>
      <c r="F16" s="31" t="s">
        <v>105</v>
      </c>
      <c r="G16" s="31" t="s">
        <v>106</v>
      </c>
      <c r="H16" s="31" t="s">
        <v>107</v>
      </c>
      <c r="I16" s="30" t="s">
        <v>200</v>
      </c>
      <c r="J16" s="20" t="s">
        <v>109</v>
      </c>
      <c r="K16" s="20" t="s">
        <v>110</v>
      </c>
      <c r="L16" s="31" t="s">
        <v>112</v>
      </c>
    </row>
    <row r="17" spans="1:27" ht="15.6">
      <c r="A17" s="30"/>
      <c r="B17" s="30"/>
      <c r="C17" s="30">
        <v>1</v>
      </c>
      <c r="D17" s="30">
        <v>2</v>
      </c>
      <c r="E17" s="30">
        <v>3</v>
      </c>
      <c r="F17" s="30">
        <v>4</v>
      </c>
      <c r="G17" s="30">
        <v>5</v>
      </c>
      <c r="H17" s="30">
        <v>6</v>
      </c>
      <c r="I17" s="30">
        <v>7</v>
      </c>
      <c r="J17" s="30">
        <v>8</v>
      </c>
      <c r="K17" s="30">
        <v>9</v>
      </c>
      <c r="L17" s="30">
        <v>10</v>
      </c>
    </row>
    <row r="18" spans="1:27" ht="15.6">
      <c r="A18" s="30" t="s">
        <v>1131</v>
      </c>
      <c r="B18" s="30">
        <v>1</v>
      </c>
      <c r="C18" s="35">
        <v>0</v>
      </c>
      <c r="D18" s="35">
        <v>0</v>
      </c>
      <c r="E18" s="35">
        <v>0</v>
      </c>
      <c r="F18" s="35">
        <v>0</v>
      </c>
      <c r="G18" s="35">
        <v>0</v>
      </c>
      <c r="H18" s="35">
        <v>0</v>
      </c>
      <c r="I18" s="35">
        <v>0</v>
      </c>
      <c r="J18" s="35">
        <v>0</v>
      </c>
      <c r="K18" s="35">
        <v>0</v>
      </c>
      <c r="L18" s="35">
        <v>0</v>
      </c>
    </row>
    <row r="19" spans="1:27" ht="18">
      <c r="A19" s="30" t="s">
        <v>1132</v>
      </c>
      <c r="B19" s="30">
        <v>2</v>
      </c>
      <c r="C19" s="35">
        <v>0</v>
      </c>
      <c r="D19" s="35">
        <v>0.04</v>
      </c>
      <c r="E19" s="35">
        <v>0.04</v>
      </c>
      <c r="F19" s="35">
        <v>0.04</v>
      </c>
      <c r="G19" s="35">
        <v>0.04</v>
      </c>
      <c r="H19" s="35">
        <v>0.04</v>
      </c>
      <c r="I19" s="35">
        <v>0.04</v>
      </c>
      <c r="J19" s="5">
        <v>0</v>
      </c>
      <c r="K19" s="5">
        <v>0</v>
      </c>
      <c r="L19" s="35">
        <v>0.04</v>
      </c>
      <c r="S19" t="s">
        <v>736</v>
      </c>
      <c r="T19" s="32" t="s">
        <v>1133</v>
      </c>
      <c r="U19" s="33"/>
      <c r="V19" s="34"/>
      <c r="W19" s="34"/>
      <c r="X19" s="34"/>
      <c r="Y19" s="34"/>
      <c r="Z19" s="34"/>
    </row>
    <row r="20" spans="1:27" ht="18">
      <c r="A20" s="30" t="s">
        <v>1134</v>
      </c>
      <c r="B20" s="30">
        <v>3</v>
      </c>
      <c r="C20" s="35">
        <v>0</v>
      </c>
      <c r="D20" s="35">
        <v>0.05</v>
      </c>
      <c r="E20" s="35">
        <v>0.05</v>
      </c>
      <c r="F20" s="35">
        <v>0.05</v>
      </c>
      <c r="G20" s="35">
        <v>0.05</v>
      </c>
      <c r="H20" s="35">
        <v>0.05</v>
      </c>
      <c r="I20" s="35">
        <v>0.05</v>
      </c>
      <c r="J20" s="5">
        <v>0</v>
      </c>
      <c r="K20" s="5">
        <v>0</v>
      </c>
      <c r="L20" s="35">
        <v>0.05</v>
      </c>
      <c r="S20" t="s">
        <v>1135</v>
      </c>
      <c r="T20" s="32" t="s">
        <v>1136</v>
      </c>
      <c r="U20" s="34"/>
      <c r="V20" s="34"/>
      <c r="W20" s="34"/>
      <c r="X20" s="34"/>
      <c r="Y20" s="34"/>
      <c r="Z20" s="34"/>
    </row>
    <row r="21" spans="1:27" ht="18">
      <c r="A21" s="30" t="s">
        <v>1137</v>
      </c>
      <c r="B21" s="30">
        <v>4</v>
      </c>
      <c r="C21" s="35">
        <v>0</v>
      </c>
      <c r="D21" s="35">
        <v>0.2</v>
      </c>
      <c r="E21" s="37">
        <v>0.19</v>
      </c>
      <c r="F21" s="37">
        <v>0.2</v>
      </c>
      <c r="G21" s="37">
        <v>0.2</v>
      </c>
      <c r="H21" s="37">
        <v>0.2</v>
      </c>
      <c r="I21" s="35">
        <v>0.2</v>
      </c>
      <c r="J21" s="5">
        <v>0</v>
      </c>
      <c r="K21" s="5">
        <v>0</v>
      </c>
      <c r="L21" s="37">
        <v>0.2</v>
      </c>
      <c r="T21" s="32"/>
      <c r="U21" s="34"/>
      <c r="V21" s="34"/>
      <c r="W21" s="34"/>
      <c r="X21" s="34"/>
      <c r="Y21" s="34"/>
      <c r="Z21" s="34"/>
    </row>
    <row r="22" spans="1:27" ht="15.6">
      <c r="A22" s="30" t="s">
        <v>1138</v>
      </c>
      <c r="B22" s="30">
        <v>5</v>
      </c>
      <c r="C22" s="35">
        <v>0</v>
      </c>
      <c r="D22" s="35">
        <v>0.2</v>
      </c>
      <c r="E22" s="37">
        <v>0.19</v>
      </c>
      <c r="F22" s="37">
        <v>0.2</v>
      </c>
      <c r="G22" s="37">
        <v>0.2</v>
      </c>
      <c r="H22" s="37">
        <v>0.2</v>
      </c>
      <c r="I22" s="35">
        <v>0.2</v>
      </c>
      <c r="J22" s="5">
        <v>0</v>
      </c>
      <c r="K22" s="5">
        <v>0</v>
      </c>
      <c r="L22" s="37">
        <v>0.2</v>
      </c>
      <c r="Z22" s="34"/>
    </row>
    <row r="23" spans="1:27" ht="15.6">
      <c r="A23" s="30" t="s">
        <v>1139</v>
      </c>
      <c r="B23" s="30">
        <v>6</v>
      </c>
      <c r="C23" s="35">
        <v>0</v>
      </c>
      <c r="D23" s="35">
        <v>0.2</v>
      </c>
      <c r="E23" s="35">
        <v>0.2</v>
      </c>
      <c r="F23" s="35">
        <v>0.2</v>
      </c>
      <c r="G23" s="35">
        <v>0.2</v>
      </c>
      <c r="H23" s="35">
        <v>0.2</v>
      </c>
      <c r="I23" s="35">
        <v>0.2</v>
      </c>
      <c r="J23" s="5">
        <v>0</v>
      </c>
      <c r="K23" s="5">
        <v>0</v>
      </c>
      <c r="L23" s="35">
        <v>0.2</v>
      </c>
    </row>
    <row r="24" spans="1:27" ht="15.6">
      <c r="A24" s="30" t="s">
        <v>1140</v>
      </c>
      <c r="B24" s="30">
        <v>7</v>
      </c>
      <c r="C24" s="35">
        <v>0</v>
      </c>
      <c r="D24" s="35">
        <v>0.2</v>
      </c>
      <c r="E24" s="35">
        <v>0.2</v>
      </c>
      <c r="F24" s="35">
        <v>0.2</v>
      </c>
      <c r="G24" s="35">
        <v>0.2</v>
      </c>
      <c r="H24" s="35">
        <v>0.2</v>
      </c>
      <c r="I24" s="35">
        <v>0.2</v>
      </c>
      <c r="J24" s="5">
        <v>0</v>
      </c>
      <c r="K24" s="5">
        <v>0</v>
      </c>
      <c r="L24" s="35">
        <v>0.2</v>
      </c>
    </row>
    <row r="25" spans="1:27" ht="15.6">
      <c r="A25" s="30" t="s">
        <v>1102</v>
      </c>
      <c r="B25" s="30">
        <v>8</v>
      </c>
      <c r="C25" s="35">
        <v>0</v>
      </c>
      <c r="D25" s="35">
        <v>0.2</v>
      </c>
      <c r="E25" s="37">
        <v>0.27</v>
      </c>
      <c r="F25" s="37">
        <v>0.27</v>
      </c>
      <c r="G25" s="37">
        <v>0.27</v>
      </c>
      <c r="H25" s="37">
        <v>0.27</v>
      </c>
      <c r="I25" s="35">
        <v>0.25</v>
      </c>
      <c r="J25" s="5">
        <v>0</v>
      </c>
      <c r="K25" s="5">
        <v>0</v>
      </c>
      <c r="L25" s="37">
        <v>0.27</v>
      </c>
    </row>
    <row r="26" spans="1:27" ht="15.6">
      <c r="A26" s="30" t="s">
        <v>1141</v>
      </c>
      <c r="B26" s="54"/>
      <c r="C26" s="35">
        <v>0</v>
      </c>
      <c r="D26" s="35">
        <v>0.2</v>
      </c>
      <c r="E26" s="37">
        <v>0.19</v>
      </c>
      <c r="F26" s="37">
        <v>0.2</v>
      </c>
      <c r="G26" s="37">
        <v>0.2</v>
      </c>
      <c r="H26" s="37">
        <v>0.2</v>
      </c>
      <c r="I26" s="35">
        <v>0.2</v>
      </c>
      <c r="J26" s="5">
        <v>0</v>
      </c>
      <c r="K26" s="5">
        <v>0</v>
      </c>
      <c r="L26" s="37">
        <v>0.2</v>
      </c>
    </row>
    <row r="27" spans="1:27" ht="15.6">
      <c r="A27" s="30" t="s">
        <v>1142</v>
      </c>
      <c r="B27" s="30"/>
      <c r="C27" s="35">
        <v>0</v>
      </c>
      <c r="D27" s="35">
        <v>0.2</v>
      </c>
      <c r="E27" s="37">
        <v>0.24</v>
      </c>
      <c r="F27" s="37">
        <v>0.24</v>
      </c>
      <c r="G27" s="37">
        <v>0.24</v>
      </c>
      <c r="H27" s="37">
        <v>0.24</v>
      </c>
      <c r="I27" s="35">
        <v>0.2</v>
      </c>
      <c r="J27" s="5">
        <v>0</v>
      </c>
      <c r="K27" s="5">
        <v>0</v>
      </c>
      <c r="L27" s="37">
        <v>0.24</v>
      </c>
    </row>
    <row r="28" spans="1:27" ht="15.6">
      <c r="A28" s="30" t="s">
        <v>1143</v>
      </c>
      <c r="B28" s="30"/>
      <c r="C28" s="35">
        <v>0</v>
      </c>
      <c r="D28" s="35">
        <v>0.2</v>
      </c>
      <c r="E28" s="37">
        <v>0.28999999999999998</v>
      </c>
      <c r="F28" s="37">
        <v>0.28999999999999998</v>
      </c>
      <c r="G28" s="37">
        <v>0.28999999999999998</v>
      </c>
      <c r="H28" s="37">
        <v>0.28999999999999998</v>
      </c>
      <c r="I28" s="37">
        <v>0.25</v>
      </c>
      <c r="J28" s="5">
        <v>0</v>
      </c>
      <c r="K28" s="5">
        <v>0</v>
      </c>
      <c r="L28" s="37">
        <v>0.28999999999999998</v>
      </c>
      <c r="T28" t="s">
        <v>1123</v>
      </c>
      <c r="U28" s="592" t="s">
        <v>1144</v>
      </c>
      <c r="V28" s="592"/>
      <c r="W28" s="592"/>
      <c r="X28" s="592"/>
      <c r="Y28" s="592"/>
      <c r="Z28" s="592"/>
      <c r="AA28" s="592"/>
    </row>
    <row r="29" spans="1:27" ht="15.6">
      <c r="A29" s="54"/>
      <c r="B29" s="54"/>
      <c r="C29" s="36"/>
      <c r="D29" s="36"/>
      <c r="E29" s="38"/>
      <c r="F29" s="38"/>
      <c r="G29" s="38"/>
      <c r="H29" s="38"/>
      <c r="I29" s="38"/>
      <c r="T29" t="s">
        <v>139</v>
      </c>
      <c r="U29" s="592"/>
      <c r="V29" s="592"/>
      <c r="W29" s="592"/>
      <c r="X29" s="592"/>
      <c r="Y29" s="592"/>
      <c r="Z29" s="592"/>
      <c r="AA29" s="592"/>
    </row>
    <row r="30" spans="1:27" ht="15.6">
      <c r="A30" s="54"/>
      <c r="B30" s="54"/>
      <c r="C30" s="36"/>
      <c r="D30" s="36"/>
      <c r="E30" s="38"/>
      <c r="F30" s="38"/>
      <c r="G30" s="38"/>
      <c r="H30" s="38"/>
      <c r="I30" s="38"/>
      <c r="T30" t="s">
        <v>734</v>
      </c>
    </row>
    <row r="31" spans="1:27">
      <c r="T31" t="s">
        <v>735</v>
      </c>
    </row>
    <row r="32" spans="1:27" ht="16.2" thickBot="1">
      <c r="A32" s="65" t="s">
        <v>1145</v>
      </c>
      <c r="B32" s="65"/>
    </row>
    <row r="33" spans="1:7" ht="16.2" thickBot="1">
      <c r="A33" s="39" t="s">
        <v>1146</v>
      </c>
      <c r="B33" s="70"/>
      <c r="C33" s="40" t="s">
        <v>1147</v>
      </c>
      <c r="D33" s="41" t="s">
        <v>1148</v>
      </c>
      <c r="E33" s="41" t="s">
        <v>1149</v>
      </c>
      <c r="F33" s="41" t="s">
        <v>1150</v>
      </c>
    </row>
    <row r="34" spans="1:7" ht="15.6">
      <c r="A34" s="42">
        <v>7</v>
      </c>
      <c r="B34" s="71"/>
      <c r="C34" s="43">
        <v>0.35</v>
      </c>
      <c r="D34" s="44">
        <v>0.35</v>
      </c>
      <c r="E34" s="44">
        <v>0.17</v>
      </c>
      <c r="F34" s="45">
        <v>0.19</v>
      </c>
    </row>
    <row r="35" spans="1:7" ht="15.6">
      <c r="A35" s="46">
        <v>8</v>
      </c>
      <c r="B35" s="72"/>
      <c r="C35" s="47">
        <v>0.35</v>
      </c>
      <c r="D35" s="35">
        <v>0.35</v>
      </c>
      <c r="E35" s="35">
        <v>0.4</v>
      </c>
      <c r="F35" s="48">
        <v>0.44</v>
      </c>
    </row>
    <row r="36" spans="1:7" ht="15.6">
      <c r="A36" s="46">
        <v>9</v>
      </c>
      <c r="B36" s="72"/>
      <c r="C36" s="47">
        <v>0.35</v>
      </c>
      <c r="D36" s="35">
        <v>0.39</v>
      </c>
      <c r="E36" s="35">
        <v>0.49</v>
      </c>
      <c r="F36" s="48">
        <v>0.53</v>
      </c>
    </row>
    <row r="37" spans="1:7" ht="15.6">
      <c r="A37" s="46">
        <v>10</v>
      </c>
      <c r="B37" s="72"/>
      <c r="C37" s="47">
        <v>0.39</v>
      </c>
      <c r="D37" s="35">
        <v>0.45</v>
      </c>
      <c r="E37" s="35">
        <v>0.53</v>
      </c>
      <c r="F37" s="48">
        <v>0.56000000000000005</v>
      </c>
    </row>
    <row r="38" spans="1:7" ht="15.6">
      <c r="A38" s="46">
        <v>11</v>
      </c>
      <c r="B38" s="72"/>
      <c r="C38" s="47">
        <v>0.41</v>
      </c>
      <c r="D38" s="35">
        <v>0.48</v>
      </c>
      <c r="E38" s="35">
        <v>0.56999999999999995</v>
      </c>
      <c r="F38" s="48">
        <v>0.61</v>
      </c>
    </row>
    <row r="39" spans="1:7" ht="15.6">
      <c r="A39" s="46" t="s">
        <v>1151</v>
      </c>
      <c r="B39" s="72"/>
      <c r="C39" s="47">
        <v>0.44</v>
      </c>
      <c r="D39" s="35">
        <v>0.51</v>
      </c>
      <c r="E39" s="35">
        <v>0.61</v>
      </c>
      <c r="F39" s="48">
        <v>0.64</v>
      </c>
      <c r="G39" s="49" t="s">
        <v>1152</v>
      </c>
    </row>
    <row r="40" spans="1:7" ht="15.6">
      <c r="A40" s="46" t="s">
        <v>1153</v>
      </c>
      <c r="B40" s="72"/>
      <c r="C40" s="47">
        <v>0.5</v>
      </c>
      <c r="D40" s="35">
        <v>0.55000000000000004</v>
      </c>
      <c r="E40" s="35">
        <v>0.66</v>
      </c>
      <c r="F40" s="48">
        <v>0.7</v>
      </c>
    </row>
    <row r="41" spans="1:7" ht="15.6">
      <c r="A41" s="46" t="s">
        <v>1154</v>
      </c>
      <c r="B41" s="72"/>
      <c r="C41" s="47">
        <v>0.53</v>
      </c>
      <c r="D41" s="35">
        <v>0.59</v>
      </c>
      <c r="E41" s="35">
        <v>0.68</v>
      </c>
      <c r="F41" s="48">
        <v>0.74</v>
      </c>
    </row>
    <row r="42" spans="1:7" ht="15.6">
      <c r="A42" s="46">
        <v>23</v>
      </c>
      <c r="B42" s="72"/>
      <c r="C42" s="47">
        <v>0.5</v>
      </c>
      <c r="D42" s="35">
        <v>0.55000000000000004</v>
      </c>
      <c r="E42" s="35">
        <v>0.66</v>
      </c>
      <c r="F42" s="48">
        <v>0.7</v>
      </c>
    </row>
    <row r="43" spans="1:7" ht="15.6">
      <c r="A43" s="46">
        <v>25</v>
      </c>
      <c r="B43" s="72"/>
      <c r="C43" s="47">
        <v>0.53</v>
      </c>
      <c r="D43" s="35">
        <v>0.59</v>
      </c>
      <c r="E43" s="35">
        <v>0.68</v>
      </c>
      <c r="F43" s="48">
        <v>0.74</v>
      </c>
    </row>
    <row r="44" spans="1:7" ht="15.6">
      <c r="A44" s="46">
        <v>28</v>
      </c>
      <c r="B44" s="72"/>
      <c r="C44" s="47">
        <v>0.59</v>
      </c>
      <c r="D44" s="35">
        <v>0.62</v>
      </c>
      <c r="E44" s="35">
        <v>0.71</v>
      </c>
      <c r="F44" s="48">
        <v>0.78</v>
      </c>
    </row>
    <row r="45" spans="1:7" ht="15.6">
      <c r="A45" s="46">
        <v>30</v>
      </c>
      <c r="B45" s="72"/>
      <c r="C45" s="47">
        <v>0.64</v>
      </c>
      <c r="D45" s="35">
        <v>0.7</v>
      </c>
      <c r="E45" s="35">
        <v>0.8</v>
      </c>
      <c r="F45" s="48">
        <v>0.88</v>
      </c>
    </row>
    <row r="46" spans="1:7" ht="15.6">
      <c r="A46" s="46">
        <v>32</v>
      </c>
      <c r="B46" s="72"/>
      <c r="C46" s="47">
        <v>0.64</v>
      </c>
      <c r="D46" s="35">
        <v>0.75</v>
      </c>
      <c r="E46" s="35">
        <v>0.84</v>
      </c>
      <c r="F46" s="48">
        <v>0.92</v>
      </c>
    </row>
    <row r="47" spans="1:7" ht="16.2" thickBot="1">
      <c r="A47" s="50">
        <v>34</v>
      </c>
      <c r="B47" s="73"/>
      <c r="C47" s="51">
        <v>0.64</v>
      </c>
      <c r="D47" s="52">
        <v>0.8</v>
      </c>
      <c r="E47" s="52">
        <v>0.89</v>
      </c>
      <c r="F47" s="53">
        <v>0.98</v>
      </c>
    </row>
    <row r="50" spans="1:10" ht="15.6">
      <c r="A50" s="54" t="s">
        <v>1155</v>
      </c>
      <c r="B50" s="54"/>
      <c r="C50" s="54" t="s">
        <v>1130</v>
      </c>
      <c r="D50" s="54"/>
      <c r="E50" s="54"/>
    </row>
    <row r="51" spans="1:10" ht="16.2" thickBot="1">
      <c r="A51" s="54"/>
      <c r="B51" s="54"/>
      <c r="C51" s="54"/>
      <c r="D51" s="54"/>
      <c r="E51" s="54"/>
      <c r="F51" s="54"/>
    </row>
    <row r="52" spans="1:10" ht="16.2" thickBot="1">
      <c r="A52" s="20"/>
      <c r="B52" s="55"/>
      <c r="C52" s="55" t="s">
        <v>1132</v>
      </c>
      <c r="D52" s="56" t="s">
        <v>1134</v>
      </c>
      <c r="E52" s="20" t="s">
        <v>1138</v>
      </c>
      <c r="F52" s="55" t="s">
        <v>1141</v>
      </c>
      <c r="G52" s="55" t="s">
        <v>1156</v>
      </c>
      <c r="H52" s="55" t="s">
        <v>1157</v>
      </c>
      <c r="I52" s="55" t="s">
        <v>1142</v>
      </c>
      <c r="J52" s="20" t="s">
        <v>1143</v>
      </c>
    </row>
    <row r="53" spans="1:10" ht="16.2" thickBot="1">
      <c r="A53" s="20" t="s">
        <v>1148</v>
      </c>
      <c r="B53" s="68"/>
      <c r="C53" s="57">
        <v>0.04</v>
      </c>
      <c r="D53" s="58">
        <v>0.04</v>
      </c>
      <c r="E53" s="58">
        <v>0.04</v>
      </c>
      <c r="F53" s="58">
        <v>0.04</v>
      </c>
      <c r="G53" s="58">
        <v>0.04</v>
      </c>
      <c r="H53" s="58">
        <v>0.04</v>
      </c>
      <c r="I53" s="58">
        <v>0.12</v>
      </c>
      <c r="J53" s="59">
        <v>0.12</v>
      </c>
    </row>
    <row r="54" spans="1:10" ht="16.2" thickBot="1">
      <c r="A54" s="20" t="s">
        <v>1149</v>
      </c>
      <c r="B54" s="69"/>
      <c r="C54" s="60">
        <v>0.01</v>
      </c>
      <c r="D54" s="35">
        <v>0.03</v>
      </c>
      <c r="E54" s="35">
        <v>0.08</v>
      </c>
      <c r="F54" s="35">
        <v>0.08</v>
      </c>
      <c r="G54" s="35">
        <v>0.08</v>
      </c>
      <c r="H54" s="35">
        <v>0.08</v>
      </c>
      <c r="I54" s="35">
        <v>0.09</v>
      </c>
      <c r="J54" s="48">
        <v>0.09</v>
      </c>
    </row>
    <row r="55" spans="1:10" ht="16.2" thickBot="1">
      <c r="A55" s="61" t="s">
        <v>1150</v>
      </c>
      <c r="B55" s="74"/>
      <c r="C55" s="62">
        <v>0.03</v>
      </c>
      <c r="D55" s="63">
        <v>0.03</v>
      </c>
      <c r="E55" s="63">
        <v>0.08</v>
      </c>
      <c r="F55" s="63">
        <v>0.08</v>
      </c>
      <c r="G55" s="63">
        <v>0.08</v>
      </c>
      <c r="H55" s="63">
        <v>0.08</v>
      </c>
      <c r="I55" s="63">
        <v>0.09</v>
      </c>
      <c r="J55" s="64">
        <v>0.09</v>
      </c>
    </row>
  </sheetData>
  <mergeCells count="1">
    <mergeCell ref="U28:AA29"/>
  </mergeCells>
  <hyperlinks>
    <hyperlink ref="E22" r:id="rId1" display="../../מסמכי ממח + סרוקים/שכר/סיכום פ''ע מת''ש -29.12.92.pdf" xr:uid="{00000000-0004-0000-2000-000000000000}"/>
    <hyperlink ref="E26" r:id="rId2" display="../../מסמכי ממח + סרוקים/שכר/סיכום פ''ע מת''ש -29.12.92.pdf" xr:uid="{00000000-0004-0000-2000-000001000000}"/>
    <hyperlink ref="E21" r:id="rId3" display="../../מסמכי ממח + סרוקים/שכר/סיכום פ''ע מת''ש -29.12.92.pdf" xr:uid="{00000000-0004-0000-2000-000002000000}"/>
  </hyperlinks>
  <pageMargins left="0.7" right="0.7" top="0.75" bottom="0.75" header="0.3" footer="0.3"/>
  <drawing r:id="rId4"/>
  <legacyDrawing r:id="rId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גיליון37"/>
  <dimension ref="A1:J22"/>
  <sheetViews>
    <sheetView rightToLeft="1" workbookViewId="0">
      <selection activeCell="F34" sqref="F34"/>
    </sheetView>
  </sheetViews>
  <sheetFormatPr defaultRowHeight="14.4"/>
  <sheetData>
    <row r="1" spans="1:10" ht="15" thickBot="1">
      <c r="A1" s="1" t="s">
        <v>1158</v>
      </c>
      <c r="B1" s="1"/>
      <c r="D1" s="18"/>
      <c r="E1" s="18"/>
      <c r="F1" s="18"/>
    </row>
    <row r="2" spans="1:10" ht="16.2" thickBot="1">
      <c r="A2" s="20"/>
      <c r="B2" s="20"/>
      <c r="C2" s="20" t="s">
        <v>1098</v>
      </c>
      <c r="D2" s="20" t="s">
        <v>730</v>
      </c>
      <c r="E2" s="20" t="s">
        <v>374</v>
      </c>
      <c r="F2" s="20" t="s">
        <v>1159</v>
      </c>
      <c r="G2" s="20" t="s">
        <v>373</v>
      </c>
      <c r="H2" s="20" t="s">
        <v>1100</v>
      </c>
      <c r="I2" s="20" t="s">
        <v>1101</v>
      </c>
      <c r="J2" s="20" t="s">
        <v>1102</v>
      </c>
    </row>
    <row r="3" spans="1:10" ht="16.2" thickBot="1">
      <c r="A3" s="20"/>
      <c r="B3" s="68"/>
      <c r="C3" s="68">
        <v>1</v>
      </c>
      <c r="D3" s="76">
        <v>2</v>
      </c>
      <c r="E3" s="68">
        <v>3</v>
      </c>
      <c r="F3" s="76">
        <v>4</v>
      </c>
      <c r="G3" s="68">
        <v>5</v>
      </c>
      <c r="H3" s="76">
        <v>6</v>
      </c>
      <c r="I3" s="68">
        <v>7</v>
      </c>
      <c r="J3" s="76">
        <v>8</v>
      </c>
    </row>
    <row r="4" spans="1:10" ht="16.2" thickBot="1">
      <c r="A4" s="20" t="s">
        <v>1123</v>
      </c>
      <c r="B4" s="68">
        <v>1</v>
      </c>
      <c r="C4" s="80">
        <v>0.126</v>
      </c>
      <c r="D4" s="80">
        <v>0.31</v>
      </c>
      <c r="E4" s="80">
        <v>0.47199999999999998</v>
      </c>
      <c r="F4" s="80">
        <v>0.7</v>
      </c>
      <c r="G4" s="80">
        <v>0.7</v>
      </c>
      <c r="H4" s="80">
        <v>0</v>
      </c>
      <c r="I4" s="80">
        <v>0</v>
      </c>
      <c r="J4" s="80">
        <v>0</v>
      </c>
    </row>
    <row r="5" spans="1:10" ht="16.2" thickBot="1">
      <c r="A5" s="20" t="s">
        <v>139</v>
      </c>
      <c r="B5" s="69">
        <v>2</v>
      </c>
      <c r="C5" s="80">
        <v>0.13200000000000001</v>
      </c>
      <c r="D5" s="80">
        <v>0.28599999999999998</v>
      </c>
      <c r="E5" s="80">
        <v>0.41699999999999998</v>
      </c>
      <c r="F5" s="80">
        <v>0.64300000000000002</v>
      </c>
      <c r="G5" s="80">
        <v>0.64300000000000002</v>
      </c>
      <c r="H5" s="80">
        <v>0</v>
      </c>
      <c r="I5" s="80">
        <v>0</v>
      </c>
      <c r="J5" s="80">
        <v>0</v>
      </c>
    </row>
    <row r="6" spans="1:10" ht="16.2" thickBot="1">
      <c r="A6" s="20" t="s">
        <v>142</v>
      </c>
      <c r="B6" s="68">
        <v>3</v>
      </c>
      <c r="C6" s="80">
        <v>0.13200000000000001</v>
      </c>
      <c r="D6" s="80">
        <v>0.28599999999999998</v>
      </c>
      <c r="E6" s="80">
        <v>0.41699999999999998</v>
      </c>
      <c r="F6" s="80">
        <v>0.6794</v>
      </c>
      <c r="G6" s="80">
        <v>0.6794</v>
      </c>
      <c r="H6" s="80">
        <v>0.82679999999999998</v>
      </c>
      <c r="I6" s="80">
        <v>0</v>
      </c>
      <c r="J6" s="80">
        <v>0</v>
      </c>
    </row>
    <row r="7" spans="1:10" ht="16.2" thickBot="1">
      <c r="A7" s="20" t="s">
        <v>1126</v>
      </c>
      <c r="B7" s="69">
        <v>4</v>
      </c>
      <c r="C7" s="80">
        <v>0.154</v>
      </c>
      <c r="D7" s="80">
        <v>0.29499999999999998</v>
      </c>
      <c r="E7" s="80">
        <v>0.41299999999999998</v>
      </c>
      <c r="F7" s="80">
        <v>0.65700000000000003</v>
      </c>
      <c r="G7" s="80">
        <v>0.65700000000000003</v>
      </c>
      <c r="H7" s="80">
        <v>0.7994</v>
      </c>
      <c r="I7" s="80">
        <v>0</v>
      </c>
      <c r="J7" s="80">
        <v>0</v>
      </c>
    </row>
    <row r="8" spans="1:10" ht="16.2" thickBot="1">
      <c r="A8" s="20" t="s">
        <v>733</v>
      </c>
      <c r="B8" s="68">
        <v>5</v>
      </c>
      <c r="C8" s="80">
        <v>0.14399999999999999</v>
      </c>
      <c r="D8" s="80">
        <v>0.29499999999999998</v>
      </c>
      <c r="E8" s="80">
        <v>0.42199999999999999</v>
      </c>
      <c r="F8" s="80">
        <v>0.67800000000000005</v>
      </c>
      <c r="G8" s="80">
        <v>0.67800000000000005</v>
      </c>
      <c r="H8" s="80">
        <v>0.80579999999999996</v>
      </c>
      <c r="I8" s="80">
        <v>0</v>
      </c>
      <c r="J8" s="80">
        <v>0</v>
      </c>
    </row>
    <row r="9" spans="1:10" ht="16.2" thickBot="1">
      <c r="A9" s="20" t="s">
        <v>1127</v>
      </c>
      <c r="B9" s="69">
        <v>6</v>
      </c>
      <c r="C9" s="80">
        <v>0.122</v>
      </c>
      <c r="D9" s="80">
        <v>0.25</v>
      </c>
      <c r="E9" s="80">
        <v>0.35299999999999998</v>
      </c>
      <c r="F9" s="80">
        <v>0.59199999999999997</v>
      </c>
      <c r="G9" s="80">
        <v>0.59199999999999997</v>
      </c>
      <c r="H9" s="80">
        <v>0.7167</v>
      </c>
      <c r="I9" s="80">
        <v>0</v>
      </c>
      <c r="J9" s="80">
        <v>0</v>
      </c>
    </row>
    <row r="10" spans="1:10" ht="16.2" thickBot="1">
      <c r="A10" s="20" t="s">
        <v>735</v>
      </c>
      <c r="B10" s="68">
        <v>7</v>
      </c>
      <c r="C10" s="80">
        <v>9.8000000000000004E-2</v>
      </c>
      <c r="D10" s="80">
        <v>0.20599999999999999</v>
      </c>
      <c r="E10" s="80">
        <v>0.28999999999999998</v>
      </c>
      <c r="F10" s="80">
        <v>0.51029999999999998</v>
      </c>
      <c r="G10" s="80">
        <v>0.51029999999999998</v>
      </c>
      <c r="H10" s="80">
        <v>0.626</v>
      </c>
      <c r="I10" s="80">
        <v>0</v>
      </c>
      <c r="J10" s="80">
        <v>0</v>
      </c>
    </row>
    <row r="11" spans="1:10" ht="16.2" thickBot="1">
      <c r="A11" s="20" t="s">
        <v>1128</v>
      </c>
      <c r="B11" s="69">
        <v>8</v>
      </c>
      <c r="C11" s="81">
        <v>8.6999999999999994E-2</v>
      </c>
      <c r="D11" s="82">
        <v>0.14199999999999999</v>
      </c>
      <c r="E11" s="83">
        <v>0.21299999999999999</v>
      </c>
      <c r="F11" s="83">
        <v>0.28139999999999998</v>
      </c>
      <c r="G11" s="83">
        <v>0.28139999999999998</v>
      </c>
      <c r="H11" s="83">
        <v>0.35749999999999998</v>
      </c>
      <c r="I11" s="80">
        <v>0</v>
      </c>
      <c r="J11" s="80">
        <v>0</v>
      </c>
    </row>
    <row r="15" spans="1:10" ht="15" thickBot="1">
      <c r="A15" t="s">
        <v>1160</v>
      </c>
    </row>
    <row r="16" spans="1:10" ht="16.2" thickBot="1">
      <c r="A16" s="20"/>
      <c r="B16" s="20"/>
      <c r="C16" s="20" t="s">
        <v>1098</v>
      </c>
      <c r="D16" s="20" t="s">
        <v>730</v>
      </c>
      <c r="E16" s="20" t="s">
        <v>374</v>
      </c>
      <c r="F16" s="20" t="s">
        <v>1159</v>
      </c>
      <c r="G16" s="20" t="s">
        <v>373</v>
      </c>
      <c r="H16" s="20" t="s">
        <v>1100</v>
      </c>
      <c r="I16" s="20" t="s">
        <v>1101</v>
      </c>
      <c r="J16" s="20" t="s">
        <v>1102</v>
      </c>
    </row>
    <row r="17" spans="1:10" ht="16.2" thickBot="1">
      <c r="A17" s="20"/>
      <c r="B17" s="68"/>
      <c r="C17" s="68">
        <v>1</v>
      </c>
      <c r="D17" s="76">
        <v>2</v>
      </c>
      <c r="E17" s="68">
        <v>3</v>
      </c>
      <c r="F17" s="76">
        <v>4</v>
      </c>
      <c r="G17" s="68">
        <v>5</v>
      </c>
      <c r="H17" s="76">
        <v>6</v>
      </c>
      <c r="I17" s="68">
        <v>7</v>
      </c>
      <c r="J17" s="76">
        <v>8</v>
      </c>
    </row>
    <row r="18" spans="1:10" ht="16.2" thickBot="1">
      <c r="A18" s="20" t="s">
        <v>109</v>
      </c>
      <c r="B18" s="68">
        <v>1</v>
      </c>
      <c r="C18" s="80">
        <v>0.8</v>
      </c>
      <c r="D18" s="80">
        <v>0.7</v>
      </c>
      <c r="E18" s="80">
        <v>0.7</v>
      </c>
      <c r="F18" s="80">
        <v>0.6</v>
      </c>
      <c r="G18" s="80">
        <v>0.6</v>
      </c>
      <c r="H18" s="80">
        <v>0.6</v>
      </c>
      <c r="I18" s="80">
        <v>0.6</v>
      </c>
      <c r="J18" s="80">
        <v>0.6</v>
      </c>
    </row>
    <row r="19" spans="1:10" ht="16.2" thickBot="1">
      <c r="A19" s="20" t="s">
        <v>1120</v>
      </c>
      <c r="B19" s="69">
        <v>2</v>
      </c>
      <c r="C19" s="80">
        <v>0</v>
      </c>
      <c r="D19" s="80">
        <v>0.7</v>
      </c>
      <c r="E19" s="80">
        <v>0.7</v>
      </c>
      <c r="F19" s="80">
        <v>0.6</v>
      </c>
      <c r="G19" s="80">
        <v>0.6</v>
      </c>
      <c r="H19" s="80">
        <v>0.6</v>
      </c>
      <c r="I19" s="80">
        <v>0.6</v>
      </c>
      <c r="J19" s="80">
        <v>0.6</v>
      </c>
    </row>
    <row r="20" spans="1:10" ht="16.2" thickBot="1">
      <c r="A20" s="20" t="s">
        <v>1121</v>
      </c>
      <c r="B20" s="68">
        <v>3</v>
      </c>
      <c r="C20" s="80">
        <v>0</v>
      </c>
      <c r="D20" s="80">
        <v>0.7</v>
      </c>
      <c r="E20" s="80">
        <v>0.7</v>
      </c>
      <c r="F20" s="80">
        <v>0.6</v>
      </c>
      <c r="G20" s="80">
        <v>0.6</v>
      </c>
      <c r="H20" s="80">
        <v>0.6</v>
      </c>
      <c r="I20" s="80">
        <v>0.6</v>
      </c>
      <c r="J20" s="80">
        <v>0.6</v>
      </c>
    </row>
    <row r="21" spans="1:10" ht="16.2" thickBot="1">
      <c r="A21" s="20" t="s">
        <v>1122</v>
      </c>
      <c r="B21" s="69">
        <v>4</v>
      </c>
      <c r="C21" s="80">
        <v>0</v>
      </c>
      <c r="D21" s="80">
        <v>0.7</v>
      </c>
      <c r="E21" s="80">
        <v>0.7</v>
      </c>
      <c r="F21" s="80">
        <v>0.6</v>
      </c>
      <c r="G21" s="80">
        <v>0.6</v>
      </c>
      <c r="H21" s="80">
        <v>0.6</v>
      </c>
      <c r="I21" s="80">
        <v>0.6</v>
      </c>
      <c r="J21" s="80">
        <v>0.6</v>
      </c>
    </row>
    <row r="22" spans="1:10" ht="16.2" thickBot="1">
      <c r="A22" s="20" t="s">
        <v>110</v>
      </c>
      <c r="B22" s="68">
        <v>5</v>
      </c>
      <c r="C22" s="80">
        <v>0.8</v>
      </c>
      <c r="D22" s="80">
        <v>0.7</v>
      </c>
      <c r="E22" s="80">
        <v>0.7</v>
      </c>
      <c r="F22" s="80">
        <v>0.6</v>
      </c>
      <c r="G22" s="80">
        <v>0.6</v>
      </c>
      <c r="H22" s="80">
        <v>0.6</v>
      </c>
      <c r="I22" s="80">
        <v>0.6</v>
      </c>
      <c r="J22" s="80">
        <v>0.6</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גיליון38"/>
  <dimension ref="A1:AL446"/>
  <sheetViews>
    <sheetView rightToLeft="1" workbookViewId="0">
      <pane xSplit="14388" ySplit="900" topLeftCell="AB1" activePane="bottomRight"/>
      <selection pane="topRight" activeCell="N1" sqref="N1"/>
      <selection pane="bottomLeft" activeCell="J273" sqref="J273"/>
      <selection pane="bottomRight" activeCell="AH119" sqref="AH119"/>
    </sheetView>
  </sheetViews>
  <sheetFormatPr defaultRowHeight="14.4"/>
  <cols>
    <col min="5" max="5" width="10.109375" bestFit="1" customWidth="1"/>
    <col min="6" max="9" width="10" bestFit="1" customWidth="1"/>
    <col min="10" max="10" width="10.109375" bestFit="1" customWidth="1"/>
    <col min="11" max="12" width="10" bestFit="1" customWidth="1"/>
  </cols>
  <sheetData>
    <row r="1" spans="1:38">
      <c r="E1" t="s">
        <v>1161</v>
      </c>
    </row>
    <row r="2" spans="1:38" ht="15.6">
      <c r="B2" t="s">
        <v>136</v>
      </c>
      <c r="C2" t="s">
        <v>54</v>
      </c>
      <c r="E2" t="s">
        <v>1098</v>
      </c>
      <c r="F2" t="s">
        <v>730</v>
      </c>
      <c r="G2" t="s">
        <v>374</v>
      </c>
      <c r="H2" t="s">
        <v>1159</v>
      </c>
      <c r="I2" t="s">
        <v>373</v>
      </c>
      <c r="J2" t="s">
        <v>1100</v>
      </c>
      <c r="K2" t="s">
        <v>1162</v>
      </c>
      <c r="L2" t="s">
        <v>1102</v>
      </c>
      <c r="O2" s="88"/>
      <c r="P2" s="88"/>
      <c r="Q2" s="89" t="s">
        <v>1131</v>
      </c>
      <c r="R2" s="89" t="s">
        <v>1132</v>
      </c>
      <c r="S2" s="89" t="s">
        <v>1134</v>
      </c>
      <c r="T2" s="89" t="s">
        <v>1138</v>
      </c>
      <c r="U2" s="89" t="s">
        <v>1141</v>
      </c>
      <c r="V2" s="89" t="s">
        <v>1163</v>
      </c>
      <c r="W2" s="89" t="s">
        <v>1140</v>
      </c>
      <c r="X2" s="89" t="s">
        <v>1142</v>
      </c>
      <c r="Y2" s="89" t="s">
        <v>1143</v>
      </c>
      <c r="Z2" s="89" t="s">
        <v>1102</v>
      </c>
      <c r="AC2" t="s">
        <v>1131</v>
      </c>
      <c r="AD2" t="s">
        <v>1132</v>
      </c>
      <c r="AE2" t="s">
        <v>1134</v>
      </c>
      <c r="AF2" t="s">
        <v>1138</v>
      </c>
      <c r="AG2" t="s">
        <v>1141</v>
      </c>
      <c r="AH2" t="s">
        <v>1163</v>
      </c>
      <c r="AI2" t="s">
        <v>1140</v>
      </c>
      <c r="AJ2" t="s">
        <v>1142</v>
      </c>
      <c r="AK2" t="s">
        <v>1143</v>
      </c>
      <c r="AL2" t="s">
        <v>1102</v>
      </c>
    </row>
    <row r="3" spans="1:38">
      <c r="A3">
        <v>1</v>
      </c>
      <c r="B3" t="s">
        <v>138</v>
      </c>
      <c r="C3" s="1" t="s">
        <v>102</v>
      </c>
      <c r="D3">
        <v>100</v>
      </c>
      <c r="E3" s="84">
        <v>0.51</v>
      </c>
      <c r="F3" s="84">
        <v>0.48</v>
      </c>
      <c r="G3" s="84">
        <v>0.52</v>
      </c>
      <c r="H3" s="84">
        <v>0.52</v>
      </c>
      <c r="I3" s="84">
        <v>0.52</v>
      </c>
      <c r="J3" s="84">
        <v>0.54</v>
      </c>
      <c r="K3" s="84">
        <v>0.54</v>
      </c>
      <c r="L3" s="84">
        <v>0.55000000000000004</v>
      </c>
      <c r="O3" s="90" t="s">
        <v>138</v>
      </c>
      <c r="P3" s="90" t="s">
        <v>102</v>
      </c>
      <c r="U3" s="91">
        <v>52</v>
      </c>
      <c r="X3" s="91">
        <v>55</v>
      </c>
      <c r="Y3" s="91">
        <v>52</v>
      </c>
      <c r="AB3" s="90" t="s">
        <v>138</v>
      </c>
      <c r="AC3" s="84">
        <v>0.51</v>
      </c>
      <c r="AD3" s="84">
        <v>0.48</v>
      </c>
      <c r="AE3" s="84">
        <v>0.52</v>
      </c>
      <c r="AF3" s="84">
        <v>0.52</v>
      </c>
      <c r="AG3" s="84">
        <v>0.52</v>
      </c>
      <c r="AH3" s="84">
        <v>0.54</v>
      </c>
      <c r="AI3" s="84">
        <v>0.54</v>
      </c>
      <c r="AJ3" s="84">
        <v>0.55000000000000004</v>
      </c>
      <c r="AK3" s="84">
        <v>0.52</v>
      </c>
      <c r="AL3" s="84">
        <v>0.55000000000000004</v>
      </c>
    </row>
    <row r="4" spans="1:38">
      <c r="A4">
        <v>2</v>
      </c>
      <c r="B4" t="s">
        <v>139</v>
      </c>
      <c r="C4" s="1" t="s">
        <v>102</v>
      </c>
      <c r="D4">
        <f>+D3+1</f>
        <v>101</v>
      </c>
      <c r="E4" s="84">
        <v>0.51</v>
      </c>
      <c r="F4" s="84">
        <v>0.48</v>
      </c>
      <c r="G4" s="84">
        <v>0.52</v>
      </c>
      <c r="H4" s="84">
        <v>0.52</v>
      </c>
      <c r="I4" s="84">
        <v>0.52</v>
      </c>
      <c r="J4" s="84">
        <v>0.54</v>
      </c>
      <c r="K4" s="84">
        <v>0.54</v>
      </c>
      <c r="L4" s="84">
        <v>0.66</v>
      </c>
      <c r="O4" s="90" t="s">
        <v>139</v>
      </c>
      <c r="P4" s="90" t="s">
        <v>102</v>
      </c>
      <c r="U4" s="91">
        <v>52</v>
      </c>
      <c r="X4" s="91">
        <v>55</v>
      </c>
      <c r="Y4" s="91">
        <v>52</v>
      </c>
      <c r="AB4" s="90" t="s">
        <v>139</v>
      </c>
      <c r="AC4" s="84">
        <v>0.51</v>
      </c>
      <c r="AD4" s="84">
        <v>0.48</v>
      </c>
      <c r="AE4" s="84">
        <v>0.52</v>
      </c>
      <c r="AF4" s="84">
        <v>0.52</v>
      </c>
      <c r="AG4" s="84">
        <v>0.52</v>
      </c>
      <c r="AH4" s="84">
        <v>0.54</v>
      </c>
      <c r="AI4" s="84">
        <v>0.54</v>
      </c>
      <c r="AJ4" s="84">
        <v>0.55000000000000004</v>
      </c>
      <c r="AK4" s="84">
        <v>0.52</v>
      </c>
      <c r="AL4" s="84">
        <v>0.66</v>
      </c>
    </row>
    <row r="5" spans="1:38">
      <c r="A5">
        <v>3</v>
      </c>
      <c r="B5" t="s">
        <v>140</v>
      </c>
      <c r="C5" s="1" t="s">
        <v>102</v>
      </c>
      <c r="D5">
        <f t="shared" ref="D5:D31" si="0">+D4+1</f>
        <v>102</v>
      </c>
      <c r="E5" s="84">
        <v>0.51</v>
      </c>
      <c r="F5" s="84">
        <v>0.48</v>
      </c>
      <c r="G5" s="84">
        <v>0.52</v>
      </c>
      <c r="H5" s="84">
        <v>0.52</v>
      </c>
      <c r="I5" s="84">
        <v>0.52</v>
      </c>
      <c r="J5" s="84">
        <v>0.54</v>
      </c>
      <c r="K5" s="84">
        <v>0.54</v>
      </c>
      <c r="L5" s="84">
        <v>0.75959999999999994</v>
      </c>
      <c r="O5" s="90" t="s">
        <v>1164</v>
      </c>
      <c r="P5" s="90" t="s">
        <v>102</v>
      </c>
      <c r="U5" s="91">
        <v>52</v>
      </c>
      <c r="X5" s="91">
        <v>55</v>
      </c>
      <c r="Y5" s="91">
        <v>52</v>
      </c>
      <c r="AB5" s="90" t="s">
        <v>1164</v>
      </c>
      <c r="AC5" s="84">
        <v>0.51</v>
      </c>
      <c r="AD5" s="84">
        <v>0.48</v>
      </c>
      <c r="AE5" s="84">
        <v>0.52</v>
      </c>
      <c r="AF5" s="84">
        <v>0.52</v>
      </c>
      <c r="AG5" s="84">
        <v>0.52</v>
      </c>
      <c r="AH5" s="84">
        <v>0.54</v>
      </c>
      <c r="AI5" s="84">
        <v>0.54</v>
      </c>
      <c r="AJ5" s="84">
        <v>0.55000000000000004</v>
      </c>
      <c r="AK5" s="84">
        <v>0.52</v>
      </c>
      <c r="AL5" s="84">
        <v>0.75959999999999994</v>
      </c>
    </row>
    <row r="6" spans="1:38">
      <c r="A6">
        <v>4</v>
      </c>
      <c r="B6" t="s">
        <v>142</v>
      </c>
      <c r="C6" s="1" t="s">
        <v>102</v>
      </c>
      <c r="D6">
        <f t="shared" si="0"/>
        <v>103</v>
      </c>
      <c r="E6" s="84">
        <v>0.70340000000000003</v>
      </c>
      <c r="F6" s="84">
        <v>0.68299999999999994</v>
      </c>
      <c r="G6" s="84">
        <v>0.83599999999999997</v>
      </c>
      <c r="H6" s="84">
        <v>0.96689999999999998</v>
      </c>
      <c r="I6" s="84">
        <v>0.96689999999999998</v>
      </c>
      <c r="J6" s="84">
        <v>0.99860000000000004</v>
      </c>
      <c r="K6" s="84">
        <v>0.99849999999999994</v>
      </c>
      <c r="L6" s="84">
        <v>0.99019999999999997</v>
      </c>
      <c r="O6" s="90" t="s">
        <v>142</v>
      </c>
      <c r="P6" s="90" t="s">
        <v>102</v>
      </c>
      <c r="U6" s="91">
        <v>96.69</v>
      </c>
      <c r="X6" s="91">
        <v>97.9</v>
      </c>
      <c r="Y6" s="91">
        <v>99.11</v>
      </c>
      <c r="AB6" s="90" t="s">
        <v>142</v>
      </c>
      <c r="AC6" s="84">
        <v>0.70340000000000003</v>
      </c>
      <c r="AD6" s="84">
        <v>0.68299999999999994</v>
      </c>
      <c r="AE6" s="84">
        <v>0.83599999999999997</v>
      </c>
      <c r="AF6" s="84">
        <v>0.96689999999999998</v>
      </c>
      <c r="AG6" s="84">
        <v>0.96689999999999998</v>
      </c>
      <c r="AH6" s="84">
        <v>0.99860000000000004</v>
      </c>
      <c r="AI6" s="84">
        <v>0.99849999999999994</v>
      </c>
      <c r="AJ6" s="84">
        <v>0.97900000000000009</v>
      </c>
      <c r="AK6" s="84">
        <v>0.99109999999999998</v>
      </c>
      <c r="AL6" s="84">
        <v>0.99019999999999997</v>
      </c>
    </row>
    <row r="7" spans="1:38">
      <c r="A7">
        <v>5</v>
      </c>
      <c r="B7" t="s">
        <v>143</v>
      </c>
      <c r="C7" s="1" t="s">
        <v>102</v>
      </c>
      <c r="D7">
        <f t="shared" si="0"/>
        <v>104</v>
      </c>
      <c r="E7" s="84">
        <v>0.59119999999999995</v>
      </c>
      <c r="F7" s="84">
        <v>0.57079999999999997</v>
      </c>
      <c r="G7" s="84">
        <v>0.7238</v>
      </c>
      <c r="H7" s="84">
        <v>0.85250000000000004</v>
      </c>
      <c r="I7" s="84">
        <v>0.85250000000000004</v>
      </c>
      <c r="J7" s="84">
        <v>0.87370000000000003</v>
      </c>
      <c r="K7" s="84">
        <v>0.88400000000000001</v>
      </c>
      <c r="L7" s="84">
        <v>0.87560000000000004</v>
      </c>
      <c r="O7" s="90" t="s">
        <v>1165</v>
      </c>
      <c r="P7" s="90" t="s">
        <v>102</v>
      </c>
      <c r="U7" s="91">
        <v>85.24</v>
      </c>
      <c r="X7" s="91">
        <v>87.49</v>
      </c>
      <c r="Y7" s="91">
        <v>87.64</v>
      </c>
      <c r="AB7" s="90" t="s">
        <v>1165</v>
      </c>
      <c r="AC7" s="84">
        <v>0.59119999999999995</v>
      </c>
      <c r="AD7" s="84">
        <v>0.57079999999999997</v>
      </c>
      <c r="AE7" s="84">
        <v>0.7238</v>
      </c>
      <c r="AF7" s="84">
        <v>0.85250000000000004</v>
      </c>
      <c r="AG7" s="84">
        <v>0.85239999999999994</v>
      </c>
      <c r="AH7" s="84">
        <v>0.87370000000000003</v>
      </c>
      <c r="AI7" s="84">
        <v>0.88400000000000001</v>
      </c>
      <c r="AJ7" s="84">
        <v>0.8748999999999999</v>
      </c>
      <c r="AK7" s="84">
        <v>0.87639999999999996</v>
      </c>
      <c r="AL7" s="84">
        <v>0.87560000000000004</v>
      </c>
    </row>
    <row r="8" spans="1:38">
      <c r="A8">
        <v>6</v>
      </c>
      <c r="B8" t="s">
        <v>145</v>
      </c>
      <c r="C8" s="1" t="s">
        <v>102</v>
      </c>
      <c r="D8">
        <f t="shared" si="0"/>
        <v>105</v>
      </c>
      <c r="E8" s="84"/>
      <c r="F8" s="84"/>
      <c r="G8" s="84"/>
      <c r="H8" s="84"/>
      <c r="I8" s="84"/>
      <c r="J8" s="84"/>
      <c r="K8" s="84"/>
      <c r="L8" s="84"/>
      <c r="O8" s="90"/>
      <c r="P8" s="90"/>
      <c r="U8" s="91"/>
      <c r="X8" s="91"/>
      <c r="Y8" s="91"/>
      <c r="AB8" s="90"/>
      <c r="AC8" s="84"/>
      <c r="AD8" s="84"/>
      <c r="AE8" s="84"/>
      <c r="AF8" s="84"/>
      <c r="AG8" s="84"/>
      <c r="AH8" s="84"/>
      <c r="AI8" s="84"/>
      <c r="AJ8" s="84"/>
      <c r="AK8" s="84"/>
      <c r="AL8" s="84"/>
    </row>
    <row r="9" spans="1:38">
      <c r="A9">
        <v>7</v>
      </c>
      <c r="B9" t="s">
        <v>146</v>
      </c>
      <c r="C9" s="1" t="s">
        <v>102</v>
      </c>
      <c r="D9">
        <f t="shared" si="0"/>
        <v>106</v>
      </c>
      <c r="E9" s="84">
        <v>0.61</v>
      </c>
      <c r="F9" s="84">
        <v>0.6</v>
      </c>
      <c r="G9" s="84">
        <v>0.77</v>
      </c>
      <c r="H9" s="84">
        <v>0.90780000000000005</v>
      </c>
      <c r="I9" s="84">
        <v>0.90780000000000005</v>
      </c>
      <c r="J9" s="84">
        <v>0.93870000000000009</v>
      </c>
      <c r="K9" s="84">
        <v>0.93819999999999992</v>
      </c>
      <c r="L9" s="84">
        <v>0.92040000000000011</v>
      </c>
      <c r="O9" s="90" t="s">
        <v>1126</v>
      </c>
      <c r="P9" s="90" t="s">
        <v>102</v>
      </c>
      <c r="U9" s="91">
        <v>90.78</v>
      </c>
      <c r="X9" s="91">
        <v>92.99</v>
      </c>
      <c r="Y9" s="91">
        <v>92.13</v>
      </c>
      <c r="Z9" s="92"/>
      <c r="AB9" s="90" t="s">
        <v>1126</v>
      </c>
      <c r="AC9" s="84">
        <v>0.61</v>
      </c>
      <c r="AD9" s="84">
        <v>0.6</v>
      </c>
      <c r="AE9" s="84">
        <v>0.77</v>
      </c>
      <c r="AF9" s="84">
        <v>0.90780000000000005</v>
      </c>
      <c r="AG9" s="84">
        <v>0.90780000000000005</v>
      </c>
      <c r="AH9" s="84">
        <v>0.93870000000000009</v>
      </c>
      <c r="AI9" s="84">
        <v>0.93819999999999992</v>
      </c>
      <c r="AJ9" s="84">
        <v>0.92989999999999995</v>
      </c>
      <c r="AK9" s="84">
        <v>0.92130000000000001</v>
      </c>
      <c r="AL9" s="84">
        <v>0.92040000000000011</v>
      </c>
    </row>
    <row r="10" spans="1:38">
      <c r="A10">
        <v>8</v>
      </c>
      <c r="B10" t="s">
        <v>148</v>
      </c>
      <c r="C10" s="1" t="s">
        <v>102</v>
      </c>
      <c r="D10">
        <f t="shared" si="0"/>
        <v>107</v>
      </c>
      <c r="E10" s="84">
        <v>0.61</v>
      </c>
      <c r="F10" s="84">
        <v>0.6</v>
      </c>
      <c r="G10" s="84">
        <v>0.77</v>
      </c>
      <c r="H10" s="84">
        <v>0.90780000000000005</v>
      </c>
      <c r="I10" s="84">
        <v>0.90780000000000005</v>
      </c>
      <c r="J10" s="84">
        <v>0.93870000000000009</v>
      </c>
      <c r="K10" s="84">
        <v>0.93879999999999997</v>
      </c>
      <c r="L10" s="84">
        <v>0.93059999999999998</v>
      </c>
      <c r="O10" s="90" t="s">
        <v>1166</v>
      </c>
      <c r="P10" s="90" t="s">
        <v>102</v>
      </c>
      <c r="U10" s="91">
        <v>90.78</v>
      </c>
      <c r="X10" s="91">
        <v>92.99</v>
      </c>
      <c r="Y10" s="91">
        <v>92.13</v>
      </c>
      <c r="AB10" s="90" t="s">
        <v>1166</v>
      </c>
      <c r="AC10" s="84">
        <v>0.61</v>
      </c>
      <c r="AD10" s="84">
        <v>0.6</v>
      </c>
      <c r="AE10" s="84">
        <v>0.77</v>
      </c>
      <c r="AF10" s="84">
        <v>0.90780000000000005</v>
      </c>
      <c r="AG10" s="84">
        <v>0.90780000000000005</v>
      </c>
      <c r="AH10" s="84">
        <v>0.93870000000000009</v>
      </c>
      <c r="AI10" s="84">
        <v>0.93879999999999997</v>
      </c>
      <c r="AJ10" s="84">
        <v>0.92989999999999995</v>
      </c>
      <c r="AK10" s="84">
        <v>0.92130000000000001</v>
      </c>
      <c r="AL10" s="84">
        <v>0.93059999999999998</v>
      </c>
    </row>
    <row r="11" spans="1:38">
      <c r="A11">
        <v>9</v>
      </c>
      <c r="B11" t="s">
        <v>149</v>
      </c>
      <c r="C11" s="1" t="s">
        <v>102</v>
      </c>
      <c r="D11">
        <f t="shared" si="0"/>
        <v>108</v>
      </c>
      <c r="E11" s="84">
        <v>0.64</v>
      </c>
      <c r="F11" s="84">
        <v>0.62</v>
      </c>
      <c r="G11" s="84">
        <v>0.79</v>
      </c>
      <c r="H11" s="84">
        <v>0.89760000000000006</v>
      </c>
      <c r="I11" s="84">
        <v>0.89760000000000006</v>
      </c>
      <c r="J11" s="84">
        <v>0.92849999999999999</v>
      </c>
      <c r="K11" s="84">
        <v>0.92859999999999998</v>
      </c>
      <c r="L11" s="84">
        <v>0.92040000000000011</v>
      </c>
      <c r="O11" s="90" t="s">
        <v>1167</v>
      </c>
      <c r="P11" s="90" t="s">
        <v>102</v>
      </c>
      <c r="U11" s="91">
        <v>89.76</v>
      </c>
      <c r="X11" s="91">
        <v>91.96</v>
      </c>
      <c r="Y11" s="91">
        <v>91.11</v>
      </c>
      <c r="AB11" s="90" t="s">
        <v>1167</v>
      </c>
      <c r="AC11" s="84">
        <v>0.64</v>
      </c>
      <c r="AD11" s="84">
        <v>0.62</v>
      </c>
      <c r="AE11" s="84">
        <v>0.79</v>
      </c>
      <c r="AF11" s="84">
        <v>0.89760000000000006</v>
      </c>
      <c r="AG11" s="84">
        <v>0.89760000000000006</v>
      </c>
      <c r="AH11" s="84">
        <v>0.92849999999999999</v>
      </c>
      <c r="AI11" s="84">
        <v>0.92859999999999998</v>
      </c>
      <c r="AJ11" s="84">
        <v>0.91959999999999997</v>
      </c>
      <c r="AK11" s="84">
        <v>0.91110000000000002</v>
      </c>
      <c r="AL11" s="84">
        <v>0.92040000000000011</v>
      </c>
    </row>
    <row r="12" spans="1:38">
      <c r="A12">
        <v>10</v>
      </c>
      <c r="B12" t="s">
        <v>151</v>
      </c>
      <c r="C12" s="1" t="s">
        <v>102</v>
      </c>
      <c r="D12">
        <f t="shared" si="0"/>
        <v>109</v>
      </c>
      <c r="E12" s="84">
        <v>0.64</v>
      </c>
      <c r="F12" s="84">
        <v>0.62</v>
      </c>
      <c r="G12" s="84">
        <v>0.79</v>
      </c>
      <c r="H12" s="84">
        <v>0.89760000000000006</v>
      </c>
      <c r="I12" s="84">
        <v>0.89760000000000006</v>
      </c>
      <c r="J12" s="84">
        <v>0.92849999999999999</v>
      </c>
      <c r="K12" s="84">
        <v>0.92859999999999998</v>
      </c>
      <c r="L12" s="84">
        <v>0.92040000000000011</v>
      </c>
      <c r="O12" s="90" t="s">
        <v>1168</v>
      </c>
      <c r="P12" s="90" t="s">
        <v>102</v>
      </c>
      <c r="U12" s="91">
        <v>89.76</v>
      </c>
      <c r="X12" s="91">
        <v>91.96</v>
      </c>
      <c r="Y12" s="91">
        <v>91.11</v>
      </c>
      <c r="AB12" s="90" t="s">
        <v>1168</v>
      </c>
      <c r="AC12" s="84">
        <v>0.64</v>
      </c>
      <c r="AD12" s="84">
        <v>0.62</v>
      </c>
      <c r="AE12" s="84">
        <v>0.79</v>
      </c>
      <c r="AF12" s="84">
        <v>0.89760000000000006</v>
      </c>
      <c r="AG12" s="84">
        <v>0.89760000000000006</v>
      </c>
      <c r="AH12" s="84">
        <v>0.92849999999999999</v>
      </c>
      <c r="AI12" s="84">
        <v>0.92859999999999998</v>
      </c>
      <c r="AJ12" s="84">
        <v>0.91959999999999997</v>
      </c>
      <c r="AK12" s="84">
        <v>0.91110000000000002</v>
      </c>
      <c r="AL12" s="84">
        <v>0.92040000000000011</v>
      </c>
    </row>
    <row r="13" spans="1:38">
      <c r="A13">
        <v>11</v>
      </c>
      <c r="B13" t="s">
        <v>152</v>
      </c>
      <c r="C13" s="1" t="s">
        <v>102</v>
      </c>
      <c r="D13">
        <f t="shared" si="0"/>
        <v>110</v>
      </c>
      <c r="E13" s="84">
        <v>0</v>
      </c>
      <c r="F13" s="84">
        <v>0</v>
      </c>
      <c r="G13" s="84">
        <v>0</v>
      </c>
      <c r="H13" s="84">
        <v>0</v>
      </c>
      <c r="I13" s="84">
        <v>0</v>
      </c>
      <c r="J13" s="84">
        <v>0</v>
      </c>
      <c r="K13" s="84">
        <v>0</v>
      </c>
      <c r="L13" s="84">
        <v>0</v>
      </c>
      <c r="O13" s="90" t="s">
        <v>1169</v>
      </c>
      <c r="P13" s="90" t="s">
        <v>102</v>
      </c>
      <c r="U13" s="92"/>
      <c r="V13" s="92"/>
      <c r="W13" s="92"/>
      <c r="X13" s="92"/>
      <c r="Y13" s="92"/>
      <c r="AB13" s="90" t="s">
        <v>1169</v>
      </c>
      <c r="AC13" s="84">
        <v>0</v>
      </c>
      <c r="AD13" s="84">
        <v>0</v>
      </c>
      <c r="AE13" s="84">
        <v>0</v>
      </c>
      <c r="AF13" s="84">
        <v>0</v>
      </c>
      <c r="AG13" s="84">
        <v>0</v>
      </c>
      <c r="AH13" s="84">
        <v>0</v>
      </c>
      <c r="AI13" s="84">
        <v>0</v>
      </c>
      <c r="AJ13" s="84">
        <v>0</v>
      </c>
      <c r="AK13" s="84">
        <v>0</v>
      </c>
      <c r="AL13" s="84">
        <v>0</v>
      </c>
    </row>
    <row r="14" spans="1:38">
      <c r="A14">
        <v>12</v>
      </c>
      <c r="B14" t="s">
        <v>154</v>
      </c>
      <c r="C14" s="1" t="s">
        <v>102</v>
      </c>
      <c r="D14">
        <f t="shared" si="0"/>
        <v>111</v>
      </c>
      <c r="E14" s="84">
        <v>0.45</v>
      </c>
      <c r="F14" s="84">
        <v>0.44</v>
      </c>
      <c r="G14" s="84">
        <v>0.57999999999999996</v>
      </c>
      <c r="H14" s="84">
        <v>0.68340000000000001</v>
      </c>
      <c r="I14" s="84">
        <v>0.68340000000000001</v>
      </c>
      <c r="J14" s="84">
        <v>0.71420000000000006</v>
      </c>
      <c r="K14" s="84">
        <v>0.72439999999999993</v>
      </c>
      <c r="L14" s="84">
        <v>0.72629999999999995</v>
      </c>
      <c r="O14" s="90" t="s">
        <v>733</v>
      </c>
      <c r="P14" s="90" t="s">
        <v>102</v>
      </c>
      <c r="U14" s="91">
        <v>68.34</v>
      </c>
      <c r="X14" s="91">
        <v>74.61</v>
      </c>
      <c r="Y14" s="91">
        <v>72.7</v>
      </c>
      <c r="Z14" s="92"/>
      <c r="AB14" s="90" t="s">
        <v>733</v>
      </c>
      <c r="AC14" s="84">
        <v>0.45</v>
      </c>
      <c r="AD14" s="84">
        <v>0.44</v>
      </c>
      <c r="AE14" s="84">
        <v>0.57999999999999996</v>
      </c>
      <c r="AF14" s="84">
        <v>0.68340000000000001</v>
      </c>
      <c r="AG14" s="84">
        <v>0.68340000000000001</v>
      </c>
      <c r="AH14" s="84">
        <v>0.71420000000000006</v>
      </c>
      <c r="AI14" s="84">
        <v>0.72439999999999993</v>
      </c>
      <c r="AJ14" s="84">
        <v>0.74609999999999999</v>
      </c>
      <c r="AK14" s="84">
        <v>0.72699999999999998</v>
      </c>
      <c r="AL14" s="84">
        <v>0.72629999999999995</v>
      </c>
    </row>
    <row r="15" spans="1:38">
      <c r="A15">
        <v>13</v>
      </c>
      <c r="B15" t="s">
        <v>155</v>
      </c>
      <c r="C15" s="1" t="s">
        <v>102</v>
      </c>
      <c r="D15">
        <f t="shared" si="0"/>
        <v>112</v>
      </c>
      <c r="E15" s="84">
        <v>0.5</v>
      </c>
      <c r="F15" s="84">
        <v>0.48</v>
      </c>
      <c r="G15" s="84">
        <v>0.63</v>
      </c>
      <c r="H15" s="84">
        <v>0.73439999999999994</v>
      </c>
      <c r="I15" s="84">
        <v>0.73439999999999994</v>
      </c>
      <c r="J15" s="84">
        <v>0.77540000000000009</v>
      </c>
      <c r="K15" s="84">
        <v>0.77540000000000009</v>
      </c>
      <c r="L15" s="84">
        <v>0.78760000000000008</v>
      </c>
      <c r="O15" s="90" t="s">
        <v>1170</v>
      </c>
      <c r="P15" s="90" t="s">
        <v>102</v>
      </c>
      <c r="U15" s="91">
        <v>73.44</v>
      </c>
      <c r="X15" s="91">
        <v>80.73</v>
      </c>
      <c r="Y15" s="91">
        <v>78.83</v>
      </c>
      <c r="AB15" s="90" t="s">
        <v>1170</v>
      </c>
      <c r="AC15" s="84">
        <v>0.5</v>
      </c>
      <c r="AD15" s="84">
        <v>0.48</v>
      </c>
      <c r="AE15" s="84">
        <v>0.63</v>
      </c>
      <c r="AF15" s="84">
        <v>0.73439999999999994</v>
      </c>
      <c r="AG15" s="84">
        <v>0.73439999999999994</v>
      </c>
      <c r="AH15" s="84">
        <v>0.77540000000000009</v>
      </c>
      <c r="AI15" s="84">
        <v>0.77540000000000009</v>
      </c>
      <c r="AJ15" s="84">
        <v>0.80730000000000002</v>
      </c>
      <c r="AK15" s="84">
        <v>0.7883</v>
      </c>
      <c r="AL15" s="84">
        <v>0.78760000000000008</v>
      </c>
    </row>
    <row r="16" spans="1:38">
      <c r="A16">
        <v>14</v>
      </c>
      <c r="B16" t="s">
        <v>157</v>
      </c>
      <c r="C16" s="1" t="s">
        <v>102</v>
      </c>
      <c r="D16">
        <f t="shared" si="0"/>
        <v>113</v>
      </c>
      <c r="E16" s="84">
        <v>0.51</v>
      </c>
      <c r="F16" s="84">
        <v>0.5</v>
      </c>
      <c r="G16" s="84">
        <v>0.65</v>
      </c>
      <c r="H16" s="84">
        <v>0.75480000000000003</v>
      </c>
      <c r="I16" s="84">
        <v>0.75480000000000003</v>
      </c>
      <c r="J16" s="84">
        <v>0.80599999999999994</v>
      </c>
      <c r="K16" s="84">
        <v>0.80599999999999994</v>
      </c>
      <c r="L16" s="84">
        <v>0.80799999999999994</v>
      </c>
      <c r="O16" s="90" t="s">
        <v>1171</v>
      </c>
      <c r="P16" s="90" t="s">
        <v>102</v>
      </c>
      <c r="U16" s="91">
        <v>75.48</v>
      </c>
      <c r="X16" s="91">
        <v>82.77</v>
      </c>
      <c r="Y16" s="91">
        <v>80.88</v>
      </c>
      <c r="AB16" s="90" t="s">
        <v>1171</v>
      </c>
      <c r="AC16" s="84">
        <v>0.51</v>
      </c>
      <c r="AD16" s="84">
        <v>0.5</v>
      </c>
      <c r="AE16" s="84">
        <v>0.65</v>
      </c>
      <c r="AF16" s="84">
        <v>0.75480000000000003</v>
      </c>
      <c r="AG16" s="84">
        <v>0.75480000000000003</v>
      </c>
      <c r="AH16" s="84">
        <v>0.80599999999999994</v>
      </c>
      <c r="AI16" s="84">
        <v>0.80599999999999994</v>
      </c>
      <c r="AJ16" s="84">
        <v>0.82769999999999999</v>
      </c>
      <c r="AK16" s="84">
        <v>0.80879999999999996</v>
      </c>
      <c r="AL16" s="84">
        <v>0.80799999999999994</v>
      </c>
    </row>
    <row r="17" spans="1:38">
      <c r="A17">
        <v>15</v>
      </c>
      <c r="B17" t="s">
        <v>158</v>
      </c>
      <c r="C17" s="1" t="s">
        <v>102</v>
      </c>
      <c r="D17">
        <f t="shared" si="0"/>
        <v>114</v>
      </c>
      <c r="E17" s="84">
        <v>0.51</v>
      </c>
      <c r="F17" s="84">
        <v>0.5</v>
      </c>
      <c r="G17" s="84">
        <v>0.65</v>
      </c>
      <c r="H17" s="84">
        <v>0.75480000000000003</v>
      </c>
      <c r="I17" s="84">
        <v>0.75480000000000003</v>
      </c>
      <c r="J17" s="84">
        <v>0.80599999999999994</v>
      </c>
      <c r="K17" s="84">
        <v>0.80599999999999994</v>
      </c>
      <c r="L17" s="84">
        <v>0.80799999999999994</v>
      </c>
      <c r="O17" s="90" t="s">
        <v>1172</v>
      </c>
      <c r="P17" s="90" t="s">
        <v>102</v>
      </c>
      <c r="U17" s="91">
        <v>75.48</v>
      </c>
      <c r="X17" s="91">
        <v>82.77</v>
      </c>
      <c r="Y17" s="91">
        <v>80.88</v>
      </c>
      <c r="AB17" s="90" t="s">
        <v>1172</v>
      </c>
      <c r="AC17" s="84">
        <v>0.51</v>
      </c>
      <c r="AD17" s="84">
        <v>0.5</v>
      </c>
      <c r="AE17" s="84">
        <v>0.65</v>
      </c>
      <c r="AF17" s="84">
        <v>0.75480000000000003</v>
      </c>
      <c r="AG17" s="84">
        <v>0.75480000000000003</v>
      </c>
      <c r="AH17" s="84">
        <v>0.80599999999999994</v>
      </c>
      <c r="AI17" s="84">
        <v>0.80599999999999994</v>
      </c>
      <c r="AJ17" s="84">
        <v>0.82769999999999999</v>
      </c>
      <c r="AK17" s="84">
        <v>0.80879999999999996</v>
      </c>
      <c r="AL17" s="84">
        <v>0.80799999999999994</v>
      </c>
    </row>
    <row r="18" spans="1:38">
      <c r="A18">
        <v>16</v>
      </c>
      <c r="B18" t="s">
        <v>160</v>
      </c>
      <c r="C18" s="1" t="s">
        <v>102</v>
      </c>
      <c r="D18">
        <f t="shared" si="0"/>
        <v>115</v>
      </c>
      <c r="E18" s="84">
        <v>0</v>
      </c>
      <c r="F18" s="84">
        <v>0</v>
      </c>
      <c r="G18" s="84">
        <v>0</v>
      </c>
      <c r="H18" s="84">
        <v>0</v>
      </c>
      <c r="I18" s="84">
        <v>0</v>
      </c>
      <c r="J18" s="84">
        <v>0</v>
      </c>
      <c r="K18" s="84">
        <v>0</v>
      </c>
      <c r="L18" s="84">
        <v>0</v>
      </c>
      <c r="O18" s="90" t="s">
        <v>1173</v>
      </c>
      <c r="P18" s="90" t="s">
        <v>102</v>
      </c>
      <c r="U18" s="92"/>
      <c r="V18" s="92"/>
      <c r="W18" s="92"/>
      <c r="X18" s="92"/>
      <c r="Y18" s="92"/>
      <c r="AB18" s="90" t="s">
        <v>1173</v>
      </c>
      <c r="AC18" s="84">
        <v>0</v>
      </c>
      <c r="AD18" s="84">
        <v>0</v>
      </c>
      <c r="AE18" s="84">
        <v>0</v>
      </c>
      <c r="AF18" s="84">
        <v>0</v>
      </c>
      <c r="AG18" s="84">
        <v>0</v>
      </c>
      <c r="AH18" s="84">
        <v>0</v>
      </c>
      <c r="AI18" s="84">
        <v>0</v>
      </c>
      <c r="AJ18" s="84">
        <v>0</v>
      </c>
      <c r="AK18" s="84">
        <v>0</v>
      </c>
      <c r="AL18" s="84">
        <v>0</v>
      </c>
    </row>
    <row r="19" spans="1:38">
      <c r="A19">
        <v>17</v>
      </c>
      <c r="B19" t="s">
        <v>161</v>
      </c>
      <c r="C19" s="1" t="s">
        <v>102</v>
      </c>
      <c r="D19">
        <f t="shared" si="0"/>
        <v>116</v>
      </c>
      <c r="E19" s="84">
        <v>0.56000000000000005</v>
      </c>
      <c r="F19" s="84">
        <v>0.55000000000000004</v>
      </c>
      <c r="G19" s="84">
        <v>0.68</v>
      </c>
      <c r="H19" s="84">
        <v>0.7770999999999999</v>
      </c>
      <c r="I19" s="84">
        <v>0.7770999999999999</v>
      </c>
      <c r="J19" s="84">
        <v>0.82</v>
      </c>
      <c r="K19" s="84">
        <v>0.82</v>
      </c>
      <c r="L19" s="84">
        <v>0.86260000000000003</v>
      </c>
      <c r="O19" s="90" t="s">
        <v>734</v>
      </c>
      <c r="P19" s="90" t="s">
        <v>102</v>
      </c>
      <c r="U19" s="91">
        <v>77.72</v>
      </c>
      <c r="X19" s="91">
        <v>86.21</v>
      </c>
      <c r="Y19" s="91">
        <v>85.33</v>
      </c>
      <c r="Z19" s="92"/>
      <c r="AB19" s="90" t="s">
        <v>734</v>
      </c>
      <c r="AC19" s="84">
        <v>0.56000000000000005</v>
      </c>
      <c r="AD19" s="84">
        <v>0.55000000000000004</v>
      </c>
      <c r="AE19" s="84">
        <v>0.68</v>
      </c>
      <c r="AF19" s="84">
        <v>0.7770999999999999</v>
      </c>
      <c r="AG19" s="84">
        <v>0.7772</v>
      </c>
      <c r="AH19" s="84">
        <v>0.82</v>
      </c>
      <c r="AI19" s="84">
        <v>0.82</v>
      </c>
      <c r="AJ19" s="84">
        <v>0.86209999999999998</v>
      </c>
      <c r="AK19" s="84">
        <v>0.85329999999999995</v>
      </c>
      <c r="AL19" s="84">
        <v>0.86260000000000003</v>
      </c>
    </row>
    <row r="20" spans="1:38">
      <c r="A20">
        <v>18</v>
      </c>
      <c r="B20" t="s">
        <v>163</v>
      </c>
      <c r="C20" s="1" t="s">
        <v>102</v>
      </c>
      <c r="D20">
        <f t="shared" si="0"/>
        <v>117</v>
      </c>
      <c r="E20" s="84">
        <v>0.57999999999999996</v>
      </c>
      <c r="F20" s="84">
        <v>0.56999999999999995</v>
      </c>
      <c r="G20" s="84">
        <v>0.71</v>
      </c>
      <c r="H20" s="84">
        <v>0.80769999999999997</v>
      </c>
      <c r="I20" s="84">
        <v>0.80769999999999997</v>
      </c>
      <c r="J20" s="84">
        <v>0.78939999999999999</v>
      </c>
      <c r="K20" s="84">
        <v>0.78939999999999999</v>
      </c>
      <c r="L20" s="84">
        <v>0.77049999999999996</v>
      </c>
      <c r="O20" s="90" t="s">
        <v>1174</v>
      </c>
      <c r="P20" s="90" t="s">
        <v>102</v>
      </c>
      <c r="U20" s="91">
        <v>80.78</v>
      </c>
      <c r="X20" s="91">
        <v>79.05</v>
      </c>
      <c r="Y20" s="91">
        <v>78.16</v>
      </c>
      <c r="AB20" s="90" t="s">
        <v>1174</v>
      </c>
      <c r="AC20" s="84">
        <v>0.57999999999999996</v>
      </c>
      <c r="AD20" s="84">
        <v>0.56999999999999995</v>
      </c>
      <c r="AE20" s="84">
        <v>0.71</v>
      </c>
      <c r="AF20" s="84">
        <v>0.80769999999999997</v>
      </c>
      <c r="AG20" s="84">
        <v>0.80779999999999996</v>
      </c>
      <c r="AH20" s="84">
        <v>0.78939999999999999</v>
      </c>
      <c r="AI20" s="84">
        <v>0.78939999999999999</v>
      </c>
      <c r="AJ20" s="84">
        <v>0.79049999999999998</v>
      </c>
      <c r="AK20" s="84">
        <v>0.78159999999999996</v>
      </c>
      <c r="AL20" s="84">
        <v>0.77049999999999996</v>
      </c>
    </row>
    <row r="21" spans="1:38">
      <c r="A21">
        <v>19</v>
      </c>
      <c r="B21" t="s">
        <v>164</v>
      </c>
      <c r="C21" s="1" t="s">
        <v>102</v>
      </c>
      <c r="D21">
        <f t="shared" si="0"/>
        <v>118</v>
      </c>
      <c r="E21" s="84">
        <v>0.59</v>
      </c>
      <c r="F21" s="84">
        <v>0.57999999999999996</v>
      </c>
      <c r="G21" s="84">
        <v>0.71</v>
      </c>
      <c r="H21" s="84">
        <v>0.80769999999999997</v>
      </c>
      <c r="I21" s="84">
        <v>0.80769999999999997</v>
      </c>
      <c r="J21" s="84">
        <v>0.78939999999999999</v>
      </c>
      <c r="K21" s="84">
        <v>0.78939999999999999</v>
      </c>
      <c r="L21" s="84">
        <v>0.77049999999999996</v>
      </c>
      <c r="O21" s="90" t="s">
        <v>1175</v>
      </c>
      <c r="P21" s="90" t="s">
        <v>102</v>
      </c>
      <c r="U21" s="91">
        <v>80.78</v>
      </c>
      <c r="X21" s="91">
        <v>79.05</v>
      </c>
      <c r="Y21" s="91">
        <v>79.180000000000007</v>
      </c>
      <c r="AB21" s="90" t="s">
        <v>1175</v>
      </c>
      <c r="AC21" s="84">
        <v>0.59</v>
      </c>
      <c r="AD21" s="84">
        <v>0.57999999999999996</v>
      </c>
      <c r="AE21" s="84">
        <v>0.71</v>
      </c>
      <c r="AF21" s="84">
        <v>0.80769999999999997</v>
      </c>
      <c r="AG21" s="84">
        <v>0.80779999999999996</v>
      </c>
      <c r="AH21" s="84">
        <v>0.78939999999999999</v>
      </c>
      <c r="AI21" s="84">
        <v>0.78939999999999999</v>
      </c>
      <c r="AJ21" s="84">
        <v>0.79049999999999998</v>
      </c>
      <c r="AK21" s="84">
        <v>0.79180000000000006</v>
      </c>
      <c r="AL21" s="84">
        <v>0.77049999999999996</v>
      </c>
    </row>
    <row r="22" spans="1:38">
      <c r="A22">
        <v>20</v>
      </c>
      <c r="B22" t="s">
        <v>166</v>
      </c>
      <c r="C22" s="1" t="s">
        <v>102</v>
      </c>
      <c r="D22">
        <f t="shared" si="0"/>
        <v>119</v>
      </c>
      <c r="E22" s="84">
        <v>0.61</v>
      </c>
      <c r="F22" s="84">
        <v>0.6</v>
      </c>
      <c r="G22" s="84">
        <v>0.74</v>
      </c>
      <c r="H22" s="84">
        <v>0.83840000000000003</v>
      </c>
      <c r="I22" s="84">
        <v>0.83840000000000003</v>
      </c>
      <c r="J22" s="84">
        <v>0.82</v>
      </c>
      <c r="K22" s="84">
        <v>0.82</v>
      </c>
      <c r="L22" s="84">
        <v>0.80120000000000002</v>
      </c>
      <c r="O22" s="90" t="s">
        <v>1176</v>
      </c>
      <c r="P22" s="90" t="s">
        <v>102</v>
      </c>
      <c r="U22" s="91">
        <v>83.85</v>
      </c>
      <c r="X22" s="91">
        <v>82.12</v>
      </c>
      <c r="Y22" s="91">
        <v>82.25</v>
      </c>
      <c r="AB22" s="90" t="s">
        <v>1176</v>
      </c>
      <c r="AC22" s="84">
        <v>0.61</v>
      </c>
      <c r="AD22" s="84">
        <v>0.6</v>
      </c>
      <c r="AE22" s="84">
        <v>0.74</v>
      </c>
      <c r="AF22" s="84">
        <v>0.83840000000000003</v>
      </c>
      <c r="AG22" s="84">
        <v>0.83849999999999991</v>
      </c>
      <c r="AH22" s="84">
        <v>0.82</v>
      </c>
      <c r="AI22" s="84">
        <v>0.82</v>
      </c>
      <c r="AJ22" s="84">
        <v>0.82120000000000004</v>
      </c>
      <c r="AK22" s="84">
        <v>0.82250000000000001</v>
      </c>
      <c r="AL22" s="84">
        <v>0.80120000000000002</v>
      </c>
    </row>
    <row r="23" spans="1:38">
      <c r="A23">
        <v>21</v>
      </c>
      <c r="B23" t="s">
        <v>167</v>
      </c>
      <c r="C23" s="1" t="s">
        <v>102</v>
      </c>
      <c r="D23">
        <f t="shared" si="0"/>
        <v>120</v>
      </c>
      <c r="E23" s="84">
        <v>0.61</v>
      </c>
      <c r="F23" s="84">
        <v>0.6</v>
      </c>
      <c r="G23" s="84">
        <v>0.74</v>
      </c>
      <c r="H23" s="84">
        <v>0.83840000000000003</v>
      </c>
      <c r="I23" s="84">
        <v>0.83840000000000003</v>
      </c>
      <c r="J23" s="84">
        <v>0.82</v>
      </c>
      <c r="K23" s="84">
        <v>0.82</v>
      </c>
      <c r="L23" s="84">
        <v>0.80120000000000002</v>
      </c>
      <c r="O23" s="90" t="s">
        <v>1177</v>
      </c>
      <c r="P23" s="90" t="s">
        <v>102</v>
      </c>
      <c r="U23" s="91">
        <v>83.85</v>
      </c>
      <c r="X23" s="91">
        <v>82.12</v>
      </c>
      <c r="Y23" s="91">
        <v>82.25</v>
      </c>
      <c r="AB23" s="90" t="s">
        <v>1177</v>
      </c>
      <c r="AC23" s="84">
        <v>0.61</v>
      </c>
      <c r="AD23" s="84">
        <v>0.6</v>
      </c>
      <c r="AE23" s="84">
        <v>0.74</v>
      </c>
      <c r="AF23" s="84">
        <v>0.83840000000000003</v>
      </c>
      <c r="AG23" s="84">
        <v>0.83849999999999991</v>
      </c>
      <c r="AH23" s="84">
        <v>0.82</v>
      </c>
      <c r="AI23" s="84">
        <v>0.82</v>
      </c>
      <c r="AJ23" s="84">
        <v>0.82120000000000004</v>
      </c>
      <c r="AK23" s="84">
        <v>0.82250000000000001</v>
      </c>
      <c r="AL23" s="84">
        <v>0.80120000000000002</v>
      </c>
    </row>
    <row r="24" spans="1:38">
      <c r="A24">
        <v>22</v>
      </c>
      <c r="B24" t="s">
        <v>169</v>
      </c>
      <c r="C24" s="1" t="s">
        <v>102</v>
      </c>
      <c r="D24">
        <f t="shared" si="0"/>
        <v>121</v>
      </c>
      <c r="E24" s="84">
        <v>0.61</v>
      </c>
      <c r="F24" s="84">
        <v>0.6</v>
      </c>
      <c r="G24" s="84">
        <v>0.74</v>
      </c>
      <c r="H24" s="84">
        <v>0.83840000000000003</v>
      </c>
      <c r="I24" s="84">
        <v>0.83840000000000003</v>
      </c>
      <c r="J24" s="84">
        <v>0.82</v>
      </c>
      <c r="K24" s="84">
        <v>0.82</v>
      </c>
      <c r="L24" s="84">
        <v>0.80120000000000002</v>
      </c>
      <c r="O24" s="90" t="s">
        <v>1178</v>
      </c>
      <c r="P24" s="90" t="s">
        <v>102</v>
      </c>
      <c r="U24" s="91">
        <v>83.85</v>
      </c>
      <c r="X24" s="91">
        <v>82.12</v>
      </c>
      <c r="Y24" s="91">
        <v>82.25</v>
      </c>
      <c r="AB24" s="90" t="s">
        <v>1178</v>
      </c>
      <c r="AC24" s="84">
        <v>0.61</v>
      </c>
      <c r="AD24" s="84">
        <v>0.6</v>
      </c>
      <c r="AE24" s="84">
        <v>0.74</v>
      </c>
      <c r="AF24" s="84">
        <v>0.83840000000000003</v>
      </c>
      <c r="AG24" s="84">
        <v>0.83849999999999991</v>
      </c>
      <c r="AH24" s="84">
        <v>0.82</v>
      </c>
      <c r="AI24" s="84">
        <v>0.82</v>
      </c>
      <c r="AJ24" s="84">
        <v>0.82120000000000004</v>
      </c>
      <c r="AK24" s="84">
        <v>0.82250000000000001</v>
      </c>
      <c r="AL24" s="84">
        <v>0.80120000000000002</v>
      </c>
    </row>
    <row r="25" spans="1:38">
      <c r="A25">
        <v>23</v>
      </c>
      <c r="B25" t="s">
        <v>170</v>
      </c>
      <c r="C25" s="1" t="s">
        <v>102</v>
      </c>
      <c r="D25">
        <f t="shared" si="0"/>
        <v>122</v>
      </c>
      <c r="E25" s="84">
        <v>0.70239999999999991</v>
      </c>
      <c r="F25" s="84">
        <v>0.67709999999999992</v>
      </c>
      <c r="G25" s="84">
        <v>0.83640000000000003</v>
      </c>
      <c r="H25" s="84">
        <v>0.9516</v>
      </c>
      <c r="I25" s="84">
        <v>0.9516</v>
      </c>
      <c r="J25" s="84">
        <v>0.94299999999999995</v>
      </c>
      <c r="K25" s="84">
        <v>0.94290000000000007</v>
      </c>
      <c r="L25" s="84">
        <v>0.98849999999999993</v>
      </c>
      <c r="O25" s="90" t="s">
        <v>735</v>
      </c>
      <c r="P25" s="90" t="s">
        <v>102</v>
      </c>
      <c r="U25" s="91">
        <v>95.15</v>
      </c>
      <c r="X25" s="91">
        <v>96.6</v>
      </c>
      <c r="Y25" s="91">
        <v>100.04</v>
      </c>
      <c r="AB25" s="90" t="s">
        <v>735</v>
      </c>
      <c r="AC25" s="84">
        <v>0.70239999999999991</v>
      </c>
      <c r="AD25" s="84">
        <v>0.67709999999999992</v>
      </c>
      <c r="AE25" s="84">
        <v>0.83640000000000003</v>
      </c>
      <c r="AF25" s="84">
        <v>0.9516</v>
      </c>
      <c r="AG25" s="84">
        <v>0.95150000000000001</v>
      </c>
      <c r="AH25" s="84">
        <v>0.94299999999999995</v>
      </c>
      <c r="AI25" s="84">
        <v>0.94290000000000007</v>
      </c>
      <c r="AJ25" s="84">
        <v>0.96599999999999997</v>
      </c>
      <c r="AK25" s="84">
        <v>1.0004</v>
      </c>
      <c r="AL25" s="84">
        <v>0.98849999999999993</v>
      </c>
    </row>
    <row r="26" spans="1:38">
      <c r="A26">
        <v>24</v>
      </c>
      <c r="B26" t="s">
        <v>172</v>
      </c>
      <c r="C26" s="1" t="s">
        <v>102</v>
      </c>
      <c r="D26">
        <f t="shared" si="0"/>
        <v>123</v>
      </c>
      <c r="E26" s="84">
        <v>0.60899999999999999</v>
      </c>
      <c r="F26" s="84">
        <v>0.58509999999999995</v>
      </c>
      <c r="G26" s="84">
        <v>0.73560000000000003</v>
      </c>
      <c r="H26" s="84">
        <v>0.84450000000000003</v>
      </c>
      <c r="I26" s="84">
        <v>0.84450000000000003</v>
      </c>
      <c r="J26" s="84">
        <v>0.83629999999999993</v>
      </c>
      <c r="K26" s="84">
        <v>0.83629999999999993</v>
      </c>
      <c r="L26" s="84">
        <v>0.87939999999999996</v>
      </c>
      <c r="O26" s="90" t="s">
        <v>1179</v>
      </c>
      <c r="P26" s="90" t="s">
        <v>102</v>
      </c>
      <c r="U26" s="91">
        <v>84.44</v>
      </c>
      <c r="X26" s="91">
        <v>85.81</v>
      </c>
      <c r="Y26" s="91">
        <v>89.06</v>
      </c>
      <c r="AB26" s="90" t="s">
        <v>1179</v>
      </c>
      <c r="AC26" s="84">
        <v>0.60899999999999999</v>
      </c>
      <c r="AD26" s="84">
        <v>0.58509999999999995</v>
      </c>
      <c r="AE26" s="84">
        <v>0.73560000000000003</v>
      </c>
      <c r="AF26" s="84">
        <v>0.84450000000000003</v>
      </c>
      <c r="AG26" s="84">
        <v>0.84439999999999993</v>
      </c>
      <c r="AH26" s="84">
        <v>0.83629999999999993</v>
      </c>
      <c r="AI26" s="84">
        <v>0.83629999999999993</v>
      </c>
      <c r="AJ26" s="84">
        <v>0.85809999999999997</v>
      </c>
      <c r="AK26" s="84">
        <v>0.89060000000000006</v>
      </c>
      <c r="AL26" s="84">
        <v>0.87939999999999996</v>
      </c>
    </row>
    <row r="27" spans="1:38">
      <c r="A27">
        <v>25</v>
      </c>
      <c r="B27" t="s">
        <v>173</v>
      </c>
      <c r="C27" s="1" t="s">
        <v>102</v>
      </c>
      <c r="D27">
        <f t="shared" si="0"/>
        <v>124</v>
      </c>
      <c r="E27" s="84">
        <v>0.67336000000000018</v>
      </c>
      <c r="F27" s="84">
        <v>0.64850400000000008</v>
      </c>
      <c r="G27" s="84">
        <v>0.80502399999999996</v>
      </c>
      <c r="H27" s="84">
        <v>0.91827999999999999</v>
      </c>
      <c r="I27" s="84">
        <v>0.91827999999999999</v>
      </c>
      <c r="J27" s="84">
        <v>0.90975200000000001</v>
      </c>
      <c r="K27" s="84">
        <v>0.90975200000000001</v>
      </c>
      <c r="L27" s="84">
        <v>0.95457600000000009</v>
      </c>
      <c r="O27" s="90" t="s">
        <v>1180</v>
      </c>
      <c r="P27" s="90" t="s">
        <v>102</v>
      </c>
      <c r="U27" s="91">
        <v>91.817599999999999</v>
      </c>
      <c r="X27" s="91">
        <v>93.242400000000004</v>
      </c>
      <c r="Y27" s="91">
        <v>96.622399999999999</v>
      </c>
      <c r="AB27" s="90" t="s">
        <v>1180</v>
      </c>
      <c r="AC27" s="84">
        <v>0.67336000000000018</v>
      </c>
      <c r="AD27" s="84">
        <v>0.64850400000000008</v>
      </c>
      <c r="AE27" s="84">
        <v>0.80502399999999996</v>
      </c>
      <c r="AF27" s="84">
        <v>0.91827999999999999</v>
      </c>
      <c r="AG27" s="84">
        <v>0.91817599999999999</v>
      </c>
      <c r="AH27" s="84">
        <v>0.90975200000000001</v>
      </c>
      <c r="AI27" s="84">
        <v>0.90975200000000001</v>
      </c>
      <c r="AJ27" s="84">
        <v>0.93242400000000003</v>
      </c>
      <c r="AK27" s="84">
        <v>0.96622399999999997</v>
      </c>
      <c r="AL27" s="84">
        <v>0.95457600000000009</v>
      </c>
    </row>
    <row r="28" spans="1:38">
      <c r="A28">
        <v>26</v>
      </c>
      <c r="B28" t="s">
        <v>175</v>
      </c>
      <c r="C28" s="1" t="s">
        <v>102</v>
      </c>
      <c r="D28">
        <f t="shared" si="0"/>
        <v>125</v>
      </c>
      <c r="E28" s="84">
        <v>0.73772000000000015</v>
      </c>
      <c r="F28" s="84">
        <v>0.71190799999999999</v>
      </c>
      <c r="G28" s="84">
        <v>0.87444800000000011</v>
      </c>
      <c r="H28" s="84">
        <v>0.99205999999999994</v>
      </c>
      <c r="I28" s="84">
        <v>0.99205999999999994</v>
      </c>
      <c r="J28" s="84">
        <v>0.98320400000000008</v>
      </c>
      <c r="K28" s="84">
        <v>0.98320400000000008</v>
      </c>
      <c r="L28" s="84">
        <v>1.029752</v>
      </c>
      <c r="O28" s="90" t="s">
        <v>1180</v>
      </c>
      <c r="P28" s="90" t="s">
        <v>102</v>
      </c>
      <c r="U28" s="91">
        <v>99.1952</v>
      </c>
      <c r="X28" s="91">
        <v>100.6748</v>
      </c>
      <c r="Y28" s="91">
        <v>104.18480000000002</v>
      </c>
      <c r="AB28" s="90" t="s">
        <v>1180</v>
      </c>
      <c r="AC28" s="84">
        <v>0.73772000000000015</v>
      </c>
      <c r="AD28" s="84">
        <v>0.71190799999999999</v>
      </c>
      <c r="AE28" s="84">
        <v>0.87444800000000011</v>
      </c>
      <c r="AF28" s="84">
        <v>0.99205999999999994</v>
      </c>
      <c r="AG28" s="84">
        <v>0.99195199999999994</v>
      </c>
      <c r="AH28" s="84">
        <v>0.98320400000000008</v>
      </c>
      <c r="AI28" s="84">
        <v>0.98320400000000008</v>
      </c>
      <c r="AJ28" s="84">
        <v>1.006748</v>
      </c>
      <c r="AK28" s="84">
        <v>1.0418480000000003</v>
      </c>
      <c r="AL28" s="84">
        <v>1.029752</v>
      </c>
    </row>
    <row r="29" spans="1:38">
      <c r="A29">
        <v>27</v>
      </c>
      <c r="B29" t="s">
        <v>176</v>
      </c>
      <c r="C29" s="1" t="s">
        <v>102</v>
      </c>
      <c r="D29">
        <f t="shared" si="0"/>
        <v>126</v>
      </c>
      <c r="E29" s="84">
        <v>0.69950000000000001</v>
      </c>
      <c r="F29" s="84">
        <v>0.68900000000000006</v>
      </c>
      <c r="G29" s="84">
        <v>0.85790000000000011</v>
      </c>
      <c r="H29" s="84">
        <v>1.0112999999999999</v>
      </c>
      <c r="I29" s="84">
        <v>1.0112999999999999</v>
      </c>
      <c r="J29" s="84">
        <v>1.0456999999999999</v>
      </c>
      <c r="K29" s="84">
        <v>1.0339</v>
      </c>
      <c r="L29" s="84">
        <v>1.1040999999999999</v>
      </c>
      <c r="O29" s="90" t="s">
        <v>1128</v>
      </c>
      <c r="P29" s="90" t="s">
        <v>102</v>
      </c>
      <c r="U29" s="91">
        <v>101.13</v>
      </c>
      <c r="X29" s="91">
        <v>109.24</v>
      </c>
      <c r="Y29" s="91">
        <v>112.75</v>
      </c>
      <c r="AB29" s="90" t="s">
        <v>1128</v>
      </c>
      <c r="AC29" s="84">
        <v>0.69950000000000001</v>
      </c>
      <c r="AD29" s="84">
        <v>0.68900000000000006</v>
      </c>
      <c r="AE29" s="84">
        <v>0.85790000000000011</v>
      </c>
      <c r="AF29" s="84">
        <v>1.0112999999999999</v>
      </c>
      <c r="AG29" s="84">
        <v>1.0112999999999999</v>
      </c>
      <c r="AH29" s="84">
        <v>1.0456999999999999</v>
      </c>
      <c r="AI29" s="84">
        <v>1.0339</v>
      </c>
      <c r="AJ29" s="84">
        <v>1.0924</v>
      </c>
      <c r="AK29" s="84">
        <v>1.1274999999999999</v>
      </c>
      <c r="AL29" s="84">
        <v>1.1040999999999999</v>
      </c>
    </row>
    <row r="30" spans="1:38">
      <c r="A30">
        <v>28</v>
      </c>
      <c r="B30" t="s">
        <v>178</v>
      </c>
      <c r="C30" s="1" t="s">
        <v>102</v>
      </c>
      <c r="D30">
        <f t="shared" si="0"/>
        <v>127</v>
      </c>
      <c r="E30" s="84">
        <v>0.63</v>
      </c>
      <c r="F30" s="84">
        <v>0.62</v>
      </c>
      <c r="G30" s="84">
        <v>0.78200000000000003</v>
      </c>
      <c r="H30" s="84">
        <v>0.92909999999999993</v>
      </c>
      <c r="I30" s="84">
        <v>0.92909999999999993</v>
      </c>
      <c r="J30" s="84">
        <v>0.96209999999999996</v>
      </c>
      <c r="K30" s="84">
        <v>0.95079999999999998</v>
      </c>
      <c r="L30" s="84">
        <v>1.0181</v>
      </c>
      <c r="O30" s="90" t="s">
        <v>1181</v>
      </c>
      <c r="P30" s="90" t="s">
        <v>102</v>
      </c>
      <c r="U30" s="91">
        <v>92.91</v>
      </c>
      <c r="X30" s="91">
        <v>100.69</v>
      </c>
      <c r="Y30" s="91">
        <v>104.05</v>
      </c>
      <c r="AB30" s="90" t="s">
        <v>1181</v>
      </c>
      <c r="AC30" s="84">
        <v>0.63</v>
      </c>
      <c r="AD30" s="84">
        <v>0.62</v>
      </c>
      <c r="AE30" s="84">
        <v>0.78200000000000003</v>
      </c>
      <c r="AF30" s="84">
        <v>0.92909999999999993</v>
      </c>
      <c r="AG30" s="84">
        <v>0.92909999999999993</v>
      </c>
      <c r="AH30" s="84">
        <v>0.96209999999999996</v>
      </c>
      <c r="AI30" s="84">
        <v>0.95079999999999998</v>
      </c>
      <c r="AJ30" s="84">
        <v>1.0068999999999999</v>
      </c>
      <c r="AK30" s="84">
        <v>1.0405</v>
      </c>
      <c r="AL30" s="84">
        <v>1.0181</v>
      </c>
    </row>
    <row r="31" spans="1:38">
      <c r="A31">
        <v>29</v>
      </c>
      <c r="B31" t="s">
        <v>179</v>
      </c>
      <c r="C31" s="1" t="s">
        <v>102</v>
      </c>
      <c r="D31">
        <f t="shared" si="0"/>
        <v>128</v>
      </c>
      <c r="E31" s="84">
        <v>0.63</v>
      </c>
      <c r="F31" s="84">
        <v>0.62</v>
      </c>
      <c r="G31" s="84">
        <v>0.78200000000000003</v>
      </c>
      <c r="H31" s="84">
        <v>0.92909999999999993</v>
      </c>
      <c r="I31" s="84">
        <v>0.92909999999999993</v>
      </c>
      <c r="J31" s="84">
        <v>0.96209999999999996</v>
      </c>
      <c r="K31" s="84">
        <v>0.95079999999999998</v>
      </c>
      <c r="L31" s="84">
        <v>1.0181</v>
      </c>
      <c r="O31" s="90" t="s">
        <v>1182</v>
      </c>
      <c r="P31" s="90" t="s">
        <v>102</v>
      </c>
      <c r="U31" s="91">
        <v>92.91</v>
      </c>
      <c r="X31" s="91">
        <v>100.69</v>
      </c>
      <c r="Y31" s="91">
        <v>104.05</v>
      </c>
      <c r="AB31" s="90" t="s">
        <v>1182</v>
      </c>
      <c r="AC31" s="84">
        <v>0.63</v>
      </c>
      <c r="AD31" s="84">
        <v>0.62</v>
      </c>
      <c r="AE31" s="84">
        <v>0.78200000000000003</v>
      </c>
      <c r="AF31" s="84">
        <v>0.92909999999999993</v>
      </c>
      <c r="AG31" s="84">
        <v>0.92909999999999993</v>
      </c>
      <c r="AH31" s="84">
        <v>0.96209999999999996</v>
      </c>
      <c r="AI31" s="84">
        <v>0.95079999999999998</v>
      </c>
      <c r="AJ31" s="84">
        <v>1.0068999999999999</v>
      </c>
      <c r="AK31" s="84">
        <v>1.0405</v>
      </c>
      <c r="AL31" s="84">
        <v>1.0181</v>
      </c>
    </row>
    <row r="32" spans="1:38">
      <c r="A32">
        <v>29</v>
      </c>
      <c r="B32" t="s">
        <v>138</v>
      </c>
      <c r="C32" s="1" t="s">
        <v>103</v>
      </c>
      <c r="D32">
        <v>200</v>
      </c>
      <c r="E32" s="84">
        <v>0.27410000000000001</v>
      </c>
      <c r="F32" s="84">
        <v>0.26179999999999998</v>
      </c>
      <c r="G32" s="84">
        <v>0.25230000000000002</v>
      </c>
      <c r="H32" s="84">
        <v>0.26929999999999998</v>
      </c>
      <c r="I32" s="84">
        <v>0.26929999999999998</v>
      </c>
      <c r="J32" s="84">
        <v>0.28670000000000001</v>
      </c>
      <c r="K32" s="84">
        <v>0.28389999999999999</v>
      </c>
      <c r="L32" s="84">
        <v>0.38429999999999997</v>
      </c>
      <c r="O32" s="94" t="s">
        <v>138</v>
      </c>
      <c r="P32" s="94" t="s">
        <v>103</v>
      </c>
      <c r="U32" s="91">
        <v>26.93</v>
      </c>
      <c r="X32" s="91">
        <v>29.68</v>
      </c>
      <c r="Y32" s="91">
        <v>27.12</v>
      </c>
      <c r="AB32" t="s">
        <v>138</v>
      </c>
      <c r="AC32" s="84">
        <v>0.27410000000000001</v>
      </c>
      <c r="AD32" s="84">
        <v>0.26179999999999998</v>
      </c>
      <c r="AE32" s="84">
        <v>0.25230000000000002</v>
      </c>
      <c r="AF32" s="84">
        <v>0.26929999999999998</v>
      </c>
      <c r="AG32" s="84">
        <v>0.26929999999999998</v>
      </c>
      <c r="AH32" s="84">
        <v>0.28670000000000001</v>
      </c>
      <c r="AI32" s="84">
        <v>0.28389999999999999</v>
      </c>
      <c r="AJ32" s="84">
        <v>0.29680000000000001</v>
      </c>
      <c r="AK32" s="84">
        <v>0.2712</v>
      </c>
      <c r="AL32" s="84">
        <v>0.38429999999999997</v>
      </c>
    </row>
    <row r="33" spans="1:38">
      <c r="A33">
        <v>30</v>
      </c>
      <c r="B33" t="s">
        <v>139</v>
      </c>
      <c r="C33" s="1" t="s">
        <v>103</v>
      </c>
      <c r="D33">
        <f>+D32+1</f>
        <v>201</v>
      </c>
      <c r="E33" s="84">
        <v>0.28000000000000003</v>
      </c>
      <c r="F33" s="84">
        <v>0.28000000000000003</v>
      </c>
      <c r="G33" s="84">
        <v>0.28000000000000003</v>
      </c>
      <c r="H33" s="84">
        <v>0.3</v>
      </c>
      <c r="I33" s="84">
        <v>0.3</v>
      </c>
      <c r="J33" s="84">
        <v>0.32</v>
      </c>
      <c r="K33" s="84">
        <v>0.31</v>
      </c>
      <c r="L33" s="84">
        <v>0.42</v>
      </c>
      <c r="O33" s="94" t="s">
        <v>139</v>
      </c>
      <c r="P33" s="94" t="s">
        <v>103</v>
      </c>
      <c r="U33" s="91">
        <v>30</v>
      </c>
      <c r="X33" s="91">
        <v>33</v>
      </c>
      <c r="Y33" s="91">
        <v>31</v>
      </c>
      <c r="AB33" t="s">
        <v>139</v>
      </c>
      <c r="AC33" s="84">
        <v>0.28000000000000003</v>
      </c>
      <c r="AD33" s="84">
        <v>0.28000000000000003</v>
      </c>
      <c r="AE33" s="84">
        <v>0.28000000000000003</v>
      </c>
      <c r="AF33" s="84">
        <v>0.3</v>
      </c>
      <c r="AG33" s="84">
        <v>0.3</v>
      </c>
      <c r="AH33" s="84">
        <v>0.32</v>
      </c>
      <c r="AI33" s="84">
        <v>0.31</v>
      </c>
      <c r="AJ33" s="84">
        <v>0.33</v>
      </c>
      <c r="AK33" s="84">
        <v>0.31</v>
      </c>
      <c r="AL33" s="84">
        <v>0.42</v>
      </c>
    </row>
    <row r="34" spans="1:38">
      <c r="A34">
        <v>31</v>
      </c>
      <c r="B34" t="s">
        <v>140</v>
      </c>
      <c r="C34" s="1" t="s">
        <v>103</v>
      </c>
      <c r="D34">
        <f t="shared" ref="D34:D60" si="1">+D33+1</f>
        <v>202</v>
      </c>
      <c r="E34" s="84">
        <v>0.28000000000000003</v>
      </c>
      <c r="F34" s="84">
        <v>0.28000000000000003</v>
      </c>
      <c r="G34" s="84">
        <v>0.28000000000000003</v>
      </c>
      <c r="H34" s="84">
        <v>0.35200000000000004</v>
      </c>
      <c r="I34" s="84">
        <v>0.35200000000000004</v>
      </c>
      <c r="J34" s="84">
        <v>0.3992</v>
      </c>
      <c r="K34" s="84">
        <v>0.3886</v>
      </c>
      <c r="L34" s="84">
        <v>0.50519999999999998</v>
      </c>
      <c r="O34" s="94" t="s">
        <v>1164</v>
      </c>
      <c r="P34" s="94" t="s">
        <v>103</v>
      </c>
      <c r="U34" s="91">
        <v>35.200000000000003</v>
      </c>
      <c r="X34" s="91">
        <v>40.98</v>
      </c>
      <c r="Y34" s="91">
        <v>38.86</v>
      </c>
      <c r="AB34" t="s">
        <v>1164</v>
      </c>
      <c r="AC34" s="84">
        <v>0.28000000000000003</v>
      </c>
      <c r="AD34" s="84">
        <v>0.28000000000000003</v>
      </c>
      <c r="AE34" s="84">
        <v>0.28000000000000003</v>
      </c>
      <c r="AF34" s="84">
        <v>0.35200000000000004</v>
      </c>
      <c r="AG34" s="84">
        <v>0.35200000000000004</v>
      </c>
      <c r="AH34" s="84">
        <v>0.3992</v>
      </c>
      <c r="AI34" s="84">
        <v>0.3886</v>
      </c>
      <c r="AJ34" s="84">
        <v>0.40979999999999994</v>
      </c>
      <c r="AK34" s="84">
        <v>0.3886</v>
      </c>
      <c r="AL34" s="84">
        <v>0.50519999999999998</v>
      </c>
    </row>
    <row r="35" spans="1:38">
      <c r="A35">
        <v>32</v>
      </c>
      <c r="B35" t="s">
        <v>142</v>
      </c>
      <c r="C35" s="1" t="s">
        <v>103</v>
      </c>
      <c r="D35">
        <f t="shared" si="1"/>
        <v>203</v>
      </c>
      <c r="E35" s="84">
        <v>0.56059999999999999</v>
      </c>
      <c r="F35" s="84">
        <v>0.56059999999999999</v>
      </c>
      <c r="G35" s="84">
        <v>0.56059999999999999</v>
      </c>
      <c r="H35" s="84">
        <v>0.72450000000000003</v>
      </c>
      <c r="I35" s="84">
        <v>0.72450000000000003</v>
      </c>
      <c r="J35" s="84">
        <v>0.73260000000000003</v>
      </c>
      <c r="K35" s="84">
        <v>0.73260000000000003</v>
      </c>
      <c r="L35" s="84">
        <v>0.71450000000000002</v>
      </c>
      <c r="O35" s="94" t="s">
        <v>142</v>
      </c>
      <c r="P35" s="94" t="s">
        <v>103</v>
      </c>
      <c r="U35" s="91">
        <v>72.45</v>
      </c>
      <c r="X35" s="91">
        <v>72.38</v>
      </c>
      <c r="Y35" s="91">
        <v>72.55</v>
      </c>
      <c r="AB35" t="s">
        <v>142</v>
      </c>
      <c r="AC35" s="84">
        <v>0.56059999999999999</v>
      </c>
      <c r="AD35" s="84">
        <v>0.56059999999999999</v>
      </c>
      <c r="AE35" s="84">
        <v>0.56059999999999999</v>
      </c>
      <c r="AF35" s="84">
        <v>0.72450000000000003</v>
      </c>
      <c r="AG35" s="84">
        <v>0.72450000000000003</v>
      </c>
      <c r="AH35" s="84">
        <v>0.73260000000000003</v>
      </c>
      <c r="AI35" s="84">
        <v>0.73260000000000003</v>
      </c>
      <c r="AJ35" s="84">
        <v>0.7238</v>
      </c>
      <c r="AK35" s="84">
        <v>0.72549999999999992</v>
      </c>
      <c r="AL35" s="84">
        <v>0.71450000000000002</v>
      </c>
    </row>
    <row r="36" spans="1:38">
      <c r="A36">
        <v>33</v>
      </c>
      <c r="B36" t="s">
        <v>143</v>
      </c>
      <c r="C36" s="1" t="s">
        <v>103</v>
      </c>
      <c r="D36">
        <f t="shared" si="1"/>
        <v>204</v>
      </c>
      <c r="E36" s="84">
        <v>0.72</v>
      </c>
      <c r="F36" s="84">
        <v>0.72</v>
      </c>
      <c r="G36" s="84">
        <v>0.72</v>
      </c>
      <c r="H36" s="84">
        <v>0.89439999999999997</v>
      </c>
      <c r="I36" s="84">
        <v>0.89439999999999997</v>
      </c>
      <c r="J36" s="84">
        <v>0.91220000000000001</v>
      </c>
      <c r="K36" s="84">
        <v>0.91220000000000001</v>
      </c>
      <c r="L36" s="84">
        <v>0.89480000000000004</v>
      </c>
      <c r="O36" s="94" t="s">
        <v>1165</v>
      </c>
      <c r="P36" s="94" t="s">
        <v>103</v>
      </c>
      <c r="U36" s="91">
        <v>89.43</v>
      </c>
      <c r="X36" s="91">
        <v>89.36</v>
      </c>
      <c r="Y36" s="91">
        <v>89.55</v>
      </c>
      <c r="AB36" t="s">
        <v>1165</v>
      </c>
      <c r="AC36" s="84">
        <v>0.72</v>
      </c>
      <c r="AD36" s="84">
        <v>0.72</v>
      </c>
      <c r="AE36" s="84">
        <v>0.72</v>
      </c>
      <c r="AF36" s="84">
        <v>0.89439999999999997</v>
      </c>
      <c r="AG36" s="84">
        <v>0.89430000000000009</v>
      </c>
      <c r="AH36" s="84">
        <v>0.91220000000000001</v>
      </c>
      <c r="AI36" s="84">
        <v>0.91220000000000001</v>
      </c>
      <c r="AJ36" s="84">
        <v>0.89359999999999995</v>
      </c>
      <c r="AK36" s="84">
        <v>0.89549999999999996</v>
      </c>
      <c r="AL36" s="84">
        <v>0.89480000000000004</v>
      </c>
    </row>
    <row r="37" spans="1:38">
      <c r="A37">
        <v>34</v>
      </c>
      <c r="B37" t="s">
        <v>145</v>
      </c>
      <c r="C37" s="1" t="s">
        <v>103</v>
      </c>
      <c r="D37">
        <f t="shared" si="1"/>
        <v>205</v>
      </c>
      <c r="E37" s="84"/>
      <c r="F37" s="84"/>
      <c r="G37" s="84"/>
      <c r="H37" s="84"/>
      <c r="I37" s="84"/>
      <c r="J37" s="84"/>
      <c r="K37" s="84"/>
      <c r="L37" s="84"/>
      <c r="O37" s="94"/>
      <c r="P37" s="94"/>
      <c r="U37" s="91"/>
      <c r="X37" s="91"/>
      <c r="Y37" s="91"/>
      <c r="AC37" s="84"/>
      <c r="AD37" s="84"/>
      <c r="AE37" s="84"/>
      <c r="AF37" s="84"/>
      <c r="AG37" s="84"/>
      <c r="AH37" s="84"/>
      <c r="AI37" s="84"/>
      <c r="AJ37" s="84"/>
      <c r="AK37" s="84"/>
      <c r="AL37" s="84"/>
    </row>
    <row r="38" spans="1:38">
      <c r="A38">
        <v>35</v>
      </c>
      <c r="B38" t="s">
        <v>146</v>
      </c>
      <c r="C38" s="1" t="s">
        <v>103</v>
      </c>
      <c r="D38">
        <f t="shared" si="1"/>
        <v>206</v>
      </c>
      <c r="E38" s="84">
        <v>0.89</v>
      </c>
      <c r="F38" s="84">
        <v>0.89</v>
      </c>
      <c r="G38" s="84">
        <v>0.89</v>
      </c>
      <c r="H38" s="84">
        <v>0.99750000000000005</v>
      </c>
      <c r="I38" s="84">
        <v>0.99750000000000005</v>
      </c>
      <c r="J38" s="84">
        <v>1.0164</v>
      </c>
      <c r="K38" s="84">
        <v>1.0165</v>
      </c>
      <c r="L38" s="84">
        <v>0.99879999999999991</v>
      </c>
      <c r="O38" s="94" t="s">
        <v>1126</v>
      </c>
      <c r="P38" s="94" t="s">
        <v>103</v>
      </c>
      <c r="U38" s="91">
        <v>99.75</v>
      </c>
      <c r="X38" s="91">
        <v>100.79</v>
      </c>
      <c r="Y38" s="91">
        <v>99.97</v>
      </c>
      <c r="AB38" t="s">
        <v>1126</v>
      </c>
      <c r="AC38" s="84">
        <v>0.89</v>
      </c>
      <c r="AD38" s="84">
        <v>0.89</v>
      </c>
      <c r="AE38" s="84">
        <v>0.89</v>
      </c>
      <c r="AF38" s="84">
        <v>0.99750000000000005</v>
      </c>
      <c r="AG38" s="84">
        <v>0.99750000000000005</v>
      </c>
      <c r="AH38" s="84">
        <v>1.0164</v>
      </c>
      <c r="AI38" s="84">
        <v>1.0165</v>
      </c>
      <c r="AJ38" s="84">
        <v>1.0079</v>
      </c>
      <c r="AK38" s="84">
        <v>0.99970000000000003</v>
      </c>
      <c r="AL38" s="84">
        <v>0.99879999999999991</v>
      </c>
    </row>
    <row r="39" spans="1:38">
      <c r="A39">
        <v>36</v>
      </c>
      <c r="B39" t="s">
        <v>148</v>
      </c>
      <c r="C39" s="1" t="s">
        <v>103</v>
      </c>
      <c r="D39">
        <f t="shared" si="1"/>
        <v>207</v>
      </c>
      <c r="E39" s="84">
        <v>0.89</v>
      </c>
      <c r="F39" s="84">
        <v>0.89</v>
      </c>
      <c r="G39" s="84">
        <v>0.89</v>
      </c>
      <c r="H39" s="84">
        <v>0.99750000000000005</v>
      </c>
      <c r="I39" s="84">
        <v>0.99750000000000005</v>
      </c>
      <c r="J39" s="84">
        <v>1.0164</v>
      </c>
      <c r="K39" s="84">
        <v>1.0165</v>
      </c>
      <c r="L39" s="84">
        <v>0.99879999999999991</v>
      </c>
      <c r="O39" s="94" t="s">
        <v>1166</v>
      </c>
      <c r="P39" s="94" t="s">
        <v>103</v>
      </c>
      <c r="U39" s="91">
        <v>99.75</v>
      </c>
      <c r="X39" s="91">
        <v>100.79</v>
      </c>
      <c r="Y39" s="91">
        <v>99.97</v>
      </c>
      <c r="AB39" t="s">
        <v>1166</v>
      </c>
      <c r="AC39" s="84">
        <v>0.89</v>
      </c>
      <c r="AD39" s="84">
        <v>0.89</v>
      </c>
      <c r="AE39" s="84">
        <v>0.89</v>
      </c>
      <c r="AF39" s="84">
        <v>0.99750000000000005</v>
      </c>
      <c r="AG39" s="84">
        <v>0.99750000000000005</v>
      </c>
      <c r="AH39" s="84">
        <v>1.0164</v>
      </c>
      <c r="AI39" s="84">
        <v>1.0165</v>
      </c>
      <c r="AJ39" s="84">
        <v>1.0079</v>
      </c>
      <c r="AK39" s="84">
        <v>0.99970000000000003</v>
      </c>
      <c r="AL39" s="84">
        <v>0.99879999999999991</v>
      </c>
    </row>
    <row r="40" spans="1:38">
      <c r="A40">
        <v>37</v>
      </c>
      <c r="B40" t="s">
        <v>149</v>
      </c>
      <c r="C40" s="1" t="s">
        <v>103</v>
      </c>
      <c r="D40">
        <f t="shared" si="1"/>
        <v>208</v>
      </c>
      <c r="E40" s="84">
        <v>0.87</v>
      </c>
      <c r="F40" s="84">
        <v>0.86</v>
      </c>
      <c r="G40" s="84">
        <v>0.86</v>
      </c>
      <c r="H40" s="84">
        <v>0.98549999999999993</v>
      </c>
      <c r="I40" s="84">
        <v>0.98549999999999993</v>
      </c>
      <c r="J40" s="84">
        <v>1.0048000000000001</v>
      </c>
      <c r="K40" s="84">
        <v>1.0048999999999999</v>
      </c>
      <c r="L40" s="84">
        <v>0.97640000000000005</v>
      </c>
      <c r="O40" s="94" t="s">
        <v>1167</v>
      </c>
      <c r="P40" s="94" t="s">
        <v>103</v>
      </c>
      <c r="U40" s="91">
        <v>98.55</v>
      </c>
      <c r="X40" s="91">
        <v>101.69</v>
      </c>
      <c r="Y40" s="91">
        <v>98.76</v>
      </c>
      <c r="AB40" t="s">
        <v>1167</v>
      </c>
      <c r="AC40" s="84">
        <v>0.87</v>
      </c>
      <c r="AD40" s="84">
        <v>0.86</v>
      </c>
      <c r="AE40" s="84">
        <v>0.86</v>
      </c>
      <c r="AF40" s="84">
        <v>0.98549999999999993</v>
      </c>
      <c r="AG40" s="84">
        <v>0.98549999999999993</v>
      </c>
      <c r="AH40" s="84">
        <v>1.0048000000000001</v>
      </c>
      <c r="AI40" s="84">
        <v>1.0048999999999999</v>
      </c>
      <c r="AJ40" s="84">
        <v>1.0168999999999999</v>
      </c>
      <c r="AK40" s="84">
        <v>0.98760000000000003</v>
      </c>
      <c r="AL40" s="84">
        <v>0.97640000000000005</v>
      </c>
    </row>
    <row r="41" spans="1:38">
      <c r="A41">
        <v>38</v>
      </c>
      <c r="B41" t="s">
        <v>151</v>
      </c>
      <c r="C41" s="1" t="s">
        <v>103</v>
      </c>
      <c r="D41">
        <f t="shared" si="1"/>
        <v>209</v>
      </c>
      <c r="E41" s="84">
        <v>0.87</v>
      </c>
      <c r="F41" s="84">
        <v>0.86</v>
      </c>
      <c r="G41" s="84">
        <v>0.86</v>
      </c>
      <c r="H41" s="84">
        <v>0.98549999999999993</v>
      </c>
      <c r="I41" s="84">
        <v>0.98549999999999993</v>
      </c>
      <c r="J41" s="84">
        <v>1.0048000000000001</v>
      </c>
      <c r="K41" s="84">
        <v>1.0048999999999999</v>
      </c>
      <c r="L41" s="84">
        <v>0.97640000000000005</v>
      </c>
      <c r="O41" s="94" t="s">
        <v>1168</v>
      </c>
      <c r="P41" s="94" t="s">
        <v>103</v>
      </c>
      <c r="U41" s="91">
        <v>98.55</v>
      </c>
      <c r="X41" s="91">
        <v>101.69</v>
      </c>
      <c r="Y41" s="91">
        <v>98.76</v>
      </c>
      <c r="AB41" t="s">
        <v>1168</v>
      </c>
      <c r="AC41" s="84">
        <v>0.87</v>
      </c>
      <c r="AD41" s="84">
        <v>0.86</v>
      </c>
      <c r="AE41" s="84">
        <v>0.86</v>
      </c>
      <c r="AF41" s="84">
        <v>0.98549999999999993</v>
      </c>
      <c r="AG41" s="84">
        <v>0.98549999999999993</v>
      </c>
      <c r="AH41" s="84">
        <v>1.0048000000000001</v>
      </c>
      <c r="AI41" s="84">
        <v>1.0048999999999999</v>
      </c>
      <c r="AJ41" s="84">
        <v>1.0168999999999999</v>
      </c>
      <c r="AK41" s="84">
        <v>0.98760000000000003</v>
      </c>
      <c r="AL41" s="84">
        <v>0.97640000000000005</v>
      </c>
    </row>
    <row r="42" spans="1:38">
      <c r="A42">
        <v>39</v>
      </c>
      <c r="B42" t="s">
        <v>152</v>
      </c>
      <c r="C42" s="1" t="s">
        <v>103</v>
      </c>
      <c r="D42">
        <f t="shared" si="1"/>
        <v>210</v>
      </c>
      <c r="E42" s="84">
        <v>0</v>
      </c>
      <c r="F42" s="84">
        <v>0</v>
      </c>
      <c r="G42" s="84">
        <v>0</v>
      </c>
      <c r="H42" s="84">
        <v>0</v>
      </c>
      <c r="I42" s="84">
        <v>0</v>
      </c>
      <c r="J42" s="84">
        <v>0</v>
      </c>
      <c r="K42" s="84">
        <v>0</v>
      </c>
      <c r="L42" s="84">
        <v>0</v>
      </c>
      <c r="O42" s="94" t="s">
        <v>1169</v>
      </c>
      <c r="P42" s="94" t="s">
        <v>103</v>
      </c>
      <c r="Q42" s="92"/>
      <c r="R42" s="92"/>
      <c r="S42" s="92"/>
      <c r="T42" s="92"/>
      <c r="U42" s="92"/>
      <c r="V42" s="92"/>
      <c r="W42" s="92"/>
      <c r="X42" s="92"/>
      <c r="Y42" s="92"/>
      <c r="AB42" t="s">
        <v>1169</v>
      </c>
      <c r="AC42" s="84">
        <v>0</v>
      </c>
      <c r="AD42" s="84">
        <v>0</v>
      </c>
      <c r="AE42" s="84">
        <v>0</v>
      </c>
      <c r="AF42" s="84">
        <v>0</v>
      </c>
      <c r="AG42" s="84">
        <v>0</v>
      </c>
      <c r="AH42" s="84">
        <v>0</v>
      </c>
      <c r="AI42" s="84">
        <v>0</v>
      </c>
      <c r="AJ42" s="84">
        <v>0</v>
      </c>
      <c r="AK42" s="84">
        <v>0</v>
      </c>
      <c r="AL42" s="84">
        <v>0</v>
      </c>
    </row>
    <row r="43" spans="1:38">
      <c r="A43">
        <v>40</v>
      </c>
      <c r="B43" t="s">
        <v>154</v>
      </c>
      <c r="C43" s="1" t="s">
        <v>103</v>
      </c>
      <c r="D43">
        <f t="shared" si="1"/>
        <v>211</v>
      </c>
      <c r="E43" s="84">
        <v>0.93640000000000001</v>
      </c>
      <c r="F43" s="84">
        <v>0.93640000000000001</v>
      </c>
      <c r="G43" s="84">
        <v>0.93640000000000001</v>
      </c>
      <c r="H43" s="84">
        <v>1.0482</v>
      </c>
      <c r="I43" s="84">
        <v>1.0482</v>
      </c>
      <c r="J43" s="84">
        <v>1.1277999999999999</v>
      </c>
      <c r="K43" s="84">
        <v>1.1277999999999999</v>
      </c>
      <c r="L43" s="84">
        <v>1.0798999999999999</v>
      </c>
      <c r="O43" s="94" t="s">
        <v>733</v>
      </c>
      <c r="P43" s="94" t="s">
        <v>103</v>
      </c>
      <c r="U43" s="91">
        <v>104.82</v>
      </c>
      <c r="X43" s="91">
        <v>113.98</v>
      </c>
      <c r="Y43" s="91">
        <v>109.08</v>
      </c>
      <c r="AB43" t="s">
        <v>733</v>
      </c>
      <c r="AC43" s="84">
        <v>0.93640000000000001</v>
      </c>
      <c r="AD43" s="84">
        <v>0.93640000000000001</v>
      </c>
      <c r="AE43" s="84">
        <v>0.93640000000000001</v>
      </c>
      <c r="AF43" s="84">
        <v>1.0482</v>
      </c>
      <c r="AG43" s="84">
        <v>1.0482</v>
      </c>
      <c r="AH43" s="84">
        <v>1.1277999999999999</v>
      </c>
      <c r="AI43" s="84">
        <v>1.1277999999999999</v>
      </c>
      <c r="AJ43" s="84">
        <v>1.1398000000000001</v>
      </c>
      <c r="AK43" s="84">
        <v>1.0908</v>
      </c>
      <c r="AL43" s="84">
        <v>1.0798999999999999</v>
      </c>
    </row>
    <row r="44" spans="1:38">
      <c r="A44">
        <v>41</v>
      </c>
      <c r="B44" t="s">
        <v>155</v>
      </c>
      <c r="C44" s="1" t="s">
        <v>103</v>
      </c>
      <c r="D44">
        <f t="shared" si="1"/>
        <v>212</v>
      </c>
      <c r="E44" s="84">
        <v>0.8</v>
      </c>
      <c r="F44" s="84">
        <v>0.8</v>
      </c>
      <c r="G44" s="84">
        <v>0.8</v>
      </c>
      <c r="H44" s="84">
        <v>0.9667</v>
      </c>
      <c r="I44" s="84">
        <v>0.9667</v>
      </c>
      <c r="J44" s="84">
        <v>1.0362</v>
      </c>
      <c r="K44" s="84">
        <v>1.0362</v>
      </c>
      <c r="L44" s="84">
        <v>0.98809999999999998</v>
      </c>
      <c r="O44" s="94" t="s">
        <v>1170</v>
      </c>
      <c r="P44" s="94" t="s">
        <v>103</v>
      </c>
      <c r="U44" s="91">
        <v>96.67</v>
      </c>
      <c r="X44" s="91">
        <v>104.81</v>
      </c>
      <c r="Y44" s="91">
        <v>99.9</v>
      </c>
      <c r="AB44" t="s">
        <v>1170</v>
      </c>
      <c r="AC44" s="84">
        <v>0.8</v>
      </c>
      <c r="AD44" s="84">
        <v>0.8</v>
      </c>
      <c r="AE44" s="84">
        <v>0.8</v>
      </c>
      <c r="AF44" s="84">
        <v>0.9667</v>
      </c>
      <c r="AG44" s="84">
        <v>0.9667</v>
      </c>
      <c r="AH44" s="84">
        <v>1.0362</v>
      </c>
      <c r="AI44" s="84">
        <v>1.0362</v>
      </c>
      <c r="AJ44" s="84">
        <v>1.0481</v>
      </c>
      <c r="AK44" s="84">
        <v>0.99900000000000011</v>
      </c>
      <c r="AL44" s="84">
        <v>0.98809999999999998</v>
      </c>
    </row>
    <row r="45" spans="1:38">
      <c r="A45">
        <v>42</v>
      </c>
      <c r="B45" t="s">
        <v>157</v>
      </c>
      <c r="C45" s="1" t="s">
        <v>103</v>
      </c>
      <c r="D45">
        <f t="shared" si="1"/>
        <v>213</v>
      </c>
      <c r="E45" s="84">
        <v>0.8</v>
      </c>
      <c r="F45" s="84">
        <v>0.8</v>
      </c>
      <c r="G45" s="84">
        <v>0.8</v>
      </c>
      <c r="H45" s="84">
        <v>0.9667</v>
      </c>
      <c r="I45" s="84">
        <v>0.9667</v>
      </c>
      <c r="J45" s="84">
        <v>1.0362</v>
      </c>
      <c r="K45" s="84">
        <v>1.0362</v>
      </c>
      <c r="L45" s="84">
        <v>0.98809999999999998</v>
      </c>
      <c r="O45" s="94" t="s">
        <v>1171</v>
      </c>
      <c r="P45" s="94" t="s">
        <v>103</v>
      </c>
      <c r="U45" s="91">
        <v>96.67</v>
      </c>
      <c r="X45" s="91">
        <v>104.81</v>
      </c>
      <c r="Y45" s="91">
        <v>99.9</v>
      </c>
      <c r="AB45" t="s">
        <v>1171</v>
      </c>
      <c r="AC45" s="84">
        <v>0.8</v>
      </c>
      <c r="AD45" s="84">
        <v>0.8</v>
      </c>
      <c r="AE45" s="84">
        <v>0.8</v>
      </c>
      <c r="AF45" s="84">
        <v>0.9667</v>
      </c>
      <c r="AG45" s="84">
        <v>0.9667</v>
      </c>
      <c r="AH45" s="84">
        <v>1.0362</v>
      </c>
      <c r="AI45" s="84">
        <v>1.0362</v>
      </c>
      <c r="AJ45" s="84">
        <v>1.0481</v>
      </c>
      <c r="AK45" s="84">
        <v>0.99900000000000011</v>
      </c>
      <c r="AL45" s="84">
        <v>0.98809999999999998</v>
      </c>
    </row>
    <row r="46" spans="1:38">
      <c r="A46">
        <v>43</v>
      </c>
      <c r="B46" t="s">
        <v>158</v>
      </c>
      <c r="C46" s="1" t="s">
        <v>103</v>
      </c>
      <c r="D46">
        <f t="shared" si="1"/>
        <v>214</v>
      </c>
      <c r="E46" s="84">
        <v>0.76469999999999994</v>
      </c>
      <c r="F46" s="84">
        <v>0.76469999999999994</v>
      </c>
      <c r="G46" s="84">
        <v>0.76469999999999994</v>
      </c>
      <c r="H46" s="84">
        <v>0.92810000000000004</v>
      </c>
      <c r="I46" s="84">
        <v>0.92810000000000004</v>
      </c>
      <c r="J46" s="84">
        <v>0.99629999999999996</v>
      </c>
      <c r="K46" s="84">
        <v>0.99629999999999996</v>
      </c>
      <c r="L46" s="84">
        <v>0.94909999999999994</v>
      </c>
      <c r="O46" s="94" t="s">
        <v>1172</v>
      </c>
      <c r="P46" s="94" t="s">
        <v>103</v>
      </c>
      <c r="U46" s="91">
        <v>92.81</v>
      </c>
      <c r="X46" s="91">
        <v>100.8</v>
      </c>
      <c r="Y46" s="91">
        <v>95.98</v>
      </c>
      <c r="AB46" t="s">
        <v>1172</v>
      </c>
      <c r="AC46" s="84">
        <v>0.76469999999999994</v>
      </c>
      <c r="AD46" s="84">
        <v>0.76469999999999994</v>
      </c>
      <c r="AE46" s="84">
        <v>0.76469999999999994</v>
      </c>
      <c r="AF46" s="84">
        <v>0.92810000000000004</v>
      </c>
      <c r="AG46" s="84">
        <v>0.92810000000000004</v>
      </c>
      <c r="AH46" s="84">
        <v>0.99629999999999996</v>
      </c>
      <c r="AI46" s="84">
        <v>0.99629999999999996</v>
      </c>
      <c r="AJ46" s="84">
        <v>1.008</v>
      </c>
      <c r="AK46" s="84">
        <v>0.95979999999999999</v>
      </c>
      <c r="AL46" s="84">
        <v>0.94909999999999994</v>
      </c>
    </row>
    <row r="47" spans="1:38">
      <c r="A47">
        <v>44</v>
      </c>
      <c r="B47" t="s">
        <v>160</v>
      </c>
      <c r="C47" s="1" t="s">
        <v>103</v>
      </c>
      <c r="D47">
        <f t="shared" si="1"/>
        <v>215</v>
      </c>
      <c r="E47" s="84">
        <v>0</v>
      </c>
      <c r="F47" s="84">
        <v>0</v>
      </c>
      <c r="G47" s="84">
        <v>0</v>
      </c>
      <c r="H47" s="84">
        <v>0</v>
      </c>
      <c r="I47" s="84">
        <v>0</v>
      </c>
      <c r="J47" s="84">
        <v>0</v>
      </c>
      <c r="K47" s="84">
        <v>0</v>
      </c>
      <c r="L47" s="84">
        <v>0</v>
      </c>
      <c r="O47" s="94" t="s">
        <v>1173</v>
      </c>
      <c r="P47" s="94" t="s">
        <v>103</v>
      </c>
      <c r="Q47" s="92"/>
      <c r="R47" s="92"/>
      <c r="S47" s="92"/>
      <c r="T47" s="92"/>
      <c r="U47" s="92"/>
      <c r="V47" s="92"/>
      <c r="W47" s="92"/>
      <c r="X47" s="92"/>
      <c r="Y47" s="92"/>
      <c r="AB47" t="s">
        <v>1173</v>
      </c>
      <c r="AC47" s="84">
        <v>0</v>
      </c>
      <c r="AD47" s="84">
        <v>0</v>
      </c>
      <c r="AE47" s="84">
        <v>0</v>
      </c>
      <c r="AF47" s="84">
        <v>0</v>
      </c>
      <c r="AG47" s="84">
        <v>0</v>
      </c>
      <c r="AH47" s="84">
        <v>0</v>
      </c>
      <c r="AI47" s="84">
        <v>0</v>
      </c>
      <c r="AJ47" s="84">
        <v>0</v>
      </c>
      <c r="AK47" s="84">
        <v>0</v>
      </c>
      <c r="AL47" s="84">
        <v>0</v>
      </c>
    </row>
    <row r="48" spans="1:38">
      <c r="A48">
        <v>45</v>
      </c>
      <c r="B48" t="s">
        <v>161</v>
      </c>
      <c r="C48" s="1" t="s">
        <v>103</v>
      </c>
      <c r="D48">
        <f t="shared" si="1"/>
        <v>216</v>
      </c>
      <c r="E48" s="84">
        <v>0.87</v>
      </c>
      <c r="F48" s="84">
        <v>0.82</v>
      </c>
      <c r="G48" s="84">
        <v>0.86</v>
      </c>
      <c r="H48" s="84">
        <v>0.92010000000000003</v>
      </c>
      <c r="I48" s="84">
        <v>0.92010000000000003</v>
      </c>
      <c r="J48" s="84">
        <v>0.9325</v>
      </c>
      <c r="K48" s="84">
        <v>0.9325</v>
      </c>
      <c r="L48" s="84">
        <v>0.92400000000000004</v>
      </c>
      <c r="O48" s="94" t="s">
        <v>734</v>
      </c>
      <c r="P48" s="94" t="s">
        <v>103</v>
      </c>
      <c r="U48" s="91">
        <v>92.02</v>
      </c>
      <c r="X48" s="91">
        <v>96.44</v>
      </c>
      <c r="Y48" s="91">
        <v>92.49</v>
      </c>
      <c r="AB48" t="s">
        <v>734</v>
      </c>
      <c r="AC48" s="84">
        <v>0.87</v>
      </c>
      <c r="AD48" s="84">
        <v>0.82</v>
      </c>
      <c r="AE48" s="84">
        <v>0.86</v>
      </c>
      <c r="AF48" s="84">
        <v>0.92010000000000003</v>
      </c>
      <c r="AG48" s="84">
        <v>0.92019999999999991</v>
      </c>
      <c r="AH48" s="84">
        <v>0.9325</v>
      </c>
      <c r="AI48" s="84">
        <v>0.9325</v>
      </c>
      <c r="AJ48" s="84">
        <v>0.96439999999999992</v>
      </c>
      <c r="AK48" s="84">
        <v>0.92489999999999994</v>
      </c>
      <c r="AL48" s="84">
        <v>0.92400000000000004</v>
      </c>
    </row>
    <row r="49" spans="1:38">
      <c r="A49">
        <v>46</v>
      </c>
      <c r="B49" t="s">
        <v>163</v>
      </c>
      <c r="C49" s="1" t="s">
        <v>103</v>
      </c>
      <c r="D49">
        <f t="shared" si="1"/>
        <v>217</v>
      </c>
      <c r="E49" s="84">
        <v>0.88</v>
      </c>
      <c r="F49" s="84">
        <v>0.83</v>
      </c>
      <c r="G49" s="84">
        <v>0.87</v>
      </c>
      <c r="H49" s="84">
        <v>0.93010000000000004</v>
      </c>
      <c r="I49" s="84">
        <v>0.93010000000000004</v>
      </c>
      <c r="J49" s="84">
        <v>0.9425</v>
      </c>
      <c r="K49" s="84">
        <v>0.9425</v>
      </c>
      <c r="L49" s="84">
        <v>0.93400000000000005</v>
      </c>
      <c r="O49" s="94" t="s">
        <v>1174</v>
      </c>
      <c r="P49" s="94" t="s">
        <v>103</v>
      </c>
      <c r="U49" s="91">
        <v>93.02</v>
      </c>
      <c r="X49" s="91">
        <v>97.44</v>
      </c>
      <c r="Y49" s="91">
        <v>93.49</v>
      </c>
      <c r="AB49" t="s">
        <v>1174</v>
      </c>
      <c r="AC49" s="84">
        <v>0.88</v>
      </c>
      <c r="AD49" s="84">
        <v>0.83</v>
      </c>
      <c r="AE49" s="84">
        <v>0.87</v>
      </c>
      <c r="AF49" s="84">
        <v>0.93010000000000004</v>
      </c>
      <c r="AG49" s="84">
        <v>0.93019999999999992</v>
      </c>
      <c r="AH49" s="84">
        <v>0.9425</v>
      </c>
      <c r="AI49" s="84">
        <v>0.9425</v>
      </c>
      <c r="AJ49" s="84">
        <v>0.97439999999999993</v>
      </c>
      <c r="AK49" s="84">
        <v>0.93489999999999995</v>
      </c>
      <c r="AL49" s="84">
        <v>0.93400000000000005</v>
      </c>
    </row>
    <row r="50" spans="1:38">
      <c r="A50">
        <v>47</v>
      </c>
      <c r="B50" t="s">
        <v>164</v>
      </c>
      <c r="C50" s="1" t="s">
        <v>103</v>
      </c>
      <c r="D50">
        <f t="shared" si="1"/>
        <v>218</v>
      </c>
      <c r="E50" s="84">
        <v>0.78</v>
      </c>
      <c r="F50" s="84">
        <v>0.74</v>
      </c>
      <c r="G50" s="84">
        <v>0.77</v>
      </c>
      <c r="H50" s="84">
        <v>0.82819999999999994</v>
      </c>
      <c r="I50" s="84">
        <v>0.82819999999999994</v>
      </c>
      <c r="J50" s="84">
        <v>0.84050000000000002</v>
      </c>
      <c r="K50" s="84">
        <v>0.8506999999999999</v>
      </c>
      <c r="L50" s="84">
        <v>0.84209999999999996</v>
      </c>
      <c r="O50" s="94" t="s">
        <v>1175</v>
      </c>
      <c r="P50" s="94" t="s">
        <v>103</v>
      </c>
      <c r="U50" s="91">
        <v>82.82</v>
      </c>
      <c r="X50" s="91">
        <v>87.23</v>
      </c>
      <c r="Y50" s="91">
        <v>83.28</v>
      </c>
      <c r="AB50" t="s">
        <v>1175</v>
      </c>
      <c r="AC50" s="84">
        <v>0.78</v>
      </c>
      <c r="AD50" s="84">
        <v>0.74</v>
      </c>
      <c r="AE50" s="84">
        <v>0.77</v>
      </c>
      <c r="AF50" s="84">
        <v>0.82819999999999994</v>
      </c>
      <c r="AG50" s="84">
        <v>0.82819999999999994</v>
      </c>
      <c r="AH50" s="84">
        <v>0.84050000000000002</v>
      </c>
      <c r="AI50" s="84">
        <v>0.8506999999999999</v>
      </c>
      <c r="AJ50" s="84">
        <v>0.87230000000000008</v>
      </c>
      <c r="AK50" s="84">
        <v>0.83279999999999998</v>
      </c>
      <c r="AL50" s="84">
        <v>0.84209999999999996</v>
      </c>
    </row>
    <row r="51" spans="1:38">
      <c r="A51">
        <v>48</v>
      </c>
      <c r="B51" t="s">
        <v>166</v>
      </c>
      <c r="C51" s="1" t="s">
        <v>103</v>
      </c>
      <c r="D51">
        <f t="shared" si="1"/>
        <v>219</v>
      </c>
      <c r="E51" s="84">
        <v>0.76</v>
      </c>
      <c r="F51" s="84">
        <v>0.72</v>
      </c>
      <c r="G51" s="84">
        <v>0.75</v>
      </c>
      <c r="H51" s="84">
        <v>0.80769999999999997</v>
      </c>
      <c r="I51" s="84">
        <v>0.80769999999999997</v>
      </c>
      <c r="J51" s="84">
        <v>0.83030000000000004</v>
      </c>
      <c r="K51" s="84">
        <v>0.83030000000000004</v>
      </c>
      <c r="L51" s="84">
        <v>0.82169999999999999</v>
      </c>
      <c r="O51" s="94" t="s">
        <v>1176</v>
      </c>
      <c r="P51" s="94" t="s">
        <v>103</v>
      </c>
      <c r="U51" s="91">
        <v>80.78</v>
      </c>
      <c r="X51" s="91">
        <v>85.19</v>
      </c>
      <c r="Y51" s="91">
        <v>82.25</v>
      </c>
      <c r="AB51" t="s">
        <v>1176</v>
      </c>
      <c r="AC51" s="84">
        <v>0.76</v>
      </c>
      <c r="AD51" s="84">
        <v>0.72</v>
      </c>
      <c r="AE51" s="84">
        <v>0.75</v>
      </c>
      <c r="AF51" s="84">
        <v>0.80769999999999997</v>
      </c>
      <c r="AG51" s="84">
        <v>0.80779999999999996</v>
      </c>
      <c r="AH51" s="84">
        <v>0.83030000000000004</v>
      </c>
      <c r="AI51" s="84">
        <v>0.83030000000000004</v>
      </c>
      <c r="AJ51" s="84">
        <v>0.85189999999999999</v>
      </c>
      <c r="AK51" s="84">
        <v>0.82250000000000001</v>
      </c>
      <c r="AL51" s="84">
        <v>0.82169999999999999</v>
      </c>
    </row>
    <row r="52" spans="1:38">
      <c r="A52">
        <v>49</v>
      </c>
      <c r="B52" t="s">
        <v>167</v>
      </c>
      <c r="C52" s="1" t="s">
        <v>103</v>
      </c>
      <c r="D52">
        <f t="shared" si="1"/>
        <v>220</v>
      </c>
      <c r="E52" s="84">
        <v>0.76</v>
      </c>
      <c r="F52" s="84">
        <v>0.72</v>
      </c>
      <c r="G52" s="84">
        <v>0.75</v>
      </c>
      <c r="H52" s="84">
        <v>0.80769999999999997</v>
      </c>
      <c r="I52" s="84">
        <v>0.80769999999999997</v>
      </c>
      <c r="J52" s="84">
        <v>0.83030000000000004</v>
      </c>
      <c r="K52" s="84">
        <v>0.83030000000000004</v>
      </c>
      <c r="L52" s="84">
        <v>0.82169999999999999</v>
      </c>
      <c r="O52" s="94" t="s">
        <v>1177</v>
      </c>
      <c r="P52" s="94" t="s">
        <v>103</v>
      </c>
      <c r="U52" s="91">
        <v>80.78</v>
      </c>
      <c r="X52" s="91">
        <v>85.19</v>
      </c>
      <c r="Y52" s="91">
        <v>82.25</v>
      </c>
      <c r="AB52" t="s">
        <v>1177</v>
      </c>
      <c r="AC52" s="84">
        <v>0.76</v>
      </c>
      <c r="AD52" s="84">
        <v>0.72</v>
      </c>
      <c r="AE52" s="84">
        <v>0.75</v>
      </c>
      <c r="AF52" s="84">
        <v>0.80769999999999997</v>
      </c>
      <c r="AG52" s="84">
        <v>0.80779999999999996</v>
      </c>
      <c r="AH52" s="84">
        <v>0.83030000000000004</v>
      </c>
      <c r="AI52" s="84">
        <v>0.83030000000000004</v>
      </c>
      <c r="AJ52" s="84">
        <v>0.85189999999999999</v>
      </c>
      <c r="AK52" s="84">
        <v>0.82250000000000001</v>
      </c>
      <c r="AL52" s="84">
        <v>0.82169999999999999</v>
      </c>
    </row>
    <row r="53" spans="1:38">
      <c r="A53">
        <v>50</v>
      </c>
      <c r="B53" t="s">
        <v>169</v>
      </c>
      <c r="C53" s="1" t="s">
        <v>103</v>
      </c>
      <c r="D53">
        <f t="shared" si="1"/>
        <v>221</v>
      </c>
      <c r="E53" s="84">
        <v>0.75609999999999999</v>
      </c>
      <c r="F53" s="84">
        <v>0.71620000000000006</v>
      </c>
      <c r="G53" s="84">
        <v>0.74620000000000009</v>
      </c>
      <c r="H53" s="84">
        <v>0.82180000000000009</v>
      </c>
      <c r="I53" s="84">
        <v>0.82180000000000009</v>
      </c>
      <c r="J53" s="84">
        <v>0.82629999999999992</v>
      </c>
      <c r="K53" s="84">
        <v>0.82620000000000005</v>
      </c>
      <c r="L53" s="84">
        <v>0.81769999999999998</v>
      </c>
      <c r="O53" s="94" t="s">
        <v>1178</v>
      </c>
      <c r="P53" s="94" t="s">
        <v>103</v>
      </c>
      <c r="U53" s="91">
        <v>82.19</v>
      </c>
      <c r="X53" s="91">
        <v>84.78</v>
      </c>
      <c r="Y53" s="91">
        <v>81.86</v>
      </c>
      <c r="AB53" t="s">
        <v>1178</v>
      </c>
      <c r="AC53" s="84">
        <v>0.75609999999999999</v>
      </c>
      <c r="AD53" s="84">
        <v>0.71620000000000006</v>
      </c>
      <c r="AE53" s="84">
        <v>0.74620000000000009</v>
      </c>
      <c r="AF53" s="84">
        <v>0.82180000000000009</v>
      </c>
      <c r="AG53" s="84">
        <v>0.82189999999999996</v>
      </c>
      <c r="AH53" s="84">
        <v>0.82629999999999992</v>
      </c>
      <c r="AI53" s="84">
        <v>0.82620000000000005</v>
      </c>
      <c r="AJ53" s="84">
        <v>0.8478</v>
      </c>
      <c r="AK53" s="84">
        <v>0.81859999999999999</v>
      </c>
      <c r="AL53" s="84">
        <v>0.81769999999999998</v>
      </c>
    </row>
    <row r="54" spans="1:38">
      <c r="A54">
        <v>51</v>
      </c>
      <c r="B54" t="s">
        <v>170</v>
      </c>
      <c r="C54" s="1" t="s">
        <v>103</v>
      </c>
      <c r="D54">
        <f t="shared" si="1"/>
        <v>222</v>
      </c>
      <c r="E54" s="84">
        <v>0.86170000000000002</v>
      </c>
      <c r="F54" s="84">
        <v>0.82980000000000009</v>
      </c>
      <c r="G54" s="84">
        <v>0.88300000000000001</v>
      </c>
      <c r="H54" s="84">
        <v>0.9425</v>
      </c>
      <c r="I54" s="84">
        <v>0.9425</v>
      </c>
      <c r="J54" s="84">
        <v>0.93640000000000001</v>
      </c>
      <c r="K54" s="84">
        <v>0.93629999999999991</v>
      </c>
      <c r="L54" s="84">
        <v>1.0038</v>
      </c>
      <c r="O54" s="94" t="s">
        <v>735</v>
      </c>
      <c r="P54" s="94" t="s">
        <v>103</v>
      </c>
      <c r="U54" s="91">
        <v>94.25</v>
      </c>
      <c r="X54" s="91">
        <v>99.22</v>
      </c>
      <c r="Y54" s="91">
        <v>99.39</v>
      </c>
      <c r="AB54" t="s">
        <v>735</v>
      </c>
      <c r="AC54" s="84">
        <v>0.86170000000000002</v>
      </c>
      <c r="AD54" s="84">
        <v>0.82980000000000009</v>
      </c>
      <c r="AE54" s="84">
        <v>0.88300000000000001</v>
      </c>
      <c r="AF54" s="84">
        <v>0.9425</v>
      </c>
      <c r="AG54" s="84">
        <v>0.9425</v>
      </c>
      <c r="AH54" s="84">
        <v>0.93640000000000001</v>
      </c>
      <c r="AI54" s="84">
        <v>0.93629999999999991</v>
      </c>
      <c r="AJ54" s="84">
        <v>0.99219999999999997</v>
      </c>
      <c r="AK54" s="84">
        <v>0.99390000000000001</v>
      </c>
      <c r="AL54" s="84">
        <v>1.0038</v>
      </c>
    </row>
    <row r="55" spans="1:38">
      <c r="A55">
        <v>52</v>
      </c>
      <c r="B55" t="s">
        <v>172</v>
      </c>
      <c r="C55" s="1" t="s">
        <v>103</v>
      </c>
      <c r="D55">
        <f t="shared" si="1"/>
        <v>223</v>
      </c>
      <c r="E55" s="84">
        <v>0.80290000000000006</v>
      </c>
      <c r="F55" s="84">
        <v>0.77190000000000003</v>
      </c>
      <c r="G55" s="84">
        <v>0.8234999999999999</v>
      </c>
      <c r="H55" s="84">
        <v>0.88109999999999999</v>
      </c>
      <c r="I55" s="84">
        <v>0.88109999999999999</v>
      </c>
      <c r="J55" s="84">
        <v>0.87519999999999998</v>
      </c>
      <c r="K55" s="84">
        <v>0.8751000000000001</v>
      </c>
      <c r="L55" s="84">
        <v>0.94040000000000001</v>
      </c>
      <c r="O55" s="94" t="s">
        <v>1179</v>
      </c>
      <c r="P55" s="94" t="s">
        <v>103</v>
      </c>
      <c r="U55" s="91">
        <v>88.11</v>
      </c>
      <c r="X55" s="91">
        <v>92.92</v>
      </c>
      <c r="Y55" s="91">
        <v>93.09</v>
      </c>
      <c r="AB55" t="s">
        <v>1179</v>
      </c>
      <c r="AC55" s="84">
        <v>0.80290000000000006</v>
      </c>
      <c r="AD55" s="84">
        <v>0.77190000000000003</v>
      </c>
      <c r="AE55" s="84">
        <v>0.8234999999999999</v>
      </c>
      <c r="AF55" s="84">
        <v>0.88109999999999999</v>
      </c>
      <c r="AG55" s="84">
        <v>0.88109999999999999</v>
      </c>
      <c r="AH55" s="84">
        <v>0.87519999999999998</v>
      </c>
      <c r="AI55" s="84">
        <v>0.8751000000000001</v>
      </c>
      <c r="AJ55" s="84">
        <v>0.92920000000000003</v>
      </c>
      <c r="AK55" s="84">
        <v>0.93090000000000006</v>
      </c>
      <c r="AL55" s="84">
        <v>0.94040000000000001</v>
      </c>
    </row>
    <row r="56" spans="1:38">
      <c r="A56">
        <v>53</v>
      </c>
      <c r="B56" t="s">
        <v>173</v>
      </c>
      <c r="C56" s="1" t="s">
        <v>103</v>
      </c>
      <c r="D56">
        <f t="shared" si="1"/>
        <v>224</v>
      </c>
      <c r="E56" s="84">
        <v>0.87501600000000024</v>
      </c>
      <c r="F56" s="84">
        <v>0.84277600000000008</v>
      </c>
      <c r="G56" s="84">
        <v>0.89644000000000001</v>
      </c>
      <c r="H56" s="84">
        <v>0.9563440000000003</v>
      </c>
      <c r="I56" s="84">
        <v>0.9563440000000003</v>
      </c>
      <c r="J56" s="84">
        <v>0.95020799999999983</v>
      </c>
      <c r="K56" s="84">
        <v>0.95010400000000006</v>
      </c>
      <c r="L56" s="84">
        <v>1.0180160000000003</v>
      </c>
      <c r="O56" s="94" t="s">
        <v>1180</v>
      </c>
      <c r="P56" s="94" t="s">
        <v>103</v>
      </c>
      <c r="U56" s="91">
        <v>95.634400000000028</v>
      </c>
      <c r="X56" s="91">
        <v>100.63680000000002</v>
      </c>
      <c r="Y56" s="91">
        <v>100.81360000000001</v>
      </c>
      <c r="AB56" t="s">
        <v>1180</v>
      </c>
      <c r="AC56" s="84">
        <v>0.87501600000000024</v>
      </c>
      <c r="AD56" s="84">
        <v>0.84277600000000008</v>
      </c>
      <c r="AE56" s="84">
        <v>0.89644000000000001</v>
      </c>
      <c r="AF56" s="84">
        <v>0.9563440000000003</v>
      </c>
      <c r="AG56" s="84">
        <v>0.9563440000000003</v>
      </c>
      <c r="AH56" s="84">
        <v>0.95020799999999983</v>
      </c>
      <c r="AI56" s="84">
        <v>0.95010400000000006</v>
      </c>
      <c r="AJ56" s="84">
        <v>1.0063680000000002</v>
      </c>
      <c r="AK56" s="84">
        <v>1.0081360000000001</v>
      </c>
      <c r="AL56" s="84">
        <v>1.0180160000000003</v>
      </c>
    </row>
    <row r="57" spans="1:38">
      <c r="A57">
        <v>54</v>
      </c>
      <c r="B57" t="s">
        <v>175</v>
      </c>
      <c r="C57" s="1" t="s">
        <v>103</v>
      </c>
      <c r="D57">
        <f t="shared" si="1"/>
        <v>225</v>
      </c>
      <c r="E57" s="84">
        <v>0.94713200000000031</v>
      </c>
      <c r="F57" s="84">
        <v>0.91365200000000013</v>
      </c>
      <c r="G57" s="84">
        <v>0.96938000000000013</v>
      </c>
      <c r="H57" s="84">
        <v>1.0315880000000004</v>
      </c>
      <c r="I57" s="84">
        <v>1.0315880000000004</v>
      </c>
      <c r="J57" s="84">
        <v>1.0252160000000001</v>
      </c>
      <c r="K57" s="84">
        <v>1.0251080000000001</v>
      </c>
      <c r="L57" s="84">
        <v>1.0956320000000002</v>
      </c>
      <c r="O57" s="94" t="s">
        <v>1180</v>
      </c>
      <c r="P57" s="94" t="s">
        <v>103</v>
      </c>
      <c r="U57" s="91">
        <v>103.15880000000004</v>
      </c>
      <c r="X57" s="91">
        <v>108.35360000000003</v>
      </c>
      <c r="Y57" s="91">
        <v>108.53720000000001</v>
      </c>
      <c r="AB57" t="s">
        <v>1180</v>
      </c>
      <c r="AC57" s="84">
        <v>0.94713200000000031</v>
      </c>
      <c r="AD57" s="84">
        <v>0.91365200000000013</v>
      </c>
      <c r="AE57" s="84">
        <v>0.96938000000000013</v>
      </c>
      <c r="AF57" s="84">
        <v>1.0315880000000004</v>
      </c>
      <c r="AG57" s="84">
        <v>1.0315880000000004</v>
      </c>
      <c r="AH57" s="84">
        <v>1.0252160000000001</v>
      </c>
      <c r="AI57" s="84">
        <v>1.0251080000000001</v>
      </c>
      <c r="AJ57" s="84">
        <v>1.0835360000000003</v>
      </c>
      <c r="AK57" s="84">
        <v>1.0853720000000002</v>
      </c>
      <c r="AL57" s="84">
        <v>1.0956320000000002</v>
      </c>
    </row>
    <row r="58" spans="1:38">
      <c r="A58">
        <v>55</v>
      </c>
      <c r="B58" t="s">
        <v>176</v>
      </c>
      <c r="C58" s="1" t="s">
        <v>103</v>
      </c>
      <c r="D58">
        <f t="shared" si="1"/>
        <v>226</v>
      </c>
      <c r="E58" s="84">
        <v>0.89445600000000003</v>
      </c>
      <c r="F58" s="84">
        <v>0.93744000000000005</v>
      </c>
      <c r="G58" s="84">
        <v>1.003428</v>
      </c>
      <c r="H58" s="84">
        <v>1.195668</v>
      </c>
      <c r="I58" s="84">
        <v>1.195668</v>
      </c>
      <c r="J58" s="84">
        <v>1.249668</v>
      </c>
      <c r="K58" s="84">
        <v>1.2393000000000001</v>
      </c>
      <c r="L58" s="84">
        <v>1.32192</v>
      </c>
      <c r="O58" s="94" t="s">
        <v>1128</v>
      </c>
      <c r="P58" s="94" t="s">
        <v>103</v>
      </c>
      <c r="U58" s="91">
        <v>118.47600000000001</v>
      </c>
      <c r="X58" s="91">
        <v>132.61320000000001</v>
      </c>
      <c r="Y58" s="91">
        <v>132.18120000000002</v>
      </c>
      <c r="AB58" t="s">
        <v>1128</v>
      </c>
      <c r="AC58" s="84">
        <v>0.89445600000000003</v>
      </c>
      <c r="AD58" s="84">
        <v>0.93744000000000005</v>
      </c>
      <c r="AE58" s="84">
        <v>1.003428</v>
      </c>
      <c r="AF58" s="84">
        <v>1.195668</v>
      </c>
      <c r="AG58" s="84">
        <v>1.18476</v>
      </c>
      <c r="AH58" s="84">
        <v>1.249668</v>
      </c>
      <c r="AI58" s="84">
        <v>1.2393000000000001</v>
      </c>
      <c r="AJ58" s="84">
        <v>1.3261320000000001</v>
      </c>
      <c r="AK58" s="84">
        <v>1.3218120000000002</v>
      </c>
      <c r="AL58" s="84">
        <v>1.32192</v>
      </c>
    </row>
    <row r="59" spans="1:38">
      <c r="A59">
        <v>56</v>
      </c>
      <c r="B59" t="s">
        <v>178</v>
      </c>
      <c r="C59" s="1" t="s">
        <v>103</v>
      </c>
      <c r="D59">
        <f t="shared" si="1"/>
        <v>227</v>
      </c>
      <c r="E59" s="84">
        <v>0.72589000000000004</v>
      </c>
      <c r="F59" s="84">
        <v>0.76560000000000006</v>
      </c>
      <c r="G59" s="84">
        <v>0.82665000000000011</v>
      </c>
      <c r="H59" s="84">
        <v>1.0044100000000002</v>
      </c>
      <c r="I59" s="84">
        <v>1.0044100000000002</v>
      </c>
      <c r="J59" s="84">
        <v>1.0543500000000001</v>
      </c>
      <c r="K59" s="84">
        <v>1.04478</v>
      </c>
      <c r="L59" s="84">
        <v>1.1211200000000001</v>
      </c>
      <c r="O59" s="94" t="s">
        <v>1181</v>
      </c>
      <c r="P59" s="94" t="s">
        <v>103</v>
      </c>
      <c r="U59" s="91">
        <v>99.44</v>
      </c>
      <c r="X59" s="91">
        <v>112.50800000000001</v>
      </c>
      <c r="Y59" s="91">
        <v>112.11200000000001</v>
      </c>
      <c r="AB59" t="s">
        <v>1181</v>
      </c>
      <c r="AC59" s="84">
        <v>0.72589000000000004</v>
      </c>
      <c r="AD59" s="84">
        <v>0.76560000000000006</v>
      </c>
      <c r="AE59" s="84">
        <v>0.82665000000000011</v>
      </c>
      <c r="AF59" s="84">
        <v>1.0044100000000002</v>
      </c>
      <c r="AG59" s="84">
        <v>0.99439999999999995</v>
      </c>
      <c r="AH59" s="84">
        <v>1.0543500000000001</v>
      </c>
      <c r="AI59" s="84">
        <v>1.04478</v>
      </c>
      <c r="AJ59" s="84">
        <v>1.1250800000000001</v>
      </c>
      <c r="AK59" s="84">
        <v>1.1211200000000001</v>
      </c>
      <c r="AL59" s="84">
        <v>1.1211200000000001</v>
      </c>
    </row>
    <row r="60" spans="1:38">
      <c r="A60">
        <v>57</v>
      </c>
      <c r="B60" t="s">
        <v>179</v>
      </c>
      <c r="C60" s="1" t="s">
        <v>103</v>
      </c>
      <c r="D60">
        <f t="shared" si="1"/>
        <v>228</v>
      </c>
      <c r="E60" s="84">
        <v>0.65989999999999993</v>
      </c>
      <c r="F60" s="84">
        <v>0.69599999999999995</v>
      </c>
      <c r="G60" s="84">
        <v>0.75150000000000006</v>
      </c>
      <c r="H60" s="84">
        <v>0.91310000000000002</v>
      </c>
      <c r="I60" s="84">
        <v>0.91310000000000002</v>
      </c>
      <c r="J60" s="84">
        <v>0.95849999999999991</v>
      </c>
      <c r="K60" s="84">
        <v>0.94980000000000009</v>
      </c>
      <c r="L60" s="84">
        <v>1.0192000000000001</v>
      </c>
      <c r="O60" s="94" t="s">
        <v>1182</v>
      </c>
      <c r="P60" s="94" t="s">
        <v>103</v>
      </c>
      <c r="U60" s="91">
        <v>90.4</v>
      </c>
      <c r="X60" s="91">
        <v>102.28</v>
      </c>
      <c r="Y60" s="91">
        <v>101.92</v>
      </c>
      <c r="AB60" t="s">
        <v>1182</v>
      </c>
      <c r="AC60" s="84">
        <v>0.65989999999999993</v>
      </c>
      <c r="AD60" s="84">
        <v>0.69599999999999995</v>
      </c>
      <c r="AE60" s="84">
        <v>0.75150000000000006</v>
      </c>
      <c r="AF60" s="84">
        <v>0.91310000000000002</v>
      </c>
      <c r="AG60" s="84">
        <v>0.90400000000000003</v>
      </c>
      <c r="AH60" s="84">
        <v>0.95849999999999991</v>
      </c>
      <c r="AI60" s="84">
        <v>0.94980000000000009</v>
      </c>
      <c r="AJ60" s="84">
        <v>1.0227999999999999</v>
      </c>
      <c r="AK60" s="84">
        <v>1.0192000000000001</v>
      </c>
      <c r="AL60" s="84">
        <v>1.0192000000000001</v>
      </c>
    </row>
    <row r="61" spans="1:38">
      <c r="A61">
        <v>58</v>
      </c>
      <c r="B61" t="s">
        <v>138</v>
      </c>
      <c r="C61" t="s">
        <v>104</v>
      </c>
      <c r="D61">
        <v>300</v>
      </c>
      <c r="E61" s="84">
        <v>0.21</v>
      </c>
      <c r="F61" s="84">
        <v>0.21</v>
      </c>
      <c r="G61" s="84">
        <v>0.21</v>
      </c>
      <c r="H61" s="84">
        <v>0.2</v>
      </c>
      <c r="I61" s="84">
        <v>0.2</v>
      </c>
      <c r="J61" s="84">
        <v>0.22</v>
      </c>
      <c r="K61" s="84">
        <v>0.22</v>
      </c>
      <c r="L61" s="84">
        <v>0.32</v>
      </c>
      <c r="O61" s="94" t="s">
        <v>138</v>
      </c>
      <c r="P61" s="94" t="s">
        <v>104</v>
      </c>
      <c r="U61" s="91">
        <v>20</v>
      </c>
      <c r="X61" s="91">
        <v>25</v>
      </c>
      <c r="Y61" s="91">
        <v>23</v>
      </c>
      <c r="AB61" t="s">
        <v>138</v>
      </c>
      <c r="AC61" s="84">
        <v>0.21</v>
      </c>
      <c r="AD61" s="84">
        <v>0.21</v>
      </c>
      <c r="AE61" s="84">
        <v>0.21</v>
      </c>
      <c r="AF61" s="84">
        <v>0.2</v>
      </c>
      <c r="AG61" s="84">
        <v>0.2</v>
      </c>
      <c r="AH61" s="84">
        <v>0.22</v>
      </c>
      <c r="AI61" s="84">
        <v>0.22</v>
      </c>
      <c r="AJ61" s="84">
        <v>0.25</v>
      </c>
      <c r="AK61" s="84">
        <v>0.23</v>
      </c>
      <c r="AL61" s="84">
        <v>0.32</v>
      </c>
    </row>
    <row r="62" spans="1:38">
      <c r="A62">
        <v>59</v>
      </c>
      <c r="B62" t="s">
        <v>139</v>
      </c>
      <c r="C62" t="s">
        <v>104</v>
      </c>
      <c r="D62">
        <f>+D61+1</f>
        <v>301</v>
      </c>
      <c r="E62" s="84">
        <v>0.21460000000000001</v>
      </c>
      <c r="F62" s="84">
        <v>0.22409999999999999</v>
      </c>
      <c r="G62" s="84">
        <v>0.2321</v>
      </c>
      <c r="H62" s="84">
        <v>0.22329999999999997</v>
      </c>
      <c r="I62" s="84">
        <v>0.22329999999999997</v>
      </c>
      <c r="J62" s="84">
        <v>0.2455</v>
      </c>
      <c r="K62" s="84">
        <v>0.23850000000000002</v>
      </c>
      <c r="L62" s="84">
        <v>0.34710000000000002</v>
      </c>
      <c r="O62" s="94" t="s">
        <v>139</v>
      </c>
      <c r="P62" s="94" t="s">
        <v>104</v>
      </c>
      <c r="U62" s="91">
        <v>22.33</v>
      </c>
      <c r="X62" s="91">
        <v>27.54</v>
      </c>
      <c r="Y62" s="91">
        <v>26.03</v>
      </c>
      <c r="AB62" t="s">
        <v>139</v>
      </c>
      <c r="AC62" s="84">
        <v>0.21460000000000001</v>
      </c>
      <c r="AD62" s="84">
        <v>0.22409999999999999</v>
      </c>
      <c r="AE62" s="84">
        <v>0.2321</v>
      </c>
      <c r="AF62" s="84">
        <v>0.22329999999999997</v>
      </c>
      <c r="AG62" s="84">
        <v>0.22329999999999997</v>
      </c>
      <c r="AH62" s="84">
        <v>0.2455</v>
      </c>
      <c r="AI62" s="84">
        <v>0.23850000000000002</v>
      </c>
      <c r="AJ62" s="84">
        <v>0.27539999999999998</v>
      </c>
      <c r="AK62" s="84">
        <v>0.26030000000000003</v>
      </c>
      <c r="AL62" s="84">
        <v>0.34710000000000002</v>
      </c>
    </row>
    <row r="63" spans="1:38">
      <c r="A63">
        <v>60</v>
      </c>
      <c r="B63" t="s">
        <v>140</v>
      </c>
      <c r="C63" t="s">
        <v>104</v>
      </c>
      <c r="D63">
        <f t="shared" ref="D63:D89" si="2">+D62+1</f>
        <v>302</v>
      </c>
      <c r="E63" s="84">
        <v>0</v>
      </c>
      <c r="F63" s="84">
        <v>0</v>
      </c>
      <c r="G63" s="84">
        <v>0</v>
      </c>
      <c r="H63" s="84">
        <v>0</v>
      </c>
      <c r="I63" s="84">
        <v>0</v>
      </c>
      <c r="J63" s="84">
        <v>0</v>
      </c>
      <c r="K63" s="84">
        <v>0</v>
      </c>
      <c r="L63" s="84">
        <v>0</v>
      </c>
      <c r="O63" s="94" t="s">
        <v>1164</v>
      </c>
      <c r="P63" s="94" t="s">
        <v>104</v>
      </c>
      <c r="Q63" s="92"/>
      <c r="R63" s="92"/>
      <c r="S63" s="92"/>
      <c r="T63" s="92"/>
      <c r="U63" s="92"/>
      <c r="V63" s="92"/>
      <c r="W63" s="92"/>
      <c r="X63" s="92"/>
      <c r="Y63" s="92"/>
      <c r="AB63" t="s">
        <v>1164</v>
      </c>
      <c r="AC63" s="84">
        <v>0</v>
      </c>
      <c r="AD63" s="84">
        <v>0</v>
      </c>
      <c r="AE63" s="84">
        <v>0</v>
      </c>
      <c r="AF63" s="84">
        <v>0</v>
      </c>
      <c r="AG63" s="84">
        <v>0</v>
      </c>
      <c r="AH63" s="84">
        <v>0</v>
      </c>
      <c r="AI63" s="84">
        <v>0</v>
      </c>
      <c r="AJ63" s="84">
        <v>0</v>
      </c>
      <c r="AK63" s="84">
        <v>0</v>
      </c>
      <c r="AL63" s="84">
        <v>0</v>
      </c>
    </row>
    <row r="64" spans="1:38">
      <c r="A64">
        <v>61</v>
      </c>
      <c r="B64" t="s">
        <v>142</v>
      </c>
      <c r="C64" t="s">
        <v>104</v>
      </c>
      <c r="D64">
        <f t="shared" si="2"/>
        <v>303</v>
      </c>
      <c r="E64" s="84">
        <v>0.43</v>
      </c>
      <c r="F64" s="84">
        <v>0.43</v>
      </c>
      <c r="G64" s="84">
        <v>0.43</v>
      </c>
      <c r="H64" s="84">
        <v>0.499</v>
      </c>
      <c r="I64" s="84">
        <v>0.499</v>
      </c>
      <c r="J64" s="84">
        <v>0.50850000000000006</v>
      </c>
      <c r="K64" s="84">
        <v>0.50840000000000007</v>
      </c>
      <c r="L64" s="84">
        <v>0.51869999999999994</v>
      </c>
      <c r="O64" s="94" t="s">
        <v>142</v>
      </c>
      <c r="P64" s="94" t="s">
        <v>104</v>
      </c>
      <c r="U64" s="91">
        <v>49.9</v>
      </c>
      <c r="X64" s="91">
        <v>52.88</v>
      </c>
      <c r="Y64" s="91">
        <v>53.9</v>
      </c>
      <c r="AB64" t="s">
        <v>142</v>
      </c>
      <c r="AC64" s="84">
        <v>0.43</v>
      </c>
      <c r="AD64" s="84">
        <v>0.43</v>
      </c>
      <c r="AE64" s="84">
        <v>0.43</v>
      </c>
      <c r="AF64" s="84">
        <v>0.499</v>
      </c>
      <c r="AG64" s="84">
        <v>0.499</v>
      </c>
      <c r="AH64" s="84">
        <v>0.50850000000000006</v>
      </c>
      <c r="AI64" s="84">
        <v>0.50840000000000007</v>
      </c>
      <c r="AJ64" s="84">
        <v>0.52880000000000005</v>
      </c>
      <c r="AK64" s="84">
        <v>0.53900000000000003</v>
      </c>
      <c r="AL64" s="84">
        <v>0.51869999999999994</v>
      </c>
    </row>
    <row r="65" spans="1:38">
      <c r="A65">
        <v>62</v>
      </c>
      <c r="B65" t="s">
        <v>143</v>
      </c>
      <c r="C65" t="s">
        <v>104</v>
      </c>
      <c r="D65">
        <f t="shared" si="2"/>
        <v>304</v>
      </c>
      <c r="E65" s="84">
        <v>0.57079999999999997</v>
      </c>
      <c r="F65" s="84">
        <v>0.57079999999999997</v>
      </c>
      <c r="G65" s="84">
        <v>0.57079999999999997</v>
      </c>
      <c r="H65" s="84">
        <v>0.64340000000000008</v>
      </c>
      <c r="I65" s="84">
        <v>0.64340000000000008</v>
      </c>
      <c r="J65" s="84">
        <v>0.66339999999999999</v>
      </c>
      <c r="K65" s="84">
        <v>0.67370000000000008</v>
      </c>
      <c r="L65" s="84">
        <v>0.67379999999999995</v>
      </c>
      <c r="O65" s="94" t="s">
        <v>1165</v>
      </c>
      <c r="P65" s="94" t="s">
        <v>104</v>
      </c>
      <c r="U65" s="91">
        <v>64.34</v>
      </c>
      <c r="X65" s="91">
        <v>68.42</v>
      </c>
      <c r="Y65" s="91">
        <v>70.489999999999995</v>
      </c>
      <c r="AB65" t="s">
        <v>1165</v>
      </c>
      <c r="AC65" s="84">
        <v>0.57079999999999997</v>
      </c>
      <c r="AD65" s="84">
        <v>0.57079999999999997</v>
      </c>
      <c r="AE65" s="84">
        <v>0.57079999999999997</v>
      </c>
      <c r="AF65" s="84">
        <v>0.64340000000000008</v>
      </c>
      <c r="AG65" s="84">
        <v>0.64340000000000008</v>
      </c>
      <c r="AH65" s="84">
        <v>0.66339999999999999</v>
      </c>
      <c r="AI65" s="84">
        <v>0.67370000000000008</v>
      </c>
      <c r="AJ65" s="84">
        <v>0.68420000000000003</v>
      </c>
      <c r="AK65" s="84">
        <v>0.70489999999999997</v>
      </c>
      <c r="AL65" s="84">
        <v>0.67379999999999995</v>
      </c>
    </row>
    <row r="66" spans="1:38">
      <c r="A66">
        <v>63</v>
      </c>
      <c r="B66" t="s">
        <v>145</v>
      </c>
      <c r="C66" t="s">
        <v>104</v>
      </c>
      <c r="D66">
        <f t="shared" si="2"/>
        <v>305</v>
      </c>
      <c r="E66" s="84"/>
      <c r="F66" s="84"/>
      <c r="G66" s="84"/>
      <c r="H66" s="84"/>
      <c r="I66" s="84"/>
      <c r="J66" s="84"/>
      <c r="K66" s="84"/>
      <c r="L66" s="84"/>
      <c r="O66" s="94"/>
      <c r="P66" s="94"/>
      <c r="U66" s="91"/>
      <c r="X66" s="91"/>
      <c r="Y66" s="91"/>
      <c r="AC66" s="84"/>
      <c r="AD66" s="84"/>
      <c r="AE66" s="84"/>
      <c r="AF66" s="84"/>
      <c r="AG66" s="84"/>
      <c r="AH66" s="84"/>
      <c r="AI66" s="84"/>
      <c r="AJ66" s="84"/>
      <c r="AK66" s="84"/>
      <c r="AL66" s="84"/>
    </row>
    <row r="67" spans="1:38">
      <c r="A67">
        <v>64</v>
      </c>
      <c r="B67" t="s">
        <v>146</v>
      </c>
      <c r="C67" t="s">
        <v>104</v>
      </c>
      <c r="D67">
        <f t="shared" si="2"/>
        <v>306</v>
      </c>
      <c r="E67" s="84">
        <v>0.66260000000000008</v>
      </c>
      <c r="F67" s="84">
        <v>0.66260000000000008</v>
      </c>
      <c r="G67" s="84">
        <v>0.66260000000000008</v>
      </c>
      <c r="H67" s="84">
        <v>0.70579999999999998</v>
      </c>
      <c r="I67" s="84">
        <v>0.70579999999999998</v>
      </c>
      <c r="J67" s="84">
        <v>0.7256999999999999</v>
      </c>
      <c r="K67" s="84">
        <v>0.7258</v>
      </c>
      <c r="L67" s="84">
        <v>0.7256999999999999</v>
      </c>
      <c r="O67" s="94" t="s">
        <v>1126</v>
      </c>
      <c r="P67" s="94" t="s">
        <v>104</v>
      </c>
      <c r="U67" s="91">
        <v>70.58</v>
      </c>
      <c r="X67" s="91">
        <v>74.650000000000006</v>
      </c>
      <c r="Y67" s="91">
        <v>75.7</v>
      </c>
      <c r="AB67" t="s">
        <v>1126</v>
      </c>
      <c r="AC67" s="84">
        <v>0.66260000000000008</v>
      </c>
      <c r="AD67" s="84">
        <v>0.66260000000000008</v>
      </c>
      <c r="AE67" s="84">
        <v>0.66260000000000008</v>
      </c>
      <c r="AF67" s="84">
        <v>0.70579999999999998</v>
      </c>
      <c r="AG67" s="84">
        <v>0.70579999999999998</v>
      </c>
      <c r="AH67" s="84">
        <v>0.7256999999999999</v>
      </c>
      <c r="AI67" s="84">
        <v>0.7258</v>
      </c>
      <c r="AJ67" s="84">
        <v>0.74650000000000005</v>
      </c>
      <c r="AK67" s="84">
        <v>0.75700000000000001</v>
      </c>
      <c r="AL67" s="84">
        <v>0.7256999999999999</v>
      </c>
    </row>
    <row r="68" spans="1:38">
      <c r="A68">
        <v>65</v>
      </c>
      <c r="B68" t="s">
        <v>148</v>
      </c>
      <c r="C68" t="s">
        <v>104</v>
      </c>
      <c r="D68">
        <f t="shared" si="2"/>
        <v>307</v>
      </c>
      <c r="E68" s="84">
        <v>0.78500000000000003</v>
      </c>
      <c r="F68" s="84">
        <v>0.78500000000000003</v>
      </c>
      <c r="G68" s="84">
        <v>0.78500000000000003</v>
      </c>
      <c r="H68" s="84">
        <v>0.85140000000000005</v>
      </c>
      <c r="I68" s="84">
        <v>0.85140000000000005</v>
      </c>
      <c r="J68" s="84">
        <v>0.87129999999999996</v>
      </c>
      <c r="K68" s="84">
        <v>0.87139999999999995</v>
      </c>
      <c r="L68" s="84">
        <v>0.87129999999999996</v>
      </c>
      <c r="O68" s="94" t="s">
        <v>1166</v>
      </c>
      <c r="P68" s="94" t="s">
        <v>104</v>
      </c>
      <c r="U68" s="91">
        <v>85.14</v>
      </c>
      <c r="X68" s="91">
        <v>89.21</v>
      </c>
      <c r="Y68" s="91">
        <v>90.25</v>
      </c>
      <c r="AB68" t="s">
        <v>1166</v>
      </c>
      <c r="AC68" s="84">
        <v>0.78500000000000003</v>
      </c>
      <c r="AD68" s="84">
        <v>0.78500000000000003</v>
      </c>
      <c r="AE68" s="84">
        <v>0.78500000000000003</v>
      </c>
      <c r="AF68" s="84">
        <v>0.85140000000000005</v>
      </c>
      <c r="AG68" s="84">
        <v>0.85140000000000005</v>
      </c>
      <c r="AH68" s="84">
        <v>0.87129999999999996</v>
      </c>
      <c r="AI68" s="84">
        <v>0.87139999999999995</v>
      </c>
      <c r="AJ68" s="84">
        <v>0.89209999999999989</v>
      </c>
      <c r="AK68" s="84">
        <v>0.90249999999999997</v>
      </c>
      <c r="AL68" s="84">
        <v>0.87129999999999996</v>
      </c>
    </row>
    <row r="69" spans="1:38">
      <c r="A69">
        <v>66</v>
      </c>
      <c r="B69" t="s">
        <v>149</v>
      </c>
      <c r="C69" t="s">
        <v>104</v>
      </c>
      <c r="D69">
        <f t="shared" si="2"/>
        <v>308</v>
      </c>
      <c r="E69" s="84">
        <v>0.78500000000000003</v>
      </c>
      <c r="F69" s="84">
        <v>0.78500000000000003</v>
      </c>
      <c r="G69" s="84">
        <v>0.78500000000000003</v>
      </c>
      <c r="H69" s="84">
        <v>0.85140000000000005</v>
      </c>
      <c r="I69" s="84">
        <v>0.85140000000000005</v>
      </c>
      <c r="J69" s="84">
        <v>0.87129999999999996</v>
      </c>
      <c r="K69" s="84">
        <v>0.87139999999999995</v>
      </c>
      <c r="L69" s="84">
        <v>0.87129999999999996</v>
      </c>
      <c r="O69" s="94" t="s">
        <v>1167</v>
      </c>
      <c r="P69" s="94" t="s">
        <v>104</v>
      </c>
      <c r="U69" s="91">
        <v>85.14</v>
      </c>
      <c r="X69" s="91">
        <v>89.21</v>
      </c>
      <c r="Y69" s="91">
        <v>90.25</v>
      </c>
      <c r="AB69" t="s">
        <v>1167</v>
      </c>
      <c r="AC69" s="84">
        <v>0.78500000000000003</v>
      </c>
      <c r="AD69" s="84">
        <v>0.78500000000000003</v>
      </c>
      <c r="AE69" s="84">
        <v>0.78500000000000003</v>
      </c>
      <c r="AF69" s="84">
        <v>0.85140000000000005</v>
      </c>
      <c r="AG69" s="84">
        <v>0.85140000000000005</v>
      </c>
      <c r="AH69" s="84">
        <v>0.87129999999999996</v>
      </c>
      <c r="AI69" s="84">
        <v>0.87139999999999995</v>
      </c>
      <c r="AJ69" s="84">
        <v>0.89209999999999989</v>
      </c>
      <c r="AK69" s="84">
        <v>0.90249999999999997</v>
      </c>
      <c r="AL69" s="84">
        <v>0.87129999999999996</v>
      </c>
    </row>
    <row r="70" spans="1:38">
      <c r="A70">
        <v>67</v>
      </c>
      <c r="B70" t="s">
        <v>151</v>
      </c>
      <c r="C70" t="s">
        <v>104</v>
      </c>
      <c r="D70">
        <f t="shared" si="2"/>
        <v>309</v>
      </c>
      <c r="E70" s="84">
        <v>0.86659999999999993</v>
      </c>
      <c r="F70" s="84">
        <v>0.86659999999999993</v>
      </c>
      <c r="G70" s="84">
        <v>0.86659999999999993</v>
      </c>
      <c r="H70" s="84">
        <v>0.92420000000000002</v>
      </c>
      <c r="I70" s="84">
        <v>0.92420000000000002</v>
      </c>
      <c r="J70" s="84">
        <v>0.94409999999999994</v>
      </c>
      <c r="K70" s="84">
        <v>0.94409999999999994</v>
      </c>
      <c r="L70" s="84">
        <v>0.94409999999999994</v>
      </c>
      <c r="O70" s="94" t="s">
        <v>1168</v>
      </c>
      <c r="P70" s="94" t="s">
        <v>104</v>
      </c>
      <c r="U70" s="91">
        <v>92.42</v>
      </c>
      <c r="X70" s="91">
        <v>96.48</v>
      </c>
      <c r="Y70" s="91">
        <v>97.53</v>
      </c>
      <c r="AB70" t="s">
        <v>1168</v>
      </c>
      <c r="AC70" s="84">
        <v>0.86659999999999993</v>
      </c>
      <c r="AD70" s="84">
        <v>0.86659999999999993</v>
      </c>
      <c r="AE70" s="84">
        <v>0.86659999999999993</v>
      </c>
      <c r="AF70" s="84">
        <v>0.92420000000000002</v>
      </c>
      <c r="AG70" s="84">
        <v>0.92420000000000002</v>
      </c>
      <c r="AH70" s="84">
        <v>0.94409999999999994</v>
      </c>
      <c r="AI70" s="84">
        <v>0.94409999999999994</v>
      </c>
      <c r="AJ70" s="84">
        <v>0.96479999999999999</v>
      </c>
      <c r="AK70" s="84">
        <v>0.97530000000000006</v>
      </c>
      <c r="AL70" s="84">
        <v>0.94409999999999994</v>
      </c>
    </row>
    <row r="71" spans="1:38">
      <c r="A71">
        <v>68</v>
      </c>
      <c r="B71" t="s">
        <v>152</v>
      </c>
      <c r="C71" t="s">
        <v>104</v>
      </c>
      <c r="D71">
        <f t="shared" si="2"/>
        <v>310</v>
      </c>
      <c r="E71" s="84">
        <v>0.94129999999999991</v>
      </c>
      <c r="F71" s="84">
        <v>0.94129999999999991</v>
      </c>
      <c r="G71" s="84">
        <v>0.94129999999999991</v>
      </c>
      <c r="H71" s="84">
        <v>1.0012000000000001</v>
      </c>
      <c r="I71" s="84">
        <v>1.0012000000000001</v>
      </c>
      <c r="J71" s="84">
        <v>1.0218</v>
      </c>
      <c r="K71" s="84">
        <v>1.0219</v>
      </c>
      <c r="L71" s="84">
        <v>1.0218</v>
      </c>
      <c r="O71" s="94" t="s">
        <v>1169</v>
      </c>
      <c r="P71" s="94" t="s">
        <v>104</v>
      </c>
      <c r="U71" s="91">
        <v>100.12</v>
      </c>
      <c r="X71" s="91">
        <v>104.34</v>
      </c>
      <c r="Y71" s="91">
        <v>105.43</v>
      </c>
      <c r="AB71" t="s">
        <v>1169</v>
      </c>
      <c r="AC71" s="84">
        <v>0.94129999999999991</v>
      </c>
      <c r="AD71" s="84">
        <v>0.94129999999999991</v>
      </c>
      <c r="AE71" s="84">
        <v>0.94129999999999991</v>
      </c>
      <c r="AF71" s="84">
        <v>1.0012000000000001</v>
      </c>
      <c r="AG71" s="84">
        <v>1.0012000000000001</v>
      </c>
      <c r="AH71" s="84">
        <v>1.0218</v>
      </c>
      <c r="AI71" s="84">
        <v>1.0219</v>
      </c>
      <c r="AJ71" s="84">
        <v>1.0434000000000001</v>
      </c>
      <c r="AK71" s="84">
        <v>1.0543</v>
      </c>
      <c r="AL71" s="84">
        <v>1.0218</v>
      </c>
    </row>
    <row r="72" spans="1:38">
      <c r="A72">
        <v>69</v>
      </c>
      <c r="B72" t="s">
        <v>154</v>
      </c>
      <c r="C72" t="s">
        <v>104</v>
      </c>
      <c r="D72">
        <f t="shared" si="2"/>
        <v>311</v>
      </c>
      <c r="E72" s="84">
        <v>0.87269999999999992</v>
      </c>
      <c r="F72" s="84">
        <v>0.86230000000000007</v>
      </c>
      <c r="G72" s="84">
        <v>0.86230000000000007</v>
      </c>
      <c r="H72" s="84">
        <v>0.92030000000000001</v>
      </c>
      <c r="I72" s="84">
        <v>0.92030000000000001</v>
      </c>
      <c r="J72" s="84">
        <v>0.93</v>
      </c>
      <c r="K72" s="84">
        <v>0.93</v>
      </c>
      <c r="L72" s="84">
        <v>0.94059999999999999</v>
      </c>
      <c r="O72" s="94" t="s">
        <v>733</v>
      </c>
      <c r="P72" s="94" t="s">
        <v>104</v>
      </c>
      <c r="U72" s="91">
        <v>92.03</v>
      </c>
      <c r="X72" s="91">
        <v>98.3</v>
      </c>
      <c r="Y72" s="91">
        <v>97.23</v>
      </c>
      <c r="AB72" t="s">
        <v>733</v>
      </c>
      <c r="AC72" s="84">
        <v>0.87269999999999992</v>
      </c>
      <c r="AD72" s="84">
        <v>0.86230000000000007</v>
      </c>
      <c r="AE72" s="84">
        <v>0.86230000000000007</v>
      </c>
      <c r="AF72" s="84">
        <v>0.92030000000000001</v>
      </c>
      <c r="AG72" s="84">
        <v>0.92030000000000001</v>
      </c>
      <c r="AH72" s="84">
        <v>0.93</v>
      </c>
      <c r="AI72" s="84">
        <v>0.93</v>
      </c>
      <c r="AJ72" s="84">
        <v>0.98299999999999998</v>
      </c>
      <c r="AK72" s="84">
        <v>0.97230000000000005</v>
      </c>
      <c r="AL72" s="84">
        <v>0.94059999999999999</v>
      </c>
    </row>
    <row r="73" spans="1:38">
      <c r="A73">
        <v>70</v>
      </c>
      <c r="B73" t="s">
        <v>155</v>
      </c>
      <c r="C73" t="s">
        <v>104</v>
      </c>
      <c r="D73">
        <f t="shared" si="2"/>
        <v>312</v>
      </c>
      <c r="E73" s="84">
        <v>0.86230000000000007</v>
      </c>
      <c r="F73" s="84">
        <v>0.86230000000000007</v>
      </c>
      <c r="G73" s="84">
        <v>0.86230000000000007</v>
      </c>
      <c r="H73" s="84">
        <v>0.89910000000000001</v>
      </c>
      <c r="I73" s="84">
        <v>0.89910000000000001</v>
      </c>
      <c r="J73" s="84">
        <v>0.89810000000000001</v>
      </c>
      <c r="K73" s="84">
        <v>0.89819999999999989</v>
      </c>
      <c r="L73" s="84">
        <v>0.9194</v>
      </c>
      <c r="O73" s="94" t="s">
        <v>1170</v>
      </c>
      <c r="P73" s="94" t="s">
        <v>104</v>
      </c>
      <c r="U73" s="91">
        <v>89.91</v>
      </c>
      <c r="X73" s="91">
        <v>95.12</v>
      </c>
      <c r="Y73" s="91">
        <v>95.11</v>
      </c>
      <c r="AB73" t="s">
        <v>1170</v>
      </c>
      <c r="AC73" s="84">
        <v>0.86230000000000007</v>
      </c>
      <c r="AD73" s="84">
        <v>0.86230000000000007</v>
      </c>
      <c r="AE73" s="84">
        <v>0.86230000000000007</v>
      </c>
      <c r="AF73" s="84">
        <v>0.89910000000000001</v>
      </c>
      <c r="AG73" s="84">
        <v>0.89910000000000001</v>
      </c>
      <c r="AH73" s="84">
        <v>0.89810000000000001</v>
      </c>
      <c r="AI73" s="84">
        <v>0.89819999999999989</v>
      </c>
      <c r="AJ73" s="84">
        <v>0.95120000000000005</v>
      </c>
      <c r="AK73" s="84">
        <v>0.95109999999999995</v>
      </c>
      <c r="AL73" s="84">
        <v>0.9194</v>
      </c>
    </row>
    <row r="74" spans="1:38">
      <c r="A74">
        <v>71</v>
      </c>
      <c r="B74" t="s">
        <v>157</v>
      </c>
      <c r="C74" t="s">
        <v>104</v>
      </c>
      <c r="D74">
        <f t="shared" si="2"/>
        <v>313</v>
      </c>
      <c r="E74" s="84">
        <v>0.85189999999999999</v>
      </c>
      <c r="F74" s="84">
        <v>0.85189999999999999</v>
      </c>
      <c r="G74" s="84">
        <v>0.85189999999999999</v>
      </c>
      <c r="H74" s="84">
        <v>0.88849999999999996</v>
      </c>
      <c r="I74" s="84">
        <v>0.88849999999999996</v>
      </c>
      <c r="J74" s="84">
        <v>0.89810000000000001</v>
      </c>
      <c r="K74" s="84">
        <v>0.89819999999999989</v>
      </c>
      <c r="L74" s="84">
        <v>0.90879999999999994</v>
      </c>
      <c r="O74" s="94" t="s">
        <v>1171</v>
      </c>
      <c r="P74" s="94" t="s">
        <v>104</v>
      </c>
      <c r="U74" s="91">
        <v>88.85</v>
      </c>
      <c r="X74" s="91">
        <v>94.06</v>
      </c>
      <c r="Y74" s="91">
        <v>94.05</v>
      </c>
      <c r="AB74" t="s">
        <v>1171</v>
      </c>
      <c r="AC74" s="84">
        <v>0.85189999999999999</v>
      </c>
      <c r="AD74" s="84">
        <v>0.85189999999999999</v>
      </c>
      <c r="AE74" s="84">
        <v>0.85189999999999999</v>
      </c>
      <c r="AF74" s="84">
        <v>0.88849999999999996</v>
      </c>
      <c r="AG74" s="84">
        <v>0.88849999999999996</v>
      </c>
      <c r="AH74" s="84">
        <v>0.89810000000000001</v>
      </c>
      <c r="AI74" s="84">
        <v>0.89819999999999989</v>
      </c>
      <c r="AJ74" s="84">
        <v>0.94059999999999999</v>
      </c>
      <c r="AK74" s="84">
        <v>0.9405</v>
      </c>
      <c r="AL74" s="84">
        <v>0.90879999999999994</v>
      </c>
    </row>
    <row r="75" spans="1:38">
      <c r="A75">
        <v>72</v>
      </c>
      <c r="B75" t="s">
        <v>158</v>
      </c>
      <c r="C75" t="s">
        <v>104</v>
      </c>
      <c r="D75">
        <f t="shared" si="2"/>
        <v>314</v>
      </c>
      <c r="E75" s="84">
        <v>0.90390000000000004</v>
      </c>
      <c r="F75" s="84">
        <v>0.90390000000000004</v>
      </c>
      <c r="G75" s="84">
        <v>0.90390000000000004</v>
      </c>
      <c r="H75" s="84">
        <v>0.9415</v>
      </c>
      <c r="I75" s="84">
        <v>0.9415</v>
      </c>
      <c r="J75" s="84">
        <v>0.95120000000000005</v>
      </c>
      <c r="K75" s="84">
        <v>0.95120000000000005</v>
      </c>
      <c r="L75" s="84">
        <v>0.97239999999999993</v>
      </c>
      <c r="O75" s="94" t="s">
        <v>1172</v>
      </c>
      <c r="P75" s="94" t="s">
        <v>104</v>
      </c>
      <c r="U75" s="91">
        <v>94.15</v>
      </c>
      <c r="X75" s="91">
        <v>100.42</v>
      </c>
      <c r="Y75" s="91">
        <v>99.35</v>
      </c>
      <c r="AB75" t="s">
        <v>1172</v>
      </c>
      <c r="AC75" s="84">
        <v>0.90390000000000004</v>
      </c>
      <c r="AD75" s="84">
        <v>0.90390000000000004</v>
      </c>
      <c r="AE75" s="84">
        <v>0.90390000000000004</v>
      </c>
      <c r="AF75" s="84">
        <v>0.9415</v>
      </c>
      <c r="AG75" s="84">
        <v>0.9415</v>
      </c>
      <c r="AH75" s="84">
        <v>0.95120000000000005</v>
      </c>
      <c r="AI75" s="84">
        <v>0.95120000000000005</v>
      </c>
      <c r="AJ75" s="84">
        <v>1.0042</v>
      </c>
      <c r="AK75" s="84">
        <v>0.99349999999999994</v>
      </c>
      <c r="AL75" s="84">
        <v>0.97239999999999993</v>
      </c>
    </row>
    <row r="76" spans="1:38">
      <c r="A76">
        <v>73</v>
      </c>
      <c r="B76" t="s">
        <v>160</v>
      </c>
      <c r="C76" t="s">
        <v>104</v>
      </c>
      <c r="D76">
        <f t="shared" si="2"/>
        <v>315</v>
      </c>
      <c r="E76" s="84">
        <v>0.85540000000000005</v>
      </c>
      <c r="F76" s="84">
        <v>0.85540000000000005</v>
      </c>
      <c r="G76" s="84">
        <v>0.85540000000000005</v>
      </c>
      <c r="H76" s="84">
        <v>0.89209999999999989</v>
      </c>
      <c r="I76" s="84">
        <v>0.89209999999999989</v>
      </c>
      <c r="J76" s="84">
        <v>0.8911</v>
      </c>
      <c r="K76" s="84">
        <v>0.8911</v>
      </c>
      <c r="L76" s="84">
        <v>0.91099999999999992</v>
      </c>
      <c r="O76" s="94" t="s">
        <v>1173</v>
      </c>
      <c r="P76" s="94" t="s">
        <v>104</v>
      </c>
      <c r="U76" s="91">
        <v>89.21</v>
      </c>
      <c r="X76" s="91">
        <v>95.06</v>
      </c>
      <c r="Y76" s="91">
        <v>94.06</v>
      </c>
      <c r="AB76" t="s">
        <v>1173</v>
      </c>
      <c r="AC76" s="84">
        <v>0.85540000000000005</v>
      </c>
      <c r="AD76" s="84">
        <v>0.85540000000000005</v>
      </c>
      <c r="AE76" s="84">
        <v>0.85540000000000005</v>
      </c>
      <c r="AF76" s="84">
        <v>0.89209999999999989</v>
      </c>
      <c r="AG76" s="84">
        <v>0.89209999999999989</v>
      </c>
      <c r="AH76" s="84">
        <v>0.8911</v>
      </c>
      <c r="AI76" s="84">
        <v>0.8911</v>
      </c>
      <c r="AJ76" s="84">
        <v>0.9506</v>
      </c>
      <c r="AK76" s="84">
        <v>0.94059999999999999</v>
      </c>
      <c r="AL76" s="84">
        <v>0.91099999999999992</v>
      </c>
    </row>
    <row r="77" spans="1:38">
      <c r="A77">
        <v>74</v>
      </c>
      <c r="B77" t="s">
        <v>161</v>
      </c>
      <c r="C77" t="s">
        <v>104</v>
      </c>
      <c r="D77">
        <f t="shared" si="2"/>
        <v>316</v>
      </c>
      <c r="E77" s="84">
        <v>0.80689999999999995</v>
      </c>
      <c r="F77" s="84">
        <v>0.83599999999999997</v>
      </c>
      <c r="G77" s="84">
        <v>0.85540000000000005</v>
      </c>
      <c r="H77" s="84">
        <v>0.91180000000000005</v>
      </c>
      <c r="I77" s="84">
        <v>0.91180000000000005</v>
      </c>
      <c r="J77" s="84">
        <v>0.91090000000000004</v>
      </c>
      <c r="K77" s="84">
        <v>0.91090000000000004</v>
      </c>
      <c r="L77" s="84">
        <v>0.95050000000000001</v>
      </c>
      <c r="O77" s="94" t="s">
        <v>734</v>
      </c>
      <c r="P77" s="94" t="s">
        <v>104</v>
      </c>
      <c r="U77" s="91">
        <v>91.19</v>
      </c>
      <c r="X77" s="91">
        <v>98.02</v>
      </c>
      <c r="Y77" s="91">
        <v>98.02</v>
      </c>
      <c r="AB77" t="s">
        <v>734</v>
      </c>
      <c r="AC77" s="84">
        <v>0.80689999999999995</v>
      </c>
      <c r="AD77" s="84">
        <v>0.83599999999999997</v>
      </c>
      <c r="AE77" s="84">
        <v>0.85540000000000005</v>
      </c>
      <c r="AF77" s="84">
        <v>0.91180000000000005</v>
      </c>
      <c r="AG77" s="84">
        <v>0.91189999999999993</v>
      </c>
      <c r="AH77" s="84">
        <v>0.91090000000000004</v>
      </c>
      <c r="AI77" s="84">
        <v>0.91090000000000004</v>
      </c>
      <c r="AJ77" s="84">
        <v>0.98019999999999996</v>
      </c>
      <c r="AK77" s="84">
        <v>0.98019999999999996</v>
      </c>
      <c r="AL77" s="84">
        <v>0.95050000000000001</v>
      </c>
    </row>
    <row r="78" spans="1:38">
      <c r="A78">
        <v>75</v>
      </c>
      <c r="B78" t="s">
        <v>163</v>
      </c>
      <c r="C78" t="s">
        <v>104</v>
      </c>
      <c r="D78">
        <f t="shared" si="2"/>
        <v>317</v>
      </c>
      <c r="E78" s="84">
        <v>0.86659999999999993</v>
      </c>
      <c r="F78" s="84">
        <v>0.88700000000000001</v>
      </c>
      <c r="G78" s="84">
        <v>0.91760000000000008</v>
      </c>
      <c r="H78" s="84">
        <v>0.96579999999999999</v>
      </c>
      <c r="I78" s="84">
        <v>0.96579999999999999</v>
      </c>
      <c r="J78" s="84">
        <v>0.97530000000000006</v>
      </c>
      <c r="K78" s="84">
        <v>0.97530000000000006</v>
      </c>
      <c r="L78" s="84">
        <v>1.0168999999999999</v>
      </c>
      <c r="O78" s="94" t="s">
        <v>1174</v>
      </c>
      <c r="P78" s="94" t="s">
        <v>104</v>
      </c>
      <c r="U78" s="91">
        <v>96.59</v>
      </c>
      <c r="X78" s="91">
        <v>104.8</v>
      </c>
      <c r="Y78" s="91">
        <v>104.81</v>
      </c>
      <c r="AB78" t="s">
        <v>1174</v>
      </c>
      <c r="AC78" s="84">
        <v>0.86659999999999993</v>
      </c>
      <c r="AD78" s="84">
        <v>0.88700000000000001</v>
      </c>
      <c r="AE78" s="84">
        <v>0.91760000000000008</v>
      </c>
      <c r="AF78" s="84">
        <v>0.96579999999999999</v>
      </c>
      <c r="AG78" s="84">
        <v>0.96589999999999998</v>
      </c>
      <c r="AH78" s="84">
        <v>0.97530000000000006</v>
      </c>
      <c r="AI78" s="84">
        <v>0.97530000000000006</v>
      </c>
      <c r="AJ78" s="84">
        <v>1.048</v>
      </c>
      <c r="AK78" s="84">
        <v>1.0481</v>
      </c>
      <c r="AL78" s="84">
        <v>1.0168999999999999</v>
      </c>
    </row>
    <row r="79" spans="1:38">
      <c r="A79">
        <v>76</v>
      </c>
      <c r="B79" t="s">
        <v>164</v>
      </c>
      <c r="C79" t="s">
        <v>104</v>
      </c>
      <c r="D79">
        <f t="shared" si="2"/>
        <v>318</v>
      </c>
      <c r="E79" s="84">
        <v>0.78500000000000003</v>
      </c>
      <c r="F79" s="84">
        <v>0.81559999999999999</v>
      </c>
      <c r="G79" s="84">
        <v>0.84620000000000006</v>
      </c>
      <c r="H79" s="84">
        <v>0.89300000000000002</v>
      </c>
      <c r="I79" s="84">
        <v>0.89300000000000002</v>
      </c>
      <c r="J79" s="84">
        <v>0.89209999999999989</v>
      </c>
      <c r="K79" s="84">
        <v>0.89209999999999989</v>
      </c>
      <c r="L79" s="84">
        <v>0.93370000000000009</v>
      </c>
      <c r="O79" s="94" t="s">
        <v>1175</v>
      </c>
      <c r="P79" s="94" t="s">
        <v>104</v>
      </c>
      <c r="U79" s="91">
        <v>89.31</v>
      </c>
      <c r="X79" s="91">
        <v>96.48</v>
      </c>
      <c r="Y79" s="91">
        <v>96.49</v>
      </c>
      <c r="AB79" t="s">
        <v>1175</v>
      </c>
      <c r="AC79" s="84">
        <v>0.78500000000000003</v>
      </c>
      <c r="AD79" s="84">
        <v>0.81559999999999999</v>
      </c>
      <c r="AE79" s="84">
        <v>0.84620000000000006</v>
      </c>
      <c r="AF79" s="84">
        <v>0.89300000000000002</v>
      </c>
      <c r="AG79" s="84">
        <v>0.8931</v>
      </c>
      <c r="AH79" s="84">
        <v>0.89209999999999989</v>
      </c>
      <c r="AI79" s="84">
        <v>0.89209999999999989</v>
      </c>
      <c r="AJ79" s="84">
        <v>0.96479999999999999</v>
      </c>
      <c r="AK79" s="84">
        <v>0.96489999999999998</v>
      </c>
      <c r="AL79" s="84">
        <v>0.93370000000000009</v>
      </c>
    </row>
    <row r="80" spans="1:38">
      <c r="A80">
        <v>77</v>
      </c>
      <c r="B80" t="s">
        <v>166</v>
      </c>
      <c r="C80" t="s">
        <v>104</v>
      </c>
      <c r="D80">
        <f t="shared" si="2"/>
        <v>319</v>
      </c>
      <c r="E80" s="84">
        <v>0.75129999999999997</v>
      </c>
      <c r="F80" s="84">
        <v>0.75129999999999997</v>
      </c>
      <c r="G80" s="84">
        <v>0.80290000000000006</v>
      </c>
      <c r="H80" s="84">
        <v>0.83840000000000003</v>
      </c>
      <c r="I80" s="84">
        <v>0.83840000000000003</v>
      </c>
      <c r="J80" s="84">
        <v>0.84799999999999998</v>
      </c>
      <c r="K80" s="84">
        <v>0.84799999999999998</v>
      </c>
      <c r="L80" s="84">
        <v>0.89</v>
      </c>
      <c r="O80" s="94" t="s">
        <v>1176</v>
      </c>
      <c r="P80" s="94" t="s">
        <v>104</v>
      </c>
      <c r="U80" s="91">
        <v>83.84</v>
      </c>
      <c r="X80" s="91">
        <v>91.1</v>
      </c>
      <c r="Y80" s="91">
        <v>91.1</v>
      </c>
      <c r="AB80" t="s">
        <v>1176</v>
      </c>
      <c r="AC80" s="84">
        <v>0.75129999999999997</v>
      </c>
      <c r="AD80" s="84">
        <v>0.75129999999999997</v>
      </c>
      <c r="AE80" s="84">
        <v>0.80290000000000006</v>
      </c>
      <c r="AF80" s="84">
        <v>0.83840000000000003</v>
      </c>
      <c r="AG80" s="84">
        <v>0.83840000000000003</v>
      </c>
      <c r="AH80" s="84">
        <v>0.84799999999999998</v>
      </c>
      <c r="AI80" s="84">
        <v>0.84799999999999998</v>
      </c>
      <c r="AJ80" s="84">
        <v>0.91099999999999992</v>
      </c>
      <c r="AK80" s="84">
        <v>0.91099999999999992</v>
      </c>
      <c r="AL80" s="84">
        <v>0.89</v>
      </c>
    </row>
    <row r="81" spans="1:38">
      <c r="A81">
        <v>78</v>
      </c>
      <c r="B81" t="s">
        <v>167</v>
      </c>
      <c r="C81" t="s">
        <v>104</v>
      </c>
      <c r="D81">
        <f t="shared" si="2"/>
        <v>320</v>
      </c>
      <c r="E81" s="84">
        <v>0.73750000000000004</v>
      </c>
      <c r="F81" s="84">
        <v>0.73750000000000004</v>
      </c>
      <c r="G81" s="84">
        <v>0.78949999999999998</v>
      </c>
      <c r="H81" s="84">
        <v>0.82469999999999999</v>
      </c>
      <c r="I81" s="84">
        <v>0.82469999999999999</v>
      </c>
      <c r="J81" s="84">
        <v>0.82389999999999997</v>
      </c>
      <c r="K81" s="84">
        <v>0.82389999999999997</v>
      </c>
      <c r="L81" s="84">
        <v>0.83450000000000002</v>
      </c>
      <c r="O81" s="94" t="s">
        <v>1177</v>
      </c>
      <c r="P81" s="94" t="s">
        <v>104</v>
      </c>
      <c r="U81" s="91">
        <v>82.48</v>
      </c>
      <c r="X81" s="91">
        <v>85.57</v>
      </c>
      <c r="Y81" s="91">
        <v>85.57</v>
      </c>
      <c r="AB81" t="s">
        <v>1177</v>
      </c>
      <c r="AC81" s="84">
        <v>0.73750000000000004</v>
      </c>
      <c r="AD81" s="84">
        <v>0.73750000000000004</v>
      </c>
      <c r="AE81" s="84">
        <v>0.78949999999999998</v>
      </c>
      <c r="AF81" s="84">
        <v>0.82469999999999999</v>
      </c>
      <c r="AG81" s="84">
        <v>0.82480000000000009</v>
      </c>
      <c r="AH81" s="84">
        <v>0.82389999999999997</v>
      </c>
      <c r="AI81" s="84">
        <v>0.82389999999999997</v>
      </c>
      <c r="AJ81" s="84">
        <v>0.85569999999999991</v>
      </c>
      <c r="AK81" s="84">
        <v>0.85569999999999991</v>
      </c>
      <c r="AL81" s="84">
        <v>0.83450000000000002</v>
      </c>
    </row>
    <row r="82" spans="1:38">
      <c r="A82">
        <v>79</v>
      </c>
      <c r="B82" t="s">
        <v>169</v>
      </c>
      <c r="C82" t="s">
        <v>104</v>
      </c>
      <c r="D82">
        <f t="shared" si="2"/>
        <v>321</v>
      </c>
      <c r="E82" s="84">
        <v>0.78599999999999992</v>
      </c>
      <c r="F82" s="84">
        <v>0.78599999999999992</v>
      </c>
      <c r="G82" s="84">
        <v>0.83860000000000001</v>
      </c>
      <c r="H82" s="84">
        <v>0.87480000000000002</v>
      </c>
      <c r="I82" s="84">
        <v>0.87480000000000002</v>
      </c>
      <c r="J82" s="84">
        <v>0.88459999999999994</v>
      </c>
      <c r="K82" s="84">
        <v>0.88459999999999994</v>
      </c>
      <c r="L82" s="84">
        <v>0.88459999999999994</v>
      </c>
      <c r="O82" s="94" t="s">
        <v>1178</v>
      </c>
      <c r="P82" s="94" t="s">
        <v>104</v>
      </c>
      <c r="U82" s="91">
        <v>87.49</v>
      </c>
      <c r="X82" s="91">
        <v>90.6</v>
      </c>
      <c r="Y82" s="91">
        <v>90.6</v>
      </c>
      <c r="AB82" t="s">
        <v>1178</v>
      </c>
      <c r="AC82" s="84">
        <v>0.78599999999999992</v>
      </c>
      <c r="AD82" s="84">
        <v>0.78599999999999992</v>
      </c>
      <c r="AE82" s="84">
        <v>0.83860000000000001</v>
      </c>
      <c r="AF82" s="84">
        <v>0.87480000000000002</v>
      </c>
      <c r="AG82" s="84">
        <v>0.8748999999999999</v>
      </c>
      <c r="AH82" s="84">
        <v>0.88459999999999994</v>
      </c>
      <c r="AI82" s="84">
        <v>0.88459999999999994</v>
      </c>
      <c r="AJ82" s="84">
        <v>0.90599999999999992</v>
      </c>
      <c r="AK82" s="84">
        <v>0.90599999999999992</v>
      </c>
      <c r="AL82" s="84">
        <v>0.88459999999999994</v>
      </c>
    </row>
    <row r="83" spans="1:38">
      <c r="A83">
        <v>80</v>
      </c>
      <c r="B83" t="s">
        <v>170</v>
      </c>
      <c r="C83" t="s">
        <v>104</v>
      </c>
      <c r="D83">
        <f t="shared" si="2"/>
        <v>322</v>
      </c>
      <c r="E83" s="84">
        <v>0.87269999999999992</v>
      </c>
      <c r="F83" s="84">
        <v>0.89349999999999996</v>
      </c>
      <c r="G83" s="84">
        <v>0.96640000000000004</v>
      </c>
      <c r="H83" s="84">
        <v>1.0158</v>
      </c>
      <c r="I83" s="84">
        <v>1.0158</v>
      </c>
      <c r="J83" s="84">
        <v>1.0254000000000001</v>
      </c>
      <c r="K83" s="84">
        <v>1.0254000000000001</v>
      </c>
      <c r="L83" s="84">
        <v>1.1101999999999999</v>
      </c>
      <c r="O83" s="94" t="s">
        <v>735</v>
      </c>
      <c r="P83" s="94" t="s">
        <v>104</v>
      </c>
      <c r="U83" s="91">
        <v>101.58</v>
      </c>
      <c r="X83" s="91">
        <v>108.9</v>
      </c>
      <c r="Y83" s="91">
        <v>113.14</v>
      </c>
      <c r="AB83" t="s">
        <v>735</v>
      </c>
      <c r="AC83" s="84">
        <v>0.87269999999999992</v>
      </c>
      <c r="AD83" s="84">
        <v>0.89349999999999996</v>
      </c>
      <c r="AE83" s="84">
        <v>0.96640000000000004</v>
      </c>
      <c r="AF83" s="84">
        <v>1.0158</v>
      </c>
      <c r="AG83" s="84">
        <v>1.0158</v>
      </c>
      <c r="AH83" s="84">
        <v>1.0254000000000001</v>
      </c>
      <c r="AI83" s="84">
        <v>1.0254000000000001</v>
      </c>
      <c r="AJ83" s="84">
        <v>1.089</v>
      </c>
      <c r="AK83" s="84">
        <v>1.1314</v>
      </c>
      <c r="AL83" s="84">
        <v>1.1101999999999999</v>
      </c>
    </row>
    <row r="84" spans="1:38">
      <c r="A84">
        <v>81</v>
      </c>
      <c r="B84" t="s">
        <v>172</v>
      </c>
      <c r="C84" t="s">
        <v>104</v>
      </c>
      <c r="D84">
        <f t="shared" si="2"/>
        <v>323</v>
      </c>
      <c r="E84" s="84">
        <v>0.77749999999999997</v>
      </c>
      <c r="F84" s="84">
        <v>0.7984</v>
      </c>
      <c r="G84" s="84">
        <v>0.86120000000000008</v>
      </c>
      <c r="H84" s="84">
        <v>0.90859999999999996</v>
      </c>
      <c r="I84" s="84">
        <v>0.90859999999999996</v>
      </c>
      <c r="J84" s="84">
        <v>0.91830000000000001</v>
      </c>
      <c r="K84" s="84">
        <v>0.91830000000000001</v>
      </c>
      <c r="L84" s="84">
        <v>1.0034999999999998</v>
      </c>
      <c r="O84" s="94" t="s">
        <v>1179</v>
      </c>
      <c r="P84" s="94" t="s">
        <v>104</v>
      </c>
      <c r="U84" s="91">
        <v>90.86</v>
      </c>
      <c r="X84" s="91">
        <v>98.22</v>
      </c>
      <c r="Y84" s="91">
        <v>102.49</v>
      </c>
      <c r="AB84" t="s">
        <v>1179</v>
      </c>
      <c r="AC84" s="84">
        <v>0.77749999999999997</v>
      </c>
      <c r="AD84" s="84">
        <v>0.7984</v>
      </c>
      <c r="AE84" s="84">
        <v>0.86120000000000008</v>
      </c>
      <c r="AF84" s="84">
        <v>0.90859999999999996</v>
      </c>
      <c r="AG84" s="84">
        <v>0.90859999999999996</v>
      </c>
      <c r="AH84" s="84">
        <v>0.91830000000000001</v>
      </c>
      <c r="AI84" s="84">
        <v>0.91830000000000001</v>
      </c>
      <c r="AJ84" s="84">
        <v>0.98219999999999996</v>
      </c>
      <c r="AK84" s="84">
        <v>1.0248999999999999</v>
      </c>
      <c r="AL84" s="84">
        <v>1.0034999999999998</v>
      </c>
    </row>
    <row r="85" spans="1:38">
      <c r="A85">
        <v>82</v>
      </c>
      <c r="B85" t="s">
        <v>173</v>
      </c>
      <c r="C85" t="s">
        <v>104</v>
      </c>
      <c r="D85">
        <f t="shared" si="2"/>
        <v>324</v>
      </c>
      <c r="E85" s="84">
        <v>0.84860000000000002</v>
      </c>
      <c r="F85" s="84">
        <v>0.87033600000000011</v>
      </c>
      <c r="G85" s="84">
        <v>0.93564800000000015</v>
      </c>
      <c r="H85" s="84">
        <v>0.98494400000000015</v>
      </c>
      <c r="I85" s="84">
        <v>0.98494400000000015</v>
      </c>
      <c r="J85" s="84">
        <v>0.99503199999999992</v>
      </c>
      <c r="K85" s="84">
        <v>0.99503199999999992</v>
      </c>
      <c r="L85" s="84">
        <v>1.0836399999999999</v>
      </c>
      <c r="O85" s="94" t="s">
        <v>1180</v>
      </c>
      <c r="P85" s="94" t="s">
        <v>104</v>
      </c>
      <c r="U85" s="91">
        <v>98.494400000000013</v>
      </c>
      <c r="X85" s="91">
        <v>106.14879999999999</v>
      </c>
      <c r="Y85" s="91">
        <v>110.58960000000002</v>
      </c>
      <c r="AB85" t="s">
        <v>1180</v>
      </c>
      <c r="AC85" s="84">
        <v>0.84860000000000002</v>
      </c>
      <c r="AD85" s="84">
        <v>0.87033600000000011</v>
      </c>
      <c r="AE85" s="84">
        <v>0.93564800000000015</v>
      </c>
      <c r="AF85" s="84">
        <v>0.98494400000000015</v>
      </c>
      <c r="AG85" s="84">
        <v>0.98494400000000015</v>
      </c>
      <c r="AH85" s="84">
        <v>0.99503199999999992</v>
      </c>
      <c r="AI85" s="84">
        <v>0.99503199999999992</v>
      </c>
      <c r="AJ85" s="84">
        <v>1.061488</v>
      </c>
      <c r="AK85" s="84">
        <v>1.1058960000000002</v>
      </c>
      <c r="AL85" s="84">
        <v>1.0836399999999999</v>
      </c>
    </row>
    <row r="86" spans="1:38">
      <c r="A86">
        <v>83</v>
      </c>
      <c r="B86" t="s">
        <v>175</v>
      </c>
      <c r="C86" t="s">
        <v>104</v>
      </c>
      <c r="D86">
        <f t="shared" si="2"/>
        <v>325</v>
      </c>
      <c r="E86" s="84">
        <v>0.91969999999999996</v>
      </c>
      <c r="F86" s="84">
        <v>0.94227200000000011</v>
      </c>
      <c r="G86" s="84">
        <v>1.0100960000000001</v>
      </c>
      <c r="H86" s="84">
        <v>1.0612880000000005</v>
      </c>
      <c r="I86" s="84">
        <v>1.0612880000000005</v>
      </c>
      <c r="J86" s="84">
        <v>1.0717639999999999</v>
      </c>
      <c r="K86" s="84">
        <v>1.0717639999999999</v>
      </c>
      <c r="L86" s="84">
        <v>1.16378</v>
      </c>
      <c r="O86" s="94" t="s">
        <v>1180</v>
      </c>
      <c r="P86" s="94" t="s">
        <v>104</v>
      </c>
      <c r="U86" s="91">
        <v>106.12880000000004</v>
      </c>
      <c r="X86" s="91">
        <v>114.07760000000002</v>
      </c>
      <c r="Y86" s="91">
        <v>118.68920000000003</v>
      </c>
      <c r="AB86" t="s">
        <v>1180</v>
      </c>
      <c r="AC86" s="84">
        <v>0.91969999999999996</v>
      </c>
      <c r="AD86" s="84">
        <v>0.94227200000000011</v>
      </c>
      <c r="AE86" s="84">
        <v>1.0100960000000001</v>
      </c>
      <c r="AF86" s="84">
        <v>1.0612880000000005</v>
      </c>
      <c r="AG86" s="84">
        <v>1.0612880000000005</v>
      </c>
      <c r="AH86" s="84">
        <v>1.0717639999999999</v>
      </c>
      <c r="AI86" s="84">
        <v>1.0717639999999999</v>
      </c>
      <c r="AJ86" s="84">
        <v>1.1407760000000002</v>
      </c>
      <c r="AK86" s="84">
        <v>1.1868920000000003</v>
      </c>
      <c r="AL86" s="84">
        <v>1.16378</v>
      </c>
    </row>
    <row r="87" spans="1:38">
      <c r="A87">
        <v>84</v>
      </c>
      <c r="B87" t="s">
        <v>176</v>
      </c>
      <c r="C87" t="s">
        <v>104</v>
      </c>
      <c r="D87">
        <f t="shared" si="2"/>
        <v>326</v>
      </c>
      <c r="E87" s="84">
        <v>1.000216</v>
      </c>
      <c r="F87" s="84">
        <v>1.033606</v>
      </c>
      <c r="G87" s="84">
        <v>1.1116220000000001</v>
      </c>
      <c r="H87" s="84">
        <v>1.176812</v>
      </c>
      <c r="I87" s="84">
        <v>1.176812</v>
      </c>
      <c r="J87" s="84">
        <v>1.2328859999999999</v>
      </c>
      <c r="K87" s="84">
        <v>1.221438</v>
      </c>
      <c r="L87" s="84">
        <v>1.2555700000000001</v>
      </c>
      <c r="O87" s="94" t="s">
        <v>1128</v>
      </c>
      <c r="P87" s="94" t="s">
        <v>104</v>
      </c>
      <c r="U87" s="91">
        <v>116.54700000000001</v>
      </c>
      <c r="X87" s="91">
        <v>126.68060000000001</v>
      </c>
      <c r="Y87" s="91">
        <v>125.55700000000002</v>
      </c>
      <c r="AB87" t="s">
        <v>1128</v>
      </c>
      <c r="AC87" s="84">
        <v>1.000216</v>
      </c>
      <c r="AD87" s="84">
        <v>1.033606</v>
      </c>
      <c r="AE87" s="84">
        <v>1.1116220000000001</v>
      </c>
      <c r="AF87" s="84">
        <v>1.176812</v>
      </c>
      <c r="AG87" s="84">
        <v>1.16547</v>
      </c>
      <c r="AH87" s="84">
        <v>1.2328859999999999</v>
      </c>
      <c r="AI87" s="84">
        <v>1.221438</v>
      </c>
      <c r="AJ87" s="84">
        <v>1.2668060000000001</v>
      </c>
      <c r="AK87" s="84">
        <v>1.2555700000000001</v>
      </c>
      <c r="AL87" s="84">
        <v>1.2555700000000001</v>
      </c>
    </row>
    <row r="88" spans="1:38">
      <c r="A88">
        <v>85</v>
      </c>
      <c r="B88" t="s">
        <v>178</v>
      </c>
      <c r="C88" t="s">
        <v>104</v>
      </c>
      <c r="D88">
        <f t="shared" si="2"/>
        <v>327</v>
      </c>
      <c r="E88" s="84">
        <v>0.92092000000000018</v>
      </c>
      <c r="F88" s="84">
        <v>0.95579000000000003</v>
      </c>
      <c r="G88" s="84">
        <v>1.0370800000000002</v>
      </c>
      <c r="H88" s="84">
        <v>1.0907600000000002</v>
      </c>
      <c r="I88" s="84">
        <v>1.0907600000000002</v>
      </c>
      <c r="J88" s="84">
        <v>1.14917</v>
      </c>
      <c r="K88" s="84">
        <v>1.1372900000000001</v>
      </c>
      <c r="L88" s="84">
        <v>1.17293</v>
      </c>
      <c r="O88" s="94" t="s">
        <v>1181</v>
      </c>
      <c r="P88" s="94" t="s">
        <v>104</v>
      </c>
      <c r="U88" s="91">
        <v>109.07600000000001</v>
      </c>
      <c r="X88" s="91">
        <v>118.47</v>
      </c>
      <c r="Y88" s="91">
        <v>117.29300000000001</v>
      </c>
      <c r="AB88" t="s">
        <v>1181</v>
      </c>
      <c r="AC88" s="84">
        <v>0.92092000000000018</v>
      </c>
      <c r="AD88" s="84">
        <v>0.95579000000000003</v>
      </c>
      <c r="AE88" s="84">
        <v>1.0370800000000002</v>
      </c>
      <c r="AF88" s="84">
        <v>1.0907600000000002</v>
      </c>
      <c r="AG88" s="84">
        <v>1.0907600000000002</v>
      </c>
      <c r="AH88" s="84">
        <v>1.14917</v>
      </c>
      <c r="AI88" s="84">
        <v>1.1372900000000001</v>
      </c>
      <c r="AJ88" s="84">
        <v>1.1847000000000001</v>
      </c>
      <c r="AK88" s="84">
        <v>1.17293</v>
      </c>
      <c r="AL88" s="84">
        <v>1.17293</v>
      </c>
    </row>
    <row r="89" spans="1:38">
      <c r="A89">
        <v>86</v>
      </c>
      <c r="B89" t="s">
        <v>179</v>
      </c>
      <c r="C89" t="s">
        <v>104</v>
      </c>
      <c r="D89">
        <f t="shared" si="2"/>
        <v>328</v>
      </c>
      <c r="E89" s="84">
        <v>1.03484052421652</v>
      </c>
      <c r="F89" s="84">
        <v>1.0591553675213701</v>
      </c>
      <c r="G89" s="84">
        <v>1.13224791452992</v>
      </c>
      <c r="H89" s="84">
        <v>1.18812520797721</v>
      </c>
      <c r="I89" s="84">
        <v>1.18812520797721</v>
      </c>
      <c r="J89" s="84">
        <v>1.20652813105413</v>
      </c>
      <c r="K89" s="84">
        <v>1.2032209743589699</v>
      </c>
      <c r="L89" s="84">
        <v>1.25434698005698</v>
      </c>
      <c r="O89" s="94" t="s">
        <v>1182</v>
      </c>
      <c r="P89" s="94" t="s">
        <v>104</v>
      </c>
      <c r="U89" s="91">
        <v>99.16</v>
      </c>
      <c r="X89" s="91">
        <v>107.7</v>
      </c>
      <c r="Y89" s="91">
        <v>106.63</v>
      </c>
      <c r="AB89" t="s">
        <v>1182</v>
      </c>
      <c r="AC89" s="84">
        <v>1.03484052421652</v>
      </c>
      <c r="AD89" s="84">
        <v>1.0591553675213701</v>
      </c>
      <c r="AE89" s="84">
        <v>1.13224791452992</v>
      </c>
      <c r="AF89" s="84">
        <v>1.18812520797721</v>
      </c>
      <c r="AG89" s="84">
        <v>1.18657917378917</v>
      </c>
      <c r="AH89" s="84">
        <v>1.20652813105413</v>
      </c>
      <c r="AI89" s="84">
        <v>1.2032209743589699</v>
      </c>
      <c r="AJ89" s="84">
        <v>1.2711683019943001</v>
      </c>
      <c r="AK89" s="84">
        <v>1.2881183760683801</v>
      </c>
      <c r="AL89" s="84">
        <v>1.25434698005698</v>
      </c>
    </row>
    <row r="90" spans="1:38">
      <c r="A90">
        <v>87</v>
      </c>
      <c r="B90" t="s">
        <v>138</v>
      </c>
      <c r="C90" t="s">
        <v>105</v>
      </c>
      <c r="D90">
        <v>400</v>
      </c>
      <c r="E90" s="84">
        <v>0.21</v>
      </c>
      <c r="F90" s="84">
        <v>0.21</v>
      </c>
      <c r="G90" s="84">
        <v>0.21</v>
      </c>
      <c r="H90" s="84">
        <v>0.21</v>
      </c>
      <c r="I90" s="84">
        <v>0.21</v>
      </c>
      <c r="J90" s="84">
        <v>0.22</v>
      </c>
      <c r="K90" s="84">
        <v>0.22</v>
      </c>
      <c r="L90" s="84">
        <v>0.32</v>
      </c>
      <c r="O90" s="94" t="s">
        <v>138</v>
      </c>
      <c r="P90" s="94" t="s">
        <v>105</v>
      </c>
      <c r="U90" s="102">
        <v>21</v>
      </c>
      <c r="X90" s="102">
        <v>25</v>
      </c>
      <c r="Y90" s="102">
        <v>23</v>
      </c>
      <c r="AB90" s="94" t="s">
        <v>138</v>
      </c>
      <c r="AC90" s="102">
        <v>21</v>
      </c>
      <c r="AD90" s="102">
        <v>21</v>
      </c>
      <c r="AE90" s="102">
        <v>21</v>
      </c>
      <c r="AF90" s="102">
        <v>21</v>
      </c>
      <c r="AG90" s="102">
        <v>21</v>
      </c>
      <c r="AH90" s="102">
        <v>22</v>
      </c>
      <c r="AI90" s="102">
        <v>22</v>
      </c>
      <c r="AJ90" s="102">
        <v>25</v>
      </c>
      <c r="AK90" s="102">
        <v>23</v>
      </c>
      <c r="AL90" s="102">
        <v>32</v>
      </c>
    </row>
    <row r="91" spans="1:38">
      <c r="A91">
        <v>88</v>
      </c>
      <c r="B91" t="s">
        <v>139</v>
      </c>
      <c r="C91" t="s">
        <v>105</v>
      </c>
      <c r="D91">
        <f>+D90+1</f>
        <v>401</v>
      </c>
      <c r="E91" s="84">
        <v>0.27</v>
      </c>
      <c r="F91" s="84">
        <v>0.27</v>
      </c>
      <c r="G91" s="84">
        <v>0.27</v>
      </c>
      <c r="H91" s="84">
        <v>0.27</v>
      </c>
      <c r="I91" s="84">
        <v>0.27</v>
      </c>
      <c r="J91" s="84">
        <v>0.28999999999999998</v>
      </c>
      <c r="K91" s="84">
        <v>0.28000000000000003</v>
      </c>
      <c r="L91" s="84">
        <v>0.4</v>
      </c>
      <c r="O91" s="94" t="s">
        <v>139</v>
      </c>
      <c r="P91" s="94" t="s">
        <v>105</v>
      </c>
      <c r="U91" s="102">
        <v>27</v>
      </c>
      <c r="X91" s="102">
        <v>32</v>
      </c>
      <c r="Y91" s="102">
        <v>30</v>
      </c>
      <c r="AB91" s="94" t="s">
        <v>139</v>
      </c>
      <c r="AC91" s="102">
        <v>27</v>
      </c>
      <c r="AD91" s="102">
        <v>27</v>
      </c>
      <c r="AE91" s="102">
        <v>27</v>
      </c>
      <c r="AF91" s="102">
        <v>27</v>
      </c>
      <c r="AG91" s="102">
        <v>27</v>
      </c>
      <c r="AH91" s="102">
        <v>29</v>
      </c>
      <c r="AI91" s="102">
        <v>28</v>
      </c>
      <c r="AJ91" s="102">
        <v>32</v>
      </c>
      <c r="AK91" s="102">
        <v>30</v>
      </c>
      <c r="AL91" s="102">
        <v>40</v>
      </c>
    </row>
    <row r="92" spans="1:38">
      <c r="A92">
        <v>89</v>
      </c>
      <c r="B92" t="s">
        <v>140</v>
      </c>
      <c r="C92" t="s">
        <v>105</v>
      </c>
      <c r="D92">
        <f t="shared" ref="D92:D118" si="3">+D91+1</f>
        <v>402</v>
      </c>
      <c r="O92" s="94" t="s">
        <v>1164</v>
      </c>
      <c r="P92" s="94" t="s">
        <v>105</v>
      </c>
      <c r="Q92" s="103"/>
      <c r="R92" s="103"/>
      <c r="S92" s="103"/>
      <c r="T92" s="103"/>
      <c r="U92" s="103"/>
      <c r="V92" s="103"/>
      <c r="W92" s="103"/>
      <c r="X92" s="103"/>
      <c r="Y92" s="103"/>
      <c r="AB92" s="94" t="s">
        <v>1164</v>
      </c>
    </row>
    <row r="93" spans="1:38">
      <c r="A93">
        <v>90</v>
      </c>
      <c r="B93" t="s">
        <v>142</v>
      </c>
      <c r="C93" t="s">
        <v>105</v>
      </c>
      <c r="D93">
        <f t="shared" si="3"/>
        <v>403</v>
      </c>
      <c r="E93" s="84">
        <v>0.51</v>
      </c>
      <c r="F93" s="84">
        <v>0.51</v>
      </c>
      <c r="G93" s="84">
        <v>0.51</v>
      </c>
      <c r="H93" s="84">
        <v>0.53959999999999997</v>
      </c>
      <c r="I93" s="84">
        <v>0.53959999999999997</v>
      </c>
      <c r="J93" s="84">
        <v>0.55940000000000001</v>
      </c>
      <c r="K93" s="105">
        <v>0.55940000000000001</v>
      </c>
      <c r="L93" s="105">
        <v>0.55940000000000001</v>
      </c>
      <c r="O93" s="94" t="s">
        <v>142</v>
      </c>
      <c r="P93" s="94" t="s">
        <v>105</v>
      </c>
      <c r="Q93" s="102">
        <v>51</v>
      </c>
      <c r="R93" s="102">
        <v>51</v>
      </c>
      <c r="S93" s="102">
        <v>51</v>
      </c>
      <c r="T93" s="102">
        <v>53.96</v>
      </c>
      <c r="U93" s="102">
        <v>53.96</v>
      </c>
      <c r="V93" s="102">
        <v>55.94</v>
      </c>
      <c r="X93" s="102">
        <v>56.96</v>
      </c>
      <c r="Y93" s="102">
        <v>59</v>
      </c>
      <c r="AB93" s="94" t="s">
        <v>142</v>
      </c>
      <c r="AC93" s="102">
        <v>51</v>
      </c>
      <c r="AD93" s="102">
        <v>51</v>
      </c>
      <c r="AE93" s="102">
        <v>51</v>
      </c>
      <c r="AF93" s="102">
        <v>53.96</v>
      </c>
      <c r="AG93" s="102">
        <v>53.96</v>
      </c>
      <c r="AH93" s="102">
        <v>55.94</v>
      </c>
      <c r="AI93" s="102">
        <v>55.94</v>
      </c>
      <c r="AJ93" s="102">
        <v>56.96</v>
      </c>
      <c r="AK93" s="102">
        <v>59</v>
      </c>
      <c r="AL93" s="102">
        <v>55.94</v>
      </c>
    </row>
    <row r="94" spans="1:38">
      <c r="A94">
        <v>91</v>
      </c>
      <c r="B94" t="s">
        <v>143</v>
      </c>
      <c r="C94" t="s">
        <v>105</v>
      </c>
      <c r="D94">
        <f t="shared" si="3"/>
        <v>404</v>
      </c>
      <c r="E94" s="84">
        <v>0.70240000000000002</v>
      </c>
      <c r="F94" s="84">
        <v>0.70240000000000002</v>
      </c>
      <c r="G94" s="84">
        <v>0.70240000000000002</v>
      </c>
      <c r="H94" s="84">
        <v>0.73580000000000001</v>
      </c>
      <c r="I94" s="84">
        <v>0.73580000000000001</v>
      </c>
      <c r="J94" s="84">
        <v>0.75600000000000001</v>
      </c>
      <c r="K94" s="105">
        <v>0.75590000000000002</v>
      </c>
      <c r="L94" s="105">
        <v>0.76629999999999998</v>
      </c>
      <c r="O94" s="94" t="s">
        <v>1165</v>
      </c>
      <c r="P94" s="94" t="s">
        <v>105</v>
      </c>
      <c r="Q94" s="102">
        <v>70.239999999999995</v>
      </c>
      <c r="R94" s="102">
        <v>70.239999999999995</v>
      </c>
      <c r="S94" s="102">
        <v>70.239999999999995</v>
      </c>
      <c r="T94" s="102">
        <v>73.58</v>
      </c>
      <c r="U94" s="102">
        <v>73.58</v>
      </c>
      <c r="V94" s="102">
        <v>75.599999999999994</v>
      </c>
      <c r="X94" s="102">
        <v>77.67</v>
      </c>
      <c r="Y94" s="102">
        <v>79.75</v>
      </c>
      <c r="AB94" s="94" t="s">
        <v>1165</v>
      </c>
      <c r="AC94" s="102">
        <v>70.239999999999995</v>
      </c>
      <c r="AD94" s="102">
        <v>70.239999999999995</v>
      </c>
      <c r="AE94" s="102">
        <v>70.239999999999995</v>
      </c>
      <c r="AF94" s="102">
        <v>73.58</v>
      </c>
      <c r="AG94" s="102">
        <v>73.58</v>
      </c>
      <c r="AH94" s="102">
        <v>75.599999999999994</v>
      </c>
      <c r="AI94" s="102">
        <v>75.59</v>
      </c>
      <c r="AJ94" s="102">
        <v>77.67</v>
      </c>
      <c r="AK94" s="102">
        <v>79.75</v>
      </c>
      <c r="AL94" s="102">
        <v>76.63</v>
      </c>
    </row>
    <row r="95" spans="1:38">
      <c r="A95">
        <v>92</v>
      </c>
      <c r="B95" t="s">
        <v>145</v>
      </c>
      <c r="C95" t="s">
        <v>105</v>
      </c>
      <c r="D95">
        <f t="shared" si="3"/>
        <v>405</v>
      </c>
      <c r="E95" s="84"/>
      <c r="F95" s="84"/>
      <c r="G95" s="84"/>
      <c r="H95" s="84"/>
      <c r="I95" s="84"/>
      <c r="J95" s="84"/>
      <c r="K95" s="105"/>
      <c r="L95" s="105"/>
      <c r="O95" s="94"/>
      <c r="P95" s="94"/>
      <c r="Q95" s="102"/>
      <c r="R95" s="102"/>
      <c r="S95" s="102"/>
      <c r="T95" s="102"/>
      <c r="U95" s="102"/>
      <c r="V95" s="102"/>
      <c r="X95" s="102"/>
      <c r="Y95" s="102"/>
      <c r="AB95" s="94"/>
      <c r="AC95" s="102"/>
      <c r="AD95" s="102"/>
      <c r="AE95" s="102"/>
      <c r="AF95" s="102"/>
      <c r="AG95" s="102"/>
      <c r="AH95" s="102"/>
      <c r="AI95" s="102"/>
      <c r="AJ95" s="102"/>
      <c r="AK95" s="102"/>
      <c r="AL95" s="102"/>
    </row>
    <row r="96" spans="1:38">
      <c r="A96">
        <v>93</v>
      </c>
      <c r="B96" t="s">
        <v>146</v>
      </c>
      <c r="C96" t="s">
        <v>105</v>
      </c>
      <c r="D96">
        <f t="shared" si="3"/>
        <v>406</v>
      </c>
      <c r="E96" s="84">
        <v>0.77600000000000002</v>
      </c>
      <c r="F96" s="84">
        <v>0.77600000000000002</v>
      </c>
      <c r="G96" s="84">
        <v>0.77600000000000002</v>
      </c>
      <c r="H96" s="84">
        <v>0.81079999999999997</v>
      </c>
      <c r="I96" s="84">
        <v>0.81079999999999997</v>
      </c>
      <c r="J96" s="84">
        <v>0.83009999999999995</v>
      </c>
      <c r="K96" s="105">
        <v>0.83009999999999995</v>
      </c>
      <c r="L96" s="105">
        <v>0.83</v>
      </c>
      <c r="O96" s="94" t="s">
        <v>1126</v>
      </c>
      <c r="P96" s="94" t="s">
        <v>105</v>
      </c>
      <c r="Q96" s="102">
        <v>77.599999999999994</v>
      </c>
      <c r="R96" s="102">
        <v>77.599999999999994</v>
      </c>
      <c r="S96" s="102">
        <v>77.599999999999994</v>
      </c>
      <c r="T96" s="102">
        <v>81.08</v>
      </c>
      <c r="U96" s="102">
        <v>81.08</v>
      </c>
      <c r="V96" s="102">
        <v>83.01</v>
      </c>
      <c r="X96" s="102">
        <v>84.99</v>
      </c>
      <c r="Y96" s="102">
        <v>85.99</v>
      </c>
      <c r="AB96" s="94" t="s">
        <v>1126</v>
      </c>
      <c r="AC96" s="102">
        <v>77.599999999999994</v>
      </c>
      <c r="AD96" s="102">
        <v>77.599999999999994</v>
      </c>
      <c r="AE96" s="102">
        <v>77.599999999999994</v>
      </c>
      <c r="AF96" s="102">
        <v>81.08</v>
      </c>
      <c r="AG96" s="102">
        <v>81.08</v>
      </c>
      <c r="AH96" s="102">
        <v>83.01</v>
      </c>
      <c r="AI96" s="102">
        <v>83.01</v>
      </c>
      <c r="AJ96" s="102">
        <v>84.99</v>
      </c>
      <c r="AK96" s="102">
        <v>85.99</v>
      </c>
      <c r="AL96" s="102">
        <v>83</v>
      </c>
    </row>
    <row r="97" spans="1:38">
      <c r="A97">
        <v>94</v>
      </c>
      <c r="B97" t="s">
        <v>148</v>
      </c>
      <c r="C97" t="s">
        <v>105</v>
      </c>
      <c r="D97">
        <f t="shared" si="3"/>
        <v>407</v>
      </c>
      <c r="E97" s="84">
        <v>0.88339999999999996</v>
      </c>
      <c r="F97" s="84">
        <v>0.88339999999999996</v>
      </c>
      <c r="G97" s="84">
        <v>0.88339999999999996</v>
      </c>
      <c r="H97" s="84">
        <v>0.92030000000000001</v>
      </c>
      <c r="I97" s="84">
        <v>0.92030000000000001</v>
      </c>
      <c r="J97" s="84">
        <v>0.94940000000000002</v>
      </c>
      <c r="K97" s="105">
        <v>0.94950000000000001</v>
      </c>
      <c r="L97" s="105">
        <v>0.94940000000000002</v>
      </c>
      <c r="O97" s="94" t="s">
        <v>1166</v>
      </c>
      <c r="P97" s="94" t="s">
        <v>105</v>
      </c>
      <c r="Q97" s="102">
        <v>88.34</v>
      </c>
      <c r="R97" s="102">
        <v>88.34</v>
      </c>
      <c r="S97" s="102">
        <v>88.34</v>
      </c>
      <c r="T97" s="102">
        <v>92.03</v>
      </c>
      <c r="U97" s="102">
        <v>92.03</v>
      </c>
      <c r="V97" s="102">
        <v>94.94</v>
      </c>
      <c r="X97" s="102">
        <v>95.93</v>
      </c>
      <c r="Y97" s="102">
        <v>97.93</v>
      </c>
      <c r="AB97" s="94" t="s">
        <v>1166</v>
      </c>
      <c r="AC97" s="102">
        <v>88.34</v>
      </c>
      <c r="AD97" s="102">
        <v>88.34</v>
      </c>
      <c r="AE97" s="102">
        <v>88.34</v>
      </c>
      <c r="AF97" s="102">
        <v>92.03</v>
      </c>
      <c r="AG97" s="102">
        <v>92.03</v>
      </c>
      <c r="AH97" s="102">
        <v>94.94</v>
      </c>
      <c r="AI97" s="102">
        <v>94.95</v>
      </c>
      <c r="AJ97" s="102">
        <v>95.93</v>
      </c>
      <c r="AK97" s="102">
        <v>97.93</v>
      </c>
      <c r="AL97" s="102">
        <v>94.94</v>
      </c>
    </row>
    <row r="98" spans="1:38">
      <c r="A98">
        <v>95</v>
      </c>
      <c r="B98" t="s">
        <v>149</v>
      </c>
      <c r="C98" t="s">
        <v>105</v>
      </c>
      <c r="D98">
        <f t="shared" si="3"/>
        <v>408</v>
      </c>
      <c r="E98" s="84">
        <v>0.91159999999999997</v>
      </c>
      <c r="F98" s="84">
        <v>0.91159999999999997</v>
      </c>
      <c r="G98" s="84">
        <v>0.91159999999999997</v>
      </c>
      <c r="H98" s="84">
        <v>0.94910000000000005</v>
      </c>
      <c r="I98" s="84">
        <v>0.94910000000000005</v>
      </c>
      <c r="J98" s="84">
        <v>0.97860000000000003</v>
      </c>
      <c r="K98" s="105">
        <v>0.97870000000000001</v>
      </c>
      <c r="L98" s="105">
        <v>0.97860000000000003</v>
      </c>
      <c r="O98" s="94" t="s">
        <v>1167</v>
      </c>
      <c r="P98" s="94" t="s">
        <v>105</v>
      </c>
      <c r="Q98" s="102">
        <v>91.16</v>
      </c>
      <c r="R98" s="102">
        <v>91.16</v>
      </c>
      <c r="S98" s="102">
        <v>91.16</v>
      </c>
      <c r="T98" s="102">
        <v>94.91</v>
      </c>
      <c r="U98" s="102">
        <v>94.91</v>
      </c>
      <c r="V98" s="102">
        <v>97.86</v>
      </c>
      <c r="X98" s="102">
        <v>98.87</v>
      </c>
      <c r="Y98" s="102">
        <v>100.9</v>
      </c>
      <c r="AB98" s="94" t="s">
        <v>1167</v>
      </c>
      <c r="AC98" s="102">
        <v>91.16</v>
      </c>
      <c r="AD98" s="102">
        <v>91.16</v>
      </c>
      <c r="AE98" s="102">
        <v>91.16</v>
      </c>
      <c r="AF98" s="102">
        <v>94.91</v>
      </c>
      <c r="AG98" s="102">
        <v>94.91</v>
      </c>
      <c r="AH98" s="102">
        <v>97.86</v>
      </c>
      <c r="AI98" s="102">
        <v>97.87</v>
      </c>
      <c r="AJ98" s="102">
        <v>98.87</v>
      </c>
      <c r="AK98" s="102">
        <v>100.9</v>
      </c>
      <c r="AL98" s="102">
        <v>97.86</v>
      </c>
    </row>
    <row r="99" spans="1:38">
      <c r="A99">
        <v>96</v>
      </c>
      <c r="B99" t="s">
        <v>151</v>
      </c>
      <c r="C99" t="s">
        <v>105</v>
      </c>
      <c r="D99">
        <f t="shared" si="3"/>
        <v>409</v>
      </c>
      <c r="E99" s="84">
        <v>0.96140000000000003</v>
      </c>
      <c r="F99" s="84">
        <v>0.96140000000000003</v>
      </c>
      <c r="G99" s="84">
        <v>0.96140000000000003</v>
      </c>
      <c r="H99" s="84">
        <v>0.99990000000000001</v>
      </c>
      <c r="I99" s="84">
        <v>0.99990000000000001</v>
      </c>
      <c r="J99" s="84">
        <v>1.0189999999999999</v>
      </c>
      <c r="K99" s="105">
        <v>1.0190999999999999</v>
      </c>
      <c r="L99" s="105">
        <v>1.0189999999999999</v>
      </c>
      <c r="O99" s="94" t="s">
        <v>1168</v>
      </c>
      <c r="P99" s="94" t="s">
        <v>105</v>
      </c>
      <c r="Q99" s="102">
        <v>96.14</v>
      </c>
      <c r="R99" s="102">
        <v>96.14</v>
      </c>
      <c r="S99" s="102">
        <v>96.14</v>
      </c>
      <c r="T99" s="102">
        <v>99.99</v>
      </c>
      <c r="U99" s="102">
        <v>99.99</v>
      </c>
      <c r="V99" s="102">
        <v>101.9</v>
      </c>
      <c r="X99" s="102">
        <v>103.89</v>
      </c>
      <c r="Y99" s="102">
        <v>105.89</v>
      </c>
      <c r="AB99" s="94" t="s">
        <v>1168</v>
      </c>
      <c r="AC99" s="102">
        <v>96.14</v>
      </c>
      <c r="AD99" s="102">
        <v>96.14</v>
      </c>
      <c r="AE99" s="102">
        <v>96.14</v>
      </c>
      <c r="AF99" s="102">
        <v>99.99</v>
      </c>
      <c r="AG99" s="102">
        <v>99.99</v>
      </c>
      <c r="AH99" s="102">
        <v>101.9</v>
      </c>
      <c r="AI99" s="102">
        <v>101.91</v>
      </c>
      <c r="AJ99" s="102">
        <v>103.89</v>
      </c>
      <c r="AK99" s="102">
        <v>105.89</v>
      </c>
      <c r="AL99" s="102">
        <v>101.9</v>
      </c>
    </row>
    <row r="100" spans="1:38">
      <c r="A100">
        <v>97</v>
      </c>
      <c r="B100" t="s">
        <v>152</v>
      </c>
      <c r="C100" t="s">
        <v>105</v>
      </c>
      <c r="D100">
        <f t="shared" si="3"/>
        <v>410</v>
      </c>
      <c r="E100" s="84">
        <v>1.0399</v>
      </c>
      <c r="F100" s="84">
        <v>1.0399</v>
      </c>
      <c r="G100" s="84">
        <v>1.0399</v>
      </c>
      <c r="H100" s="84">
        <v>1.0799000000000001</v>
      </c>
      <c r="I100" s="84">
        <v>1.0799000000000001</v>
      </c>
      <c r="J100" s="84">
        <v>1.0998000000000001</v>
      </c>
      <c r="K100" s="105">
        <v>1.0999000000000001</v>
      </c>
      <c r="L100" s="105">
        <v>1.0998000000000001</v>
      </c>
      <c r="O100" s="94" t="s">
        <v>1169</v>
      </c>
      <c r="P100" s="94" t="s">
        <v>105</v>
      </c>
      <c r="Q100" s="102">
        <v>103.99</v>
      </c>
      <c r="R100" s="102">
        <v>103.99</v>
      </c>
      <c r="S100" s="102">
        <v>103.99</v>
      </c>
      <c r="T100" s="102">
        <v>107.99</v>
      </c>
      <c r="U100" s="102">
        <v>107.99</v>
      </c>
      <c r="V100" s="102">
        <v>109.98</v>
      </c>
      <c r="X100" s="102">
        <v>112.05</v>
      </c>
      <c r="Y100" s="102">
        <v>114.12</v>
      </c>
      <c r="AB100" s="94" t="s">
        <v>1169</v>
      </c>
      <c r="AC100" s="102">
        <v>103.99</v>
      </c>
      <c r="AD100" s="102">
        <v>103.99</v>
      </c>
      <c r="AE100" s="102">
        <v>103.99</v>
      </c>
      <c r="AF100" s="102">
        <v>107.99</v>
      </c>
      <c r="AG100" s="102">
        <v>107.99</v>
      </c>
      <c r="AH100" s="102">
        <v>109.98</v>
      </c>
      <c r="AI100" s="102">
        <v>109.99</v>
      </c>
      <c r="AJ100" s="102">
        <v>112.05</v>
      </c>
      <c r="AK100" s="102">
        <v>114.12</v>
      </c>
      <c r="AL100" s="102">
        <v>109.98</v>
      </c>
    </row>
    <row r="101" spans="1:38">
      <c r="A101">
        <v>98</v>
      </c>
      <c r="B101" t="s">
        <v>154</v>
      </c>
      <c r="C101" t="s">
        <v>105</v>
      </c>
      <c r="D101">
        <f t="shared" si="3"/>
        <v>411</v>
      </c>
      <c r="E101" s="84">
        <v>0.91110000000000002</v>
      </c>
      <c r="F101" s="84">
        <v>0.90110000000000001</v>
      </c>
      <c r="G101" s="84">
        <v>0.89119999999999999</v>
      </c>
      <c r="H101" s="84">
        <v>0.91810000000000003</v>
      </c>
      <c r="I101" s="84">
        <v>0.91810000000000003</v>
      </c>
      <c r="J101" s="84">
        <v>0.96809999999999996</v>
      </c>
      <c r="K101" s="105">
        <v>0.96819999999999995</v>
      </c>
      <c r="L101" s="105">
        <v>0.98850000000000005</v>
      </c>
      <c r="O101" s="94" t="s">
        <v>733</v>
      </c>
      <c r="P101" s="94" t="s">
        <v>105</v>
      </c>
      <c r="Q101" s="102">
        <v>91.11</v>
      </c>
      <c r="R101" s="102">
        <v>90.11</v>
      </c>
      <c r="S101" s="102">
        <v>89.12</v>
      </c>
      <c r="T101" s="102">
        <v>91.81</v>
      </c>
      <c r="U101" s="102">
        <v>91.81</v>
      </c>
      <c r="V101" s="102">
        <v>96.81</v>
      </c>
      <c r="X101" s="102">
        <v>101.89</v>
      </c>
      <c r="Y101" s="102">
        <v>100.87</v>
      </c>
      <c r="AB101" s="94" t="s">
        <v>733</v>
      </c>
      <c r="AC101" s="102">
        <v>91.11</v>
      </c>
      <c r="AD101" s="102">
        <v>90.11</v>
      </c>
      <c r="AE101" s="102">
        <v>89.12</v>
      </c>
      <c r="AF101" s="102">
        <v>91.81</v>
      </c>
      <c r="AG101" s="102">
        <v>91.81</v>
      </c>
      <c r="AH101" s="102">
        <v>96.81</v>
      </c>
      <c r="AI101" s="102">
        <v>96.82</v>
      </c>
      <c r="AJ101" s="102">
        <v>101.89</v>
      </c>
      <c r="AK101" s="102">
        <v>100.87</v>
      </c>
      <c r="AL101" s="102">
        <v>98.85</v>
      </c>
    </row>
    <row r="102" spans="1:38">
      <c r="A102">
        <v>99</v>
      </c>
      <c r="B102" t="s">
        <v>155</v>
      </c>
      <c r="C102" t="s">
        <v>105</v>
      </c>
      <c r="D102">
        <f t="shared" si="3"/>
        <v>412</v>
      </c>
      <c r="E102" s="84">
        <v>0.92099999999999993</v>
      </c>
      <c r="F102" s="84">
        <v>0.92100000000000004</v>
      </c>
      <c r="G102" s="84">
        <v>0.92100000000000004</v>
      </c>
      <c r="H102" s="84">
        <v>0.9587</v>
      </c>
      <c r="I102" s="84">
        <v>0.9587</v>
      </c>
      <c r="J102" s="84">
        <v>0.96809999999999996</v>
      </c>
      <c r="K102" s="105">
        <v>0.96819999999999995</v>
      </c>
      <c r="L102" s="105">
        <v>0.98850000000000005</v>
      </c>
      <c r="O102" s="94" t="s">
        <v>1170</v>
      </c>
      <c r="P102" s="94" t="s">
        <v>105</v>
      </c>
      <c r="Q102" s="102">
        <v>92.1</v>
      </c>
      <c r="R102" s="102">
        <v>92.1</v>
      </c>
      <c r="S102" s="102">
        <v>92.1</v>
      </c>
      <c r="T102" s="102">
        <v>95.87</v>
      </c>
      <c r="U102" s="102">
        <v>95.87</v>
      </c>
      <c r="V102" s="102">
        <v>96.81</v>
      </c>
      <c r="X102" s="102">
        <v>101.89</v>
      </c>
      <c r="Y102" s="102">
        <v>101.88</v>
      </c>
      <c r="AB102" s="94" t="s">
        <v>1170</v>
      </c>
      <c r="AC102" s="102">
        <v>92.1</v>
      </c>
      <c r="AD102" s="102">
        <v>92.1</v>
      </c>
      <c r="AE102" s="102">
        <v>92.1</v>
      </c>
      <c r="AF102" s="102">
        <v>95.87</v>
      </c>
      <c r="AG102" s="102">
        <v>95.87</v>
      </c>
      <c r="AH102" s="102">
        <v>96.81</v>
      </c>
      <c r="AI102" s="102">
        <v>96.82</v>
      </c>
      <c r="AJ102" s="102">
        <v>101.89</v>
      </c>
      <c r="AK102" s="102">
        <v>101.88</v>
      </c>
      <c r="AL102" s="102">
        <v>98.85</v>
      </c>
    </row>
    <row r="103" spans="1:38">
      <c r="A103">
        <v>100</v>
      </c>
      <c r="B103" t="s">
        <v>157</v>
      </c>
      <c r="C103" t="s">
        <v>105</v>
      </c>
      <c r="D103">
        <f t="shared" si="3"/>
        <v>413</v>
      </c>
      <c r="E103" s="84">
        <v>0.91110000000000002</v>
      </c>
      <c r="F103" s="84">
        <v>0.91110000000000002</v>
      </c>
      <c r="G103" s="84">
        <v>0.91110000000000002</v>
      </c>
      <c r="H103" s="84">
        <v>0.9486</v>
      </c>
      <c r="I103" s="84">
        <v>0.9486</v>
      </c>
      <c r="J103" s="84">
        <v>0.94779999999999998</v>
      </c>
      <c r="K103" s="105">
        <v>0.94789999999999996</v>
      </c>
      <c r="L103" s="105">
        <v>0.96819999999999995</v>
      </c>
      <c r="O103" s="94" t="s">
        <v>1171</v>
      </c>
      <c r="P103" s="94" t="s">
        <v>105</v>
      </c>
      <c r="Q103" s="102">
        <v>91.11</v>
      </c>
      <c r="R103" s="102">
        <v>91.11</v>
      </c>
      <c r="S103" s="102">
        <v>91.11</v>
      </c>
      <c r="T103" s="102">
        <v>94.86</v>
      </c>
      <c r="U103" s="102">
        <v>94.86</v>
      </c>
      <c r="V103" s="102">
        <v>94.78</v>
      </c>
      <c r="X103" s="102">
        <v>100.87</v>
      </c>
      <c r="Y103" s="102">
        <v>99.85</v>
      </c>
      <c r="AB103" s="94" t="s">
        <v>1171</v>
      </c>
      <c r="AC103" s="102">
        <v>91.11</v>
      </c>
      <c r="AD103" s="102">
        <v>91.11</v>
      </c>
      <c r="AE103" s="102">
        <v>91.11</v>
      </c>
      <c r="AF103" s="102">
        <v>94.86</v>
      </c>
      <c r="AG103" s="102">
        <v>94.86</v>
      </c>
      <c r="AH103" s="102">
        <v>94.78</v>
      </c>
      <c r="AI103" s="102">
        <v>94.79</v>
      </c>
      <c r="AJ103" s="102">
        <v>100.87</v>
      </c>
      <c r="AK103" s="102">
        <v>99.85</v>
      </c>
      <c r="AL103" s="102">
        <v>96.82</v>
      </c>
    </row>
    <row r="104" spans="1:38">
      <c r="A104">
        <v>101</v>
      </c>
      <c r="B104" t="s">
        <v>158</v>
      </c>
      <c r="C104" t="s">
        <v>105</v>
      </c>
      <c r="D104">
        <f t="shared" si="3"/>
        <v>414</v>
      </c>
      <c r="E104" s="84">
        <v>0.91110000000000002</v>
      </c>
      <c r="F104" s="84">
        <v>0.91110000000000002</v>
      </c>
      <c r="G104" s="84">
        <v>0.91110000000000002</v>
      </c>
      <c r="H104" s="84">
        <v>0.9486</v>
      </c>
      <c r="I104" s="84">
        <v>0.9486</v>
      </c>
      <c r="J104" s="84">
        <v>0.95799999999999996</v>
      </c>
      <c r="K104" s="105">
        <v>0.95799999999999996</v>
      </c>
      <c r="L104" s="105">
        <v>0.97829999999999995</v>
      </c>
      <c r="O104" s="94" t="s">
        <v>1172</v>
      </c>
      <c r="P104" s="94" t="s">
        <v>105</v>
      </c>
      <c r="Q104" s="102">
        <v>91.11</v>
      </c>
      <c r="R104" s="102">
        <v>91.11</v>
      </c>
      <c r="S104" s="102">
        <v>91.11</v>
      </c>
      <c r="T104" s="102">
        <v>94.86</v>
      </c>
      <c r="U104" s="102">
        <v>94.86</v>
      </c>
      <c r="V104" s="102">
        <v>95.8</v>
      </c>
      <c r="X104" s="102">
        <v>100.87</v>
      </c>
      <c r="Y104" s="102">
        <v>100.87</v>
      </c>
      <c r="AB104" s="94" t="s">
        <v>1172</v>
      </c>
      <c r="AC104" s="102">
        <v>91.11</v>
      </c>
      <c r="AD104" s="102">
        <v>91.11</v>
      </c>
      <c r="AE104" s="102">
        <v>91.11</v>
      </c>
      <c r="AF104" s="102">
        <v>94.86</v>
      </c>
      <c r="AG104" s="102">
        <v>94.86</v>
      </c>
      <c r="AH104" s="102">
        <v>95.8</v>
      </c>
      <c r="AI104" s="102">
        <v>95.8</v>
      </c>
      <c r="AJ104" s="102">
        <v>100.87</v>
      </c>
      <c r="AK104" s="102">
        <v>100.87</v>
      </c>
      <c r="AL104" s="102">
        <v>97.83</v>
      </c>
    </row>
    <row r="105" spans="1:38">
      <c r="A105">
        <v>102</v>
      </c>
      <c r="B105" t="s">
        <v>160</v>
      </c>
      <c r="C105" t="s">
        <v>105</v>
      </c>
      <c r="D105">
        <f t="shared" si="3"/>
        <v>415</v>
      </c>
      <c r="E105" s="84">
        <v>0.85870000000000002</v>
      </c>
      <c r="F105" s="84">
        <v>0.85870000000000002</v>
      </c>
      <c r="G105" s="84">
        <v>0.85870000000000002</v>
      </c>
      <c r="H105" s="84">
        <v>0.8952</v>
      </c>
      <c r="I105" s="84">
        <v>0.8952</v>
      </c>
      <c r="J105" s="84">
        <v>0.90400000000000003</v>
      </c>
      <c r="K105" s="105">
        <v>0.90400000000000003</v>
      </c>
      <c r="L105" s="105">
        <v>0.92290000000000005</v>
      </c>
      <c r="O105" s="94" t="s">
        <v>1173</v>
      </c>
      <c r="P105" s="94" t="s">
        <v>105</v>
      </c>
      <c r="Q105" s="102">
        <v>85.87</v>
      </c>
      <c r="R105" s="102">
        <v>85.87</v>
      </c>
      <c r="S105" s="102">
        <v>85.87</v>
      </c>
      <c r="T105" s="102">
        <v>89.52</v>
      </c>
      <c r="U105" s="102">
        <v>89.52</v>
      </c>
      <c r="V105" s="102">
        <v>90.4</v>
      </c>
      <c r="X105" s="102">
        <v>95.14</v>
      </c>
      <c r="Y105" s="102">
        <v>95.13</v>
      </c>
      <c r="AB105" s="94" t="s">
        <v>1173</v>
      </c>
      <c r="AC105" s="102">
        <v>85.87</v>
      </c>
      <c r="AD105" s="102">
        <v>85.87</v>
      </c>
      <c r="AE105" s="102">
        <v>85.87</v>
      </c>
      <c r="AF105" s="102">
        <v>89.52</v>
      </c>
      <c r="AG105" s="102">
        <v>89.52</v>
      </c>
      <c r="AH105" s="102">
        <v>90.4</v>
      </c>
      <c r="AI105" s="102">
        <v>90.4</v>
      </c>
      <c r="AJ105" s="102">
        <v>95.14</v>
      </c>
      <c r="AK105" s="102">
        <v>95.13</v>
      </c>
      <c r="AL105" s="102">
        <v>92.29</v>
      </c>
    </row>
    <row r="106" spans="1:38">
      <c r="A106">
        <v>103</v>
      </c>
      <c r="B106" t="s">
        <v>161</v>
      </c>
      <c r="C106" t="s">
        <v>105</v>
      </c>
      <c r="D106">
        <f t="shared" si="3"/>
        <v>416</v>
      </c>
      <c r="E106" s="84">
        <v>0.79370000000000007</v>
      </c>
      <c r="F106" s="84">
        <v>0.8216</v>
      </c>
      <c r="G106" s="84">
        <v>0.84940000000000004</v>
      </c>
      <c r="H106" s="84">
        <v>0.89510000000000001</v>
      </c>
      <c r="I106" s="84">
        <v>0.89510000000000001</v>
      </c>
      <c r="J106" s="84">
        <v>0.90400000000000003</v>
      </c>
      <c r="K106" s="105">
        <v>0.90400000000000003</v>
      </c>
      <c r="L106" s="105">
        <v>0.94189999999999996</v>
      </c>
      <c r="O106" s="94" t="s">
        <v>734</v>
      </c>
      <c r="P106" s="94" t="s">
        <v>105</v>
      </c>
      <c r="Q106" s="102">
        <v>79.37</v>
      </c>
      <c r="R106" s="102">
        <v>82.16</v>
      </c>
      <c r="S106" s="102">
        <v>84.94</v>
      </c>
      <c r="T106" s="102">
        <v>89.51</v>
      </c>
      <c r="U106" s="102">
        <v>89.52</v>
      </c>
      <c r="V106" s="102">
        <v>90.4</v>
      </c>
      <c r="X106" s="102">
        <v>97.02</v>
      </c>
      <c r="Y106" s="102">
        <v>97.03</v>
      </c>
      <c r="AB106" s="94" t="s">
        <v>734</v>
      </c>
      <c r="AC106" s="102">
        <v>79.37</v>
      </c>
      <c r="AD106" s="102">
        <v>82.16</v>
      </c>
      <c r="AE106" s="102">
        <v>84.94</v>
      </c>
      <c r="AF106" s="102">
        <v>89.51</v>
      </c>
      <c r="AG106" s="102">
        <v>89.52</v>
      </c>
      <c r="AH106" s="102">
        <v>90.4</v>
      </c>
      <c r="AI106" s="102">
        <v>90.4</v>
      </c>
      <c r="AJ106" s="102">
        <v>97.02</v>
      </c>
      <c r="AK106" s="102">
        <v>97.03</v>
      </c>
      <c r="AL106" s="102">
        <v>94.19</v>
      </c>
    </row>
    <row r="107" spans="1:38">
      <c r="A107">
        <v>104</v>
      </c>
      <c r="B107" t="s">
        <v>163</v>
      </c>
      <c r="C107" t="s">
        <v>105</v>
      </c>
      <c r="D107">
        <f t="shared" si="3"/>
        <v>417</v>
      </c>
      <c r="E107" s="84">
        <v>0.8637999999999999</v>
      </c>
      <c r="F107" s="84">
        <v>0.8931</v>
      </c>
      <c r="G107" s="84">
        <v>0.91259999999999997</v>
      </c>
      <c r="H107" s="84">
        <v>0.97</v>
      </c>
      <c r="I107" s="84">
        <v>0.97</v>
      </c>
      <c r="J107" s="84">
        <v>0.97929999999999995</v>
      </c>
      <c r="K107" s="105">
        <v>0.97929999999999995</v>
      </c>
      <c r="L107" s="105">
        <v>1.0190999999999999</v>
      </c>
      <c r="O107" s="94" t="s">
        <v>1174</v>
      </c>
      <c r="P107" s="94" t="s">
        <v>105</v>
      </c>
      <c r="Q107" s="102">
        <v>86.38</v>
      </c>
      <c r="R107" s="102">
        <v>89.31</v>
      </c>
      <c r="S107" s="102">
        <v>91.26</v>
      </c>
      <c r="T107" s="102">
        <v>97</v>
      </c>
      <c r="U107" s="102">
        <v>97.01</v>
      </c>
      <c r="V107" s="102">
        <v>97.93</v>
      </c>
      <c r="X107" s="102">
        <v>103.89</v>
      </c>
      <c r="Y107" s="102">
        <v>103.9</v>
      </c>
      <c r="AB107" s="94" t="s">
        <v>1174</v>
      </c>
      <c r="AC107" s="102">
        <v>86.38</v>
      </c>
      <c r="AD107" s="102">
        <v>89.31</v>
      </c>
      <c r="AE107" s="102">
        <v>91.26</v>
      </c>
      <c r="AF107" s="102">
        <v>97</v>
      </c>
      <c r="AG107" s="102">
        <v>97.01</v>
      </c>
      <c r="AH107" s="102">
        <v>97.93</v>
      </c>
      <c r="AI107" s="102">
        <v>97.93</v>
      </c>
      <c r="AJ107" s="102">
        <v>103.89</v>
      </c>
      <c r="AK107" s="102">
        <v>103.9</v>
      </c>
      <c r="AL107" s="102">
        <v>101.91</v>
      </c>
    </row>
    <row r="108" spans="1:38">
      <c r="A108">
        <v>105</v>
      </c>
      <c r="B108" t="s">
        <v>164</v>
      </c>
      <c r="C108" t="s">
        <v>105</v>
      </c>
      <c r="D108">
        <f t="shared" si="3"/>
        <v>418</v>
      </c>
      <c r="E108" s="84">
        <v>0.78579999999999994</v>
      </c>
      <c r="F108" s="84">
        <v>0.81510000000000005</v>
      </c>
      <c r="G108" s="84">
        <v>0.84430000000000005</v>
      </c>
      <c r="H108" s="84">
        <v>0.89039999999999997</v>
      </c>
      <c r="I108" s="84">
        <v>0.89039999999999997</v>
      </c>
      <c r="J108" s="84">
        <v>0.89970000000000006</v>
      </c>
      <c r="K108" s="105">
        <v>0.89970000000000006</v>
      </c>
      <c r="L108" s="105">
        <v>0.9395</v>
      </c>
      <c r="O108" s="94" t="s">
        <v>1175</v>
      </c>
      <c r="P108" s="94" t="s">
        <v>105</v>
      </c>
      <c r="Q108" s="102">
        <v>78.58</v>
      </c>
      <c r="R108" s="102">
        <v>81.510000000000005</v>
      </c>
      <c r="S108" s="102">
        <v>84.43</v>
      </c>
      <c r="T108" s="102">
        <v>89.04</v>
      </c>
      <c r="U108" s="102">
        <v>89.05</v>
      </c>
      <c r="V108" s="102">
        <v>89.97</v>
      </c>
      <c r="X108" s="102">
        <v>95.93</v>
      </c>
      <c r="Y108" s="102">
        <v>95.94</v>
      </c>
      <c r="AB108" s="94" t="s">
        <v>1175</v>
      </c>
      <c r="AC108" s="102">
        <v>78.58</v>
      </c>
      <c r="AD108" s="102">
        <v>81.510000000000005</v>
      </c>
      <c r="AE108" s="102">
        <v>84.43</v>
      </c>
      <c r="AF108" s="102">
        <v>89.04</v>
      </c>
      <c r="AG108" s="102">
        <v>89.05</v>
      </c>
      <c r="AH108" s="102">
        <v>89.97</v>
      </c>
      <c r="AI108" s="102">
        <v>89.97</v>
      </c>
      <c r="AJ108" s="102">
        <v>95.93</v>
      </c>
      <c r="AK108" s="102">
        <v>95.94</v>
      </c>
      <c r="AL108" s="102">
        <v>93.95</v>
      </c>
    </row>
    <row r="109" spans="1:38">
      <c r="A109">
        <v>106</v>
      </c>
      <c r="B109" t="s">
        <v>166</v>
      </c>
      <c r="C109" t="s">
        <v>105</v>
      </c>
      <c r="D109">
        <f t="shared" si="3"/>
        <v>419</v>
      </c>
      <c r="E109" s="84">
        <v>0.76419999999999999</v>
      </c>
      <c r="F109" s="84">
        <v>0.76419999999999999</v>
      </c>
      <c r="G109" s="84">
        <v>0.8135</v>
      </c>
      <c r="H109" s="84">
        <v>0.84899999999999998</v>
      </c>
      <c r="I109" s="84">
        <v>0.84899999999999998</v>
      </c>
      <c r="J109" s="84">
        <v>0.83830000000000005</v>
      </c>
      <c r="K109" s="105">
        <v>0.83830000000000005</v>
      </c>
      <c r="L109" s="105">
        <v>0.87849999999999995</v>
      </c>
      <c r="O109" s="94" t="s">
        <v>1176</v>
      </c>
      <c r="P109" s="94" t="s">
        <v>105</v>
      </c>
      <c r="Q109" s="102">
        <v>76.42</v>
      </c>
      <c r="R109" s="102">
        <v>76.42</v>
      </c>
      <c r="S109" s="102">
        <v>81.349999999999994</v>
      </c>
      <c r="T109" s="102">
        <v>84.9</v>
      </c>
      <c r="U109" s="102">
        <v>84.91</v>
      </c>
      <c r="V109" s="102">
        <v>83.83</v>
      </c>
      <c r="X109" s="102">
        <v>89.86</v>
      </c>
      <c r="Y109" s="102">
        <v>89.86</v>
      </c>
      <c r="AB109" s="94" t="s">
        <v>1176</v>
      </c>
      <c r="AC109" s="102">
        <v>76.42</v>
      </c>
      <c r="AD109" s="102">
        <v>76.42</v>
      </c>
      <c r="AE109" s="102">
        <v>81.349999999999994</v>
      </c>
      <c r="AF109" s="102">
        <v>84.9</v>
      </c>
      <c r="AG109" s="102">
        <v>84.91</v>
      </c>
      <c r="AH109" s="102">
        <v>83.83</v>
      </c>
      <c r="AI109" s="102">
        <v>83.83</v>
      </c>
      <c r="AJ109" s="102">
        <v>89.86</v>
      </c>
      <c r="AK109" s="102">
        <v>89.86</v>
      </c>
      <c r="AL109" s="102">
        <v>87.85</v>
      </c>
    </row>
    <row r="110" spans="1:38">
      <c r="A110">
        <v>107</v>
      </c>
      <c r="B110" t="s">
        <v>167</v>
      </c>
      <c r="C110" t="s">
        <v>105</v>
      </c>
      <c r="D110">
        <f t="shared" si="3"/>
        <v>420</v>
      </c>
      <c r="E110" s="84">
        <v>0.76930000000000009</v>
      </c>
      <c r="F110" s="84">
        <v>0.76929999999999998</v>
      </c>
      <c r="G110" s="84">
        <v>0.8196</v>
      </c>
      <c r="H110" s="84">
        <v>0.85519999999999996</v>
      </c>
      <c r="I110" s="84">
        <v>0.85519999999999996</v>
      </c>
      <c r="J110" s="84">
        <v>0.84440000000000004</v>
      </c>
      <c r="K110" s="105">
        <v>0.84440000000000004</v>
      </c>
      <c r="L110" s="105">
        <v>0.84440000000000004</v>
      </c>
      <c r="O110" s="94" t="s">
        <v>1177</v>
      </c>
      <c r="P110" s="94" t="s">
        <v>105</v>
      </c>
      <c r="Q110" s="102">
        <v>76.930000000000007</v>
      </c>
      <c r="R110" s="102">
        <v>76.930000000000007</v>
      </c>
      <c r="S110" s="102">
        <v>81.96</v>
      </c>
      <c r="T110" s="102">
        <v>85.52</v>
      </c>
      <c r="U110" s="102">
        <v>85.53</v>
      </c>
      <c r="V110" s="102">
        <v>84.44</v>
      </c>
      <c r="X110" s="102">
        <v>87.51</v>
      </c>
      <c r="Y110" s="102">
        <v>87.51</v>
      </c>
      <c r="AB110" s="94" t="s">
        <v>1177</v>
      </c>
      <c r="AC110" s="102">
        <v>76.930000000000007</v>
      </c>
      <c r="AD110" s="102">
        <v>76.930000000000007</v>
      </c>
      <c r="AE110" s="102">
        <v>81.96</v>
      </c>
      <c r="AF110" s="102">
        <v>85.52</v>
      </c>
      <c r="AG110" s="102">
        <v>85.53</v>
      </c>
      <c r="AH110" s="102">
        <v>84.44</v>
      </c>
      <c r="AI110" s="102">
        <v>84.44</v>
      </c>
      <c r="AJ110" s="102">
        <v>87.51</v>
      </c>
      <c r="AK110" s="102">
        <v>87.51</v>
      </c>
      <c r="AL110" s="102">
        <v>84.44</v>
      </c>
    </row>
    <row r="111" spans="1:38">
      <c r="A111">
        <v>108</v>
      </c>
      <c r="B111" t="s">
        <v>169</v>
      </c>
      <c r="C111" t="s">
        <v>105</v>
      </c>
      <c r="D111">
        <f t="shared" si="3"/>
        <v>421</v>
      </c>
      <c r="E111" s="84">
        <v>0.80920000000000003</v>
      </c>
      <c r="F111" s="84">
        <v>0.80920000000000003</v>
      </c>
      <c r="G111" s="84">
        <v>0.85950000000000004</v>
      </c>
      <c r="H111" s="84">
        <v>0.89590000000000003</v>
      </c>
      <c r="I111" s="84">
        <v>0.89590000000000003</v>
      </c>
      <c r="J111" s="84">
        <v>0.88500000000000001</v>
      </c>
      <c r="K111" s="105">
        <v>0.88500000000000001</v>
      </c>
      <c r="L111" s="105">
        <v>0.88500000000000001</v>
      </c>
      <c r="O111" s="94" t="s">
        <v>1178</v>
      </c>
      <c r="P111" s="94" t="s">
        <v>105</v>
      </c>
      <c r="Q111" s="102">
        <v>80.92</v>
      </c>
      <c r="R111" s="102">
        <v>80.92</v>
      </c>
      <c r="S111" s="102">
        <v>85.95</v>
      </c>
      <c r="T111" s="102">
        <v>89.59</v>
      </c>
      <c r="U111" s="102">
        <v>89.6</v>
      </c>
      <c r="V111" s="102">
        <v>88.5</v>
      </c>
      <c r="X111" s="102">
        <v>90.54</v>
      </c>
      <c r="Y111" s="102">
        <v>90.55</v>
      </c>
      <c r="AB111" s="94" t="s">
        <v>1178</v>
      </c>
      <c r="AC111" s="102">
        <v>80.92</v>
      </c>
      <c r="AD111" s="102">
        <v>80.92</v>
      </c>
      <c r="AE111" s="102">
        <v>85.95</v>
      </c>
      <c r="AF111" s="102">
        <v>89.59</v>
      </c>
      <c r="AG111" s="102">
        <v>89.6</v>
      </c>
      <c r="AH111" s="102">
        <v>88.5</v>
      </c>
      <c r="AI111" s="102">
        <v>88.5</v>
      </c>
      <c r="AJ111" s="102">
        <v>90.54</v>
      </c>
      <c r="AK111" s="102">
        <v>90.55</v>
      </c>
      <c r="AL111" s="102">
        <v>88.5</v>
      </c>
    </row>
    <row r="112" spans="1:38">
      <c r="A112">
        <v>109</v>
      </c>
      <c r="B112" t="s">
        <v>170</v>
      </c>
      <c r="C112" t="s">
        <v>105</v>
      </c>
      <c r="D112">
        <f t="shared" si="3"/>
        <v>422</v>
      </c>
      <c r="E112" s="84">
        <v>0.89119999999999999</v>
      </c>
      <c r="F112" s="84">
        <v>0.91110000000000002</v>
      </c>
      <c r="G112" s="84">
        <v>0.98080000000000001</v>
      </c>
      <c r="H112" s="84">
        <v>1.0399</v>
      </c>
      <c r="I112" s="84">
        <v>1.0399</v>
      </c>
      <c r="J112" s="84">
        <v>1.0289999999999999</v>
      </c>
      <c r="K112" s="105">
        <v>1.0289999999999999</v>
      </c>
      <c r="L112" s="105">
        <v>1.1101000000000001</v>
      </c>
      <c r="O112" s="94" t="s">
        <v>735</v>
      </c>
      <c r="P112" s="94" t="s">
        <v>105</v>
      </c>
      <c r="Q112" s="102">
        <v>89.12</v>
      </c>
      <c r="R112" s="102">
        <v>91.11</v>
      </c>
      <c r="S112" s="102">
        <v>98.08</v>
      </c>
      <c r="T112" s="102">
        <v>103.99</v>
      </c>
      <c r="U112" s="102">
        <v>103.99</v>
      </c>
      <c r="V112" s="102">
        <v>102.9</v>
      </c>
      <c r="X112" s="102">
        <v>108.98</v>
      </c>
      <c r="Y112" s="102">
        <v>114.06</v>
      </c>
      <c r="AB112" s="94" t="s">
        <v>735</v>
      </c>
      <c r="AC112" s="102">
        <v>89.12</v>
      </c>
      <c r="AD112" s="102">
        <v>91.11</v>
      </c>
      <c r="AE112" s="102">
        <v>98.08</v>
      </c>
      <c r="AF112" s="102">
        <v>103.99</v>
      </c>
      <c r="AG112" s="102">
        <v>103.99</v>
      </c>
      <c r="AH112" s="102">
        <v>102.9</v>
      </c>
      <c r="AI112" s="102">
        <v>102.9</v>
      </c>
      <c r="AJ112" s="102">
        <v>108.98</v>
      </c>
      <c r="AK112" s="102">
        <v>114.06</v>
      </c>
      <c r="AL112" s="102">
        <v>111.01</v>
      </c>
    </row>
    <row r="113" spans="1:38">
      <c r="A113">
        <v>110</v>
      </c>
      <c r="B113" t="s">
        <v>172</v>
      </c>
      <c r="C113" t="s">
        <v>105</v>
      </c>
      <c r="D113">
        <f t="shared" si="3"/>
        <v>423</v>
      </c>
      <c r="E113" s="84">
        <v>0.79059999999999997</v>
      </c>
      <c r="F113" s="84">
        <v>0.81059999999999999</v>
      </c>
      <c r="G113" s="84">
        <v>0.88060000000000005</v>
      </c>
      <c r="H113" s="84">
        <v>0.92769999999999997</v>
      </c>
      <c r="I113" s="84">
        <v>0.92769999999999997</v>
      </c>
      <c r="J113" s="84">
        <v>0.91679999999999995</v>
      </c>
      <c r="K113" s="105">
        <v>0.91679999999999995</v>
      </c>
      <c r="L113" s="105">
        <v>0.99829999999999997</v>
      </c>
      <c r="O113" s="94" t="s">
        <v>1179</v>
      </c>
      <c r="P113" s="94" t="s">
        <v>105</v>
      </c>
      <c r="Q113" s="102">
        <v>79.06</v>
      </c>
      <c r="R113" s="102">
        <v>81.06</v>
      </c>
      <c r="S113" s="102">
        <v>88.06</v>
      </c>
      <c r="T113" s="102">
        <v>92.77</v>
      </c>
      <c r="U113" s="102">
        <v>92.77</v>
      </c>
      <c r="V113" s="102">
        <v>91.68</v>
      </c>
      <c r="X113" s="102">
        <v>97.79</v>
      </c>
      <c r="Y113" s="102">
        <v>101.88</v>
      </c>
      <c r="AB113" s="94" t="s">
        <v>1179</v>
      </c>
      <c r="AC113" s="102">
        <v>79.06</v>
      </c>
      <c r="AD113" s="102">
        <v>81.06</v>
      </c>
      <c r="AE113" s="102">
        <v>88.06</v>
      </c>
      <c r="AF113" s="102">
        <v>92.77</v>
      </c>
      <c r="AG113" s="102">
        <v>92.77</v>
      </c>
      <c r="AH113" s="102">
        <v>91.68</v>
      </c>
      <c r="AI113" s="102">
        <v>91.68</v>
      </c>
      <c r="AJ113" s="102">
        <v>97.79</v>
      </c>
      <c r="AK113" s="102">
        <v>101.88</v>
      </c>
      <c r="AL113" s="102">
        <v>99.83</v>
      </c>
    </row>
    <row r="114" spans="1:38">
      <c r="A114">
        <v>111</v>
      </c>
      <c r="B114" t="s">
        <v>173</v>
      </c>
      <c r="C114" t="s">
        <v>105</v>
      </c>
      <c r="D114">
        <f t="shared" si="3"/>
        <v>424</v>
      </c>
      <c r="E114" s="84">
        <v>0.86219999999999997</v>
      </c>
      <c r="F114" s="84">
        <v>0.88300000000000001</v>
      </c>
      <c r="G114" s="84">
        <v>0.95579999999999998</v>
      </c>
      <c r="H114" s="84">
        <v>1.0047999999999999</v>
      </c>
      <c r="I114" s="84">
        <v>1.0047999999999999</v>
      </c>
      <c r="J114" s="84">
        <v>0.99350000000000005</v>
      </c>
      <c r="K114" s="105">
        <v>0.99350000000000005</v>
      </c>
      <c r="L114" s="105">
        <v>1.0782</v>
      </c>
      <c r="O114" s="94" t="s">
        <v>1180</v>
      </c>
      <c r="P114" s="94" t="s">
        <v>105</v>
      </c>
      <c r="Q114" s="102">
        <v>86.222400000000022</v>
      </c>
      <c r="R114" s="102">
        <v>88.302400000000006</v>
      </c>
      <c r="S114" s="102">
        <v>95.582400000000007</v>
      </c>
      <c r="T114" s="102">
        <v>100.48079999999999</v>
      </c>
      <c r="U114" s="102">
        <v>100.48079999999999</v>
      </c>
      <c r="V114" s="102">
        <v>99.347200000000015</v>
      </c>
      <c r="X114" s="102">
        <v>105.70160000000004</v>
      </c>
      <c r="Y114" s="102">
        <v>109.95519999999999</v>
      </c>
      <c r="AB114" s="94" t="s">
        <v>1180</v>
      </c>
      <c r="AC114" s="102">
        <v>86.222400000000022</v>
      </c>
      <c r="AD114" s="102">
        <v>88.302400000000006</v>
      </c>
      <c r="AE114" s="102">
        <v>95.582400000000007</v>
      </c>
      <c r="AF114" s="102">
        <v>100.48079999999999</v>
      </c>
      <c r="AG114" s="102">
        <v>100.48079999999999</v>
      </c>
      <c r="AH114" s="102">
        <v>99.347200000000015</v>
      </c>
      <c r="AI114" s="102">
        <v>99.347200000000015</v>
      </c>
      <c r="AJ114" s="102">
        <v>105.70160000000004</v>
      </c>
      <c r="AK114" s="102">
        <v>109.95519999999999</v>
      </c>
      <c r="AL114" s="102">
        <v>107.82319999999999</v>
      </c>
    </row>
    <row r="115" spans="1:38">
      <c r="A115">
        <v>112</v>
      </c>
      <c r="B115" t="s">
        <v>175</v>
      </c>
      <c r="C115" t="s">
        <v>105</v>
      </c>
      <c r="D115">
        <f t="shared" si="3"/>
        <v>425</v>
      </c>
      <c r="E115" s="84">
        <v>0.93379999999999996</v>
      </c>
      <c r="F115" s="84">
        <v>0.95540000000000003</v>
      </c>
      <c r="G115" s="84">
        <v>1.0309999999999999</v>
      </c>
      <c r="H115" s="84">
        <v>1.0819000000000001</v>
      </c>
      <c r="I115" s="84">
        <v>1.0819000000000001</v>
      </c>
      <c r="J115" s="84">
        <v>1.0701000000000001</v>
      </c>
      <c r="K115" s="105">
        <v>1.0701000000000001</v>
      </c>
      <c r="L115" s="105">
        <v>1.1581999999999999</v>
      </c>
      <c r="O115" s="94" t="s">
        <v>1180</v>
      </c>
      <c r="P115" s="94" t="s">
        <v>105</v>
      </c>
      <c r="Q115" s="102">
        <v>93.384800000000013</v>
      </c>
      <c r="R115" s="102">
        <v>95.544800000000009</v>
      </c>
      <c r="S115" s="102">
        <v>103.10480000000001</v>
      </c>
      <c r="T115" s="102">
        <v>108.19159999999999</v>
      </c>
      <c r="U115" s="102">
        <v>108.19159999999999</v>
      </c>
      <c r="V115" s="102">
        <v>107.01440000000002</v>
      </c>
      <c r="X115" s="102">
        <v>113.61320000000003</v>
      </c>
      <c r="Y115" s="102">
        <v>118.03040000000001</v>
      </c>
      <c r="AB115" s="94" t="s">
        <v>1180</v>
      </c>
      <c r="AC115" s="102">
        <v>93.384800000000013</v>
      </c>
      <c r="AD115" s="102">
        <v>95.544800000000009</v>
      </c>
      <c r="AE115" s="102">
        <v>103.10480000000001</v>
      </c>
      <c r="AF115" s="102">
        <v>108.19159999999999</v>
      </c>
      <c r="AG115" s="102">
        <v>108.19159999999999</v>
      </c>
      <c r="AH115" s="102">
        <v>107.01440000000002</v>
      </c>
      <c r="AI115" s="102">
        <v>107.01440000000002</v>
      </c>
      <c r="AJ115" s="102">
        <v>113.61320000000003</v>
      </c>
      <c r="AK115" s="102">
        <v>118.03040000000001</v>
      </c>
      <c r="AL115" s="102">
        <v>115.81639999999999</v>
      </c>
    </row>
    <row r="116" spans="1:38">
      <c r="A116">
        <v>113</v>
      </c>
      <c r="B116" t="s">
        <v>176</v>
      </c>
      <c r="C116" t="s">
        <v>105</v>
      </c>
      <c r="D116">
        <f t="shared" si="3"/>
        <v>426</v>
      </c>
      <c r="E116" s="84">
        <v>1.0176000000000001</v>
      </c>
      <c r="F116" s="84">
        <v>1.0602</v>
      </c>
      <c r="G116" s="84">
        <v>1.1347</v>
      </c>
      <c r="H116" s="84">
        <v>1.1995</v>
      </c>
      <c r="I116" s="84">
        <v>1.1995</v>
      </c>
      <c r="J116" s="84">
        <v>1.2313000000000001</v>
      </c>
      <c r="K116" s="105">
        <v>1.2203999999999999</v>
      </c>
      <c r="L116" s="105">
        <v>1.2529999999999999</v>
      </c>
      <c r="O116" s="94" t="s">
        <v>1128</v>
      </c>
      <c r="P116" s="94" t="s">
        <v>105</v>
      </c>
      <c r="Q116" s="102">
        <v>101.76</v>
      </c>
      <c r="R116" s="102">
        <v>106.02120000000001</v>
      </c>
      <c r="S116" s="102">
        <v>113.473</v>
      </c>
      <c r="T116" s="102">
        <v>119.9496</v>
      </c>
      <c r="U116" s="102">
        <v>118.86840000000001</v>
      </c>
      <c r="V116" s="102">
        <v>123.1296</v>
      </c>
      <c r="X116" s="102">
        <v>126.38380000000001</v>
      </c>
      <c r="Y116" s="102">
        <v>125.3026</v>
      </c>
      <c r="AB116" s="94" t="s">
        <v>1128</v>
      </c>
      <c r="AC116" s="102">
        <v>101.76</v>
      </c>
      <c r="AD116" s="102">
        <v>106.02120000000001</v>
      </c>
      <c r="AE116" s="102">
        <v>113.473</v>
      </c>
      <c r="AF116" s="102">
        <v>119.9496</v>
      </c>
      <c r="AG116" s="102">
        <v>118.86840000000001</v>
      </c>
      <c r="AH116" s="102">
        <v>123.1296</v>
      </c>
      <c r="AI116" s="102">
        <v>122.0378</v>
      </c>
      <c r="AJ116" s="102">
        <v>126.38380000000001</v>
      </c>
      <c r="AK116" s="102">
        <v>125.3026</v>
      </c>
      <c r="AL116" s="102">
        <v>125.3026</v>
      </c>
    </row>
    <row r="117" spans="1:38">
      <c r="A117">
        <v>114</v>
      </c>
      <c r="B117" t="s">
        <v>178</v>
      </c>
      <c r="C117" t="s">
        <v>105</v>
      </c>
      <c r="D117">
        <f t="shared" si="3"/>
        <v>427</v>
      </c>
      <c r="E117" s="84">
        <v>0.93599999999999994</v>
      </c>
      <c r="F117" s="84">
        <v>0.96899999999999997</v>
      </c>
      <c r="G117" s="84">
        <v>1.0461</v>
      </c>
      <c r="H117" s="84">
        <v>1.1103000000000001</v>
      </c>
      <c r="I117" s="84">
        <v>1.1103000000000001</v>
      </c>
      <c r="J117" s="84">
        <v>1.1433</v>
      </c>
      <c r="K117" s="105">
        <v>1.1319999999999999</v>
      </c>
      <c r="L117" s="105">
        <v>1.1657999999999999</v>
      </c>
      <c r="O117" s="94" t="s">
        <v>1181</v>
      </c>
      <c r="P117" s="94" t="s">
        <v>105</v>
      </c>
      <c r="Q117" s="102">
        <v>93.598300000000009</v>
      </c>
      <c r="R117" s="102">
        <v>96.90100000000001</v>
      </c>
      <c r="S117" s="102">
        <v>104.60730000000001</v>
      </c>
      <c r="T117" s="102">
        <v>111.02740000000001</v>
      </c>
      <c r="U117" s="102">
        <v>109.91560000000001</v>
      </c>
      <c r="V117" s="102">
        <v>114.33010000000002</v>
      </c>
      <c r="X117" s="102">
        <v>117.68730000000001</v>
      </c>
      <c r="Y117" s="102">
        <v>116.56460000000001</v>
      </c>
      <c r="AB117" s="94" t="s">
        <v>1181</v>
      </c>
      <c r="AC117" s="102">
        <v>93.598300000000009</v>
      </c>
      <c r="AD117" s="102">
        <v>96.90100000000001</v>
      </c>
      <c r="AE117" s="102">
        <v>104.60730000000001</v>
      </c>
      <c r="AF117" s="102">
        <v>111.02740000000001</v>
      </c>
      <c r="AG117" s="102">
        <v>109.91560000000001</v>
      </c>
      <c r="AH117" s="102">
        <v>114.33010000000002</v>
      </c>
      <c r="AI117" s="102">
        <v>113.1965</v>
      </c>
      <c r="AJ117" s="102">
        <v>117.68730000000001</v>
      </c>
      <c r="AK117" s="102">
        <v>116.56460000000001</v>
      </c>
      <c r="AL117" s="102">
        <v>116.57550000000001</v>
      </c>
    </row>
    <row r="118" spans="1:38">
      <c r="A118">
        <v>115</v>
      </c>
      <c r="B118" t="s">
        <v>179</v>
      </c>
      <c r="C118" t="s">
        <v>105</v>
      </c>
      <c r="D118">
        <f t="shared" si="3"/>
        <v>428</v>
      </c>
      <c r="E118" s="84">
        <v>0.85870000000000002</v>
      </c>
      <c r="F118" s="84">
        <v>0.88900000000000001</v>
      </c>
      <c r="G118" s="84">
        <v>0.9597</v>
      </c>
      <c r="H118" s="84">
        <v>1.0185999999999999</v>
      </c>
      <c r="I118" s="84">
        <v>1.0185999999999999</v>
      </c>
      <c r="J118" s="84">
        <v>1.0488999999999999</v>
      </c>
      <c r="K118" s="105">
        <v>1.0385</v>
      </c>
      <c r="L118" s="105">
        <v>1.0694999999999999</v>
      </c>
      <c r="O118" s="94" t="s">
        <v>1182</v>
      </c>
      <c r="P118" s="94" t="s">
        <v>105</v>
      </c>
      <c r="Q118" s="102">
        <v>85.87</v>
      </c>
      <c r="R118" s="102">
        <v>88.9</v>
      </c>
      <c r="S118" s="102">
        <v>95.97</v>
      </c>
      <c r="T118" s="102">
        <v>101.86</v>
      </c>
      <c r="U118" s="102">
        <v>100.84</v>
      </c>
      <c r="V118" s="102">
        <v>104.89</v>
      </c>
      <c r="X118" s="102">
        <v>107.97</v>
      </c>
      <c r="Y118" s="102">
        <v>106.94</v>
      </c>
      <c r="AB118" s="94" t="s">
        <v>1182</v>
      </c>
      <c r="AC118" s="102">
        <v>85.87</v>
      </c>
      <c r="AD118" s="102">
        <v>88.9</v>
      </c>
      <c r="AE118" s="102">
        <v>95.97</v>
      </c>
      <c r="AF118" s="102">
        <v>101.86</v>
      </c>
      <c r="AG118" s="102">
        <v>100.84</v>
      </c>
      <c r="AH118" s="102">
        <v>104.89</v>
      </c>
      <c r="AI118" s="102">
        <v>103.85</v>
      </c>
      <c r="AJ118" s="102">
        <v>107.97</v>
      </c>
      <c r="AK118" s="102">
        <v>106.94</v>
      </c>
      <c r="AL118" s="102">
        <v>106.95</v>
      </c>
    </row>
    <row r="119" spans="1:38">
      <c r="A119">
        <v>116</v>
      </c>
      <c r="B119" t="s">
        <v>138</v>
      </c>
      <c r="C119" t="s">
        <v>106</v>
      </c>
      <c r="D119">
        <v>500</v>
      </c>
      <c r="E119" s="84">
        <v>0.22007694314244475</v>
      </c>
      <c r="F119" s="84">
        <v>0.23272137933655013</v>
      </c>
      <c r="G119" s="84">
        <v>0.24261147003532346</v>
      </c>
      <c r="H119" s="84">
        <v>0.24053536538651965</v>
      </c>
      <c r="I119" s="84">
        <v>0.24053536538651965</v>
      </c>
      <c r="J119" s="84">
        <v>0.27192903336361551</v>
      </c>
      <c r="K119" s="84">
        <v>0.2631365536428707</v>
      </c>
      <c r="L119" s="84">
        <v>0.37853386194420757</v>
      </c>
      <c r="O119" s="94" t="s">
        <v>138</v>
      </c>
      <c r="P119" s="94" t="s">
        <v>106</v>
      </c>
      <c r="U119" s="102">
        <v>24.053676977693428</v>
      </c>
      <c r="X119" s="102">
        <v>30.191333799375109</v>
      </c>
      <c r="Y119" s="102">
        <v>28.386592818559954</v>
      </c>
      <c r="AB119" t="s">
        <v>138</v>
      </c>
      <c r="AC119" s="84">
        <v>0.22007694314244475</v>
      </c>
      <c r="AD119" s="84">
        <v>0.23272137933655013</v>
      </c>
      <c r="AE119" s="84">
        <v>0.24261147003532346</v>
      </c>
      <c r="AF119" s="84">
        <v>0.24053536538651965</v>
      </c>
      <c r="AG119" s="84">
        <v>0.24053676977693428</v>
      </c>
      <c r="AH119" s="84">
        <v>0.27192903336361551</v>
      </c>
      <c r="AI119" s="84">
        <v>0.2631365536428707</v>
      </c>
      <c r="AJ119" s="84">
        <v>0.30191333799375109</v>
      </c>
      <c r="AK119" s="84">
        <v>0.28386592818559953</v>
      </c>
      <c r="AL119" s="84">
        <v>0.37853386194420757</v>
      </c>
    </row>
    <row r="120" spans="1:38">
      <c r="A120">
        <v>117</v>
      </c>
      <c r="B120" t="s">
        <v>139</v>
      </c>
      <c r="C120" t="s">
        <v>106</v>
      </c>
      <c r="D120">
        <f>+D119+1</f>
        <v>501</v>
      </c>
      <c r="E120" s="84">
        <v>0.22007694314244475</v>
      </c>
      <c r="F120" s="84">
        <v>0.23272137933655013</v>
      </c>
      <c r="G120" s="84">
        <v>0.24261147003532346</v>
      </c>
      <c r="H120" s="84">
        <v>0.24053536538651965</v>
      </c>
      <c r="I120" s="84">
        <v>0.24053536538651965</v>
      </c>
      <c r="J120" s="84">
        <v>0.27192903336361551</v>
      </c>
      <c r="K120" s="84">
        <v>0.2631365536428707</v>
      </c>
      <c r="L120" s="84">
        <v>0.37853386194420757</v>
      </c>
      <c r="O120" s="94" t="s">
        <v>139</v>
      </c>
      <c r="P120" s="94" t="s">
        <v>106</v>
      </c>
      <c r="U120" s="102">
        <v>24.053676977693428</v>
      </c>
      <c r="X120" s="102">
        <v>30.191333799375109</v>
      </c>
      <c r="Y120" s="102">
        <v>28.386592818559954</v>
      </c>
      <c r="AB120" t="s">
        <v>139</v>
      </c>
      <c r="AC120" s="84">
        <v>0.22007694314244475</v>
      </c>
      <c r="AD120" s="84">
        <v>0.23272137933655013</v>
      </c>
      <c r="AE120" s="84">
        <v>0.24261147003532346</v>
      </c>
      <c r="AF120" s="84">
        <v>0.24053536538651965</v>
      </c>
      <c r="AG120" s="84">
        <v>0.24053676977693428</v>
      </c>
      <c r="AH120" s="84">
        <v>0.27192903336361551</v>
      </c>
      <c r="AI120" s="84">
        <v>0.2631365536428707</v>
      </c>
      <c r="AJ120" s="84">
        <v>0.30191333799375109</v>
      </c>
      <c r="AK120" s="84">
        <v>0.28386592818559953</v>
      </c>
      <c r="AL120" s="84">
        <v>0.37853386194420757</v>
      </c>
    </row>
    <row r="121" spans="1:38">
      <c r="A121">
        <v>118</v>
      </c>
      <c r="B121" t="s">
        <v>140</v>
      </c>
      <c r="C121" t="s">
        <v>106</v>
      </c>
      <c r="D121">
        <f t="shared" ref="D121:D147" si="4">+D120+1</f>
        <v>502</v>
      </c>
      <c r="E121" s="84">
        <v>0</v>
      </c>
      <c r="F121" s="84">
        <v>0</v>
      </c>
      <c r="G121" s="84">
        <v>0</v>
      </c>
      <c r="H121" s="84">
        <v>0</v>
      </c>
      <c r="I121" s="84">
        <v>0</v>
      </c>
      <c r="J121" s="84">
        <v>0</v>
      </c>
      <c r="K121" s="84">
        <v>0</v>
      </c>
      <c r="L121" s="84">
        <v>0</v>
      </c>
      <c r="O121" s="94" t="s">
        <v>1164</v>
      </c>
      <c r="P121" s="94" t="s">
        <v>106</v>
      </c>
      <c r="Q121" s="103">
        <v>0</v>
      </c>
      <c r="R121" s="103">
        <v>0</v>
      </c>
      <c r="S121" s="103">
        <v>0</v>
      </c>
      <c r="T121" s="103">
        <v>0</v>
      </c>
      <c r="U121" s="103">
        <v>0</v>
      </c>
      <c r="V121" s="103">
        <v>0</v>
      </c>
      <c r="W121" s="103">
        <v>0</v>
      </c>
      <c r="X121" s="103">
        <v>0</v>
      </c>
      <c r="Y121" s="103">
        <v>0</v>
      </c>
      <c r="Z121" s="103">
        <v>0</v>
      </c>
      <c r="AB121" t="s">
        <v>1164</v>
      </c>
      <c r="AC121" s="84">
        <v>0</v>
      </c>
      <c r="AD121" s="84">
        <v>0</v>
      </c>
      <c r="AE121" s="84">
        <v>0</v>
      </c>
      <c r="AF121" s="84">
        <v>0</v>
      </c>
      <c r="AG121" s="84">
        <v>0</v>
      </c>
      <c r="AH121" s="84">
        <v>0</v>
      </c>
      <c r="AI121" s="84">
        <v>0</v>
      </c>
      <c r="AJ121" s="84">
        <v>0</v>
      </c>
      <c r="AK121" s="84">
        <v>0</v>
      </c>
      <c r="AL121" s="84">
        <v>0</v>
      </c>
    </row>
    <row r="122" spans="1:38">
      <c r="A122">
        <v>119</v>
      </c>
      <c r="B122" t="s">
        <v>142</v>
      </c>
      <c r="C122" t="s">
        <v>106</v>
      </c>
      <c r="D122">
        <f t="shared" si="4"/>
        <v>503</v>
      </c>
      <c r="E122" s="84">
        <v>0.44511701143317706</v>
      </c>
      <c r="F122" s="84">
        <v>0.45744477926087357</v>
      </c>
      <c r="G122" s="84">
        <v>0.46328424823188752</v>
      </c>
      <c r="H122" s="84">
        <v>0.5188227627745432</v>
      </c>
      <c r="I122" s="84">
        <v>0.5188227627745432</v>
      </c>
      <c r="J122" s="84">
        <v>0.54081398470565478</v>
      </c>
      <c r="K122" s="84">
        <v>0.54077604678982105</v>
      </c>
      <c r="L122" s="84">
        <v>0.54453358879964897</v>
      </c>
      <c r="O122" s="94" t="s">
        <v>142</v>
      </c>
      <c r="P122" s="94" t="s">
        <v>106</v>
      </c>
      <c r="U122" s="102">
        <v>51.880630093262958</v>
      </c>
      <c r="X122" s="102">
        <v>55.470556660604096</v>
      </c>
      <c r="Y122" s="102">
        <v>57.136409502763222</v>
      </c>
      <c r="AB122" t="s">
        <v>142</v>
      </c>
      <c r="AC122" s="84">
        <v>0.44511701143317706</v>
      </c>
      <c r="AD122" s="84">
        <v>0.45744477926087357</v>
      </c>
      <c r="AE122" s="84">
        <v>0.46328424823188752</v>
      </c>
      <c r="AF122" s="84">
        <v>0.5188227627745432</v>
      </c>
      <c r="AG122" s="84">
        <v>0.51880630093262958</v>
      </c>
      <c r="AH122" s="84">
        <v>0.54081398470565478</v>
      </c>
      <c r="AI122" s="84">
        <v>0.54077604678982105</v>
      </c>
      <c r="AJ122" s="84">
        <v>0.55470556660604098</v>
      </c>
      <c r="AK122" s="84">
        <v>0.57136409502763219</v>
      </c>
      <c r="AL122" s="84">
        <v>0.54453358879964897</v>
      </c>
    </row>
    <row r="123" spans="1:38">
      <c r="A123">
        <v>120</v>
      </c>
      <c r="B123" t="s">
        <v>143</v>
      </c>
      <c r="C123" t="s">
        <v>106</v>
      </c>
      <c r="D123">
        <f t="shared" si="4"/>
        <v>504</v>
      </c>
      <c r="E123" s="84">
        <v>0.60542784061539656</v>
      </c>
      <c r="F123" s="84">
        <v>0.63356155089847133</v>
      </c>
      <c r="G123" s="84">
        <v>0.64688804524308541</v>
      </c>
      <c r="H123" s="84">
        <v>0.71408467379539386</v>
      </c>
      <c r="I123" s="84">
        <v>0.71408467379539386</v>
      </c>
      <c r="J123" s="84">
        <v>0.75565088806571024</v>
      </c>
      <c r="K123" s="84">
        <v>0.75939672580914319</v>
      </c>
      <c r="L123" s="84">
        <v>0.76624658785598465</v>
      </c>
      <c r="O123" s="94" t="s">
        <v>1165</v>
      </c>
      <c r="P123" s="94" t="s">
        <v>106</v>
      </c>
      <c r="U123" s="102">
        <v>71.406609994145811</v>
      </c>
      <c r="X123" s="102">
        <v>77.681386713787745</v>
      </c>
      <c r="Y123" s="102">
        <v>79.798201606920685</v>
      </c>
      <c r="AB123" t="s">
        <v>1165</v>
      </c>
      <c r="AC123" s="84">
        <v>0.60542784061539656</v>
      </c>
      <c r="AD123" s="84">
        <v>0.63356155089847133</v>
      </c>
      <c r="AE123" s="84">
        <v>0.64688804524308541</v>
      </c>
      <c r="AF123" s="84">
        <v>0.71408467379539386</v>
      </c>
      <c r="AG123" s="84">
        <v>0.71406609994145809</v>
      </c>
      <c r="AH123" s="84">
        <v>0.75565088806571024</v>
      </c>
      <c r="AI123" s="84">
        <v>0.75939672580914319</v>
      </c>
      <c r="AJ123" s="84">
        <v>0.77681386713787748</v>
      </c>
      <c r="AK123" s="84">
        <v>0.79798201606920682</v>
      </c>
      <c r="AL123" s="84">
        <v>0.76624658785598465</v>
      </c>
    </row>
    <row r="124" spans="1:38">
      <c r="A124">
        <v>121</v>
      </c>
      <c r="B124" t="s">
        <v>145</v>
      </c>
      <c r="C124" t="s">
        <v>106</v>
      </c>
      <c r="D124">
        <f t="shared" si="4"/>
        <v>505</v>
      </c>
      <c r="E124" s="84"/>
      <c r="F124" s="84"/>
      <c r="G124" s="84"/>
      <c r="H124" s="84"/>
      <c r="I124" s="84"/>
      <c r="J124" s="84"/>
      <c r="K124" s="84"/>
      <c r="L124" s="84"/>
      <c r="O124" s="94"/>
      <c r="P124" s="94"/>
      <c r="U124" s="102"/>
      <c r="X124" s="102"/>
      <c r="Y124" s="102"/>
      <c r="AC124" s="84"/>
      <c r="AD124" s="84"/>
      <c r="AE124" s="84"/>
      <c r="AF124" s="84"/>
      <c r="AG124" s="84"/>
      <c r="AH124" s="84"/>
      <c r="AI124" s="84"/>
      <c r="AJ124" s="84"/>
      <c r="AK124" s="84"/>
      <c r="AL124" s="84"/>
    </row>
    <row r="125" spans="1:38">
      <c r="A125">
        <v>122</v>
      </c>
      <c r="B125" t="s">
        <v>146</v>
      </c>
      <c r="C125" t="s">
        <v>106</v>
      </c>
      <c r="D125">
        <f t="shared" si="4"/>
        <v>506</v>
      </c>
      <c r="E125" s="84">
        <v>0.7320778119141651</v>
      </c>
      <c r="F125" s="84">
        <v>0.76607302765047369</v>
      </c>
      <c r="G125" s="84">
        <v>0.78217602457819912</v>
      </c>
      <c r="H125" s="84">
        <v>0.83834273846188301</v>
      </c>
      <c r="I125" s="84">
        <v>0.83834273846188301</v>
      </c>
      <c r="J125" s="84">
        <v>0.8902425108615788</v>
      </c>
      <c r="K125" s="84">
        <v>0.89030435522154416</v>
      </c>
      <c r="L125" s="84">
        <v>0.89024081591160442</v>
      </c>
      <c r="O125" s="94" t="s">
        <v>1126</v>
      </c>
      <c r="P125" s="94" t="s">
        <v>106</v>
      </c>
      <c r="U125" s="102">
        <v>83.834249425246753</v>
      </c>
      <c r="X125" s="102">
        <v>91.142811409524469</v>
      </c>
      <c r="Y125" s="102">
        <v>92.210199463938821</v>
      </c>
      <c r="AB125" t="s">
        <v>1126</v>
      </c>
      <c r="AC125" s="84">
        <v>0.7320778119141651</v>
      </c>
      <c r="AD125" s="84">
        <v>0.76607302765047369</v>
      </c>
      <c r="AE125" s="84">
        <v>0.78217602457819912</v>
      </c>
      <c r="AF125" s="84">
        <v>0.83834273846188301</v>
      </c>
      <c r="AG125" s="84">
        <v>0.83834249425246754</v>
      </c>
      <c r="AH125" s="84">
        <v>0.8902425108615788</v>
      </c>
      <c r="AI125" s="84">
        <v>0.89030435522154416</v>
      </c>
      <c r="AJ125" s="84">
        <v>0.91142811409524471</v>
      </c>
      <c r="AK125" s="84">
        <v>0.92210199463938824</v>
      </c>
      <c r="AL125" s="84">
        <v>0.89024081591160442</v>
      </c>
    </row>
    <row r="126" spans="1:38">
      <c r="A126">
        <v>123</v>
      </c>
      <c r="B126" t="s">
        <v>148</v>
      </c>
      <c r="C126" t="s">
        <v>106</v>
      </c>
      <c r="D126">
        <f t="shared" si="4"/>
        <v>507</v>
      </c>
      <c r="E126" s="84">
        <v>0.8525437684915349</v>
      </c>
      <c r="F126" s="84">
        <v>0.88559545247814375</v>
      </c>
      <c r="G126" s="84">
        <v>0.90125151331390507</v>
      </c>
      <c r="H126" s="84">
        <v>0.9687390325491676</v>
      </c>
      <c r="I126" s="84">
        <v>0.9687390325491676</v>
      </c>
      <c r="J126" s="84">
        <v>1.0242109091909581</v>
      </c>
      <c r="K126" s="84">
        <v>1.0242771366868455</v>
      </c>
      <c r="L126" s="84">
        <v>1.0242090941136817</v>
      </c>
      <c r="O126" s="94" t="s">
        <v>1166</v>
      </c>
      <c r="P126" s="94" t="s">
        <v>106</v>
      </c>
      <c r="U126" s="102">
        <v>96.873876749190188</v>
      </c>
      <c r="X126" s="102">
        <v>103.81608053803619</v>
      </c>
      <c r="Y126" s="102">
        <v>105.6074033429351</v>
      </c>
      <c r="AB126" t="s">
        <v>1166</v>
      </c>
      <c r="AC126" s="84">
        <v>0.8525437684915349</v>
      </c>
      <c r="AD126" s="84">
        <v>0.88559545247814375</v>
      </c>
      <c r="AE126" s="84">
        <v>0.90125151331390507</v>
      </c>
      <c r="AF126" s="84">
        <v>0.9687390325491676</v>
      </c>
      <c r="AG126" s="84">
        <v>0.96873876749190191</v>
      </c>
      <c r="AH126" s="84">
        <v>1.0242109091909581</v>
      </c>
      <c r="AI126" s="84">
        <v>1.0242771366868455</v>
      </c>
      <c r="AJ126" s="84">
        <v>1.0381608053803619</v>
      </c>
      <c r="AK126" s="84">
        <v>1.056074033429351</v>
      </c>
      <c r="AL126" s="84">
        <v>1.0242090941136817</v>
      </c>
    </row>
    <row r="127" spans="1:38">
      <c r="A127">
        <v>124</v>
      </c>
      <c r="B127" t="s">
        <v>149</v>
      </c>
      <c r="C127" t="s">
        <v>106</v>
      </c>
      <c r="D127">
        <f t="shared" si="4"/>
        <v>508</v>
      </c>
      <c r="E127" s="84">
        <v>0.88553811747541999</v>
      </c>
      <c r="F127" s="84">
        <v>0.91809640015508975</v>
      </c>
      <c r="G127" s="84">
        <v>0.93351874458230188</v>
      </c>
      <c r="H127" s="84">
        <v>0.99962005654903019</v>
      </c>
      <c r="I127" s="84">
        <v>0.99962005654903019</v>
      </c>
      <c r="J127" s="84">
        <v>1.0559240165156054</v>
      </c>
      <c r="K127" s="84">
        <v>1.055991281590964</v>
      </c>
      <c r="L127" s="84">
        <v>1.0559221730016968</v>
      </c>
      <c r="O127" s="94" t="s">
        <v>1167</v>
      </c>
      <c r="P127" s="94" t="s">
        <v>106</v>
      </c>
      <c r="U127" s="102">
        <v>99.961982462335655</v>
      </c>
      <c r="X127" s="102">
        <v>106.958001774845</v>
      </c>
      <c r="Y127" s="102">
        <v>108.81703071440919</v>
      </c>
      <c r="AB127" t="s">
        <v>1167</v>
      </c>
      <c r="AC127" s="84">
        <v>0.88553811747541999</v>
      </c>
      <c r="AD127" s="84">
        <v>0.91809640015508975</v>
      </c>
      <c r="AE127" s="84">
        <v>0.93351874458230188</v>
      </c>
      <c r="AF127" s="84">
        <v>0.99962005654903019</v>
      </c>
      <c r="AG127" s="84">
        <v>0.99961982462335652</v>
      </c>
      <c r="AH127" s="84">
        <v>1.0559240165156054</v>
      </c>
      <c r="AI127" s="84">
        <v>1.055991281590964</v>
      </c>
      <c r="AJ127" s="84">
        <v>1.06958001774845</v>
      </c>
      <c r="AK127" s="84">
        <v>1.0881703071440918</v>
      </c>
      <c r="AL127" s="84">
        <v>1.0559221730016968</v>
      </c>
    </row>
    <row r="128" spans="1:38">
      <c r="A128">
        <v>125</v>
      </c>
      <c r="B128" t="s">
        <v>151</v>
      </c>
      <c r="C128" t="s">
        <v>106</v>
      </c>
      <c r="D128">
        <f t="shared" si="4"/>
        <v>509</v>
      </c>
      <c r="E128" s="84">
        <v>0.95677915339944919</v>
      </c>
      <c r="F128" s="84">
        <v>0.98598611425355376</v>
      </c>
      <c r="G128" s="84">
        <v>0.99982099044760542</v>
      </c>
      <c r="H128" s="84">
        <v>1.0614794669150212</v>
      </c>
      <c r="I128" s="84">
        <v>1.0614794669150212</v>
      </c>
      <c r="J128" s="84">
        <v>1.1076867386906692</v>
      </c>
      <c r="K128" s="84">
        <v>1.1077556973224918</v>
      </c>
      <c r="L128" s="84">
        <v>1.1076848487619624</v>
      </c>
      <c r="O128" s="94" t="s">
        <v>1168</v>
      </c>
      <c r="P128" s="94" t="s">
        <v>106</v>
      </c>
      <c r="U128" s="102">
        <v>106.14792258680525</v>
      </c>
      <c r="X128" s="102">
        <v>112.88949890756577</v>
      </c>
      <c r="Y128" s="102">
        <v>114.72574489202168</v>
      </c>
      <c r="AB128" t="s">
        <v>1168</v>
      </c>
      <c r="AC128" s="84">
        <v>0.95677915339944919</v>
      </c>
      <c r="AD128" s="84">
        <v>0.98598611425355376</v>
      </c>
      <c r="AE128" s="84">
        <v>0.99982099044760542</v>
      </c>
      <c r="AF128" s="84">
        <v>1.0614794669150212</v>
      </c>
      <c r="AG128" s="84">
        <v>1.0614792258680525</v>
      </c>
      <c r="AH128" s="84">
        <v>1.1076867386906692</v>
      </c>
      <c r="AI128" s="84">
        <v>1.1077556973224918</v>
      </c>
      <c r="AJ128" s="84">
        <v>1.1288949890756577</v>
      </c>
      <c r="AK128" s="84">
        <v>1.1472574489202167</v>
      </c>
      <c r="AL128" s="84">
        <v>1.1076848487619624</v>
      </c>
    </row>
    <row r="129" spans="1:38">
      <c r="A129">
        <v>126</v>
      </c>
      <c r="B129" t="s">
        <v>152</v>
      </c>
      <c r="C129" t="s">
        <v>106</v>
      </c>
      <c r="D129">
        <f t="shared" si="4"/>
        <v>510</v>
      </c>
      <c r="E129" s="84">
        <v>1.0464695824257539</v>
      </c>
      <c r="F129" s="84">
        <v>1.0746751617648602</v>
      </c>
      <c r="G129" s="84">
        <v>1.0880356993465421</v>
      </c>
      <c r="H129" s="84">
        <v>1.1506542885535649</v>
      </c>
      <c r="I129" s="84">
        <v>1.1506542885535649</v>
      </c>
      <c r="J129" s="84">
        <v>1.1968066928872201</v>
      </c>
      <c r="K129" s="84">
        <v>1.1968785673176745</v>
      </c>
      <c r="L129" s="84">
        <v>1.1968047230460876</v>
      </c>
      <c r="O129" s="94" t="s">
        <v>1169</v>
      </c>
      <c r="P129" s="94" t="s">
        <v>106</v>
      </c>
      <c r="U129" s="102">
        <v>115.0654055771064</v>
      </c>
      <c r="X129" s="102">
        <v>121.88761267405451</v>
      </c>
      <c r="Y129" s="102">
        <v>123.82051023223029</v>
      </c>
      <c r="AB129" t="s">
        <v>1169</v>
      </c>
      <c r="AC129" s="84">
        <v>1.0464695824257539</v>
      </c>
      <c r="AD129" s="84">
        <v>1.0746751617648602</v>
      </c>
      <c r="AE129" s="84">
        <v>1.0880356993465421</v>
      </c>
      <c r="AF129" s="84">
        <v>1.1506542885535649</v>
      </c>
      <c r="AG129" s="84">
        <v>1.1506540557710641</v>
      </c>
      <c r="AH129" s="84">
        <v>1.1968066928872201</v>
      </c>
      <c r="AI129" s="84">
        <v>1.1968785673176745</v>
      </c>
      <c r="AJ129" s="84">
        <v>1.218876126740545</v>
      </c>
      <c r="AK129" s="84">
        <v>1.2382051023223029</v>
      </c>
      <c r="AL129" s="84">
        <v>1.1968047230460876</v>
      </c>
    </row>
    <row r="130" spans="1:38">
      <c r="A130">
        <v>127</v>
      </c>
      <c r="B130" t="s">
        <v>154</v>
      </c>
      <c r="C130" t="s">
        <v>106</v>
      </c>
      <c r="D130">
        <f t="shared" si="4"/>
        <v>511</v>
      </c>
      <c r="E130" s="84">
        <v>0.94885451949016586</v>
      </c>
      <c r="F130" s="84">
        <v>0.95870822654932875</v>
      </c>
      <c r="G130" s="84">
        <v>0.96216503115495855</v>
      </c>
      <c r="H130" s="84">
        <v>1.0109525542135116</v>
      </c>
      <c r="I130" s="84">
        <v>1.0109525542135116</v>
      </c>
      <c r="J130" s="84">
        <v>1.0682628063509387</v>
      </c>
      <c r="K130" s="84">
        <v>1.0682779348038016</v>
      </c>
      <c r="L130" s="84">
        <v>1.0871633357344663</v>
      </c>
      <c r="O130" s="94" t="s">
        <v>733</v>
      </c>
      <c r="P130" s="94" t="s">
        <v>106</v>
      </c>
      <c r="U130" s="102">
        <v>101.09522228237621</v>
      </c>
      <c r="X130" s="102">
        <v>112.24507101499385</v>
      </c>
      <c r="Y130" s="102">
        <v>111.15397017711359</v>
      </c>
      <c r="AB130" t="s">
        <v>733</v>
      </c>
      <c r="AC130" s="84">
        <v>0.94885451949016586</v>
      </c>
      <c r="AD130" s="84">
        <v>0.95870822654932875</v>
      </c>
      <c r="AE130" s="84">
        <v>0.96216503115495855</v>
      </c>
      <c r="AF130" s="84">
        <v>1.0109525542135116</v>
      </c>
      <c r="AG130" s="84">
        <v>1.0109522228237622</v>
      </c>
      <c r="AH130" s="84">
        <v>1.0682628063509387</v>
      </c>
      <c r="AI130" s="84">
        <v>1.0682779348038016</v>
      </c>
      <c r="AJ130" s="84">
        <v>1.1224507101499386</v>
      </c>
      <c r="AK130" s="84">
        <v>1.1115397017711359</v>
      </c>
      <c r="AL130" s="84">
        <v>1.0871633357344663</v>
      </c>
    </row>
    <row r="131" spans="1:38">
      <c r="A131">
        <v>128</v>
      </c>
      <c r="B131" t="s">
        <v>155</v>
      </c>
      <c r="C131" t="s">
        <v>106</v>
      </c>
      <c r="D131">
        <f t="shared" si="4"/>
        <v>512</v>
      </c>
      <c r="E131" s="84">
        <v>0.95643220969293763</v>
      </c>
      <c r="F131" s="84">
        <v>0.97744578985127939</v>
      </c>
      <c r="G131" s="84">
        <v>0.98739959097891483</v>
      </c>
      <c r="H131" s="84">
        <v>1.0366313362368533</v>
      </c>
      <c r="I131" s="84">
        <v>1.0366313362368533</v>
      </c>
      <c r="J131" s="84">
        <v>1.0643380537364422</v>
      </c>
      <c r="K131" s="84">
        <v>1.064353153481429</v>
      </c>
      <c r="L131" s="84">
        <v>1.0860426359800175</v>
      </c>
      <c r="O131" s="94" t="s">
        <v>1170</v>
      </c>
      <c r="P131" s="94" t="s">
        <v>106</v>
      </c>
      <c r="U131" s="102">
        <v>103.66310216217518</v>
      </c>
      <c r="X131" s="102">
        <v>111.85575902541869</v>
      </c>
      <c r="Y131" s="102">
        <v>111.84802369717252</v>
      </c>
      <c r="AB131" t="s">
        <v>1170</v>
      </c>
      <c r="AC131" s="84">
        <v>0.95643220969293763</v>
      </c>
      <c r="AD131" s="84">
        <v>0.97744578985127939</v>
      </c>
      <c r="AE131" s="84">
        <v>0.98739959097891483</v>
      </c>
      <c r="AF131" s="84">
        <v>1.0366313362368533</v>
      </c>
      <c r="AG131" s="84">
        <v>1.0366310216217518</v>
      </c>
      <c r="AH131" s="84">
        <v>1.0643380537364422</v>
      </c>
      <c r="AI131" s="84">
        <v>1.064353153481429</v>
      </c>
      <c r="AJ131" s="84">
        <v>1.1185575902541869</v>
      </c>
      <c r="AK131" s="84">
        <v>1.1184802369717253</v>
      </c>
      <c r="AL131" s="84">
        <v>1.0860426359800175</v>
      </c>
    </row>
    <row r="132" spans="1:38">
      <c r="A132">
        <v>129</v>
      </c>
      <c r="B132" t="s">
        <v>157</v>
      </c>
      <c r="C132" t="s">
        <v>106</v>
      </c>
      <c r="D132">
        <f t="shared" si="4"/>
        <v>513</v>
      </c>
      <c r="E132" s="84">
        <v>0.9458904404031685</v>
      </c>
      <c r="F132" s="84">
        <v>0.96687205672656629</v>
      </c>
      <c r="G132" s="84">
        <v>0.97681071709028122</v>
      </c>
      <c r="H132" s="84">
        <v>1.0258187744959124</v>
      </c>
      <c r="I132" s="84">
        <v>1.0258187744959124</v>
      </c>
      <c r="J132" s="84">
        <v>1.0478123711179128</v>
      </c>
      <c r="K132" s="84">
        <v>1.0478273499846389</v>
      </c>
      <c r="L132" s="84">
        <v>1.0669400558082547</v>
      </c>
      <c r="O132" s="94" t="s">
        <v>1171</v>
      </c>
      <c r="P132" s="94" t="s">
        <v>106</v>
      </c>
      <c r="U132" s="102">
        <v>102.58184616038832</v>
      </c>
      <c r="X132" s="102">
        <v>110.7718620887685</v>
      </c>
      <c r="Y132" s="102">
        <v>109.9378427993114</v>
      </c>
      <c r="AB132" t="s">
        <v>1171</v>
      </c>
      <c r="AC132" s="84">
        <v>0.9458904404031685</v>
      </c>
      <c r="AD132" s="84">
        <v>0.96687205672656629</v>
      </c>
      <c r="AE132" s="84">
        <v>0.97681071709028122</v>
      </c>
      <c r="AF132" s="84">
        <v>1.0258187744959124</v>
      </c>
      <c r="AG132" s="84">
        <v>1.0258184616038832</v>
      </c>
      <c r="AH132" s="84">
        <v>1.0478123711179128</v>
      </c>
      <c r="AI132" s="84">
        <v>1.0478273499846389</v>
      </c>
      <c r="AJ132" s="84">
        <v>1.107718620887685</v>
      </c>
      <c r="AK132" s="84">
        <v>1.099378427993114</v>
      </c>
      <c r="AL132" s="84">
        <v>1.0669400558082547</v>
      </c>
    </row>
    <row r="133" spans="1:38">
      <c r="A133">
        <v>130</v>
      </c>
      <c r="B133" t="s">
        <v>158</v>
      </c>
      <c r="C133" t="s">
        <v>106</v>
      </c>
      <c r="D133">
        <f t="shared" si="4"/>
        <v>514</v>
      </c>
      <c r="E133" s="84">
        <v>0.98084454261775444</v>
      </c>
      <c r="F133" s="84">
        <v>0.99518487952038126</v>
      </c>
      <c r="G133" s="84">
        <v>1.0019776706847834</v>
      </c>
      <c r="H133" s="84">
        <v>1.0482681349439593</v>
      </c>
      <c r="I133" s="84">
        <v>1.0482681349439593</v>
      </c>
      <c r="J133" s="84">
        <v>1.0721141589437115</v>
      </c>
      <c r="K133" s="84">
        <v>1.0721293155675635</v>
      </c>
      <c r="L133" s="84">
        <v>1.0938315134613479</v>
      </c>
      <c r="O133" s="94" t="s">
        <v>1172</v>
      </c>
      <c r="P133" s="94" t="s">
        <v>106</v>
      </c>
      <c r="U133" s="102">
        <v>104.8267831692411</v>
      </c>
      <c r="X133" s="102">
        <v>112.63654687197868</v>
      </c>
      <c r="Y133" s="102">
        <v>112.39259231520538</v>
      </c>
      <c r="AB133" t="s">
        <v>1172</v>
      </c>
      <c r="AC133" s="84">
        <v>0.98084454261775444</v>
      </c>
      <c r="AD133" s="84">
        <v>0.99518487952038126</v>
      </c>
      <c r="AE133" s="84">
        <v>1.0019776706847834</v>
      </c>
      <c r="AF133" s="84">
        <v>1.0482681349439593</v>
      </c>
      <c r="AG133" s="84">
        <v>1.048267831692411</v>
      </c>
      <c r="AH133" s="84">
        <v>1.0721141589437115</v>
      </c>
      <c r="AI133" s="84">
        <v>1.0721293155675635</v>
      </c>
      <c r="AJ133" s="84">
        <v>1.1263654687197868</v>
      </c>
      <c r="AK133" s="84">
        <v>1.1239259231520538</v>
      </c>
      <c r="AL133" s="84">
        <v>1.0938315134613479</v>
      </c>
    </row>
    <row r="134" spans="1:38">
      <c r="A134">
        <v>131</v>
      </c>
      <c r="B134" t="s">
        <v>160</v>
      </c>
      <c r="C134" t="s">
        <v>106</v>
      </c>
      <c r="D134">
        <f t="shared" si="4"/>
        <v>515</v>
      </c>
      <c r="E134" s="84">
        <v>0.92839784466160413</v>
      </c>
      <c r="F134" s="84">
        <v>0.94200225417589944</v>
      </c>
      <c r="G134" s="84">
        <v>0.94844644815635504</v>
      </c>
      <c r="H134" s="84">
        <v>0.99332898562405791</v>
      </c>
      <c r="I134" s="84">
        <v>0.99332898562405791</v>
      </c>
      <c r="J134" s="84">
        <v>1.0135626047594233</v>
      </c>
      <c r="K134" s="84">
        <v>1.0135773331038394</v>
      </c>
      <c r="L134" s="84">
        <v>1.0338411788442277</v>
      </c>
      <c r="O134" s="94" t="s">
        <v>1173</v>
      </c>
      <c r="P134" s="94" t="s">
        <v>106</v>
      </c>
      <c r="U134" s="102">
        <v>99.332869026351545</v>
      </c>
      <c r="X134" s="102">
        <v>106.64235746802815</v>
      </c>
      <c r="Y134" s="102">
        <v>106.41427888854089</v>
      </c>
      <c r="AB134" t="s">
        <v>1173</v>
      </c>
      <c r="AC134" s="84">
        <v>0.92839784466160413</v>
      </c>
      <c r="AD134" s="84">
        <v>0.94200225417589944</v>
      </c>
      <c r="AE134" s="84">
        <v>0.94844644815635504</v>
      </c>
      <c r="AF134" s="84">
        <v>0.99332898562405791</v>
      </c>
      <c r="AG134" s="84">
        <v>0.99332869026351545</v>
      </c>
      <c r="AH134" s="84">
        <v>1.0135626047594233</v>
      </c>
      <c r="AI134" s="84">
        <v>1.0135773331038394</v>
      </c>
      <c r="AJ134" s="84">
        <v>1.0664235746802815</v>
      </c>
      <c r="AK134" s="84">
        <v>1.0641427888854089</v>
      </c>
      <c r="AL134" s="84">
        <v>1.0338411788442277</v>
      </c>
    </row>
    <row r="135" spans="1:38">
      <c r="A135">
        <v>132</v>
      </c>
      <c r="B135" t="s">
        <v>161</v>
      </c>
      <c r="C135" t="s">
        <v>106</v>
      </c>
      <c r="D135">
        <f t="shared" si="4"/>
        <v>516</v>
      </c>
      <c r="E135" s="84">
        <v>0.87455092387938327</v>
      </c>
      <c r="F135" s="84">
        <v>0.91477336525104702</v>
      </c>
      <c r="G135" s="84">
        <v>0.94637313468759543</v>
      </c>
      <c r="H135" s="84">
        <v>1.003034430834139</v>
      </c>
      <c r="I135" s="84">
        <v>1.003034430834139</v>
      </c>
      <c r="J135" s="84">
        <v>1.0207534805920471</v>
      </c>
      <c r="K135" s="84">
        <v>1.0207585299330946</v>
      </c>
      <c r="L135" s="84">
        <v>1.0613021976718042</v>
      </c>
      <c r="O135" s="94" t="s">
        <v>734</v>
      </c>
      <c r="P135" s="94" t="s">
        <v>106</v>
      </c>
      <c r="U135" s="102">
        <v>100.31239322371373</v>
      </c>
      <c r="X135" s="102">
        <v>109.16368559745911</v>
      </c>
      <c r="Y135" s="102">
        <v>109.16950854059473</v>
      </c>
      <c r="AB135" t="s">
        <v>734</v>
      </c>
      <c r="AC135" s="84">
        <v>0.87455092387938327</v>
      </c>
      <c r="AD135" s="84">
        <v>0.91477336525104702</v>
      </c>
      <c r="AE135" s="84">
        <v>0.94637313468759543</v>
      </c>
      <c r="AF135" s="84">
        <v>1.003034430834139</v>
      </c>
      <c r="AG135" s="84">
        <v>1.0031239322371373</v>
      </c>
      <c r="AH135" s="84">
        <v>1.0207534805920471</v>
      </c>
      <c r="AI135" s="84">
        <v>1.0207585299330946</v>
      </c>
      <c r="AJ135" s="84">
        <v>1.091636855974591</v>
      </c>
      <c r="AK135" s="84">
        <v>1.0916950854059473</v>
      </c>
      <c r="AL135" s="84">
        <v>1.0613021976718042</v>
      </c>
    </row>
    <row r="136" spans="1:38">
      <c r="A136">
        <v>133</v>
      </c>
      <c r="B136" t="s">
        <v>163</v>
      </c>
      <c r="C136" t="s">
        <v>106</v>
      </c>
      <c r="D136">
        <f t="shared" si="4"/>
        <v>517</v>
      </c>
      <c r="E136" s="84">
        <v>0.94295905926571733</v>
      </c>
      <c r="F136" s="84">
        <v>0.9822955698413538</v>
      </c>
      <c r="G136" s="84">
        <v>1.0124838156404778</v>
      </c>
      <c r="H136" s="84">
        <v>1.0760508193957299</v>
      </c>
      <c r="I136" s="84">
        <v>1.0760508193957299</v>
      </c>
      <c r="J136" s="84">
        <v>1.0984060911189162</v>
      </c>
      <c r="K136" s="84">
        <v>1.0984113344937834</v>
      </c>
      <c r="L136" s="84">
        <v>1.1409820678653007</v>
      </c>
      <c r="O136" s="94" t="s">
        <v>1174</v>
      </c>
      <c r="P136" s="94" t="s">
        <v>106</v>
      </c>
      <c r="U136" s="102">
        <v>107.61435856223729</v>
      </c>
      <c r="X136" s="102">
        <v>116.42995725037161</v>
      </c>
      <c r="Y136" s="102">
        <v>116.43598248046989</v>
      </c>
      <c r="AB136" t="s">
        <v>1174</v>
      </c>
      <c r="AC136" s="84">
        <v>0.94295905926571733</v>
      </c>
      <c r="AD136" s="84">
        <v>0.9822955698413538</v>
      </c>
      <c r="AE136" s="84">
        <v>1.0124838156404778</v>
      </c>
      <c r="AF136" s="84">
        <v>1.0760508193957299</v>
      </c>
      <c r="AG136" s="84">
        <v>1.0761435856223729</v>
      </c>
      <c r="AH136" s="84">
        <v>1.0984060911189162</v>
      </c>
      <c r="AI136" s="84">
        <v>1.0984113344937834</v>
      </c>
      <c r="AJ136" s="84">
        <v>1.1642995725037162</v>
      </c>
      <c r="AK136" s="84">
        <v>1.1643598248046989</v>
      </c>
      <c r="AL136" s="84">
        <v>1.1409820678653007</v>
      </c>
    </row>
    <row r="137" spans="1:38">
      <c r="A137">
        <v>134</v>
      </c>
      <c r="B137" t="s">
        <v>164</v>
      </c>
      <c r="C137" t="s">
        <v>106</v>
      </c>
      <c r="D137">
        <f t="shared" si="4"/>
        <v>518</v>
      </c>
      <c r="E137" s="84">
        <v>0.86618861215109666</v>
      </c>
      <c r="F137" s="84">
        <v>0.90790212971397199</v>
      </c>
      <c r="G137" s="84">
        <v>0.94415020763160518</v>
      </c>
      <c r="H137" s="84">
        <v>0.99805025536213865</v>
      </c>
      <c r="I137" s="84">
        <v>0.99805025536213865</v>
      </c>
      <c r="J137" s="84">
        <v>1.0163663648029764</v>
      </c>
      <c r="K137" s="84">
        <v>1.0163714031817555</v>
      </c>
      <c r="L137" s="84">
        <v>1.0589665485185922</v>
      </c>
      <c r="O137" s="94" t="s">
        <v>1175</v>
      </c>
      <c r="P137" s="94" t="s">
        <v>106</v>
      </c>
      <c r="U137" s="102">
        <v>99.813956305128102</v>
      </c>
      <c r="X137" s="102">
        <v>108.20885283512318</v>
      </c>
      <c r="Y137" s="102">
        <v>108.21464919650853</v>
      </c>
      <c r="AB137" t="s">
        <v>1175</v>
      </c>
      <c r="AC137" s="84">
        <v>0.86618861215109666</v>
      </c>
      <c r="AD137" s="84">
        <v>0.90790212971397199</v>
      </c>
      <c r="AE137" s="84">
        <v>0.94415020763160518</v>
      </c>
      <c r="AF137" s="84">
        <v>0.99805025536213865</v>
      </c>
      <c r="AG137" s="84">
        <v>0.99813956305128104</v>
      </c>
      <c r="AH137" s="84">
        <v>1.0163663648029764</v>
      </c>
      <c r="AI137" s="84">
        <v>1.0163714031817555</v>
      </c>
      <c r="AJ137" s="84">
        <v>1.0820885283512318</v>
      </c>
      <c r="AK137" s="84">
        <v>1.0821464919650854</v>
      </c>
      <c r="AL137" s="84">
        <v>1.0589665485185922</v>
      </c>
    </row>
    <row r="138" spans="1:38">
      <c r="A138">
        <v>135</v>
      </c>
      <c r="B138" t="s">
        <v>166</v>
      </c>
      <c r="C138" t="s">
        <v>106</v>
      </c>
      <c r="D138">
        <f t="shared" si="4"/>
        <v>519</v>
      </c>
      <c r="E138" s="84">
        <v>0.83875150328924875</v>
      </c>
      <c r="F138" s="84">
        <v>0.8500647676642914</v>
      </c>
      <c r="G138" s="84">
        <v>0.90800634249673673</v>
      </c>
      <c r="H138" s="84">
        <v>0.95094720526033183</v>
      </c>
      <c r="I138" s="84">
        <v>0.95094720526033183</v>
      </c>
      <c r="J138" s="84">
        <v>0.95433691850754077</v>
      </c>
      <c r="K138" s="84">
        <v>0.95434180189075435</v>
      </c>
      <c r="L138" s="84">
        <v>0.99736250230041312</v>
      </c>
      <c r="O138" s="94" t="s">
        <v>1176</v>
      </c>
      <c r="P138" s="94" t="s">
        <v>106</v>
      </c>
      <c r="U138" s="102">
        <v>95.103440884467474</v>
      </c>
      <c r="X138" s="102">
        <v>101.88047504606929</v>
      </c>
      <c r="Y138" s="102">
        <v>101.88609523067753</v>
      </c>
      <c r="AB138" t="s">
        <v>1176</v>
      </c>
      <c r="AC138" s="84">
        <v>0.83875150328924875</v>
      </c>
      <c r="AD138" s="84">
        <v>0.8500647676642914</v>
      </c>
      <c r="AE138" s="84">
        <v>0.90800634249673673</v>
      </c>
      <c r="AF138" s="84">
        <v>0.95094720526033183</v>
      </c>
      <c r="AG138" s="84">
        <v>0.95103440884467472</v>
      </c>
      <c r="AH138" s="84">
        <v>0.95433691850754077</v>
      </c>
      <c r="AI138" s="84">
        <v>0.95434180189075435</v>
      </c>
      <c r="AJ138" s="84">
        <v>1.018804750460693</v>
      </c>
      <c r="AK138" s="84">
        <v>1.0188609523067753</v>
      </c>
      <c r="AL138" s="84">
        <v>0.99736250230041312</v>
      </c>
    </row>
    <row r="139" spans="1:38">
      <c r="A139">
        <v>136</v>
      </c>
      <c r="B139" t="s">
        <v>167</v>
      </c>
      <c r="C139" t="s">
        <v>106</v>
      </c>
      <c r="D139">
        <f t="shared" si="4"/>
        <v>520</v>
      </c>
      <c r="E139" s="84">
        <v>0.84390433454899294</v>
      </c>
      <c r="F139" s="84">
        <v>0.85528633498468398</v>
      </c>
      <c r="G139" s="84">
        <v>0.91422745078411549</v>
      </c>
      <c r="H139" s="84">
        <v>0.95732910515869241</v>
      </c>
      <c r="I139" s="84">
        <v>0.95732910515869241</v>
      </c>
      <c r="J139" s="84">
        <v>0.95849936864844443</v>
      </c>
      <c r="K139" s="84">
        <v>0.95850426243254616</v>
      </c>
      <c r="L139" s="84">
        <v>0.96023194409341261</v>
      </c>
      <c r="O139" s="94" t="s">
        <v>1177</v>
      </c>
      <c r="P139" s="94" t="s">
        <v>106</v>
      </c>
      <c r="U139" s="102">
        <v>95.741662253777761</v>
      </c>
      <c r="X139" s="102">
        <v>99.132274756959021</v>
      </c>
      <c r="Y139" s="102">
        <v>99.137818433955644</v>
      </c>
      <c r="AB139" t="s">
        <v>1177</v>
      </c>
      <c r="AC139" s="84">
        <v>0.84390433454899294</v>
      </c>
      <c r="AD139" s="84">
        <v>0.85528633498468398</v>
      </c>
      <c r="AE139" s="84">
        <v>0.91422745078411549</v>
      </c>
      <c r="AF139" s="84">
        <v>0.95732910515869241</v>
      </c>
      <c r="AG139" s="84">
        <v>0.9574166225377776</v>
      </c>
      <c r="AH139" s="84">
        <v>0.95849936864844443</v>
      </c>
      <c r="AI139" s="84">
        <v>0.95850426243254616</v>
      </c>
      <c r="AJ139" s="84">
        <v>0.99132274756959016</v>
      </c>
      <c r="AK139" s="84">
        <v>0.99137818433955649</v>
      </c>
      <c r="AL139" s="84">
        <v>0.96023194409341261</v>
      </c>
    </row>
    <row r="140" spans="1:38">
      <c r="A140">
        <v>137</v>
      </c>
      <c r="B140" t="s">
        <v>169</v>
      </c>
      <c r="C140" t="s">
        <v>106</v>
      </c>
      <c r="D140">
        <f t="shared" si="4"/>
        <v>521</v>
      </c>
      <c r="E140" s="84">
        <v>0.8888337030735507</v>
      </c>
      <c r="F140" s="84">
        <v>0.8998282994895761</v>
      </c>
      <c r="G140" s="84">
        <v>0.9587103469839261</v>
      </c>
      <c r="H140" s="84">
        <v>1.0024801656597542</v>
      </c>
      <c r="I140" s="84">
        <v>1.0024801656597542</v>
      </c>
      <c r="J140" s="84">
        <v>1.0049616639735119</v>
      </c>
      <c r="K140" s="84">
        <v>1.0049666738548892</v>
      </c>
      <c r="L140" s="84">
        <v>1.0049767697227256</v>
      </c>
      <c r="O140" s="94" t="s">
        <v>1178</v>
      </c>
      <c r="P140" s="94" t="s">
        <v>106</v>
      </c>
      <c r="U140" s="102">
        <v>100.25697009569288</v>
      </c>
      <c r="X140" s="102">
        <v>102.68574023205316</v>
      </c>
      <c r="Y140" s="102">
        <v>102.6913828345748</v>
      </c>
      <c r="AB140" t="s">
        <v>1178</v>
      </c>
      <c r="AC140" s="84">
        <v>0.8888337030735507</v>
      </c>
      <c r="AD140" s="84">
        <v>0.8998282994895761</v>
      </c>
      <c r="AE140" s="84">
        <v>0.9587103469839261</v>
      </c>
      <c r="AF140" s="84">
        <v>1.0024801656597542</v>
      </c>
      <c r="AG140" s="84">
        <v>1.0025697009569288</v>
      </c>
      <c r="AH140" s="84">
        <v>1.0049616639735119</v>
      </c>
      <c r="AI140" s="84">
        <v>1.0049666738548892</v>
      </c>
      <c r="AJ140" s="84">
        <v>1.0268574023205317</v>
      </c>
      <c r="AK140" s="84">
        <v>1.026913828345748</v>
      </c>
      <c r="AL140" s="84">
        <v>1.0049767697227256</v>
      </c>
    </row>
    <row r="141" spans="1:38">
      <c r="A141">
        <v>138</v>
      </c>
      <c r="B141" t="s">
        <v>170</v>
      </c>
      <c r="C141" t="s">
        <v>106</v>
      </c>
      <c r="D141">
        <f t="shared" si="4"/>
        <v>522</v>
      </c>
      <c r="E141" s="84">
        <v>0.96196847829043097</v>
      </c>
      <c r="F141" s="84">
        <v>0.98920233371986266</v>
      </c>
      <c r="G141" s="84">
        <v>1.0655487695875658</v>
      </c>
      <c r="H141" s="84">
        <v>1.1287664416145753</v>
      </c>
      <c r="I141" s="84">
        <v>1.1287664416145753</v>
      </c>
      <c r="J141" s="84">
        <v>1.1264379316563153</v>
      </c>
      <c r="K141" s="84">
        <v>1.1263801045424926</v>
      </c>
      <c r="L141" s="84">
        <v>1.2119105246356701</v>
      </c>
      <c r="O141" s="94" t="s">
        <v>735</v>
      </c>
      <c r="P141" s="94" t="s">
        <v>106</v>
      </c>
      <c r="U141" s="102">
        <v>112.87412703662159</v>
      </c>
      <c r="X141" s="102">
        <v>119.05233928156078</v>
      </c>
      <c r="Y141" s="102">
        <v>124.27180897202578</v>
      </c>
      <c r="AB141" t="s">
        <v>735</v>
      </c>
      <c r="AC141" s="84">
        <v>0.96196847829043097</v>
      </c>
      <c r="AD141" s="84">
        <v>0.98920233371986266</v>
      </c>
      <c r="AE141" s="84">
        <v>1.0655487695875658</v>
      </c>
      <c r="AF141" s="84">
        <v>1.1287664416145753</v>
      </c>
      <c r="AG141" s="84">
        <v>1.1287412703662159</v>
      </c>
      <c r="AH141" s="84">
        <v>1.1264379316563153</v>
      </c>
      <c r="AI141" s="84">
        <v>1.1263801045424926</v>
      </c>
      <c r="AJ141" s="84">
        <v>1.1905233928156078</v>
      </c>
      <c r="AK141" s="84">
        <v>1.2427180897202579</v>
      </c>
      <c r="AL141" s="84">
        <v>1.2119105246356701</v>
      </c>
    </row>
    <row r="142" spans="1:38">
      <c r="A142">
        <v>139</v>
      </c>
      <c r="B142" t="s">
        <v>172</v>
      </c>
      <c r="C142" t="s">
        <v>106</v>
      </c>
      <c r="D142">
        <f t="shared" si="4"/>
        <v>523</v>
      </c>
      <c r="E142" s="84">
        <v>0.85881244553601088</v>
      </c>
      <c r="F142" s="84">
        <v>0.88559127166810003</v>
      </c>
      <c r="G142" s="84">
        <v>0.96000683312879498</v>
      </c>
      <c r="H142" s="84">
        <v>1.0123076006044998</v>
      </c>
      <c r="I142" s="84">
        <v>1.0123076006044998</v>
      </c>
      <c r="J142" s="84">
        <v>1.0094420472075813</v>
      </c>
      <c r="K142" s="84">
        <v>1.0093874017216948</v>
      </c>
      <c r="L142" s="84">
        <v>1.0953448383607483</v>
      </c>
      <c r="O142" s="94" t="s">
        <v>1179</v>
      </c>
      <c r="P142" s="94" t="s">
        <v>106</v>
      </c>
      <c r="U142" s="102">
        <v>101.22838062951675</v>
      </c>
      <c r="X142" s="102">
        <v>107.38511886910072</v>
      </c>
      <c r="Y142" s="102">
        <v>111.68562588396323</v>
      </c>
      <c r="AB142" t="s">
        <v>1179</v>
      </c>
      <c r="AC142" s="84">
        <v>0.85881244553601088</v>
      </c>
      <c r="AD142" s="84">
        <v>0.88559127166810003</v>
      </c>
      <c r="AE142" s="84">
        <v>0.96000683312879498</v>
      </c>
      <c r="AF142" s="84">
        <v>1.0123076006044998</v>
      </c>
      <c r="AG142" s="84">
        <v>1.0122838062951676</v>
      </c>
      <c r="AH142" s="84">
        <v>1.0094420472075813</v>
      </c>
      <c r="AI142" s="84">
        <v>1.0093874017216948</v>
      </c>
      <c r="AJ142" s="84">
        <v>1.0738511886910072</v>
      </c>
      <c r="AK142" s="84">
        <v>1.1168562588396322</v>
      </c>
      <c r="AL142" s="84">
        <v>1.0953448383607483</v>
      </c>
    </row>
    <row r="143" spans="1:38">
      <c r="A143">
        <v>140</v>
      </c>
      <c r="B143" t="s">
        <v>173</v>
      </c>
      <c r="C143" t="s">
        <v>106</v>
      </c>
      <c r="D143">
        <f t="shared" si="4"/>
        <v>524</v>
      </c>
      <c r="E143" s="84">
        <v>0.93316494335745148</v>
      </c>
      <c r="F143" s="84">
        <v>0.96101492253482435</v>
      </c>
      <c r="G143" s="84">
        <v>1.0384071064539468</v>
      </c>
      <c r="H143" s="84">
        <v>1.09279990462868</v>
      </c>
      <c r="I143" s="84">
        <v>1.09279990462868</v>
      </c>
      <c r="J143" s="84">
        <v>1.0898197290958849</v>
      </c>
      <c r="K143" s="84">
        <v>1.0897628977905629</v>
      </c>
      <c r="L143" s="84">
        <v>1.1791586318951783</v>
      </c>
      <c r="O143" s="94" t="s">
        <v>1180</v>
      </c>
      <c r="P143" s="94" t="s">
        <v>106</v>
      </c>
      <c r="U143" s="102">
        <v>109.27751585469741</v>
      </c>
      <c r="X143" s="102">
        <v>115.68052362386476</v>
      </c>
      <c r="Y143" s="102">
        <v>120.15305091932174</v>
      </c>
      <c r="AB143" t="s">
        <v>1180</v>
      </c>
      <c r="AC143" s="84">
        <v>0.93316494335745148</v>
      </c>
      <c r="AD143" s="84">
        <v>0.96101492253482435</v>
      </c>
      <c r="AE143" s="84">
        <v>1.0384071064539468</v>
      </c>
      <c r="AF143" s="84">
        <v>1.09279990462868</v>
      </c>
      <c r="AG143" s="84">
        <v>1.092775158546974</v>
      </c>
      <c r="AH143" s="84">
        <v>1.0898197290958849</v>
      </c>
      <c r="AI143" s="84">
        <v>1.0897628977905629</v>
      </c>
      <c r="AJ143" s="84">
        <v>1.1568052362386476</v>
      </c>
      <c r="AK143" s="84">
        <v>1.2015305091932174</v>
      </c>
      <c r="AL143" s="84">
        <v>1.1791586318951783</v>
      </c>
    </row>
    <row r="144" spans="1:38">
      <c r="A144">
        <v>141</v>
      </c>
      <c r="B144" t="s">
        <v>175</v>
      </c>
      <c r="C144" t="s">
        <v>106</v>
      </c>
      <c r="D144">
        <f t="shared" si="4"/>
        <v>525</v>
      </c>
      <c r="E144" s="84">
        <v>1.0075174411788921</v>
      </c>
      <c r="F144" s="84">
        <v>1.0364385734015482</v>
      </c>
      <c r="G144" s="84">
        <v>1.1168073797790989</v>
      </c>
      <c r="H144" s="84">
        <v>1.1732922086528601</v>
      </c>
      <c r="I144" s="84">
        <v>1.1732922086528601</v>
      </c>
      <c r="J144" s="84">
        <v>1.1701974109841879</v>
      </c>
      <c r="K144" s="84">
        <v>1.1701383938594307</v>
      </c>
      <c r="L144" s="84">
        <v>1.2629724254296082</v>
      </c>
      <c r="O144" s="94" t="s">
        <v>1180</v>
      </c>
      <c r="P144" s="94" t="s">
        <v>106</v>
      </c>
      <c r="U144" s="102">
        <v>117.3266510798781</v>
      </c>
      <c r="X144" s="102">
        <v>123.97592837862879</v>
      </c>
      <c r="Y144" s="102">
        <v>128.62047595468027</v>
      </c>
      <c r="AB144" t="s">
        <v>1180</v>
      </c>
      <c r="AC144" s="84">
        <v>1.0075174411788921</v>
      </c>
      <c r="AD144" s="84">
        <v>1.0364385734015482</v>
      </c>
      <c r="AE144" s="84">
        <v>1.1168073797790989</v>
      </c>
      <c r="AF144" s="84">
        <v>1.1732922086528601</v>
      </c>
      <c r="AG144" s="84">
        <v>1.173266510798781</v>
      </c>
      <c r="AH144" s="84">
        <v>1.1701974109841879</v>
      </c>
      <c r="AI144" s="84">
        <v>1.1701383938594307</v>
      </c>
      <c r="AJ144" s="84">
        <v>1.2397592837862879</v>
      </c>
      <c r="AK144" s="84">
        <v>1.2862047595468027</v>
      </c>
      <c r="AL144" s="84">
        <v>1.2629724254296082</v>
      </c>
    </row>
    <row r="145" spans="1:38">
      <c r="A145">
        <v>142</v>
      </c>
      <c r="B145" t="s">
        <v>176</v>
      </c>
      <c r="C145" t="s">
        <v>106</v>
      </c>
      <c r="D145">
        <f t="shared" si="4"/>
        <v>526</v>
      </c>
      <c r="E145" s="84">
        <v>1.0958202935221388</v>
      </c>
      <c r="F145" s="84">
        <v>1.1436429521081153</v>
      </c>
      <c r="G145" s="84">
        <v>1.2246022066084108</v>
      </c>
      <c r="H145" s="84">
        <v>1.2949494962264374</v>
      </c>
      <c r="I145" s="84">
        <v>1.2949494962264374</v>
      </c>
      <c r="J145" s="84">
        <v>1.3359258717619777</v>
      </c>
      <c r="K145" s="84">
        <v>1.3243845409724841</v>
      </c>
      <c r="L145" s="84">
        <v>1.3588212127414159</v>
      </c>
      <c r="O145" s="94" t="s">
        <v>1128</v>
      </c>
      <c r="P145" s="94" t="s">
        <v>106</v>
      </c>
      <c r="U145" s="102">
        <v>128.35400703120911</v>
      </c>
      <c r="X145" s="102">
        <v>137.02130839263526</v>
      </c>
      <c r="Y145" s="102">
        <v>135.88175960077521</v>
      </c>
      <c r="AB145" t="s">
        <v>1128</v>
      </c>
      <c r="AC145" s="84">
        <v>1.0958202935221388</v>
      </c>
      <c r="AD145" s="84">
        <v>1.1436429521081153</v>
      </c>
      <c r="AE145" s="84">
        <v>1.2246022066084108</v>
      </c>
      <c r="AF145" s="84">
        <v>1.2949494962264374</v>
      </c>
      <c r="AG145" s="84">
        <v>1.2835400703120912</v>
      </c>
      <c r="AH145" s="84">
        <v>1.3359258717619777</v>
      </c>
      <c r="AI145" s="84">
        <v>1.3243845409724841</v>
      </c>
      <c r="AJ145" s="84">
        <v>1.3702130839263527</v>
      </c>
      <c r="AK145" s="84">
        <v>1.3588175960077522</v>
      </c>
      <c r="AL145" s="84">
        <v>1.3588212127414159</v>
      </c>
    </row>
    <row r="146" spans="1:38">
      <c r="A146">
        <v>143</v>
      </c>
      <c r="B146" t="s">
        <v>178</v>
      </c>
      <c r="C146" t="s">
        <v>106</v>
      </c>
      <c r="D146">
        <f t="shared" si="4"/>
        <v>527</v>
      </c>
      <c r="E146" s="84">
        <v>1.0182544723214291</v>
      </c>
      <c r="F146" s="84">
        <v>1.0564189666261699</v>
      </c>
      <c r="G146" s="84">
        <v>1.1392507620140357</v>
      </c>
      <c r="H146" s="84">
        <v>1.2072517683756783</v>
      </c>
      <c r="I146" s="84">
        <v>1.2072517683756783</v>
      </c>
      <c r="J146" s="84">
        <v>1.2471638578904038</v>
      </c>
      <c r="K146" s="84">
        <v>1.2352571468545099</v>
      </c>
      <c r="L146" s="84">
        <v>1.2708259823186729</v>
      </c>
      <c r="O146" s="94" t="s">
        <v>1181</v>
      </c>
      <c r="P146" s="94" t="s">
        <v>106</v>
      </c>
      <c r="U146" s="102">
        <v>119.6576472880175</v>
      </c>
      <c r="X146" s="102">
        <v>128.26017066556426</v>
      </c>
      <c r="Y146" s="102">
        <v>127.08219320046028</v>
      </c>
      <c r="AB146" t="s">
        <v>1181</v>
      </c>
      <c r="AC146" s="84">
        <v>1.0182544723214291</v>
      </c>
      <c r="AD146" s="84">
        <v>1.0564189666261699</v>
      </c>
      <c r="AE146" s="84">
        <v>1.1392507620140357</v>
      </c>
      <c r="AF146" s="84">
        <v>1.2072517683756783</v>
      </c>
      <c r="AG146" s="84">
        <v>1.1965764728801751</v>
      </c>
      <c r="AH146" s="84">
        <v>1.2471638578904038</v>
      </c>
      <c r="AI146" s="84">
        <v>1.2352571468545099</v>
      </c>
      <c r="AJ146" s="84">
        <v>1.2826017066556425</v>
      </c>
      <c r="AK146" s="84">
        <v>1.2708219320046028</v>
      </c>
      <c r="AL146" s="84">
        <v>1.2708259823186729</v>
      </c>
    </row>
    <row r="147" spans="1:38">
      <c r="A147">
        <v>144</v>
      </c>
      <c r="B147" t="s">
        <v>179</v>
      </c>
      <c r="C147" t="s">
        <v>106</v>
      </c>
      <c r="D147">
        <f t="shared" si="4"/>
        <v>528</v>
      </c>
      <c r="E147" s="84">
        <v>0.92487840470087779</v>
      </c>
      <c r="F147" s="84">
        <v>0.95971552196387799</v>
      </c>
      <c r="G147" s="84">
        <v>1.0350759229584612</v>
      </c>
      <c r="H147" s="84">
        <v>1.096952760465173</v>
      </c>
      <c r="I147" s="84">
        <v>1.096952760465173</v>
      </c>
      <c r="J147" s="84">
        <v>1.133389510133862</v>
      </c>
      <c r="K147" s="84">
        <v>1.1225629838862674</v>
      </c>
      <c r="L147" s="84">
        <v>1.154893345311967</v>
      </c>
      <c r="O147" s="94" t="s">
        <v>1182</v>
      </c>
      <c r="P147" s="94" t="s">
        <v>106</v>
      </c>
      <c r="U147" s="102">
        <v>108.72553734585408</v>
      </c>
      <c r="X147" s="102">
        <v>116.55947220481471</v>
      </c>
      <c r="Y147" s="102">
        <v>115.48852400091025</v>
      </c>
      <c r="AB147" t="s">
        <v>1182</v>
      </c>
      <c r="AC147" s="84">
        <v>0.92487840470087779</v>
      </c>
      <c r="AD147" s="84">
        <v>0.95971552196387799</v>
      </c>
      <c r="AE147" s="84">
        <v>1.0350759229584612</v>
      </c>
      <c r="AF147" s="84">
        <v>1.096952760465173</v>
      </c>
      <c r="AG147" s="84">
        <v>1.0872553734585408</v>
      </c>
      <c r="AH147" s="84">
        <v>1.133389510133862</v>
      </c>
      <c r="AI147" s="84">
        <v>1.1225629838862674</v>
      </c>
      <c r="AJ147" s="84">
        <v>1.1655947220481471</v>
      </c>
      <c r="AK147" s="84">
        <v>1.1548852400091025</v>
      </c>
      <c r="AL147" s="84">
        <v>1.154893345311967</v>
      </c>
    </row>
    <row r="148" spans="1:38">
      <c r="A148">
        <v>145</v>
      </c>
      <c r="B148" t="s">
        <v>138</v>
      </c>
      <c r="C148" t="s">
        <v>107</v>
      </c>
      <c r="D148">
        <v>600</v>
      </c>
      <c r="E148" s="84">
        <v>0.21</v>
      </c>
      <c r="F148" s="84">
        <v>0.21</v>
      </c>
      <c r="G148" s="84">
        <v>0.21</v>
      </c>
      <c r="H148" s="84">
        <v>0.21</v>
      </c>
      <c r="I148" s="84">
        <v>0.21</v>
      </c>
      <c r="J148" s="84">
        <v>0.22</v>
      </c>
      <c r="K148" s="84">
        <v>0.22</v>
      </c>
      <c r="L148" s="84">
        <v>0.32</v>
      </c>
      <c r="O148" s="94" t="s">
        <v>138</v>
      </c>
      <c r="P148" s="94" t="s">
        <v>107</v>
      </c>
      <c r="U148" s="91">
        <v>21</v>
      </c>
      <c r="X148" s="91">
        <v>25</v>
      </c>
      <c r="Y148" s="91">
        <v>23</v>
      </c>
      <c r="AB148" t="s">
        <v>138</v>
      </c>
      <c r="AC148" s="84">
        <v>0.21</v>
      </c>
      <c r="AD148" s="84">
        <v>0.21</v>
      </c>
      <c r="AE148" s="84">
        <v>0.21</v>
      </c>
      <c r="AF148" s="84">
        <v>0.21</v>
      </c>
      <c r="AG148" s="84">
        <v>0.21</v>
      </c>
      <c r="AH148" s="84">
        <v>0.22</v>
      </c>
      <c r="AI148" s="84">
        <v>0.22</v>
      </c>
      <c r="AJ148" s="84">
        <v>0.25</v>
      </c>
      <c r="AK148" s="84">
        <v>0.23</v>
      </c>
      <c r="AL148" s="84">
        <v>0.32</v>
      </c>
    </row>
    <row r="149" spans="1:38">
      <c r="A149">
        <v>146</v>
      </c>
      <c r="B149" t="s">
        <v>139</v>
      </c>
      <c r="C149" t="s">
        <v>107</v>
      </c>
      <c r="D149">
        <f>+D148+1</f>
        <v>601</v>
      </c>
      <c r="E149" s="84">
        <v>0.27</v>
      </c>
      <c r="F149" s="84">
        <v>0.27</v>
      </c>
      <c r="G149" s="84">
        <v>0.27</v>
      </c>
      <c r="H149" s="84">
        <v>0.27</v>
      </c>
      <c r="I149" s="84">
        <v>0.27</v>
      </c>
      <c r="J149" s="84">
        <v>0.28999999999999998</v>
      </c>
      <c r="K149" s="84">
        <v>0.28000000000000003</v>
      </c>
      <c r="L149" s="84">
        <v>0.4</v>
      </c>
      <c r="O149" s="94" t="s">
        <v>139</v>
      </c>
      <c r="P149" s="94" t="s">
        <v>107</v>
      </c>
      <c r="U149" s="91">
        <v>27</v>
      </c>
      <c r="X149" s="91">
        <v>32</v>
      </c>
      <c r="Y149" s="91">
        <v>30</v>
      </c>
      <c r="AB149" t="s">
        <v>139</v>
      </c>
      <c r="AC149" s="84">
        <v>0.27</v>
      </c>
      <c r="AD149" s="84">
        <v>0.27</v>
      </c>
      <c r="AE149" s="84">
        <v>0.27</v>
      </c>
      <c r="AF149" s="84">
        <v>0.27</v>
      </c>
      <c r="AG149" s="84">
        <v>0.27</v>
      </c>
      <c r="AH149" s="84">
        <v>0.28999999999999998</v>
      </c>
      <c r="AI149" s="84">
        <v>0.28000000000000003</v>
      </c>
      <c r="AJ149" s="84">
        <v>0.32</v>
      </c>
      <c r="AK149" s="84">
        <v>0.3</v>
      </c>
      <c r="AL149" s="84">
        <v>0.4</v>
      </c>
    </row>
    <row r="150" spans="1:38">
      <c r="A150">
        <v>147</v>
      </c>
      <c r="B150" t="s">
        <v>140</v>
      </c>
      <c r="C150" t="s">
        <v>107</v>
      </c>
      <c r="D150">
        <f t="shared" ref="D150:D176" si="5">+D149+1</f>
        <v>602</v>
      </c>
      <c r="E150" s="84">
        <v>0</v>
      </c>
      <c r="F150" s="84">
        <v>0</v>
      </c>
      <c r="G150" s="84">
        <v>0</v>
      </c>
      <c r="H150" s="84">
        <v>0</v>
      </c>
      <c r="I150" s="84">
        <v>0</v>
      </c>
      <c r="J150" s="84">
        <v>0</v>
      </c>
      <c r="K150" s="84">
        <v>0</v>
      </c>
      <c r="L150" s="84">
        <v>0</v>
      </c>
      <c r="O150" s="94" t="s">
        <v>1164</v>
      </c>
      <c r="P150" s="94" t="s">
        <v>107</v>
      </c>
      <c r="Q150" s="92"/>
      <c r="R150" s="92"/>
      <c r="S150" s="92"/>
      <c r="T150" s="92"/>
      <c r="U150" s="92"/>
      <c r="V150" s="92"/>
      <c r="W150" s="92"/>
      <c r="X150" s="92"/>
      <c r="Y150" s="92"/>
      <c r="Z150" s="92"/>
      <c r="AB150" t="s">
        <v>1164</v>
      </c>
      <c r="AC150" s="84">
        <v>0</v>
      </c>
      <c r="AD150" s="84">
        <v>0</v>
      </c>
      <c r="AE150" s="84">
        <v>0</v>
      </c>
      <c r="AF150" s="84">
        <v>0</v>
      </c>
      <c r="AG150" s="84">
        <v>0</v>
      </c>
      <c r="AH150" s="84">
        <v>0</v>
      </c>
      <c r="AI150" s="84">
        <v>0</v>
      </c>
      <c r="AJ150" s="84">
        <v>0</v>
      </c>
      <c r="AK150" s="84">
        <v>0</v>
      </c>
      <c r="AL150" s="84">
        <v>0</v>
      </c>
    </row>
    <row r="151" spans="1:38">
      <c r="A151">
        <v>148</v>
      </c>
      <c r="B151" t="s">
        <v>142</v>
      </c>
      <c r="C151" t="s">
        <v>107</v>
      </c>
      <c r="D151">
        <f t="shared" si="5"/>
        <v>603</v>
      </c>
      <c r="E151" s="84">
        <v>0.51</v>
      </c>
      <c r="F151" s="84">
        <v>0.51</v>
      </c>
      <c r="G151" s="84">
        <v>0.51</v>
      </c>
      <c r="H151" s="84">
        <v>0.53959999999999997</v>
      </c>
      <c r="I151" s="84">
        <v>0.53959999999999997</v>
      </c>
      <c r="J151" s="84">
        <v>0.55940000000000001</v>
      </c>
      <c r="K151" s="84">
        <v>0.55940000000000001</v>
      </c>
      <c r="L151" s="84">
        <v>0.55940000000000001</v>
      </c>
      <c r="O151" s="94" t="s">
        <v>142</v>
      </c>
      <c r="P151" s="94" t="s">
        <v>107</v>
      </c>
      <c r="U151" s="91">
        <v>53.96</v>
      </c>
      <c r="X151" s="91">
        <v>56.96</v>
      </c>
      <c r="Y151" s="91">
        <v>59</v>
      </c>
      <c r="AB151" t="s">
        <v>142</v>
      </c>
      <c r="AC151" s="84">
        <v>0.51</v>
      </c>
      <c r="AD151" s="84">
        <v>0.51</v>
      </c>
      <c r="AE151" s="84">
        <v>0.51</v>
      </c>
      <c r="AF151" s="84">
        <v>0.53959999999999997</v>
      </c>
      <c r="AG151" s="84">
        <v>0.53959999999999997</v>
      </c>
      <c r="AH151" s="84">
        <v>0.55940000000000001</v>
      </c>
      <c r="AI151" s="84">
        <v>0.55940000000000001</v>
      </c>
      <c r="AJ151" s="84">
        <v>0.5696</v>
      </c>
      <c r="AK151" s="84">
        <v>0.59</v>
      </c>
      <c r="AL151" s="84">
        <v>0.55940000000000001</v>
      </c>
    </row>
    <row r="152" spans="1:38">
      <c r="A152">
        <v>149</v>
      </c>
      <c r="B152" t="s">
        <v>143</v>
      </c>
      <c r="C152" t="s">
        <v>107</v>
      </c>
      <c r="D152">
        <f t="shared" si="5"/>
        <v>604</v>
      </c>
      <c r="E152" s="84">
        <v>0.75349999999999995</v>
      </c>
      <c r="F152" s="84">
        <v>0.75349999999999995</v>
      </c>
      <c r="G152" s="84">
        <v>0.75349999999999995</v>
      </c>
      <c r="H152" s="84">
        <v>0.78790000000000004</v>
      </c>
      <c r="I152" s="84">
        <v>0.78790000000000004</v>
      </c>
      <c r="J152" s="84">
        <v>0.80859999999999999</v>
      </c>
      <c r="K152" s="84">
        <v>0.80859999999999999</v>
      </c>
      <c r="L152" s="84">
        <v>0.81930000000000003</v>
      </c>
      <c r="O152" s="94" t="s">
        <v>1165</v>
      </c>
      <c r="P152" s="94" t="s">
        <v>107</v>
      </c>
      <c r="U152" s="91">
        <v>78.790000000000006</v>
      </c>
      <c r="X152" s="91">
        <v>83</v>
      </c>
      <c r="Y152" s="91">
        <v>85.14</v>
      </c>
      <c r="AB152" t="s">
        <v>1165</v>
      </c>
      <c r="AC152" s="84">
        <v>0.75349999999999995</v>
      </c>
      <c r="AD152" s="84">
        <v>0.75349999999999995</v>
      </c>
      <c r="AE152" s="84">
        <v>0.75349999999999995</v>
      </c>
      <c r="AF152" s="84">
        <v>0.78790000000000004</v>
      </c>
      <c r="AG152" s="84">
        <v>0.78790000000000004</v>
      </c>
      <c r="AH152" s="84">
        <v>0.80859999999999999</v>
      </c>
      <c r="AI152" s="84">
        <v>0.80859999999999999</v>
      </c>
      <c r="AJ152" s="84">
        <v>0.83</v>
      </c>
      <c r="AK152" s="84">
        <v>0.85140000000000005</v>
      </c>
      <c r="AL152" s="84">
        <v>0.81930000000000003</v>
      </c>
    </row>
    <row r="153" spans="1:38">
      <c r="A153">
        <v>150</v>
      </c>
      <c r="B153" t="s">
        <v>145</v>
      </c>
      <c r="C153" t="s">
        <v>107</v>
      </c>
      <c r="D153">
        <f t="shared" si="5"/>
        <v>605</v>
      </c>
      <c r="E153" s="84"/>
      <c r="F153" s="84"/>
      <c r="G153" s="84"/>
      <c r="H153" s="84"/>
      <c r="I153" s="84"/>
      <c r="J153" s="84"/>
      <c r="K153" s="84"/>
      <c r="L153" s="84"/>
      <c r="O153" s="94"/>
      <c r="P153" s="94"/>
      <c r="U153" s="91"/>
      <c r="X153" s="91"/>
      <c r="Y153" s="91"/>
      <c r="AC153" s="84"/>
      <c r="AD153" s="84"/>
      <c r="AE153" s="84"/>
      <c r="AF153" s="84"/>
      <c r="AG153" s="84"/>
      <c r="AH153" s="84"/>
      <c r="AI153" s="84"/>
      <c r="AJ153" s="84"/>
      <c r="AK153" s="84"/>
      <c r="AL153" s="84"/>
    </row>
    <row r="154" spans="1:38">
      <c r="A154">
        <v>151</v>
      </c>
      <c r="B154" t="s">
        <v>146</v>
      </c>
      <c r="C154" t="s">
        <v>107</v>
      </c>
      <c r="D154">
        <f t="shared" si="5"/>
        <v>606</v>
      </c>
      <c r="E154" s="84">
        <v>0.91099999999999992</v>
      </c>
      <c r="F154" s="84">
        <v>0.91099999999999992</v>
      </c>
      <c r="G154" s="84">
        <v>0.91099999999999992</v>
      </c>
      <c r="H154" s="84">
        <v>0.9484999999999999</v>
      </c>
      <c r="I154" s="84">
        <v>0.9484999999999999</v>
      </c>
      <c r="J154" s="84">
        <v>0.96909999999999996</v>
      </c>
      <c r="K154" s="84">
        <v>0.96920000000000006</v>
      </c>
      <c r="L154" s="84">
        <v>0.96909999999999996</v>
      </c>
      <c r="O154" s="94" t="s">
        <v>1126</v>
      </c>
      <c r="P154" s="94" t="s">
        <v>107</v>
      </c>
      <c r="U154" s="91">
        <v>94.85</v>
      </c>
      <c r="X154" s="91">
        <v>99.05</v>
      </c>
      <c r="Y154" s="91">
        <v>100.13</v>
      </c>
      <c r="AB154" t="s">
        <v>1126</v>
      </c>
      <c r="AC154" s="84">
        <v>0.91099999999999992</v>
      </c>
      <c r="AD154" s="84">
        <v>0.91099999999999992</v>
      </c>
      <c r="AE154" s="84">
        <v>0.91099999999999992</v>
      </c>
      <c r="AF154" s="84">
        <v>0.9484999999999999</v>
      </c>
      <c r="AG154" s="84">
        <v>0.9484999999999999</v>
      </c>
      <c r="AH154" s="84">
        <v>0.96909999999999996</v>
      </c>
      <c r="AI154" s="84">
        <v>0.96920000000000006</v>
      </c>
      <c r="AJ154" s="84">
        <v>0.99049999999999994</v>
      </c>
      <c r="AK154" s="84">
        <v>1.0012999999999999</v>
      </c>
      <c r="AL154" s="84">
        <v>0.96909999999999996</v>
      </c>
    </row>
    <row r="155" spans="1:38">
      <c r="A155">
        <v>152</v>
      </c>
      <c r="B155" t="s">
        <v>148</v>
      </c>
      <c r="C155" t="s">
        <v>107</v>
      </c>
      <c r="D155">
        <f t="shared" si="5"/>
        <v>607</v>
      </c>
      <c r="E155" s="84">
        <v>1.0265</v>
      </c>
      <c r="F155" s="84">
        <v>1.0265</v>
      </c>
      <c r="G155" s="84">
        <v>1.0265</v>
      </c>
      <c r="H155" s="84">
        <v>1.0662</v>
      </c>
      <c r="I155" s="84">
        <v>1.0662</v>
      </c>
      <c r="J155" s="84">
        <v>1.0976000000000001</v>
      </c>
      <c r="K155" s="84">
        <v>1.0976000000000001</v>
      </c>
      <c r="L155" s="84">
        <v>1.0976000000000001</v>
      </c>
      <c r="O155" s="94" t="s">
        <v>1166</v>
      </c>
      <c r="P155" s="94" t="s">
        <v>107</v>
      </c>
      <c r="U155" s="91">
        <v>106.62</v>
      </c>
      <c r="X155" s="91">
        <v>110.82</v>
      </c>
      <c r="Y155" s="91">
        <v>112.97</v>
      </c>
      <c r="AB155" t="s">
        <v>1166</v>
      </c>
      <c r="AC155" s="84">
        <v>1.0265</v>
      </c>
      <c r="AD155" s="84">
        <v>1.0265</v>
      </c>
      <c r="AE155" s="84">
        <v>1.0265</v>
      </c>
      <c r="AF155" s="84">
        <v>1.0662</v>
      </c>
      <c r="AG155" s="84">
        <v>1.0662</v>
      </c>
      <c r="AH155" s="84">
        <v>1.0976000000000001</v>
      </c>
      <c r="AI155" s="84">
        <v>1.0976000000000001</v>
      </c>
      <c r="AJ155" s="84">
        <v>1.1081999999999999</v>
      </c>
      <c r="AK155" s="84">
        <v>1.1296999999999999</v>
      </c>
      <c r="AL155" s="84">
        <v>1.0976000000000001</v>
      </c>
    </row>
    <row r="156" spans="1:38">
      <c r="A156">
        <v>153</v>
      </c>
      <c r="B156" t="s">
        <v>149</v>
      </c>
      <c r="C156" t="s">
        <v>107</v>
      </c>
      <c r="D156">
        <f t="shared" si="5"/>
        <v>608</v>
      </c>
      <c r="E156" s="84">
        <v>1.0569</v>
      </c>
      <c r="F156" s="84">
        <v>1.0569</v>
      </c>
      <c r="G156" s="84">
        <v>1.0569</v>
      </c>
      <c r="H156" s="84">
        <v>1.0972</v>
      </c>
      <c r="I156" s="84">
        <v>1.0972</v>
      </c>
      <c r="J156" s="84">
        <v>1.129</v>
      </c>
      <c r="K156" s="84">
        <v>1.1291</v>
      </c>
      <c r="L156" s="84">
        <v>1.129</v>
      </c>
      <c r="O156" s="94" t="s">
        <v>1167</v>
      </c>
      <c r="P156" s="94" t="s">
        <v>107</v>
      </c>
      <c r="U156" s="91">
        <v>109.72</v>
      </c>
      <c r="X156" s="91">
        <v>113.99</v>
      </c>
      <c r="Y156" s="91">
        <v>116.17</v>
      </c>
      <c r="AB156" t="s">
        <v>1167</v>
      </c>
      <c r="AC156" s="84">
        <v>1.0569</v>
      </c>
      <c r="AD156" s="84">
        <v>1.0569</v>
      </c>
      <c r="AE156" s="84">
        <v>1.0569</v>
      </c>
      <c r="AF156" s="84">
        <v>1.0972</v>
      </c>
      <c r="AG156" s="84">
        <v>1.0972</v>
      </c>
      <c r="AH156" s="84">
        <v>1.129</v>
      </c>
      <c r="AI156" s="84">
        <v>1.1291</v>
      </c>
      <c r="AJ156" s="84">
        <v>1.1398999999999999</v>
      </c>
      <c r="AK156" s="84">
        <v>1.1617</v>
      </c>
      <c r="AL156" s="84">
        <v>1.129</v>
      </c>
    </row>
    <row r="157" spans="1:38">
      <c r="A157">
        <v>154</v>
      </c>
      <c r="B157" t="s">
        <v>151</v>
      </c>
      <c r="C157" t="s">
        <v>107</v>
      </c>
      <c r="D157">
        <f t="shared" si="5"/>
        <v>609</v>
      </c>
      <c r="E157" s="84">
        <v>1.1105</v>
      </c>
      <c r="F157" s="84">
        <v>1.1105</v>
      </c>
      <c r="G157" s="84">
        <v>1.1105</v>
      </c>
      <c r="H157" s="84">
        <v>1.1518999999999999</v>
      </c>
      <c r="I157" s="84">
        <v>1.1518999999999999</v>
      </c>
      <c r="J157" s="84">
        <v>1.1725000000000001</v>
      </c>
      <c r="K157" s="84">
        <v>1.1725000000000001</v>
      </c>
      <c r="L157" s="84">
        <v>1.1725000000000001</v>
      </c>
      <c r="O157" s="94" t="s">
        <v>1168</v>
      </c>
      <c r="P157" s="94" t="s">
        <v>107</v>
      </c>
      <c r="U157" s="91">
        <v>115.19</v>
      </c>
      <c r="X157" s="91">
        <v>119.39</v>
      </c>
      <c r="Y157" s="91">
        <v>121.53</v>
      </c>
      <c r="AB157" t="s">
        <v>1168</v>
      </c>
      <c r="AC157" s="84">
        <v>1.1105</v>
      </c>
      <c r="AD157" s="84">
        <v>1.1105</v>
      </c>
      <c r="AE157" s="84">
        <v>1.1105</v>
      </c>
      <c r="AF157" s="84">
        <v>1.1518999999999999</v>
      </c>
      <c r="AG157" s="84">
        <v>1.1518999999999999</v>
      </c>
      <c r="AH157" s="84">
        <v>1.1725000000000001</v>
      </c>
      <c r="AI157" s="84">
        <v>1.1725000000000001</v>
      </c>
      <c r="AJ157" s="84">
        <v>1.1939</v>
      </c>
      <c r="AK157" s="84">
        <v>1.2153</v>
      </c>
      <c r="AL157" s="84">
        <v>1.1725000000000001</v>
      </c>
    </row>
    <row r="158" spans="1:38">
      <c r="A158">
        <v>155</v>
      </c>
      <c r="B158" t="s">
        <v>152</v>
      </c>
      <c r="C158" t="s">
        <v>107</v>
      </c>
      <c r="D158">
        <f t="shared" si="5"/>
        <v>610</v>
      </c>
      <c r="E158" s="84">
        <v>1.1948999999999999</v>
      </c>
      <c r="F158" s="84">
        <v>1.1948999999999999</v>
      </c>
      <c r="G158" s="84">
        <v>1.1948999999999999</v>
      </c>
      <c r="H158" s="84">
        <v>1.238</v>
      </c>
      <c r="I158" s="84">
        <v>1.238</v>
      </c>
      <c r="J158" s="84">
        <v>1.2594000000000001</v>
      </c>
      <c r="K158" s="84">
        <v>1.2594000000000001</v>
      </c>
      <c r="L158" s="84">
        <v>1.2594000000000001</v>
      </c>
      <c r="O158" s="94" t="s">
        <v>1169</v>
      </c>
      <c r="P158" s="94" t="s">
        <v>107</v>
      </c>
      <c r="U158" s="91">
        <v>123.8</v>
      </c>
      <c r="X158" s="91">
        <v>128.16</v>
      </c>
      <c r="Y158" s="91">
        <v>130.4</v>
      </c>
      <c r="AB158" t="s">
        <v>1169</v>
      </c>
      <c r="AC158" s="84">
        <v>1.1948999999999999</v>
      </c>
      <c r="AD158" s="84">
        <v>1.1948999999999999</v>
      </c>
      <c r="AE158" s="84">
        <v>1.1948999999999999</v>
      </c>
      <c r="AF158" s="84">
        <v>1.238</v>
      </c>
      <c r="AG158" s="84">
        <v>1.238</v>
      </c>
      <c r="AH158" s="84">
        <v>1.2594000000000001</v>
      </c>
      <c r="AI158" s="84">
        <v>1.2594000000000001</v>
      </c>
      <c r="AJ158" s="84">
        <v>1.2816000000000001</v>
      </c>
      <c r="AK158" s="84">
        <v>1.304</v>
      </c>
      <c r="AL158" s="84">
        <v>1.2594000000000001</v>
      </c>
    </row>
    <row r="159" spans="1:38">
      <c r="A159">
        <v>156</v>
      </c>
      <c r="B159" t="s">
        <v>154</v>
      </c>
      <c r="C159" t="s">
        <v>107</v>
      </c>
      <c r="D159">
        <f t="shared" si="5"/>
        <v>611</v>
      </c>
      <c r="E159" s="84">
        <v>1.0563</v>
      </c>
      <c r="F159" s="84">
        <v>1.0456000000000001</v>
      </c>
      <c r="G159" s="84">
        <v>1.0348999999999999</v>
      </c>
      <c r="H159" s="84">
        <v>1.0639000000000001</v>
      </c>
      <c r="I159" s="84">
        <v>1.0639000000000001</v>
      </c>
      <c r="J159" s="84">
        <v>1.1176999999999999</v>
      </c>
      <c r="K159" s="84">
        <v>1.1176999999999999</v>
      </c>
      <c r="L159" s="84">
        <v>1.1395999999999999</v>
      </c>
      <c r="O159" s="94" t="s">
        <v>733</v>
      </c>
      <c r="P159" s="94" t="s">
        <v>107</v>
      </c>
      <c r="U159" s="91">
        <v>106.39</v>
      </c>
      <c r="X159" s="91">
        <v>117.23</v>
      </c>
      <c r="Y159" s="91">
        <v>116.13</v>
      </c>
      <c r="AB159" t="s">
        <v>733</v>
      </c>
      <c r="AC159" s="84">
        <v>1.0563</v>
      </c>
      <c r="AD159" s="84">
        <v>1.0456000000000001</v>
      </c>
      <c r="AE159" s="84">
        <v>1.0348999999999999</v>
      </c>
      <c r="AF159" s="84">
        <v>1.0639000000000001</v>
      </c>
      <c r="AG159" s="84">
        <v>1.0639000000000001</v>
      </c>
      <c r="AH159" s="84">
        <v>1.1176999999999999</v>
      </c>
      <c r="AI159" s="84">
        <v>1.1176999999999999</v>
      </c>
      <c r="AJ159" s="84">
        <v>1.1723000000000001</v>
      </c>
      <c r="AK159" s="84">
        <v>1.1613</v>
      </c>
      <c r="AL159" s="84">
        <v>1.1395999999999999</v>
      </c>
    </row>
    <row r="160" spans="1:38">
      <c r="A160">
        <v>157</v>
      </c>
      <c r="B160" t="s">
        <v>155</v>
      </c>
      <c r="C160" t="s">
        <v>107</v>
      </c>
      <c r="D160">
        <f t="shared" si="5"/>
        <v>612</v>
      </c>
      <c r="E160" s="84">
        <v>1.0669999999999999</v>
      </c>
      <c r="F160" s="84">
        <v>1.0669999999999999</v>
      </c>
      <c r="G160" s="84">
        <v>1.0669999999999999</v>
      </c>
      <c r="H160" s="84">
        <v>1.1076000000000001</v>
      </c>
      <c r="I160" s="84">
        <v>1.1076000000000001</v>
      </c>
      <c r="J160" s="84">
        <v>1.1176999999999999</v>
      </c>
      <c r="K160" s="84">
        <v>1.1176999999999999</v>
      </c>
      <c r="L160" s="84">
        <v>1.1395999999999999</v>
      </c>
      <c r="O160" s="94" t="s">
        <v>1170</v>
      </c>
      <c r="P160" s="94" t="s">
        <v>107</v>
      </c>
      <c r="U160" s="91">
        <v>110.76</v>
      </c>
      <c r="X160" s="91">
        <v>117.23</v>
      </c>
      <c r="Y160" s="91">
        <v>117.22</v>
      </c>
      <c r="AB160" t="s">
        <v>1170</v>
      </c>
      <c r="AC160" s="84">
        <v>1.0669999999999999</v>
      </c>
      <c r="AD160" s="84">
        <v>1.0669999999999999</v>
      </c>
      <c r="AE160" s="84">
        <v>1.0669999999999999</v>
      </c>
      <c r="AF160" s="84">
        <v>1.1076000000000001</v>
      </c>
      <c r="AG160" s="84">
        <v>1.1076000000000001</v>
      </c>
      <c r="AH160" s="84">
        <v>1.1176999999999999</v>
      </c>
      <c r="AI160" s="84">
        <v>1.1176999999999999</v>
      </c>
      <c r="AJ160" s="84">
        <v>1.1723000000000001</v>
      </c>
      <c r="AK160" s="84">
        <v>1.1721999999999999</v>
      </c>
      <c r="AL160" s="84">
        <v>1.1395999999999999</v>
      </c>
    </row>
    <row r="161" spans="1:38">
      <c r="A161">
        <v>158</v>
      </c>
      <c r="B161" t="s">
        <v>157</v>
      </c>
      <c r="C161" t="s">
        <v>107</v>
      </c>
      <c r="D161">
        <f t="shared" si="5"/>
        <v>613</v>
      </c>
      <c r="E161" s="84">
        <v>1.0563</v>
      </c>
      <c r="F161" s="84">
        <v>1.0563</v>
      </c>
      <c r="G161" s="84">
        <v>1.0563</v>
      </c>
      <c r="H161" s="84">
        <v>1.0967</v>
      </c>
      <c r="I161" s="84">
        <v>1.0967</v>
      </c>
      <c r="J161" s="84">
        <v>1.0959000000000001</v>
      </c>
      <c r="K161" s="84">
        <v>1.0959000000000001</v>
      </c>
      <c r="L161" s="84">
        <v>1.1176999999999999</v>
      </c>
      <c r="O161" s="94" t="s">
        <v>1171</v>
      </c>
      <c r="P161" s="94" t="s">
        <v>107</v>
      </c>
      <c r="U161" s="91">
        <v>109.67</v>
      </c>
      <c r="X161" s="91">
        <v>116.14</v>
      </c>
      <c r="Y161" s="91">
        <v>115.04</v>
      </c>
      <c r="AB161" t="s">
        <v>1171</v>
      </c>
      <c r="AC161" s="84">
        <v>1.0563</v>
      </c>
      <c r="AD161" s="84">
        <v>1.0563</v>
      </c>
      <c r="AE161" s="84">
        <v>1.0563</v>
      </c>
      <c r="AF161" s="84">
        <v>1.0967</v>
      </c>
      <c r="AG161" s="84">
        <v>1.0967</v>
      </c>
      <c r="AH161" s="84">
        <v>1.0959000000000001</v>
      </c>
      <c r="AI161" s="84">
        <v>1.0959000000000001</v>
      </c>
      <c r="AJ161" s="84">
        <v>1.1614</v>
      </c>
      <c r="AK161" s="84">
        <v>1.1504000000000001</v>
      </c>
      <c r="AL161" s="84">
        <v>1.1176999999999999</v>
      </c>
    </row>
    <row r="162" spans="1:38">
      <c r="A162">
        <v>159</v>
      </c>
      <c r="B162" t="s">
        <v>158</v>
      </c>
      <c r="C162" t="s">
        <v>107</v>
      </c>
      <c r="D162">
        <f t="shared" si="5"/>
        <v>614</v>
      </c>
      <c r="E162" s="84">
        <v>1.0563</v>
      </c>
      <c r="F162" s="84">
        <v>1.0563</v>
      </c>
      <c r="G162" s="84">
        <v>1.0563</v>
      </c>
      <c r="H162" s="84">
        <v>1.0967</v>
      </c>
      <c r="I162" s="84">
        <v>1.0967</v>
      </c>
      <c r="J162" s="84">
        <v>1.1068</v>
      </c>
      <c r="K162" s="84">
        <v>1.1068</v>
      </c>
      <c r="L162" s="84">
        <v>1.1287</v>
      </c>
      <c r="O162" s="94" t="s">
        <v>1172</v>
      </c>
      <c r="P162" s="94" t="s">
        <v>107</v>
      </c>
      <c r="U162" s="91">
        <v>109.67</v>
      </c>
      <c r="X162" s="91">
        <v>116.14</v>
      </c>
      <c r="Y162" s="91">
        <v>116.13</v>
      </c>
      <c r="AB162" t="s">
        <v>1172</v>
      </c>
      <c r="AC162" s="84">
        <v>1.0563</v>
      </c>
      <c r="AD162" s="84">
        <v>1.0563</v>
      </c>
      <c r="AE162" s="84">
        <v>1.0563</v>
      </c>
      <c r="AF162" s="84">
        <v>1.0967</v>
      </c>
      <c r="AG162" s="84">
        <v>1.0967</v>
      </c>
      <c r="AH162" s="84">
        <v>1.1068</v>
      </c>
      <c r="AI162" s="84">
        <v>1.1068</v>
      </c>
      <c r="AJ162" s="84">
        <v>1.1614</v>
      </c>
      <c r="AK162" s="84">
        <v>1.1613</v>
      </c>
      <c r="AL162" s="84">
        <v>1.1287</v>
      </c>
    </row>
    <row r="163" spans="1:38">
      <c r="A163">
        <v>160</v>
      </c>
      <c r="B163" t="s">
        <v>160</v>
      </c>
      <c r="C163" t="s">
        <v>107</v>
      </c>
      <c r="D163">
        <f t="shared" si="5"/>
        <v>615</v>
      </c>
      <c r="E163" s="84">
        <v>1</v>
      </c>
      <c r="F163" s="84">
        <v>1</v>
      </c>
      <c r="G163" s="84">
        <v>1</v>
      </c>
      <c r="H163" s="84">
        <v>1.0393000000000001</v>
      </c>
      <c r="I163" s="84">
        <v>1.0393000000000001</v>
      </c>
      <c r="J163" s="84">
        <v>1.0487</v>
      </c>
      <c r="K163" s="84">
        <v>1.0487</v>
      </c>
      <c r="L163" s="84">
        <v>1.0690999999999999</v>
      </c>
      <c r="O163" s="94" t="s">
        <v>1173</v>
      </c>
      <c r="P163" s="94" t="s">
        <v>107</v>
      </c>
      <c r="U163" s="91">
        <v>103.93</v>
      </c>
      <c r="X163" s="91">
        <v>109.97</v>
      </c>
      <c r="Y163" s="91">
        <v>109.96</v>
      </c>
      <c r="AB163" t="s">
        <v>1173</v>
      </c>
      <c r="AC163" s="84">
        <v>1</v>
      </c>
      <c r="AD163" s="84">
        <v>1</v>
      </c>
      <c r="AE163" s="84">
        <v>1</v>
      </c>
      <c r="AF163" s="84">
        <v>1.0393000000000001</v>
      </c>
      <c r="AG163" s="84">
        <v>1.0393000000000001</v>
      </c>
      <c r="AH163" s="84">
        <v>1.0487</v>
      </c>
      <c r="AI163" s="84">
        <v>1.0487</v>
      </c>
      <c r="AJ163" s="84">
        <v>1.0996999999999999</v>
      </c>
      <c r="AK163" s="84">
        <v>1.0995999999999999</v>
      </c>
      <c r="AL163" s="84">
        <v>1.0690999999999999</v>
      </c>
    </row>
    <row r="164" spans="1:38">
      <c r="A164">
        <v>161</v>
      </c>
      <c r="B164" t="s">
        <v>161</v>
      </c>
      <c r="C164" t="s">
        <v>107</v>
      </c>
      <c r="D164">
        <f t="shared" si="5"/>
        <v>616</v>
      </c>
      <c r="E164" s="84">
        <v>0.93</v>
      </c>
      <c r="F164" s="84">
        <v>0.96</v>
      </c>
      <c r="G164" s="84">
        <v>0.99</v>
      </c>
      <c r="H164" s="84">
        <v>1.0392000000000001</v>
      </c>
      <c r="I164" s="84">
        <v>1.0392000000000001</v>
      </c>
      <c r="J164" s="84">
        <v>1.0487</v>
      </c>
      <c r="K164" s="84">
        <v>1.0487</v>
      </c>
      <c r="L164" s="84">
        <v>1.0893999999999999</v>
      </c>
      <c r="O164" s="94" t="s">
        <v>734</v>
      </c>
      <c r="P164" s="94" t="s">
        <v>107</v>
      </c>
      <c r="U164" s="91">
        <v>103.93</v>
      </c>
      <c r="X164" s="91">
        <v>112</v>
      </c>
      <c r="Y164" s="91">
        <v>112</v>
      </c>
      <c r="AB164" t="s">
        <v>734</v>
      </c>
      <c r="AC164" s="84">
        <v>0.93</v>
      </c>
      <c r="AD164" s="84">
        <v>0.96</v>
      </c>
      <c r="AE164" s="84">
        <v>0.99</v>
      </c>
      <c r="AF164" s="84">
        <v>1.0392000000000001</v>
      </c>
      <c r="AG164" s="84">
        <v>1.0393000000000001</v>
      </c>
      <c r="AH164" s="84">
        <v>1.0487</v>
      </c>
      <c r="AI164" s="84">
        <v>1.0487</v>
      </c>
      <c r="AJ164" s="84">
        <v>1.1200000000000001</v>
      </c>
      <c r="AK164" s="84">
        <v>1.1200000000000001</v>
      </c>
      <c r="AL164" s="84">
        <v>1.0893999999999999</v>
      </c>
    </row>
    <row r="165" spans="1:38">
      <c r="A165">
        <v>162</v>
      </c>
      <c r="B165" t="s">
        <v>163</v>
      </c>
      <c r="C165" t="s">
        <v>107</v>
      </c>
      <c r="D165">
        <f t="shared" si="5"/>
        <v>617</v>
      </c>
      <c r="E165" s="84">
        <v>1.0055000000000001</v>
      </c>
      <c r="F165" s="84">
        <v>1.0369999999999999</v>
      </c>
      <c r="G165" s="84">
        <v>1.0580000000000001</v>
      </c>
      <c r="H165" s="84">
        <v>1.1196999999999999</v>
      </c>
      <c r="I165" s="84">
        <v>1.1196999999999999</v>
      </c>
      <c r="J165" s="84">
        <v>1.1296999999999999</v>
      </c>
      <c r="K165" s="84">
        <v>1.1296999999999999</v>
      </c>
      <c r="L165" s="84">
        <v>1.1725000000000001</v>
      </c>
      <c r="O165" s="94" t="s">
        <v>1174</v>
      </c>
      <c r="P165" s="94" t="s">
        <v>107</v>
      </c>
      <c r="U165" s="91">
        <v>111.98</v>
      </c>
      <c r="X165" s="91">
        <v>119.39</v>
      </c>
      <c r="Y165" s="91">
        <v>119.39</v>
      </c>
      <c r="AB165" t="s">
        <v>1174</v>
      </c>
      <c r="AC165" s="84">
        <v>1.0055000000000001</v>
      </c>
      <c r="AD165" s="84">
        <v>1.0369999999999999</v>
      </c>
      <c r="AE165" s="84">
        <v>1.0580000000000001</v>
      </c>
      <c r="AF165" s="84">
        <v>1.1196999999999999</v>
      </c>
      <c r="AG165" s="84">
        <v>1.1198000000000001</v>
      </c>
      <c r="AH165" s="84">
        <v>1.1296999999999999</v>
      </c>
      <c r="AI165" s="84">
        <v>1.1296999999999999</v>
      </c>
      <c r="AJ165" s="84">
        <v>1.1939</v>
      </c>
      <c r="AK165" s="84">
        <v>1.1939</v>
      </c>
      <c r="AL165" s="84">
        <v>1.1725000000000001</v>
      </c>
    </row>
    <row r="166" spans="1:38">
      <c r="A166">
        <v>163</v>
      </c>
      <c r="B166" t="s">
        <v>164</v>
      </c>
      <c r="C166" t="s">
        <v>107</v>
      </c>
      <c r="D166">
        <f t="shared" si="5"/>
        <v>618</v>
      </c>
      <c r="E166" s="84">
        <v>0.9215000000000001</v>
      </c>
      <c r="F166" s="84">
        <v>0.95299999999999996</v>
      </c>
      <c r="G166" s="84">
        <v>0.98450000000000004</v>
      </c>
      <c r="H166" s="84">
        <v>1.0341</v>
      </c>
      <c r="I166" s="84">
        <v>1.0341</v>
      </c>
      <c r="J166" s="84">
        <v>1.0441</v>
      </c>
      <c r="K166" s="84">
        <v>1.0441</v>
      </c>
      <c r="L166" s="84">
        <v>1.0869</v>
      </c>
      <c r="O166" s="94" t="s">
        <v>1175</v>
      </c>
      <c r="P166" s="94" t="s">
        <v>107</v>
      </c>
      <c r="U166" s="91">
        <v>103.42</v>
      </c>
      <c r="X166" s="91">
        <v>110.82</v>
      </c>
      <c r="Y166" s="91">
        <v>110.83</v>
      </c>
      <c r="AB166" t="s">
        <v>1175</v>
      </c>
      <c r="AC166" s="84">
        <v>0.9215000000000001</v>
      </c>
      <c r="AD166" s="84">
        <v>0.95299999999999996</v>
      </c>
      <c r="AE166" s="84">
        <v>0.98450000000000004</v>
      </c>
      <c r="AF166" s="84">
        <v>1.0341</v>
      </c>
      <c r="AG166" s="84">
        <v>1.0342</v>
      </c>
      <c r="AH166" s="84">
        <v>1.0441</v>
      </c>
      <c r="AI166" s="84">
        <v>1.0441</v>
      </c>
      <c r="AJ166" s="84">
        <v>1.1081999999999999</v>
      </c>
      <c r="AK166" s="84">
        <v>1.1083000000000001</v>
      </c>
      <c r="AL166" s="84">
        <v>1.0869</v>
      </c>
    </row>
    <row r="167" spans="1:38">
      <c r="A167">
        <v>164</v>
      </c>
      <c r="B167" t="s">
        <v>166</v>
      </c>
      <c r="C167" t="s">
        <v>107</v>
      </c>
      <c r="D167">
        <f t="shared" si="5"/>
        <v>619</v>
      </c>
      <c r="E167" s="84">
        <v>0.89829999999999999</v>
      </c>
      <c r="F167" s="84">
        <v>0.89829999999999999</v>
      </c>
      <c r="G167" s="84">
        <v>0.95129999999999992</v>
      </c>
      <c r="H167" s="84">
        <v>0.98950000000000005</v>
      </c>
      <c r="I167" s="84">
        <v>0.98950000000000005</v>
      </c>
      <c r="J167" s="84">
        <v>0.97799999999999998</v>
      </c>
      <c r="K167" s="84">
        <v>0.97809999999999997</v>
      </c>
      <c r="L167" s="84">
        <v>1.0212999999999999</v>
      </c>
      <c r="O167" s="94" t="s">
        <v>1176</v>
      </c>
      <c r="P167" s="94" t="s">
        <v>107</v>
      </c>
      <c r="U167" s="91">
        <v>98.96</v>
      </c>
      <c r="X167" s="91">
        <v>104.29</v>
      </c>
      <c r="Y167" s="91">
        <v>104.29</v>
      </c>
      <c r="AB167" t="s">
        <v>1176</v>
      </c>
      <c r="AC167" s="84">
        <v>0.89829999999999999</v>
      </c>
      <c r="AD167" s="84">
        <v>0.89829999999999999</v>
      </c>
      <c r="AE167" s="84">
        <v>0.95129999999999992</v>
      </c>
      <c r="AF167" s="84">
        <v>0.98950000000000005</v>
      </c>
      <c r="AG167" s="84">
        <v>0.98959999999999992</v>
      </c>
      <c r="AH167" s="84">
        <v>0.97799999999999998</v>
      </c>
      <c r="AI167" s="84">
        <v>0.97809999999999997</v>
      </c>
      <c r="AJ167" s="84">
        <v>1.0429000000000002</v>
      </c>
      <c r="AK167" s="84">
        <v>1.0429000000000002</v>
      </c>
      <c r="AL167" s="84">
        <v>1.0212999999999999</v>
      </c>
    </row>
    <row r="168" spans="1:38">
      <c r="A168">
        <v>165</v>
      </c>
      <c r="B168" t="s">
        <v>167</v>
      </c>
      <c r="C168" t="s">
        <v>107</v>
      </c>
      <c r="D168">
        <f t="shared" si="5"/>
        <v>620</v>
      </c>
      <c r="E168" s="84">
        <v>0.90379999999999994</v>
      </c>
      <c r="F168" s="84">
        <v>0.90379999999999994</v>
      </c>
      <c r="G168" s="84">
        <v>0.95790000000000008</v>
      </c>
      <c r="H168" s="84">
        <v>0.99620000000000009</v>
      </c>
      <c r="I168" s="84">
        <v>0.99620000000000009</v>
      </c>
      <c r="J168" s="84">
        <v>0.98450000000000004</v>
      </c>
      <c r="K168" s="84">
        <v>0.98450000000000004</v>
      </c>
      <c r="L168" s="84">
        <v>0.98450000000000004</v>
      </c>
      <c r="O168" s="94" t="s">
        <v>1177</v>
      </c>
      <c r="P168" s="94" t="s">
        <v>107</v>
      </c>
      <c r="U168" s="91">
        <v>99.63</v>
      </c>
      <c r="X168" s="91">
        <v>101.76</v>
      </c>
      <c r="Y168" s="91">
        <v>101.76</v>
      </c>
      <c r="AB168" t="s">
        <v>1177</v>
      </c>
      <c r="AC168" s="84">
        <v>0.90379999999999994</v>
      </c>
      <c r="AD168" s="84">
        <v>0.90379999999999994</v>
      </c>
      <c r="AE168" s="84">
        <v>0.95790000000000008</v>
      </c>
      <c r="AF168" s="84">
        <v>0.99620000000000009</v>
      </c>
      <c r="AG168" s="84">
        <v>0.99629999999999996</v>
      </c>
      <c r="AH168" s="84">
        <v>0.98450000000000004</v>
      </c>
      <c r="AI168" s="84">
        <v>0.98450000000000004</v>
      </c>
      <c r="AJ168" s="84">
        <v>1.0176000000000001</v>
      </c>
      <c r="AK168" s="84">
        <v>1.0176000000000001</v>
      </c>
      <c r="AL168" s="84">
        <v>0.98450000000000004</v>
      </c>
    </row>
    <row r="169" spans="1:38">
      <c r="A169">
        <v>166</v>
      </c>
      <c r="B169" t="s">
        <v>169</v>
      </c>
      <c r="C169" t="s">
        <v>107</v>
      </c>
      <c r="D169">
        <f t="shared" si="5"/>
        <v>621</v>
      </c>
      <c r="E169" s="84">
        <v>0.94669999999999999</v>
      </c>
      <c r="F169" s="84">
        <v>0.94669999999999999</v>
      </c>
      <c r="G169" s="84">
        <v>1.0007999999999999</v>
      </c>
      <c r="H169" s="84">
        <v>1.04</v>
      </c>
      <c r="I169" s="84">
        <v>1.04</v>
      </c>
      <c r="J169" s="84">
        <v>1.0282</v>
      </c>
      <c r="K169" s="84">
        <v>1.0282</v>
      </c>
      <c r="L169" s="84">
        <v>1.0283</v>
      </c>
      <c r="O169" s="94" t="s">
        <v>1178</v>
      </c>
      <c r="P169" s="94" t="s">
        <v>107</v>
      </c>
      <c r="U169" s="91">
        <v>104.01</v>
      </c>
      <c r="X169" s="91">
        <v>105.02</v>
      </c>
      <c r="Y169" s="91">
        <v>105.03</v>
      </c>
      <c r="AB169" t="s">
        <v>1178</v>
      </c>
      <c r="AC169" s="84">
        <v>0.94669999999999999</v>
      </c>
      <c r="AD169" s="84">
        <v>0.94669999999999999</v>
      </c>
      <c r="AE169" s="84">
        <v>1.0007999999999999</v>
      </c>
      <c r="AF169" s="84">
        <v>1.04</v>
      </c>
      <c r="AG169" s="84">
        <v>1.0401</v>
      </c>
      <c r="AH169" s="84">
        <v>1.0282</v>
      </c>
      <c r="AI169" s="84">
        <v>1.0282</v>
      </c>
      <c r="AJ169" s="84">
        <v>1.0502</v>
      </c>
      <c r="AK169" s="84">
        <v>1.0503</v>
      </c>
      <c r="AL169" s="84">
        <v>1.0283</v>
      </c>
    </row>
    <row r="170" spans="1:38">
      <c r="A170">
        <v>167</v>
      </c>
      <c r="B170" t="s">
        <v>170</v>
      </c>
      <c r="C170" t="s">
        <v>107</v>
      </c>
      <c r="D170">
        <f t="shared" si="5"/>
        <v>622</v>
      </c>
      <c r="E170" s="84">
        <v>0.995</v>
      </c>
      <c r="F170" s="84">
        <v>1.016</v>
      </c>
      <c r="G170" s="84">
        <v>1.0895000000000001</v>
      </c>
      <c r="H170" s="84">
        <v>1.1518999999999999</v>
      </c>
      <c r="I170" s="84">
        <v>1.1518999999999999</v>
      </c>
      <c r="J170" s="84">
        <v>1.1404000000000001</v>
      </c>
      <c r="K170" s="84">
        <v>1.1404000000000001</v>
      </c>
      <c r="L170" s="84">
        <v>1.226</v>
      </c>
      <c r="O170" s="94" t="s">
        <v>735</v>
      </c>
      <c r="P170" s="94" t="s">
        <v>107</v>
      </c>
      <c r="U170" s="91">
        <v>115.19</v>
      </c>
      <c r="X170" s="91">
        <v>120.46</v>
      </c>
      <c r="Y170" s="91">
        <v>125.81</v>
      </c>
      <c r="AB170" t="s">
        <v>735</v>
      </c>
      <c r="AC170" s="84">
        <v>0.995</v>
      </c>
      <c r="AD170" s="84">
        <v>1.016</v>
      </c>
      <c r="AE170" s="84">
        <v>1.0895000000000001</v>
      </c>
      <c r="AF170" s="84">
        <v>1.1518999999999999</v>
      </c>
      <c r="AG170" s="84">
        <v>1.1518999999999999</v>
      </c>
      <c r="AH170" s="84">
        <v>1.1404000000000001</v>
      </c>
      <c r="AI170" s="84">
        <v>1.1404000000000001</v>
      </c>
      <c r="AJ170" s="84">
        <v>1.2045999999999999</v>
      </c>
      <c r="AK170" s="84">
        <v>1.2581</v>
      </c>
      <c r="AL170" s="84">
        <v>1.226</v>
      </c>
    </row>
    <row r="171" spans="1:38">
      <c r="A171">
        <v>168</v>
      </c>
      <c r="B171" t="s">
        <v>172</v>
      </c>
      <c r="C171" t="s">
        <v>107</v>
      </c>
      <c r="D171">
        <f t="shared" si="5"/>
        <v>623</v>
      </c>
      <c r="E171" s="84">
        <v>0.88890000000000002</v>
      </c>
      <c r="F171" s="84">
        <v>0.91</v>
      </c>
      <c r="G171" s="84">
        <v>0.9839</v>
      </c>
      <c r="H171" s="84">
        <v>1.0336000000000001</v>
      </c>
      <c r="I171" s="84">
        <v>1.0336000000000001</v>
      </c>
      <c r="J171" s="84">
        <v>1.0221</v>
      </c>
      <c r="K171" s="84">
        <v>1.022</v>
      </c>
      <c r="L171" s="84">
        <v>1.1081000000000001</v>
      </c>
      <c r="O171" s="94" t="s">
        <v>1179</v>
      </c>
      <c r="P171" s="94" t="s">
        <v>107</v>
      </c>
      <c r="U171" s="91">
        <v>103.36</v>
      </c>
      <c r="X171" s="91">
        <v>108.65</v>
      </c>
      <c r="Y171" s="91">
        <v>112.96</v>
      </c>
      <c r="AB171" t="s">
        <v>1179</v>
      </c>
      <c r="AC171" s="84">
        <v>0.88890000000000002</v>
      </c>
      <c r="AD171" s="84">
        <v>0.91</v>
      </c>
      <c r="AE171" s="84">
        <v>0.9839</v>
      </c>
      <c r="AF171" s="84">
        <v>1.0336000000000001</v>
      </c>
      <c r="AG171" s="84">
        <v>1.0336000000000001</v>
      </c>
      <c r="AH171" s="84">
        <v>1.0221</v>
      </c>
      <c r="AI171" s="84">
        <v>1.022</v>
      </c>
      <c r="AJ171" s="84">
        <v>1.0865</v>
      </c>
      <c r="AK171" s="84">
        <v>1.1295999999999999</v>
      </c>
      <c r="AL171" s="84">
        <v>1.1081000000000001</v>
      </c>
    </row>
    <row r="172" spans="1:38">
      <c r="A172">
        <v>169</v>
      </c>
      <c r="B172" t="s">
        <v>173</v>
      </c>
      <c r="C172" t="s">
        <v>107</v>
      </c>
      <c r="D172">
        <f t="shared" si="5"/>
        <v>624</v>
      </c>
      <c r="E172" s="84">
        <v>0.96445599999999987</v>
      </c>
      <c r="F172" s="84">
        <v>0.98640000000000005</v>
      </c>
      <c r="G172" s="84">
        <v>1.0632559999999998</v>
      </c>
      <c r="H172" s="84">
        <v>1.1149440000000002</v>
      </c>
      <c r="I172" s="84">
        <v>1.1149440000000002</v>
      </c>
      <c r="J172" s="84">
        <v>1.102984</v>
      </c>
      <c r="K172" s="84">
        <v>1.1028799999999999</v>
      </c>
      <c r="L172" s="84">
        <v>1.1924239999999999</v>
      </c>
      <c r="O172" s="94" t="s">
        <v>1180</v>
      </c>
      <c r="P172" s="94" t="s">
        <v>107</v>
      </c>
      <c r="U172" s="91">
        <v>111.49440000000001</v>
      </c>
      <c r="X172" s="91">
        <v>116.99600000000001</v>
      </c>
      <c r="Y172" s="91">
        <v>121.47839999999999</v>
      </c>
      <c r="AB172" t="s">
        <v>1180</v>
      </c>
      <c r="AC172" s="84">
        <v>0.96445599999999987</v>
      </c>
      <c r="AD172" s="84">
        <v>0.98640000000000005</v>
      </c>
      <c r="AE172" s="84">
        <v>1.0632559999999998</v>
      </c>
      <c r="AF172" s="84">
        <v>1.1149440000000002</v>
      </c>
      <c r="AG172" s="84">
        <v>1.1149440000000002</v>
      </c>
      <c r="AH172" s="84">
        <v>1.102984</v>
      </c>
      <c r="AI172" s="84">
        <v>1.1028799999999999</v>
      </c>
      <c r="AJ172" s="84">
        <v>1.1699600000000001</v>
      </c>
      <c r="AK172" s="84">
        <v>1.2147839999999999</v>
      </c>
      <c r="AL172" s="84">
        <v>1.1924239999999999</v>
      </c>
    </row>
    <row r="173" spans="1:38">
      <c r="A173">
        <v>170</v>
      </c>
      <c r="B173" t="s">
        <v>175</v>
      </c>
      <c r="C173" t="s">
        <v>107</v>
      </c>
      <c r="D173">
        <f t="shared" si="5"/>
        <v>625</v>
      </c>
      <c r="E173" s="84">
        <v>1.0400120000000002</v>
      </c>
      <c r="F173" s="84">
        <v>1.0628</v>
      </c>
      <c r="G173" s="84">
        <v>1.142612</v>
      </c>
      <c r="H173" s="84">
        <v>1.1962880000000005</v>
      </c>
      <c r="I173" s="84">
        <v>1.1962880000000005</v>
      </c>
      <c r="J173" s="84">
        <v>1.1838679999999999</v>
      </c>
      <c r="K173" s="84">
        <v>1.1837600000000001</v>
      </c>
      <c r="L173" s="84">
        <v>1.276748</v>
      </c>
      <c r="O173" s="94" t="s">
        <v>1180</v>
      </c>
      <c r="P173" s="94" t="s">
        <v>107</v>
      </c>
      <c r="U173" s="91">
        <v>119.62880000000004</v>
      </c>
      <c r="X173" s="91">
        <v>125.34200000000001</v>
      </c>
      <c r="Y173" s="91">
        <v>129.99679999999998</v>
      </c>
      <c r="AB173" t="s">
        <v>1180</v>
      </c>
      <c r="AC173" s="84">
        <v>1.0400120000000002</v>
      </c>
      <c r="AD173" s="84">
        <v>1.0628</v>
      </c>
      <c r="AE173" s="84">
        <v>1.142612</v>
      </c>
      <c r="AF173" s="84">
        <v>1.1962880000000005</v>
      </c>
      <c r="AG173" s="84">
        <v>1.1962880000000005</v>
      </c>
      <c r="AH173" s="84">
        <v>1.1838679999999999</v>
      </c>
      <c r="AI173" s="84">
        <v>1.1837600000000001</v>
      </c>
      <c r="AJ173" s="84">
        <v>1.2534200000000002</v>
      </c>
      <c r="AK173" s="84">
        <v>1.2999679999999998</v>
      </c>
      <c r="AL173" s="84">
        <v>1.276748</v>
      </c>
    </row>
    <row r="174" spans="1:38">
      <c r="A174">
        <v>171</v>
      </c>
      <c r="B174" t="s">
        <v>176</v>
      </c>
      <c r="C174" t="s">
        <v>107</v>
      </c>
      <c r="D174">
        <f t="shared" si="5"/>
        <v>626</v>
      </c>
      <c r="E174" s="84">
        <v>1.1313</v>
      </c>
      <c r="F174" s="84">
        <v>1.17666</v>
      </c>
      <c r="G174" s="84">
        <v>1.25604</v>
      </c>
      <c r="H174" s="84">
        <v>1.3249440000000001</v>
      </c>
      <c r="I174" s="84">
        <v>1.3249440000000001</v>
      </c>
      <c r="J174" s="84">
        <v>1.3587480000000003</v>
      </c>
      <c r="K174" s="84">
        <v>1.3471919999999999</v>
      </c>
      <c r="L174" s="84">
        <v>1.3818600000000001</v>
      </c>
      <c r="O174" s="94" t="s">
        <v>1128</v>
      </c>
      <c r="P174" s="94" t="s">
        <v>107</v>
      </c>
      <c r="U174" s="91">
        <v>131.33880000000002</v>
      </c>
      <c r="X174" s="91">
        <v>139.34160000000003</v>
      </c>
      <c r="Y174" s="91">
        <v>138.18600000000001</v>
      </c>
      <c r="AB174" t="s">
        <v>1128</v>
      </c>
      <c r="AC174" s="84">
        <v>1.1313</v>
      </c>
      <c r="AD174" s="84">
        <v>1.17666</v>
      </c>
      <c r="AE174" s="84">
        <v>1.25604</v>
      </c>
      <c r="AF174" s="84">
        <v>1.3249440000000001</v>
      </c>
      <c r="AG174" s="84">
        <v>1.3133880000000002</v>
      </c>
      <c r="AH174" s="84">
        <v>1.3587480000000003</v>
      </c>
      <c r="AI174" s="84">
        <v>1.3471919999999999</v>
      </c>
      <c r="AJ174" s="84">
        <v>1.3934160000000002</v>
      </c>
      <c r="AK174" s="84">
        <v>1.3818600000000001</v>
      </c>
      <c r="AL174" s="84">
        <v>1.3818600000000001</v>
      </c>
    </row>
    <row r="175" spans="1:38">
      <c r="A175">
        <v>172</v>
      </c>
      <c r="B175" t="s">
        <v>178</v>
      </c>
      <c r="C175" t="s">
        <v>107</v>
      </c>
      <c r="D175">
        <f t="shared" si="5"/>
        <v>627</v>
      </c>
      <c r="E175" s="84">
        <v>1.0452870000000001</v>
      </c>
      <c r="F175" s="84">
        <v>1.0803630000000002</v>
      </c>
      <c r="G175" s="84">
        <v>1.1623920000000001</v>
      </c>
      <c r="H175" s="84">
        <v>1.2307680000000001</v>
      </c>
      <c r="I175" s="84">
        <v>1.2307680000000001</v>
      </c>
      <c r="J175" s="84">
        <v>1.2658440000000002</v>
      </c>
      <c r="K175" s="84">
        <v>1.2537450000000001</v>
      </c>
      <c r="L175" s="84">
        <v>1.289709</v>
      </c>
      <c r="O175" s="94" t="s">
        <v>1181</v>
      </c>
      <c r="P175" s="94" t="s">
        <v>107</v>
      </c>
      <c r="U175" s="91">
        <v>121.88910000000001</v>
      </c>
      <c r="X175" s="91">
        <v>130.15860000000001</v>
      </c>
      <c r="Y175" s="91">
        <v>128.9709</v>
      </c>
      <c r="AB175" t="s">
        <v>1181</v>
      </c>
      <c r="AC175" s="84">
        <v>1.0452870000000001</v>
      </c>
      <c r="AD175" s="84">
        <v>1.0803630000000002</v>
      </c>
      <c r="AE175" s="84">
        <v>1.1623920000000001</v>
      </c>
      <c r="AF175" s="84">
        <v>1.2307680000000001</v>
      </c>
      <c r="AG175" s="84">
        <v>1.2188910000000002</v>
      </c>
      <c r="AH175" s="84">
        <v>1.2658440000000002</v>
      </c>
      <c r="AI175" s="84">
        <v>1.2537450000000001</v>
      </c>
      <c r="AJ175" s="84">
        <v>1.3015860000000001</v>
      </c>
      <c r="AK175" s="84">
        <v>1.289709</v>
      </c>
      <c r="AL175" s="84">
        <v>1.289709</v>
      </c>
    </row>
    <row r="176" spans="1:38">
      <c r="A176">
        <v>173</v>
      </c>
      <c r="B176" t="s">
        <v>179</v>
      </c>
      <c r="C176" t="s">
        <v>107</v>
      </c>
      <c r="D176">
        <f t="shared" si="5"/>
        <v>628</v>
      </c>
      <c r="E176" s="84">
        <v>0.94169999999999998</v>
      </c>
      <c r="F176" s="84">
        <v>0.97329999999999994</v>
      </c>
      <c r="G176" s="84">
        <v>1.0471999999999999</v>
      </c>
      <c r="H176" s="84">
        <v>1.1088</v>
      </c>
      <c r="I176" s="84">
        <v>1.1088</v>
      </c>
      <c r="J176" s="84">
        <v>1.1404000000000001</v>
      </c>
      <c r="K176" s="84">
        <v>1.1294999999999999</v>
      </c>
      <c r="L176" s="84">
        <v>1.1618999999999999</v>
      </c>
      <c r="O176" s="94" t="s">
        <v>1182</v>
      </c>
      <c r="P176" s="94" t="s">
        <v>107</v>
      </c>
      <c r="U176" s="91">
        <v>109.81</v>
      </c>
      <c r="X176" s="91">
        <v>117.26</v>
      </c>
      <c r="Y176" s="91">
        <v>116.19</v>
      </c>
      <c r="AB176" t="s">
        <v>1182</v>
      </c>
      <c r="AC176" s="84">
        <v>0.94169999999999998</v>
      </c>
      <c r="AD176" s="84">
        <v>0.97329999999999994</v>
      </c>
      <c r="AE176" s="84">
        <v>1.0471999999999999</v>
      </c>
      <c r="AF176" s="84">
        <v>1.1088</v>
      </c>
      <c r="AG176" s="84">
        <v>1.0981000000000001</v>
      </c>
      <c r="AH176" s="84">
        <v>1.1404000000000001</v>
      </c>
      <c r="AI176" s="84">
        <v>1.1294999999999999</v>
      </c>
      <c r="AJ176" s="84">
        <v>1.1726000000000001</v>
      </c>
      <c r="AK176" s="84">
        <v>1.1618999999999999</v>
      </c>
      <c r="AL176" s="84">
        <v>1.1618999999999999</v>
      </c>
    </row>
    <row r="177" spans="1:38">
      <c r="A177">
        <v>174</v>
      </c>
      <c r="B177" t="s">
        <v>138</v>
      </c>
      <c r="C177" t="s">
        <v>108</v>
      </c>
      <c r="D177">
        <v>700</v>
      </c>
      <c r="E177" s="84">
        <v>0.17</v>
      </c>
      <c r="F177" s="84">
        <v>0.17</v>
      </c>
      <c r="G177" s="84">
        <v>0.17</v>
      </c>
      <c r="H177" s="84">
        <v>0.17</v>
      </c>
      <c r="I177" s="84">
        <v>0.17</v>
      </c>
      <c r="J177" s="84">
        <v>0.18</v>
      </c>
      <c r="K177" s="84">
        <v>0.18</v>
      </c>
      <c r="L177" s="84">
        <v>0.27</v>
      </c>
      <c r="O177" s="94" t="s">
        <v>138</v>
      </c>
      <c r="P177" s="94" t="s">
        <v>108</v>
      </c>
      <c r="U177" s="91">
        <v>17</v>
      </c>
      <c r="X177" s="91">
        <v>18</v>
      </c>
      <c r="Y177" s="91">
        <v>17</v>
      </c>
      <c r="AB177" t="s">
        <v>138</v>
      </c>
      <c r="AC177" s="84">
        <v>0.17</v>
      </c>
      <c r="AD177" s="84">
        <v>0.17</v>
      </c>
      <c r="AE177" s="84">
        <v>0.17</v>
      </c>
      <c r="AF177" s="84">
        <v>0.17</v>
      </c>
      <c r="AG177" s="84">
        <v>0.17</v>
      </c>
      <c r="AH177" s="84">
        <v>0.18</v>
      </c>
      <c r="AI177" s="84">
        <v>0.18</v>
      </c>
      <c r="AJ177" s="84">
        <v>0.18</v>
      </c>
      <c r="AK177" s="84">
        <v>0.17</v>
      </c>
      <c r="AL177" s="84">
        <v>0.27</v>
      </c>
    </row>
    <row r="178" spans="1:38">
      <c r="A178">
        <v>175</v>
      </c>
      <c r="B178" t="s">
        <v>139</v>
      </c>
      <c r="C178" t="s">
        <v>108</v>
      </c>
      <c r="D178">
        <f>+D177+1</f>
        <v>701</v>
      </c>
      <c r="E178" s="84">
        <v>0.21</v>
      </c>
      <c r="F178" s="84">
        <v>0.21</v>
      </c>
      <c r="G178" s="84">
        <v>0.21</v>
      </c>
      <c r="H178" s="84">
        <v>0.21</v>
      </c>
      <c r="I178" s="84">
        <v>0.21</v>
      </c>
      <c r="J178" s="84">
        <v>0.22</v>
      </c>
      <c r="K178" s="84">
        <v>0.22</v>
      </c>
      <c r="L178" s="84">
        <v>0.32</v>
      </c>
      <c r="O178" s="94" t="s">
        <v>139</v>
      </c>
      <c r="P178" s="94" t="s">
        <v>108</v>
      </c>
      <c r="U178" s="91">
        <v>21</v>
      </c>
      <c r="X178" s="91">
        <v>23</v>
      </c>
      <c r="Y178" s="91">
        <v>21</v>
      </c>
      <c r="AB178" t="s">
        <v>139</v>
      </c>
      <c r="AC178" s="84">
        <v>0.21</v>
      </c>
      <c r="AD178" s="84">
        <v>0.21</v>
      </c>
      <c r="AE178" s="84">
        <v>0.21</v>
      </c>
      <c r="AF178" s="84">
        <v>0.21</v>
      </c>
      <c r="AG178" s="84">
        <v>0.21</v>
      </c>
      <c r="AH178" s="84">
        <v>0.22</v>
      </c>
      <c r="AI178" s="84">
        <v>0.22</v>
      </c>
      <c r="AJ178" s="84">
        <v>0.23</v>
      </c>
      <c r="AK178" s="84">
        <v>0.21</v>
      </c>
      <c r="AL178" s="84">
        <v>0.32</v>
      </c>
    </row>
    <row r="179" spans="1:38">
      <c r="A179">
        <v>176</v>
      </c>
      <c r="B179" t="s">
        <v>140</v>
      </c>
      <c r="C179" t="s">
        <v>108</v>
      </c>
      <c r="D179">
        <f t="shared" ref="D179:D205" si="6">+D178+1</f>
        <v>702</v>
      </c>
      <c r="E179" s="84">
        <v>0</v>
      </c>
      <c r="F179" s="84">
        <v>0</v>
      </c>
      <c r="G179" s="84">
        <v>0</v>
      </c>
      <c r="H179" s="84">
        <v>0</v>
      </c>
      <c r="I179" s="84">
        <v>0</v>
      </c>
      <c r="J179" s="84">
        <v>0</v>
      </c>
      <c r="K179" s="84">
        <v>0</v>
      </c>
      <c r="L179" s="84">
        <v>0</v>
      </c>
      <c r="O179" s="94" t="s">
        <v>1164</v>
      </c>
      <c r="P179" s="94" t="s">
        <v>108</v>
      </c>
      <c r="Q179" s="92"/>
      <c r="R179" s="92"/>
      <c r="S179" s="92"/>
      <c r="T179" s="92"/>
      <c r="U179" s="92"/>
      <c r="X179" s="92"/>
      <c r="Y179" s="92"/>
      <c r="AB179" t="s">
        <v>1164</v>
      </c>
      <c r="AC179" s="84">
        <v>0</v>
      </c>
      <c r="AD179" s="84">
        <v>0</v>
      </c>
      <c r="AE179" s="84">
        <v>0</v>
      </c>
      <c r="AF179" s="84">
        <v>0</v>
      </c>
      <c r="AG179" s="84">
        <v>0</v>
      </c>
      <c r="AH179" s="84">
        <v>0</v>
      </c>
      <c r="AI179" s="84">
        <v>0</v>
      </c>
      <c r="AJ179" s="84">
        <v>0</v>
      </c>
      <c r="AK179" s="84">
        <v>0</v>
      </c>
      <c r="AL179" s="84">
        <v>0</v>
      </c>
    </row>
    <row r="180" spans="1:38">
      <c r="A180">
        <v>177</v>
      </c>
      <c r="B180" t="s">
        <v>142</v>
      </c>
      <c r="C180" t="s">
        <v>108</v>
      </c>
      <c r="D180">
        <f t="shared" si="6"/>
        <v>703</v>
      </c>
      <c r="E180" s="84">
        <v>0.43</v>
      </c>
      <c r="F180" s="84">
        <v>0.43</v>
      </c>
      <c r="G180" s="84">
        <v>0.43</v>
      </c>
      <c r="H180" s="84">
        <v>0.49880000000000002</v>
      </c>
      <c r="I180" s="84">
        <v>0.49880000000000002</v>
      </c>
      <c r="J180" s="84">
        <v>0.51859999999999995</v>
      </c>
      <c r="K180" s="84">
        <v>0.51859999999999995</v>
      </c>
      <c r="L180" s="84">
        <v>0.50900000000000001</v>
      </c>
      <c r="O180" s="94" t="s">
        <v>142</v>
      </c>
      <c r="P180" s="94" t="s">
        <v>108</v>
      </c>
      <c r="U180" s="91">
        <v>49.88</v>
      </c>
      <c r="X180" s="91">
        <v>50.96</v>
      </c>
      <c r="Y180" s="91">
        <v>51.97</v>
      </c>
      <c r="AB180" t="s">
        <v>142</v>
      </c>
      <c r="AC180" s="84">
        <v>0.43</v>
      </c>
      <c r="AD180" s="84">
        <v>0.43</v>
      </c>
      <c r="AE180" s="84">
        <v>0.43</v>
      </c>
      <c r="AF180" s="84">
        <v>0.49880000000000002</v>
      </c>
      <c r="AG180" s="84">
        <v>0.49880000000000002</v>
      </c>
      <c r="AH180" s="84">
        <v>0.51859999999999995</v>
      </c>
      <c r="AI180" s="84">
        <v>0.51859999999999995</v>
      </c>
      <c r="AJ180" s="84">
        <v>0.50960000000000005</v>
      </c>
      <c r="AK180" s="84">
        <v>0.51969999999999994</v>
      </c>
      <c r="AL180" s="84">
        <v>0.50900000000000001</v>
      </c>
    </row>
    <row r="181" spans="1:38">
      <c r="A181">
        <v>178</v>
      </c>
      <c r="B181" t="s">
        <v>143</v>
      </c>
      <c r="C181" t="s">
        <v>108</v>
      </c>
      <c r="D181">
        <f t="shared" si="6"/>
        <v>704</v>
      </c>
      <c r="E181" s="84">
        <v>0.61</v>
      </c>
      <c r="F181" s="84">
        <v>0.61</v>
      </c>
      <c r="G181" s="84">
        <v>0.61</v>
      </c>
      <c r="H181" s="84">
        <v>0.6925</v>
      </c>
      <c r="I181" s="84">
        <v>0.6925</v>
      </c>
      <c r="J181" s="84">
        <v>0.71230000000000004</v>
      </c>
      <c r="K181" s="84">
        <v>0.71219999999999994</v>
      </c>
      <c r="L181" s="84">
        <v>0.70269999999999999</v>
      </c>
      <c r="O181" s="94" t="s">
        <v>1165</v>
      </c>
      <c r="P181" s="94" t="s">
        <v>108</v>
      </c>
      <c r="U181" s="91">
        <v>69.25</v>
      </c>
      <c r="X181" s="91">
        <v>69.319999999999993</v>
      </c>
      <c r="Y181" s="91">
        <v>71.349999999999994</v>
      </c>
      <c r="AB181" t="s">
        <v>1165</v>
      </c>
      <c r="AC181" s="84">
        <v>0.61</v>
      </c>
      <c r="AD181" s="84">
        <v>0.61</v>
      </c>
      <c r="AE181" s="84">
        <v>0.61</v>
      </c>
      <c r="AF181" s="84">
        <v>0.6925</v>
      </c>
      <c r="AG181" s="84">
        <v>0.6925</v>
      </c>
      <c r="AH181" s="84">
        <v>0.71230000000000004</v>
      </c>
      <c r="AI181" s="84">
        <v>0.71219999999999994</v>
      </c>
      <c r="AJ181" s="84">
        <v>0.69319999999999993</v>
      </c>
      <c r="AK181" s="84">
        <v>0.71349999999999991</v>
      </c>
      <c r="AL181" s="84">
        <v>0.70269999999999999</v>
      </c>
    </row>
    <row r="182" spans="1:38">
      <c r="A182">
        <v>179</v>
      </c>
      <c r="B182" t="s">
        <v>145</v>
      </c>
      <c r="C182" t="s">
        <v>108</v>
      </c>
      <c r="D182">
        <f t="shared" si="6"/>
        <v>705</v>
      </c>
      <c r="E182" s="84"/>
      <c r="F182" s="84"/>
      <c r="G182" s="84"/>
      <c r="H182" s="84"/>
      <c r="I182" s="84"/>
      <c r="J182" s="84"/>
      <c r="K182" s="84"/>
      <c r="L182" s="84"/>
      <c r="O182" s="94"/>
      <c r="P182" s="94"/>
      <c r="U182" s="91"/>
      <c r="X182" s="91"/>
      <c r="Y182" s="91"/>
      <c r="AC182" s="84"/>
      <c r="AD182" s="84"/>
      <c r="AE182" s="84"/>
      <c r="AF182" s="84"/>
      <c r="AG182" s="84"/>
      <c r="AH182" s="84"/>
      <c r="AI182" s="84"/>
      <c r="AJ182" s="84"/>
      <c r="AK182" s="84"/>
      <c r="AL182" s="84"/>
    </row>
    <row r="183" spans="1:38">
      <c r="A183">
        <v>180</v>
      </c>
      <c r="B183" t="s">
        <v>146</v>
      </c>
      <c r="C183" t="s">
        <v>108</v>
      </c>
      <c r="D183">
        <f t="shared" si="6"/>
        <v>706</v>
      </c>
      <c r="E183" s="84">
        <v>0.7</v>
      </c>
      <c r="F183" s="84">
        <v>0.7</v>
      </c>
      <c r="G183" s="84">
        <v>0.7</v>
      </c>
      <c r="H183" s="84">
        <v>0.73329999999999995</v>
      </c>
      <c r="I183" s="84">
        <v>0.73329999999999995</v>
      </c>
      <c r="J183" s="84">
        <v>0.7631</v>
      </c>
      <c r="K183" s="84">
        <v>0.76319999999999988</v>
      </c>
      <c r="L183" s="84">
        <v>0.74340000000000006</v>
      </c>
      <c r="O183" s="94" t="s">
        <v>1126</v>
      </c>
      <c r="P183" s="94" t="s">
        <v>108</v>
      </c>
      <c r="U183" s="91">
        <v>73.33</v>
      </c>
      <c r="X183" s="91">
        <v>74.41</v>
      </c>
      <c r="Y183" s="91">
        <v>75.430000000000007</v>
      </c>
      <c r="AB183" t="s">
        <v>1126</v>
      </c>
      <c r="AC183" s="84">
        <v>0.7</v>
      </c>
      <c r="AD183" s="84">
        <v>0.7</v>
      </c>
      <c r="AE183" s="84">
        <v>0.7</v>
      </c>
      <c r="AF183" s="84">
        <v>0.73329999999999995</v>
      </c>
      <c r="AG183" s="84">
        <v>0.73329999999999995</v>
      </c>
      <c r="AH183" s="84">
        <v>0.7631</v>
      </c>
      <c r="AI183" s="84">
        <v>0.76319999999999988</v>
      </c>
      <c r="AJ183" s="84">
        <v>0.74409999999999998</v>
      </c>
      <c r="AK183" s="84">
        <v>0.75430000000000008</v>
      </c>
      <c r="AL183" s="84">
        <v>0.74340000000000006</v>
      </c>
    </row>
    <row r="184" spans="1:38">
      <c r="A184">
        <v>181</v>
      </c>
      <c r="B184" t="s">
        <v>148</v>
      </c>
      <c r="C184" t="s">
        <v>108</v>
      </c>
      <c r="D184">
        <f t="shared" si="6"/>
        <v>707</v>
      </c>
      <c r="E184" s="84">
        <v>0.75</v>
      </c>
      <c r="F184" s="84">
        <v>0.75</v>
      </c>
      <c r="G184" s="84">
        <v>0.75</v>
      </c>
      <c r="H184" s="84">
        <v>0.78420000000000001</v>
      </c>
      <c r="I184" s="84">
        <v>0.78420000000000001</v>
      </c>
      <c r="J184" s="84">
        <v>0.81409999999999993</v>
      </c>
      <c r="K184" s="84">
        <v>0.81409999999999993</v>
      </c>
      <c r="L184" s="84">
        <v>0.7944</v>
      </c>
      <c r="O184" s="94" t="s">
        <v>1166</v>
      </c>
      <c r="P184" s="94" t="s">
        <v>108</v>
      </c>
      <c r="U184" s="91">
        <v>78.42</v>
      </c>
      <c r="X184" s="91">
        <v>79.510000000000005</v>
      </c>
      <c r="Y184" s="91">
        <v>80.53</v>
      </c>
      <c r="AB184" t="s">
        <v>1166</v>
      </c>
      <c r="AC184" s="84">
        <v>0.75</v>
      </c>
      <c r="AD184" s="84">
        <v>0.75</v>
      </c>
      <c r="AE184" s="84">
        <v>0.75</v>
      </c>
      <c r="AF184" s="84">
        <v>0.78420000000000001</v>
      </c>
      <c r="AG184" s="84">
        <v>0.78420000000000001</v>
      </c>
      <c r="AH184" s="84">
        <v>0.81409999999999993</v>
      </c>
      <c r="AI184" s="84">
        <v>0.81409999999999993</v>
      </c>
      <c r="AJ184" s="84">
        <v>0.79510000000000003</v>
      </c>
      <c r="AK184" s="84">
        <v>0.80530000000000002</v>
      </c>
      <c r="AL184" s="84">
        <v>0.7944</v>
      </c>
    </row>
    <row r="185" spans="1:38">
      <c r="A185">
        <v>182</v>
      </c>
      <c r="B185" t="s">
        <v>149</v>
      </c>
      <c r="C185" t="s">
        <v>108</v>
      </c>
      <c r="D185">
        <f t="shared" si="6"/>
        <v>708</v>
      </c>
      <c r="E185" s="84">
        <v>0.79</v>
      </c>
      <c r="F185" s="84">
        <v>0.79</v>
      </c>
      <c r="G185" s="84">
        <v>0.79</v>
      </c>
      <c r="H185" s="84">
        <v>0.82499999999999996</v>
      </c>
      <c r="I185" s="84">
        <v>0.82499999999999996</v>
      </c>
      <c r="J185" s="84">
        <v>0.84459999999999991</v>
      </c>
      <c r="K185" s="84">
        <v>0.84470000000000001</v>
      </c>
      <c r="L185" s="84">
        <v>0.82489999999999997</v>
      </c>
      <c r="O185" s="94" t="s">
        <v>1167</v>
      </c>
      <c r="P185" s="94" t="s">
        <v>108</v>
      </c>
      <c r="U185" s="91">
        <v>82.5</v>
      </c>
      <c r="X185" s="91">
        <v>82.57</v>
      </c>
      <c r="Y185" s="91">
        <v>83.59</v>
      </c>
      <c r="AB185" t="s">
        <v>1167</v>
      </c>
      <c r="AC185" s="84">
        <v>0.79</v>
      </c>
      <c r="AD185" s="84">
        <v>0.79</v>
      </c>
      <c r="AE185" s="84">
        <v>0.79</v>
      </c>
      <c r="AF185" s="84">
        <v>0.82499999999999996</v>
      </c>
      <c r="AG185" s="84">
        <v>0.82499999999999996</v>
      </c>
      <c r="AH185" s="84">
        <v>0.84459999999999991</v>
      </c>
      <c r="AI185" s="84">
        <v>0.84470000000000001</v>
      </c>
      <c r="AJ185" s="84">
        <v>0.82569999999999988</v>
      </c>
      <c r="AK185" s="84">
        <v>0.83590000000000009</v>
      </c>
      <c r="AL185" s="84">
        <v>0.82489999999999997</v>
      </c>
    </row>
    <row r="186" spans="1:38">
      <c r="A186">
        <v>183</v>
      </c>
      <c r="B186" t="s">
        <v>151</v>
      </c>
      <c r="C186" t="s">
        <v>108</v>
      </c>
      <c r="D186">
        <f t="shared" si="6"/>
        <v>709</v>
      </c>
      <c r="E186" s="84">
        <v>0.86</v>
      </c>
      <c r="F186" s="84">
        <v>0.86</v>
      </c>
      <c r="G186" s="84">
        <v>0.86</v>
      </c>
      <c r="H186" s="84">
        <v>0.89639999999999997</v>
      </c>
      <c r="I186" s="84">
        <v>0.89639999999999997</v>
      </c>
      <c r="J186" s="84">
        <v>0.91599999999999993</v>
      </c>
      <c r="K186" s="84">
        <v>0.91599999999999993</v>
      </c>
      <c r="L186" s="84">
        <v>0.89629999999999999</v>
      </c>
      <c r="O186" s="94" t="s">
        <v>1168</v>
      </c>
      <c r="P186" s="94" t="s">
        <v>108</v>
      </c>
      <c r="U186" s="91">
        <v>89.64</v>
      </c>
      <c r="X186" s="91">
        <v>89.71</v>
      </c>
      <c r="Y186" s="91">
        <v>90.73</v>
      </c>
      <c r="AB186" t="s">
        <v>1168</v>
      </c>
      <c r="AC186" s="84">
        <v>0.86</v>
      </c>
      <c r="AD186" s="84">
        <v>0.86</v>
      </c>
      <c r="AE186" s="84">
        <v>0.86</v>
      </c>
      <c r="AF186" s="84">
        <v>0.89639999999999997</v>
      </c>
      <c r="AG186" s="84">
        <v>0.89639999999999997</v>
      </c>
      <c r="AH186" s="84">
        <v>0.91599999999999993</v>
      </c>
      <c r="AI186" s="84">
        <v>0.91599999999999993</v>
      </c>
      <c r="AJ186" s="84">
        <v>0.8970999999999999</v>
      </c>
      <c r="AK186" s="84">
        <v>0.9073</v>
      </c>
      <c r="AL186" s="84">
        <v>0.89629999999999999</v>
      </c>
    </row>
    <row r="187" spans="1:38">
      <c r="A187">
        <v>184</v>
      </c>
      <c r="B187" t="s">
        <v>152</v>
      </c>
      <c r="C187" t="s">
        <v>108</v>
      </c>
      <c r="D187">
        <f t="shared" si="6"/>
        <v>710</v>
      </c>
      <c r="E187" s="84">
        <v>0.86</v>
      </c>
      <c r="F187" s="84">
        <v>0.86</v>
      </c>
      <c r="G187" s="84">
        <v>0.86</v>
      </c>
      <c r="H187" s="84">
        <v>0.89639999999999997</v>
      </c>
      <c r="I187" s="84">
        <v>0.89639999999999997</v>
      </c>
      <c r="J187" s="84">
        <v>0.91599999999999993</v>
      </c>
      <c r="K187" s="84">
        <v>0.91599999999999993</v>
      </c>
      <c r="L187" s="84">
        <v>0.89629999999999999</v>
      </c>
      <c r="O187" s="94" t="s">
        <v>1169</v>
      </c>
      <c r="P187" s="94" t="s">
        <v>108</v>
      </c>
      <c r="U187" s="91">
        <v>89.64</v>
      </c>
      <c r="X187" s="91">
        <v>89.71</v>
      </c>
      <c r="Y187" s="91">
        <v>90.73</v>
      </c>
      <c r="AB187" t="s">
        <v>1169</v>
      </c>
      <c r="AC187" s="84">
        <v>0.86</v>
      </c>
      <c r="AD187" s="84">
        <v>0.86</v>
      </c>
      <c r="AE187" s="84">
        <v>0.86</v>
      </c>
      <c r="AF187" s="84">
        <v>0.89639999999999997</v>
      </c>
      <c r="AG187" s="84">
        <v>0.89639999999999997</v>
      </c>
      <c r="AH187" s="84">
        <v>0.91599999999999993</v>
      </c>
      <c r="AI187" s="84">
        <v>0.91599999999999993</v>
      </c>
      <c r="AJ187" s="84">
        <v>0.8970999999999999</v>
      </c>
      <c r="AK187" s="84">
        <v>0.9073</v>
      </c>
      <c r="AL187" s="84">
        <v>0.89629999999999999</v>
      </c>
    </row>
    <row r="188" spans="1:38">
      <c r="A188">
        <v>185</v>
      </c>
      <c r="B188" t="s">
        <v>154</v>
      </c>
      <c r="C188" t="s">
        <v>108</v>
      </c>
      <c r="D188">
        <f t="shared" si="6"/>
        <v>711</v>
      </c>
      <c r="E188" s="84">
        <v>0.89879999999999993</v>
      </c>
      <c r="F188" s="84">
        <v>0.89879999999999993</v>
      </c>
      <c r="G188" s="84">
        <v>0.89879999999999993</v>
      </c>
      <c r="H188" s="84">
        <v>0.93540000000000001</v>
      </c>
      <c r="I188" s="84">
        <v>0.93540000000000001</v>
      </c>
      <c r="J188" s="84">
        <v>0.94440000000000002</v>
      </c>
      <c r="K188" s="84">
        <v>0.94440000000000002</v>
      </c>
      <c r="L188" s="84">
        <v>0.93500000000000005</v>
      </c>
      <c r="O188" s="94" t="s">
        <v>733</v>
      </c>
      <c r="P188" s="94" t="s">
        <v>108</v>
      </c>
      <c r="U188" s="91">
        <v>93.54</v>
      </c>
      <c r="X188" s="91">
        <v>95.63</v>
      </c>
      <c r="Y188" s="91">
        <v>94.6</v>
      </c>
      <c r="AB188" t="s">
        <v>733</v>
      </c>
      <c r="AC188" s="84">
        <v>0.89879999999999993</v>
      </c>
      <c r="AD188" s="84">
        <v>0.89879999999999993</v>
      </c>
      <c r="AE188" s="84">
        <v>0.89879999999999993</v>
      </c>
      <c r="AF188" s="84">
        <v>0.93540000000000001</v>
      </c>
      <c r="AG188" s="84">
        <v>0.93540000000000001</v>
      </c>
      <c r="AH188" s="84">
        <v>0.94440000000000002</v>
      </c>
      <c r="AI188" s="84">
        <v>0.94440000000000002</v>
      </c>
      <c r="AJ188" s="84">
        <v>0.95629999999999993</v>
      </c>
      <c r="AK188" s="84">
        <v>0.94599999999999995</v>
      </c>
      <c r="AL188" s="84">
        <v>0.93500000000000005</v>
      </c>
    </row>
    <row r="189" spans="1:38">
      <c r="A189">
        <v>186</v>
      </c>
      <c r="B189" t="s">
        <v>155</v>
      </c>
      <c r="C189" t="s">
        <v>108</v>
      </c>
      <c r="D189">
        <f t="shared" si="6"/>
        <v>712</v>
      </c>
      <c r="E189" s="84">
        <v>0.81799999999999995</v>
      </c>
      <c r="F189" s="84">
        <v>0.81799999999999995</v>
      </c>
      <c r="G189" s="84">
        <v>0.81799999999999995</v>
      </c>
      <c r="H189" s="84">
        <v>0.85309999999999997</v>
      </c>
      <c r="I189" s="84">
        <v>0.85309999999999997</v>
      </c>
      <c r="J189" s="84">
        <v>0.86209999999999998</v>
      </c>
      <c r="K189" s="84">
        <v>0.86209999999999998</v>
      </c>
      <c r="L189" s="84">
        <v>0.85270000000000001</v>
      </c>
      <c r="O189" s="94" t="s">
        <v>1170</v>
      </c>
      <c r="P189" s="94" t="s">
        <v>108</v>
      </c>
      <c r="U189" s="91">
        <v>85.31</v>
      </c>
      <c r="X189" s="91">
        <v>87.4</v>
      </c>
      <c r="Y189" s="91">
        <v>86.36</v>
      </c>
      <c r="AB189" t="s">
        <v>1170</v>
      </c>
      <c r="AC189" s="84">
        <v>0.81799999999999995</v>
      </c>
      <c r="AD189" s="84">
        <v>0.81799999999999995</v>
      </c>
      <c r="AE189" s="84">
        <v>0.81799999999999995</v>
      </c>
      <c r="AF189" s="84">
        <v>0.85309999999999997</v>
      </c>
      <c r="AG189" s="84">
        <v>0.85309999999999997</v>
      </c>
      <c r="AH189" s="84">
        <v>0.86209999999999998</v>
      </c>
      <c r="AI189" s="84">
        <v>0.86209999999999998</v>
      </c>
      <c r="AJ189" s="84">
        <v>0.87400000000000011</v>
      </c>
      <c r="AK189" s="84">
        <v>0.86360000000000003</v>
      </c>
      <c r="AL189" s="84">
        <v>0.85270000000000001</v>
      </c>
    </row>
    <row r="190" spans="1:38">
      <c r="A190">
        <v>187</v>
      </c>
      <c r="B190" t="s">
        <v>157</v>
      </c>
      <c r="C190" t="s">
        <v>108</v>
      </c>
      <c r="D190">
        <f t="shared" si="6"/>
        <v>713</v>
      </c>
      <c r="E190" s="84">
        <v>0.81799999999999995</v>
      </c>
      <c r="F190" s="84">
        <v>0.81799999999999995</v>
      </c>
      <c r="G190" s="84">
        <v>0.81799999999999995</v>
      </c>
      <c r="H190" s="84">
        <v>0.85309999999999997</v>
      </c>
      <c r="I190" s="84">
        <v>0.85309999999999997</v>
      </c>
      <c r="J190" s="84">
        <v>0.86209999999999998</v>
      </c>
      <c r="K190" s="84">
        <v>0.86209999999999998</v>
      </c>
      <c r="L190" s="84">
        <v>0.85270000000000001</v>
      </c>
      <c r="O190" s="94" t="s">
        <v>1171</v>
      </c>
      <c r="P190" s="94" t="s">
        <v>108</v>
      </c>
      <c r="U190" s="91">
        <v>85.31</v>
      </c>
      <c r="X190" s="91">
        <v>87.4</v>
      </c>
      <c r="Y190" s="91">
        <v>86.36</v>
      </c>
      <c r="AB190" t="s">
        <v>1171</v>
      </c>
      <c r="AC190" s="84">
        <v>0.81799999999999995</v>
      </c>
      <c r="AD190" s="84">
        <v>0.81799999999999995</v>
      </c>
      <c r="AE190" s="84">
        <v>0.81799999999999995</v>
      </c>
      <c r="AF190" s="84">
        <v>0.85309999999999997</v>
      </c>
      <c r="AG190" s="84">
        <v>0.85309999999999997</v>
      </c>
      <c r="AH190" s="84">
        <v>0.86209999999999998</v>
      </c>
      <c r="AI190" s="84">
        <v>0.86209999999999998</v>
      </c>
      <c r="AJ190" s="84">
        <v>0.87400000000000011</v>
      </c>
      <c r="AK190" s="84">
        <v>0.86360000000000003</v>
      </c>
      <c r="AL190" s="84">
        <v>0.85270000000000001</v>
      </c>
    </row>
    <row r="191" spans="1:38">
      <c r="A191">
        <v>188</v>
      </c>
      <c r="B191" t="s">
        <v>158</v>
      </c>
      <c r="C191" t="s">
        <v>108</v>
      </c>
      <c r="D191">
        <f t="shared" si="6"/>
        <v>714</v>
      </c>
      <c r="E191" s="84">
        <v>0.81799999999999995</v>
      </c>
      <c r="F191" s="84">
        <v>0.81799999999999995</v>
      </c>
      <c r="G191" s="84">
        <v>0.81799999999999995</v>
      </c>
      <c r="H191" s="84">
        <v>0.85309999999999997</v>
      </c>
      <c r="I191" s="84">
        <v>0.85309999999999997</v>
      </c>
      <c r="J191" s="84">
        <v>0.86209999999999998</v>
      </c>
      <c r="K191" s="84">
        <v>0.86209999999999998</v>
      </c>
      <c r="L191" s="84">
        <v>0.85270000000000001</v>
      </c>
      <c r="O191" s="94" t="s">
        <v>1172</v>
      </c>
      <c r="P191" s="94" t="s">
        <v>108</v>
      </c>
      <c r="U191" s="91">
        <v>85.31</v>
      </c>
      <c r="X191" s="91">
        <v>87.4</v>
      </c>
      <c r="Y191" s="91">
        <v>86.36</v>
      </c>
      <c r="AB191" t="s">
        <v>1172</v>
      </c>
      <c r="AC191" s="84">
        <v>0.81799999999999995</v>
      </c>
      <c r="AD191" s="84">
        <v>0.81799999999999995</v>
      </c>
      <c r="AE191" s="84">
        <v>0.81799999999999995</v>
      </c>
      <c r="AF191" s="84">
        <v>0.85309999999999997</v>
      </c>
      <c r="AG191" s="84">
        <v>0.85309999999999997</v>
      </c>
      <c r="AH191" s="84">
        <v>0.86209999999999998</v>
      </c>
      <c r="AI191" s="84">
        <v>0.86209999999999998</v>
      </c>
      <c r="AJ191" s="84">
        <v>0.87400000000000011</v>
      </c>
      <c r="AK191" s="84">
        <v>0.86360000000000003</v>
      </c>
      <c r="AL191" s="84">
        <v>0.85270000000000001</v>
      </c>
    </row>
    <row r="192" spans="1:38">
      <c r="A192">
        <v>189</v>
      </c>
      <c r="B192" t="s">
        <v>160</v>
      </c>
      <c r="C192" t="s">
        <v>108</v>
      </c>
      <c r="D192">
        <f t="shared" si="6"/>
        <v>715</v>
      </c>
      <c r="E192" s="84">
        <v>0.74760000000000004</v>
      </c>
      <c r="F192" s="84">
        <v>0.74760000000000004</v>
      </c>
      <c r="G192" s="84">
        <v>0.74760000000000004</v>
      </c>
      <c r="H192" s="84">
        <v>0.78129999999999999</v>
      </c>
      <c r="I192" s="84">
        <v>0.78129999999999999</v>
      </c>
      <c r="J192" s="84">
        <v>0.79</v>
      </c>
      <c r="K192" s="84">
        <v>0.79</v>
      </c>
      <c r="L192" s="84">
        <v>0.78</v>
      </c>
      <c r="O192" s="94" t="s">
        <v>1173</v>
      </c>
      <c r="P192" s="94" t="s">
        <v>108</v>
      </c>
      <c r="U192" s="91">
        <v>78.13</v>
      </c>
      <c r="X192" s="91">
        <v>80.14</v>
      </c>
      <c r="Y192" s="91">
        <v>79.14</v>
      </c>
      <c r="AB192" t="s">
        <v>1173</v>
      </c>
      <c r="AC192" s="84">
        <v>0.74760000000000004</v>
      </c>
      <c r="AD192" s="84">
        <v>0.74760000000000004</v>
      </c>
      <c r="AE192" s="84">
        <v>0.74760000000000004</v>
      </c>
      <c r="AF192" s="84">
        <v>0.78129999999999999</v>
      </c>
      <c r="AG192" s="84">
        <v>0.78129999999999999</v>
      </c>
      <c r="AH192" s="84">
        <v>0.79</v>
      </c>
      <c r="AI192" s="84">
        <v>0.79</v>
      </c>
      <c r="AJ192" s="84">
        <v>0.8014</v>
      </c>
      <c r="AK192" s="84">
        <v>0.79139999999999999</v>
      </c>
      <c r="AL192" s="84">
        <v>0.78</v>
      </c>
    </row>
    <row r="193" spans="1:38">
      <c r="A193">
        <v>190</v>
      </c>
      <c r="B193" t="s">
        <v>161</v>
      </c>
      <c r="C193" t="s">
        <v>108</v>
      </c>
      <c r="D193">
        <f t="shared" si="6"/>
        <v>716</v>
      </c>
      <c r="E193" s="84">
        <v>0.77670000000000006</v>
      </c>
      <c r="F193" s="84">
        <v>0.77670000000000006</v>
      </c>
      <c r="G193" s="84">
        <v>0.8155</v>
      </c>
      <c r="H193" s="84">
        <v>0.85019999999999996</v>
      </c>
      <c r="I193" s="84">
        <v>0.85019999999999996</v>
      </c>
      <c r="J193" s="84">
        <v>0.85880000000000001</v>
      </c>
      <c r="K193" s="84">
        <v>0.85880000000000001</v>
      </c>
      <c r="L193" s="84">
        <v>0.86950000000000005</v>
      </c>
      <c r="O193" s="94" t="s">
        <v>734</v>
      </c>
      <c r="P193" s="94" t="s">
        <v>108</v>
      </c>
      <c r="U193" s="91">
        <v>85.03</v>
      </c>
      <c r="X193" s="91">
        <v>88.01</v>
      </c>
      <c r="Y193" s="91">
        <v>88.02</v>
      </c>
      <c r="AB193" t="s">
        <v>734</v>
      </c>
      <c r="AC193" s="84">
        <v>0.77670000000000006</v>
      </c>
      <c r="AD193" s="84">
        <v>0.77670000000000006</v>
      </c>
      <c r="AE193" s="84">
        <v>0.8155</v>
      </c>
      <c r="AF193" s="84">
        <v>0.85019999999999996</v>
      </c>
      <c r="AG193" s="84">
        <v>0.85030000000000006</v>
      </c>
      <c r="AH193" s="84">
        <v>0.85880000000000001</v>
      </c>
      <c r="AI193" s="84">
        <v>0.85880000000000001</v>
      </c>
      <c r="AJ193" s="84">
        <v>0.8801000000000001</v>
      </c>
      <c r="AK193" s="84">
        <v>0.88019999999999998</v>
      </c>
      <c r="AL193" s="84">
        <v>0.86950000000000005</v>
      </c>
    </row>
    <row r="194" spans="1:38">
      <c r="A194">
        <v>191</v>
      </c>
      <c r="B194" t="s">
        <v>163</v>
      </c>
      <c r="C194" t="s">
        <v>108</v>
      </c>
      <c r="D194">
        <f t="shared" si="6"/>
        <v>717</v>
      </c>
      <c r="E194" s="84">
        <v>0.80669999999999997</v>
      </c>
      <c r="F194" s="84">
        <v>0.80669999999999997</v>
      </c>
      <c r="G194" s="84">
        <v>0.84730000000000005</v>
      </c>
      <c r="H194" s="84">
        <v>0.88260000000000005</v>
      </c>
      <c r="I194" s="84">
        <v>0.88260000000000005</v>
      </c>
      <c r="J194" s="84">
        <v>0.89159999999999995</v>
      </c>
      <c r="K194" s="84">
        <v>0.89159999999999995</v>
      </c>
      <c r="L194" s="84">
        <v>0.90280000000000005</v>
      </c>
      <c r="O194" s="94" t="s">
        <v>1174</v>
      </c>
      <c r="P194" s="94" t="s">
        <v>108</v>
      </c>
      <c r="U194" s="91">
        <v>88.27</v>
      </c>
      <c r="X194" s="91">
        <v>91.38</v>
      </c>
      <c r="Y194" s="91">
        <v>91.39</v>
      </c>
      <c r="AB194" t="s">
        <v>1174</v>
      </c>
      <c r="AC194" s="84">
        <v>0.80669999999999997</v>
      </c>
      <c r="AD194" s="84">
        <v>0.80669999999999997</v>
      </c>
      <c r="AE194" s="84">
        <v>0.84730000000000005</v>
      </c>
      <c r="AF194" s="84">
        <v>0.88260000000000005</v>
      </c>
      <c r="AG194" s="84">
        <v>0.88269999999999993</v>
      </c>
      <c r="AH194" s="84">
        <v>0.89159999999999995</v>
      </c>
      <c r="AI194" s="84">
        <v>0.89159999999999995</v>
      </c>
      <c r="AJ194" s="84">
        <v>0.91379999999999995</v>
      </c>
      <c r="AK194" s="84">
        <v>0.91390000000000005</v>
      </c>
      <c r="AL194" s="84">
        <v>0.90280000000000005</v>
      </c>
    </row>
    <row r="195" spans="1:38">
      <c r="A195">
        <v>192</v>
      </c>
      <c r="B195" t="s">
        <v>164</v>
      </c>
      <c r="C195" t="s">
        <v>108</v>
      </c>
      <c r="D195">
        <f t="shared" si="6"/>
        <v>718</v>
      </c>
      <c r="E195" s="84">
        <v>0.72860000000000003</v>
      </c>
      <c r="F195" s="84">
        <v>0.72860000000000003</v>
      </c>
      <c r="G195" s="84">
        <v>0.77879999999999994</v>
      </c>
      <c r="H195" s="84">
        <v>0.81290000000000007</v>
      </c>
      <c r="I195" s="84">
        <v>0.81290000000000007</v>
      </c>
      <c r="J195" s="84">
        <v>0.81150000000000011</v>
      </c>
      <c r="K195" s="84">
        <v>0.81150000000000011</v>
      </c>
      <c r="L195" s="84">
        <v>0.83290000000000008</v>
      </c>
      <c r="O195" s="94" t="s">
        <v>1175</v>
      </c>
      <c r="P195" s="94" t="s">
        <v>108</v>
      </c>
      <c r="U195" s="91">
        <v>81.290000000000006</v>
      </c>
      <c r="X195" s="91">
        <v>83.35</v>
      </c>
      <c r="Y195" s="91">
        <v>83.36</v>
      </c>
      <c r="AB195" t="s">
        <v>1175</v>
      </c>
      <c r="AC195" s="84">
        <v>0.72860000000000003</v>
      </c>
      <c r="AD195" s="84">
        <v>0.72860000000000003</v>
      </c>
      <c r="AE195" s="84">
        <v>0.77879999999999994</v>
      </c>
      <c r="AF195" s="84">
        <v>0.81290000000000007</v>
      </c>
      <c r="AG195" s="84">
        <v>0.81290000000000007</v>
      </c>
      <c r="AH195" s="84">
        <v>0.81150000000000011</v>
      </c>
      <c r="AI195" s="84">
        <v>0.81150000000000011</v>
      </c>
      <c r="AJ195" s="84">
        <v>0.83349999999999991</v>
      </c>
      <c r="AK195" s="84">
        <v>0.83360000000000001</v>
      </c>
      <c r="AL195" s="84">
        <v>0.83290000000000008</v>
      </c>
    </row>
    <row r="196" spans="1:38">
      <c r="A196">
        <v>193</v>
      </c>
      <c r="B196" t="s">
        <v>166</v>
      </c>
      <c r="C196" t="s">
        <v>108</v>
      </c>
      <c r="D196">
        <f t="shared" si="6"/>
        <v>719</v>
      </c>
      <c r="E196" s="84">
        <v>0.71</v>
      </c>
      <c r="F196" s="84">
        <v>0.71</v>
      </c>
      <c r="G196" s="84">
        <v>0.75</v>
      </c>
      <c r="H196" s="84">
        <v>0.78349999999999997</v>
      </c>
      <c r="I196" s="84">
        <v>0.78349999999999997</v>
      </c>
      <c r="J196" s="84">
        <v>0.78209999999999991</v>
      </c>
      <c r="K196" s="84">
        <v>0.78209999999999991</v>
      </c>
      <c r="L196" s="84">
        <v>0.8034</v>
      </c>
      <c r="O196" s="94" t="s">
        <v>1176</v>
      </c>
      <c r="P196" s="94" t="s">
        <v>108</v>
      </c>
      <c r="U196" s="91">
        <v>78.349999999999994</v>
      </c>
      <c r="X196" s="91">
        <v>80.400000000000006</v>
      </c>
      <c r="Y196" s="91">
        <v>80.41</v>
      </c>
      <c r="AB196" t="s">
        <v>1176</v>
      </c>
      <c r="AC196" s="84">
        <v>0.71</v>
      </c>
      <c r="AD196" s="84">
        <v>0.71</v>
      </c>
      <c r="AE196" s="84">
        <v>0.75</v>
      </c>
      <c r="AF196" s="84">
        <v>0.78349999999999997</v>
      </c>
      <c r="AG196" s="84">
        <v>0.78349999999999997</v>
      </c>
      <c r="AH196" s="84">
        <v>0.78209999999999991</v>
      </c>
      <c r="AI196" s="84">
        <v>0.78209999999999991</v>
      </c>
      <c r="AJ196" s="84">
        <v>0.80400000000000005</v>
      </c>
      <c r="AK196" s="84">
        <v>0.80409999999999993</v>
      </c>
      <c r="AL196" s="84">
        <v>0.8034</v>
      </c>
    </row>
    <row r="197" spans="1:38">
      <c r="A197">
        <v>194</v>
      </c>
      <c r="B197" t="s">
        <v>167</v>
      </c>
      <c r="C197" t="s">
        <v>108</v>
      </c>
      <c r="D197">
        <f t="shared" si="6"/>
        <v>720</v>
      </c>
      <c r="E197" s="84">
        <v>0.67</v>
      </c>
      <c r="F197" s="84">
        <v>0.67</v>
      </c>
      <c r="G197" s="84">
        <v>0.72</v>
      </c>
      <c r="H197" s="84">
        <v>0.75290000000000001</v>
      </c>
      <c r="I197" s="84">
        <v>0.75290000000000001</v>
      </c>
      <c r="J197" s="84">
        <v>0.75159999999999993</v>
      </c>
      <c r="K197" s="84">
        <v>0.75159999999999993</v>
      </c>
      <c r="L197" s="84">
        <v>0.76260000000000006</v>
      </c>
      <c r="O197" s="94" t="s">
        <v>1177</v>
      </c>
      <c r="P197" s="94" t="s">
        <v>108</v>
      </c>
      <c r="U197" s="91">
        <v>75.3</v>
      </c>
      <c r="X197" s="91">
        <v>77.34</v>
      </c>
      <c r="Y197" s="91">
        <v>77.349999999999994</v>
      </c>
      <c r="AB197" t="s">
        <v>1177</v>
      </c>
      <c r="AC197" s="84">
        <v>0.67</v>
      </c>
      <c r="AD197" s="84">
        <v>0.67</v>
      </c>
      <c r="AE197" s="84">
        <v>0.72</v>
      </c>
      <c r="AF197" s="84">
        <v>0.75290000000000001</v>
      </c>
      <c r="AG197" s="84">
        <v>0.753</v>
      </c>
      <c r="AH197" s="84">
        <v>0.75159999999999993</v>
      </c>
      <c r="AI197" s="84">
        <v>0.75159999999999993</v>
      </c>
      <c r="AJ197" s="84">
        <v>0.77340000000000009</v>
      </c>
      <c r="AK197" s="84">
        <v>0.77349999999999997</v>
      </c>
      <c r="AL197" s="84">
        <v>0.76260000000000006</v>
      </c>
    </row>
    <row r="198" spans="1:38">
      <c r="A198">
        <v>195</v>
      </c>
      <c r="B198" t="s">
        <v>169</v>
      </c>
      <c r="C198" t="s">
        <v>108</v>
      </c>
      <c r="D198">
        <f t="shared" si="6"/>
        <v>721</v>
      </c>
      <c r="E198" s="84">
        <v>0.71189999999999998</v>
      </c>
      <c r="F198" s="84">
        <v>0.71189999999999998</v>
      </c>
      <c r="G198" s="84">
        <v>0.76319999999999988</v>
      </c>
      <c r="H198" s="84">
        <v>0.79689999999999994</v>
      </c>
      <c r="I198" s="84">
        <v>0.79689999999999994</v>
      </c>
      <c r="J198" s="84">
        <v>0.79549999999999998</v>
      </c>
      <c r="K198" s="84">
        <v>0.79559999999999997</v>
      </c>
      <c r="L198" s="84">
        <v>0.80680000000000007</v>
      </c>
      <c r="O198" s="94" t="s">
        <v>1178</v>
      </c>
      <c r="P198" s="94" t="s">
        <v>108</v>
      </c>
      <c r="U198" s="91">
        <v>79.7</v>
      </c>
      <c r="X198" s="91">
        <v>81.790000000000006</v>
      </c>
      <c r="Y198" s="91">
        <v>81.8</v>
      </c>
      <c r="AB198" t="s">
        <v>1178</v>
      </c>
      <c r="AC198" s="84">
        <v>0.71189999999999998</v>
      </c>
      <c r="AD198" s="84">
        <v>0.71189999999999998</v>
      </c>
      <c r="AE198" s="84">
        <v>0.76319999999999988</v>
      </c>
      <c r="AF198" s="84">
        <v>0.79689999999999994</v>
      </c>
      <c r="AG198" s="84">
        <v>0.79700000000000004</v>
      </c>
      <c r="AH198" s="84">
        <v>0.79549999999999998</v>
      </c>
      <c r="AI198" s="84">
        <v>0.79559999999999997</v>
      </c>
      <c r="AJ198" s="84">
        <v>0.81790000000000007</v>
      </c>
      <c r="AK198" s="84">
        <v>0.81799999999999995</v>
      </c>
      <c r="AL198" s="84">
        <v>0.80680000000000007</v>
      </c>
    </row>
    <row r="199" spans="1:38">
      <c r="A199">
        <v>196</v>
      </c>
      <c r="B199" t="s">
        <v>170</v>
      </c>
      <c r="C199" t="s">
        <v>108</v>
      </c>
      <c r="D199">
        <f t="shared" si="6"/>
        <v>722</v>
      </c>
      <c r="E199" s="84">
        <v>0.77</v>
      </c>
      <c r="F199" s="84">
        <v>0.79</v>
      </c>
      <c r="G199" s="84">
        <v>0.85</v>
      </c>
      <c r="H199" s="84">
        <v>0.90560000000000007</v>
      </c>
      <c r="I199" s="84">
        <v>0.90560000000000007</v>
      </c>
      <c r="J199" s="84">
        <v>0.90400000000000003</v>
      </c>
      <c r="K199" s="84">
        <v>0.90390000000000004</v>
      </c>
      <c r="L199" s="84">
        <v>1.0066999999999999</v>
      </c>
      <c r="O199" s="94" t="s">
        <v>735</v>
      </c>
      <c r="P199" s="94" t="s">
        <v>108</v>
      </c>
      <c r="U199" s="91">
        <v>90.56</v>
      </c>
      <c r="X199" s="91">
        <v>95.66</v>
      </c>
      <c r="Y199" s="91">
        <v>99.74</v>
      </c>
      <c r="AB199" t="s">
        <v>735</v>
      </c>
      <c r="AC199" s="84">
        <v>0.77</v>
      </c>
      <c r="AD199" s="84">
        <v>0.79</v>
      </c>
      <c r="AE199" s="84">
        <v>0.85</v>
      </c>
      <c r="AF199" s="84">
        <v>0.90560000000000007</v>
      </c>
      <c r="AG199" s="84">
        <v>0.90560000000000007</v>
      </c>
      <c r="AH199" s="84">
        <v>0.90400000000000003</v>
      </c>
      <c r="AI199" s="84">
        <v>0.90390000000000004</v>
      </c>
      <c r="AJ199" s="84">
        <v>0.95660000000000001</v>
      </c>
      <c r="AK199" s="84">
        <v>0.99739999999999995</v>
      </c>
      <c r="AL199" s="84">
        <v>1.0066999999999999</v>
      </c>
    </row>
    <row r="200" spans="1:38">
      <c r="A200">
        <v>197</v>
      </c>
      <c r="B200" t="s">
        <v>172</v>
      </c>
      <c r="C200" t="s">
        <v>108</v>
      </c>
      <c r="D200">
        <f t="shared" si="6"/>
        <v>723</v>
      </c>
      <c r="E200" s="84">
        <v>0.6784</v>
      </c>
      <c r="F200" s="84">
        <v>0.6984999999999999</v>
      </c>
      <c r="G200" s="84">
        <v>0.74870000000000003</v>
      </c>
      <c r="H200" s="84">
        <v>0.80249999999999999</v>
      </c>
      <c r="I200" s="84">
        <v>0.80249999999999999</v>
      </c>
      <c r="J200" s="84">
        <v>0.80090000000000006</v>
      </c>
      <c r="K200" s="84">
        <v>0.80090000000000006</v>
      </c>
      <c r="L200" s="84">
        <v>0.89390000000000003</v>
      </c>
      <c r="O200" s="94" t="s">
        <v>1179</v>
      </c>
      <c r="P200" s="94" t="s">
        <v>108</v>
      </c>
      <c r="U200" s="91">
        <v>80.25</v>
      </c>
      <c r="X200" s="91">
        <v>85.37</v>
      </c>
      <c r="Y200" s="91">
        <v>89.47</v>
      </c>
      <c r="AB200" t="s">
        <v>1179</v>
      </c>
      <c r="AC200" s="84">
        <v>0.6784</v>
      </c>
      <c r="AD200" s="84">
        <v>0.6984999999999999</v>
      </c>
      <c r="AE200" s="84">
        <v>0.74870000000000003</v>
      </c>
      <c r="AF200" s="84">
        <v>0.80249999999999999</v>
      </c>
      <c r="AG200" s="84">
        <v>0.80249999999999999</v>
      </c>
      <c r="AH200" s="84">
        <v>0.80090000000000006</v>
      </c>
      <c r="AI200" s="84">
        <v>0.80090000000000006</v>
      </c>
      <c r="AJ200" s="84">
        <v>0.85370000000000001</v>
      </c>
      <c r="AK200" s="84">
        <v>0.89469999999999994</v>
      </c>
      <c r="AL200" s="84">
        <v>0.89390000000000003</v>
      </c>
    </row>
    <row r="201" spans="1:38">
      <c r="A201">
        <v>198</v>
      </c>
      <c r="B201" t="s">
        <v>173</v>
      </c>
      <c r="C201" t="s">
        <v>108</v>
      </c>
      <c r="D201">
        <f t="shared" si="6"/>
        <v>724</v>
      </c>
      <c r="E201" s="84">
        <v>0.7455360000000002</v>
      </c>
      <c r="F201" s="84">
        <v>0.76644000000000001</v>
      </c>
      <c r="G201" s="84">
        <v>0.81864800000000004</v>
      </c>
      <c r="H201" s="84">
        <v>0.87459999999999993</v>
      </c>
      <c r="I201" s="84">
        <v>0.87459999999999993</v>
      </c>
      <c r="J201" s="84">
        <v>0.87293599999999993</v>
      </c>
      <c r="K201" s="84">
        <v>0.87293599999999993</v>
      </c>
      <c r="L201" s="84">
        <v>0.96965599999999996</v>
      </c>
      <c r="O201" s="94" t="s">
        <v>1180</v>
      </c>
      <c r="P201" s="94" t="s">
        <v>108</v>
      </c>
      <c r="U201" s="91">
        <v>87.46</v>
      </c>
      <c r="X201" s="91">
        <v>92.784800000000018</v>
      </c>
      <c r="Y201" s="91">
        <v>97.0488</v>
      </c>
      <c r="AB201" t="s">
        <v>1180</v>
      </c>
      <c r="AC201" s="84">
        <v>0.7455360000000002</v>
      </c>
      <c r="AD201" s="84">
        <v>0.76644000000000001</v>
      </c>
      <c r="AE201" s="84">
        <v>0.81864800000000004</v>
      </c>
      <c r="AF201" s="84">
        <v>0.87459999999999993</v>
      </c>
      <c r="AG201" s="84">
        <v>0.87459999999999993</v>
      </c>
      <c r="AH201" s="84">
        <v>0.87293599999999993</v>
      </c>
      <c r="AI201" s="84">
        <v>0.87293599999999993</v>
      </c>
      <c r="AJ201" s="84">
        <v>0.92784800000000023</v>
      </c>
      <c r="AK201" s="84">
        <v>0.97048800000000002</v>
      </c>
      <c r="AL201" s="84">
        <v>0.96965599999999996</v>
      </c>
    </row>
    <row r="202" spans="1:38">
      <c r="A202">
        <v>199</v>
      </c>
      <c r="B202" t="s">
        <v>175</v>
      </c>
      <c r="C202" t="s">
        <v>108</v>
      </c>
      <c r="D202">
        <f t="shared" si="6"/>
        <v>725</v>
      </c>
      <c r="E202" s="84">
        <v>0.81267200000000006</v>
      </c>
      <c r="F202" s="84">
        <v>0.83438000000000012</v>
      </c>
      <c r="G202" s="84">
        <v>0.88859600000000027</v>
      </c>
      <c r="H202" s="84">
        <v>0.94669999999999999</v>
      </c>
      <c r="I202" s="84">
        <v>0.94669999999999999</v>
      </c>
      <c r="J202" s="84">
        <v>0.94497200000000026</v>
      </c>
      <c r="K202" s="84">
        <v>0.94497200000000026</v>
      </c>
      <c r="L202" s="84">
        <v>1.045412</v>
      </c>
      <c r="O202" s="94" t="s">
        <v>1180</v>
      </c>
      <c r="P202" s="94" t="s">
        <v>108</v>
      </c>
      <c r="U202" s="91">
        <v>94.67</v>
      </c>
      <c r="X202" s="91">
        <v>100.19960000000003</v>
      </c>
      <c r="Y202" s="91">
        <v>104.6276</v>
      </c>
      <c r="AB202" t="s">
        <v>1180</v>
      </c>
      <c r="AC202" s="84">
        <v>0.81267200000000006</v>
      </c>
      <c r="AD202" s="84">
        <v>0.83438000000000012</v>
      </c>
      <c r="AE202" s="84">
        <v>0.88859600000000027</v>
      </c>
      <c r="AF202" s="84">
        <v>0.94669999999999999</v>
      </c>
      <c r="AG202" s="84">
        <v>0.94669999999999999</v>
      </c>
      <c r="AH202" s="84">
        <v>0.94497200000000026</v>
      </c>
      <c r="AI202" s="84">
        <v>0.94497200000000026</v>
      </c>
      <c r="AJ202" s="84">
        <v>1.0019960000000003</v>
      </c>
      <c r="AK202" s="84">
        <v>1.046276</v>
      </c>
      <c r="AL202" s="84">
        <v>1.045412</v>
      </c>
    </row>
    <row r="203" spans="1:38">
      <c r="A203">
        <v>200</v>
      </c>
      <c r="B203" t="s">
        <v>176</v>
      </c>
      <c r="C203" t="s">
        <v>108</v>
      </c>
      <c r="D203">
        <f t="shared" si="6"/>
        <v>726</v>
      </c>
      <c r="E203" s="84">
        <v>0.85849999999999993</v>
      </c>
      <c r="F203" s="84">
        <v>0.88879999999999992</v>
      </c>
      <c r="G203" s="84">
        <v>0.94940000000000002</v>
      </c>
      <c r="H203" s="84">
        <v>1.0064649999999999</v>
      </c>
      <c r="I203" s="84">
        <v>1.0064649999999999</v>
      </c>
      <c r="J203" s="84">
        <v>1.0451480000000002</v>
      </c>
      <c r="K203" s="84">
        <v>1.0348459999999999</v>
      </c>
      <c r="L203" s="84">
        <v>1.1070610000000001</v>
      </c>
      <c r="O203" s="94" t="s">
        <v>1128</v>
      </c>
      <c r="P203" s="94" t="s">
        <v>108</v>
      </c>
      <c r="U203" s="91">
        <v>99.616299999999995</v>
      </c>
      <c r="X203" s="91">
        <v>111.70599999999999</v>
      </c>
      <c r="Y203" s="91">
        <v>110.696</v>
      </c>
      <c r="AB203" t="s">
        <v>1128</v>
      </c>
      <c r="AC203" s="84">
        <v>0.85849999999999993</v>
      </c>
      <c r="AD203" s="84">
        <v>0.88879999999999992</v>
      </c>
      <c r="AE203" s="84">
        <v>0.94940000000000002</v>
      </c>
      <c r="AF203" s="84">
        <v>1.0064649999999999</v>
      </c>
      <c r="AG203" s="84">
        <v>0.99616299999999991</v>
      </c>
      <c r="AH203" s="84">
        <v>1.0451480000000002</v>
      </c>
      <c r="AI203" s="84">
        <v>1.0348459999999999</v>
      </c>
      <c r="AJ203" s="84">
        <v>1.1170599999999999</v>
      </c>
      <c r="AK203" s="84">
        <v>1.1069599999999999</v>
      </c>
      <c r="AL203" s="84">
        <v>1.1070610000000001</v>
      </c>
    </row>
    <row r="204" spans="1:38">
      <c r="A204">
        <v>201</v>
      </c>
      <c r="B204" t="s">
        <v>178</v>
      </c>
      <c r="C204" t="s">
        <v>108</v>
      </c>
      <c r="D204">
        <f t="shared" si="6"/>
        <v>727</v>
      </c>
      <c r="E204" s="84">
        <v>0.77864800000000001</v>
      </c>
      <c r="F204" s="84">
        <v>0.810056</v>
      </c>
      <c r="G204" s="84">
        <v>0.8727680000000001</v>
      </c>
      <c r="H204" s="84">
        <v>0.91894400000000009</v>
      </c>
      <c r="I204" s="84">
        <v>0.91894400000000009</v>
      </c>
      <c r="J204" s="84">
        <v>0.9698</v>
      </c>
      <c r="K204" s="84">
        <v>0.95908799999999994</v>
      </c>
      <c r="L204" s="84">
        <v>1.0232560000000002</v>
      </c>
      <c r="O204" s="94" t="s">
        <v>1181</v>
      </c>
      <c r="P204" s="94" t="s">
        <v>108</v>
      </c>
      <c r="U204" s="91">
        <v>90.833600000000004</v>
      </c>
      <c r="X204" s="91">
        <v>103.3656</v>
      </c>
      <c r="Y204" s="91">
        <v>102.3152</v>
      </c>
      <c r="AB204" t="s">
        <v>1181</v>
      </c>
      <c r="AC204" s="84">
        <v>0.77864800000000001</v>
      </c>
      <c r="AD204" s="84">
        <v>0.810056</v>
      </c>
      <c r="AE204" s="84">
        <v>0.8727680000000001</v>
      </c>
      <c r="AF204" s="84">
        <v>0.91894400000000009</v>
      </c>
      <c r="AG204" s="84">
        <v>0.90833600000000003</v>
      </c>
      <c r="AH204" s="84">
        <v>0.9698</v>
      </c>
      <c r="AI204" s="84">
        <v>0.95908799999999994</v>
      </c>
      <c r="AJ204" s="84">
        <v>1.0336559999999999</v>
      </c>
      <c r="AK204" s="84">
        <v>1.0231520000000001</v>
      </c>
      <c r="AL204" s="84">
        <v>1.0232560000000002</v>
      </c>
    </row>
    <row r="205" spans="1:38">
      <c r="A205">
        <v>202</v>
      </c>
      <c r="B205" t="s">
        <v>179</v>
      </c>
      <c r="C205" t="s">
        <v>108</v>
      </c>
      <c r="D205">
        <f t="shared" si="6"/>
        <v>728</v>
      </c>
      <c r="E205" s="84">
        <v>0.74870000000000003</v>
      </c>
      <c r="F205" s="84">
        <v>0.77890000000000004</v>
      </c>
      <c r="G205" s="84">
        <v>0.83920000000000006</v>
      </c>
      <c r="H205" s="84">
        <v>0.88359999999999994</v>
      </c>
      <c r="I205" s="84">
        <v>0.88359999999999994</v>
      </c>
      <c r="J205" s="84">
        <v>0.9325</v>
      </c>
      <c r="K205" s="84">
        <v>0.92220000000000002</v>
      </c>
      <c r="L205" s="84">
        <v>0.9839</v>
      </c>
      <c r="O205" s="94" t="s">
        <v>1182</v>
      </c>
      <c r="P205" s="94" t="s">
        <v>108</v>
      </c>
      <c r="U205" s="91">
        <v>87.34</v>
      </c>
      <c r="X205" s="91">
        <v>99.39</v>
      </c>
      <c r="Y205" s="91">
        <v>98.38</v>
      </c>
      <c r="AB205" t="s">
        <v>1182</v>
      </c>
      <c r="AC205" s="84">
        <v>0.74870000000000003</v>
      </c>
      <c r="AD205" s="84">
        <v>0.77890000000000004</v>
      </c>
      <c r="AE205" s="84">
        <v>0.83920000000000006</v>
      </c>
      <c r="AF205" s="84">
        <v>0.88359999999999994</v>
      </c>
      <c r="AG205" s="84">
        <v>0.87340000000000007</v>
      </c>
      <c r="AH205" s="84">
        <v>0.9325</v>
      </c>
      <c r="AI205" s="84">
        <v>0.92220000000000002</v>
      </c>
      <c r="AJ205" s="84">
        <v>0.99390000000000001</v>
      </c>
      <c r="AK205" s="84">
        <v>0.98380000000000001</v>
      </c>
      <c r="AL205" s="84">
        <v>0.9839</v>
      </c>
    </row>
    <row r="206" spans="1:38">
      <c r="A206">
        <v>203</v>
      </c>
      <c r="B206" t="s">
        <v>138</v>
      </c>
      <c r="C206" s="1" t="s">
        <v>109</v>
      </c>
      <c r="D206">
        <v>800</v>
      </c>
      <c r="E206" s="84">
        <v>0.10949999999999999</v>
      </c>
      <c r="F206" s="84">
        <v>0.10949999999999999</v>
      </c>
      <c r="G206" s="84">
        <v>0.10279999999999999</v>
      </c>
      <c r="H206" s="84">
        <v>0.12269999999999999</v>
      </c>
      <c r="I206" s="84">
        <v>0.12269999999999999</v>
      </c>
      <c r="J206" s="84">
        <v>0.13750000000000001</v>
      </c>
      <c r="K206" s="84">
        <v>0.1366</v>
      </c>
      <c r="L206" s="84">
        <v>0.18479999999999999</v>
      </c>
      <c r="O206" s="94" t="s">
        <v>138</v>
      </c>
      <c r="P206" s="94" t="s">
        <v>109</v>
      </c>
      <c r="U206" s="91">
        <v>12.26</v>
      </c>
      <c r="X206" s="91">
        <v>14.09</v>
      </c>
      <c r="Y206" s="91">
        <v>11.25</v>
      </c>
      <c r="AB206" t="s">
        <v>138</v>
      </c>
      <c r="AC206" s="84">
        <v>0.10949999999999999</v>
      </c>
      <c r="AD206" s="84">
        <v>0.10949999999999999</v>
      </c>
      <c r="AE206" s="84">
        <v>0.10279999999999999</v>
      </c>
      <c r="AF206" s="84">
        <v>0.12269999999999999</v>
      </c>
      <c r="AG206" s="84">
        <v>0.1226</v>
      </c>
      <c r="AH206" s="84">
        <v>0.13750000000000001</v>
      </c>
      <c r="AI206" s="84">
        <v>0.1366</v>
      </c>
      <c r="AJ206" s="84">
        <v>0.1409</v>
      </c>
      <c r="AK206" s="84">
        <v>0.1125</v>
      </c>
      <c r="AL206" s="84">
        <v>0.18479999999999999</v>
      </c>
    </row>
    <row r="207" spans="1:38">
      <c r="A207">
        <v>204</v>
      </c>
      <c r="B207" t="s">
        <v>139</v>
      </c>
      <c r="C207" s="1" t="s">
        <v>109</v>
      </c>
      <c r="D207">
        <f>+D206+1</f>
        <v>801</v>
      </c>
      <c r="E207" s="84">
        <v>0.1017</v>
      </c>
      <c r="F207" s="84">
        <v>9.8800000000000013E-2</v>
      </c>
      <c r="G207" s="84">
        <v>9.6300000000000011E-2</v>
      </c>
      <c r="H207" s="84">
        <v>0.11630000000000001</v>
      </c>
      <c r="I207" s="84">
        <v>0.11630000000000001</v>
      </c>
      <c r="J207" s="84">
        <v>0.1394</v>
      </c>
      <c r="K207" s="84">
        <v>0.13470000000000001</v>
      </c>
      <c r="L207" s="84">
        <v>0.19390000000000002</v>
      </c>
      <c r="O207" s="94" t="s">
        <v>139</v>
      </c>
      <c r="P207" s="94" t="s">
        <v>109</v>
      </c>
      <c r="U207" s="91">
        <v>11.62</v>
      </c>
      <c r="X207" s="91">
        <v>14.85</v>
      </c>
      <c r="Y207" s="91">
        <v>12.97</v>
      </c>
      <c r="AB207" t="s">
        <v>139</v>
      </c>
      <c r="AC207" s="84">
        <v>0.1017</v>
      </c>
      <c r="AD207" s="84">
        <v>9.8800000000000013E-2</v>
      </c>
      <c r="AE207" s="84">
        <v>9.6300000000000011E-2</v>
      </c>
      <c r="AF207" s="84">
        <v>0.11630000000000001</v>
      </c>
      <c r="AG207" s="84">
        <v>0.1162</v>
      </c>
      <c r="AH207" s="84">
        <v>0.1394</v>
      </c>
      <c r="AI207" s="84">
        <v>0.13470000000000001</v>
      </c>
      <c r="AJ207" s="84">
        <v>0.14849999999999999</v>
      </c>
      <c r="AK207" s="84">
        <v>0.12970000000000001</v>
      </c>
      <c r="AL207" s="84">
        <v>0.19390000000000002</v>
      </c>
    </row>
    <row r="208" spans="1:38">
      <c r="A208">
        <v>205</v>
      </c>
      <c r="B208" t="s">
        <v>140</v>
      </c>
      <c r="C208" s="1" t="s">
        <v>109</v>
      </c>
      <c r="D208">
        <f t="shared" ref="D208:D234" si="7">+D207+1</f>
        <v>802</v>
      </c>
      <c r="E208" s="84">
        <v>6.480000000000001E-2</v>
      </c>
      <c r="F208" s="84">
        <v>6.2E-2</v>
      </c>
      <c r="G208" s="84">
        <v>5.9699999999999996E-2</v>
      </c>
      <c r="H208" s="84">
        <v>7.9199999999999993E-2</v>
      </c>
      <c r="I208" s="84">
        <v>7.9199999999999993E-2</v>
      </c>
      <c r="J208" s="84">
        <v>0.10150000000000001</v>
      </c>
      <c r="K208" s="84">
        <v>9.6999999999999989E-2</v>
      </c>
      <c r="L208" s="84">
        <v>0.1542</v>
      </c>
      <c r="O208" s="94" t="s">
        <v>1164</v>
      </c>
      <c r="P208" s="94" t="s">
        <v>109</v>
      </c>
      <c r="U208" s="91">
        <v>7.91</v>
      </c>
      <c r="X208" s="91">
        <v>11.03</v>
      </c>
      <c r="Y208" s="91">
        <v>9.2200000000000006</v>
      </c>
      <c r="AB208" t="s">
        <v>1164</v>
      </c>
      <c r="AC208" s="84">
        <v>6.480000000000001E-2</v>
      </c>
      <c r="AD208" s="84">
        <v>6.2E-2</v>
      </c>
      <c r="AE208" s="84">
        <v>5.9699999999999996E-2</v>
      </c>
      <c r="AF208" s="84">
        <v>7.9199999999999993E-2</v>
      </c>
      <c r="AG208" s="84">
        <v>7.9100000000000004E-2</v>
      </c>
      <c r="AH208" s="84">
        <v>0.10150000000000001</v>
      </c>
      <c r="AI208" s="84">
        <v>9.6999999999999989E-2</v>
      </c>
      <c r="AJ208" s="84">
        <v>0.1103</v>
      </c>
      <c r="AK208" s="84">
        <v>9.2200000000000004E-2</v>
      </c>
      <c r="AL208" s="84">
        <v>0.1542</v>
      </c>
    </row>
    <row r="209" spans="1:38">
      <c r="A209">
        <v>206</v>
      </c>
      <c r="B209" t="s">
        <v>142</v>
      </c>
      <c r="C209" s="1" t="s">
        <v>109</v>
      </c>
      <c r="D209">
        <f t="shared" si="7"/>
        <v>803</v>
      </c>
      <c r="E209" s="84">
        <v>0.19699999999999998</v>
      </c>
      <c r="F209" s="84">
        <v>0.1946</v>
      </c>
      <c r="G209" s="84">
        <v>0.1925</v>
      </c>
      <c r="H209" s="84">
        <v>0.21390000000000001</v>
      </c>
      <c r="I209" s="84">
        <v>0.21390000000000001</v>
      </c>
      <c r="J209" s="84">
        <v>0.2414</v>
      </c>
      <c r="K209" s="84">
        <v>0.2419</v>
      </c>
      <c r="L209" s="84">
        <v>0.23399999999999999</v>
      </c>
      <c r="O209" s="94" t="s">
        <v>142</v>
      </c>
      <c r="P209" s="94" t="s">
        <v>109</v>
      </c>
      <c r="U209" s="91">
        <v>21.39</v>
      </c>
      <c r="X209" s="91">
        <v>24.04</v>
      </c>
      <c r="Y209" s="91">
        <v>23.74</v>
      </c>
      <c r="AB209" t="s">
        <v>142</v>
      </c>
      <c r="AC209" s="84">
        <v>0.19699999999999998</v>
      </c>
      <c r="AD209" s="84">
        <v>0.1946</v>
      </c>
      <c r="AE209" s="84">
        <v>0.1925</v>
      </c>
      <c r="AF209" s="84">
        <v>0.21390000000000001</v>
      </c>
      <c r="AG209" s="84">
        <v>0.21390000000000001</v>
      </c>
      <c r="AH209" s="84">
        <v>0.2414</v>
      </c>
      <c r="AI209" s="84">
        <v>0.2419</v>
      </c>
      <c r="AJ209" s="84">
        <v>0.2404</v>
      </c>
      <c r="AK209" s="84">
        <v>0.23739999999999997</v>
      </c>
      <c r="AL209" s="84">
        <v>0.23399999999999999</v>
      </c>
    </row>
    <row r="210" spans="1:38">
      <c r="A210">
        <v>207</v>
      </c>
      <c r="B210" t="s">
        <v>143</v>
      </c>
      <c r="C210" s="1" t="s">
        <v>109</v>
      </c>
      <c r="D210">
        <f t="shared" si="7"/>
        <v>804</v>
      </c>
      <c r="E210" s="84">
        <v>0</v>
      </c>
      <c r="F210" s="84">
        <v>0</v>
      </c>
      <c r="G210" s="84">
        <v>0</v>
      </c>
      <c r="H210" s="84">
        <v>0</v>
      </c>
      <c r="I210" s="84">
        <v>0</v>
      </c>
      <c r="J210" s="84">
        <v>0</v>
      </c>
      <c r="K210" s="84">
        <v>0</v>
      </c>
      <c r="L210" s="84">
        <v>0</v>
      </c>
      <c r="O210" s="94" t="s">
        <v>1165</v>
      </c>
      <c r="P210" s="94" t="s">
        <v>109</v>
      </c>
      <c r="Q210" s="92"/>
      <c r="R210" s="92"/>
      <c r="S210" s="92"/>
      <c r="T210" s="92"/>
      <c r="U210" s="92"/>
      <c r="V210" s="92"/>
      <c r="W210" s="92"/>
      <c r="X210" s="92"/>
      <c r="Y210" s="92"/>
      <c r="Z210" s="92"/>
      <c r="AB210" t="s">
        <v>1165</v>
      </c>
      <c r="AC210" s="84">
        <v>0</v>
      </c>
      <c r="AD210" s="84">
        <v>0</v>
      </c>
      <c r="AE210" s="84">
        <v>0</v>
      </c>
      <c r="AF210" s="84">
        <v>0</v>
      </c>
      <c r="AG210" s="84">
        <v>0</v>
      </c>
      <c r="AH210" s="84">
        <v>0</v>
      </c>
      <c r="AI210" s="84">
        <v>0</v>
      </c>
      <c r="AJ210" s="84">
        <v>0</v>
      </c>
      <c r="AK210" s="84">
        <v>0</v>
      </c>
      <c r="AL210" s="84">
        <v>0</v>
      </c>
    </row>
    <row r="211" spans="1:38">
      <c r="A211">
        <v>208</v>
      </c>
      <c r="B211" t="s">
        <v>145</v>
      </c>
      <c r="C211" s="1" t="s">
        <v>109</v>
      </c>
      <c r="D211">
        <f t="shared" si="7"/>
        <v>805</v>
      </c>
      <c r="E211" s="84"/>
      <c r="F211" s="84"/>
      <c r="G211" s="84"/>
      <c r="H211" s="84"/>
      <c r="I211" s="84"/>
      <c r="J211" s="84"/>
      <c r="K211" s="84"/>
      <c r="L211" s="84"/>
      <c r="O211" s="94"/>
      <c r="P211" s="94"/>
      <c r="Q211" s="107"/>
      <c r="R211" s="107"/>
      <c r="S211" s="107"/>
      <c r="T211" s="107"/>
      <c r="U211" s="92"/>
      <c r="V211" s="107"/>
      <c r="W211" s="107"/>
      <c r="X211" s="92"/>
      <c r="Y211" s="92"/>
      <c r="Z211" s="107"/>
      <c r="AC211" s="84"/>
      <c r="AD211" s="84"/>
      <c r="AE211" s="84"/>
      <c r="AF211" s="84"/>
      <c r="AG211" s="84"/>
      <c r="AH211" s="84"/>
      <c r="AI211" s="84"/>
      <c r="AJ211" s="84"/>
      <c r="AK211" s="84"/>
      <c r="AL211" s="84"/>
    </row>
    <row r="212" spans="1:38">
      <c r="A212">
        <v>209</v>
      </c>
      <c r="B212" t="s">
        <v>146</v>
      </c>
      <c r="C212" s="1" t="s">
        <v>109</v>
      </c>
      <c r="D212">
        <f t="shared" si="7"/>
        <v>806</v>
      </c>
      <c r="E212" s="84">
        <v>0.40429999999999999</v>
      </c>
      <c r="F212" s="84">
        <v>0.40200000000000002</v>
      </c>
      <c r="G212" s="84">
        <v>0.39990000000000003</v>
      </c>
      <c r="H212" s="84">
        <v>0.42560000000000003</v>
      </c>
      <c r="I212" s="84">
        <v>0.42560000000000003</v>
      </c>
      <c r="J212" s="84">
        <v>0.45979999999999999</v>
      </c>
      <c r="K212" s="84">
        <v>0.45979999999999999</v>
      </c>
      <c r="L212" s="84">
        <v>0.45219999999999999</v>
      </c>
      <c r="O212" s="94" t="s">
        <v>1126</v>
      </c>
      <c r="P212" s="94" t="s">
        <v>109</v>
      </c>
      <c r="U212" s="91">
        <v>42.55</v>
      </c>
      <c r="X212" s="91">
        <v>46.08</v>
      </c>
      <c r="Y212" s="91">
        <v>45.41</v>
      </c>
      <c r="AB212" t="s">
        <v>1126</v>
      </c>
      <c r="AC212" s="84">
        <v>0.40429999999999999</v>
      </c>
      <c r="AD212" s="84">
        <v>0.40200000000000002</v>
      </c>
      <c r="AE212" s="84">
        <v>0.39990000000000003</v>
      </c>
      <c r="AF212" s="84">
        <v>0.42560000000000003</v>
      </c>
      <c r="AG212" s="84">
        <v>0.42549999999999999</v>
      </c>
      <c r="AH212" s="84">
        <v>0.45979999999999999</v>
      </c>
      <c r="AI212" s="84">
        <v>0.45979999999999999</v>
      </c>
      <c r="AJ212" s="84">
        <v>0.46079999999999999</v>
      </c>
      <c r="AK212" s="84">
        <v>0.45409999999999995</v>
      </c>
      <c r="AL212" s="84">
        <v>0.45219999999999999</v>
      </c>
    </row>
    <row r="213" spans="1:38">
      <c r="A213">
        <v>210</v>
      </c>
      <c r="B213" t="s">
        <v>148</v>
      </c>
      <c r="C213" s="1" t="s">
        <v>109</v>
      </c>
      <c r="D213">
        <f t="shared" si="7"/>
        <v>807</v>
      </c>
      <c r="E213" s="84">
        <v>0.47960000000000003</v>
      </c>
      <c r="F213" s="84">
        <v>0.47729999999999995</v>
      </c>
      <c r="G213" s="84">
        <v>0.47520000000000001</v>
      </c>
      <c r="H213" s="84">
        <v>0.50240000000000007</v>
      </c>
      <c r="I213" s="84">
        <v>0.50240000000000007</v>
      </c>
      <c r="J213" s="84">
        <v>0.53839999999999999</v>
      </c>
      <c r="K213" s="84">
        <v>0.53839999999999999</v>
      </c>
      <c r="L213" s="84">
        <v>0.53049999999999997</v>
      </c>
      <c r="O213" s="94" t="s">
        <v>1166</v>
      </c>
      <c r="P213" s="94" t="s">
        <v>109</v>
      </c>
      <c r="U213" s="91">
        <v>50.23</v>
      </c>
      <c r="X213" s="91">
        <v>53.95</v>
      </c>
      <c r="Y213" s="91">
        <v>53.24</v>
      </c>
      <c r="AB213" t="s">
        <v>1166</v>
      </c>
      <c r="AC213" s="84">
        <v>0.47960000000000003</v>
      </c>
      <c r="AD213" s="84">
        <v>0.47729999999999995</v>
      </c>
      <c r="AE213" s="84">
        <v>0.47520000000000001</v>
      </c>
      <c r="AF213" s="84">
        <v>0.50240000000000007</v>
      </c>
      <c r="AG213" s="84">
        <v>0.50229999999999997</v>
      </c>
      <c r="AH213" s="84">
        <v>0.53839999999999999</v>
      </c>
      <c r="AI213" s="84">
        <v>0.53839999999999999</v>
      </c>
      <c r="AJ213" s="84">
        <v>0.53949999999999998</v>
      </c>
      <c r="AK213" s="84">
        <v>0.53239999999999998</v>
      </c>
      <c r="AL213" s="84">
        <v>0.53049999999999997</v>
      </c>
    </row>
    <row r="214" spans="1:38">
      <c r="A214">
        <v>211</v>
      </c>
      <c r="B214" t="s">
        <v>149</v>
      </c>
      <c r="C214" s="1" t="s">
        <v>109</v>
      </c>
      <c r="D214">
        <f t="shared" si="7"/>
        <v>808</v>
      </c>
      <c r="E214" s="84">
        <v>0.49780000000000002</v>
      </c>
      <c r="F214" s="84">
        <v>0.49560000000000004</v>
      </c>
      <c r="G214" s="84">
        <v>0.49369999999999997</v>
      </c>
      <c r="H214" s="84">
        <v>0.52129999999999999</v>
      </c>
      <c r="I214" s="84">
        <v>0.52129999999999999</v>
      </c>
      <c r="J214" s="84">
        <v>0.55779999999999996</v>
      </c>
      <c r="K214" s="84">
        <v>0.55779999999999996</v>
      </c>
      <c r="L214" s="84">
        <v>0.54979999999999996</v>
      </c>
      <c r="O214" s="94" t="s">
        <v>1167</v>
      </c>
      <c r="P214" s="94" t="s">
        <v>109</v>
      </c>
      <c r="U214" s="91">
        <v>52.12</v>
      </c>
      <c r="X214" s="91">
        <v>55.89</v>
      </c>
      <c r="Y214" s="91">
        <v>55.18</v>
      </c>
      <c r="AB214" t="s">
        <v>1167</v>
      </c>
      <c r="AC214" s="84">
        <v>0.49780000000000002</v>
      </c>
      <c r="AD214" s="84">
        <v>0.49560000000000004</v>
      </c>
      <c r="AE214" s="84">
        <v>0.49369999999999997</v>
      </c>
      <c r="AF214" s="84">
        <v>0.52129999999999999</v>
      </c>
      <c r="AG214" s="84">
        <v>0.5212</v>
      </c>
      <c r="AH214" s="84">
        <v>0.55779999999999996</v>
      </c>
      <c r="AI214" s="84">
        <v>0.55779999999999996</v>
      </c>
      <c r="AJ214" s="84">
        <v>0.55889999999999995</v>
      </c>
      <c r="AK214" s="84">
        <v>0.55179999999999996</v>
      </c>
      <c r="AL214" s="84">
        <v>0.54979999999999996</v>
      </c>
    </row>
    <row r="215" spans="1:38">
      <c r="A215">
        <v>212</v>
      </c>
      <c r="B215" t="s">
        <v>151</v>
      </c>
      <c r="C215" s="1" t="s">
        <v>109</v>
      </c>
      <c r="D215">
        <f t="shared" si="7"/>
        <v>809</v>
      </c>
      <c r="E215" s="84">
        <v>0.56520000000000004</v>
      </c>
      <c r="F215" s="84">
        <v>0.56289999999999996</v>
      </c>
      <c r="G215" s="84">
        <v>0.56090000000000007</v>
      </c>
      <c r="H215" s="84">
        <v>0.5897</v>
      </c>
      <c r="I215" s="84">
        <v>0.5897</v>
      </c>
      <c r="J215" s="84">
        <v>0.62790000000000001</v>
      </c>
      <c r="K215" s="84">
        <v>0.62790000000000001</v>
      </c>
      <c r="L215" s="84">
        <v>0.61960000000000004</v>
      </c>
      <c r="O215" s="94" t="s">
        <v>1168</v>
      </c>
      <c r="P215" s="94" t="s">
        <v>109</v>
      </c>
      <c r="U215" s="91">
        <v>58.97</v>
      </c>
      <c r="X215" s="91">
        <v>62.91</v>
      </c>
      <c r="Y215" s="91">
        <v>62.16</v>
      </c>
      <c r="AB215" t="s">
        <v>1168</v>
      </c>
      <c r="AC215" s="84">
        <v>0.56520000000000004</v>
      </c>
      <c r="AD215" s="84">
        <v>0.56289999999999996</v>
      </c>
      <c r="AE215" s="84">
        <v>0.56090000000000007</v>
      </c>
      <c r="AF215" s="84">
        <v>0.5897</v>
      </c>
      <c r="AG215" s="84">
        <v>0.5897</v>
      </c>
      <c r="AH215" s="84">
        <v>0.62790000000000001</v>
      </c>
      <c r="AI215" s="84">
        <v>0.62790000000000001</v>
      </c>
      <c r="AJ215" s="84">
        <v>0.62909999999999999</v>
      </c>
      <c r="AK215" s="84">
        <v>0.62159999999999993</v>
      </c>
      <c r="AL215" s="84">
        <v>0.61960000000000004</v>
      </c>
    </row>
    <row r="216" spans="1:38">
      <c r="A216">
        <v>213</v>
      </c>
      <c r="B216" t="s">
        <v>152</v>
      </c>
      <c r="C216" s="1" t="s">
        <v>109</v>
      </c>
      <c r="D216">
        <f t="shared" si="7"/>
        <v>810</v>
      </c>
      <c r="E216" s="84">
        <v>0</v>
      </c>
      <c r="F216" s="84">
        <v>0</v>
      </c>
      <c r="G216" s="84">
        <v>0</v>
      </c>
      <c r="H216" s="84">
        <v>0</v>
      </c>
      <c r="I216" s="84">
        <v>0</v>
      </c>
      <c r="J216" s="84">
        <v>0</v>
      </c>
      <c r="K216" s="84">
        <v>0</v>
      </c>
      <c r="L216" s="84">
        <v>0</v>
      </c>
      <c r="O216" s="94" t="s">
        <v>1169</v>
      </c>
      <c r="P216" s="94" t="s">
        <v>109</v>
      </c>
      <c r="Q216" s="92"/>
      <c r="R216" s="92"/>
      <c r="S216" s="92"/>
      <c r="T216" s="92"/>
      <c r="U216" s="92"/>
      <c r="V216" s="92"/>
      <c r="W216" s="92"/>
      <c r="X216" s="92"/>
      <c r="Y216" s="92"/>
      <c r="Z216" s="92"/>
      <c r="AB216" t="s">
        <v>1169</v>
      </c>
      <c r="AC216" s="84">
        <v>0</v>
      </c>
      <c r="AD216" s="84">
        <v>0</v>
      </c>
      <c r="AE216" s="84">
        <v>0</v>
      </c>
      <c r="AF216" s="84">
        <v>0</v>
      </c>
      <c r="AG216" s="84">
        <v>0</v>
      </c>
      <c r="AH216" s="84">
        <v>0</v>
      </c>
      <c r="AI216" s="84">
        <v>0</v>
      </c>
      <c r="AJ216" s="84">
        <v>0</v>
      </c>
      <c r="AK216" s="84">
        <v>0</v>
      </c>
      <c r="AL216" s="84">
        <v>0</v>
      </c>
    </row>
    <row r="217" spans="1:38">
      <c r="A217">
        <v>214</v>
      </c>
      <c r="B217" t="s">
        <v>154</v>
      </c>
      <c r="C217" s="1" t="s">
        <v>109</v>
      </c>
      <c r="D217">
        <f t="shared" si="7"/>
        <v>811</v>
      </c>
      <c r="E217" s="84">
        <v>0.55169999999999997</v>
      </c>
      <c r="F217" s="84">
        <v>0.54079999999999995</v>
      </c>
      <c r="G217" s="84">
        <v>0.53270000000000006</v>
      </c>
      <c r="H217" s="84">
        <v>0.55610000000000004</v>
      </c>
      <c r="I217" s="84">
        <v>0.55610000000000004</v>
      </c>
      <c r="J217" s="84">
        <v>0.60209999999999997</v>
      </c>
      <c r="K217" s="84">
        <v>0.60219999999999996</v>
      </c>
      <c r="L217" s="84">
        <v>0.60150000000000003</v>
      </c>
      <c r="O217" s="94" t="s">
        <v>733</v>
      </c>
      <c r="P217" s="94" t="s">
        <v>109</v>
      </c>
      <c r="U217" s="91">
        <v>55.61</v>
      </c>
      <c r="X217" s="91">
        <v>62.1</v>
      </c>
      <c r="Y217" s="91">
        <v>60.29</v>
      </c>
      <c r="AB217" t="s">
        <v>733</v>
      </c>
      <c r="AC217" s="84">
        <v>0.55169999999999997</v>
      </c>
      <c r="AD217" s="84">
        <v>0.54079999999999995</v>
      </c>
      <c r="AE217" s="84">
        <v>0.53270000000000006</v>
      </c>
      <c r="AF217" s="84">
        <v>0.55610000000000004</v>
      </c>
      <c r="AG217" s="84">
        <v>0.55610000000000004</v>
      </c>
      <c r="AH217" s="84">
        <v>0.60209999999999997</v>
      </c>
      <c r="AI217" s="84">
        <v>0.60219999999999996</v>
      </c>
      <c r="AJ217" s="84">
        <v>0.621</v>
      </c>
      <c r="AK217" s="84">
        <v>0.60289999999999999</v>
      </c>
      <c r="AL217" s="84">
        <v>0.60150000000000003</v>
      </c>
    </row>
    <row r="218" spans="1:38">
      <c r="A218">
        <v>215</v>
      </c>
      <c r="B218" t="s">
        <v>155</v>
      </c>
      <c r="C218" s="1" t="s">
        <v>109</v>
      </c>
      <c r="D218">
        <f t="shared" si="7"/>
        <v>812</v>
      </c>
      <c r="E218" s="84">
        <v>0.52929999999999999</v>
      </c>
      <c r="F218" s="84">
        <v>0.52710000000000001</v>
      </c>
      <c r="G218" s="84">
        <v>0.5252</v>
      </c>
      <c r="H218" s="84">
        <v>0.55359999999999998</v>
      </c>
      <c r="I218" s="84">
        <v>0.55359999999999998</v>
      </c>
      <c r="J218" s="84">
        <v>0.57679999999999998</v>
      </c>
      <c r="K218" s="84">
        <v>0.57689999999999997</v>
      </c>
      <c r="L218" s="84">
        <v>0.56110000000000004</v>
      </c>
      <c r="O218" s="94" t="s">
        <v>1170</v>
      </c>
      <c r="P218" s="94" t="s">
        <v>109</v>
      </c>
      <c r="U218" s="91">
        <v>55.35</v>
      </c>
      <c r="X218" s="91">
        <v>58.01</v>
      </c>
      <c r="Y218" s="91">
        <v>56.24</v>
      </c>
      <c r="AB218" t="s">
        <v>1170</v>
      </c>
      <c r="AC218" s="84">
        <v>0.52929999999999999</v>
      </c>
      <c r="AD218" s="84">
        <v>0.52710000000000001</v>
      </c>
      <c r="AE218" s="84">
        <v>0.5252</v>
      </c>
      <c r="AF218" s="84">
        <v>0.55359999999999998</v>
      </c>
      <c r="AG218" s="84">
        <v>0.55349999999999999</v>
      </c>
      <c r="AH218" s="84">
        <v>0.57679999999999998</v>
      </c>
      <c r="AI218" s="84">
        <v>0.57689999999999997</v>
      </c>
      <c r="AJ218" s="84">
        <v>0.58009999999999995</v>
      </c>
      <c r="AK218" s="84">
        <v>0.56240000000000001</v>
      </c>
      <c r="AL218" s="84">
        <v>0.56110000000000004</v>
      </c>
    </row>
    <row r="219" spans="1:38">
      <c r="A219">
        <v>216</v>
      </c>
      <c r="B219" t="s">
        <v>157</v>
      </c>
      <c r="C219" s="1" t="s">
        <v>109</v>
      </c>
      <c r="D219">
        <f t="shared" si="7"/>
        <v>813</v>
      </c>
      <c r="E219" s="84">
        <v>0.52770000000000006</v>
      </c>
      <c r="F219" s="84">
        <v>0.52560000000000007</v>
      </c>
      <c r="G219" s="84">
        <v>0.52380000000000004</v>
      </c>
      <c r="H219" s="84">
        <v>0.55230000000000001</v>
      </c>
      <c r="I219" s="84">
        <v>0.55230000000000001</v>
      </c>
      <c r="J219" s="84">
        <v>0.5756</v>
      </c>
      <c r="K219" s="84">
        <v>0.5756</v>
      </c>
      <c r="L219" s="84">
        <v>0.55990000000000006</v>
      </c>
      <c r="O219" s="94" t="s">
        <v>1171</v>
      </c>
      <c r="P219" s="94" t="s">
        <v>109</v>
      </c>
      <c r="U219" s="91">
        <v>55.22</v>
      </c>
      <c r="X219" s="91">
        <v>57.88</v>
      </c>
      <c r="Y219" s="91">
        <v>56.12</v>
      </c>
      <c r="AB219" t="s">
        <v>1171</v>
      </c>
      <c r="AC219" s="84">
        <v>0.52770000000000006</v>
      </c>
      <c r="AD219" s="84">
        <v>0.52560000000000007</v>
      </c>
      <c r="AE219" s="84">
        <v>0.52380000000000004</v>
      </c>
      <c r="AF219" s="84">
        <v>0.55230000000000001</v>
      </c>
      <c r="AG219" s="84">
        <v>0.55220000000000002</v>
      </c>
      <c r="AH219" s="84">
        <v>0.5756</v>
      </c>
      <c r="AI219" s="84">
        <v>0.5756</v>
      </c>
      <c r="AJ219" s="84">
        <v>0.57879999999999998</v>
      </c>
      <c r="AK219" s="84">
        <v>0.56119999999999992</v>
      </c>
      <c r="AL219" s="84">
        <v>0.55990000000000006</v>
      </c>
    </row>
    <row r="220" spans="1:38">
      <c r="A220">
        <v>217</v>
      </c>
      <c r="B220" t="s">
        <v>158</v>
      </c>
      <c r="C220" s="1" t="s">
        <v>109</v>
      </c>
      <c r="D220">
        <f t="shared" si="7"/>
        <v>814</v>
      </c>
      <c r="E220" s="84">
        <v>0.57350000000000001</v>
      </c>
      <c r="F220" s="84">
        <v>0.57140000000000002</v>
      </c>
      <c r="G220" s="84">
        <v>0.56950000000000001</v>
      </c>
      <c r="H220" s="84">
        <v>0.5988</v>
      </c>
      <c r="I220" s="84">
        <v>0.5988</v>
      </c>
      <c r="J220" s="84">
        <v>0.62280000000000002</v>
      </c>
      <c r="K220" s="84">
        <v>0.62290000000000001</v>
      </c>
      <c r="L220" s="84">
        <v>0.60670000000000002</v>
      </c>
      <c r="O220" s="94" t="s">
        <v>1172</v>
      </c>
      <c r="P220" s="94" t="s">
        <v>109</v>
      </c>
      <c r="U220" s="91">
        <v>59.88</v>
      </c>
      <c r="X220" s="91">
        <v>62.62</v>
      </c>
      <c r="Y220" s="91">
        <v>60.81</v>
      </c>
      <c r="AB220" t="s">
        <v>1172</v>
      </c>
      <c r="AC220" s="84">
        <v>0.57350000000000001</v>
      </c>
      <c r="AD220" s="84">
        <v>0.57140000000000002</v>
      </c>
      <c r="AE220" s="84">
        <v>0.56950000000000001</v>
      </c>
      <c r="AF220" s="84">
        <v>0.5988</v>
      </c>
      <c r="AG220" s="84">
        <v>0.5988</v>
      </c>
      <c r="AH220" s="84">
        <v>0.62280000000000002</v>
      </c>
      <c r="AI220" s="84">
        <v>0.62290000000000001</v>
      </c>
      <c r="AJ220" s="84">
        <v>0.62619999999999998</v>
      </c>
      <c r="AK220" s="84">
        <v>0.60809999999999997</v>
      </c>
      <c r="AL220" s="84">
        <v>0.60670000000000002</v>
      </c>
    </row>
    <row r="221" spans="1:38">
      <c r="A221">
        <v>218</v>
      </c>
      <c r="B221" t="s">
        <v>160</v>
      </c>
      <c r="C221" s="1" t="s">
        <v>109</v>
      </c>
      <c r="D221">
        <f t="shared" si="7"/>
        <v>815</v>
      </c>
      <c r="E221" s="84">
        <v>0</v>
      </c>
      <c r="F221" s="84">
        <v>0</v>
      </c>
      <c r="G221" s="84">
        <v>0</v>
      </c>
      <c r="H221" s="84">
        <v>0</v>
      </c>
      <c r="I221" s="84">
        <v>0</v>
      </c>
      <c r="J221" s="84">
        <v>0</v>
      </c>
      <c r="K221" s="84">
        <v>0</v>
      </c>
      <c r="L221" s="84">
        <v>0</v>
      </c>
      <c r="O221" s="94" t="s">
        <v>1173</v>
      </c>
      <c r="P221" s="94" t="s">
        <v>109</v>
      </c>
      <c r="Q221" s="92"/>
      <c r="R221" s="92"/>
      <c r="S221" s="92"/>
      <c r="T221" s="92"/>
      <c r="U221" s="92"/>
      <c r="V221" s="92"/>
      <c r="W221" s="92"/>
      <c r="X221" s="92"/>
      <c r="Y221" s="92"/>
      <c r="Z221" s="92"/>
      <c r="AB221" t="s">
        <v>1173</v>
      </c>
      <c r="AC221" s="84">
        <v>0</v>
      </c>
      <c r="AD221" s="84">
        <v>0</v>
      </c>
      <c r="AE221" s="84">
        <v>0</v>
      </c>
      <c r="AF221" s="84">
        <v>0</v>
      </c>
      <c r="AG221" s="84">
        <v>0</v>
      </c>
      <c r="AH221" s="84">
        <v>0</v>
      </c>
      <c r="AI221" s="84">
        <v>0</v>
      </c>
      <c r="AJ221" s="84">
        <v>0</v>
      </c>
      <c r="AK221" s="84">
        <v>0</v>
      </c>
      <c r="AL221" s="84">
        <v>0</v>
      </c>
    </row>
    <row r="222" spans="1:38">
      <c r="A222">
        <v>219</v>
      </c>
      <c r="B222" t="s">
        <v>161</v>
      </c>
      <c r="C222" s="1" t="s">
        <v>109</v>
      </c>
      <c r="D222">
        <f t="shared" si="7"/>
        <v>816</v>
      </c>
      <c r="E222" s="84">
        <v>0.53139999999999998</v>
      </c>
      <c r="F222" s="84">
        <v>0.54569999999999996</v>
      </c>
      <c r="G222" s="84">
        <v>0.5615</v>
      </c>
      <c r="H222" s="84">
        <v>0.59379999999999999</v>
      </c>
      <c r="I222" s="84">
        <v>0.59379999999999999</v>
      </c>
      <c r="J222" s="84">
        <v>0.61909999999999998</v>
      </c>
      <c r="K222" s="84">
        <v>0.61970000000000003</v>
      </c>
      <c r="L222" s="84">
        <v>0.61809999999999998</v>
      </c>
      <c r="O222" s="94" t="s">
        <v>734</v>
      </c>
      <c r="P222" s="94" t="s">
        <v>109</v>
      </c>
      <c r="U222" s="91">
        <v>59.44</v>
      </c>
      <c r="X222" s="91">
        <v>63.02</v>
      </c>
      <c r="Y222" s="91">
        <v>61.58</v>
      </c>
      <c r="AB222" t="s">
        <v>734</v>
      </c>
      <c r="AC222" s="84">
        <v>0.53139999999999998</v>
      </c>
      <c r="AD222" s="84">
        <v>0.54569999999999996</v>
      </c>
      <c r="AE222" s="84">
        <v>0.5615</v>
      </c>
      <c r="AF222" s="84">
        <v>0.59379999999999999</v>
      </c>
      <c r="AG222" s="84">
        <v>0.59439999999999993</v>
      </c>
      <c r="AH222" s="84">
        <v>0.61909999999999998</v>
      </c>
      <c r="AI222" s="84">
        <v>0.61970000000000003</v>
      </c>
      <c r="AJ222" s="84">
        <v>0.63019999999999998</v>
      </c>
      <c r="AK222" s="84">
        <v>0.61580000000000001</v>
      </c>
      <c r="AL222" s="84">
        <v>0.61809999999999998</v>
      </c>
    </row>
    <row r="223" spans="1:38">
      <c r="A223">
        <v>220</v>
      </c>
      <c r="B223" t="s">
        <v>163</v>
      </c>
      <c r="C223" s="1" t="s">
        <v>109</v>
      </c>
      <c r="D223">
        <f t="shared" si="7"/>
        <v>817</v>
      </c>
      <c r="E223" s="84">
        <v>0.48930000000000001</v>
      </c>
      <c r="F223" s="84">
        <v>0.49520000000000003</v>
      </c>
      <c r="G223" s="84">
        <v>0.50880000000000003</v>
      </c>
      <c r="H223" s="84">
        <v>0.53720000000000001</v>
      </c>
      <c r="I223" s="84">
        <v>0.53720000000000001</v>
      </c>
      <c r="J223" s="84">
        <v>0.5615</v>
      </c>
      <c r="K223" s="84">
        <v>0.56210000000000004</v>
      </c>
      <c r="L223" s="84">
        <v>0.56059999999999999</v>
      </c>
      <c r="O223" s="94" t="s">
        <v>1174</v>
      </c>
      <c r="P223" s="94" t="s">
        <v>109</v>
      </c>
      <c r="U223" s="91">
        <v>53.72</v>
      </c>
      <c r="X223" s="91">
        <v>57.22</v>
      </c>
      <c r="Y223" s="91">
        <v>55.83</v>
      </c>
      <c r="AB223" t="s">
        <v>1174</v>
      </c>
      <c r="AC223" s="84">
        <v>0.48930000000000001</v>
      </c>
      <c r="AD223" s="84">
        <v>0.49520000000000003</v>
      </c>
      <c r="AE223" s="84">
        <v>0.50880000000000003</v>
      </c>
      <c r="AF223" s="84">
        <v>0.53720000000000001</v>
      </c>
      <c r="AG223" s="84">
        <v>0.53720000000000001</v>
      </c>
      <c r="AH223" s="84">
        <v>0.5615</v>
      </c>
      <c r="AI223" s="84">
        <v>0.56210000000000004</v>
      </c>
      <c r="AJ223" s="84">
        <v>0.57220000000000004</v>
      </c>
      <c r="AK223" s="84">
        <v>0.55830000000000002</v>
      </c>
      <c r="AL223" s="84">
        <v>0.56059999999999999</v>
      </c>
    </row>
    <row r="224" spans="1:38">
      <c r="A224">
        <v>221</v>
      </c>
      <c r="B224" t="s">
        <v>164</v>
      </c>
      <c r="C224" s="1" t="s">
        <v>109</v>
      </c>
      <c r="D224">
        <f t="shared" si="7"/>
        <v>818</v>
      </c>
      <c r="E224" s="84">
        <v>0.41450000000000004</v>
      </c>
      <c r="F224" s="84">
        <v>0.41320000000000001</v>
      </c>
      <c r="G224" s="84">
        <v>0.41220000000000001</v>
      </c>
      <c r="H224" s="84">
        <v>0.43890000000000001</v>
      </c>
      <c r="I224" s="84">
        <v>0.43890000000000001</v>
      </c>
      <c r="J224" s="84">
        <v>0.44719999999999999</v>
      </c>
      <c r="K224" s="84">
        <v>0.44780000000000003</v>
      </c>
      <c r="L224" s="84">
        <v>0.44650000000000001</v>
      </c>
      <c r="O224" s="94" t="s">
        <v>1175</v>
      </c>
      <c r="P224" s="94" t="s">
        <v>109</v>
      </c>
      <c r="U224" s="91">
        <v>43.89</v>
      </c>
      <c r="X224" s="91">
        <v>45.72</v>
      </c>
      <c r="Y224" s="91">
        <v>44.44</v>
      </c>
      <c r="AB224" t="s">
        <v>1175</v>
      </c>
      <c r="AC224" s="84">
        <v>0.41450000000000004</v>
      </c>
      <c r="AD224" s="84">
        <v>0.41320000000000001</v>
      </c>
      <c r="AE224" s="84">
        <v>0.41220000000000001</v>
      </c>
      <c r="AF224" s="84">
        <v>0.43890000000000001</v>
      </c>
      <c r="AG224" s="84">
        <v>0.43890000000000001</v>
      </c>
      <c r="AH224" s="84">
        <v>0.44719999999999999</v>
      </c>
      <c r="AI224" s="84">
        <v>0.44780000000000003</v>
      </c>
      <c r="AJ224" s="84">
        <v>0.4572</v>
      </c>
      <c r="AK224" s="84">
        <v>0.44439999999999996</v>
      </c>
      <c r="AL224" s="84">
        <v>0.44650000000000001</v>
      </c>
    </row>
    <row r="225" spans="1:38">
      <c r="A225">
        <v>222</v>
      </c>
      <c r="B225" t="s">
        <v>166</v>
      </c>
      <c r="C225" s="1" t="s">
        <v>109</v>
      </c>
      <c r="D225">
        <f t="shared" si="7"/>
        <v>819</v>
      </c>
      <c r="E225" s="84">
        <v>0.40939999999999999</v>
      </c>
      <c r="F225" s="84">
        <v>0.40820000000000001</v>
      </c>
      <c r="G225" s="84">
        <v>0.40720000000000001</v>
      </c>
      <c r="H225" s="84">
        <v>0.434</v>
      </c>
      <c r="I225" s="84">
        <v>0.434</v>
      </c>
      <c r="J225" s="84">
        <v>0.44229999999999997</v>
      </c>
      <c r="K225" s="84">
        <v>0.44290000000000002</v>
      </c>
      <c r="L225" s="84">
        <v>0.4415</v>
      </c>
      <c r="O225" s="94" t="s">
        <v>1176</v>
      </c>
      <c r="P225" s="94" t="s">
        <v>109</v>
      </c>
      <c r="U225" s="91">
        <v>43.39</v>
      </c>
      <c r="X225" s="91">
        <v>45.22</v>
      </c>
      <c r="Y225" s="91">
        <v>43.94</v>
      </c>
      <c r="AB225" t="s">
        <v>1176</v>
      </c>
      <c r="AC225" s="84">
        <v>0.40939999999999999</v>
      </c>
      <c r="AD225" s="84">
        <v>0.40820000000000001</v>
      </c>
      <c r="AE225" s="84">
        <v>0.40720000000000001</v>
      </c>
      <c r="AF225" s="84">
        <v>0.434</v>
      </c>
      <c r="AG225" s="84">
        <v>0.43390000000000001</v>
      </c>
      <c r="AH225" s="84">
        <v>0.44229999999999997</v>
      </c>
      <c r="AI225" s="84">
        <v>0.44290000000000002</v>
      </c>
      <c r="AJ225" s="84">
        <v>0.45219999999999999</v>
      </c>
      <c r="AK225" s="84">
        <v>0.43939999999999996</v>
      </c>
      <c r="AL225" s="84">
        <v>0.4415</v>
      </c>
    </row>
    <row r="226" spans="1:38">
      <c r="A226">
        <v>223</v>
      </c>
      <c r="B226" t="s">
        <v>167</v>
      </c>
      <c r="C226" s="1" t="s">
        <v>109</v>
      </c>
      <c r="D226">
        <f t="shared" si="7"/>
        <v>820</v>
      </c>
      <c r="E226" s="84">
        <v>0.46579999999999999</v>
      </c>
      <c r="F226" s="84">
        <v>0.46450000000000002</v>
      </c>
      <c r="G226" s="84">
        <v>0.46350000000000002</v>
      </c>
      <c r="H226" s="84">
        <v>0.49130000000000001</v>
      </c>
      <c r="I226" s="84">
        <v>0.49130000000000001</v>
      </c>
      <c r="J226" s="84">
        <v>0.5</v>
      </c>
      <c r="K226" s="84">
        <v>0.50060000000000004</v>
      </c>
      <c r="L226" s="84">
        <v>0.49920000000000003</v>
      </c>
      <c r="O226" s="94" t="s">
        <v>1177</v>
      </c>
      <c r="P226" s="94" t="s">
        <v>109</v>
      </c>
      <c r="U226" s="91">
        <v>49.13</v>
      </c>
      <c r="X226" s="91">
        <v>51.03</v>
      </c>
      <c r="Y226" s="91">
        <v>49.7</v>
      </c>
      <c r="AB226" t="s">
        <v>1177</v>
      </c>
      <c r="AC226" s="84">
        <v>0.46579999999999999</v>
      </c>
      <c r="AD226" s="84">
        <v>0.46450000000000002</v>
      </c>
      <c r="AE226" s="84">
        <v>0.46350000000000002</v>
      </c>
      <c r="AF226" s="84">
        <v>0.49130000000000001</v>
      </c>
      <c r="AG226" s="84">
        <v>0.49130000000000001</v>
      </c>
      <c r="AH226" s="84">
        <v>0.5</v>
      </c>
      <c r="AI226" s="84">
        <v>0.50060000000000004</v>
      </c>
      <c r="AJ226" s="84">
        <v>0.51029999999999998</v>
      </c>
      <c r="AK226" s="84">
        <v>0.49700000000000005</v>
      </c>
      <c r="AL226" s="84">
        <v>0.49920000000000003</v>
      </c>
    </row>
    <row r="227" spans="1:38">
      <c r="A227">
        <v>224</v>
      </c>
      <c r="B227" t="s">
        <v>169</v>
      </c>
      <c r="C227" s="1" t="s">
        <v>109</v>
      </c>
      <c r="D227">
        <f t="shared" si="7"/>
        <v>821</v>
      </c>
      <c r="E227" s="84">
        <v>0</v>
      </c>
      <c r="F227" s="84">
        <v>0</v>
      </c>
      <c r="G227" s="84">
        <v>0</v>
      </c>
      <c r="H227" s="84">
        <v>0</v>
      </c>
      <c r="I227" s="84">
        <v>0</v>
      </c>
      <c r="J227" s="84">
        <v>0</v>
      </c>
      <c r="K227" s="84">
        <v>0</v>
      </c>
      <c r="L227" s="84">
        <v>0</v>
      </c>
      <c r="O227" s="94" t="s">
        <v>1178</v>
      </c>
      <c r="P227" s="94" t="s">
        <v>109</v>
      </c>
      <c r="Q227" s="92"/>
      <c r="R227" s="92"/>
      <c r="S227" s="92"/>
      <c r="T227" s="92"/>
      <c r="U227" s="92"/>
      <c r="V227" s="92"/>
      <c r="W227" s="92"/>
      <c r="X227" s="92"/>
      <c r="Y227" s="92"/>
      <c r="Z227" s="92"/>
      <c r="AB227" t="s">
        <v>1178</v>
      </c>
      <c r="AC227" s="84">
        <v>0</v>
      </c>
      <c r="AD227" s="84">
        <v>0</v>
      </c>
      <c r="AE227" s="84">
        <v>0</v>
      </c>
      <c r="AF227" s="84">
        <v>0</v>
      </c>
      <c r="AG227" s="84">
        <v>0</v>
      </c>
      <c r="AH227" s="84">
        <v>0</v>
      </c>
      <c r="AI227" s="84">
        <v>0</v>
      </c>
      <c r="AJ227" s="84">
        <v>0</v>
      </c>
      <c r="AK227" s="84">
        <v>0</v>
      </c>
      <c r="AL227" s="84">
        <v>0</v>
      </c>
    </row>
    <row r="228" spans="1:38">
      <c r="A228">
        <v>225</v>
      </c>
      <c r="B228" t="s">
        <v>170</v>
      </c>
      <c r="C228" s="1" t="s">
        <v>109</v>
      </c>
      <c r="D228">
        <f t="shared" si="7"/>
        <v>822</v>
      </c>
      <c r="E228" s="84">
        <v>0.5968</v>
      </c>
      <c r="F228" s="84">
        <v>0.60060000000000002</v>
      </c>
      <c r="G228" s="84">
        <v>0.60650000000000004</v>
      </c>
      <c r="H228" s="84">
        <v>0.63219999999999998</v>
      </c>
      <c r="I228" s="84">
        <v>0.63219999999999998</v>
      </c>
      <c r="J228" s="84">
        <v>0.6409999999999999</v>
      </c>
      <c r="K228" s="84">
        <v>0.64139999999999997</v>
      </c>
      <c r="L228" s="84">
        <v>0.67779999999999996</v>
      </c>
      <c r="O228" s="94" t="s">
        <v>735</v>
      </c>
      <c r="P228" s="94" t="s">
        <v>109</v>
      </c>
      <c r="U228" s="91">
        <v>63.2</v>
      </c>
      <c r="X228" s="91">
        <v>66.55</v>
      </c>
      <c r="Y228" s="91">
        <v>67.17</v>
      </c>
      <c r="AB228" t="s">
        <v>735</v>
      </c>
      <c r="AC228" s="84">
        <v>0.5968</v>
      </c>
      <c r="AD228" s="84">
        <v>0.60060000000000002</v>
      </c>
      <c r="AE228" s="84">
        <v>0.60650000000000004</v>
      </c>
      <c r="AF228" s="84">
        <v>0.63219999999999998</v>
      </c>
      <c r="AG228" s="84">
        <v>0.63200000000000001</v>
      </c>
      <c r="AH228" s="84">
        <v>0.6409999999999999</v>
      </c>
      <c r="AI228" s="84">
        <v>0.64139999999999997</v>
      </c>
      <c r="AJ228" s="84">
        <v>0.66549999999999998</v>
      </c>
      <c r="AK228" s="84">
        <v>0.67169999999999996</v>
      </c>
      <c r="AL228" s="84">
        <v>0.67779999999999996</v>
      </c>
    </row>
    <row r="229" spans="1:38">
      <c r="A229">
        <v>226</v>
      </c>
      <c r="B229" t="s">
        <v>172</v>
      </c>
      <c r="C229" s="1" t="s">
        <v>109</v>
      </c>
      <c r="D229">
        <f t="shared" si="7"/>
        <v>823</v>
      </c>
      <c r="E229" s="84">
        <v>0.61280000000000001</v>
      </c>
      <c r="F229" s="84">
        <v>0.61659999999999993</v>
      </c>
      <c r="G229" s="84">
        <v>0.62250000000000005</v>
      </c>
      <c r="H229" s="84">
        <v>0.64859999999999995</v>
      </c>
      <c r="I229" s="84">
        <v>0.64859999999999995</v>
      </c>
      <c r="J229" s="84">
        <v>0.65739999999999998</v>
      </c>
      <c r="K229" s="84">
        <v>0.65780000000000005</v>
      </c>
      <c r="L229" s="84">
        <v>0.69459999999999988</v>
      </c>
      <c r="O229" s="94" t="s">
        <v>1179</v>
      </c>
      <c r="P229" s="94" t="s">
        <v>109</v>
      </c>
      <c r="U229" s="91">
        <v>64.83</v>
      </c>
      <c r="X229" s="91">
        <v>68.22</v>
      </c>
      <c r="Y229" s="91">
        <v>68.84</v>
      </c>
      <c r="AB229" t="s">
        <v>1179</v>
      </c>
      <c r="AC229" s="84">
        <v>0.61280000000000001</v>
      </c>
      <c r="AD229" s="84">
        <v>0.61659999999999993</v>
      </c>
      <c r="AE229" s="84">
        <v>0.62250000000000005</v>
      </c>
      <c r="AF229" s="84">
        <v>0.64859999999999995</v>
      </c>
      <c r="AG229" s="84">
        <v>0.64829999999999999</v>
      </c>
      <c r="AH229" s="84">
        <v>0.65739999999999998</v>
      </c>
      <c r="AI229" s="84">
        <v>0.65780000000000005</v>
      </c>
      <c r="AJ229" s="84">
        <v>0.68220000000000003</v>
      </c>
      <c r="AK229" s="84">
        <v>0.68840000000000001</v>
      </c>
      <c r="AL229" s="84">
        <v>0.69459999999999988</v>
      </c>
    </row>
    <row r="230" spans="1:38">
      <c r="A230">
        <v>227</v>
      </c>
      <c r="B230" t="s">
        <v>173</v>
      </c>
      <c r="C230" s="1" t="s">
        <v>109</v>
      </c>
      <c r="D230">
        <f t="shared" si="7"/>
        <v>824</v>
      </c>
      <c r="E230" s="84">
        <v>0.67731200000000003</v>
      </c>
      <c r="F230" s="84">
        <v>0.68126399999999987</v>
      </c>
      <c r="G230" s="84">
        <v>0.6873999999999999</v>
      </c>
      <c r="H230" s="84">
        <v>0.71454400000000018</v>
      </c>
      <c r="I230" s="84">
        <v>0.71454400000000018</v>
      </c>
      <c r="J230" s="84">
        <v>0.72369600000000023</v>
      </c>
      <c r="K230" s="84">
        <v>0.72411200000000009</v>
      </c>
      <c r="L230" s="84">
        <v>0.76238399999999984</v>
      </c>
      <c r="O230" s="94" t="s">
        <v>1180</v>
      </c>
      <c r="P230" s="94" t="s">
        <v>109</v>
      </c>
      <c r="U230" s="91">
        <v>71.42319999999998</v>
      </c>
      <c r="X230" s="91">
        <v>74.948800000000006</v>
      </c>
      <c r="Y230" s="91">
        <v>75.593600000000009</v>
      </c>
      <c r="AB230" t="s">
        <v>1180</v>
      </c>
      <c r="AC230" s="84">
        <v>0.67731200000000003</v>
      </c>
      <c r="AD230" s="84">
        <v>0.68126399999999987</v>
      </c>
      <c r="AE230" s="84">
        <v>0.6873999999999999</v>
      </c>
      <c r="AF230" s="84">
        <v>0.71454400000000018</v>
      </c>
      <c r="AG230" s="84">
        <v>0.71423199999999976</v>
      </c>
      <c r="AH230" s="84">
        <v>0.72369600000000023</v>
      </c>
      <c r="AI230" s="84">
        <v>0.72411200000000009</v>
      </c>
      <c r="AJ230" s="84">
        <v>0.74948800000000004</v>
      </c>
      <c r="AK230" s="84">
        <v>0.75593600000000005</v>
      </c>
      <c r="AL230" s="84">
        <v>0.76238399999999984</v>
      </c>
    </row>
    <row r="231" spans="1:38">
      <c r="A231">
        <v>228</v>
      </c>
      <c r="B231" t="s">
        <v>175</v>
      </c>
      <c r="C231" s="1" t="s">
        <v>109</v>
      </c>
      <c r="D231">
        <f t="shared" si="7"/>
        <v>825</v>
      </c>
      <c r="E231" s="84">
        <v>0.74182400000000004</v>
      </c>
      <c r="F231" s="84">
        <v>0.74592800000000015</v>
      </c>
      <c r="G231" s="84">
        <v>0.75230000000000008</v>
      </c>
      <c r="H231" s="84">
        <v>0.78048800000000029</v>
      </c>
      <c r="I231" s="84">
        <v>0.78048800000000029</v>
      </c>
      <c r="J231" s="84">
        <v>0.78999200000000025</v>
      </c>
      <c r="K231" s="84">
        <v>0.79042400000000013</v>
      </c>
      <c r="L231" s="84">
        <v>0.83016799999999991</v>
      </c>
      <c r="O231" s="94" t="s">
        <v>1180</v>
      </c>
      <c r="P231" s="94" t="s">
        <v>109</v>
      </c>
      <c r="U231" s="91">
        <v>78.016400000000004</v>
      </c>
      <c r="X231" s="91">
        <v>81.677600000000012</v>
      </c>
      <c r="Y231" s="91">
        <v>82.347200000000015</v>
      </c>
      <c r="AB231" t="s">
        <v>1180</v>
      </c>
      <c r="AC231" s="84">
        <v>0.74182400000000004</v>
      </c>
      <c r="AD231" s="84">
        <v>0.74592800000000015</v>
      </c>
      <c r="AE231" s="84">
        <v>0.75230000000000008</v>
      </c>
      <c r="AF231" s="84">
        <v>0.78048800000000029</v>
      </c>
      <c r="AG231" s="84">
        <v>0.78016400000000008</v>
      </c>
      <c r="AH231" s="84">
        <v>0.78999200000000025</v>
      </c>
      <c r="AI231" s="84">
        <v>0.79042400000000013</v>
      </c>
      <c r="AJ231" s="84">
        <v>0.81677600000000017</v>
      </c>
      <c r="AK231" s="84">
        <v>0.8234720000000002</v>
      </c>
      <c r="AL231" s="84">
        <v>0.83016799999999991</v>
      </c>
    </row>
    <row r="232" spans="1:38">
      <c r="A232">
        <v>229</v>
      </c>
      <c r="B232" t="s">
        <v>176</v>
      </c>
      <c r="C232" s="1" t="s">
        <v>109</v>
      </c>
      <c r="D232">
        <f t="shared" si="7"/>
        <v>826</v>
      </c>
      <c r="E232" s="84">
        <v>0.67148800000000008</v>
      </c>
      <c r="F232" s="84">
        <v>0.72614400000000001</v>
      </c>
      <c r="G232" s="84">
        <v>0.7462399999999999</v>
      </c>
      <c r="H232" s="84">
        <v>0.88972800000000007</v>
      </c>
      <c r="I232" s="84">
        <v>0.88972800000000007</v>
      </c>
      <c r="J232" s="84">
        <v>0.92979200000000006</v>
      </c>
      <c r="K232" s="84">
        <v>0.92326399999999997</v>
      </c>
      <c r="L232" s="84">
        <v>0.98982400000000004</v>
      </c>
      <c r="O232" s="94" t="s">
        <v>1128</v>
      </c>
      <c r="P232" s="94" t="s">
        <v>109</v>
      </c>
      <c r="U232" s="91">
        <v>88.34559999999999</v>
      </c>
      <c r="X232" s="91">
        <v>97.33120000000001</v>
      </c>
      <c r="Y232" s="91">
        <v>98.432000000000016</v>
      </c>
      <c r="AB232" t="s">
        <v>1128</v>
      </c>
      <c r="AC232" s="84">
        <v>0.67148800000000008</v>
      </c>
      <c r="AD232" s="84">
        <v>0.72614400000000001</v>
      </c>
      <c r="AE232" s="84">
        <v>0.7462399999999999</v>
      </c>
      <c r="AF232" s="84">
        <v>0.88972800000000007</v>
      </c>
      <c r="AG232" s="84">
        <v>0.88345599999999991</v>
      </c>
      <c r="AH232" s="84">
        <v>0.92979200000000006</v>
      </c>
      <c r="AI232" s="84">
        <v>0.92326399999999997</v>
      </c>
      <c r="AJ232" s="84">
        <v>0.97331200000000007</v>
      </c>
      <c r="AK232" s="84">
        <v>0.98432000000000019</v>
      </c>
      <c r="AL232" s="84">
        <v>0.98982400000000004</v>
      </c>
    </row>
    <row r="233" spans="1:38">
      <c r="A233">
        <v>230</v>
      </c>
      <c r="B233" t="s">
        <v>178</v>
      </c>
      <c r="C233" s="1" t="s">
        <v>109</v>
      </c>
      <c r="D233">
        <f t="shared" si="7"/>
        <v>827</v>
      </c>
      <c r="E233" s="84">
        <v>0.61548600000000009</v>
      </c>
      <c r="F233" s="84">
        <v>0.66450600000000004</v>
      </c>
      <c r="G233" s="84">
        <v>0.68263200000000013</v>
      </c>
      <c r="H233" s="84">
        <v>0.81179400000000002</v>
      </c>
      <c r="I233" s="84">
        <v>0.81179400000000002</v>
      </c>
      <c r="J233" s="84">
        <v>0.84781800000000018</v>
      </c>
      <c r="K233" s="84">
        <v>0.84189000000000003</v>
      </c>
      <c r="L233" s="84">
        <v>0.9017400000000001</v>
      </c>
      <c r="O233" s="94" t="s">
        <v>1181</v>
      </c>
      <c r="P233" s="94" t="s">
        <v>109</v>
      </c>
      <c r="U233" s="91">
        <v>80.609400000000008</v>
      </c>
      <c r="X233" s="91">
        <v>88.692000000000007</v>
      </c>
      <c r="Y233" s="91">
        <v>89.683800000000005</v>
      </c>
      <c r="AB233" t="s">
        <v>1181</v>
      </c>
      <c r="AC233" s="84">
        <v>0.61548600000000009</v>
      </c>
      <c r="AD233" s="84">
        <v>0.66450600000000004</v>
      </c>
      <c r="AE233" s="84">
        <v>0.68263200000000013</v>
      </c>
      <c r="AF233" s="84">
        <v>0.81179400000000002</v>
      </c>
      <c r="AG233" s="84">
        <v>0.80609400000000009</v>
      </c>
      <c r="AH233" s="84">
        <v>0.84781800000000018</v>
      </c>
      <c r="AI233" s="84">
        <v>0.84189000000000003</v>
      </c>
      <c r="AJ233" s="84">
        <v>0.88692000000000004</v>
      </c>
      <c r="AK233" s="84">
        <v>0.89683800000000002</v>
      </c>
      <c r="AL233" s="84">
        <v>0.9017400000000001</v>
      </c>
    </row>
    <row r="234" spans="1:38">
      <c r="A234">
        <v>231</v>
      </c>
      <c r="B234" t="s">
        <v>179</v>
      </c>
      <c r="C234" s="1" t="s">
        <v>109</v>
      </c>
      <c r="D234">
        <f t="shared" si="7"/>
        <v>828</v>
      </c>
      <c r="E234" s="84">
        <v>0.53990000000000005</v>
      </c>
      <c r="F234" s="84">
        <v>0.58289999999999997</v>
      </c>
      <c r="G234" s="84">
        <v>0.5988</v>
      </c>
      <c r="H234" s="84">
        <v>0.71209999999999996</v>
      </c>
      <c r="I234" s="84">
        <v>0.71209999999999996</v>
      </c>
      <c r="J234" s="84">
        <v>0.74370000000000003</v>
      </c>
      <c r="K234" s="84">
        <v>0.73849999999999993</v>
      </c>
      <c r="L234" s="84">
        <v>0.79099999999999993</v>
      </c>
      <c r="O234" s="94" t="s">
        <v>1182</v>
      </c>
      <c r="P234" s="94" t="s">
        <v>109</v>
      </c>
      <c r="U234" s="91">
        <v>70.709999999999994</v>
      </c>
      <c r="X234" s="91">
        <v>77.8</v>
      </c>
      <c r="Y234" s="91">
        <v>78.67</v>
      </c>
      <c r="AB234" t="s">
        <v>1182</v>
      </c>
      <c r="AC234" s="84">
        <v>0.53990000000000005</v>
      </c>
      <c r="AD234" s="84">
        <v>0.58289999999999997</v>
      </c>
      <c r="AE234" s="84">
        <v>0.5988</v>
      </c>
      <c r="AF234" s="84">
        <v>0.71209999999999996</v>
      </c>
      <c r="AG234" s="84">
        <v>0.70709999999999995</v>
      </c>
      <c r="AH234" s="84">
        <v>0.74370000000000003</v>
      </c>
      <c r="AI234" s="84">
        <v>0.73849999999999993</v>
      </c>
      <c r="AJ234" s="84">
        <v>0.77800000000000002</v>
      </c>
      <c r="AK234" s="84">
        <v>0.78670000000000007</v>
      </c>
      <c r="AL234" s="84">
        <v>0.79099999999999993</v>
      </c>
    </row>
    <row r="235" spans="1:38">
      <c r="A235">
        <v>232</v>
      </c>
      <c r="B235" t="s">
        <v>138</v>
      </c>
      <c r="C235" t="s">
        <v>110</v>
      </c>
      <c r="D235">
        <v>900</v>
      </c>
      <c r="E235" s="84">
        <v>0</v>
      </c>
      <c r="F235" s="84">
        <v>0</v>
      </c>
      <c r="G235" s="84">
        <v>0</v>
      </c>
      <c r="H235" s="84">
        <v>0</v>
      </c>
      <c r="I235" s="84">
        <v>0</v>
      </c>
      <c r="J235" s="84">
        <v>0</v>
      </c>
      <c r="K235" s="84">
        <v>0</v>
      </c>
      <c r="L235" s="84">
        <v>0</v>
      </c>
      <c r="O235" s="94" t="s">
        <v>138</v>
      </c>
      <c r="P235" s="94" t="s">
        <v>110</v>
      </c>
      <c r="Q235" s="92"/>
      <c r="R235" s="92"/>
      <c r="S235" s="92"/>
      <c r="T235" s="92"/>
      <c r="U235" s="92"/>
      <c r="V235" s="92"/>
      <c r="W235" s="92"/>
      <c r="X235" s="92"/>
      <c r="Y235" s="92"/>
      <c r="Z235" s="92"/>
      <c r="AB235" t="s">
        <v>138</v>
      </c>
      <c r="AC235" s="84">
        <v>0</v>
      </c>
      <c r="AD235" s="84">
        <v>0</v>
      </c>
      <c r="AE235" s="84">
        <v>0</v>
      </c>
      <c r="AF235" s="84">
        <v>0</v>
      </c>
      <c r="AG235" s="84">
        <v>0</v>
      </c>
      <c r="AH235" s="84">
        <v>0</v>
      </c>
      <c r="AI235" s="84">
        <v>0</v>
      </c>
      <c r="AJ235" s="84">
        <v>0</v>
      </c>
      <c r="AK235" s="84">
        <v>0</v>
      </c>
      <c r="AL235" s="84">
        <v>0</v>
      </c>
    </row>
    <row r="236" spans="1:38">
      <c r="A236">
        <v>233</v>
      </c>
      <c r="B236" t="s">
        <v>139</v>
      </c>
      <c r="C236" t="s">
        <v>110</v>
      </c>
      <c r="D236">
        <f>+D235+1</f>
        <v>901</v>
      </c>
      <c r="E236" s="84">
        <v>0.32340000000000002</v>
      </c>
      <c r="F236" s="84">
        <v>0.31629999999999997</v>
      </c>
      <c r="G236" s="84">
        <v>0.31030000000000002</v>
      </c>
      <c r="H236" s="84">
        <v>0.30599999999999999</v>
      </c>
      <c r="I236" s="84">
        <v>0.30599999999999999</v>
      </c>
      <c r="J236" s="84">
        <v>0.308</v>
      </c>
      <c r="K236" s="84">
        <v>0.30109999999999998</v>
      </c>
      <c r="L236" s="84">
        <v>0.40850000000000003</v>
      </c>
      <c r="O236" s="94" t="s">
        <v>139</v>
      </c>
      <c r="P236" s="94" t="s">
        <v>110</v>
      </c>
      <c r="U236" s="91">
        <v>30.58</v>
      </c>
      <c r="X236" s="91">
        <v>31.26</v>
      </c>
      <c r="Y236" s="91">
        <v>32.409999999999997</v>
      </c>
      <c r="AB236" t="s">
        <v>139</v>
      </c>
      <c r="AC236" s="84">
        <v>0.32340000000000002</v>
      </c>
      <c r="AD236" s="84">
        <v>0.31629999999999997</v>
      </c>
      <c r="AE236" s="84">
        <v>0.31030000000000002</v>
      </c>
      <c r="AF236" s="84">
        <v>0.30599999999999999</v>
      </c>
      <c r="AG236" s="84">
        <v>0.30579999999999996</v>
      </c>
      <c r="AH236" s="84">
        <v>0.308</v>
      </c>
      <c r="AI236" s="84">
        <v>0.30109999999999998</v>
      </c>
      <c r="AJ236" s="84">
        <v>0.31259999999999999</v>
      </c>
      <c r="AK236" s="84">
        <v>0.32409999999999994</v>
      </c>
      <c r="AL236" s="84">
        <v>0.40850000000000003</v>
      </c>
    </row>
    <row r="237" spans="1:38">
      <c r="A237">
        <v>234</v>
      </c>
      <c r="B237" t="s">
        <v>140</v>
      </c>
      <c r="C237" t="s">
        <v>110</v>
      </c>
      <c r="D237">
        <f t="shared" ref="D237:D263" si="8">+D236+1</f>
        <v>902</v>
      </c>
      <c r="E237" s="84">
        <v>0</v>
      </c>
      <c r="F237" s="84">
        <v>0</v>
      </c>
      <c r="G237" s="84">
        <v>0</v>
      </c>
      <c r="H237" s="84">
        <v>0</v>
      </c>
      <c r="I237" s="84">
        <v>0</v>
      </c>
      <c r="J237" s="84">
        <v>0</v>
      </c>
      <c r="K237" s="84">
        <v>0</v>
      </c>
      <c r="L237" s="84">
        <v>0</v>
      </c>
      <c r="O237" s="95" t="s">
        <v>1164</v>
      </c>
      <c r="P237" s="95" t="s">
        <v>110</v>
      </c>
      <c r="Q237" s="92"/>
      <c r="R237" s="92"/>
      <c r="S237" s="92"/>
      <c r="T237" s="92"/>
      <c r="U237" s="92"/>
      <c r="V237" s="92"/>
      <c r="W237" s="92"/>
      <c r="X237" s="92"/>
      <c r="Y237" s="92"/>
      <c r="Z237" s="92"/>
      <c r="AB237" t="s">
        <v>1164</v>
      </c>
      <c r="AC237" s="84">
        <v>0</v>
      </c>
      <c r="AD237" s="84">
        <v>0</v>
      </c>
      <c r="AE237" s="84">
        <v>0</v>
      </c>
      <c r="AF237" s="84">
        <v>0</v>
      </c>
      <c r="AG237" s="84">
        <v>0</v>
      </c>
      <c r="AH237" s="84">
        <v>0</v>
      </c>
      <c r="AI237" s="84">
        <v>0</v>
      </c>
      <c r="AJ237" s="84">
        <v>0</v>
      </c>
      <c r="AK237" s="84">
        <v>0</v>
      </c>
      <c r="AL237" s="84">
        <v>0</v>
      </c>
    </row>
    <row r="238" spans="1:38">
      <c r="A238">
        <v>235</v>
      </c>
      <c r="B238" t="s">
        <v>142</v>
      </c>
      <c r="C238" t="s">
        <v>110</v>
      </c>
      <c r="D238">
        <f t="shared" si="8"/>
        <v>903</v>
      </c>
      <c r="E238" s="84">
        <v>0.67079999999999995</v>
      </c>
      <c r="F238" s="84">
        <v>0.65500000000000003</v>
      </c>
      <c r="G238" s="84">
        <v>0.64159999999999995</v>
      </c>
      <c r="H238" s="84">
        <v>0.66599999999999993</v>
      </c>
      <c r="I238" s="84">
        <v>0.66599999999999993</v>
      </c>
      <c r="J238" s="84">
        <v>0.70440000000000003</v>
      </c>
      <c r="K238" s="84">
        <v>0.70389999999999997</v>
      </c>
      <c r="L238" s="84">
        <v>0.67969999999999997</v>
      </c>
      <c r="O238" s="94" t="s">
        <v>142</v>
      </c>
      <c r="P238" s="94" t="s">
        <v>110</v>
      </c>
      <c r="U238" s="96">
        <v>66.569999999999993</v>
      </c>
      <c r="X238" s="96">
        <v>70.319999999999993</v>
      </c>
      <c r="Y238" s="96">
        <v>69.790000000000006</v>
      </c>
      <c r="AB238" t="s">
        <v>142</v>
      </c>
      <c r="AC238" s="84">
        <v>0.67079999999999995</v>
      </c>
      <c r="AD238" s="84">
        <v>0.65500000000000003</v>
      </c>
      <c r="AE238" s="84">
        <v>0.64159999999999995</v>
      </c>
      <c r="AF238" s="84">
        <v>0.66599999999999993</v>
      </c>
      <c r="AG238" s="84">
        <v>0.66569999999999996</v>
      </c>
      <c r="AH238" s="84">
        <v>0.70440000000000003</v>
      </c>
      <c r="AI238" s="84">
        <v>0.70389999999999997</v>
      </c>
      <c r="AJ238" s="84">
        <v>0.70319999999999994</v>
      </c>
      <c r="AK238" s="84">
        <v>0.69790000000000008</v>
      </c>
      <c r="AL238" s="84">
        <v>0.67969999999999997</v>
      </c>
    </row>
    <row r="239" spans="1:38">
      <c r="A239">
        <v>236</v>
      </c>
      <c r="B239" t="s">
        <v>143</v>
      </c>
      <c r="C239" t="s">
        <v>110</v>
      </c>
      <c r="D239">
        <f t="shared" si="8"/>
        <v>904</v>
      </c>
      <c r="E239" s="84">
        <v>0.65849999999999997</v>
      </c>
      <c r="F239" s="84">
        <v>0.64319999999999988</v>
      </c>
      <c r="G239" s="84">
        <v>0.63019999999999998</v>
      </c>
      <c r="H239" s="84">
        <v>0.65489999999999993</v>
      </c>
      <c r="I239" s="84">
        <v>0.65489999999999993</v>
      </c>
      <c r="J239" s="84">
        <v>0.69319999999999993</v>
      </c>
      <c r="K239" s="84">
        <v>0.69279999999999997</v>
      </c>
      <c r="L239" s="84">
        <v>0.66909999999999992</v>
      </c>
      <c r="O239" s="94" t="s">
        <v>1165</v>
      </c>
      <c r="P239" s="94" t="s">
        <v>110</v>
      </c>
      <c r="U239" s="91">
        <v>65.459999999999994</v>
      </c>
      <c r="X239" s="91">
        <v>69.23</v>
      </c>
      <c r="Y239" s="91">
        <v>68.709999999999994</v>
      </c>
      <c r="AB239" t="s">
        <v>1165</v>
      </c>
      <c r="AC239" s="84">
        <v>0.65849999999999997</v>
      </c>
      <c r="AD239" s="84">
        <v>0.64319999999999988</v>
      </c>
      <c r="AE239" s="84">
        <v>0.63019999999999998</v>
      </c>
      <c r="AF239" s="84">
        <v>0.65489999999999993</v>
      </c>
      <c r="AG239" s="84">
        <v>0.65459999999999996</v>
      </c>
      <c r="AH239" s="84">
        <v>0.69319999999999993</v>
      </c>
      <c r="AI239" s="84">
        <v>0.69279999999999997</v>
      </c>
      <c r="AJ239" s="84">
        <v>0.69230000000000003</v>
      </c>
      <c r="AK239" s="84">
        <v>0.68709999999999993</v>
      </c>
      <c r="AL239" s="84">
        <v>0.66909999999999992</v>
      </c>
    </row>
    <row r="240" spans="1:38">
      <c r="A240">
        <v>237</v>
      </c>
      <c r="B240" t="s">
        <v>145</v>
      </c>
      <c r="C240" t="s">
        <v>110</v>
      </c>
      <c r="E240" s="84">
        <v>0.64549999999999996</v>
      </c>
      <c r="F240" s="84">
        <v>0.63</v>
      </c>
      <c r="G240" s="84">
        <v>0.61699999999999999</v>
      </c>
      <c r="H240" s="84">
        <v>0.63969999999999994</v>
      </c>
      <c r="I240" s="84">
        <v>0.63969999999999994</v>
      </c>
      <c r="J240" s="84">
        <v>0.67579999999999996</v>
      </c>
      <c r="K240" s="84">
        <v>0.67540000000000011</v>
      </c>
      <c r="L240" s="84">
        <v>0.65200000000000002</v>
      </c>
      <c r="O240" s="94"/>
      <c r="P240" s="94"/>
      <c r="U240" s="91"/>
      <c r="X240" s="91"/>
      <c r="Y240" s="91"/>
      <c r="AB240" t="s">
        <v>1183</v>
      </c>
      <c r="AC240" s="84">
        <v>0.64549999999999996</v>
      </c>
      <c r="AD240" s="84">
        <v>0.63</v>
      </c>
      <c r="AE240" s="84">
        <v>0.61699999999999999</v>
      </c>
      <c r="AF240" s="84">
        <v>0.63969999999999994</v>
      </c>
      <c r="AG240" s="84">
        <v>0.63939999999999997</v>
      </c>
      <c r="AH240" s="84">
        <v>0.67579999999999996</v>
      </c>
      <c r="AI240" s="84">
        <v>0.67540000000000011</v>
      </c>
      <c r="AJ240" s="84">
        <v>0.67489999999999994</v>
      </c>
      <c r="AK240" s="84">
        <v>0.66980000000000006</v>
      </c>
      <c r="AL240" s="84">
        <v>0.65200000000000002</v>
      </c>
    </row>
    <row r="241" spans="1:38">
      <c r="A241">
        <v>238</v>
      </c>
      <c r="B241" t="s">
        <v>146</v>
      </c>
      <c r="C241" t="s">
        <v>110</v>
      </c>
      <c r="D241">
        <f>+D239+1</f>
        <v>905</v>
      </c>
      <c r="E241" s="84">
        <v>0.71379999999999999</v>
      </c>
      <c r="F241" s="84">
        <v>0.70489999999999997</v>
      </c>
      <c r="G241" s="84">
        <v>0.69730000000000003</v>
      </c>
      <c r="H241" s="84">
        <v>0.73709999999999998</v>
      </c>
      <c r="I241" s="84">
        <v>0.73709999999999998</v>
      </c>
      <c r="J241" s="84">
        <v>0.79220000000000002</v>
      </c>
      <c r="K241" s="84">
        <v>0.79170000000000007</v>
      </c>
      <c r="L241" s="84">
        <v>0.78060000000000007</v>
      </c>
      <c r="O241" s="94" t="s">
        <v>1183</v>
      </c>
      <c r="P241" s="94" t="s">
        <v>110</v>
      </c>
      <c r="Q241" s="91">
        <v>64.55</v>
      </c>
      <c r="R241" s="91">
        <v>63</v>
      </c>
      <c r="S241" s="91">
        <v>61.7</v>
      </c>
      <c r="T241" s="91">
        <v>63.97</v>
      </c>
      <c r="U241" s="91">
        <v>63.94</v>
      </c>
      <c r="V241" s="91">
        <v>67.58</v>
      </c>
      <c r="W241" s="91">
        <v>67.540000000000006</v>
      </c>
      <c r="X241" s="91">
        <v>67.489999999999995</v>
      </c>
      <c r="Y241" s="91">
        <v>66.98</v>
      </c>
      <c r="Z241" s="91">
        <v>65.2</v>
      </c>
      <c r="AB241" t="s">
        <v>1126</v>
      </c>
      <c r="AC241" s="84">
        <v>0.71379999999999999</v>
      </c>
      <c r="AD241" s="84">
        <v>0.70489999999999997</v>
      </c>
      <c r="AE241" s="84">
        <v>0.69730000000000003</v>
      </c>
      <c r="AF241" s="84">
        <v>0.73709999999999998</v>
      </c>
      <c r="AG241" s="84">
        <v>0.7369</v>
      </c>
      <c r="AH241" s="84">
        <v>0.79220000000000002</v>
      </c>
      <c r="AI241" s="84">
        <v>0.79170000000000007</v>
      </c>
      <c r="AJ241" s="84">
        <v>0.79559999999999997</v>
      </c>
      <c r="AK241" s="84">
        <v>0.79079999999999995</v>
      </c>
      <c r="AL241" s="84">
        <v>0.78060000000000007</v>
      </c>
    </row>
    <row r="242" spans="1:38">
      <c r="A242">
        <v>239</v>
      </c>
      <c r="B242" t="s">
        <v>148</v>
      </c>
      <c r="C242" t="s">
        <v>110</v>
      </c>
      <c r="D242">
        <f t="shared" si="8"/>
        <v>906</v>
      </c>
      <c r="E242" s="84">
        <v>0.71640000000000004</v>
      </c>
      <c r="F242" s="84">
        <v>0.70810000000000006</v>
      </c>
      <c r="G242" s="84">
        <v>0.70090000000000008</v>
      </c>
      <c r="H242" s="84">
        <v>0.74109999999999998</v>
      </c>
      <c r="I242" s="84">
        <v>0.74109999999999998</v>
      </c>
      <c r="J242" s="84">
        <v>0.79620000000000002</v>
      </c>
      <c r="K242" s="84">
        <v>0.79569999999999996</v>
      </c>
      <c r="L242" s="84">
        <v>0.7853</v>
      </c>
      <c r="O242" s="94" t="s">
        <v>1126</v>
      </c>
      <c r="P242" s="94" t="s">
        <v>110</v>
      </c>
      <c r="U242" s="91">
        <v>73.69</v>
      </c>
      <c r="X242" s="91">
        <v>79.56</v>
      </c>
      <c r="Y242" s="91">
        <v>79.08</v>
      </c>
      <c r="AB242" t="s">
        <v>1166</v>
      </c>
      <c r="AC242" s="84">
        <v>0.71640000000000004</v>
      </c>
      <c r="AD242" s="84">
        <v>0.70810000000000006</v>
      </c>
      <c r="AE242" s="84">
        <v>0.70090000000000008</v>
      </c>
      <c r="AF242" s="84">
        <v>0.74109999999999998</v>
      </c>
      <c r="AG242" s="84">
        <v>0.7409</v>
      </c>
      <c r="AH242" s="84">
        <v>0.79620000000000002</v>
      </c>
      <c r="AI242" s="84">
        <v>0.79569999999999996</v>
      </c>
      <c r="AJ242" s="84">
        <v>0.79989999999999994</v>
      </c>
      <c r="AK242" s="84">
        <v>0.79530000000000001</v>
      </c>
      <c r="AL242" s="84">
        <v>0.7853</v>
      </c>
    </row>
    <row r="243" spans="1:38">
      <c r="A243">
        <v>240</v>
      </c>
      <c r="B243" t="s">
        <v>149</v>
      </c>
      <c r="C243" t="s">
        <v>110</v>
      </c>
      <c r="D243">
        <f t="shared" si="8"/>
        <v>907</v>
      </c>
      <c r="E243" s="84">
        <v>0.69629999999999992</v>
      </c>
      <c r="F243" s="84">
        <v>0.68849999999999989</v>
      </c>
      <c r="G243" s="84">
        <v>0.68159999999999998</v>
      </c>
      <c r="H243" s="84">
        <v>0.72180000000000011</v>
      </c>
      <c r="I243" s="84">
        <v>0.72180000000000011</v>
      </c>
      <c r="J243" s="84">
        <v>0.77629999999999999</v>
      </c>
      <c r="K243" s="84">
        <v>0.77590000000000003</v>
      </c>
      <c r="L243" s="84">
        <v>0.7659999999999999</v>
      </c>
      <c r="O243" s="94" t="s">
        <v>1166</v>
      </c>
      <c r="P243" s="94" t="s">
        <v>110</v>
      </c>
      <c r="U243" s="91">
        <v>74.09</v>
      </c>
      <c r="X243" s="91">
        <v>79.989999999999995</v>
      </c>
      <c r="Y243" s="91">
        <v>79.53</v>
      </c>
      <c r="AB243" t="s">
        <v>1167</v>
      </c>
      <c r="AC243" s="84">
        <v>0.69629999999999992</v>
      </c>
      <c r="AD243" s="84">
        <v>0.68849999999999989</v>
      </c>
      <c r="AE243" s="84">
        <v>0.68159999999999998</v>
      </c>
      <c r="AF243" s="84">
        <v>0.72180000000000011</v>
      </c>
      <c r="AG243" s="84">
        <v>0.72160000000000002</v>
      </c>
      <c r="AH243" s="84">
        <v>0.77629999999999999</v>
      </c>
      <c r="AI243" s="84">
        <v>0.77590000000000003</v>
      </c>
      <c r="AJ243" s="84">
        <v>0.78029999999999999</v>
      </c>
      <c r="AK243" s="84">
        <v>0.77590000000000003</v>
      </c>
      <c r="AL243" s="84">
        <v>0.7659999999999999</v>
      </c>
    </row>
    <row r="244" spans="1:38">
      <c r="A244">
        <v>241</v>
      </c>
      <c r="B244" t="s">
        <v>151</v>
      </c>
      <c r="C244" t="s">
        <v>110</v>
      </c>
      <c r="D244">
        <f t="shared" si="8"/>
        <v>908</v>
      </c>
      <c r="E244" s="84">
        <v>0.81849999999999989</v>
      </c>
      <c r="F244" s="84">
        <v>0.80969999999999998</v>
      </c>
      <c r="G244" s="84">
        <v>0.80200000000000005</v>
      </c>
      <c r="H244" s="84">
        <v>0.84349999999999992</v>
      </c>
      <c r="I244" s="84">
        <v>0.84349999999999992</v>
      </c>
      <c r="J244" s="84">
        <v>0.90040000000000009</v>
      </c>
      <c r="K244" s="84">
        <v>0.89989999999999992</v>
      </c>
      <c r="L244" s="84">
        <v>0.88890000000000002</v>
      </c>
      <c r="O244" s="94" t="s">
        <v>1167</v>
      </c>
      <c r="P244" s="94" t="s">
        <v>110</v>
      </c>
      <c r="U244" s="91">
        <v>72.16</v>
      </c>
      <c r="X244" s="91">
        <v>78.03</v>
      </c>
      <c r="Y244" s="91">
        <v>77.59</v>
      </c>
      <c r="AB244" t="s">
        <v>1168</v>
      </c>
      <c r="AC244" s="84">
        <v>0.81849999999999989</v>
      </c>
      <c r="AD244" s="84">
        <v>0.80969999999999998</v>
      </c>
      <c r="AE244" s="84">
        <v>0.80200000000000005</v>
      </c>
      <c r="AF244" s="84">
        <v>0.84349999999999992</v>
      </c>
      <c r="AG244" s="84">
        <v>0.84329999999999994</v>
      </c>
      <c r="AH244" s="84">
        <v>0.90040000000000009</v>
      </c>
      <c r="AI244" s="84">
        <v>0.89989999999999992</v>
      </c>
      <c r="AJ244" s="84">
        <v>0.9042</v>
      </c>
      <c r="AK244" s="84">
        <v>0.89939999999999998</v>
      </c>
      <c r="AL244" s="84">
        <v>0.88890000000000002</v>
      </c>
    </row>
    <row r="245" spans="1:38">
      <c r="A245">
        <v>242</v>
      </c>
      <c r="B245" t="s">
        <v>152</v>
      </c>
      <c r="C245" t="s">
        <v>110</v>
      </c>
      <c r="D245">
        <f t="shared" si="8"/>
        <v>909</v>
      </c>
      <c r="E245" s="84">
        <v>0</v>
      </c>
      <c r="F245" s="84">
        <v>0</v>
      </c>
      <c r="G245" s="84">
        <v>0</v>
      </c>
      <c r="H245" s="84">
        <v>0</v>
      </c>
      <c r="I245" s="84">
        <v>0</v>
      </c>
      <c r="J245" s="84">
        <v>0</v>
      </c>
      <c r="K245" s="84">
        <v>0</v>
      </c>
      <c r="L245" s="84">
        <v>0</v>
      </c>
      <c r="O245" s="94" t="s">
        <v>1168</v>
      </c>
      <c r="P245" s="94" t="s">
        <v>110</v>
      </c>
      <c r="U245" s="91">
        <v>84.33</v>
      </c>
      <c r="X245" s="91">
        <v>90.42</v>
      </c>
      <c r="Y245" s="91">
        <v>89.94</v>
      </c>
      <c r="AB245" t="s">
        <v>1169</v>
      </c>
      <c r="AC245" s="84">
        <v>0</v>
      </c>
      <c r="AD245" s="84">
        <v>0</v>
      </c>
      <c r="AE245" s="84">
        <v>0</v>
      </c>
      <c r="AF245" s="84">
        <v>0</v>
      </c>
      <c r="AG245" s="84">
        <v>0</v>
      </c>
      <c r="AH245" s="84">
        <v>0</v>
      </c>
      <c r="AI245" s="84">
        <v>0</v>
      </c>
      <c r="AJ245" s="84">
        <v>0</v>
      </c>
      <c r="AK245" s="84">
        <v>0</v>
      </c>
      <c r="AL245" s="84">
        <v>0</v>
      </c>
    </row>
    <row r="246" spans="1:38">
      <c r="A246">
        <v>243</v>
      </c>
      <c r="B246" t="s">
        <v>154</v>
      </c>
      <c r="C246" t="s">
        <v>110</v>
      </c>
      <c r="D246">
        <f t="shared" si="8"/>
        <v>910</v>
      </c>
      <c r="E246" s="84">
        <v>0.65280000000000005</v>
      </c>
      <c r="F246" s="84">
        <v>0.64170000000000005</v>
      </c>
      <c r="G246" s="84">
        <v>0.63219999999999998</v>
      </c>
      <c r="H246" s="84">
        <v>0.64590000000000003</v>
      </c>
      <c r="I246" s="84">
        <v>0.64590000000000003</v>
      </c>
      <c r="J246" s="84">
        <v>0.64500000000000002</v>
      </c>
      <c r="K246" s="84">
        <v>0.64459999999999995</v>
      </c>
      <c r="L246" s="84">
        <v>0.60909999999999997</v>
      </c>
      <c r="O246" s="95" t="s">
        <v>1169</v>
      </c>
      <c r="P246" s="95" t="s">
        <v>110</v>
      </c>
      <c r="Q246" s="92"/>
      <c r="R246" s="92"/>
      <c r="S246" s="92"/>
      <c r="T246" s="92"/>
      <c r="U246" s="92"/>
      <c r="V246" s="92"/>
      <c r="W246" s="92"/>
      <c r="X246" s="92"/>
      <c r="Y246" s="92"/>
      <c r="Z246" s="92"/>
      <c r="AB246" t="s">
        <v>733</v>
      </c>
      <c r="AC246" s="84">
        <v>0.65280000000000005</v>
      </c>
      <c r="AD246" s="84">
        <v>0.64170000000000005</v>
      </c>
      <c r="AE246" s="84">
        <v>0.63219999999999998</v>
      </c>
      <c r="AF246" s="84">
        <v>0.64590000000000003</v>
      </c>
      <c r="AG246" s="84">
        <v>0.64569999999999994</v>
      </c>
      <c r="AH246" s="84">
        <v>0.64500000000000002</v>
      </c>
      <c r="AI246" s="84">
        <v>0.64459999999999995</v>
      </c>
      <c r="AJ246" s="84">
        <v>0.6351</v>
      </c>
      <c r="AK246" s="84">
        <v>0.62890000000000001</v>
      </c>
      <c r="AL246" s="84">
        <v>0.60909999999999997</v>
      </c>
    </row>
    <row r="247" spans="1:38">
      <c r="A247">
        <v>244</v>
      </c>
      <c r="B247" t="s">
        <v>155</v>
      </c>
      <c r="C247" t="s">
        <v>110</v>
      </c>
      <c r="D247">
        <f t="shared" si="8"/>
        <v>911</v>
      </c>
      <c r="E247" s="84">
        <v>0.63350000000000006</v>
      </c>
      <c r="F247" s="84">
        <v>0.623</v>
      </c>
      <c r="G247" s="84">
        <v>0.61409999999999998</v>
      </c>
      <c r="H247" s="84">
        <v>0.62840000000000007</v>
      </c>
      <c r="I247" s="84">
        <v>0.62840000000000007</v>
      </c>
      <c r="J247" s="84">
        <v>0.62759999999999994</v>
      </c>
      <c r="K247" s="84">
        <v>0.62719999999999998</v>
      </c>
      <c r="L247" s="84">
        <v>0.59250000000000003</v>
      </c>
      <c r="O247" s="94" t="s">
        <v>733</v>
      </c>
      <c r="P247" s="94" t="s">
        <v>110</v>
      </c>
      <c r="U247" s="96">
        <v>64.569999999999993</v>
      </c>
      <c r="X247" s="96">
        <v>63.51</v>
      </c>
      <c r="Y247" s="96">
        <v>62.89</v>
      </c>
      <c r="AB247" t="s">
        <v>1170</v>
      </c>
      <c r="AC247" s="84">
        <v>0.63350000000000006</v>
      </c>
      <c r="AD247" s="84">
        <v>0.623</v>
      </c>
      <c r="AE247" s="84">
        <v>0.61409999999999998</v>
      </c>
      <c r="AF247" s="84">
        <v>0.62840000000000007</v>
      </c>
      <c r="AG247" s="84">
        <v>0.62809999999999999</v>
      </c>
      <c r="AH247" s="84">
        <v>0.62759999999999994</v>
      </c>
      <c r="AI247" s="84">
        <v>0.62719999999999998</v>
      </c>
      <c r="AJ247" s="84">
        <v>0.61799999999999999</v>
      </c>
      <c r="AK247" s="84">
        <v>0.61199999999999999</v>
      </c>
      <c r="AL247" s="84">
        <v>0.59250000000000003</v>
      </c>
    </row>
    <row r="248" spans="1:38">
      <c r="A248">
        <v>245</v>
      </c>
      <c r="B248" t="s">
        <v>157</v>
      </c>
      <c r="C248" t="s">
        <v>110</v>
      </c>
      <c r="D248">
        <f t="shared" si="8"/>
        <v>912</v>
      </c>
      <c r="E248" s="84">
        <v>0.45150000000000001</v>
      </c>
      <c r="F248" s="84">
        <v>0.45319999999999999</v>
      </c>
      <c r="G248" s="84">
        <v>0.45469999999999999</v>
      </c>
      <c r="H248" s="84">
        <v>0.48020000000000002</v>
      </c>
      <c r="I248" s="84">
        <v>0.48020000000000002</v>
      </c>
      <c r="J248" s="84">
        <v>0.48619999999999997</v>
      </c>
      <c r="K248" s="84">
        <v>0.48619999999999997</v>
      </c>
      <c r="L248" s="84">
        <v>0.4637</v>
      </c>
      <c r="O248" s="94" t="s">
        <v>1170</v>
      </c>
      <c r="P248" s="94" t="s">
        <v>110</v>
      </c>
      <c r="U248" s="91">
        <v>62.81</v>
      </c>
      <c r="X248" s="91">
        <v>61.8</v>
      </c>
      <c r="Y248" s="91">
        <v>61.2</v>
      </c>
      <c r="AB248" t="s">
        <v>1171</v>
      </c>
      <c r="AC248" s="84">
        <v>0.45150000000000001</v>
      </c>
      <c r="AD248" s="84">
        <v>0.45319999999999999</v>
      </c>
      <c r="AE248" s="84">
        <v>0.45469999999999999</v>
      </c>
      <c r="AF248" s="84">
        <v>0.48020000000000002</v>
      </c>
      <c r="AG248" s="84">
        <v>0.4803</v>
      </c>
      <c r="AH248" s="84">
        <v>0.48619999999999997</v>
      </c>
      <c r="AI248" s="84">
        <v>0.48619999999999997</v>
      </c>
      <c r="AJ248" s="84">
        <v>0.48109999999999997</v>
      </c>
      <c r="AK248" s="84">
        <v>0.47960000000000003</v>
      </c>
      <c r="AL248" s="84">
        <v>0.4637</v>
      </c>
    </row>
    <row r="249" spans="1:38">
      <c r="A249">
        <v>246</v>
      </c>
      <c r="B249" t="s">
        <v>158</v>
      </c>
      <c r="C249" t="s">
        <v>110</v>
      </c>
      <c r="D249">
        <f t="shared" si="8"/>
        <v>913</v>
      </c>
      <c r="E249" s="84">
        <v>0.58179999999999998</v>
      </c>
      <c r="F249" s="84">
        <v>0.58240000000000003</v>
      </c>
      <c r="G249" s="84">
        <v>0.58289999999999997</v>
      </c>
      <c r="H249" s="84">
        <v>0.60860000000000003</v>
      </c>
      <c r="I249" s="84">
        <v>0.60860000000000003</v>
      </c>
      <c r="J249" s="84">
        <v>0.61419999999999997</v>
      </c>
      <c r="K249" s="84">
        <v>0.61409999999999998</v>
      </c>
      <c r="L249" s="84">
        <v>0.58930000000000005</v>
      </c>
      <c r="O249" s="94" t="s">
        <v>1171</v>
      </c>
      <c r="P249" s="94" t="s">
        <v>110</v>
      </c>
      <c r="U249" s="91">
        <v>48.03</v>
      </c>
      <c r="X249" s="91">
        <v>48.11</v>
      </c>
      <c r="Y249" s="91">
        <v>47.96</v>
      </c>
      <c r="AB249" t="s">
        <v>1172</v>
      </c>
      <c r="AC249" s="84">
        <v>0.58179999999999998</v>
      </c>
      <c r="AD249" s="84">
        <v>0.58240000000000003</v>
      </c>
      <c r="AE249" s="84">
        <v>0.58289999999999997</v>
      </c>
      <c r="AF249" s="84">
        <v>0.60860000000000003</v>
      </c>
      <c r="AG249" s="84">
        <v>0.60860000000000003</v>
      </c>
      <c r="AH249" s="84">
        <v>0.61419999999999997</v>
      </c>
      <c r="AI249" s="84">
        <v>0.61409999999999998</v>
      </c>
      <c r="AJ249" s="84">
        <v>0.60829999999999995</v>
      </c>
      <c r="AK249" s="84">
        <v>0.60630000000000006</v>
      </c>
      <c r="AL249" s="84">
        <v>0.58930000000000005</v>
      </c>
    </row>
    <row r="250" spans="1:38">
      <c r="A250">
        <v>247</v>
      </c>
      <c r="B250" t="s">
        <v>160</v>
      </c>
      <c r="C250" t="s">
        <v>110</v>
      </c>
      <c r="D250">
        <f t="shared" si="8"/>
        <v>914</v>
      </c>
      <c r="E250" s="84">
        <v>0</v>
      </c>
      <c r="F250" s="84">
        <v>0</v>
      </c>
      <c r="G250" s="84">
        <v>0</v>
      </c>
      <c r="H250" s="84">
        <v>0</v>
      </c>
      <c r="I250" s="84">
        <v>0</v>
      </c>
      <c r="J250" s="84">
        <v>0</v>
      </c>
      <c r="K250" s="84">
        <v>0</v>
      </c>
      <c r="L250" s="84">
        <v>0</v>
      </c>
      <c r="O250" s="94" t="s">
        <v>1172</v>
      </c>
      <c r="P250" s="94" t="s">
        <v>110</v>
      </c>
      <c r="U250" s="91">
        <v>60.86</v>
      </c>
      <c r="X250" s="91">
        <v>60.83</v>
      </c>
      <c r="Y250" s="91">
        <v>60.63</v>
      </c>
      <c r="AB250" t="s">
        <v>1173</v>
      </c>
      <c r="AC250" s="84">
        <v>0</v>
      </c>
      <c r="AD250" s="84">
        <v>0</v>
      </c>
      <c r="AE250" s="84">
        <v>0</v>
      </c>
      <c r="AF250" s="84">
        <v>0</v>
      </c>
      <c r="AG250" s="84">
        <v>0</v>
      </c>
      <c r="AH250" s="84">
        <v>0</v>
      </c>
      <c r="AI250" s="84">
        <v>0</v>
      </c>
      <c r="AJ250" s="84">
        <v>0</v>
      </c>
      <c r="AK250" s="84">
        <v>0</v>
      </c>
      <c r="AL250" s="84">
        <v>0</v>
      </c>
    </row>
    <row r="251" spans="1:38">
      <c r="A251">
        <v>248</v>
      </c>
      <c r="B251" t="s">
        <v>161</v>
      </c>
      <c r="C251" t="s">
        <v>110</v>
      </c>
      <c r="D251">
        <f t="shared" si="8"/>
        <v>915</v>
      </c>
      <c r="E251" s="84">
        <v>0.59650000000000003</v>
      </c>
      <c r="F251" s="84">
        <v>0.58499999999999996</v>
      </c>
      <c r="G251" s="84">
        <v>0.57530000000000003</v>
      </c>
      <c r="H251" s="84">
        <v>0.45689999999999997</v>
      </c>
      <c r="I251" s="84">
        <v>0.45689999999999997</v>
      </c>
      <c r="J251" s="84">
        <v>0.45069999999999999</v>
      </c>
      <c r="K251" s="84">
        <v>0.45030000000000003</v>
      </c>
      <c r="L251" s="84">
        <v>0.42479999999999996</v>
      </c>
      <c r="O251" s="95" t="s">
        <v>1173</v>
      </c>
      <c r="P251" s="95" t="s">
        <v>110</v>
      </c>
      <c r="Q251" s="92"/>
      <c r="R251" s="92"/>
      <c r="S251" s="92"/>
      <c r="T251" s="92"/>
      <c r="U251" s="92"/>
      <c r="V251" s="92"/>
      <c r="W251" s="92"/>
      <c r="X251" s="92"/>
      <c r="Y251" s="92"/>
      <c r="Z251" s="92"/>
      <c r="AB251" t="s">
        <v>734</v>
      </c>
      <c r="AC251" s="84">
        <v>0.59650000000000003</v>
      </c>
      <c r="AD251" s="84">
        <v>0.58499999999999996</v>
      </c>
      <c r="AE251" s="84">
        <v>0.57530000000000003</v>
      </c>
      <c r="AF251" s="84">
        <v>0.45689999999999997</v>
      </c>
      <c r="AG251" s="84">
        <v>0.45669999999999999</v>
      </c>
      <c r="AH251" s="84">
        <v>0.45069999999999999</v>
      </c>
      <c r="AI251" s="84">
        <v>0.45030000000000003</v>
      </c>
      <c r="AJ251" s="84">
        <v>0.45020000000000004</v>
      </c>
      <c r="AK251" s="84">
        <v>0.44359999999999999</v>
      </c>
      <c r="AL251" s="84">
        <v>0.42479999999999996</v>
      </c>
    </row>
    <row r="252" spans="1:38">
      <c r="A252">
        <v>249</v>
      </c>
      <c r="B252" t="s">
        <v>163</v>
      </c>
      <c r="C252" t="s">
        <v>110</v>
      </c>
      <c r="D252">
        <f t="shared" si="8"/>
        <v>916</v>
      </c>
      <c r="E252" s="84">
        <v>0.58540000000000003</v>
      </c>
      <c r="F252" s="84">
        <v>0.57420000000000004</v>
      </c>
      <c r="G252" s="84">
        <v>0.56479999999999997</v>
      </c>
      <c r="H252" s="84">
        <v>0.44740000000000002</v>
      </c>
      <c r="I252" s="84">
        <v>0.44740000000000002</v>
      </c>
      <c r="J252" s="84">
        <v>0.44130000000000003</v>
      </c>
      <c r="K252" s="84">
        <v>0.44090000000000001</v>
      </c>
      <c r="L252" s="84">
        <v>0.4158</v>
      </c>
      <c r="O252" s="94" t="s">
        <v>734</v>
      </c>
      <c r="P252" s="94" t="s">
        <v>110</v>
      </c>
      <c r="U252" s="96">
        <v>45.67</v>
      </c>
      <c r="X252" s="96">
        <v>45.02</v>
      </c>
      <c r="Y252" s="96">
        <v>44.36</v>
      </c>
      <c r="AB252" t="s">
        <v>1174</v>
      </c>
      <c r="AC252" s="84">
        <v>0.58540000000000003</v>
      </c>
      <c r="AD252" s="84">
        <v>0.57420000000000004</v>
      </c>
      <c r="AE252" s="84">
        <v>0.56479999999999997</v>
      </c>
      <c r="AF252" s="84">
        <v>0.44740000000000002</v>
      </c>
      <c r="AG252" s="84">
        <v>0.44719999999999999</v>
      </c>
      <c r="AH252" s="84">
        <v>0.44130000000000003</v>
      </c>
      <c r="AI252" s="84">
        <v>0.44090000000000001</v>
      </c>
      <c r="AJ252" s="84">
        <v>0.44090000000000001</v>
      </c>
      <c r="AK252" s="84">
        <v>0.43439999999999995</v>
      </c>
      <c r="AL252" s="84">
        <v>0.4158</v>
      </c>
    </row>
    <row r="253" spans="1:38">
      <c r="A253">
        <v>250</v>
      </c>
      <c r="B253" t="s">
        <v>164</v>
      </c>
      <c r="C253" t="s">
        <v>110</v>
      </c>
      <c r="D253">
        <f t="shared" si="8"/>
        <v>917</v>
      </c>
      <c r="E253" s="84">
        <v>0.55909999999999993</v>
      </c>
      <c r="F253" s="84">
        <v>0.54869999999999997</v>
      </c>
      <c r="G253" s="84">
        <v>0.54010000000000002</v>
      </c>
      <c r="H253" s="84">
        <v>0.42520000000000002</v>
      </c>
      <c r="I253" s="84">
        <v>0.42520000000000002</v>
      </c>
      <c r="J253" s="84">
        <v>0.41930000000000001</v>
      </c>
      <c r="K253" s="84">
        <v>0.41889999999999999</v>
      </c>
      <c r="L253" s="84">
        <v>0.39479999999999998</v>
      </c>
      <c r="O253" s="94" t="s">
        <v>1174</v>
      </c>
      <c r="P253" s="94" t="s">
        <v>110</v>
      </c>
      <c r="U253" s="91">
        <v>44.72</v>
      </c>
      <c r="X253" s="91">
        <v>44.09</v>
      </c>
      <c r="Y253" s="91">
        <v>43.44</v>
      </c>
      <c r="AB253" t="s">
        <v>1175</v>
      </c>
      <c r="AC253" s="84">
        <v>0.55909999999999993</v>
      </c>
      <c r="AD253" s="84">
        <v>0.54869999999999997</v>
      </c>
      <c r="AE253" s="84">
        <v>0.54010000000000002</v>
      </c>
      <c r="AF253" s="84">
        <v>0.42520000000000002</v>
      </c>
      <c r="AG253" s="84">
        <v>0.42499999999999999</v>
      </c>
      <c r="AH253" s="84">
        <v>0.41930000000000001</v>
      </c>
      <c r="AI253" s="84">
        <v>0.41889999999999999</v>
      </c>
      <c r="AJ253" s="84">
        <v>0.41920000000000002</v>
      </c>
      <c r="AK253" s="84">
        <v>0.41299999999999998</v>
      </c>
      <c r="AL253" s="84">
        <v>0.39479999999999998</v>
      </c>
    </row>
    <row r="254" spans="1:38">
      <c r="A254">
        <v>251</v>
      </c>
      <c r="B254" t="s">
        <v>166</v>
      </c>
      <c r="C254" t="s">
        <v>110</v>
      </c>
      <c r="D254">
        <f t="shared" si="8"/>
        <v>918</v>
      </c>
      <c r="E254" s="84">
        <v>0.54820000000000002</v>
      </c>
      <c r="F254" s="84">
        <v>0.53820000000000001</v>
      </c>
      <c r="G254" s="84">
        <v>0.52990000000000004</v>
      </c>
      <c r="H254" s="84">
        <v>0.41609999999999997</v>
      </c>
      <c r="I254" s="84">
        <v>0.41609999999999997</v>
      </c>
      <c r="J254" s="84">
        <v>0.4103</v>
      </c>
      <c r="K254" s="84">
        <v>0.40990000000000004</v>
      </c>
      <c r="L254" s="84">
        <v>0.38630000000000003</v>
      </c>
      <c r="O254" s="94" t="s">
        <v>1175</v>
      </c>
      <c r="P254" s="94" t="s">
        <v>110</v>
      </c>
      <c r="U254" s="91">
        <v>42.5</v>
      </c>
      <c r="X254" s="91">
        <v>41.92</v>
      </c>
      <c r="Y254" s="91">
        <v>41.3</v>
      </c>
      <c r="AB254" t="s">
        <v>1176</v>
      </c>
      <c r="AC254" s="84">
        <v>0.54820000000000002</v>
      </c>
      <c r="AD254" s="84">
        <v>0.53820000000000001</v>
      </c>
      <c r="AE254" s="84">
        <v>0.52990000000000004</v>
      </c>
      <c r="AF254" s="84">
        <v>0.41609999999999997</v>
      </c>
      <c r="AG254" s="84">
        <v>0.41590000000000005</v>
      </c>
      <c r="AH254" s="84">
        <v>0.4103</v>
      </c>
      <c r="AI254" s="84">
        <v>0.40990000000000004</v>
      </c>
      <c r="AJ254" s="84">
        <v>0.4103</v>
      </c>
      <c r="AK254" s="84">
        <v>0.40429999999999999</v>
      </c>
      <c r="AL254" s="84">
        <v>0.38630000000000003</v>
      </c>
    </row>
    <row r="255" spans="1:38">
      <c r="A255">
        <v>252</v>
      </c>
      <c r="B255" t="s">
        <v>167</v>
      </c>
      <c r="C255" t="s">
        <v>110</v>
      </c>
      <c r="D255">
        <f t="shared" si="8"/>
        <v>919</v>
      </c>
      <c r="E255" s="84">
        <v>0</v>
      </c>
      <c r="F255" s="84">
        <v>0</v>
      </c>
      <c r="G255" s="84">
        <v>0</v>
      </c>
      <c r="H255" s="84">
        <v>0</v>
      </c>
      <c r="I255" s="84">
        <v>0</v>
      </c>
      <c r="J255" s="84">
        <v>0</v>
      </c>
      <c r="K255" s="84">
        <v>0</v>
      </c>
      <c r="L255" s="84">
        <v>0</v>
      </c>
      <c r="O255" s="94" t="s">
        <v>1176</v>
      </c>
      <c r="P255" s="94" t="s">
        <v>110</v>
      </c>
      <c r="U255" s="91">
        <v>41.59</v>
      </c>
      <c r="X255" s="91">
        <v>41.03</v>
      </c>
      <c r="Y255" s="91">
        <v>40.43</v>
      </c>
      <c r="AB255" t="s">
        <v>1177</v>
      </c>
      <c r="AC255" s="84">
        <v>0</v>
      </c>
      <c r="AD255" s="84">
        <v>0</v>
      </c>
      <c r="AE255" s="84">
        <v>0</v>
      </c>
      <c r="AF255" s="84">
        <v>0</v>
      </c>
      <c r="AG255" s="84">
        <v>0</v>
      </c>
      <c r="AH255" s="84">
        <v>0</v>
      </c>
      <c r="AI255" s="84">
        <v>0</v>
      </c>
      <c r="AJ255" s="84">
        <v>0</v>
      </c>
      <c r="AK255" s="84">
        <v>0</v>
      </c>
      <c r="AL255" s="84">
        <v>0</v>
      </c>
    </row>
    <row r="256" spans="1:38">
      <c r="A256">
        <v>253</v>
      </c>
      <c r="B256" t="s">
        <v>169</v>
      </c>
      <c r="C256" t="s">
        <v>110</v>
      </c>
      <c r="D256">
        <f t="shared" si="8"/>
        <v>920</v>
      </c>
      <c r="E256" s="84">
        <v>0</v>
      </c>
      <c r="F256" s="84">
        <v>0</v>
      </c>
      <c r="G256" s="84">
        <v>0</v>
      </c>
      <c r="H256" s="84">
        <v>0</v>
      </c>
      <c r="I256" s="84">
        <v>0</v>
      </c>
      <c r="J256" s="84">
        <v>0</v>
      </c>
      <c r="K256" s="84">
        <v>0</v>
      </c>
      <c r="L256" s="84">
        <v>0</v>
      </c>
      <c r="O256" s="95" t="s">
        <v>1177</v>
      </c>
      <c r="P256" s="95" t="s">
        <v>110</v>
      </c>
      <c r="Q256" s="92"/>
      <c r="R256" s="92"/>
      <c r="S256" s="92"/>
      <c r="T256" s="92"/>
      <c r="U256" s="92"/>
      <c r="V256" s="92"/>
      <c r="W256" s="92"/>
      <c r="X256" s="92"/>
      <c r="Y256" s="92"/>
      <c r="Z256" s="92"/>
      <c r="AB256" t="s">
        <v>1178</v>
      </c>
      <c r="AC256" s="84">
        <v>0</v>
      </c>
      <c r="AD256" s="84">
        <v>0</v>
      </c>
      <c r="AE256" s="84">
        <v>0</v>
      </c>
      <c r="AF256" s="84">
        <v>0</v>
      </c>
      <c r="AG256" s="84">
        <v>0</v>
      </c>
      <c r="AH256" s="84">
        <v>0</v>
      </c>
      <c r="AI256" s="84">
        <v>0</v>
      </c>
      <c r="AJ256" s="84">
        <v>0</v>
      </c>
      <c r="AK256" s="84">
        <v>0</v>
      </c>
      <c r="AL256" s="84">
        <v>0</v>
      </c>
    </row>
    <row r="257" spans="1:38">
      <c r="A257">
        <v>254</v>
      </c>
      <c r="B257" t="s">
        <v>170</v>
      </c>
      <c r="C257" t="s">
        <v>110</v>
      </c>
      <c r="D257">
        <f t="shared" si="8"/>
        <v>921</v>
      </c>
      <c r="E257" s="84">
        <v>0.36070000000000002</v>
      </c>
      <c r="F257" s="84">
        <v>0.37119999999999997</v>
      </c>
      <c r="G257" s="84">
        <v>0.3846</v>
      </c>
      <c r="H257" s="84">
        <v>0.27629999999999999</v>
      </c>
      <c r="I257" s="84">
        <v>0.27629999999999999</v>
      </c>
      <c r="J257" s="84">
        <v>0.27489999999999998</v>
      </c>
      <c r="K257" s="84">
        <v>0.27440000000000003</v>
      </c>
      <c r="L257" s="84">
        <v>0.32329999999999998</v>
      </c>
      <c r="O257" s="95" t="s">
        <v>1178</v>
      </c>
      <c r="P257" s="95" t="s">
        <v>110</v>
      </c>
      <c r="Q257" s="92"/>
      <c r="R257" s="92"/>
      <c r="S257" s="92"/>
      <c r="T257" s="92"/>
      <c r="U257" s="92"/>
      <c r="V257" s="92"/>
      <c r="W257" s="92"/>
      <c r="X257" s="92"/>
      <c r="Y257" s="92"/>
      <c r="Z257" s="92"/>
      <c r="AB257" t="s">
        <v>735</v>
      </c>
      <c r="AC257" s="84">
        <v>0.36070000000000002</v>
      </c>
      <c r="AD257" s="84">
        <v>0.37119999999999997</v>
      </c>
      <c r="AE257" s="84">
        <v>0.3846</v>
      </c>
      <c r="AF257" s="84">
        <v>0.27629999999999999</v>
      </c>
      <c r="AG257" s="84">
        <v>0.27589999999999998</v>
      </c>
      <c r="AH257" s="84">
        <v>0.27489999999999998</v>
      </c>
      <c r="AI257" s="84">
        <v>0.27440000000000003</v>
      </c>
      <c r="AJ257" s="84">
        <v>0.30030000000000001</v>
      </c>
      <c r="AK257" s="84">
        <v>0.33159999999999995</v>
      </c>
      <c r="AL257" s="84">
        <v>0.32329999999999998</v>
      </c>
    </row>
    <row r="258" spans="1:38">
      <c r="A258">
        <v>255</v>
      </c>
      <c r="B258" t="s">
        <v>172</v>
      </c>
      <c r="C258" t="s">
        <v>110</v>
      </c>
      <c r="D258">
        <f t="shared" si="8"/>
        <v>922</v>
      </c>
      <c r="E258" s="84">
        <v>0.374</v>
      </c>
      <c r="F258" s="84">
        <v>0.38450000000000001</v>
      </c>
      <c r="G258" s="84">
        <v>0.39799999999999996</v>
      </c>
      <c r="H258" s="84">
        <v>0.28899999999999998</v>
      </c>
      <c r="I258" s="84">
        <v>0.28899999999999998</v>
      </c>
      <c r="J258" s="84">
        <v>0.28760000000000002</v>
      </c>
      <c r="K258" s="84">
        <v>0.28710000000000002</v>
      </c>
      <c r="L258" s="84">
        <v>0.3362</v>
      </c>
      <c r="O258" s="94" t="s">
        <v>735</v>
      </c>
      <c r="P258" s="94" t="s">
        <v>110</v>
      </c>
      <c r="U258" s="96">
        <v>27.59</v>
      </c>
      <c r="X258" s="96">
        <v>30.03</v>
      </c>
      <c r="Y258" s="96">
        <v>33.159999999999997</v>
      </c>
      <c r="AB258" t="s">
        <v>1179</v>
      </c>
      <c r="AC258" s="84">
        <v>0.374</v>
      </c>
      <c r="AD258" s="84">
        <v>0.38450000000000001</v>
      </c>
      <c r="AE258" s="84">
        <v>0.39799999999999996</v>
      </c>
      <c r="AF258" s="84">
        <v>0.28899999999999998</v>
      </c>
      <c r="AG258" s="84">
        <v>0.28870000000000001</v>
      </c>
      <c r="AH258" s="84">
        <v>0.28760000000000002</v>
      </c>
      <c r="AI258" s="84">
        <v>0.28710000000000002</v>
      </c>
      <c r="AJ258" s="84">
        <v>0.31309999999999999</v>
      </c>
      <c r="AK258" s="84">
        <v>0.34460000000000002</v>
      </c>
      <c r="AL258" s="84">
        <v>0.3362</v>
      </c>
    </row>
    <row r="259" spans="1:38">
      <c r="A259">
        <v>256</v>
      </c>
      <c r="B259" t="s">
        <v>173</v>
      </c>
      <c r="C259" t="s">
        <v>110</v>
      </c>
      <c r="D259">
        <f t="shared" si="8"/>
        <v>923</v>
      </c>
      <c r="E259" s="84">
        <v>0</v>
      </c>
      <c r="F259" s="84">
        <v>0</v>
      </c>
      <c r="G259" s="84">
        <v>0</v>
      </c>
      <c r="H259" s="84">
        <v>0</v>
      </c>
      <c r="I259" s="84">
        <v>0</v>
      </c>
      <c r="J259" s="84">
        <v>0</v>
      </c>
      <c r="K259" s="84">
        <v>0</v>
      </c>
      <c r="L259" s="84">
        <v>0</v>
      </c>
      <c r="O259" s="94" t="s">
        <v>1179</v>
      </c>
      <c r="P259" s="94" t="s">
        <v>110</v>
      </c>
      <c r="U259" s="91">
        <v>28.87</v>
      </c>
      <c r="X259" s="91">
        <v>31.31</v>
      </c>
      <c r="Y259" s="91">
        <v>34.46</v>
      </c>
      <c r="AB259" t="s">
        <v>1180</v>
      </c>
      <c r="AC259" s="84">
        <v>0</v>
      </c>
      <c r="AD259" s="84">
        <v>0</v>
      </c>
      <c r="AE259" s="84">
        <v>0</v>
      </c>
      <c r="AF259" s="84">
        <v>0</v>
      </c>
      <c r="AG259" s="84">
        <v>0</v>
      </c>
      <c r="AH259" s="84">
        <v>0</v>
      </c>
      <c r="AI259" s="84">
        <v>0</v>
      </c>
      <c r="AJ259" s="84">
        <v>0</v>
      </c>
      <c r="AK259" s="84">
        <v>0</v>
      </c>
      <c r="AL259" s="84">
        <v>0</v>
      </c>
    </row>
    <row r="260" spans="1:38">
      <c r="A260">
        <v>257</v>
      </c>
      <c r="B260" t="s">
        <v>175</v>
      </c>
      <c r="C260" t="s">
        <v>110</v>
      </c>
      <c r="D260">
        <f t="shared" si="8"/>
        <v>924</v>
      </c>
      <c r="E260" s="84">
        <v>0</v>
      </c>
      <c r="F260" s="84">
        <v>0</v>
      </c>
      <c r="G260" s="84">
        <v>0</v>
      </c>
      <c r="H260" s="84">
        <v>0</v>
      </c>
      <c r="I260" s="84">
        <v>0</v>
      </c>
      <c r="J260" s="84">
        <v>0</v>
      </c>
      <c r="K260" s="84">
        <v>0</v>
      </c>
      <c r="L260" s="84">
        <v>0</v>
      </c>
      <c r="O260" s="94" t="s">
        <v>1128</v>
      </c>
      <c r="P260" s="94" t="s">
        <v>110</v>
      </c>
      <c r="Q260" s="97"/>
      <c r="R260" s="97"/>
      <c r="S260" s="97"/>
      <c r="T260" s="97"/>
      <c r="U260" s="97"/>
      <c r="V260" s="97"/>
      <c r="W260" s="97"/>
      <c r="X260" s="97"/>
      <c r="Y260" s="97"/>
      <c r="Z260" s="97"/>
      <c r="AB260" t="s">
        <v>1184</v>
      </c>
      <c r="AC260" s="84">
        <v>0</v>
      </c>
      <c r="AD260" s="84">
        <v>0</v>
      </c>
      <c r="AE260" s="84">
        <v>0</v>
      </c>
      <c r="AF260" s="84">
        <v>0</v>
      </c>
      <c r="AG260" s="84">
        <v>0</v>
      </c>
      <c r="AH260" s="84">
        <v>0</v>
      </c>
      <c r="AI260" s="84">
        <v>0</v>
      </c>
      <c r="AJ260" s="84">
        <v>0</v>
      </c>
      <c r="AK260" s="84">
        <v>0</v>
      </c>
      <c r="AL260" s="84">
        <v>0</v>
      </c>
    </row>
    <row r="261" spans="1:38">
      <c r="A261">
        <v>258</v>
      </c>
      <c r="B261" t="s">
        <v>176</v>
      </c>
      <c r="C261" t="s">
        <v>110</v>
      </c>
      <c r="D261">
        <f t="shared" si="8"/>
        <v>925</v>
      </c>
      <c r="E261" s="84">
        <v>0</v>
      </c>
      <c r="F261" s="84">
        <v>0</v>
      </c>
      <c r="G261" s="84">
        <v>0</v>
      </c>
      <c r="H261" s="84">
        <v>0</v>
      </c>
      <c r="I261" s="84">
        <v>0</v>
      </c>
      <c r="J261" s="84">
        <v>0</v>
      </c>
      <c r="K261" s="84">
        <v>0</v>
      </c>
      <c r="L261" s="84">
        <v>0</v>
      </c>
      <c r="O261" s="94" t="s">
        <v>1181</v>
      </c>
      <c r="P261" s="94" t="s">
        <v>110</v>
      </c>
      <c r="Q261" s="98"/>
      <c r="R261" s="98"/>
      <c r="S261" s="98"/>
      <c r="T261" s="98"/>
      <c r="U261" s="98"/>
      <c r="V261" s="98"/>
      <c r="W261" s="98"/>
      <c r="X261" s="98"/>
      <c r="Y261" s="98"/>
      <c r="Z261" s="98"/>
      <c r="AB261" t="s">
        <v>1128</v>
      </c>
      <c r="AC261" s="84">
        <v>0</v>
      </c>
      <c r="AD261" s="84">
        <v>0</v>
      </c>
      <c r="AE261" s="84">
        <v>0</v>
      </c>
      <c r="AF261" s="84">
        <v>0</v>
      </c>
      <c r="AG261" s="84">
        <v>0</v>
      </c>
      <c r="AH261" s="84">
        <v>0</v>
      </c>
      <c r="AI261" s="84">
        <v>0</v>
      </c>
      <c r="AJ261" s="84">
        <v>0</v>
      </c>
      <c r="AK261" s="84">
        <v>0</v>
      </c>
      <c r="AL261" s="84">
        <v>0</v>
      </c>
    </row>
    <row r="262" spans="1:38">
      <c r="A262">
        <v>259</v>
      </c>
      <c r="B262" t="s">
        <v>178</v>
      </c>
      <c r="C262" t="s">
        <v>110</v>
      </c>
      <c r="D262">
        <f t="shared" si="8"/>
        <v>926</v>
      </c>
      <c r="E262" s="84">
        <v>0</v>
      </c>
      <c r="F262" s="84">
        <v>0</v>
      </c>
      <c r="G262" s="84">
        <v>0</v>
      </c>
      <c r="H262" s="84">
        <v>0</v>
      </c>
      <c r="I262" s="84">
        <v>0</v>
      </c>
      <c r="J262" s="84">
        <v>0</v>
      </c>
      <c r="K262" s="84">
        <v>0</v>
      </c>
      <c r="L262" s="84">
        <v>0</v>
      </c>
      <c r="O262" s="94" t="s">
        <v>1182</v>
      </c>
      <c r="P262" s="94" t="s">
        <v>110</v>
      </c>
      <c r="Q262" s="98"/>
      <c r="R262" s="98"/>
      <c r="S262" s="98"/>
      <c r="T262" s="98"/>
      <c r="U262" s="98"/>
      <c r="V262" s="98"/>
      <c r="W262" s="98"/>
      <c r="X262" s="98"/>
      <c r="Y262" s="98"/>
      <c r="Z262" s="98"/>
      <c r="AB262" t="s">
        <v>1181</v>
      </c>
      <c r="AC262" s="84">
        <v>0</v>
      </c>
      <c r="AD262" s="84">
        <v>0</v>
      </c>
      <c r="AE262" s="84">
        <v>0</v>
      </c>
      <c r="AF262" s="84">
        <v>0</v>
      </c>
      <c r="AG262" s="84">
        <v>0</v>
      </c>
      <c r="AH262" s="84">
        <v>0</v>
      </c>
      <c r="AI262" s="84">
        <v>0</v>
      </c>
      <c r="AJ262" s="84">
        <v>0</v>
      </c>
      <c r="AK262" s="84">
        <v>0</v>
      </c>
      <c r="AL262" s="84">
        <v>0</v>
      </c>
    </row>
    <row r="263" spans="1:38">
      <c r="A263">
        <v>260</v>
      </c>
      <c r="B263" t="s">
        <v>179</v>
      </c>
      <c r="C263" t="s">
        <v>110</v>
      </c>
      <c r="D263">
        <f t="shared" si="8"/>
        <v>927</v>
      </c>
      <c r="E263" s="84">
        <v>0</v>
      </c>
      <c r="F263" s="84">
        <v>0</v>
      </c>
      <c r="G263" s="84">
        <v>0</v>
      </c>
      <c r="H263" s="84">
        <v>0</v>
      </c>
      <c r="I263" s="84">
        <v>0</v>
      </c>
      <c r="J263" s="84">
        <v>0</v>
      </c>
      <c r="K263" s="84">
        <v>0</v>
      </c>
      <c r="L263" s="84">
        <v>0</v>
      </c>
      <c r="AB263" t="s">
        <v>1182</v>
      </c>
      <c r="AC263" s="84">
        <v>0</v>
      </c>
      <c r="AD263" s="84">
        <v>0</v>
      </c>
      <c r="AE263" s="84">
        <v>0</v>
      </c>
      <c r="AF263" s="84">
        <v>0</v>
      </c>
      <c r="AG263" s="84">
        <v>0</v>
      </c>
      <c r="AH263" s="84">
        <v>0</v>
      </c>
      <c r="AI263" s="84">
        <v>0</v>
      </c>
      <c r="AJ263" s="84">
        <v>0</v>
      </c>
      <c r="AK263" s="84">
        <v>0</v>
      </c>
      <c r="AL263" s="84">
        <v>0</v>
      </c>
    </row>
    <row r="264" spans="1:38">
      <c r="A264">
        <v>261</v>
      </c>
      <c r="B264" t="s">
        <v>138</v>
      </c>
      <c r="C264" t="s">
        <v>111</v>
      </c>
      <c r="D264">
        <v>1000</v>
      </c>
      <c r="E264" s="84">
        <v>0.43</v>
      </c>
      <c r="F264" s="84">
        <v>0.43</v>
      </c>
      <c r="G264" s="84">
        <v>0.43</v>
      </c>
      <c r="H264" s="84">
        <v>0.43</v>
      </c>
      <c r="I264" s="84">
        <v>0.43</v>
      </c>
      <c r="J264" s="84">
        <v>0.43</v>
      </c>
      <c r="K264" s="84">
        <v>0.43</v>
      </c>
      <c r="L264" s="84">
        <v>0.43</v>
      </c>
      <c r="O264" s="94" t="s">
        <v>138</v>
      </c>
      <c r="P264" s="94" t="s">
        <v>221</v>
      </c>
      <c r="U264" s="100">
        <v>43</v>
      </c>
      <c r="V264" s="100">
        <v>43</v>
      </c>
      <c r="W264" s="100">
        <v>43</v>
      </c>
      <c r="X264" s="100">
        <v>43</v>
      </c>
      <c r="Y264" s="100">
        <v>43</v>
      </c>
      <c r="Z264" s="100">
        <v>43</v>
      </c>
      <c r="AB264" t="s">
        <v>138</v>
      </c>
      <c r="AC264" s="84">
        <v>0.43</v>
      </c>
      <c r="AD264" s="84">
        <v>0.43</v>
      </c>
      <c r="AE264" s="84">
        <v>0.43</v>
      </c>
      <c r="AF264" s="84">
        <v>0.43</v>
      </c>
      <c r="AG264" s="84">
        <v>0.43</v>
      </c>
      <c r="AH264" s="84">
        <v>0.43</v>
      </c>
      <c r="AI264" s="84">
        <v>0.43</v>
      </c>
      <c r="AJ264" s="84">
        <v>0.43</v>
      </c>
      <c r="AK264" s="84">
        <v>0.43</v>
      </c>
      <c r="AL264" s="84">
        <v>0.43</v>
      </c>
    </row>
    <row r="265" spans="1:38">
      <c r="A265">
        <v>262</v>
      </c>
      <c r="B265" t="s">
        <v>139</v>
      </c>
      <c r="C265" t="s">
        <v>111</v>
      </c>
      <c r="D265">
        <f>+D264+1</f>
        <v>1001</v>
      </c>
      <c r="E265" s="84">
        <v>0.43</v>
      </c>
      <c r="F265" s="84">
        <v>0.43</v>
      </c>
      <c r="G265" s="84">
        <v>0.43</v>
      </c>
      <c r="H265" s="84">
        <v>0.43</v>
      </c>
      <c r="I265" s="84">
        <v>0.43</v>
      </c>
      <c r="J265" s="84">
        <v>0.43</v>
      </c>
      <c r="K265" s="84">
        <v>0.43</v>
      </c>
      <c r="L265" s="84">
        <v>0.43</v>
      </c>
      <c r="O265" s="94" t="s">
        <v>139</v>
      </c>
      <c r="P265" s="94" t="s">
        <v>221</v>
      </c>
      <c r="U265" s="100">
        <v>43</v>
      </c>
      <c r="V265" s="100">
        <v>43</v>
      </c>
      <c r="W265" s="100">
        <v>43</v>
      </c>
      <c r="X265" s="100">
        <v>43</v>
      </c>
      <c r="Y265" s="100">
        <v>43</v>
      </c>
      <c r="Z265" s="100">
        <v>43</v>
      </c>
      <c r="AB265" t="s">
        <v>139</v>
      </c>
      <c r="AC265" s="84">
        <v>0.43</v>
      </c>
      <c r="AD265" s="84">
        <v>0.43</v>
      </c>
      <c r="AE265" s="84">
        <v>0.43</v>
      </c>
      <c r="AF265" s="84">
        <v>0.43</v>
      </c>
      <c r="AG265" s="84">
        <v>0.43</v>
      </c>
      <c r="AH265" s="84">
        <v>0.43</v>
      </c>
      <c r="AI265" s="84">
        <v>0.43</v>
      </c>
      <c r="AJ265" s="84">
        <v>0.43</v>
      </c>
      <c r="AK265" s="84">
        <v>0.43</v>
      </c>
      <c r="AL265" s="84">
        <v>0.43</v>
      </c>
    </row>
    <row r="266" spans="1:38">
      <c r="A266">
        <v>263</v>
      </c>
      <c r="B266" t="s">
        <v>140</v>
      </c>
      <c r="C266" t="s">
        <v>111</v>
      </c>
      <c r="D266">
        <f t="shared" ref="D266:D292" si="9">+D265+1</f>
        <v>1002</v>
      </c>
      <c r="E266" s="84">
        <v>0</v>
      </c>
      <c r="F266" s="84">
        <v>0</v>
      </c>
      <c r="G266" s="84">
        <v>0</v>
      </c>
      <c r="H266" s="84">
        <v>0</v>
      </c>
      <c r="I266" s="84">
        <v>0</v>
      </c>
      <c r="J266" s="84">
        <v>0</v>
      </c>
      <c r="K266" s="84">
        <v>0</v>
      </c>
      <c r="L266" s="84">
        <v>0</v>
      </c>
      <c r="O266" s="94" t="s">
        <v>1164</v>
      </c>
      <c r="P266" s="94" t="s">
        <v>221</v>
      </c>
      <c r="Q266" s="101"/>
      <c r="R266" s="101"/>
      <c r="S266" s="101"/>
      <c r="T266" s="101"/>
      <c r="U266" s="101"/>
      <c r="V266" s="101"/>
      <c r="W266" s="101"/>
      <c r="X266" s="101"/>
      <c r="Y266" s="101"/>
      <c r="Z266" s="101"/>
      <c r="AB266" t="s">
        <v>1164</v>
      </c>
      <c r="AC266" s="84">
        <v>0</v>
      </c>
      <c r="AD266" s="84">
        <v>0</v>
      </c>
      <c r="AE266" s="84">
        <v>0</v>
      </c>
      <c r="AF266" s="84">
        <v>0</v>
      </c>
      <c r="AG266" s="84">
        <v>0</v>
      </c>
      <c r="AH266" s="84">
        <v>0</v>
      </c>
      <c r="AI266" s="84">
        <v>0</v>
      </c>
      <c r="AJ266" s="84">
        <v>0</v>
      </c>
      <c r="AK266" s="84">
        <v>0</v>
      </c>
      <c r="AL266" s="84">
        <v>0</v>
      </c>
    </row>
    <row r="267" spans="1:38">
      <c r="A267">
        <v>264</v>
      </c>
      <c r="B267" t="s">
        <v>142</v>
      </c>
      <c r="C267" t="s">
        <v>111</v>
      </c>
      <c r="D267">
        <f t="shared" si="9"/>
        <v>1003</v>
      </c>
      <c r="E267" s="84">
        <v>0.73</v>
      </c>
      <c r="F267" s="84">
        <v>0.73</v>
      </c>
      <c r="G267" s="84">
        <v>0.73</v>
      </c>
      <c r="H267" s="84">
        <v>0.73</v>
      </c>
      <c r="I267" s="84">
        <v>0.73</v>
      </c>
      <c r="J267" s="84">
        <v>0.73</v>
      </c>
      <c r="K267" s="84">
        <v>0.73</v>
      </c>
      <c r="L267" s="84">
        <v>0.73</v>
      </c>
      <c r="O267" s="94" t="s">
        <v>142</v>
      </c>
      <c r="P267" s="94" t="s">
        <v>221</v>
      </c>
      <c r="R267" s="100">
        <v>73</v>
      </c>
      <c r="S267" s="100">
        <v>73</v>
      </c>
      <c r="T267" s="100">
        <v>73</v>
      </c>
      <c r="U267" s="100">
        <v>73</v>
      </c>
      <c r="V267" s="100">
        <v>73</v>
      </c>
      <c r="W267" s="100">
        <v>73</v>
      </c>
      <c r="X267" s="100">
        <v>73</v>
      </c>
      <c r="Y267" s="100">
        <v>73</v>
      </c>
      <c r="Z267" s="100">
        <v>73</v>
      </c>
      <c r="AB267" t="s">
        <v>142</v>
      </c>
      <c r="AC267" s="84">
        <v>0.73</v>
      </c>
      <c r="AD267" s="84">
        <v>0.73</v>
      </c>
      <c r="AE267" s="84">
        <v>0.73</v>
      </c>
      <c r="AF267" s="84">
        <v>0.73</v>
      </c>
      <c r="AG267" s="84">
        <v>0.73</v>
      </c>
      <c r="AH267" s="84">
        <v>0.73</v>
      </c>
      <c r="AI267" s="84">
        <v>0.73</v>
      </c>
      <c r="AJ267" s="84">
        <v>0.73</v>
      </c>
      <c r="AK267" s="84">
        <v>0.73</v>
      </c>
      <c r="AL267" s="84">
        <v>0.73</v>
      </c>
    </row>
    <row r="268" spans="1:38">
      <c r="A268">
        <v>265</v>
      </c>
      <c r="B268" t="s">
        <v>143</v>
      </c>
      <c r="C268" t="s">
        <v>111</v>
      </c>
      <c r="D268">
        <f t="shared" si="9"/>
        <v>1004</v>
      </c>
      <c r="E268" s="84">
        <v>0.73</v>
      </c>
      <c r="F268" s="84">
        <v>0.73</v>
      </c>
      <c r="G268" s="84">
        <v>0.73</v>
      </c>
      <c r="H268" s="84">
        <v>0.73</v>
      </c>
      <c r="I268" s="84">
        <v>0.73</v>
      </c>
      <c r="J268" s="84">
        <v>0.73</v>
      </c>
      <c r="K268" s="84">
        <v>0.73</v>
      </c>
      <c r="L268" s="84">
        <v>0.73</v>
      </c>
      <c r="O268" s="94" t="s">
        <v>1165</v>
      </c>
      <c r="P268" s="94" t="s">
        <v>221</v>
      </c>
      <c r="R268" s="100">
        <v>73</v>
      </c>
      <c r="S268" s="100">
        <v>73</v>
      </c>
      <c r="T268" s="100">
        <v>73</v>
      </c>
      <c r="U268" s="100">
        <v>73</v>
      </c>
      <c r="V268" s="100">
        <v>73</v>
      </c>
      <c r="W268" s="100">
        <v>73</v>
      </c>
      <c r="X268" s="100">
        <v>73</v>
      </c>
      <c r="Y268" s="100">
        <v>73</v>
      </c>
      <c r="Z268" s="100">
        <v>73</v>
      </c>
      <c r="AB268" t="s">
        <v>1165</v>
      </c>
      <c r="AC268" s="84">
        <v>0.73</v>
      </c>
      <c r="AD268" s="84">
        <v>0.73</v>
      </c>
      <c r="AE268" s="84">
        <v>0.73</v>
      </c>
      <c r="AF268" s="84">
        <v>0.73</v>
      </c>
      <c r="AG268" s="84">
        <v>0.73</v>
      </c>
      <c r="AH268" s="84">
        <v>0.73</v>
      </c>
      <c r="AI268" s="84">
        <v>0.73</v>
      </c>
      <c r="AJ268" s="84">
        <v>0.73</v>
      </c>
      <c r="AK268" s="84">
        <v>0.73</v>
      </c>
      <c r="AL268" s="84">
        <v>0.73</v>
      </c>
    </row>
    <row r="269" spans="1:38">
      <c r="A269">
        <v>266</v>
      </c>
      <c r="B269" t="s">
        <v>145</v>
      </c>
      <c r="C269" t="s">
        <v>111</v>
      </c>
      <c r="D269">
        <f t="shared" si="9"/>
        <v>1005</v>
      </c>
      <c r="E269" s="84">
        <v>0</v>
      </c>
      <c r="F269" s="84">
        <v>0</v>
      </c>
      <c r="G269" s="84">
        <v>0</v>
      </c>
      <c r="H269" s="84">
        <v>0</v>
      </c>
      <c r="I269" s="84">
        <v>0</v>
      </c>
      <c r="J269" s="84">
        <v>0</v>
      </c>
      <c r="K269" s="84">
        <v>0</v>
      </c>
      <c r="L269" s="84">
        <v>0</v>
      </c>
      <c r="O269" s="94"/>
      <c r="P269" s="94"/>
      <c r="R269" s="100"/>
      <c r="S269" s="100"/>
      <c r="T269" s="100"/>
      <c r="U269" s="100"/>
      <c r="V269" s="100"/>
      <c r="W269" s="100"/>
      <c r="X269" s="100"/>
      <c r="Y269" s="100"/>
      <c r="Z269" s="100"/>
      <c r="AB269" t="s">
        <v>1183</v>
      </c>
      <c r="AC269" s="84">
        <v>0</v>
      </c>
      <c r="AD269" s="84">
        <v>0</v>
      </c>
      <c r="AE269" s="84">
        <v>0</v>
      </c>
      <c r="AF269" s="84">
        <v>0</v>
      </c>
      <c r="AG269" s="84">
        <v>0</v>
      </c>
      <c r="AH269" s="84">
        <v>0</v>
      </c>
      <c r="AI269" s="84">
        <v>0</v>
      </c>
      <c r="AJ269" s="84">
        <v>0</v>
      </c>
      <c r="AK269" s="84">
        <v>0</v>
      </c>
      <c r="AL269" s="84">
        <v>0</v>
      </c>
    </row>
    <row r="270" spans="1:38">
      <c r="A270">
        <v>267</v>
      </c>
      <c r="B270" t="s">
        <v>146</v>
      </c>
      <c r="C270" t="s">
        <v>111</v>
      </c>
      <c r="D270">
        <f t="shared" si="9"/>
        <v>1006</v>
      </c>
      <c r="E270" s="84">
        <v>0.83</v>
      </c>
      <c r="F270" s="84">
        <v>0.83</v>
      </c>
      <c r="G270" s="84">
        <v>0.83</v>
      </c>
      <c r="H270" s="84">
        <v>0.83</v>
      </c>
      <c r="I270" s="84">
        <v>0.83</v>
      </c>
      <c r="J270" s="84">
        <v>0.83</v>
      </c>
      <c r="K270" s="84">
        <v>0.83</v>
      </c>
      <c r="L270" s="84">
        <v>0.83</v>
      </c>
      <c r="O270" s="94" t="s">
        <v>1183</v>
      </c>
      <c r="P270" s="94" t="s">
        <v>221</v>
      </c>
      <c r="Q270" s="101"/>
      <c r="R270" s="101"/>
      <c r="S270" s="101"/>
      <c r="T270" s="101"/>
      <c r="U270" s="101"/>
      <c r="V270" s="101"/>
      <c r="W270" s="101"/>
      <c r="X270" s="101"/>
      <c r="Y270" s="101"/>
      <c r="Z270" s="101"/>
      <c r="AB270" t="s">
        <v>1126</v>
      </c>
      <c r="AC270" s="84">
        <v>0.83</v>
      </c>
      <c r="AD270" s="84">
        <v>0.83</v>
      </c>
      <c r="AE270" s="84">
        <v>0.83</v>
      </c>
      <c r="AF270" s="84">
        <v>0.83</v>
      </c>
      <c r="AG270" s="84">
        <v>0.83</v>
      </c>
      <c r="AH270" s="84">
        <v>0.83</v>
      </c>
      <c r="AI270" s="84">
        <v>0.83</v>
      </c>
      <c r="AJ270" s="84">
        <v>0.83</v>
      </c>
      <c r="AK270" s="84">
        <v>0.83</v>
      </c>
      <c r="AL270" s="84">
        <v>0.83</v>
      </c>
    </row>
    <row r="271" spans="1:38">
      <c r="A271">
        <v>268</v>
      </c>
      <c r="B271" t="s">
        <v>148</v>
      </c>
      <c r="C271" t="s">
        <v>111</v>
      </c>
      <c r="D271">
        <f t="shared" si="9"/>
        <v>1007</v>
      </c>
      <c r="E271" s="84">
        <v>0.83</v>
      </c>
      <c r="F271" s="84">
        <v>0.83</v>
      </c>
      <c r="G271" s="84">
        <v>0.83</v>
      </c>
      <c r="H271" s="84">
        <v>0.83</v>
      </c>
      <c r="I271" s="84">
        <v>0.83</v>
      </c>
      <c r="J271" s="84">
        <v>0.83</v>
      </c>
      <c r="K271" s="84">
        <v>0.83</v>
      </c>
      <c r="L271" s="84">
        <v>0.83</v>
      </c>
      <c r="O271" s="94" t="s">
        <v>1126</v>
      </c>
      <c r="P271" s="94" t="s">
        <v>221</v>
      </c>
      <c r="R271" s="100">
        <v>83</v>
      </c>
      <c r="S271" s="100">
        <v>83</v>
      </c>
      <c r="T271" s="100">
        <v>83</v>
      </c>
      <c r="U271" s="100">
        <v>83</v>
      </c>
      <c r="V271" s="100">
        <v>83</v>
      </c>
      <c r="W271" s="100">
        <v>83</v>
      </c>
      <c r="X271" s="100">
        <v>83</v>
      </c>
      <c r="Y271" s="100">
        <v>83</v>
      </c>
      <c r="Z271" s="100">
        <v>83</v>
      </c>
      <c r="AB271" t="s">
        <v>1166</v>
      </c>
      <c r="AC271" s="84">
        <v>0.83</v>
      </c>
      <c r="AD271" s="84">
        <v>0.83</v>
      </c>
      <c r="AE271" s="84">
        <v>0.83</v>
      </c>
      <c r="AF271" s="84">
        <v>0.83</v>
      </c>
      <c r="AG271" s="84">
        <v>0.83</v>
      </c>
      <c r="AH271" s="84">
        <v>0.83</v>
      </c>
      <c r="AI271" s="84">
        <v>0.83</v>
      </c>
      <c r="AJ271" s="84">
        <v>0.83</v>
      </c>
      <c r="AK271" s="84">
        <v>0.83</v>
      </c>
      <c r="AL271" s="84">
        <v>0.83</v>
      </c>
    </row>
    <row r="272" spans="1:38">
      <c r="A272">
        <v>269</v>
      </c>
      <c r="B272" t="s">
        <v>149</v>
      </c>
      <c r="C272" t="s">
        <v>111</v>
      </c>
      <c r="D272">
        <f t="shared" si="9"/>
        <v>1008</v>
      </c>
      <c r="E272" s="84">
        <v>0.83</v>
      </c>
      <c r="F272" s="84">
        <v>0.83</v>
      </c>
      <c r="G272" s="84">
        <v>0.83</v>
      </c>
      <c r="H272" s="84">
        <v>0.83</v>
      </c>
      <c r="I272" s="84">
        <v>0.83</v>
      </c>
      <c r="J272" s="84">
        <v>0.83</v>
      </c>
      <c r="K272" s="84">
        <v>0.83</v>
      </c>
      <c r="L272" s="84">
        <v>0.83</v>
      </c>
      <c r="O272" s="94" t="s">
        <v>1166</v>
      </c>
      <c r="P272" s="94" t="s">
        <v>221</v>
      </c>
      <c r="R272" s="100">
        <v>83</v>
      </c>
      <c r="S272" s="100">
        <v>83</v>
      </c>
      <c r="T272" s="100">
        <v>83</v>
      </c>
      <c r="U272" s="100">
        <v>83</v>
      </c>
      <c r="V272" s="100">
        <v>83</v>
      </c>
      <c r="W272" s="100">
        <v>83</v>
      </c>
      <c r="X272" s="100">
        <v>83</v>
      </c>
      <c r="Y272" s="100">
        <v>83</v>
      </c>
      <c r="Z272" s="100">
        <v>83</v>
      </c>
      <c r="AB272" t="s">
        <v>1167</v>
      </c>
      <c r="AC272" s="84">
        <v>0.83</v>
      </c>
      <c r="AD272" s="84">
        <v>0.83</v>
      </c>
      <c r="AE272" s="84">
        <v>0.83</v>
      </c>
      <c r="AF272" s="84">
        <v>0.83</v>
      </c>
      <c r="AG272" s="84">
        <v>0.83</v>
      </c>
      <c r="AH272" s="84">
        <v>0.83</v>
      </c>
      <c r="AI272" s="84">
        <v>0.83</v>
      </c>
      <c r="AJ272" s="84">
        <v>0.83</v>
      </c>
      <c r="AK272" s="84">
        <v>0.83</v>
      </c>
      <c r="AL272" s="84">
        <v>0.83</v>
      </c>
    </row>
    <row r="273" spans="1:38">
      <c r="A273">
        <v>270</v>
      </c>
      <c r="B273" t="s">
        <v>151</v>
      </c>
      <c r="C273" t="s">
        <v>111</v>
      </c>
      <c r="D273">
        <f t="shared" si="9"/>
        <v>1009</v>
      </c>
      <c r="E273" s="84">
        <v>0.83</v>
      </c>
      <c r="F273" s="84">
        <v>0.83</v>
      </c>
      <c r="G273" s="84">
        <v>0.83</v>
      </c>
      <c r="H273" s="84">
        <v>0.83</v>
      </c>
      <c r="I273" s="84">
        <v>0.83</v>
      </c>
      <c r="J273" s="84">
        <v>0.83</v>
      </c>
      <c r="K273" s="84">
        <v>0.83</v>
      </c>
      <c r="L273" s="84">
        <v>0.83</v>
      </c>
      <c r="O273" s="94" t="s">
        <v>1167</v>
      </c>
      <c r="P273" s="94" t="s">
        <v>221</v>
      </c>
      <c r="R273" s="100">
        <v>83</v>
      </c>
      <c r="S273" s="100">
        <v>83</v>
      </c>
      <c r="T273" s="100">
        <v>83</v>
      </c>
      <c r="U273" s="100">
        <v>83</v>
      </c>
      <c r="V273" s="100">
        <v>83</v>
      </c>
      <c r="W273" s="100">
        <v>83</v>
      </c>
      <c r="X273" s="100">
        <v>83</v>
      </c>
      <c r="Y273" s="100">
        <v>83</v>
      </c>
      <c r="Z273" s="100">
        <v>83</v>
      </c>
      <c r="AB273" t="s">
        <v>1168</v>
      </c>
      <c r="AC273" s="84">
        <v>0.83</v>
      </c>
      <c r="AD273" s="84">
        <v>0.83</v>
      </c>
      <c r="AE273" s="84">
        <v>0.83</v>
      </c>
      <c r="AF273" s="84">
        <v>0.83</v>
      </c>
      <c r="AG273" s="84">
        <v>0.83</v>
      </c>
      <c r="AH273" s="84">
        <v>0.83</v>
      </c>
      <c r="AI273" s="84">
        <v>0.83</v>
      </c>
      <c r="AJ273" s="84">
        <v>0.83</v>
      </c>
      <c r="AK273" s="84">
        <v>0.83</v>
      </c>
      <c r="AL273" s="84">
        <v>0.83</v>
      </c>
    </row>
    <row r="274" spans="1:38">
      <c r="A274">
        <v>271</v>
      </c>
      <c r="B274" t="s">
        <v>152</v>
      </c>
      <c r="C274" t="s">
        <v>111</v>
      </c>
      <c r="D274">
        <f t="shared" si="9"/>
        <v>1010</v>
      </c>
      <c r="E274" s="84">
        <v>0.83</v>
      </c>
      <c r="F274" s="84">
        <v>0.83</v>
      </c>
      <c r="G274" s="84">
        <v>0.83</v>
      </c>
      <c r="H274" s="84">
        <v>0.83</v>
      </c>
      <c r="I274" s="84">
        <v>0.83</v>
      </c>
      <c r="J274" s="84">
        <v>0.83</v>
      </c>
      <c r="K274" s="84">
        <v>0.83</v>
      </c>
      <c r="L274" s="84">
        <v>0.83</v>
      </c>
      <c r="O274" s="94" t="s">
        <v>1168</v>
      </c>
      <c r="P274" s="94" t="s">
        <v>221</v>
      </c>
      <c r="R274" s="100">
        <v>83</v>
      </c>
      <c r="S274" s="100">
        <v>83</v>
      </c>
      <c r="T274" s="100">
        <v>83</v>
      </c>
      <c r="U274" s="100">
        <v>83</v>
      </c>
      <c r="V274" s="100">
        <v>83</v>
      </c>
      <c r="W274" s="100">
        <v>83</v>
      </c>
      <c r="X274" s="100">
        <v>83</v>
      </c>
      <c r="Y274" s="100">
        <v>83</v>
      </c>
      <c r="Z274" s="100">
        <v>83</v>
      </c>
      <c r="AB274" t="s">
        <v>1169</v>
      </c>
      <c r="AC274" s="84">
        <v>0.83</v>
      </c>
      <c r="AD274" s="84">
        <v>0.83</v>
      </c>
      <c r="AE274" s="84">
        <v>0.83</v>
      </c>
      <c r="AF274" s="84">
        <v>0.83</v>
      </c>
      <c r="AG274" s="84">
        <v>0.83</v>
      </c>
      <c r="AH274" s="84">
        <v>0.83</v>
      </c>
      <c r="AI274" s="84">
        <v>0.83</v>
      </c>
      <c r="AJ274" s="84">
        <v>0.83</v>
      </c>
      <c r="AK274" s="84">
        <v>0.83</v>
      </c>
      <c r="AL274" s="84">
        <v>0.83</v>
      </c>
    </row>
    <row r="275" spans="1:38">
      <c r="A275">
        <v>272</v>
      </c>
      <c r="B275" t="s">
        <v>154</v>
      </c>
      <c r="C275" t="s">
        <v>111</v>
      </c>
      <c r="D275">
        <f t="shared" si="9"/>
        <v>1011</v>
      </c>
      <c r="E275" s="84">
        <v>0.79</v>
      </c>
      <c r="F275" s="84">
        <v>0.79</v>
      </c>
      <c r="G275" s="84">
        <v>0.79</v>
      </c>
      <c r="H275" s="84">
        <v>0.79</v>
      </c>
      <c r="I275" s="84">
        <v>0.79</v>
      </c>
      <c r="J275" s="84">
        <v>0.79</v>
      </c>
      <c r="K275" s="84">
        <v>0.79</v>
      </c>
      <c r="L275" s="84">
        <v>0.79</v>
      </c>
      <c r="O275" s="94" t="s">
        <v>1169</v>
      </c>
      <c r="P275" s="94" t="s">
        <v>221</v>
      </c>
      <c r="R275" s="100">
        <v>83</v>
      </c>
      <c r="S275" s="100">
        <v>83</v>
      </c>
      <c r="T275" s="100">
        <v>83</v>
      </c>
      <c r="U275" s="100">
        <v>83</v>
      </c>
      <c r="V275" s="100">
        <v>83</v>
      </c>
      <c r="W275" s="100">
        <v>83</v>
      </c>
      <c r="X275" s="100">
        <v>83</v>
      </c>
      <c r="Y275" s="100">
        <v>83</v>
      </c>
      <c r="Z275" s="100">
        <v>83</v>
      </c>
      <c r="AB275" t="s">
        <v>733</v>
      </c>
      <c r="AC275" s="84">
        <v>0.79</v>
      </c>
      <c r="AD275" s="84">
        <v>0.79</v>
      </c>
      <c r="AE275" s="84">
        <v>0.79</v>
      </c>
      <c r="AF275" s="84">
        <v>0.79</v>
      </c>
      <c r="AG275" s="84">
        <v>0.79</v>
      </c>
      <c r="AH275" s="84">
        <v>0.79</v>
      </c>
      <c r="AI275" s="84">
        <v>0.79</v>
      </c>
      <c r="AJ275" s="84">
        <v>0.79</v>
      </c>
      <c r="AK275" s="84">
        <v>0.79</v>
      </c>
      <c r="AL275" s="84">
        <v>0.79</v>
      </c>
    </row>
    <row r="276" spans="1:38">
      <c r="A276">
        <v>273</v>
      </c>
      <c r="B276" t="s">
        <v>155</v>
      </c>
      <c r="C276" t="s">
        <v>111</v>
      </c>
      <c r="D276">
        <f t="shared" si="9"/>
        <v>1012</v>
      </c>
      <c r="E276" s="84">
        <v>0.79</v>
      </c>
      <c r="F276" s="84">
        <v>0.79</v>
      </c>
      <c r="G276" s="84">
        <v>0.79</v>
      </c>
      <c r="H276" s="84">
        <v>0.79</v>
      </c>
      <c r="I276" s="84">
        <v>0.79</v>
      </c>
      <c r="J276" s="84">
        <v>0.79</v>
      </c>
      <c r="K276" s="84">
        <v>0.79</v>
      </c>
      <c r="L276" s="84">
        <v>0.79</v>
      </c>
      <c r="O276" s="94" t="s">
        <v>733</v>
      </c>
      <c r="P276" s="94" t="s">
        <v>221</v>
      </c>
      <c r="R276" s="100">
        <v>79</v>
      </c>
      <c r="S276" s="100">
        <v>79</v>
      </c>
      <c r="T276" s="100">
        <v>79</v>
      </c>
      <c r="U276" s="100">
        <v>79</v>
      </c>
      <c r="V276" s="100">
        <v>79</v>
      </c>
      <c r="W276" s="100">
        <v>79</v>
      </c>
      <c r="X276" s="100">
        <v>79</v>
      </c>
      <c r="Y276" s="100">
        <v>79</v>
      </c>
      <c r="Z276" s="100">
        <v>79</v>
      </c>
      <c r="AB276" t="s">
        <v>1170</v>
      </c>
      <c r="AC276" s="84">
        <v>0.79</v>
      </c>
      <c r="AD276" s="84">
        <v>0.79</v>
      </c>
      <c r="AE276" s="84">
        <v>0.79</v>
      </c>
      <c r="AF276" s="84">
        <v>0.79</v>
      </c>
      <c r="AG276" s="84">
        <v>0.79</v>
      </c>
      <c r="AH276" s="84">
        <v>0.79</v>
      </c>
      <c r="AI276" s="84">
        <v>0.79</v>
      </c>
      <c r="AJ276" s="84">
        <v>0.79</v>
      </c>
      <c r="AK276" s="84">
        <v>0.79</v>
      </c>
      <c r="AL276" s="84">
        <v>0.79</v>
      </c>
    </row>
    <row r="277" spans="1:38">
      <c r="A277">
        <v>274</v>
      </c>
      <c r="B277" t="s">
        <v>157</v>
      </c>
      <c r="C277" t="s">
        <v>111</v>
      </c>
      <c r="D277">
        <f t="shared" si="9"/>
        <v>1013</v>
      </c>
      <c r="E277" s="84">
        <v>0.79</v>
      </c>
      <c r="F277" s="84">
        <v>0.79</v>
      </c>
      <c r="G277" s="84">
        <v>0.79</v>
      </c>
      <c r="H277" s="84">
        <v>0.79</v>
      </c>
      <c r="I277" s="84">
        <v>0.79</v>
      </c>
      <c r="J277" s="84">
        <v>0.79</v>
      </c>
      <c r="K277" s="84">
        <v>0.79</v>
      </c>
      <c r="L277" s="84">
        <v>0.79</v>
      </c>
      <c r="O277" s="94" t="s">
        <v>1170</v>
      </c>
      <c r="P277" s="94" t="s">
        <v>221</v>
      </c>
      <c r="R277" s="100">
        <v>79</v>
      </c>
      <c r="S277" s="100">
        <v>79</v>
      </c>
      <c r="T277" s="100">
        <v>79</v>
      </c>
      <c r="U277" s="100">
        <v>79</v>
      </c>
      <c r="V277" s="100">
        <v>79</v>
      </c>
      <c r="W277" s="100">
        <v>79</v>
      </c>
      <c r="X277" s="100">
        <v>79</v>
      </c>
      <c r="Y277" s="100">
        <v>79</v>
      </c>
      <c r="Z277" s="100">
        <v>79</v>
      </c>
      <c r="AB277" t="s">
        <v>1171</v>
      </c>
      <c r="AC277" s="84">
        <v>0.79</v>
      </c>
      <c r="AD277" s="84">
        <v>0.79</v>
      </c>
      <c r="AE277" s="84">
        <v>0.79</v>
      </c>
      <c r="AF277" s="84">
        <v>0.79</v>
      </c>
      <c r="AG277" s="84">
        <v>0.79</v>
      </c>
      <c r="AH277" s="84">
        <v>0.79</v>
      </c>
      <c r="AI277" s="84">
        <v>0.79</v>
      </c>
      <c r="AJ277" s="84">
        <v>0.79</v>
      </c>
      <c r="AK277" s="84">
        <v>0.79</v>
      </c>
      <c r="AL277" s="84">
        <v>0.79</v>
      </c>
    </row>
    <row r="278" spans="1:38">
      <c r="A278">
        <v>275</v>
      </c>
      <c r="B278" t="s">
        <v>158</v>
      </c>
      <c r="C278" t="s">
        <v>111</v>
      </c>
      <c r="D278">
        <f t="shared" si="9"/>
        <v>1014</v>
      </c>
      <c r="E278" s="84">
        <v>0.79</v>
      </c>
      <c r="F278" s="84">
        <v>0.79</v>
      </c>
      <c r="G278" s="84">
        <v>0.79</v>
      </c>
      <c r="H278" s="84">
        <v>0.79</v>
      </c>
      <c r="I278" s="84">
        <v>0.79</v>
      </c>
      <c r="J278" s="84">
        <v>0.79</v>
      </c>
      <c r="K278" s="84">
        <v>0.79</v>
      </c>
      <c r="L278" s="84">
        <v>0.79</v>
      </c>
      <c r="O278" s="94" t="s">
        <v>1171</v>
      </c>
      <c r="P278" s="94" t="s">
        <v>221</v>
      </c>
      <c r="R278" s="100">
        <v>79</v>
      </c>
      <c r="S278" s="100">
        <v>79</v>
      </c>
      <c r="T278" s="100">
        <v>79</v>
      </c>
      <c r="U278" s="100">
        <v>79</v>
      </c>
      <c r="V278" s="100">
        <v>79</v>
      </c>
      <c r="W278" s="100">
        <v>79</v>
      </c>
      <c r="X278" s="100">
        <v>79</v>
      </c>
      <c r="Y278" s="100">
        <v>79</v>
      </c>
      <c r="Z278" s="100">
        <v>79</v>
      </c>
      <c r="AB278" t="s">
        <v>1172</v>
      </c>
      <c r="AC278" s="84">
        <v>0.79</v>
      </c>
      <c r="AD278" s="84">
        <v>0.79</v>
      </c>
      <c r="AE278" s="84">
        <v>0.79</v>
      </c>
      <c r="AF278" s="84">
        <v>0.79</v>
      </c>
      <c r="AG278" s="84">
        <v>0.79</v>
      </c>
      <c r="AH278" s="84">
        <v>0.79</v>
      </c>
      <c r="AI278" s="84">
        <v>0.79</v>
      </c>
      <c r="AJ278" s="84">
        <v>0.79</v>
      </c>
      <c r="AK278" s="84">
        <v>0.79</v>
      </c>
      <c r="AL278" s="84">
        <v>0.79</v>
      </c>
    </row>
    <row r="279" spans="1:38">
      <c r="A279">
        <v>276</v>
      </c>
      <c r="B279" t="s">
        <v>160</v>
      </c>
      <c r="C279" t="s">
        <v>111</v>
      </c>
      <c r="D279">
        <f t="shared" si="9"/>
        <v>1015</v>
      </c>
      <c r="E279" s="84">
        <v>0.79</v>
      </c>
      <c r="F279" s="84">
        <v>0.79</v>
      </c>
      <c r="G279" s="84">
        <v>0.79</v>
      </c>
      <c r="H279" s="84">
        <v>0.79</v>
      </c>
      <c r="I279" s="84">
        <v>0.79</v>
      </c>
      <c r="J279" s="84">
        <v>0.79</v>
      </c>
      <c r="K279" s="84">
        <v>0.79</v>
      </c>
      <c r="L279" s="84">
        <v>0.79</v>
      </c>
      <c r="O279" s="94" t="s">
        <v>1172</v>
      </c>
      <c r="P279" s="94" t="s">
        <v>221</v>
      </c>
      <c r="R279" s="100">
        <v>79</v>
      </c>
      <c r="S279" s="100">
        <v>79</v>
      </c>
      <c r="T279" s="100">
        <v>79</v>
      </c>
      <c r="U279" s="100">
        <v>79</v>
      </c>
      <c r="V279" s="100">
        <v>79</v>
      </c>
      <c r="W279" s="100">
        <v>79</v>
      </c>
      <c r="X279" s="100">
        <v>79</v>
      </c>
      <c r="Y279" s="100">
        <v>79</v>
      </c>
      <c r="Z279" s="100">
        <v>79</v>
      </c>
      <c r="AB279" t="s">
        <v>1173</v>
      </c>
      <c r="AC279" s="84">
        <v>0.79</v>
      </c>
      <c r="AD279" s="84">
        <v>0.79</v>
      </c>
      <c r="AE279" s="84">
        <v>0.79</v>
      </c>
      <c r="AF279" s="84">
        <v>0.79</v>
      </c>
      <c r="AG279" s="84">
        <v>0.79</v>
      </c>
      <c r="AH279" s="84">
        <v>0.79</v>
      </c>
      <c r="AI279" s="84">
        <v>0.79</v>
      </c>
      <c r="AJ279" s="84">
        <v>0.79</v>
      </c>
      <c r="AK279" s="84">
        <v>0.79</v>
      </c>
      <c r="AL279" s="84">
        <v>0.79</v>
      </c>
    </row>
    <row r="280" spans="1:38">
      <c r="A280">
        <v>277</v>
      </c>
      <c r="B280" t="s">
        <v>161</v>
      </c>
      <c r="C280" t="s">
        <v>111</v>
      </c>
      <c r="D280">
        <f t="shared" si="9"/>
        <v>1016</v>
      </c>
      <c r="E280" s="84">
        <v>0.76</v>
      </c>
      <c r="F280" s="84">
        <v>0.76</v>
      </c>
      <c r="G280" s="84">
        <v>0.76</v>
      </c>
      <c r="H280" s="84">
        <v>0.78</v>
      </c>
      <c r="I280" s="84">
        <v>0.78</v>
      </c>
      <c r="J280" s="84">
        <v>0.78</v>
      </c>
      <c r="K280" s="84">
        <v>0.78</v>
      </c>
      <c r="L280" s="84">
        <v>0.78</v>
      </c>
      <c r="O280" s="94" t="s">
        <v>1173</v>
      </c>
      <c r="P280" s="94" t="s">
        <v>221</v>
      </c>
      <c r="R280" s="100">
        <v>79</v>
      </c>
      <c r="S280" s="100">
        <v>79</v>
      </c>
      <c r="T280" s="100">
        <v>79</v>
      </c>
      <c r="U280" s="100">
        <v>79</v>
      </c>
      <c r="V280" s="100">
        <v>79</v>
      </c>
      <c r="W280" s="100">
        <v>79</v>
      </c>
      <c r="X280" s="100">
        <v>79</v>
      </c>
      <c r="Y280" s="100">
        <v>79</v>
      </c>
      <c r="Z280" s="100">
        <v>79</v>
      </c>
      <c r="AB280" t="s">
        <v>734</v>
      </c>
      <c r="AC280" s="84">
        <v>0.76</v>
      </c>
      <c r="AD280" s="84">
        <v>0.76</v>
      </c>
      <c r="AE280" s="84">
        <v>0.76</v>
      </c>
      <c r="AF280" s="84">
        <v>0.78</v>
      </c>
      <c r="AG280" s="84">
        <v>0.78</v>
      </c>
      <c r="AH280" s="84">
        <v>0.78</v>
      </c>
      <c r="AI280" s="84">
        <v>0.78</v>
      </c>
      <c r="AJ280" s="84">
        <v>0.78</v>
      </c>
      <c r="AK280" s="84">
        <v>0.78</v>
      </c>
      <c r="AL280" s="84">
        <v>0.78</v>
      </c>
    </row>
    <row r="281" spans="1:38">
      <c r="A281">
        <v>278</v>
      </c>
      <c r="B281" t="s">
        <v>163</v>
      </c>
      <c r="C281" t="s">
        <v>111</v>
      </c>
      <c r="D281">
        <f t="shared" si="9"/>
        <v>1017</v>
      </c>
      <c r="E281" s="84">
        <v>0.76</v>
      </c>
      <c r="F281" s="84">
        <v>0.76</v>
      </c>
      <c r="G281" s="84">
        <v>0.76</v>
      </c>
      <c r="H281" s="84">
        <v>0.78</v>
      </c>
      <c r="I281" s="84">
        <v>0.78</v>
      </c>
      <c r="J281" s="84">
        <v>0.78</v>
      </c>
      <c r="K281" s="84">
        <v>0.78</v>
      </c>
      <c r="L281" s="84">
        <v>0.78</v>
      </c>
      <c r="O281" s="94" t="s">
        <v>734</v>
      </c>
      <c r="P281" s="94" t="s">
        <v>221</v>
      </c>
      <c r="R281" s="100">
        <v>76</v>
      </c>
      <c r="S281" s="100">
        <v>76</v>
      </c>
      <c r="T281" s="100">
        <v>78</v>
      </c>
      <c r="U281" s="100">
        <v>78</v>
      </c>
      <c r="V281" s="100">
        <v>78</v>
      </c>
      <c r="W281" s="100">
        <v>78</v>
      </c>
      <c r="X281" s="100">
        <v>78</v>
      </c>
      <c r="Y281" s="100">
        <v>78</v>
      </c>
      <c r="Z281" s="100">
        <v>78</v>
      </c>
      <c r="AB281" t="s">
        <v>1174</v>
      </c>
      <c r="AC281" s="84">
        <v>0.76</v>
      </c>
      <c r="AD281" s="84">
        <v>0.76</v>
      </c>
      <c r="AE281" s="84">
        <v>0.76</v>
      </c>
      <c r="AF281" s="84">
        <v>0.78</v>
      </c>
      <c r="AG281" s="84">
        <v>0.78</v>
      </c>
      <c r="AH281" s="84">
        <v>0.78</v>
      </c>
      <c r="AI281" s="84">
        <v>0.78</v>
      </c>
      <c r="AJ281" s="84">
        <v>0.78</v>
      </c>
      <c r="AK281" s="84">
        <v>0.78</v>
      </c>
      <c r="AL281" s="84">
        <v>0.78</v>
      </c>
    </row>
    <row r="282" spans="1:38">
      <c r="A282">
        <v>279</v>
      </c>
      <c r="B282" t="s">
        <v>164</v>
      </c>
      <c r="C282" t="s">
        <v>111</v>
      </c>
      <c r="D282">
        <f t="shared" si="9"/>
        <v>1018</v>
      </c>
      <c r="E282" s="84">
        <v>0.76</v>
      </c>
      <c r="F282" s="84">
        <v>0.76</v>
      </c>
      <c r="G282" s="84">
        <v>0.76</v>
      </c>
      <c r="H282" s="84">
        <v>0.78</v>
      </c>
      <c r="I282" s="84">
        <v>0.78</v>
      </c>
      <c r="J282" s="84">
        <v>0.78</v>
      </c>
      <c r="K282" s="84">
        <v>0.78</v>
      </c>
      <c r="L282" s="84">
        <v>0.78</v>
      </c>
      <c r="O282" s="94" t="s">
        <v>1174</v>
      </c>
      <c r="P282" s="94" t="s">
        <v>221</v>
      </c>
      <c r="R282" s="100">
        <v>76</v>
      </c>
      <c r="S282" s="100">
        <v>76</v>
      </c>
      <c r="T282" s="100">
        <v>78</v>
      </c>
      <c r="U282" s="100">
        <v>78</v>
      </c>
      <c r="V282" s="100">
        <v>78</v>
      </c>
      <c r="W282" s="100">
        <v>78</v>
      </c>
      <c r="X282" s="100">
        <v>78</v>
      </c>
      <c r="Y282" s="100">
        <v>78</v>
      </c>
      <c r="Z282" s="100">
        <v>78</v>
      </c>
      <c r="AB282" t="s">
        <v>1175</v>
      </c>
      <c r="AC282" s="84">
        <v>0.76</v>
      </c>
      <c r="AD282" s="84">
        <v>0.76</v>
      </c>
      <c r="AE282" s="84">
        <v>0.76</v>
      </c>
      <c r="AF282" s="84">
        <v>0.78</v>
      </c>
      <c r="AG282" s="84">
        <v>0.78</v>
      </c>
      <c r="AH282" s="84">
        <v>0.78</v>
      </c>
      <c r="AI282" s="84">
        <v>0.78</v>
      </c>
      <c r="AJ282" s="84">
        <v>0.78</v>
      </c>
      <c r="AK282" s="84">
        <v>0.78</v>
      </c>
      <c r="AL282" s="84">
        <v>0.78</v>
      </c>
    </row>
    <row r="283" spans="1:38">
      <c r="A283">
        <v>280</v>
      </c>
      <c r="B283" t="s">
        <v>166</v>
      </c>
      <c r="C283" t="s">
        <v>111</v>
      </c>
      <c r="D283">
        <f t="shared" si="9"/>
        <v>1019</v>
      </c>
      <c r="E283" s="84">
        <v>0.76</v>
      </c>
      <c r="F283" s="84">
        <v>0.76</v>
      </c>
      <c r="G283" s="84">
        <v>0.76</v>
      </c>
      <c r="H283" s="84">
        <v>0.78</v>
      </c>
      <c r="I283" s="84">
        <v>0.78</v>
      </c>
      <c r="J283" s="84">
        <v>0.78</v>
      </c>
      <c r="K283" s="84">
        <v>0.78</v>
      </c>
      <c r="L283" s="84">
        <v>0.78</v>
      </c>
      <c r="O283" s="94" t="s">
        <v>1175</v>
      </c>
      <c r="P283" s="94" t="s">
        <v>221</v>
      </c>
      <c r="R283" s="100">
        <v>76</v>
      </c>
      <c r="S283" s="100">
        <v>76</v>
      </c>
      <c r="T283" s="100">
        <v>78</v>
      </c>
      <c r="U283" s="100">
        <v>78</v>
      </c>
      <c r="V283" s="100">
        <v>78</v>
      </c>
      <c r="W283" s="100">
        <v>78</v>
      </c>
      <c r="X283" s="100">
        <v>78</v>
      </c>
      <c r="Y283" s="100">
        <v>78</v>
      </c>
      <c r="Z283" s="100">
        <v>78</v>
      </c>
      <c r="AB283" t="s">
        <v>1176</v>
      </c>
      <c r="AC283" s="84">
        <v>0.76</v>
      </c>
      <c r="AD283" s="84">
        <v>0.76</v>
      </c>
      <c r="AE283" s="84">
        <v>0.76</v>
      </c>
      <c r="AF283" s="84">
        <v>0.78</v>
      </c>
      <c r="AG283" s="84">
        <v>0.78</v>
      </c>
      <c r="AH283" s="84">
        <v>0.78</v>
      </c>
      <c r="AI283" s="84">
        <v>0.78</v>
      </c>
      <c r="AJ283" s="84">
        <v>0.78</v>
      </c>
      <c r="AK283" s="84">
        <v>0.78</v>
      </c>
      <c r="AL283" s="84">
        <v>0.78</v>
      </c>
    </row>
    <row r="284" spans="1:38">
      <c r="A284">
        <v>281</v>
      </c>
      <c r="B284" t="s">
        <v>167</v>
      </c>
      <c r="C284" t="s">
        <v>111</v>
      </c>
      <c r="D284">
        <f t="shared" si="9"/>
        <v>1020</v>
      </c>
      <c r="E284" s="84">
        <v>0.76</v>
      </c>
      <c r="F284" s="84">
        <v>0.76</v>
      </c>
      <c r="G284" s="84">
        <v>0.76</v>
      </c>
      <c r="H284" s="84">
        <v>0.78</v>
      </c>
      <c r="I284" s="84">
        <v>0.78</v>
      </c>
      <c r="J284" s="84">
        <v>0.78</v>
      </c>
      <c r="K284" s="84">
        <v>0.78</v>
      </c>
      <c r="L284" s="84">
        <v>0.78</v>
      </c>
      <c r="O284" s="94" t="s">
        <v>1176</v>
      </c>
      <c r="P284" s="94" t="s">
        <v>221</v>
      </c>
      <c r="R284" s="100">
        <v>76</v>
      </c>
      <c r="S284" s="100">
        <v>76</v>
      </c>
      <c r="T284" s="100">
        <v>78</v>
      </c>
      <c r="U284" s="100">
        <v>78</v>
      </c>
      <c r="V284" s="100">
        <v>78</v>
      </c>
      <c r="W284" s="100">
        <v>78</v>
      </c>
      <c r="X284" s="100">
        <v>78</v>
      </c>
      <c r="Y284" s="100">
        <v>78</v>
      </c>
      <c r="Z284" s="100">
        <v>78</v>
      </c>
      <c r="AB284" t="s">
        <v>1177</v>
      </c>
      <c r="AC284" s="84">
        <v>0.76</v>
      </c>
      <c r="AD284" s="84">
        <v>0.76</v>
      </c>
      <c r="AE284" s="84">
        <v>0.76</v>
      </c>
      <c r="AF284" s="84">
        <v>0.78</v>
      </c>
      <c r="AG284" s="84">
        <v>0.78</v>
      </c>
      <c r="AH284" s="84">
        <v>0.78</v>
      </c>
      <c r="AI284" s="84">
        <v>0.78</v>
      </c>
      <c r="AJ284" s="84">
        <v>0.78</v>
      </c>
      <c r="AK284" s="84">
        <v>0.78</v>
      </c>
      <c r="AL284" s="84">
        <v>0.78</v>
      </c>
    </row>
    <row r="285" spans="1:38">
      <c r="A285">
        <v>282</v>
      </c>
      <c r="B285" t="s">
        <v>169</v>
      </c>
      <c r="C285" t="s">
        <v>111</v>
      </c>
      <c r="D285">
        <f t="shared" si="9"/>
        <v>1021</v>
      </c>
      <c r="E285" s="84">
        <v>0.76</v>
      </c>
      <c r="F285" s="84">
        <v>0.76</v>
      </c>
      <c r="G285" s="84">
        <v>0.76</v>
      </c>
      <c r="H285" s="84">
        <v>0.78</v>
      </c>
      <c r="I285" s="84">
        <v>0.78</v>
      </c>
      <c r="J285" s="84">
        <v>0.78</v>
      </c>
      <c r="K285" s="84">
        <v>0.78</v>
      </c>
      <c r="L285" s="84">
        <v>0.78</v>
      </c>
      <c r="O285" s="94" t="s">
        <v>1177</v>
      </c>
      <c r="P285" s="94" t="s">
        <v>221</v>
      </c>
      <c r="R285" s="100">
        <v>76</v>
      </c>
      <c r="S285" s="100">
        <v>76</v>
      </c>
      <c r="T285" s="100">
        <v>78</v>
      </c>
      <c r="U285" s="100">
        <v>78</v>
      </c>
      <c r="V285" s="100">
        <v>78</v>
      </c>
      <c r="W285" s="100">
        <v>78</v>
      </c>
      <c r="X285" s="100">
        <v>78</v>
      </c>
      <c r="Y285" s="100">
        <v>78</v>
      </c>
      <c r="Z285" s="100">
        <v>78</v>
      </c>
      <c r="AB285" t="s">
        <v>1178</v>
      </c>
      <c r="AC285" s="84">
        <v>0.76</v>
      </c>
      <c r="AD285" s="84">
        <v>0.76</v>
      </c>
      <c r="AE285" s="84">
        <v>0.76</v>
      </c>
      <c r="AF285" s="84">
        <v>0.78</v>
      </c>
      <c r="AG285" s="84">
        <v>0.78</v>
      </c>
      <c r="AH285" s="84">
        <v>0.78</v>
      </c>
      <c r="AI285" s="84">
        <v>0.78</v>
      </c>
      <c r="AJ285" s="84">
        <v>0.78</v>
      </c>
      <c r="AK285" s="84">
        <v>0.78</v>
      </c>
      <c r="AL285" s="84">
        <v>0.78</v>
      </c>
    </row>
    <row r="286" spans="1:38">
      <c r="A286">
        <v>283</v>
      </c>
      <c r="B286" t="s">
        <v>170</v>
      </c>
      <c r="C286" t="s">
        <v>111</v>
      </c>
      <c r="D286">
        <f t="shared" si="9"/>
        <v>1022</v>
      </c>
      <c r="E286" s="84">
        <v>0.76</v>
      </c>
      <c r="F286" s="84">
        <v>0.76</v>
      </c>
      <c r="G286" s="84">
        <v>0.76</v>
      </c>
      <c r="H286" s="84">
        <v>0.78</v>
      </c>
      <c r="I286" s="84">
        <v>0.78</v>
      </c>
      <c r="J286" s="84">
        <v>0.78</v>
      </c>
      <c r="K286" s="84">
        <v>0.78</v>
      </c>
      <c r="L286" s="84">
        <v>0.78</v>
      </c>
      <c r="O286" s="94" t="s">
        <v>1178</v>
      </c>
      <c r="P286" s="94" t="s">
        <v>221</v>
      </c>
      <c r="R286" s="100">
        <v>76</v>
      </c>
      <c r="S286" s="100">
        <v>76</v>
      </c>
      <c r="T286" s="100">
        <v>78</v>
      </c>
      <c r="U286" s="100">
        <v>78</v>
      </c>
      <c r="V286" s="100">
        <v>78</v>
      </c>
      <c r="W286" s="100">
        <v>78</v>
      </c>
      <c r="X286" s="100">
        <v>78</v>
      </c>
      <c r="Y286" s="100">
        <v>78</v>
      </c>
      <c r="Z286" s="100">
        <v>78</v>
      </c>
      <c r="AB286" t="s">
        <v>735</v>
      </c>
      <c r="AC286" s="84">
        <v>0.76</v>
      </c>
      <c r="AD286" s="84">
        <v>0.76</v>
      </c>
      <c r="AE286" s="84">
        <v>0.76</v>
      </c>
      <c r="AF286" s="84">
        <v>0.78</v>
      </c>
      <c r="AG286" s="84">
        <v>0.78</v>
      </c>
      <c r="AH286" s="84">
        <v>0.78</v>
      </c>
      <c r="AI286" s="84">
        <v>0.78</v>
      </c>
      <c r="AJ286" s="84">
        <v>0.78</v>
      </c>
      <c r="AK286" s="84">
        <v>0.78</v>
      </c>
      <c r="AL286" s="84">
        <v>0.78</v>
      </c>
    </row>
    <row r="287" spans="1:38">
      <c r="A287">
        <v>284</v>
      </c>
      <c r="B287" t="s">
        <v>172</v>
      </c>
      <c r="C287" t="s">
        <v>111</v>
      </c>
      <c r="D287">
        <f t="shared" si="9"/>
        <v>1023</v>
      </c>
      <c r="E287" s="84">
        <v>0.76</v>
      </c>
      <c r="F287" s="84">
        <v>0.76</v>
      </c>
      <c r="G287" s="84">
        <v>0.76</v>
      </c>
      <c r="H287" s="84">
        <v>0.78</v>
      </c>
      <c r="I287" s="84">
        <v>0.78</v>
      </c>
      <c r="J287" s="84">
        <v>0.78</v>
      </c>
      <c r="K287" s="84">
        <v>0.78</v>
      </c>
      <c r="L287" s="84">
        <v>0.78</v>
      </c>
      <c r="O287" s="94" t="s">
        <v>735</v>
      </c>
      <c r="P287" s="94" t="s">
        <v>221</v>
      </c>
      <c r="R287" s="100">
        <v>76</v>
      </c>
      <c r="S287" s="100">
        <v>76</v>
      </c>
      <c r="T287" s="100">
        <v>78</v>
      </c>
      <c r="U287" s="100">
        <v>78</v>
      </c>
      <c r="V287" s="100">
        <v>78</v>
      </c>
      <c r="W287" s="100">
        <v>78</v>
      </c>
      <c r="X287" s="100">
        <v>78</v>
      </c>
      <c r="Y287" s="100">
        <v>78</v>
      </c>
      <c r="Z287" s="100">
        <v>78</v>
      </c>
      <c r="AB287" t="s">
        <v>1179</v>
      </c>
      <c r="AC287" s="84">
        <v>0.76</v>
      </c>
      <c r="AD287" s="84">
        <v>0.76</v>
      </c>
      <c r="AE287" s="84">
        <v>0.76</v>
      </c>
      <c r="AF287" s="84">
        <v>0.78</v>
      </c>
      <c r="AG287" s="84">
        <v>0.78</v>
      </c>
      <c r="AH287" s="84">
        <v>0.78</v>
      </c>
      <c r="AI287" s="84">
        <v>0.78</v>
      </c>
      <c r="AJ287" s="84">
        <v>0.78</v>
      </c>
      <c r="AK287" s="84">
        <v>0.78</v>
      </c>
      <c r="AL287" s="84">
        <v>0.78</v>
      </c>
    </row>
    <row r="288" spans="1:38">
      <c r="A288">
        <v>285</v>
      </c>
      <c r="B288" t="s">
        <v>173</v>
      </c>
      <c r="C288" t="s">
        <v>111</v>
      </c>
      <c r="D288">
        <f t="shared" si="9"/>
        <v>1024</v>
      </c>
      <c r="E288" s="84">
        <v>0.76</v>
      </c>
      <c r="F288" s="84">
        <v>0.76</v>
      </c>
      <c r="G288" s="84">
        <v>0.76</v>
      </c>
      <c r="H288" s="84">
        <v>0.78</v>
      </c>
      <c r="I288" s="84">
        <v>0.78</v>
      </c>
      <c r="J288" s="84">
        <v>0.78</v>
      </c>
      <c r="K288" s="84">
        <v>0.78</v>
      </c>
      <c r="L288" s="84">
        <v>0.78</v>
      </c>
      <c r="O288" s="94" t="s">
        <v>1179</v>
      </c>
      <c r="P288" s="94" t="s">
        <v>221</v>
      </c>
      <c r="R288" s="100">
        <v>76</v>
      </c>
      <c r="S288" s="100">
        <v>76</v>
      </c>
      <c r="T288" s="100">
        <v>78</v>
      </c>
      <c r="U288" s="100">
        <v>78</v>
      </c>
      <c r="V288" s="100">
        <v>78</v>
      </c>
      <c r="W288" s="100">
        <v>78</v>
      </c>
      <c r="X288" s="100">
        <v>78</v>
      </c>
      <c r="Y288" s="100">
        <v>78</v>
      </c>
      <c r="Z288" s="100">
        <v>78</v>
      </c>
      <c r="AB288" t="s">
        <v>1180</v>
      </c>
      <c r="AC288" s="84">
        <v>0.76</v>
      </c>
      <c r="AD288" s="84">
        <v>0.76</v>
      </c>
      <c r="AE288" s="84">
        <v>0.76</v>
      </c>
      <c r="AF288" s="84">
        <v>0.78</v>
      </c>
      <c r="AG288" s="84">
        <v>0.78</v>
      </c>
      <c r="AH288" s="84">
        <v>0.78</v>
      </c>
      <c r="AI288" s="84">
        <v>0.78</v>
      </c>
      <c r="AJ288" s="84">
        <v>0.78</v>
      </c>
      <c r="AK288" s="84">
        <v>0.78</v>
      </c>
      <c r="AL288" s="84">
        <v>0.78</v>
      </c>
    </row>
    <row r="289" spans="1:38">
      <c r="A289">
        <v>286</v>
      </c>
      <c r="B289" t="s">
        <v>175</v>
      </c>
      <c r="C289" t="s">
        <v>111</v>
      </c>
      <c r="D289">
        <f t="shared" si="9"/>
        <v>1025</v>
      </c>
      <c r="E289" s="84">
        <v>0.76</v>
      </c>
      <c r="F289" s="84">
        <v>0.76</v>
      </c>
      <c r="G289" s="84">
        <v>0.76</v>
      </c>
      <c r="H289" s="84">
        <v>0.78</v>
      </c>
      <c r="I289" s="84">
        <v>0.78</v>
      </c>
      <c r="J289" s="84">
        <v>0.78</v>
      </c>
      <c r="K289" s="84">
        <v>0.78</v>
      </c>
      <c r="L289" s="84">
        <v>0.78</v>
      </c>
      <c r="O289" s="94" t="s">
        <v>1128</v>
      </c>
      <c r="P289" s="94" t="s">
        <v>221</v>
      </c>
      <c r="R289" s="100">
        <v>76</v>
      </c>
      <c r="S289" s="100">
        <v>76</v>
      </c>
      <c r="T289" s="100">
        <v>78</v>
      </c>
      <c r="U289" s="100">
        <v>78</v>
      </c>
      <c r="V289" s="100">
        <v>78</v>
      </c>
      <c r="W289" s="100">
        <v>78</v>
      </c>
      <c r="X289" s="100">
        <v>78</v>
      </c>
      <c r="Y289" s="100">
        <v>78</v>
      </c>
      <c r="Z289" s="100">
        <v>78</v>
      </c>
      <c r="AB289" t="s">
        <v>1184</v>
      </c>
      <c r="AC289" s="84">
        <v>0.76</v>
      </c>
      <c r="AD289" s="84">
        <v>0.76</v>
      </c>
      <c r="AE289" s="84">
        <v>0.76</v>
      </c>
      <c r="AF289" s="84">
        <v>0.78</v>
      </c>
      <c r="AG289" s="84">
        <v>0.78</v>
      </c>
      <c r="AH289" s="84">
        <v>0.78</v>
      </c>
      <c r="AI289" s="84">
        <v>0.78</v>
      </c>
      <c r="AJ289" s="84">
        <v>0.78</v>
      </c>
      <c r="AK289" s="84">
        <v>0.78</v>
      </c>
      <c r="AL289" s="84">
        <v>0.78</v>
      </c>
    </row>
    <row r="290" spans="1:38">
      <c r="A290">
        <v>287</v>
      </c>
      <c r="B290" t="s">
        <v>176</v>
      </c>
      <c r="C290" t="s">
        <v>111</v>
      </c>
      <c r="D290">
        <f t="shared" si="9"/>
        <v>1026</v>
      </c>
      <c r="E290" s="84">
        <v>0.76</v>
      </c>
      <c r="F290" s="84">
        <v>0.76</v>
      </c>
      <c r="G290" s="84">
        <v>0.76</v>
      </c>
      <c r="H290" s="84">
        <v>0.78</v>
      </c>
      <c r="I290" s="84">
        <v>0.78</v>
      </c>
      <c r="J290" s="84">
        <v>0.78</v>
      </c>
      <c r="K290" s="84">
        <v>0.78</v>
      </c>
      <c r="L290" s="84">
        <v>0.78</v>
      </c>
      <c r="O290" s="94" t="s">
        <v>1181</v>
      </c>
      <c r="P290" s="94" t="s">
        <v>221</v>
      </c>
      <c r="R290" s="100">
        <v>76</v>
      </c>
      <c r="S290" s="100">
        <v>76</v>
      </c>
      <c r="T290" s="100">
        <v>78</v>
      </c>
      <c r="U290" s="100">
        <v>78</v>
      </c>
      <c r="V290" s="100">
        <v>78</v>
      </c>
      <c r="W290" s="100">
        <v>78</v>
      </c>
      <c r="X290" s="100">
        <v>78</v>
      </c>
      <c r="Y290" s="100">
        <v>78</v>
      </c>
      <c r="Z290" s="100">
        <v>78</v>
      </c>
      <c r="AB290" t="s">
        <v>1128</v>
      </c>
      <c r="AC290" s="84">
        <v>0.76</v>
      </c>
      <c r="AD290" s="84">
        <v>0.76</v>
      </c>
      <c r="AE290" s="84">
        <v>0.76</v>
      </c>
      <c r="AF290" s="84">
        <v>0.78</v>
      </c>
      <c r="AG290" s="84">
        <v>0.78</v>
      </c>
      <c r="AH290" s="84">
        <v>0.78</v>
      </c>
      <c r="AI290" s="84">
        <v>0.78</v>
      </c>
      <c r="AJ290" s="84">
        <v>0.78</v>
      </c>
      <c r="AK290" s="84">
        <v>0.78</v>
      </c>
      <c r="AL290" s="84">
        <v>0.78</v>
      </c>
    </row>
    <row r="291" spans="1:38">
      <c r="A291">
        <v>288</v>
      </c>
      <c r="B291" t="s">
        <v>178</v>
      </c>
      <c r="C291" t="s">
        <v>111</v>
      </c>
      <c r="D291">
        <f t="shared" si="9"/>
        <v>1027</v>
      </c>
      <c r="E291" s="84">
        <v>0.76</v>
      </c>
      <c r="F291" s="84">
        <v>0.76</v>
      </c>
      <c r="G291" s="84">
        <v>0.76</v>
      </c>
      <c r="H291" s="84">
        <v>0.78</v>
      </c>
      <c r="I291" s="84">
        <v>0.78</v>
      </c>
      <c r="J291" s="84">
        <v>0.78</v>
      </c>
      <c r="K291" s="84">
        <v>0.78</v>
      </c>
      <c r="L291" s="84">
        <v>0.78</v>
      </c>
      <c r="O291" s="94" t="s">
        <v>1182</v>
      </c>
      <c r="P291" s="94" t="s">
        <v>221</v>
      </c>
      <c r="R291" s="100">
        <v>76</v>
      </c>
      <c r="S291" s="100">
        <v>76</v>
      </c>
      <c r="T291" s="100">
        <v>78</v>
      </c>
      <c r="U291" s="100">
        <v>78</v>
      </c>
      <c r="V291" s="100">
        <v>78</v>
      </c>
      <c r="W291" s="100">
        <v>78</v>
      </c>
      <c r="X291" s="100">
        <v>78</v>
      </c>
      <c r="Y291" s="100">
        <v>78</v>
      </c>
      <c r="Z291" s="100">
        <v>78</v>
      </c>
      <c r="AB291" t="s">
        <v>1181</v>
      </c>
      <c r="AC291" s="84">
        <v>0.76</v>
      </c>
      <c r="AD291" s="84">
        <v>0.76</v>
      </c>
      <c r="AE291" s="84">
        <v>0.76</v>
      </c>
      <c r="AF291" s="84">
        <v>0.78</v>
      </c>
      <c r="AG291" s="84">
        <v>0.78</v>
      </c>
      <c r="AH291" s="84">
        <v>0.78</v>
      </c>
      <c r="AI291" s="84">
        <v>0.78</v>
      </c>
      <c r="AJ291" s="84">
        <v>0.78</v>
      </c>
      <c r="AK291" s="84">
        <v>0.78</v>
      </c>
      <c r="AL291" s="84">
        <v>0.78</v>
      </c>
    </row>
    <row r="292" spans="1:38" ht="15.6">
      <c r="A292">
        <v>289</v>
      </c>
      <c r="B292" t="s">
        <v>179</v>
      </c>
      <c r="C292" t="s">
        <v>111</v>
      </c>
      <c r="D292">
        <f t="shared" si="9"/>
        <v>1028</v>
      </c>
      <c r="E292" s="84">
        <v>0.76</v>
      </c>
      <c r="F292" s="84">
        <v>0.76</v>
      </c>
      <c r="G292" s="84">
        <v>0.76</v>
      </c>
      <c r="H292" s="84">
        <v>0.78</v>
      </c>
      <c r="I292" s="84">
        <v>0.78</v>
      </c>
      <c r="J292" s="84">
        <v>0.78</v>
      </c>
      <c r="K292" s="84">
        <v>0.78</v>
      </c>
      <c r="L292" s="84">
        <v>0.78</v>
      </c>
      <c r="O292" s="93"/>
      <c r="P292" s="93"/>
      <c r="Q292" s="89" t="s">
        <v>1131</v>
      </c>
      <c r="R292" s="89" t="s">
        <v>1132</v>
      </c>
      <c r="S292" s="89" t="s">
        <v>1134</v>
      </c>
      <c r="T292" s="89" t="s">
        <v>1138</v>
      </c>
      <c r="U292" s="89" t="s">
        <v>1141</v>
      </c>
      <c r="V292" s="89" t="s">
        <v>1163</v>
      </c>
      <c r="W292" s="89" t="s">
        <v>1140</v>
      </c>
      <c r="X292" s="89" t="s">
        <v>1142</v>
      </c>
      <c r="Y292" s="89" t="s">
        <v>1143</v>
      </c>
      <c r="Z292" s="89" t="s">
        <v>1102</v>
      </c>
      <c r="AB292" t="s">
        <v>1182</v>
      </c>
      <c r="AC292" s="84">
        <v>0.76</v>
      </c>
      <c r="AD292" s="84">
        <v>0.76</v>
      </c>
      <c r="AE292" s="84">
        <v>0.76</v>
      </c>
      <c r="AF292" s="84">
        <v>0.78</v>
      </c>
      <c r="AG292" s="84">
        <v>0.78</v>
      </c>
      <c r="AH292" s="84">
        <v>0.78</v>
      </c>
      <c r="AI292" s="84">
        <v>0.78</v>
      </c>
      <c r="AJ292" s="84">
        <v>0.78</v>
      </c>
      <c r="AK292" s="84">
        <v>0.78</v>
      </c>
      <c r="AL292" s="84">
        <v>0.78</v>
      </c>
    </row>
    <row r="305" spans="16:27" ht="15.6">
      <c r="P305" s="250"/>
      <c r="Q305" s="250"/>
      <c r="R305" s="89" t="s">
        <v>1131</v>
      </c>
      <c r="S305" s="89" t="s">
        <v>1132</v>
      </c>
      <c r="T305" s="89" t="s">
        <v>1134</v>
      </c>
      <c r="U305" s="89" t="s">
        <v>1138</v>
      </c>
      <c r="V305" s="89" t="s">
        <v>1141</v>
      </c>
      <c r="W305" s="89" t="s">
        <v>1163</v>
      </c>
      <c r="X305" s="89" t="s">
        <v>1140</v>
      </c>
      <c r="Y305" s="89" t="s">
        <v>1142</v>
      </c>
      <c r="Z305" s="89" t="s">
        <v>1143</v>
      </c>
      <c r="AA305" s="89" t="s">
        <v>1102</v>
      </c>
    </row>
    <row r="306" spans="16:27">
      <c r="P306" s="94" t="s">
        <v>138</v>
      </c>
      <c r="Q306" s="94" t="s">
        <v>1185</v>
      </c>
      <c r="R306" s="91">
        <v>17</v>
      </c>
      <c r="S306" s="91">
        <v>17</v>
      </c>
      <c r="T306" s="91">
        <v>17</v>
      </c>
      <c r="U306" s="91">
        <v>17</v>
      </c>
      <c r="V306" s="91">
        <v>17</v>
      </c>
      <c r="W306" s="91">
        <v>18</v>
      </c>
      <c r="X306" s="91">
        <v>18</v>
      </c>
      <c r="Y306" s="91">
        <v>18</v>
      </c>
      <c r="Z306" s="91">
        <v>17</v>
      </c>
      <c r="AA306" s="91">
        <v>27</v>
      </c>
    </row>
    <row r="307" spans="16:27">
      <c r="P307" s="94" t="s">
        <v>139</v>
      </c>
      <c r="Q307" s="94" t="s">
        <v>1185</v>
      </c>
      <c r="R307" s="91">
        <v>21</v>
      </c>
      <c r="S307" s="91">
        <v>21</v>
      </c>
      <c r="T307" s="91">
        <v>21</v>
      </c>
      <c r="U307" s="91">
        <v>21</v>
      </c>
      <c r="V307" s="91">
        <v>21</v>
      </c>
      <c r="W307" s="91">
        <v>22</v>
      </c>
      <c r="X307" s="91">
        <v>22</v>
      </c>
      <c r="Y307" s="91">
        <v>23</v>
      </c>
      <c r="Z307" s="91">
        <v>21</v>
      </c>
      <c r="AA307" s="91">
        <v>32</v>
      </c>
    </row>
    <row r="308" spans="16:27">
      <c r="P308" s="94" t="s">
        <v>1164</v>
      </c>
      <c r="Q308" s="94" t="s">
        <v>1185</v>
      </c>
      <c r="R308" s="92"/>
      <c r="S308" s="92"/>
      <c r="T308" s="92"/>
      <c r="U308" s="92"/>
      <c r="V308" s="92"/>
      <c r="W308" s="92"/>
      <c r="X308" s="92"/>
      <c r="Y308" s="92"/>
      <c r="Z308" s="92"/>
      <c r="AA308" s="92"/>
    </row>
    <row r="309" spans="16:27">
      <c r="P309" s="94" t="s">
        <v>142</v>
      </c>
      <c r="Q309" s="94" t="s">
        <v>1185</v>
      </c>
      <c r="R309" s="91">
        <v>43</v>
      </c>
      <c r="S309" s="91">
        <v>43</v>
      </c>
      <c r="T309" s="91">
        <v>43</v>
      </c>
      <c r="U309" s="91">
        <v>49.88</v>
      </c>
      <c r="V309" s="91">
        <v>49.88</v>
      </c>
      <c r="W309" s="91">
        <v>51.86</v>
      </c>
      <c r="X309" s="91">
        <v>51.86</v>
      </c>
      <c r="Y309" s="91">
        <v>50.96</v>
      </c>
      <c r="Z309" s="91">
        <v>51.97</v>
      </c>
      <c r="AA309" s="91">
        <v>50.9</v>
      </c>
    </row>
    <row r="310" spans="16:27">
      <c r="P310" s="94" t="s">
        <v>1165</v>
      </c>
      <c r="Q310" s="94" t="s">
        <v>1185</v>
      </c>
      <c r="R310" s="91">
        <v>61</v>
      </c>
      <c r="S310" s="91">
        <v>61</v>
      </c>
      <c r="T310" s="91">
        <v>61</v>
      </c>
      <c r="U310" s="91">
        <v>69.25</v>
      </c>
      <c r="V310" s="91">
        <v>69.25</v>
      </c>
      <c r="W310" s="91">
        <v>71.23</v>
      </c>
      <c r="X310" s="91">
        <v>71.22</v>
      </c>
      <c r="Y310" s="91">
        <v>69.319999999999993</v>
      </c>
      <c r="Z310" s="91">
        <v>71.349999999999994</v>
      </c>
      <c r="AA310" s="91">
        <v>70.27</v>
      </c>
    </row>
    <row r="311" spans="16:27">
      <c r="P311" s="94" t="s">
        <v>1183</v>
      </c>
      <c r="Q311" s="94" t="s">
        <v>1185</v>
      </c>
      <c r="R311" s="92"/>
      <c r="S311" s="92"/>
      <c r="T311" s="92"/>
      <c r="U311" s="92"/>
      <c r="V311" s="92"/>
      <c r="W311" s="92"/>
      <c r="X311" s="92"/>
      <c r="Y311" s="92"/>
      <c r="Z311" s="92"/>
      <c r="AA311" s="92"/>
    </row>
    <row r="312" spans="16:27">
      <c r="P312" s="94" t="s">
        <v>1126</v>
      </c>
      <c r="Q312" s="94" t="s">
        <v>1185</v>
      </c>
      <c r="R312" s="91">
        <v>70</v>
      </c>
      <c r="S312" s="91">
        <v>70</v>
      </c>
      <c r="T312" s="91">
        <v>70</v>
      </c>
      <c r="U312" s="91">
        <v>73.33</v>
      </c>
      <c r="V312" s="91">
        <v>73.33</v>
      </c>
      <c r="W312" s="91">
        <v>76.31</v>
      </c>
      <c r="X312" s="91">
        <v>76.319999999999993</v>
      </c>
      <c r="Y312" s="91">
        <v>74.41</v>
      </c>
      <c r="Z312" s="91">
        <v>75.430000000000007</v>
      </c>
      <c r="AA312" s="91">
        <v>74.34</v>
      </c>
    </row>
    <row r="313" spans="16:27">
      <c r="P313" s="94" t="s">
        <v>1166</v>
      </c>
      <c r="Q313" s="94" t="s">
        <v>1185</v>
      </c>
      <c r="R313" s="91">
        <v>75</v>
      </c>
      <c r="S313" s="91">
        <v>75</v>
      </c>
      <c r="T313" s="91">
        <v>75</v>
      </c>
      <c r="U313" s="91">
        <v>78.42</v>
      </c>
      <c r="V313" s="91">
        <v>78.42</v>
      </c>
      <c r="W313" s="91">
        <v>81.41</v>
      </c>
      <c r="X313" s="91">
        <v>81.41</v>
      </c>
      <c r="Y313" s="91">
        <v>79.510000000000005</v>
      </c>
      <c r="Z313" s="91">
        <v>80.53</v>
      </c>
      <c r="AA313" s="91">
        <v>79.44</v>
      </c>
    </row>
    <row r="314" spans="16:27">
      <c r="P314" s="94" t="s">
        <v>1167</v>
      </c>
      <c r="Q314" s="94" t="s">
        <v>1185</v>
      </c>
      <c r="R314" s="91">
        <v>79</v>
      </c>
      <c r="S314" s="91">
        <v>79</v>
      </c>
      <c r="T314" s="91">
        <v>79</v>
      </c>
      <c r="U314" s="91">
        <v>82.5</v>
      </c>
      <c r="V314" s="91">
        <v>82.5</v>
      </c>
      <c r="W314" s="91">
        <v>84.46</v>
      </c>
      <c r="X314" s="91">
        <v>84.47</v>
      </c>
      <c r="Y314" s="91">
        <v>82.57</v>
      </c>
      <c r="Z314" s="91">
        <v>83.59</v>
      </c>
      <c r="AA314" s="91">
        <v>82.49</v>
      </c>
    </row>
    <row r="315" spans="16:27">
      <c r="P315" s="94" t="s">
        <v>1168</v>
      </c>
      <c r="Q315" s="94" t="s">
        <v>1185</v>
      </c>
      <c r="R315" s="91">
        <v>86</v>
      </c>
      <c r="S315" s="91">
        <v>86</v>
      </c>
      <c r="T315" s="91">
        <v>86</v>
      </c>
      <c r="U315" s="91">
        <v>89.64</v>
      </c>
      <c r="V315" s="91">
        <v>89.64</v>
      </c>
      <c r="W315" s="91">
        <v>91.6</v>
      </c>
      <c r="X315" s="91">
        <v>91.6</v>
      </c>
      <c r="Y315" s="91">
        <v>89.71</v>
      </c>
      <c r="Z315" s="91">
        <v>90.73</v>
      </c>
      <c r="AA315" s="91">
        <v>89.63</v>
      </c>
    </row>
    <row r="316" spans="16:27">
      <c r="P316" s="94" t="s">
        <v>1169</v>
      </c>
      <c r="Q316" s="94" t="s">
        <v>1185</v>
      </c>
      <c r="R316" s="91">
        <v>86</v>
      </c>
      <c r="S316" s="91">
        <v>86</v>
      </c>
      <c r="T316" s="91">
        <v>86</v>
      </c>
      <c r="U316" s="91">
        <v>89.64</v>
      </c>
      <c r="V316" s="91">
        <v>89.64</v>
      </c>
      <c r="W316" s="91">
        <v>91.6</v>
      </c>
      <c r="X316" s="91">
        <v>91.6</v>
      </c>
      <c r="Y316" s="91">
        <v>89.71</v>
      </c>
      <c r="Z316" s="91">
        <v>90.73</v>
      </c>
      <c r="AA316" s="91">
        <v>89.63</v>
      </c>
    </row>
    <row r="317" spans="16:27">
      <c r="P317" s="94" t="s">
        <v>733</v>
      </c>
      <c r="Q317" s="94" t="s">
        <v>1185</v>
      </c>
      <c r="R317" s="91">
        <v>89.88</v>
      </c>
      <c r="S317" s="91">
        <v>89.88</v>
      </c>
      <c r="T317" s="91">
        <v>89.88</v>
      </c>
      <c r="U317" s="91">
        <v>93.54</v>
      </c>
      <c r="V317" s="91">
        <v>93.54</v>
      </c>
      <c r="W317" s="91">
        <v>94.44</v>
      </c>
      <c r="X317" s="91">
        <v>94.44</v>
      </c>
      <c r="Y317" s="91">
        <v>95.63</v>
      </c>
      <c r="Z317" s="91">
        <v>94.6</v>
      </c>
      <c r="AA317" s="91">
        <v>93.5</v>
      </c>
    </row>
    <row r="318" spans="16:27">
      <c r="P318" s="94" t="s">
        <v>1170</v>
      </c>
      <c r="Q318" s="94" t="s">
        <v>1185</v>
      </c>
      <c r="R318" s="91">
        <v>81.8</v>
      </c>
      <c r="S318" s="91">
        <v>81.8</v>
      </c>
      <c r="T318" s="91">
        <v>81.8</v>
      </c>
      <c r="U318" s="91">
        <v>85.31</v>
      </c>
      <c r="V318" s="91">
        <v>85.31</v>
      </c>
      <c r="W318" s="91">
        <v>86.21</v>
      </c>
      <c r="X318" s="91">
        <v>86.21</v>
      </c>
      <c r="Y318" s="91">
        <v>87.4</v>
      </c>
      <c r="Z318" s="91">
        <v>86.36</v>
      </c>
      <c r="AA318" s="91">
        <v>85.27</v>
      </c>
    </row>
    <row r="319" spans="16:27">
      <c r="P319" s="94" t="s">
        <v>1171</v>
      </c>
      <c r="Q319" s="94" t="s">
        <v>1185</v>
      </c>
      <c r="R319" s="91">
        <v>81.8</v>
      </c>
      <c r="S319" s="91">
        <v>81.8</v>
      </c>
      <c r="T319" s="91">
        <v>81.8</v>
      </c>
      <c r="U319" s="91">
        <v>85.31</v>
      </c>
      <c r="V319" s="91">
        <v>85.31</v>
      </c>
      <c r="W319" s="91">
        <v>86.21</v>
      </c>
      <c r="X319" s="91">
        <v>86.21</v>
      </c>
      <c r="Y319" s="91">
        <v>87.4</v>
      </c>
      <c r="Z319" s="91">
        <v>86.36</v>
      </c>
      <c r="AA319" s="91">
        <v>85.27</v>
      </c>
    </row>
    <row r="320" spans="16:27">
      <c r="P320" s="94" t="s">
        <v>1172</v>
      </c>
      <c r="Q320" s="94" t="s">
        <v>1185</v>
      </c>
      <c r="R320" s="91">
        <v>81.8</v>
      </c>
      <c r="S320" s="91">
        <v>81.8</v>
      </c>
      <c r="T320" s="91">
        <v>81.8</v>
      </c>
      <c r="U320" s="91">
        <v>85.31</v>
      </c>
      <c r="V320" s="91">
        <v>85.31</v>
      </c>
      <c r="W320" s="91">
        <v>86.21</v>
      </c>
      <c r="X320" s="91">
        <v>86.21</v>
      </c>
      <c r="Y320" s="91">
        <v>87.4</v>
      </c>
      <c r="Z320" s="91">
        <v>86.36</v>
      </c>
      <c r="AA320" s="91">
        <v>85.27</v>
      </c>
    </row>
    <row r="321" spans="16:27">
      <c r="P321" s="94" t="s">
        <v>1173</v>
      </c>
      <c r="Q321" s="94" t="s">
        <v>1185</v>
      </c>
      <c r="R321" s="91">
        <v>74.760000000000005</v>
      </c>
      <c r="S321" s="91">
        <v>74.760000000000005</v>
      </c>
      <c r="T321" s="91">
        <v>74.760000000000005</v>
      </c>
      <c r="U321" s="91">
        <v>78.13</v>
      </c>
      <c r="V321" s="91">
        <v>78.13</v>
      </c>
      <c r="W321" s="91">
        <v>79</v>
      </c>
      <c r="X321" s="91">
        <v>79</v>
      </c>
      <c r="Y321" s="91">
        <v>80.14</v>
      </c>
      <c r="Z321" s="91">
        <v>79.14</v>
      </c>
      <c r="AA321" s="91">
        <v>78</v>
      </c>
    </row>
    <row r="322" spans="16:27">
      <c r="P322" s="94" t="s">
        <v>734</v>
      </c>
      <c r="Q322" s="94" t="s">
        <v>1185</v>
      </c>
      <c r="R322" s="91">
        <v>77.67</v>
      </c>
      <c r="S322" s="91">
        <v>77.67</v>
      </c>
      <c r="T322" s="91">
        <v>81.55</v>
      </c>
      <c r="U322" s="91">
        <v>85.02</v>
      </c>
      <c r="V322" s="91">
        <v>85.03</v>
      </c>
      <c r="W322" s="91">
        <v>85.88</v>
      </c>
      <c r="X322" s="91">
        <v>85.88</v>
      </c>
      <c r="Y322" s="91">
        <v>88.01</v>
      </c>
      <c r="Z322" s="91">
        <v>88.02</v>
      </c>
      <c r="AA322" s="91">
        <v>86.95</v>
      </c>
    </row>
    <row r="323" spans="16:27">
      <c r="P323" s="94" t="s">
        <v>1174</v>
      </c>
      <c r="Q323" s="94" t="s">
        <v>1185</v>
      </c>
      <c r="R323" s="91">
        <v>80.67</v>
      </c>
      <c r="S323" s="91">
        <v>80.67</v>
      </c>
      <c r="T323" s="91">
        <v>84.73</v>
      </c>
      <c r="U323" s="91">
        <v>88.26</v>
      </c>
      <c r="V323" s="91">
        <v>88.27</v>
      </c>
      <c r="W323" s="91">
        <v>89.16</v>
      </c>
      <c r="X323" s="91">
        <v>89.16</v>
      </c>
      <c r="Y323" s="91">
        <v>91.38</v>
      </c>
      <c r="Z323" s="91">
        <v>91.39</v>
      </c>
      <c r="AA323" s="91">
        <v>90.28</v>
      </c>
    </row>
    <row r="324" spans="16:27">
      <c r="P324" s="94" t="s">
        <v>1175</v>
      </c>
      <c r="Q324" s="94" t="s">
        <v>1185</v>
      </c>
      <c r="R324" s="91">
        <v>72.86</v>
      </c>
      <c r="S324" s="91">
        <v>72.86</v>
      </c>
      <c r="T324" s="91">
        <v>77.88</v>
      </c>
      <c r="U324" s="91">
        <v>81.290000000000006</v>
      </c>
      <c r="V324" s="91">
        <v>81.290000000000006</v>
      </c>
      <c r="W324" s="91">
        <v>81.150000000000006</v>
      </c>
      <c r="X324" s="91">
        <v>81.150000000000006</v>
      </c>
      <c r="Y324" s="91">
        <v>83.35</v>
      </c>
      <c r="Z324" s="91">
        <v>83.36</v>
      </c>
      <c r="AA324" s="91">
        <v>83.29</v>
      </c>
    </row>
    <row r="325" spans="16:27">
      <c r="P325" s="94" t="s">
        <v>1176</v>
      </c>
      <c r="Q325" s="94" t="s">
        <v>1185</v>
      </c>
      <c r="R325" s="91">
        <v>71</v>
      </c>
      <c r="S325" s="91">
        <v>71</v>
      </c>
      <c r="T325" s="91">
        <v>75</v>
      </c>
      <c r="U325" s="91">
        <v>78.349999999999994</v>
      </c>
      <c r="V325" s="91">
        <v>78.349999999999994</v>
      </c>
      <c r="W325" s="91">
        <v>78.209999999999994</v>
      </c>
      <c r="X325" s="91">
        <v>78.209999999999994</v>
      </c>
      <c r="Y325" s="91">
        <v>80.400000000000006</v>
      </c>
      <c r="Z325" s="91">
        <v>80.41</v>
      </c>
      <c r="AA325" s="91">
        <v>80.34</v>
      </c>
    </row>
    <row r="326" spans="16:27">
      <c r="P326" s="94" t="s">
        <v>1177</v>
      </c>
      <c r="Q326" s="94" t="s">
        <v>1185</v>
      </c>
      <c r="R326" s="91">
        <v>67</v>
      </c>
      <c r="S326" s="91">
        <v>67</v>
      </c>
      <c r="T326" s="91">
        <v>72</v>
      </c>
      <c r="U326" s="91">
        <v>75.290000000000006</v>
      </c>
      <c r="V326" s="91">
        <v>75.3</v>
      </c>
      <c r="W326" s="91">
        <v>75.16</v>
      </c>
      <c r="X326" s="91">
        <v>75.16</v>
      </c>
      <c r="Y326" s="91">
        <v>77.34</v>
      </c>
      <c r="Z326" s="91">
        <v>77.349999999999994</v>
      </c>
      <c r="AA326" s="91">
        <v>76.260000000000005</v>
      </c>
    </row>
    <row r="327" spans="16:27">
      <c r="P327" s="94" t="s">
        <v>1178</v>
      </c>
      <c r="Q327" s="94" t="s">
        <v>1185</v>
      </c>
      <c r="R327" s="91">
        <v>71.19</v>
      </c>
      <c r="S327" s="91">
        <v>71.19</v>
      </c>
      <c r="T327" s="91">
        <v>76.319999999999993</v>
      </c>
      <c r="U327" s="91">
        <v>79.69</v>
      </c>
      <c r="V327" s="91">
        <v>79.7</v>
      </c>
      <c r="W327" s="91">
        <v>79.55</v>
      </c>
      <c r="X327" s="91">
        <v>79.56</v>
      </c>
      <c r="Y327" s="91">
        <v>81.790000000000006</v>
      </c>
      <c r="Z327" s="91">
        <v>81.8</v>
      </c>
      <c r="AA327" s="91">
        <v>80.680000000000007</v>
      </c>
    </row>
    <row r="328" spans="16:27">
      <c r="P328" s="94" t="s">
        <v>735</v>
      </c>
      <c r="Q328" s="94" t="s">
        <v>1185</v>
      </c>
      <c r="R328" s="91">
        <v>77</v>
      </c>
      <c r="S328" s="91">
        <v>79</v>
      </c>
      <c r="T328" s="91">
        <v>85</v>
      </c>
      <c r="U328" s="91">
        <v>90.56</v>
      </c>
      <c r="V328" s="91">
        <v>90.56</v>
      </c>
      <c r="W328" s="91">
        <v>90.4</v>
      </c>
      <c r="X328" s="91">
        <v>90.39</v>
      </c>
      <c r="Y328" s="91">
        <v>95.66</v>
      </c>
      <c r="Z328" s="91">
        <v>99.74</v>
      </c>
      <c r="AA328" s="91">
        <v>100.67</v>
      </c>
    </row>
    <row r="329" spans="16:27">
      <c r="P329" s="94" t="s">
        <v>1179</v>
      </c>
      <c r="Q329" s="94" t="s">
        <v>1185</v>
      </c>
      <c r="R329" s="91">
        <v>67.84</v>
      </c>
      <c r="S329" s="91">
        <v>69.849999999999994</v>
      </c>
      <c r="T329" s="91">
        <v>74.87</v>
      </c>
      <c r="U329" s="91">
        <v>80.25</v>
      </c>
      <c r="V329" s="91">
        <v>80.25</v>
      </c>
      <c r="W329" s="91">
        <v>80.09</v>
      </c>
      <c r="X329" s="91">
        <v>80.09</v>
      </c>
      <c r="Y329" s="91">
        <v>85.37</v>
      </c>
      <c r="Z329" s="91">
        <v>89.47</v>
      </c>
      <c r="AA329" s="91">
        <v>89.39</v>
      </c>
    </row>
    <row r="330" spans="16:27">
      <c r="P330" s="94" t="s">
        <v>1180</v>
      </c>
      <c r="Q330" s="94" t="s">
        <v>1185</v>
      </c>
      <c r="R330" s="91">
        <v>74.553600000000017</v>
      </c>
      <c r="S330" s="91">
        <v>76.644000000000005</v>
      </c>
      <c r="T330" s="91">
        <v>81.864800000000002</v>
      </c>
      <c r="U330" s="91">
        <v>87.46</v>
      </c>
      <c r="V330" s="91">
        <v>87.46</v>
      </c>
      <c r="W330" s="91">
        <v>87.293599999999998</v>
      </c>
      <c r="X330" s="91">
        <v>87.293599999999998</v>
      </c>
      <c r="Y330" s="91">
        <v>92.784800000000018</v>
      </c>
      <c r="Z330" s="91">
        <v>97.0488</v>
      </c>
      <c r="AA330" s="91">
        <v>96.965599999999995</v>
      </c>
    </row>
    <row r="331" spans="16:27">
      <c r="P331" s="94" t="s">
        <v>1180</v>
      </c>
      <c r="Q331" s="94" t="s">
        <v>1185</v>
      </c>
      <c r="R331" s="91">
        <v>81.267200000000003</v>
      </c>
      <c r="S331" s="91">
        <v>83.438000000000017</v>
      </c>
      <c r="T331" s="91">
        <v>88.859600000000029</v>
      </c>
      <c r="U331" s="91">
        <v>94.67</v>
      </c>
      <c r="V331" s="91">
        <v>94.67</v>
      </c>
      <c r="W331" s="91">
        <v>94.497200000000021</v>
      </c>
      <c r="X331" s="91">
        <v>94.497200000000021</v>
      </c>
      <c r="Y331" s="91">
        <v>100.19960000000003</v>
      </c>
      <c r="Z331" s="91">
        <v>104.6276</v>
      </c>
      <c r="AA331" s="91">
        <v>104.5412</v>
      </c>
    </row>
    <row r="332" spans="16:27">
      <c r="P332" s="94" t="s">
        <v>1128</v>
      </c>
      <c r="Q332" s="94" t="s">
        <v>1185</v>
      </c>
      <c r="R332" s="91">
        <v>85.85</v>
      </c>
      <c r="S332" s="91">
        <v>88.88</v>
      </c>
      <c r="T332" s="91">
        <v>94.94</v>
      </c>
      <c r="U332" s="91">
        <v>100.6465</v>
      </c>
      <c r="V332" s="91">
        <v>99.616299999999995</v>
      </c>
      <c r="W332" s="91">
        <v>104.51480000000001</v>
      </c>
      <c r="X332" s="91">
        <v>103.4846</v>
      </c>
      <c r="Y332" s="91">
        <v>111.70599999999999</v>
      </c>
      <c r="Z332" s="91">
        <v>110.696</v>
      </c>
      <c r="AA332" s="91">
        <v>110.70610000000001</v>
      </c>
    </row>
    <row r="333" spans="16:27">
      <c r="P333" s="94" t="s">
        <v>1181</v>
      </c>
      <c r="Q333" s="94" t="s">
        <v>1185</v>
      </c>
      <c r="R333" s="91">
        <v>77.864800000000002</v>
      </c>
      <c r="S333" s="91">
        <v>81.005600000000001</v>
      </c>
      <c r="T333" s="91">
        <v>87.276800000000009</v>
      </c>
      <c r="U333" s="91">
        <v>91.894400000000005</v>
      </c>
      <c r="V333" s="91">
        <v>90.833600000000004</v>
      </c>
      <c r="W333" s="91">
        <v>96.98</v>
      </c>
      <c r="X333" s="91">
        <v>95.908799999999999</v>
      </c>
      <c r="Y333" s="91">
        <v>103.3656</v>
      </c>
      <c r="Z333" s="91">
        <v>102.3152</v>
      </c>
      <c r="AA333" s="91">
        <v>102.32560000000001</v>
      </c>
    </row>
    <row r="334" spans="16:27">
      <c r="P334" s="94" t="s">
        <v>1182</v>
      </c>
      <c r="Q334" s="94" t="s">
        <v>1185</v>
      </c>
      <c r="R334" s="91">
        <v>74.87</v>
      </c>
      <c r="S334" s="91">
        <v>77.89</v>
      </c>
      <c r="T334" s="91">
        <v>83.92</v>
      </c>
      <c r="U334" s="91">
        <v>88.36</v>
      </c>
      <c r="V334" s="91">
        <v>87.34</v>
      </c>
      <c r="W334" s="91">
        <v>93.25</v>
      </c>
      <c r="X334" s="91">
        <v>92.22</v>
      </c>
      <c r="Y334" s="91">
        <v>99.39</v>
      </c>
      <c r="Z334" s="91">
        <v>98.38</v>
      </c>
      <c r="AA334" s="91">
        <v>98.39</v>
      </c>
    </row>
    <row r="335" spans="16:27" ht="15.6">
      <c r="P335" s="104"/>
      <c r="Q335" s="104"/>
      <c r="R335" s="89" t="s">
        <v>1131</v>
      </c>
      <c r="S335" s="89" t="s">
        <v>1132</v>
      </c>
      <c r="T335" s="89" t="s">
        <v>1134</v>
      </c>
      <c r="U335" s="89" t="s">
        <v>1138</v>
      </c>
      <c r="V335" s="89" t="s">
        <v>1141</v>
      </c>
      <c r="W335" s="89" t="s">
        <v>1163</v>
      </c>
      <c r="X335" s="89" t="s">
        <v>1140</v>
      </c>
      <c r="Y335" s="89" t="s">
        <v>1142</v>
      </c>
      <c r="Z335" s="89" t="s">
        <v>1143</v>
      </c>
      <c r="AA335" s="89" t="s">
        <v>1102</v>
      </c>
    </row>
    <row r="336" spans="16:27">
      <c r="P336" s="94" t="s">
        <v>138</v>
      </c>
      <c r="Q336" s="94" t="s">
        <v>1121</v>
      </c>
      <c r="R336" s="91">
        <v>41.64</v>
      </c>
      <c r="S336" s="91">
        <v>40.64</v>
      </c>
      <c r="T336" s="91">
        <v>39.840000000000003</v>
      </c>
      <c r="U336" s="91">
        <v>39.28</v>
      </c>
      <c r="V336" s="91">
        <v>39.26</v>
      </c>
      <c r="W336" s="91">
        <v>38.9</v>
      </c>
      <c r="X336" s="91">
        <v>38.880000000000003</v>
      </c>
      <c r="Y336" s="91">
        <v>38.6</v>
      </c>
      <c r="Z336" s="91">
        <v>38.270000000000003</v>
      </c>
      <c r="AA336" s="91">
        <v>46.34</v>
      </c>
    </row>
    <row r="337" spans="16:27">
      <c r="P337" s="94" t="s">
        <v>139</v>
      </c>
      <c r="Q337" s="94" t="s">
        <v>1121</v>
      </c>
      <c r="R337" s="91">
        <v>39.26</v>
      </c>
      <c r="S337" s="91">
        <v>38.4</v>
      </c>
      <c r="T337" s="91">
        <v>37.68</v>
      </c>
      <c r="U337" s="91">
        <v>37.15</v>
      </c>
      <c r="V337" s="91">
        <v>37.130000000000003</v>
      </c>
      <c r="W337" s="91">
        <v>36.79</v>
      </c>
      <c r="X337" s="91">
        <v>36.74</v>
      </c>
      <c r="Y337" s="91">
        <v>36.51</v>
      </c>
      <c r="Z337" s="91">
        <v>36.21</v>
      </c>
      <c r="AA337" s="91">
        <v>43.71</v>
      </c>
    </row>
    <row r="338" spans="16:27">
      <c r="P338" s="94" t="s">
        <v>1164</v>
      </c>
      <c r="Q338" s="94" t="s">
        <v>1121</v>
      </c>
      <c r="R338" s="91">
        <v>35.19</v>
      </c>
      <c r="S338" s="91">
        <v>34.369999999999997</v>
      </c>
      <c r="T338" s="91">
        <v>33.69</v>
      </c>
      <c r="U338" s="91">
        <v>33.19</v>
      </c>
      <c r="V338" s="91">
        <v>33.17</v>
      </c>
      <c r="W338" s="91">
        <v>32.85</v>
      </c>
      <c r="X338" s="91">
        <v>32.799999999999997</v>
      </c>
      <c r="Y338" s="91">
        <v>32.58</v>
      </c>
      <c r="Z338" s="91">
        <v>32.299999999999997</v>
      </c>
      <c r="AA338" s="91">
        <v>39.590000000000003</v>
      </c>
    </row>
    <row r="339" spans="16:27">
      <c r="P339" s="94" t="s">
        <v>142</v>
      </c>
      <c r="Q339" s="94" t="s">
        <v>1121</v>
      </c>
      <c r="R339" s="91">
        <v>50.07</v>
      </c>
      <c r="S339" s="91">
        <v>49.32</v>
      </c>
      <c r="T339" s="91">
        <v>48.69</v>
      </c>
      <c r="U339" s="91">
        <v>50.96</v>
      </c>
      <c r="V339" s="91">
        <v>50.95</v>
      </c>
      <c r="W339" s="91">
        <v>53.45</v>
      </c>
      <c r="X339" s="91">
        <v>53.43</v>
      </c>
      <c r="Y339" s="91">
        <v>53.07</v>
      </c>
      <c r="Z339" s="91">
        <v>52.88</v>
      </c>
      <c r="AA339" s="91">
        <v>52.65</v>
      </c>
    </row>
    <row r="340" spans="16:27">
      <c r="P340" s="94" t="s">
        <v>1165</v>
      </c>
      <c r="Q340" s="94" t="s">
        <v>1121</v>
      </c>
      <c r="R340" s="91">
        <v>48.12</v>
      </c>
      <c r="S340" s="91">
        <v>47.42</v>
      </c>
      <c r="T340" s="91">
        <v>46.82</v>
      </c>
      <c r="U340" s="91">
        <v>49.1</v>
      </c>
      <c r="V340" s="91">
        <v>49.09</v>
      </c>
      <c r="W340" s="91">
        <v>51.58</v>
      </c>
      <c r="X340" s="91">
        <v>51.57</v>
      </c>
      <c r="Y340" s="91">
        <v>51.23</v>
      </c>
      <c r="Z340" s="91">
        <v>51.05</v>
      </c>
      <c r="AA340" s="91">
        <v>50.83</v>
      </c>
    </row>
    <row r="341" spans="16:27">
      <c r="P341" s="94" t="s">
        <v>1183</v>
      </c>
      <c r="Q341" s="94" t="s">
        <v>1121</v>
      </c>
      <c r="R341" s="91">
        <v>48.12</v>
      </c>
      <c r="S341" s="91">
        <v>47.42</v>
      </c>
      <c r="T341" s="91">
        <v>46.82</v>
      </c>
      <c r="U341" s="91">
        <v>49.1</v>
      </c>
      <c r="V341" s="91">
        <v>49.09</v>
      </c>
      <c r="W341" s="91">
        <v>51.58</v>
      </c>
      <c r="X341" s="91">
        <v>51.57</v>
      </c>
      <c r="Y341" s="91">
        <v>51.23</v>
      </c>
      <c r="Z341" s="91">
        <v>51.05</v>
      </c>
      <c r="AA341" s="91">
        <v>50.83</v>
      </c>
    </row>
    <row r="342" spans="16:27">
      <c r="P342" s="94" t="s">
        <v>1126</v>
      </c>
      <c r="Q342" s="94" t="s">
        <v>1121</v>
      </c>
      <c r="R342" s="91">
        <v>56.25</v>
      </c>
      <c r="S342" s="91">
        <v>55.65</v>
      </c>
      <c r="T342" s="91">
        <v>55.12</v>
      </c>
      <c r="U342" s="91">
        <v>57.63</v>
      </c>
      <c r="V342" s="91">
        <v>57.62</v>
      </c>
      <c r="W342" s="91">
        <v>60.29</v>
      </c>
      <c r="X342" s="91">
        <v>60.27</v>
      </c>
      <c r="Y342" s="91">
        <v>59.95</v>
      </c>
      <c r="Z342" s="91">
        <v>59.76</v>
      </c>
      <c r="AA342" s="91">
        <v>59.55</v>
      </c>
    </row>
    <row r="343" spans="16:27">
      <c r="P343" s="94" t="s">
        <v>1166</v>
      </c>
      <c r="Q343" s="94" t="s">
        <v>1121</v>
      </c>
      <c r="R343" s="91">
        <v>58.93</v>
      </c>
      <c r="S343" s="91">
        <v>58.37</v>
      </c>
      <c r="T343" s="91">
        <v>57.89</v>
      </c>
      <c r="U343" s="91">
        <v>60.5</v>
      </c>
      <c r="V343" s="91">
        <v>60.49</v>
      </c>
      <c r="W343" s="91">
        <v>63.25</v>
      </c>
      <c r="X343" s="91">
        <v>63.23</v>
      </c>
      <c r="Y343" s="91">
        <v>62.94</v>
      </c>
      <c r="Z343" s="91">
        <v>62.76</v>
      </c>
      <c r="AA343" s="91">
        <v>62.57</v>
      </c>
    </row>
    <row r="344" spans="16:27">
      <c r="P344" s="94" t="s">
        <v>1167</v>
      </c>
      <c r="Q344" s="94" t="s">
        <v>1121</v>
      </c>
      <c r="R344" s="91">
        <v>64.599999999999994</v>
      </c>
      <c r="S344" s="91">
        <v>64.069999999999993</v>
      </c>
      <c r="T344" s="91">
        <v>63.61</v>
      </c>
      <c r="U344" s="91">
        <v>66.36</v>
      </c>
      <c r="V344" s="91">
        <v>66.34</v>
      </c>
      <c r="W344" s="91">
        <v>69.239999999999995</v>
      </c>
      <c r="X344" s="91">
        <v>69.22</v>
      </c>
      <c r="Y344" s="91">
        <v>68.94</v>
      </c>
      <c r="Z344" s="91">
        <v>68.77</v>
      </c>
      <c r="AA344" s="91">
        <v>68.59</v>
      </c>
    </row>
    <row r="345" spans="16:27">
      <c r="P345" s="94" t="s">
        <v>1168</v>
      </c>
      <c r="Q345" s="94" t="s">
        <v>1121</v>
      </c>
      <c r="R345" s="91">
        <v>61.14</v>
      </c>
      <c r="S345" s="91">
        <v>60.62</v>
      </c>
      <c r="T345" s="91">
        <v>60.17</v>
      </c>
      <c r="U345" s="91">
        <v>62.86</v>
      </c>
      <c r="V345" s="91">
        <v>62.84</v>
      </c>
      <c r="W345" s="91">
        <v>65.680000000000007</v>
      </c>
      <c r="X345" s="91">
        <v>65.66</v>
      </c>
      <c r="Y345" s="91">
        <v>65.38</v>
      </c>
      <c r="Z345" s="91">
        <v>65.22</v>
      </c>
      <c r="AA345" s="91">
        <v>65.040000000000006</v>
      </c>
    </row>
    <row r="346" spans="16:27">
      <c r="P346" s="94" t="s">
        <v>1169</v>
      </c>
      <c r="Q346" s="94" t="s">
        <v>1121</v>
      </c>
      <c r="R346" s="91">
        <v>61.14</v>
      </c>
      <c r="S346" s="91">
        <v>60.62</v>
      </c>
      <c r="T346" s="91">
        <v>60.17</v>
      </c>
      <c r="U346" s="91">
        <v>62.86</v>
      </c>
      <c r="V346" s="91">
        <v>62.84</v>
      </c>
      <c r="W346" s="91">
        <v>65.680000000000007</v>
      </c>
      <c r="X346" s="91">
        <v>65.66</v>
      </c>
      <c r="Y346" s="91">
        <v>65.38</v>
      </c>
      <c r="Z346" s="91">
        <v>65.22</v>
      </c>
      <c r="AA346" s="91">
        <v>65.040000000000006</v>
      </c>
    </row>
    <row r="347" spans="16:27">
      <c r="P347" s="94" t="s">
        <v>733</v>
      </c>
      <c r="Q347" s="94" t="s">
        <v>1121</v>
      </c>
      <c r="R347" s="91">
        <v>66.13</v>
      </c>
      <c r="S347" s="91">
        <v>65.569999999999993</v>
      </c>
      <c r="T347" s="91">
        <v>65.099999999999994</v>
      </c>
      <c r="U347" s="91">
        <v>67.89</v>
      </c>
      <c r="V347" s="91">
        <v>67.87</v>
      </c>
      <c r="W347" s="91">
        <v>70.86</v>
      </c>
      <c r="X347" s="91">
        <v>70.84</v>
      </c>
      <c r="Y347" s="91">
        <v>70.650000000000006</v>
      </c>
      <c r="Z347" s="91">
        <v>70.44</v>
      </c>
      <c r="AA347" s="91">
        <v>70.27</v>
      </c>
    </row>
    <row r="348" spans="16:27">
      <c r="P348" s="94" t="s">
        <v>1170</v>
      </c>
      <c r="Q348" s="94" t="s">
        <v>1121</v>
      </c>
      <c r="R348" s="91">
        <v>65.55</v>
      </c>
      <c r="S348" s="91">
        <v>65.02</v>
      </c>
      <c r="T348" s="91">
        <v>64.569999999999993</v>
      </c>
      <c r="U348" s="91">
        <v>67.36</v>
      </c>
      <c r="V348" s="91">
        <v>67.349999999999994</v>
      </c>
      <c r="W348" s="91">
        <v>70.34</v>
      </c>
      <c r="X348" s="91">
        <v>70.319999999999993</v>
      </c>
      <c r="Y348" s="91">
        <v>70.14</v>
      </c>
      <c r="Z348" s="91">
        <v>69.94</v>
      </c>
      <c r="AA348" s="91">
        <v>69.77</v>
      </c>
    </row>
    <row r="349" spans="16:27">
      <c r="P349" s="94" t="s">
        <v>1171</v>
      </c>
      <c r="Q349" s="94" t="s">
        <v>1121</v>
      </c>
      <c r="R349" s="91">
        <v>70.55</v>
      </c>
      <c r="S349" s="91">
        <v>70.02</v>
      </c>
      <c r="T349" s="91">
        <v>69.569999999999993</v>
      </c>
      <c r="U349" s="91">
        <v>72.36</v>
      </c>
      <c r="V349" s="91">
        <v>72.349999999999994</v>
      </c>
      <c r="W349" s="91">
        <v>75.34</v>
      </c>
      <c r="X349" s="91">
        <v>75.319999999999993</v>
      </c>
      <c r="Y349" s="91">
        <v>75.14</v>
      </c>
      <c r="Z349" s="91">
        <v>74.94</v>
      </c>
      <c r="AA349" s="91">
        <v>74.77</v>
      </c>
    </row>
    <row r="350" spans="16:27">
      <c r="P350" s="94" t="s">
        <v>1172</v>
      </c>
      <c r="Q350" s="94" t="s">
        <v>1121</v>
      </c>
      <c r="R350" s="91">
        <v>75.55</v>
      </c>
      <c r="S350" s="91">
        <v>75.02</v>
      </c>
      <c r="T350" s="91">
        <v>74.569999999999993</v>
      </c>
      <c r="U350" s="91">
        <v>77.36</v>
      </c>
      <c r="V350" s="91">
        <v>77.349999999999994</v>
      </c>
      <c r="W350" s="91">
        <v>80.34</v>
      </c>
      <c r="X350" s="91">
        <v>80.319999999999993</v>
      </c>
      <c r="Y350" s="91">
        <v>80.14</v>
      </c>
      <c r="Z350" s="91">
        <v>79.94</v>
      </c>
      <c r="AA350" s="91">
        <v>79.77</v>
      </c>
    </row>
    <row r="351" spans="16:27">
      <c r="P351" s="94" t="s">
        <v>1173</v>
      </c>
      <c r="Q351" s="94" t="s">
        <v>1121</v>
      </c>
      <c r="R351" s="91">
        <v>78.55</v>
      </c>
      <c r="S351" s="91">
        <v>78.02</v>
      </c>
      <c r="T351" s="91">
        <v>77.569999999999993</v>
      </c>
      <c r="U351" s="91">
        <v>79.36</v>
      </c>
      <c r="V351" s="91">
        <v>80.349999999999994</v>
      </c>
      <c r="W351" s="91">
        <v>83.34</v>
      </c>
      <c r="X351" s="91">
        <v>83.32</v>
      </c>
      <c r="Y351" s="91">
        <v>83.14</v>
      </c>
      <c r="Z351" s="91">
        <v>82.94</v>
      </c>
      <c r="AA351" s="91">
        <v>82.77</v>
      </c>
    </row>
    <row r="352" spans="16:27">
      <c r="P352" s="94" t="s">
        <v>734</v>
      </c>
      <c r="Q352" s="94" t="s">
        <v>1121</v>
      </c>
      <c r="R352" s="97"/>
      <c r="S352" s="97"/>
      <c r="T352" s="97"/>
      <c r="U352" s="97"/>
      <c r="V352" s="97"/>
      <c r="W352" s="97"/>
      <c r="X352" s="97"/>
      <c r="Y352" s="97"/>
      <c r="Z352" s="97"/>
      <c r="AA352" s="97"/>
    </row>
    <row r="353" spans="16:27">
      <c r="P353" s="94" t="s">
        <v>1174</v>
      </c>
      <c r="Q353" s="94" t="s">
        <v>1121</v>
      </c>
      <c r="R353" s="97"/>
      <c r="S353" s="97"/>
      <c r="T353" s="97"/>
      <c r="U353" s="97"/>
      <c r="V353" s="97"/>
      <c r="W353" s="97"/>
      <c r="X353" s="97"/>
      <c r="Y353" s="97"/>
      <c r="Z353" s="97"/>
      <c r="AA353" s="97"/>
    </row>
    <row r="354" spans="16:27">
      <c r="P354" s="94" t="s">
        <v>1175</v>
      </c>
      <c r="Q354" s="94" t="s">
        <v>1121</v>
      </c>
      <c r="R354" s="97"/>
      <c r="S354" s="97"/>
      <c r="T354" s="97"/>
      <c r="U354" s="97"/>
      <c r="V354" s="97"/>
      <c r="W354" s="97"/>
      <c r="X354" s="97"/>
      <c r="Y354" s="97"/>
      <c r="Z354" s="97"/>
      <c r="AA354" s="97"/>
    </row>
    <row r="355" spans="16:27">
      <c r="P355" s="94" t="s">
        <v>1176</v>
      </c>
      <c r="Q355" s="94" t="s">
        <v>1121</v>
      </c>
      <c r="R355" s="97"/>
      <c r="S355" s="97"/>
      <c r="T355" s="97"/>
      <c r="U355" s="97"/>
      <c r="V355" s="97"/>
      <c r="W355" s="97"/>
      <c r="X355" s="97"/>
      <c r="Y355" s="97"/>
      <c r="Z355" s="97"/>
      <c r="AA355" s="97"/>
    </row>
    <row r="356" spans="16:27">
      <c r="P356" s="94" t="s">
        <v>1177</v>
      </c>
      <c r="Q356" s="94" t="s">
        <v>1121</v>
      </c>
      <c r="R356" s="97"/>
      <c r="S356" s="97"/>
      <c r="T356" s="97"/>
      <c r="U356" s="97"/>
      <c r="V356" s="97"/>
      <c r="W356" s="97"/>
      <c r="X356" s="97"/>
      <c r="Y356" s="97"/>
      <c r="Z356" s="97"/>
      <c r="AA356" s="97"/>
    </row>
    <row r="357" spans="16:27">
      <c r="P357" s="94" t="s">
        <v>1178</v>
      </c>
      <c r="Q357" s="94" t="s">
        <v>1121</v>
      </c>
      <c r="R357" s="97"/>
      <c r="S357" s="97"/>
      <c r="T357" s="97"/>
      <c r="U357" s="97"/>
      <c r="V357" s="97"/>
      <c r="W357" s="97"/>
      <c r="X357" s="97"/>
      <c r="Y357" s="97"/>
      <c r="Z357" s="97"/>
      <c r="AA357" s="97"/>
    </row>
    <row r="358" spans="16:27">
      <c r="P358" s="94" t="s">
        <v>735</v>
      </c>
      <c r="Q358" s="94" t="s">
        <v>1121</v>
      </c>
      <c r="R358" s="97"/>
      <c r="S358" s="97"/>
      <c r="T358" s="97"/>
      <c r="U358" s="97"/>
      <c r="V358" s="97"/>
      <c r="W358" s="97"/>
      <c r="X358" s="97"/>
      <c r="Y358" s="97"/>
      <c r="Z358" s="97"/>
      <c r="AA358" s="97"/>
    </row>
    <row r="359" spans="16:27">
      <c r="P359" s="94" t="s">
        <v>1179</v>
      </c>
      <c r="Q359" s="94" t="s">
        <v>1121</v>
      </c>
      <c r="R359" s="97"/>
      <c r="S359" s="97"/>
      <c r="T359" s="97"/>
      <c r="U359" s="97"/>
      <c r="V359" s="97"/>
      <c r="W359" s="97"/>
      <c r="X359" s="97"/>
      <c r="Y359" s="97"/>
      <c r="Z359" s="97"/>
      <c r="AA359" s="97"/>
    </row>
    <row r="360" spans="16:27">
      <c r="P360" s="94" t="s">
        <v>1128</v>
      </c>
      <c r="Q360" s="94" t="s">
        <v>1121</v>
      </c>
      <c r="R360" s="97"/>
      <c r="S360" s="97"/>
      <c r="T360" s="97"/>
      <c r="U360" s="97"/>
      <c r="V360" s="97"/>
      <c r="W360" s="97"/>
      <c r="X360" s="97"/>
      <c r="Y360" s="97"/>
      <c r="Z360" s="97"/>
      <c r="AA360" s="97"/>
    </row>
    <row r="361" spans="16:27">
      <c r="P361" s="94" t="s">
        <v>1181</v>
      </c>
      <c r="Q361" s="94" t="s">
        <v>1121</v>
      </c>
      <c r="R361" s="97"/>
      <c r="S361" s="97"/>
      <c r="T361" s="97"/>
      <c r="U361" s="97"/>
      <c r="V361" s="97"/>
      <c r="W361" s="97"/>
      <c r="X361" s="97"/>
      <c r="Y361" s="97"/>
      <c r="Z361" s="97"/>
      <c r="AA361" s="97"/>
    </row>
    <row r="362" spans="16:27">
      <c r="P362" s="94" t="s">
        <v>1182</v>
      </c>
      <c r="Q362" s="94" t="s">
        <v>1121</v>
      </c>
      <c r="R362" s="97"/>
      <c r="S362" s="97"/>
      <c r="T362" s="97"/>
      <c r="U362" s="97"/>
      <c r="V362" s="97"/>
      <c r="W362" s="97"/>
      <c r="X362" s="97"/>
      <c r="Y362" s="97"/>
      <c r="Z362" s="97"/>
      <c r="AA362" s="97"/>
    </row>
    <row r="363" spans="16:27" ht="15.6">
      <c r="P363" s="250"/>
      <c r="Q363" s="250"/>
      <c r="R363" s="89" t="s">
        <v>1131</v>
      </c>
      <c r="S363" s="89" t="s">
        <v>1132</v>
      </c>
      <c r="T363" s="89" t="s">
        <v>1134</v>
      </c>
      <c r="U363" s="89" t="s">
        <v>1138</v>
      </c>
      <c r="V363" s="89" t="s">
        <v>1141</v>
      </c>
      <c r="W363" s="89" t="s">
        <v>1163</v>
      </c>
      <c r="X363" s="89" t="s">
        <v>1140</v>
      </c>
      <c r="Y363" s="89" t="s">
        <v>1142</v>
      </c>
      <c r="Z363" s="89" t="s">
        <v>1143</v>
      </c>
      <c r="AA363" s="89" t="s">
        <v>1102</v>
      </c>
    </row>
    <row r="364" spans="16:27">
      <c r="P364" s="94" t="s">
        <v>138</v>
      </c>
      <c r="Q364" s="94" t="s">
        <v>1122</v>
      </c>
      <c r="R364" s="91">
        <v>39.17</v>
      </c>
      <c r="S364" s="91">
        <v>38.200000000000003</v>
      </c>
      <c r="T364" s="91">
        <v>37.409999999999997</v>
      </c>
      <c r="U364" s="91">
        <v>36.869999999999997</v>
      </c>
      <c r="V364" s="91">
        <v>36.85</v>
      </c>
      <c r="W364" s="91">
        <v>36.49</v>
      </c>
      <c r="X364" s="91">
        <v>36.47</v>
      </c>
      <c r="Y364" s="91">
        <v>36.200000000000003</v>
      </c>
      <c r="Z364" s="91">
        <v>35.880000000000003</v>
      </c>
      <c r="AA364" s="91">
        <v>43.81</v>
      </c>
    </row>
    <row r="365" spans="16:27">
      <c r="P365" s="94" t="s">
        <v>139</v>
      </c>
      <c r="Q365" s="94" t="s">
        <v>1122</v>
      </c>
      <c r="R365" s="91">
        <v>39.21</v>
      </c>
      <c r="S365" s="91">
        <v>38.39</v>
      </c>
      <c r="T365" s="91">
        <v>37.72</v>
      </c>
      <c r="U365" s="91">
        <v>37.22</v>
      </c>
      <c r="V365" s="91">
        <v>37.200000000000003</v>
      </c>
      <c r="W365" s="91">
        <v>36.880000000000003</v>
      </c>
      <c r="X365" s="91">
        <v>36.83</v>
      </c>
      <c r="Y365" s="91">
        <v>36.61</v>
      </c>
      <c r="Z365" s="91">
        <v>36.33</v>
      </c>
      <c r="AA365" s="91">
        <v>43.84</v>
      </c>
    </row>
    <row r="366" spans="16:27">
      <c r="P366" s="94" t="s">
        <v>1164</v>
      </c>
      <c r="Q366" s="94" t="s">
        <v>1122</v>
      </c>
      <c r="R366" s="92"/>
      <c r="S366" s="92"/>
      <c r="T366" s="92"/>
      <c r="U366" s="92"/>
      <c r="V366" s="92"/>
      <c r="W366" s="92"/>
      <c r="X366" s="92"/>
      <c r="Y366" s="92"/>
      <c r="Z366" s="92"/>
      <c r="AA366" s="92"/>
    </row>
    <row r="367" spans="16:27">
      <c r="P367" s="94" t="s">
        <v>142</v>
      </c>
      <c r="Q367" s="94" t="s">
        <v>1122</v>
      </c>
      <c r="R367" s="91">
        <v>65.02</v>
      </c>
      <c r="S367" s="91">
        <v>64.28</v>
      </c>
      <c r="T367" s="91">
        <v>63.66</v>
      </c>
      <c r="U367" s="91">
        <v>66.23</v>
      </c>
      <c r="V367" s="91">
        <v>66.22</v>
      </c>
      <c r="W367" s="91">
        <v>69.02</v>
      </c>
      <c r="X367" s="91">
        <v>69.010000000000005</v>
      </c>
      <c r="Y367" s="91">
        <v>68.64</v>
      </c>
      <c r="Z367" s="91">
        <v>68.459999999999994</v>
      </c>
      <c r="AA367" s="91">
        <v>68.22</v>
      </c>
    </row>
    <row r="368" spans="16:27">
      <c r="P368" s="94" t="s">
        <v>1165</v>
      </c>
      <c r="Q368" s="94" t="s">
        <v>1122</v>
      </c>
      <c r="R368" s="91">
        <v>65.02</v>
      </c>
      <c r="S368" s="91">
        <v>64.28</v>
      </c>
      <c r="T368" s="91">
        <v>63.66</v>
      </c>
      <c r="U368" s="91">
        <v>66.23</v>
      </c>
      <c r="V368" s="91">
        <v>66.22</v>
      </c>
      <c r="W368" s="91">
        <v>69.02</v>
      </c>
      <c r="X368" s="91">
        <v>69.010000000000005</v>
      </c>
      <c r="Y368" s="91">
        <v>68.64</v>
      </c>
      <c r="Z368" s="91">
        <v>68.459999999999994</v>
      </c>
      <c r="AA368" s="91">
        <v>68.22</v>
      </c>
    </row>
    <row r="369" spans="16:27">
      <c r="P369" s="94" t="s">
        <v>1183</v>
      </c>
      <c r="Q369" s="94" t="s">
        <v>1122</v>
      </c>
      <c r="R369" s="92"/>
      <c r="S369" s="92"/>
      <c r="T369" s="92"/>
      <c r="U369" s="92"/>
      <c r="V369" s="92"/>
      <c r="W369" s="92"/>
      <c r="X369" s="92"/>
      <c r="Y369" s="92"/>
      <c r="Z369" s="92"/>
      <c r="AA369" s="92"/>
    </row>
    <row r="370" spans="16:27">
      <c r="P370" s="94" t="s">
        <v>1126</v>
      </c>
      <c r="Q370" s="94" t="s">
        <v>1122</v>
      </c>
      <c r="R370" s="91">
        <v>78.45</v>
      </c>
      <c r="S370" s="91">
        <v>77.77</v>
      </c>
      <c r="T370" s="91">
        <v>77.180000000000007</v>
      </c>
      <c r="U370" s="91">
        <v>80.040000000000006</v>
      </c>
      <c r="V370" s="91">
        <v>80.02</v>
      </c>
      <c r="W370" s="91">
        <v>83.08</v>
      </c>
      <c r="X370" s="91">
        <v>83.06</v>
      </c>
      <c r="Y370" s="91">
        <v>82.69</v>
      </c>
      <c r="Z370" s="91">
        <v>82.47</v>
      </c>
      <c r="AA370" s="91">
        <v>82.24</v>
      </c>
    </row>
    <row r="371" spans="16:27">
      <c r="P371" s="94" t="s">
        <v>1166</v>
      </c>
      <c r="Q371" s="94" t="s">
        <v>1122</v>
      </c>
      <c r="R371" s="91">
        <v>78.45</v>
      </c>
      <c r="S371" s="91">
        <v>77.77</v>
      </c>
      <c r="T371" s="91">
        <v>77.180000000000007</v>
      </c>
      <c r="U371" s="91">
        <v>80.040000000000006</v>
      </c>
      <c r="V371" s="91">
        <v>80.02</v>
      </c>
      <c r="W371" s="91">
        <v>83.08</v>
      </c>
      <c r="X371" s="91">
        <v>83.06</v>
      </c>
      <c r="Y371" s="91">
        <v>82.69</v>
      </c>
      <c r="Z371" s="91">
        <v>82.47</v>
      </c>
      <c r="AA371" s="91">
        <v>82.24</v>
      </c>
    </row>
    <row r="372" spans="16:27">
      <c r="P372" s="94" t="s">
        <v>1167</v>
      </c>
      <c r="Q372" s="94" t="s">
        <v>1122</v>
      </c>
      <c r="R372" s="91">
        <v>82.02</v>
      </c>
      <c r="S372" s="91">
        <v>81.33</v>
      </c>
      <c r="T372" s="91">
        <v>80.72</v>
      </c>
      <c r="U372" s="91">
        <v>83.64</v>
      </c>
      <c r="V372" s="91">
        <v>83.63</v>
      </c>
      <c r="W372" s="91">
        <v>86.74</v>
      </c>
      <c r="X372" s="91">
        <v>86.72</v>
      </c>
      <c r="Y372" s="91">
        <v>86.35</v>
      </c>
      <c r="Z372" s="91">
        <v>86.12</v>
      </c>
      <c r="AA372" s="91">
        <v>85.88</v>
      </c>
    </row>
    <row r="373" spans="16:27">
      <c r="P373" s="94" t="s">
        <v>1168</v>
      </c>
      <c r="Q373" s="94" t="s">
        <v>1122</v>
      </c>
      <c r="R373" s="92"/>
      <c r="S373" s="92"/>
      <c r="T373" s="92"/>
      <c r="U373" s="92"/>
      <c r="V373" s="92"/>
      <c r="W373" s="92"/>
      <c r="X373" s="92"/>
      <c r="Y373" s="92"/>
      <c r="Z373" s="92"/>
      <c r="AA373" s="92"/>
    </row>
    <row r="374" spans="16:27">
      <c r="P374" s="94" t="s">
        <v>1169</v>
      </c>
      <c r="Q374" s="94" t="s">
        <v>1122</v>
      </c>
      <c r="R374" s="92"/>
      <c r="S374" s="92"/>
      <c r="T374" s="92"/>
      <c r="U374" s="92"/>
      <c r="V374" s="92"/>
      <c r="W374" s="92"/>
      <c r="X374" s="92"/>
      <c r="Y374" s="92"/>
      <c r="Z374" s="92"/>
      <c r="AA374" s="92"/>
    </row>
    <row r="375" spans="16:27">
      <c r="P375" s="94" t="s">
        <v>733</v>
      </c>
      <c r="Q375" s="94" t="s">
        <v>1122</v>
      </c>
      <c r="R375" s="91">
        <v>79.67</v>
      </c>
      <c r="S375" s="91">
        <v>78.959999999999994</v>
      </c>
      <c r="T375" s="91">
        <v>78.36</v>
      </c>
      <c r="U375" s="91">
        <v>81.25</v>
      </c>
      <c r="V375" s="91">
        <v>81.239999999999995</v>
      </c>
      <c r="W375" s="91">
        <v>84.39</v>
      </c>
      <c r="X375" s="91">
        <v>84.37</v>
      </c>
      <c r="Y375" s="91">
        <v>84.13</v>
      </c>
      <c r="Z375" s="91">
        <v>83.86</v>
      </c>
      <c r="AA375" s="91">
        <v>83.64</v>
      </c>
    </row>
    <row r="376" spans="16:27">
      <c r="P376" s="94" t="s">
        <v>1170</v>
      </c>
      <c r="Q376" s="94" t="s">
        <v>1122</v>
      </c>
      <c r="R376" s="91">
        <v>83.27</v>
      </c>
      <c r="S376" s="91">
        <v>82.54</v>
      </c>
      <c r="T376" s="91">
        <v>81.92</v>
      </c>
      <c r="U376" s="91">
        <v>84.88</v>
      </c>
      <c r="V376" s="91">
        <v>84.86</v>
      </c>
      <c r="W376" s="91">
        <v>88.08</v>
      </c>
      <c r="X376" s="91">
        <v>88.06</v>
      </c>
      <c r="Y376" s="91">
        <v>87.81</v>
      </c>
      <c r="Z376" s="91">
        <v>87.53</v>
      </c>
      <c r="AA376" s="91">
        <v>87.31</v>
      </c>
    </row>
    <row r="377" spans="16:27">
      <c r="P377" s="94" t="s">
        <v>1171</v>
      </c>
      <c r="Q377" s="94" t="s">
        <v>1122</v>
      </c>
      <c r="R377" s="92"/>
      <c r="S377" s="92"/>
      <c r="T377" s="92"/>
      <c r="U377" s="92"/>
      <c r="V377" s="92"/>
      <c r="W377" s="92"/>
      <c r="X377" s="92"/>
      <c r="Y377" s="92"/>
      <c r="Z377" s="92"/>
      <c r="AA377" s="92"/>
    </row>
    <row r="378" spans="16:27">
      <c r="P378" s="94" t="s">
        <v>1172</v>
      </c>
      <c r="Q378" s="94" t="s">
        <v>1122</v>
      </c>
      <c r="R378" s="97"/>
      <c r="S378" s="97"/>
      <c r="T378" s="97"/>
      <c r="U378" s="97"/>
      <c r="V378" s="97"/>
      <c r="W378" s="97"/>
      <c r="X378" s="97"/>
      <c r="Y378" s="97"/>
      <c r="Z378" s="97"/>
      <c r="AA378" s="97"/>
    </row>
    <row r="379" spans="16:27">
      <c r="P379" s="94" t="s">
        <v>1173</v>
      </c>
      <c r="Q379" s="94" t="s">
        <v>1122</v>
      </c>
      <c r="R379" s="97"/>
      <c r="S379" s="97"/>
      <c r="T379" s="97"/>
      <c r="U379" s="97"/>
      <c r="V379" s="97"/>
      <c r="W379" s="97"/>
      <c r="X379" s="97"/>
      <c r="Y379" s="97"/>
      <c r="Z379" s="97"/>
      <c r="AA379" s="97"/>
    </row>
    <row r="380" spans="16:27">
      <c r="P380" s="94" t="s">
        <v>734</v>
      </c>
      <c r="Q380" s="94" t="s">
        <v>1122</v>
      </c>
      <c r="R380" s="97"/>
      <c r="S380" s="97"/>
      <c r="T380" s="97"/>
      <c r="U380" s="97"/>
      <c r="V380" s="97"/>
      <c r="W380" s="97"/>
      <c r="X380" s="97"/>
      <c r="Y380" s="97"/>
      <c r="Z380" s="97"/>
      <c r="AA380" s="97"/>
    </row>
    <row r="381" spans="16:27">
      <c r="P381" s="94" t="s">
        <v>1174</v>
      </c>
      <c r="Q381" s="94" t="s">
        <v>1122</v>
      </c>
      <c r="R381" s="97"/>
      <c r="S381" s="97"/>
      <c r="T381" s="97"/>
      <c r="U381" s="97"/>
      <c r="V381" s="97"/>
      <c r="W381" s="97"/>
      <c r="X381" s="97"/>
      <c r="Y381" s="97"/>
      <c r="Z381" s="97"/>
      <c r="AA381" s="97"/>
    </row>
    <row r="382" spans="16:27">
      <c r="P382" s="94" t="s">
        <v>1175</v>
      </c>
      <c r="Q382" s="94" t="s">
        <v>1122</v>
      </c>
      <c r="R382" s="97"/>
      <c r="S382" s="97"/>
      <c r="T382" s="97"/>
      <c r="U382" s="97"/>
      <c r="V382" s="97"/>
      <c r="W382" s="97"/>
      <c r="X382" s="97"/>
      <c r="Y382" s="97"/>
      <c r="Z382" s="97"/>
      <c r="AA382" s="97"/>
    </row>
    <row r="383" spans="16:27">
      <c r="P383" s="94" t="s">
        <v>1176</v>
      </c>
      <c r="Q383" s="94" t="s">
        <v>1122</v>
      </c>
      <c r="R383" s="97"/>
      <c r="S383" s="97"/>
      <c r="T383" s="97"/>
      <c r="U383" s="97"/>
      <c r="V383" s="97"/>
      <c r="W383" s="97"/>
      <c r="X383" s="97"/>
      <c r="Y383" s="97"/>
      <c r="Z383" s="97"/>
      <c r="AA383" s="97"/>
    </row>
    <row r="384" spans="16:27">
      <c r="P384" s="94" t="s">
        <v>1177</v>
      </c>
      <c r="Q384" s="94" t="s">
        <v>1122</v>
      </c>
      <c r="R384" s="97"/>
      <c r="S384" s="97"/>
      <c r="T384" s="97"/>
      <c r="U384" s="97"/>
      <c r="V384" s="97"/>
      <c r="W384" s="97"/>
      <c r="X384" s="97"/>
      <c r="Y384" s="97"/>
      <c r="Z384" s="97"/>
      <c r="AA384" s="97"/>
    </row>
    <row r="385" spans="16:27">
      <c r="P385" s="94" t="s">
        <v>1178</v>
      </c>
      <c r="Q385" s="94" t="s">
        <v>1122</v>
      </c>
      <c r="R385" s="97"/>
      <c r="S385" s="97"/>
      <c r="T385" s="97"/>
      <c r="U385" s="97"/>
      <c r="V385" s="97"/>
      <c r="W385" s="97"/>
      <c r="X385" s="97"/>
      <c r="Y385" s="97"/>
      <c r="Z385" s="97"/>
      <c r="AA385" s="97"/>
    </row>
    <row r="386" spans="16:27">
      <c r="P386" s="94" t="s">
        <v>735</v>
      </c>
      <c r="Q386" s="94" t="s">
        <v>1122</v>
      </c>
      <c r="R386" s="97"/>
      <c r="S386" s="97"/>
      <c r="T386" s="97"/>
      <c r="U386" s="97"/>
      <c r="V386" s="97"/>
      <c r="W386" s="97"/>
      <c r="X386" s="97"/>
      <c r="Y386" s="97"/>
      <c r="Z386" s="97"/>
      <c r="AA386" s="97"/>
    </row>
    <row r="387" spans="16:27">
      <c r="P387" s="94" t="s">
        <v>1179</v>
      </c>
      <c r="Q387" s="94" t="s">
        <v>1122</v>
      </c>
      <c r="R387" s="97"/>
      <c r="S387" s="97"/>
      <c r="T387" s="97"/>
      <c r="U387" s="97"/>
      <c r="V387" s="97"/>
      <c r="W387" s="97"/>
      <c r="X387" s="97"/>
      <c r="Y387" s="97"/>
      <c r="Z387" s="97"/>
      <c r="AA387" s="97"/>
    </row>
    <row r="388" spans="16:27">
      <c r="P388" s="94" t="s">
        <v>1128</v>
      </c>
      <c r="Q388" s="94" t="s">
        <v>1122</v>
      </c>
      <c r="R388" s="97"/>
      <c r="S388" s="97"/>
      <c r="T388" s="97"/>
      <c r="U388" s="97"/>
      <c r="V388" s="97"/>
      <c r="W388" s="97"/>
      <c r="X388" s="97"/>
      <c r="Y388" s="97"/>
      <c r="Z388" s="97"/>
      <c r="AA388" s="97"/>
    </row>
    <row r="389" spans="16:27">
      <c r="P389" s="94" t="s">
        <v>1181</v>
      </c>
      <c r="Q389" s="94" t="s">
        <v>1122</v>
      </c>
      <c r="R389" s="97"/>
      <c r="S389" s="97"/>
      <c r="T389" s="97"/>
      <c r="U389" s="97"/>
      <c r="V389" s="97"/>
      <c r="W389" s="97"/>
      <c r="X389" s="97"/>
      <c r="Y389" s="97"/>
      <c r="Z389" s="97"/>
      <c r="AA389" s="97"/>
    </row>
    <row r="390" spans="16:27">
      <c r="P390" s="94" t="s">
        <v>1182</v>
      </c>
      <c r="Q390" s="94" t="s">
        <v>1122</v>
      </c>
      <c r="R390" s="97"/>
      <c r="S390" s="97"/>
      <c r="T390" s="97"/>
      <c r="U390" s="97"/>
      <c r="V390" s="97"/>
      <c r="W390" s="97"/>
      <c r="X390" s="97"/>
      <c r="Y390" s="97"/>
      <c r="Z390" s="97"/>
      <c r="AA390" s="97"/>
    </row>
    <row r="391" spans="16:27" ht="15.6">
      <c r="P391" s="250"/>
      <c r="Q391" s="250"/>
      <c r="R391" s="251" t="s">
        <v>1131</v>
      </c>
      <c r="S391" s="251" t="s">
        <v>1132</v>
      </c>
      <c r="T391" s="251" t="s">
        <v>1134</v>
      </c>
      <c r="U391" s="251" t="s">
        <v>1138</v>
      </c>
      <c r="V391" s="251" t="s">
        <v>1141</v>
      </c>
      <c r="W391" s="89" t="s">
        <v>1163</v>
      </c>
      <c r="X391" s="89" t="s">
        <v>1140</v>
      </c>
      <c r="Y391" s="251" t="s">
        <v>1142</v>
      </c>
      <c r="Z391" s="251" t="s">
        <v>1143</v>
      </c>
      <c r="AA391" s="251" t="s">
        <v>1102</v>
      </c>
    </row>
    <row r="392" spans="16:27">
      <c r="P392" s="94" t="s">
        <v>138</v>
      </c>
      <c r="Q392" s="94" t="s">
        <v>393</v>
      </c>
      <c r="R392" s="98"/>
      <c r="S392" s="98"/>
      <c r="T392" s="98"/>
      <c r="U392" s="98"/>
      <c r="V392" s="98"/>
      <c r="W392" s="98"/>
      <c r="X392" s="98"/>
      <c r="Y392" s="98"/>
      <c r="Z392" s="98"/>
      <c r="AA392" s="98"/>
    </row>
    <row r="393" spans="16:27">
      <c r="P393" s="94" t="s">
        <v>139</v>
      </c>
      <c r="Q393" s="94" t="s">
        <v>393</v>
      </c>
      <c r="R393" s="102">
        <v>51.99</v>
      </c>
      <c r="S393" s="102">
        <v>51.99</v>
      </c>
      <c r="T393" s="102">
        <v>51.99</v>
      </c>
      <c r="U393" s="102">
        <v>51.99</v>
      </c>
      <c r="V393" s="102">
        <v>51.99</v>
      </c>
      <c r="W393" s="102">
        <v>51.99</v>
      </c>
      <c r="X393" s="102">
        <v>51.99</v>
      </c>
      <c r="Y393" s="102">
        <v>51.99</v>
      </c>
      <c r="Z393" s="102">
        <v>51.99</v>
      </c>
      <c r="AA393" s="102">
        <v>65.47</v>
      </c>
    </row>
    <row r="394" spans="16:27">
      <c r="P394" s="94" t="s">
        <v>1164</v>
      </c>
      <c r="Q394" s="94" t="s">
        <v>393</v>
      </c>
      <c r="R394" s="102">
        <v>51.99</v>
      </c>
      <c r="S394" s="102">
        <v>51.99</v>
      </c>
      <c r="T394" s="102">
        <v>51.99</v>
      </c>
      <c r="U394" s="102">
        <v>51.99</v>
      </c>
      <c r="V394" s="102">
        <v>51.99</v>
      </c>
      <c r="W394" s="102">
        <v>51.99</v>
      </c>
      <c r="X394" s="102">
        <v>51.99</v>
      </c>
      <c r="Y394" s="102">
        <v>51.99</v>
      </c>
      <c r="Z394" s="102">
        <v>51.99</v>
      </c>
      <c r="AA394" s="102">
        <v>65.47</v>
      </c>
    </row>
    <row r="395" spans="16:27">
      <c r="P395" s="94" t="s">
        <v>142</v>
      </c>
      <c r="Q395" s="94" t="s">
        <v>393</v>
      </c>
      <c r="R395" s="102">
        <v>76.25</v>
      </c>
      <c r="S395" s="102">
        <v>76.25</v>
      </c>
      <c r="T395" s="102">
        <v>76.25</v>
      </c>
      <c r="U395" s="102">
        <v>76.25</v>
      </c>
      <c r="V395" s="102">
        <v>76.25</v>
      </c>
      <c r="W395" s="102">
        <v>76.25</v>
      </c>
      <c r="X395" s="102">
        <v>76.25</v>
      </c>
      <c r="Y395" s="102">
        <v>76.25</v>
      </c>
      <c r="Z395" s="102">
        <v>76.25</v>
      </c>
      <c r="AA395" s="102">
        <v>76.25</v>
      </c>
    </row>
    <row r="396" spans="16:27">
      <c r="P396" s="94" t="s">
        <v>1165</v>
      </c>
      <c r="Q396" s="94" t="s">
        <v>393</v>
      </c>
      <c r="R396" s="102">
        <v>74.62</v>
      </c>
      <c r="S396" s="102">
        <v>74.62</v>
      </c>
      <c r="T396" s="102">
        <v>74.62</v>
      </c>
      <c r="U396" s="102">
        <v>74.62</v>
      </c>
      <c r="V396" s="102">
        <v>74.62</v>
      </c>
      <c r="W396" s="102">
        <v>74.62</v>
      </c>
      <c r="X396" s="102">
        <v>74.62</v>
      </c>
      <c r="Y396" s="102">
        <v>74.62</v>
      </c>
      <c r="Z396" s="102">
        <v>74.62</v>
      </c>
      <c r="AA396" s="102">
        <v>74.62</v>
      </c>
    </row>
    <row r="397" spans="16:27">
      <c r="P397" s="94" t="s">
        <v>1183</v>
      </c>
      <c r="Q397" s="94" t="s">
        <v>393</v>
      </c>
      <c r="R397" s="102">
        <v>67.489999999999995</v>
      </c>
      <c r="S397" s="102">
        <v>67.489999999999995</v>
      </c>
      <c r="T397" s="102">
        <v>67.489999999999995</v>
      </c>
      <c r="U397" s="102">
        <v>67.489999999999995</v>
      </c>
      <c r="V397" s="102">
        <v>67.489999999999995</v>
      </c>
      <c r="W397" s="102">
        <v>67.489999999999995</v>
      </c>
      <c r="X397" s="102">
        <v>67.489999999999995</v>
      </c>
      <c r="Y397" s="102">
        <v>67.489999999999995</v>
      </c>
      <c r="Z397" s="102">
        <v>67.489999999999995</v>
      </c>
      <c r="AA397" s="102">
        <v>67.489999999999995</v>
      </c>
    </row>
    <row r="398" spans="16:27">
      <c r="P398" s="94" t="s">
        <v>1126</v>
      </c>
      <c r="Q398" s="94" t="s">
        <v>393</v>
      </c>
      <c r="R398" s="102">
        <v>82.54</v>
      </c>
      <c r="S398" s="102">
        <v>82.54</v>
      </c>
      <c r="T398" s="102">
        <v>82.54</v>
      </c>
      <c r="U398" s="102">
        <v>82.54</v>
      </c>
      <c r="V398" s="102">
        <v>82.54</v>
      </c>
      <c r="W398" s="102">
        <v>82.54</v>
      </c>
      <c r="X398" s="102">
        <v>82.54</v>
      </c>
      <c r="Y398" s="102">
        <v>82.54</v>
      </c>
      <c r="Z398" s="102">
        <v>82.54</v>
      </c>
      <c r="AA398" s="102">
        <v>82.54</v>
      </c>
    </row>
    <row r="399" spans="16:27">
      <c r="P399" s="94" t="s">
        <v>1166</v>
      </c>
      <c r="Q399" s="94" t="s">
        <v>393</v>
      </c>
      <c r="R399" s="102">
        <v>83.01</v>
      </c>
      <c r="S399" s="102">
        <v>83.01</v>
      </c>
      <c r="T399" s="102">
        <v>83.01</v>
      </c>
      <c r="U399" s="102">
        <v>83.01</v>
      </c>
      <c r="V399" s="102">
        <v>83.01</v>
      </c>
      <c r="W399" s="102">
        <v>83.01</v>
      </c>
      <c r="X399" s="102">
        <v>83.01</v>
      </c>
      <c r="Y399" s="102">
        <v>83.01</v>
      </c>
      <c r="Z399" s="102">
        <v>83.01</v>
      </c>
      <c r="AA399" s="102">
        <v>83.01</v>
      </c>
    </row>
    <row r="400" spans="16:27">
      <c r="P400" s="94" t="s">
        <v>1167</v>
      </c>
      <c r="Q400" s="94" t="s">
        <v>393</v>
      </c>
      <c r="R400" s="102">
        <v>82.99</v>
      </c>
      <c r="S400" s="102">
        <v>82.99</v>
      </c>
      <c r="T400" s="102">
        <v>82.99</v>
      </c>
      <c r="U400" s="102">
        <v>82.99</v>
      </c>
      <c r="V400" s="102">
        <v>82.99</v>
      </c>
      <c r="W400" s="102">
        <v>82.99</v>
      </c>
      <c r="X400" s="102">
        <v>82.99</v>
      </c>
      <c r="Y400" s="102">
        <v>82.99</v>
      </c>
      <c r="Z400" s="102">
        <v>82.99</v>
      </c>
      <c r="AA400" s="102">
        <v>82.99</v>
      </c>
    </row>
    <row r="401" spans="16:27">
      <c r="P401" s="94" t="s">
        <v>1168</v>
      </c>
      <c r="Q401" s="94" t="s">
        <v>393</v>
      </c>
      <c r="R401" s="102">
        <v>82.99</v>
      </c>
      <c r="S401" s="102">
        <v>82.99</v>
      </c>
      <c r="T401" s="102">
        <v>82.99</v>
      </c>
      <c r="U401" s="102">
        <v>82.99</v>
      </c>
      <c r="V401" s="102">
        <v>82.99</v>
      </c>
      <c r="W401" s="102">
        <v>82.99</v>
      </c>
      <c r="X401" s="102">
        <v>82.99</v>
      </c>
      <c r="Y401" s="102">
        <v>82.99</v>
      </c>
      <c r="Z401" s="102">
        <v>82.99</v>
      </c>
      <c r="AA401" s="102">
        <v>82.99</v>
      </c>
    </row>
    <row r="402" spans="16:27">
      <c r="P402" s="94" t="s">
        <v>1169</v>
      </c>
      <c r="Q402" s="94" t="s">
        <v>393</v>
      </c>
      <c r="R402" s="102">
        <v>78.569999999999993</v>
      </c>
      <c r="S402" s="102">
        <v>78.569999999999993</v>
      </c>
      <c r="T402" s="102">
        <v>78.569999999999993</v>
      </c>
      <c r="U402" s="102">
        <v>78.569999999999993</v>
      </c>
      <c r="V402" s="102">
        <v>78.569999999999993</v>
      </c>
      <c r="W402" s="102">
        <v>78.569999999999993</v>
      </c>
      <c r="X402" s="102">
        <v>78.569999999999993</v>
      </c>
      <c r="Y402" s="102">
        <v>78.569999999999993</v>
      </c>
      <c r="Z402" s="102">
        <v>78.569999999999993</v>
      </c>
      <c r="AA402" s="102">
        <v>78.569999999999993</v>
      </c>
    </row>
    <row r="403" spans="16:27">
      <c r="P403" s="94" t="s">
        <v>733</v>
      </c>
      <c r="Q403" s="94" t="s">
        <v>393</v>
      </c>
      <c r="R403" s="102">
        <v>95.17</v>
      </c>
      <c r="S403" s="102">
        <v>95.17</v>
      </c>
      <c r="T403" s="102">
        <v>95.17</v>
      </c>
      <c r="U403" s="102">
        <v>95.17</v>
      </c>
      <c r="V403" s="102">
        <v>95.17</v>
      </c>
      <c r="W403" s="102">
        <v>95.17</v>
      </c>
      <c r="X403" s="102">
        <v>95.17</v>
      </c>
      <c r="Y403" s="102">
        <v>95.17</v>
      </c>
      <c r="Z403" s="102">
        <v>95.17</v>
      </c>
      <c r="AA403" s="102">
        <v>95.17</v>
      </c>
    </row>
    <row r="404" spans="16:27">
      <c r="P404" s="94" t="s">
        <v>1170</v>
      </c>
      <c r="Q404" s="94" t="s">
        <v>393</v>
      </c>
      <c r="R404" s="102">
        <v>92.36</v>
      </c>
      <c r="S404" s="102">
        <v>92.36</v>
      </c>
      <c r="T404" s="102">
        <v>92.36</v>
      </c>
      <c r="U404" s="102">
        <v>92.36</v>
      </c>
      <c r="V404" s="102">
        <v>92.36</v>
      </c>
      <c r="W404" s="102">
        <v>92.36</v>
      </c>
      <c r="X404" s="102">
        <v>92.36</v>
      </c>
      <c r="Y404" s="102">
        <v>92.36</v>
      </c>
      <c r="Z404" s="102">
        <v>92.36</v>
      </c>
      <c r="AA404" s="102">
        <v>92.36</v>
      </c>
    </row>
    <row r="405" spans="16:27">
      <c r="P405" s="94" t="s">
        <v>1171</v>
      </c>
      <c r="Q405" s="94" t="s">
        <v>393</v>
      </c>
      <c r="R405" s="102">
        <v>89.47</v>
      </c>
      <c r="S405" s="102">
        <v>89.47</v>
      </c>
      <c r="T405" s="102">
        <v>89.47</v>
      </c>
      <c r="U405" s="102">
        <v>89.47</v>
      </c>
      <c r="V405" s="102">
        <v>89.47</v>
      </c>
      <c r="W405" s="102">
        <v>89.47</v>
      </c>
      <c r="X405" s="102">
        <v>89.47</v>
      </c>
      <c r="Y405" s="102">
        <v>89.47</v>
      </c>
      <c r="Z405" s="102">
        <v>89.47</v>
      </c>
      <c r="AA405" s="102">
        <v>89.47</v>
      </c>
    </row>
    <row r="406" spans="16:27">
      <c r="P406" s="94" t="s">
        <v>1172</v>
      </c>
      <c r="Q406" s="94" t="s">
        <v>393</v>
      </c>
      <c r="R406" s="102">
        <v>90.8</v>
      </c>
      <c r="S406" s="102">
        <v>90.8</v>
      </c>
      <c r="T406" s="102">
        <v>90.8</v>
      </c>
      <c r="U406" s="102">
        <v>90.8</v>
      </c>
      <c r="V406" s="102">
        <v>90.8</v>
      </c>
      <c r="W406" s="102">
        <v>90.8</v>
      </c>
      <c r="X406" s="102">
        <v>90.8</v>
      </c>
      <c r="Y406" s="102">
        <v>90.8</v>
      </c>
      <c r="Z406" s="102">
        <v>90.8</v>
      </c>
      <c r="AA406" s="102">
        <v>90.8</v>
      </c>
    </row>
    <row r="407" spans="16:27">
      <c r="P407" s="94" t="s">
        <v>1173</v>
      </c>
      <c r="Q407" s="94" t="s">
        <v>393</v>
      </c>
      <c r="R407" s="102">
        <v>105.85</v>
      </c>
      <c r="S407" s="102">
        <v>105.85</v>
      </c>
      <c r="T407" s="102">
        <v>105.85</v>
      </c>
      <c r="U407" s="102">
        <v>105.85</v>
      </c>
      <c r="V407" s="102">
        <v>105.85</v>
      </c>
      <c r="W407" s="102">
        <v>105.85</v>
      </c>
      <c r="X407" s="102">
        <v>105.85</v>
      </c>
      <c r="Y407" s="102">
        <v>105.85</v>
      </c>
      <c r="Z407" s="102">
        <v>105.85</v>
      </c>
      <c r="AA407" s="102">
        <v>105.85</v>
      </c>
    </row>
    <row r="408" spans="16:27">
      <c r="P408" s="94" t="s">
        <v>734</v>
      </c>
      <c r="Q408" s="94" t="s">
        <v>393</v>
      </c>
      <c r="R408" s="98"/>
      <c r="S408" s="98"/>
      <c r="T408" s="98"/>
      <c r="U408" s="98"/>
      <c r="V408" s="98"/>
      <c r="W408" s="98"/>
      <c r="X408" s="98"/>
      <c r="Y408" s="98"/>
      <c r="Z408" s="98"/>
      <c r="AA408" s="98"/>
    </row>
    <row r="409" spans="16:27">
      <c r="P409" s="94" t="s">
        <v>1174</v>
      </c>
      <c r="Q409" s="94" t="s">
        <v>393</v>
      </c>
      <c r="R409" s="98"/>
      <c r="S409" s="98"/>
      <c r="T409" s="98"/>
      <c r="U409" s="98"/>
      <c r="V409" s="98"/>
      <c r="W409" s="98"/>
      <c r="X409" s="98"/>
      <c r="Y409" s="98"/>
      <c r="Z409" s="98"/>
      <c r="AA409" s="98"/>
    </row>
    <row r="410" spans="16:27">
      <c r="P410" s="94" t="s">
        <v>1175</v>
      </c>
      <c r="Q410" s="94" t="s">
        <v>393</v>
      </c>
      <c r="R410" s="98"/>
      <c r="S410" s="98"/>
      <c r="T410" s="98"/>
      <c r="U410" s="98"/>
      <c r="V410" s="98"/>
      <c r="W410" s="98"/>
      <c r="X410" s="98"/>
      <c r="Y410" s="98"/>
      <c r="Z410" s="98"/>
      <c r="AA410" s="98"/>
    </row>
    <row r="411" spans="16:27">
      <c r="P411" s="94" t="s">
        <v>1176</v>
      </c>
      <c r="Q411" s="94" t="s">
        <v>393</v>
      </c>
      <c r="R411" s="98"/>
      <c r="S411" s="98"/>
      <c r="T411" s="98"/>
      <c r="U411" s="98"/>
      <c r="V411" s="98"/>
      <c r="W411" s="98"/>
      <c r="X411" s="98"/>
      <c r="Y411" s="98"/>
      <c r="Z411" s="98"/>
      <c r="AA411" s="98"/>
    </row>
    <row r="412" spans="16:27">
      <c r="P412" s="94" t="s">
        <v>1177</v>
      </c>
      <c r="Q412" s="94" t="s">
        <v>393</v>
      </c>
      <c r="R412" s="98"/>
      <c r="S412" s="98"/>
      <c r="T412" s="98"/>
      <c r="U412" s="98"/>
      <c r="V412" s="98"/>
      <c r="W412" s="98"/>
      <c r="X412" s="98"/>
      <c r="Y412" s="98"/>
      <c r="Z412" s="98"/>
      <c r="AA412" s="98"/>
    </row>
    <row r="413" spans="16:27">
      <c r="P413" s="94" t="s">
        <v>1178</v>
      </c>
      <c r="Q413" s="94" t="s">
        <v>393</v>
      </c>
      <c r="R413" s="98"/>
      <c r="S413" s="98"/>
      <c r="T413" s="98"/>
      <c r="U413" s="98"/>
      <c r="V413" s="98"/>
      <c r="W413" s="98"/>
      <c r="X413" s="98"/>
      <c r="Y413" s="98"/>
      <c r="Z413" s="98"/>
      <c r="AA413" s="98"/>
    </row>
    <row r="414" spans="16:27">
      <c r="P414" s="94" t="s">
        <v>735</v>
      </c>
      <c r="Q414" s="94" t="s">
        <v>393</v>
      </c>
      <c r="R414" s="98"/>
      <c r="S414" s="98"/>
      <c r="T414" s="98"/>
      <c r="U414" s="98"/>
      <c r="V414" s="98"/>
      <c r="W414" s="98"/>
      <c r="X414" s="98"/>
      <c r="Y414" s="98"/>
      <c r="Z414" s="98"/>
      <c r="AA414" s="98"/>
    </row>
    <row r="415" spans="16:27">
      <c r="P415" s="94" t="s">
        <v>1179</v>
      </c>
      <c r="Q415" s="94" t="s">
        <v>393</v>
      </c>
      <c r="R415" s="98"/>
      <c r="S415" s="98"/>
      <c r="T415" s="98"/>
      <c r="U415" s="98"/>
      <c r="V415" s="98"/>
      <c r="W415" s="98"/>
      <c r="X415" s="98"/>
      <c r="Y415" s="98"/>
      <c r="Z415" s="98"/>
      <c r="AA415" s="98"/>
    </row>
    <row r="416" spans="16:27">
      <c r="P416" s="94" t="s">
        <v>1128</v>
      </c>
      <c r="Q416" s="94" t="s">
        <v>393</v>
      </c>
      <c r="R416" s="98"/>
      <c r="S416" s="98"/>
      <c r="T416" s="98"/>
      <c r="U416" s="98"/>
      <c r="V416" s="98"/>
      <c r="W416" s="98"/>
      <c r="X416" s="98"/>
      <c r="Y416" s="98"/>
      <c r="Z416" s="98"/>
      <c r="AA416" s="98"/>
    </row>
    <row r="417" spans="16:27">
      <c r="P417" s="94" t="s">
        <v>1181</v>
      </c>
      <c r="Q417" s="94" t="s">
        <v>393</v>
      </c>
      <c r="R417" s="98"/>
      <c r="S417" s="98"/>
      <c r="T417" s="98"/>
      <c r="U417" s="98"/>
      <c r="V417" s="98"/>
      <c r="W417" s="98"/>
      <c r="X417" s="98"/>
      <c r="Y417" s="98"/>
      <c r="Z417" s="98"/>
      <c r="AA417" s="98"/>
    </row>
    <row r="418" spans="16:27">
      <c r="P418" s="94" t="s">
        <v>1182</v>
      </c>
      <c r="Q418" s="94" t="s">
        <v>393</v>
      </c>
      <c r="R418" s="98"/>
      <c r="S418" s="98"/>
      <c r="T418" s="98"/>
      <c r="U418" s="98"/>
      <c r="V418" s="98"/>
      <c r="W418" s="98"/>
      <c r="X418" s="98"/>
      <c r="Y418" s="98"/>
      <c r="Z418" s="98"/>
      <c r="AA418" s="98"/>
    </row>
    <row r="419" spans="16:27" ht="15.6">
      <c r="P419" s="93"/>
      <c r="Q419" s="93"/>
      <c r="R419" s="89" t="s">
        <v>1131</v>
      </c>
      <c r="S419" s="89" t="s">
        <v>1132</v>
      </c>
      <c r="T419" s="89" t="s">
        <v>1134</v>
      </c>
      <c r="U419" s="89" t="s">
        <v>1138</v>
      </c>
      <c r="V419" s="89" t="s">
        <v>1141</v>
      </c>
      <c r="W419" s="89" t="s">
        <v>1163</v>
      </c>
      <c r="X419" s="89" t="s">
        <v>1140</v>
      </c>
      <c r="Y419" s="89" t="s">
        <v>1142</v>
      </c>
      <c r="Z419" s="89" t="s">
        <v>1143</v>
      </c>
      <c r="AA419" s="89" t="s">
        <v>1102</v>
      </c>
    </row>
    <row r="420" spans="16:27">
      <c r="P420" s="94" t="s">
        <v>138</v>
      </c>
      <c r="Q420" s="94" t="s">
        <v>1120</v>
      </c>
      <c r="R420" s="91">
        <v>42.52</v>
      </c>
      <c r="S420" s="91">
        <v>41.51</v>
      </c>
      <c r="T420" s="91">
        <v>40.69</v>
      </c>
      <c r="U420" s="91">
        <v>40.130000000000003</v>
      </c>
      <c r="V420" s="91">
        <v>40.11</v>
      </c>
      <c r="W420" s="91">
        <v>39.729999999999997</v>
      </c>
      <c r="X420" s="91">
        <v>39.71</v>
      </c>
      <c r="Y420" s="91">
        <v>39.43</v>
      </c>
      <c r="Z420" s="91">
        <v>39.090000000000003</v>
      </c>
      <c r="AA420" s="91">
        <v>47.14</v>
      </c>
    </row>
    <row r="421" spans="16:27">
      <c r="P421" s="94" t="s">
        <v>139</v>
      </c>
      <c r="Q421" s="94" t="s">
        <v>1120</v>
      </c>
      <c r="R421" s="91">
        <v>42.24</v>
      </c>
      <c r="S421" s="91">
        <v>41.34</v>
      </c>
      <c r="T421" s="91">
        <v>40.6</v>
      </c>
      <c r="U421" s="91">
        <v>40.049999999999997</v>
      </c>
      <c r="V421" s="91">
        <v>40.03</v>
      </c>
      <c r="W421" s="91">
        <v>39.67</v>
      </c>
      <c r="X421" s="91">
        <v>39.61</v>
      </c>
      <c r="Y421" s="91">
        <v>39.369999999999997</v>
      </c>
      <c r="Z421" s="91">
        <v>39.06</v>
      </c>
      <c r="AA421" s="91">
        <v>46.63</v>
      </c>
    </row>
    <row r="422" spans="16:27">
      <c r="P422" s="94" t="s">
        <v>1164</v>
      </c>
      <c r="Q422" s="94" t="s">
        <v>1120</v>
      </c>
      <c r="R422" s="92"/>
      <c r="S422" s="92"/>
      <c r="T422" s="92"/>
      <c r="U422" s="92"/>
      <c r="V422" s="92"/>
      <c r="W422" s="92"/>
      <c r="X422" s="92"/>
      <c r="Y422" s="92"/>
      <c r="Z422" s="92"/>
      <c r="AA422" s="92"/>
    </row>
    <row r="423" spans="16:27">
      <c r="P423" s="94" t="s">
        <v>142</v>
      </c>
      <c r="Q423" s="94" t="s">
        <v>1120</v>
      </c>
      <c r="R423" s="91">
        <v>66.97</v>
      </c>
      <c r="S423" s="91">
        <v>66.069999999999993</v>
      </c>
      <c r="T423" s="91">
        <v>65.31</v>
      </c>
      <c r="U423" s="91">
        <v>67.78</v>
      </c>
      <c r="V423" s="91">
        <v>67.760000000000005</v>
      </c>
      <c r="W423" s="91">
        <v>70.489999999999995</v>
      </c>
      <c r="X423" s="91">
        <v>70.47</v>
      </c>
      <c r="Y423" s="91">
        <v>70.03</v>
      </c>
      <c r="Z423" s="91">
        <v>69.81</v>
      </c>
      <c r="AA423" s="91">
        <v>69.52</v>
      </c>
    </row>
    <row r="424" spans="16:27">
      <c r="P424" s="94" t="s">
        <v>1165</v>
      </c>
      <c r="Q424" s="94" t="s">
        <v>1120</v>
      </c>
      <c r="R424" s="91">
        <v>75.319999999999993</v>
      </c>
      <c r="S424" s="91">
        <v>74.38</v>
      </c>
      <c r="T424" s="91">
        <v>73.58</v>
      </c>
      <c r="U424" s="91">
        <v>76.16</v>
      </c>
      <c r="V424" s="91">
        <v>76.150000000000006</v>
      </c>
      <c r="W424" s="91">
        <v>79.010000000000005</v>
      </c>
      <c r="X424" s="91">
        <v>79</v>
      </c>
      <c r="Y424" s="91">
        <v>78.540000000000006</v>
      </c>
      <c r="Z424" s="91">
        <v>78.3</v>
      </c>
      <c r="AA424" s="91">
        <v>78</v>
      </c>
    </row>
    <row r="425" spans="16:27">
      <c r="P425" s="94" t="s">
        <v>1183</v>
      </c>
      <c r="Q425" s="94" t="s">
        <v>1120</v>
      </c>
      <c r="R425" s="92"/>
      <c r="S425" s="92"/>
      <c r="T425" s="92"/>
      <c r="U425" s="92"/>
      <c r="V425" s="92"/>
      <c r="W425" s="92"/>
      <c r="X425" s="92"/>
      <c r="Y425" s="92"/>
      <c r="Z425" s="92"/>
      <c r="AA425" s="92"/>
    </row>
    <row r="426" spans="16:27">
      <c r="P426" s="94" t="s">
        <v>1126</v>
      </c>
      <c r="Q426" s="94" t="s">
        <v>1120</v>
      </c>
      <c r="R426" s="91">
        <v>76.849999999999994</v>
      </c>
      <c r="S426" s="91">
        <v>76.010000000000005</v>
      </c>
      <c r="T426" s="91">
        <v>75.28</v>
      </c>
      <c r="U426" s="91">
        <v>77.95</v>
      </c>
      <c r="V426" s="91">
        <v>77.92</v>
      </c>
      <c r="W426" s="91">
        <v>80.83</v>
      </c>
      <c r="X426" s="91">
        <v>80.8</v>
      </c>
      <c r="Y426" s="91">
        <v>80.349999999999994</v>
      </c>
      <c r="Z426" s="91">
        <v>80.069999999999993</v>
      </c>
      <c r="AA426" s="91">
        <v>79.78</v>
      </c>
    </row>
    <row r="427" spans="16:27">
      <c r="P427" s="94" t="s">
        <v>1166</v>
      </c>
      <c r="Q427" s="94" t="s">
        <v>1120</v>
      </c>
      <c r="R427" s="91">
        <v>85.69</v>
      </c>
      <c r="S427" s="91">
        <v>84.81</v>
      </c>
      <c r="T427" s="91">
        <v>84.04</v>
      </c>
      <c r="U427" s="91">
        <v>86.84</v>
      </c>
      <c r="V427" s="91">
        <v>86.82</v>
      </c>
      <c r="W427" s="91">
        <v>89.87</v>
      </c>
      <c r="X427" s="91">
        <v>89.84</v>
      </c>
      <c r="Y427" s="91">
        <v>89.37</v>
      </c>
      <c r="Z427" s="91">
        <v>89.08</v>
      </c>
      <c r="AA427" s="91">
        <v>88.77</v>
      </c>
    </row>
    <row r="428" spans="16:27">
      <c r="P428" s="94" t="s">
        <v>1167</v>
      </c>
      <c r="Q428" s="94" t="s">
        <v>1120</v>
      </c>
      <c r="R428" s="91">
        <v>94.97</v>
      </c>
      <c r="S428" s="91">
        <v>94.05</v>
      </c>
      <c r="T428" s="91">
        <v>93.24</v>
      </c>
      <c r="U428" s="91">
        <v>96.19</v>
      </c>
      <c r="V428" s="91">
        <v>96.16</v>
      </c>
      <c r="W428" s="91">
        <v>99.36</v>
      </c>
      <c r="X428" s="91">
        <v>99.33</v>
      </c>
      <c r="Y428" s="91">
        <v>98.83</v>
      </c>
      <c r="Z428" s="91">
        <v>98.53</v>
      </c>
      <c r="AA428" s="91">
        <v>98.21</v>
      </c>
    </row>
    <row r="429" spans="16:27">
      <c r="P429" s="94" t="s">
        <v>1168</v>
      </c>
      <c r="Q429" s="94" t="s">
        <v>1120</v>
      </c>
      <c r="R429" s="91">
        <v>104.72</v>
      </c>
      <c r="S429" s="91">
        <v>103.75</v>
      </c>
      <c r="T429" s="91">
        <v>102.9</v>
      </c>
      <c r="U429" s="91">
        <v>106</v>
      </c>
      <c r="V429" s="91">
        <v>105.97</v>
      </c>
      <c r="W429" s="91">
        <v>109.33</v>
      </c>
      <c r="X429" s="91">
        <v>109.3</v>
      </c>
      <c r="Y429" s="91">
        <v>108.78</v>
      </c>
      <c r="Z429" s="91">
        <v>108.46</v>
      </c>
      <c r="AA429" s="91">
        <v>108.12</v>
      </c>
    </row>
    <row r="430" spans="16:27">
      <c r="P430" s="94" t="s">
        <v>1169</v>
      </c>
      <c r="Q430" s="94" t="s">
        <v>1120</v>
      </c>
      <c r="R430" s="92"/>
      <c r="S430" s="92"/>
      <c r="T430" s="92"/>
      <c r="U430" s="92"/>
      <c r="V430" s="92"/>
      <c r="W430" s="92"/>
      <c r="X430" s="92"/>
      <c r="Y430" s="92"/>
      <c r="Z430" s="92"/>
      <c r="AA430" s="92"/>
    </row>
    <row r="431" spans="16:27">
      <c r="P431" s="94" t="s">
        <v>733</v>
      </c>
      <c r="Q431" s="94" t="s">
        <v>1120</v>
      </c>
      <c r="R431" s="91">
        <v>72.040000000000006</v>
      </c>
      <c r="S431" s="91">
        <v>71.489999999999995</v>
      </c>
      <c r="T431" s="91">
        <v>71.010000000000005</v>
      </c>
      <c r="U431" s="91">
        <v>73.88</v>
      </c>
      <c r="V431" s="91">
        <v>73.86</v>
      </c>
      <c r="W431" s="91">
        <v>76.94</v>
      </c>
      <c r="X431" s="91">
        <v>76.92</v>
      </c>
      <c r="Y431" s="91">
        <v>76.709999999999994</v>
      </c>
      <c r="Z431" s="91">
        <v>76.48</v>
      </c>
      <c r="AA431" s="91">
        <v>76.28</v>
      </c>
    </row>
    <row r="432" spans="16:27">
      <c r="P432" s="94" t="s">
        <v>1170</v>
      </c>
      <c r="Q432" s="94" t="s">
        <v>1120</v>
      </c>
      <c r="R432" s="92"/>
      <c r="S432" s="92"/>
      <c r="T432" s="92"/>
      <c r="U432" s="92"/>
      <c r="V432" s="92"/>
      <c r="W432" s="92"/>
      <c r="X432" s="92"/>
      <c r="Y432" s="92"/>
      <c r="Z432" s="92"/>
      <c r="AA432" s="92"/>
    </row>
    <row r="433" spans="16:27">
      <c r="P433" s="94" t="s">
        <v>1171</v>
      </c>
      <c r="Q433" s="94" t="s">
        <v>1120</v>
      </c>
      <c r="R433" s="92"/>
      <c r="S433" s="92"/>
      <c r="T433" s="92"/>
      <c r="U433" s="92"/>
      <c r="V433" s="92"/>
      <c r="W433" s="92"/>
      <c r="X433" s="92"/>
      <c r="Y433" s="92"/>
      <c r="Z433" s="92"/>
      <c r="AA433" s="92"/>
    </row>
    <row r="434" spans="16:27">
      <c r="P434" s="94" t="s">
        <v>1172</v>
      </c>
      <c r="Q434" s="94" t="s">
        <v>1120</v>
      </c>
      <c r="R434" s="92"/>
      <c r="S434" s="92"/>
      <c r="T434" s="92"/>
      <c r="U434" s="92"/>
      <c r="V434" s="92"/>
      <c r="W434" s="92"/>
      <c r="X434" s="92"/>
      <c r="Y434" s="92"/>
      <c r="Z434" s="92"/>
      <c r="AA434" s="92"/>
    </row>
    <row r="435" spans="16:27">
      <c r="P435" s="94" t="s">
        <v>1173</v>
      </c>
      <c r="Q435" s="94" t="s">
        <v>1120</v>
      </c>
      <c r="R435" s="92"/>
      <c r="S435" s="92"/>
      <c r="T435" s="92"/>
      <c r="U435" s="92"/>
      <c r="V435" s="92"/>
      <c r="W435" s="92"/>
      <c r="X435" s="92"/>
      <c r="Y435" s="92"/>
      <c r="Z435" s="92"/>
      <c r="AA435" s="92"/>
    </row>
    <row r="436" spans="16:27">
      <c r="P436" s="94" t="s">
        <v>734</v>
      </c>
      <c r="Q436" s="94" t="s">
        <v>1120</v>
      </c>
      <c r="R436" s="91">
        <v>77.41</v>
      </c>
      <c r="S436" s="91">
        <v>78.209999999999994</v>
      </c>
      <c r="T436" s="91">
        <v>79.25</v>
      </c>
      <c r="U436" s="91">
        <v>82.29</v>
      </c>
      <c r="V436" s="91">
        <v>82.33</v>
      </c>
      <c r="W436" s="91">
        <v>85.48</v>
      </c>
      <c r="X436" s="91">
        <v>85.51</v>
      </c>
      <c r="Y436" s="91">
        <v>85.92</v>
      </c>
      <c r="Z436" s="91">
        <v>85.93</v>
      </c>
      <c r="AA436" s="91">
        <v>86</v>
      </c>
    </row>
    <row r="437" spans="16:27">
      <c r="P437" s="94" t="s">
        <v>1174</v>
      </c>
      <c r="Q437" s="94" t="s">
        <v>1120</v>
      </c>
      <c r="R437" s="92"/>
      <c r="S437" s="92"/>
      <c r="T437" s="92"/>
      <c r="U437" s="92"/>
      <c r="V437" s="92"/>
      <c r="W437" s="92"/>
      <c r="X437" s="92"/>
      <c r="Y437" s="92"/>
      <c r="Z437" s="92"/>
      <c r="AA437" s="92"/>
    </row>
    <row r="438" spans="16:27">
      <c r="P438" s="94" t="s">
        <v>1175</v>
      </c>
      <c r="Q438" s="94" t="s">
        <v>1120</v>
      </c>
      <c r="R438" s="92"/>
      <c r="S438" s="92"/>
      <c r="T438" s="92"/>
      <c r="U438" s="92"/>
      <c r="V438" s="92"/>
      <c r="W438" s="92"/>
      <c r="X438" s="92"/>
      <c r="Y438" s="92"/>
      <c r="Z438" s="92"/>
      <c r="AA438" s="92"/>
    </row>
    <row r="439" spans="16:27">
      <c r="P439" s="94" t="s">
        <v>1176</v>
      </c>
      <c r="Q439" s="94" t="s">
        <v>1120</v>
      </c>
      <c r="R439" s="92"/>
      <c r="S439" s="92"/>
      <c r="T439" s="92"/>
      <c r="U439" s="92"/>
      <c r="V439" s="92"/>
      <c r="W439" s="92"/>
      <c r="X439" s="92"/>
      <c r="Y439" s="92"/>
      <c r="Z439" s="92"/>
      <c r="AA439" s="92"/>
    </row>
    <row r="440" spans="16:27">
      <c r="P440" s="94" t="s">
        <v>1177</v>
      </c>
      <c r="Q440" s="94" t="s">
        <v>1120</v>
      </c>
      <c r="R440" s="92"/>
      <c r="S440" s="92"/>
      <c r="T440" s="92"/>
      <c r="U440" s="92"/>
      <c r="V440" s="92"/>
      <c r="W440" s="92"/>
      <c r="X440" s="92"/>
      <c r="Y440" s="92"/>
      <c r="Z440" s="92"/>
      <c r="AA440" s="92"/>
    </row>
    <row r="441" spans="16:27">
      <c r="P441" s="94" t="s">
        <v>1178</v>
      </c>
      <c r="Q441" s="94" t="s">
        <v>1120</v>
      </c>
      <c r="R441" s="92"/>
      <c r="S441" s="92"/>
      <c r="T441" s="92"/>
      <c r="U441" s="92"/>
      <c r="V441" s="92"/>
      <c r="W441" s="92"/>
      <c r="X441" s="92"/>
      <c r="Y441" s="92"/>
      <c r="Z441" s="92"/>
      <c r="AA441" s="92"/>
    </row>
    <row r="442" spans="16:27">
      <c r="P442" s="94" t="s">
        <v>735</v>
      </c>
      <c r="Q442" s="94" t="s">
        <v>1120</v>
      </c>
      <c r="R442" s="92"/>
      <c r="S442" s="92"/>
      <c r="T442" s="92"/>
      <c r="U442" s="92"/>
      <c r="V442" s="92"/>
      <c r="W442" s="92"/>
      <c r="X442" s="92"/>
      <c r="Y442" s="92"/>
      <c r="Z442" s="92"/>
      <c r="AA442" s="92"/>
    </row>
    <row r="443" spans="16:27">
      <c r="P443" s="94" t="s">
        <v>1179</v>
      </c>
      <c r="Q443" s="94" t="s">
        <v>1120</v>
      </c>
      <c r="R443" s="92"/>
      <c r="S443" s="92"/>
      <c r="T443" s="92"/>
      <c r="U443" s="92"/>
      <c r="V443" s="92"/>
      <c r="W443" s="92"/>
      <c r="X443" s="92"/>
      <c r="Y443" s="92"/>
      <c r="Z443" s="92"/>
      <c r="AA443" s="92"/>
    </row>
    <row r="444" spans="16:27">
      <c r="P444" s="94" t="s">
        <v>1128</v>
      </c>
      <c r="Q444" s="94" t="s">
        <v>1120</v>
      </c>
      <c r="R444" s="92"/>
      <c r="S444" s="92"/>
      <c r="T444" s="92"/>
      <c r="U444" s="92"/>
      <c r="V444" s="92"/>
      <c r="W444" s="92"/>
      <c r="X444" s="92"/>
      <c r="Y444" s="92"/>
      <c r="Z444" s="92"/>
      <c r="AA444" s="92"/>
    </row>
    <row r="445" spans="16:27">
      <c r="P445" s="94" t="s">
        <v>1181</v>
      </c>
      <c r="Q445" s="94" t="s">
        <v>1120</v>
      </c>
      <c r="R445" s="92"/>
      <c r="S445" s="92"/>
      <c r="T445" s="92"/>
      <c r="U445" s="92"/>
      <c r="V445" s="92"/>
      <c r="W445" s="92"/>
      <c r="X445" s="92"/>
      <c r="Y445" s="92"/>
      <c r="Z445" s="92"/>
      <c r="AA445" s="92"/>
    </row>
    <row r="446" spans="16:27">
      <c r="P446" s="99" t="s">
        <v>1182</v>
      </c>
      <c r="Q446" s="99" t="s">
        <v>1120</v>
      </c>
      <c r="R446" s="92"/>
      <c r="S446" s="92"/>
      <c r="T446" s="92"/>
      <c r="U446" s="92"/>
      <c r="V446" s="92"/>
      <c r="W446" s="92"/>
      <c r="X446" s="92"/>
      <c r="Y446" s="92"/>
      <c r="Z446" s="92"/>
      <c r="AA446" s="9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489BB-8BAA-4D62-871C-30E838F129D3}">
  <sheetPr codeName="גיליון49"/>
  <dimension ref="A1:C693"/>
  <sheetViews>
    <sheetView rightToLeft="1" workbookViewId="0">
      <selection activeCell="A23" sqref="A23:A693"/>
    </sheetView>
  </sheetViews>
  <sheetFormatPr defaultRowHeight="14.4"/>
  <cols>
    <col min="1" max="1" width="4" bestFit="1" customWidth="1"/>
    <col min="2" max="2" width="8.88671875" style="1"/>
  </cols>
  <sheetData>
    <row r="1" spans="1:3">
      <c r="A1">
        <v>1</v>
      </c>
      <c r="B1" s="1" t="s">
        <v>5360</v>
      </c>
      <c r="C1">
        <v>1</v>
      </c>
    </row>
    <row r="2" spans="1:3">
      <c r="A2">
        <v>2</v>
      </c>
      <c r="B2" s="1" t="s">
        <v>5361</v>
      </c>
      <c r="C2">
        <v>2</v>
      </c>
    </row>
    <row r="3" spans="1:3">
      <c r="A3">
        <v>3</v>
      </c>
      <c r="B3" s="1" t="s">
        <v>5371</v>
      </c>
      <c r="C3">
        <v>3</v>
      </c>
    </row>
    <row r="4" spans="1:3">
      <c r="A4">
        <v>4</v>
      </c>
      <c r="B4" s="1" t="s">
        <v>5372</v>
      </c>
      <c r="C4">
        <v>4</v>
      </c>
    </row>
    <row r="5" spans="1:3">
      <c r="A5">
        <v>5</v>
      </c>
      <c r="B5" s="1" t="s">
        <v>5373</v>
      </c>
      <c r="C5">
        <v>5</v>
      </c>
    </row>
    <row r="6" spans="1:3">
      <c r="A6">
        <v>6</v>
      </c>
      <c r="B6" s="1" t="s">
        <v>5374</v>
      </c>
      <c r="C6">
        <v>6</v>
      </c>
    </row>
    <row r="7" spans="1:3">
      <c r="A7">
        <v>7</v>
      </c>
      <c r="B7" s="1" t="s">
        <v>5375</v>
      </c>
      <c r="C7">
        <v>7</v>
      </c>
    </row>
    <row r="8" spans="1:3">
      <c r="A8">
        <v>8</v>
      </c>
      <c r="B8" s="1" t="s">
        <v>5376</v>
      </c>
      <c r="C8">
        <v>8</v>
      </c>
    </row>
    <row r="9" spans="1:3">
      <c r="A9">
        <v>9</v>
      </c>
      <c r="B9" s="1" t="s">
        <v>5377</v>
      </c>
      <c r="C9">
        <v>9</v>
      </c>
    </row>
    <row r="10" spans="1:3">
      <c r="A10">
        <v>10</v>
      </c>
      <c r="B10" s="1" t="s">
        <v>5378</v>
      </c>
      <c r="C10">
        <v>10</v>
      </c>
    </row>
    <row r="11" spans="1:3">
      <c r="A11">
        <v>11</v>
      </c>
      <c r="B11" s="1" t="s">
        <v>5379</v>
      </c>
      <c r="C11">
        <v>11</v>
      </c>
    </row>
    <row r="12" spans="1:3">
      <c r="A12">
        <v>12</v>
      </c>
      <c r="B12" s="1" t="s">
        <v>5380</v>
      </c>
      <c r="C12">
        <v>12</v>
      </c>
    </row>
    <row r="13" spans="1:3">
      <c r="A13">
        <v>13</v>
      </c>
      <c r="B13" s="1" t="s">
        <v>5362</v>
      </c>
      <c r="C13">
        <v>13</v>
      </c>
    </row>
    <row r="14" spans="1:3">
      <c r="A14">
        <v>14</v>
      </c>
      <c r="B14" s="1" t="s">
        <v>5363</v>
      </c>
      <c r="C14">
        <v>14</v>
      </c>
    </row>
    <row r="15" spans="1:3">
      <c r="A15">
        <v>15</v>
      </c>
      <c r="B15" s="1" t="s">
        <v>5381</v>
      </c>
      <c r="C15">
        <v>15</v>
      </c>
    </row>
    <row r="16" spans="1:3">
      <c r="A16">
        <v>16</v>
      </c>
      <c r="B16" s="1" t="s">
        <v>5382</v>
      </c>
      <c r="C16">
        <v>16</v>
      </c>
    </row>
    <row r="17" spans="1:3">
      <c r="A17">
        <v>17</v>
      </c>
      <c r="B17" s="1" t="s">
        <v>5383</v>
      </c>
      <c r="C17">
        <v>17</v>
      </c>
    </row>
    <row r="18" spans="1:3">
      <c r="A18">
        <v>18</v>
      </c>
      <c r="B18" s="1" t="s">
        <v>5384</v>
      </c>
      <c r="C18">
        <v>18</v>
      </c>
    </row>
    <row r="19" spans="1:3">
      <c r="A19">
        <v>19</v>
      </c>
      <c r="B19" s="1" t="s">
        <v>5385</v>
      </c>
      <c r="C19">
        <v>19</v>
      </c>
    </row>
    <row r="20" spans="1:3">
      <c r="A20">
        <v>20</v>
      </c>
      <c r="B20" s="1" t="s">
        <v>5386</v>
      </c>
      <c r="C20">
        <v>20</v>
      </c>
    </row>
    <row r="21" spans="1:3">
      <c r="A21">
        <v>21</v>
      </c>
      <c r="B21" s="1" t="s">
        <v>5387</v>
      </c>
      <c r="C21">
        <v>21</v>
      </c>
    </row>
    <row r="22" spans="1:3">
      <c r="A22">
        <v>22</v>
      </c>
      <c r="B22" s="1" t="s">
        <v>5388</v>
      </c>
      <c r="C22">
        <v>22</v>
      </c>
    </row>
    <row r="23" spans="1:3">
      <c r="A23">
        <v>23</v>
      </c>
      <c r="B23" s="1" t="s">
        <v>5389</v>
      </c>
      <c r="C23">
        <v>23</v>
      </c>
    </row>
    <row r="24" spans="1:3">
      <c r="A24">
        <v>24</v>
      </c>
      <c r="B24" s="1" t="s">
        <v>5390</v>
      </c>
      <c r="C24">
        <v>24</v>
      </c>
    </row>
    <row r="25" spans="1:3">
      <c r="A25">
        <v>25</v>
      </c>
      <c r="B25" s="1" t="s">
        <v>5364</v>
      </c>
      <c r="C25">
        <v>25</v>
      </c>
    </row>
    <row r="26" spans="1:3">
      <c r="A26">
        <v>26</v>
      </c>
      <c r="B26" s="1" t="s">
        <v>5365</v>
      </c>
      <c r="C26">
        <v>26</v>
      </c>
    </row>
    <row r="27" spans="1:3">
      <c r="A27">
        <v>27</v>
      </c>
      <c r="B27" s="1" t="s">
        <v>5391</v>
      </c>
      <c r="C27">
        <v>27</v>
      </c>
    </row>
    <row r="28" spans="1:3">
      <c r="A28">
        <v>28</v>
      </c>
      <c r="B28" s="1" t="s">
        <v>5392</v>
      </c>
      <c r="C28">
        <v>28</v>
      </c>
    </row>
    <row r="29" spans="1:3">
      <c r="A29">
        <v>29</v>
      </c>
      <c r="B29" s="1" t="s">
        <v>5393</v>
      </c>
      <c r="C29">
        <v>29</v>
      </c>
    </row>
    <row r="30" spans="1:3">
      <c r="A30">
        <v>30</v>
      </c>
      <c r="B30" s="1" t="s">
        <v>5394</v>
      </c>
      <c r="C30">
        <v>30</v>
      </c>
    </row>
    <row r="31" spans="1:3">
      <c r="A31">
        <v>31</v>
      </c>
      <c r="B31" s="1" t="s">
        <v>5395</v>
      </c>
      <c r="C31">
        <v>31</v>
      </c>
    </row>
    <row r="32" spans="1:3">
      <c r="A32">
        <v>32</v>
      </c>
      <c r="B32" s="1" t="s">
        <v>5396</v>
      </c>
      <c r="C32">
        <v>32</v>
      </c>
    </row>
    <row r="33" spans="1:3">
      <c r="A33">
        <v>33</v>
      </c>
      <c r="B33" s="1" t="s">
        <v>5397</v>
      </c>
      <c r="C33">
        <v>33</v>
      </c>
    </row>
    <row r="34" spans="1:3">
      <c r="A34">
        <v>34</v>
      </c>
      <c r="B34" s="1" t="s">
        <v>5398</v>
      </c>
      <c r="C34">
        <v>34</v>
      </c>
    </row>
    <row r="35" spans="1:3">
      <c r="A35">
        <v>35</v>
      </c>
      <c r="B35" s="1" t="s">
        <v>5399</v>
      </c>
      <c r="C35">
        <v>35</v>
      </c>
    </row>
    <row r="36" spans="1:3">
      <c r="A36">
        <v>36</v>
      </c>
      <c r="B36" s="1" t="s">
        <v>5400</v>
      </c>
      <c r="C36">
        <v>36</v>
      </c>
    </row>
    <row r="37" spans="1:3">
      <c r="A37">
        <v>37</v>
      </c>
      <c r="B37" s="1" t="s">
        <v>5366</v>
      </c>
      <c r="C37">
        <v>37</v>
      </c>
    </row>
    <row r="38" spans="1:3">
      <c r="A38">
        <v>38</v>
      </c>
      <c r="B38" s="1" t="s">
        <v>5367</v>
      </c>
      <c r="C38">
        <v>38</v>
      </c>
    </row>
    <row r="39" spans="1:3">
      <c r="A39">
        <v>39</v>
      </c>
      <c r="B39" s="1" t="s">
        <v>5401</v>
      </c>
      <c r="C39">
        <v>39</v>
      </c>
    </row>
    <row r="40" spans="1:3">
      <c r="A40">
        <v>40</v>
      </c>
      <c r="B40" s="1" t="s">
        <v>5402</v>
      </c>
      <c r="C40">
        <v>40</v>
      </c>
    </row>
    <row r="41" spans="1:3">
      <c r="A41">
        <v>41</v>
      </c>
      <c r="B41" s="1" t="s">
        <v>5403</v>
      </c>
      <c r="C41">
        <v>41</v>
      </c>
    </row>
    <row r="42" spans="1:3">
      <c r="A42">
        <v>42</v>
      </c>
      <c r="B42" s="1" t="s">
        <v>5404</v>
      </c>
      <c r="C42">
        <v>42</v>
      </c>
    </row>
    <row r="43" spans="1:3">
      <c r="A43">
        <v>43</v>
      </c>
      <c r="B43" s="1" t="s">
        <v>5405</v>
      </c>
      <c r="C43">
        <v>43</v>
      </c>
    </row>
    <row r="44" spans="1:3">
      <c r="A44">
        <v>44</v>
      </c>
      <c r="B44" s="1" t="s">
        <v>5406</v>
      </c>
      <c r="C44">
        <v>44</v>
      </c>
    </row>
    <row r="45" spans="1:3">
      <c r="A45">
        <v>45</v>
      </c>
      <c r="B45" s="1" t="s">
        <v>5407</v>
      </c>
      <c r="C45">
        <v>45</v>
      </c>
    </row>
    <row r="46" spans="1:3">
      <c r="A46">
        <v>46</v>
      </c>
      <c r="B46" s="1" t="s">
        <v>5408</v>
      </c>
      <c r="C46">
        <v>46</v>
      </c>
    </row>
    <row r="47" spans="1:3">
      <c r="A47">
        <v>47</v>
      </c>
      <c r="B47" s="1" t="s">
        <v>5409</v>
      </c>
      <c r="C47">
        <v>47</v>
      </c>
    </row>
    <row r="48" spans="1:3">
      <c r="A48">
        <v>48</v>
      </c>
      <c r="B48" s="1" t="s">
        <v>5410</v>
      </c>
      <c r="C48">
        <v>48</v>
      </c>
    </row>
    <row r="49" spans="1:3">
      <c r="A49">
        <v>49</v>
      </c>
      <c r="B49" s="1" t="s">
        <v>5368</v>
      </c>
      <c r="C49">
        <v>49</v>
      </c>
    </row>
    <row r="50" spans="1:3">
      <c r="A50">
        <v>50</v>
      </c>
      <c r="B50" s="1" t="s">
        <v>5369</v>
      </c>
      <c r="C50">
        <v>50</v>
      </c>
    </row>
    <row r="51" spans="1:3">
      <c r="A51">
        <v>51</v>
      </c>
      <c r="B51" s="1" t="s">
        <v>5411</v>
      </c>
      <c r="C51">
        <v>51</v>
      </c>
    </row>
    <row r="52" spans="1:3">
      <c r="A52">
        <v>52</v>
      </c>
      <c r="B52" s="1" t="s">
        <v>5412</v>
      </c>
      <c r="C52">
        <v>52</v>
      </c>
    </row>
    <row r="53" spans="1:3">
      <c r="A53">
        <v>53</v>
      </c>
      <c r="B53" s="1" t="s">
        <v>5413</v>
      </c>
      <c r="C53">
        <v>53</v>
      </c>
    </row>
    <row r="54" spans="1:3">
      <c r="A54">
        <v>54</v>
      </c>
      <c r="B54" s="1" t="s">
        <v>5414</v>
      </c>
      <c r="C54">
        <v>54</v>
      </c>
    </row>
    <row r="55" spans="1:3">
      <c r="A55">
        <v>55</v>
      </c>
      <c r="B55" s="1" t="s">
        <v>5415</v>
      </c>
      <c r="C55">
        <v>55</v>
      </c>
    </row>
    <row r="56" spans="1:3">
      <c r="A56">
        <v>56</v>
      </c>
      <c r="B56" s="1" t="s">
        <v>5416</v>
      </c>
      <c r="C56">
        <v>56</v>
      </c>
    </row>
    <row r="57" spans="1:3">
      <c r="A57">
        <v>57</v>
      </c>
      <c r="B57" s="1" t="s">
        <v>5417</v>
      </c>
      <c r="C57">
        <v>57</v>
      </c>
    </row>
    <row r="58" spans="1:3">
      <c r="A58">
        <v>58</v>
      </c>
      <c r="B58" s="1" t="s">
        <v>5418</v>
      </c>
      <c r="C58">
        <v>58</v>
      </c>
    </row>
    <row r="59" spans="1:3">
      <c r="A59">
        <v>59</v>
      </c>
      <c r="B59" s="1" t="s">
        <v>5419</v>
      </c>
      <c r="C59">
        <v>59</v>
      </c>
    </row>
    <row r="60" spans="1:3">
      <c r="A60">
        <v>60</v>
      </c>
      <c r="B60" s="1" t="s">
        <v>5420</v>
      </c>
      <c r="C60">
        <v>60</v>
      </c>
    </row>
    <row r="61" spans="1:3">
      <c r="A61">
        <v>61</v>
      </c>
      <c r="B61" s="1" t="s">
        <v>5370</v>
      </c>
      <c r="C61">
        <v>61</v>
      </c>
    </row>
    <row r="62" spans="1:3">
      <c r="A62">
        <v>62</v>
      </c>
      <c r="B62" s="1" t="s">
        <v>5368</v>
      </c>
      <c r="C62">
        <v>62</v>
      </c>
    </row>
    <row r="63" spans="1:3">
      <c r="A63">
        <v>63</v>
      </c>
      <c r="B63" s="1" t="s">
        <v>5369</v>
      </c>
      <c r="C63">
        <v>63</v>
      </c>
    </row>
    <row r="64" spans="1:3">
      <c r="A64">
        <v>64</v>
      </c>
      <c r="B64" s="1" t="s">
        <v>5411</v>
      </c>
      <c r="C64">
        <v>64</v>
      </c>
    </row>
    <row r="65" spans="1:3">
      <c r="A65">
        <v>65</v>
      </c>
      <c r="B65" s="1" t="s">
        <v>5412</v>
      </c>
      <c r="C65">
        <v>65</v>
      </c>
    </row>
    <row r="66" spans="1:3">
      <c r="A66">
        <v>66</v>
      </c>
      <c r="B66" s="1" t="s">
        <v>5413</v>
      </c>
      <c r="C66">
        <v>66</v>
      </c>
    </row>
    <row r="67" spans="1:3">
      <c r="A67">
        <v>67</v>
      </c>
      <c r="B67" s="1" t="s">
        <v>5414</v>
      </c>
      <c r="C67">
        <v>67</v>
      </c>
    </row>
    <row r="68" spans="1:3">
      <c r="A68">
        <v>68</v>
      </c>
      <c r="B68" s="1" t="s">
        <v>5415</v>
      </c>
      <c r="C68">
        <v>68</v>
      </c>
    </row>
    <row r="69" spans="1:3">
      <c r="A69">
        <v>69</v>
      </c>
      <c r="B69" s="1" t="s">
        <v>5416</v>
      </c>
      <c r="C69">
        <v>69</v>
      </c>
    </row>
    <row r="70" spans="1:3">
      <c r="A70">
        <v>70</v>
      </c>
      <c r="B70" s="1" t="s">
        <v>5417</v>
      </c>
      <c r="C70">
        <v>70</v>
      </c>
    </row>
    <row r="71" spans="1:3">
      <c r="A71">
        <v>71</v>
      </c>
      <c r="B71" s="1" t="s">
        <v>5418</v>
      </c>
      <c r="C71">
        <v>71</v>
      </c>
    </row>
    <row r="72" spans="1:3">
      <c r="A72">
        <v>72</v>
      </c>
      <c r="B72" s="1" t="s">
        <v>5419</v>
      </c>
      <c r="C72">
        <v>72</v>
      </c>
    </row>
    <row r="73" spans="1:3">
      <c r="A73">
        <v>73</v>
      </c>
      <c r="B73" s="1" t="s">
        <v>5420</v>
      </c>
      <c r="C73">
        <v>73</v>
      </c>
    </row>
    <row r="74" spans="1:3">
      <c r="A74">
        <v>74</v>
      </c>
      <c r="B74" s="1" t="s">
        <v>5370</v>
      </c>
      <c r="C74">
        <v>74</v>
      </c>
    </row>
    <row r="75" spans="1:3">
      <c r="A75">
        <v>75</v>
      </c>
      <c r="B75" s="1" t="s">
        <v>5421</v>
      </c>
      <c r="C75">
        <v>75</v>
      </c>
    </row>
    <row r="76" spans="1:3">
      <c r="A76">
        <v>76</v>
      </c>
      <c r="B76" s="1" t="s">
        <v>5422</v>
      </c>
      <c r="C76">
        <v>76</v>
      </c>
    </row>
    <row r="77" spans="1:3">
      <c r="A77">
        <v>77</v>
      </c>
      <c r="B77" s="1" t="s">
        <v>5423</v>
      </c>
      <c r="C77">
        <v>77</v>
      </c>
    </row>
    <row r="78" spans="1:3">
      <c r="A78">
        <v>78</v>
      </c>
      <c r="B78" s="1" t="s">
        <v>5424</v>
      </c>
      <c r="C78">
        <v>78</v>
      </c>
    </row>
    <row r="79" spans="1:3">
      <c r="A79">
        <v>79</v>
      </c>
      <c r="B79" s="1" t="s">
        <v>5425</v>
      </c>
      <c r="C79">
        <v>79</v>
      </c>
    </row>
    <row r="80" spans="1:3">
      <c r="A80">
        <v>80</v>
      </c>
      <c r="B80" s="1" t="s">
        <v>5426</v>
      </c>
      <c r="C80">
        <v>80</v>
      </c>
    </row>
    <row r="81" spans="1:3">
      <c r="A81">
        <v>81</v>
      </c>
      <c r="B81" s="1" t="s">
        <v>5427</v>
      </c>
      <c r="C81">
        <v>81</v>
      </c>
    </row>
    <row r="82" spans="1:3">
      <c r="A82">
        <v>82</v>
      </c>
      <c r="B82" s="1" t="s">
        <v>5428</v>
      </c>
      <c r="C82">
        <v>82</v>
      </c>
    </row>
    <row r="83" spans="1:3">
      <c r="A83">
        <v>83</v>
      </c>
      <c r="B83" s="1" t="s">
        <v>5429</v>
      </c>
      <c r="C83">
        <v>83</v>
      </c>
    </row>
    <row r="84" spans="1:3">
      <c r="A84">
        <v>84</v>
      </c>
      <c r="B84" s="1" t="s">
        <v>5430</v>
      </c>
      <c r="C84">
        <v>84</v>
      </c>
    </row>
    <row r="85" spans="1:3">
      <c r="A85">
        <v>85</v>
      </c>
      <c r="B85" s="1" t="s">
        <v>5431</v>
      </c>
      <c r="C85">
        <v>85</v>
      </c>
    </row>
    <row r="86" spans="1:3">
      <c r="A86">
        <v>86</v>
      </c>
      <c r="B86" s="1" t="s">
        <v>5368</v>
      </c>
      <c r="C86">
        <v>86</v>
      </c>
    </row>
    <row r="87" spans="1:3">
      <c r="A87">
        <v>87</v>
      </c>
      <c r="B87" s="1" t="s">
        <v>5369</v>
      </c>
      <c r="C87">
        <v>87</v>
      </c>
    </row>
    <row r="88" spans="1:3">
      <c r="A88">
        <v>88</v>
      </c>
      <c r="B88" s="1" t="s">
        <v>5411</v>
      </c>
      <c r="C88">
        <v>88</v>
      </c>
    </row>
    <row r="89" spans="1:3">
      <c r="A89">
        <v>89</v>
      </c>
      <c r="B89" s="1" t="s">
        <v>5412</v>
      </c>
      <c r="C89">
        <v>89</v>
      </c>
    </row>
    <row r="90" spans="1:3">
      <c r="A90">
        <v>90</v>
      </c>
      <c r="B90" s="1" t="s">
        <v>5413</v>
      </c>
      <c r="C90">
        <v>90</v>
      </c>
    </row>
    <row r="91" spans="1:3">
      <c r="A91">
        <v>91</v>
      </c>
      <c r="B91" s="1" t="s">
        <v>5414</v>
      </c>
      <c r="C91">
        <v>91</v>
      </c>
    </row>
    <row r="92" spans="1:3">
      <c r="A92">
        <v>92</v>
      </c>
      <c r="B92" s="1" t="s">
        <v>5415</v>
      </c>
      <c r="C92">
        <v>92</v>
      </c>
    </row>
    <row r="93" spans="1:3">
      <c r="A93">
        <v>93</v>
      </c>
      <c r="B93" s="1" t="s">
        <v>5416</v>
      </c>
      <c r="C93">
        <v>93</v>
      </c>
    </row>
    <row r="94" spans="1:3">
      <c r="A94">
        <v>94</v>
      </c>
      <c r="B94" s="1" t="s">
        <v>5417</v>
      </c>
      <c r="C94">
        <v>94</v>
      </c>
    </row>
    <row r="95" spans="1:3">
      <c r="A95">
        <v>95</v>
      </c>
      <c r="B95" s="1" t="s">
        <v>5418</v>
      </c>
      <c r="C95">
        <v>95</v>
      </c>
    </row>
    <row r="96" spans="1:3">
      <c r="A96">
        <v>96</v>
      </c>
      <c r="B96" s="1" t="s">
        <v>5419</v>
      </c>
      <c r="C96">
        <v>96</v>
      </c>
    </row>
    <row r="97" spans="1:3">
      <c r="A97">
        <v>97</v>
      </c>
      <c r="B97" s="1" t="s">
        <v>5420</v>
      </c>
      <c r="C97">
        <v>97</v>
      </c>
    </row>
    <row r="98" spans="1:3">
      <c r="A98">
        <v>98</v>
      </c>
      <c r="B98" s="1" t="s">
        <v>5370</v>
      </c>
      <c r="C98">
        <v>98</v>
      </c>
    </row>
    <row r="99" spans="1:3">
      <c r="A99">
        <v>99</v>
      </c>
      <c r="B99" s="1" t="s">
        <v>5421</v>
      </c>
      <c r="C99">
        <v>99</v>
      </c>
    </row>
    <row r="100" spans="1:3">
      <c r="A100">
        <v>100</v>
      </c>
      <c r="B100" s="1" t="s">
        <v>5422</v>
      </c>
      <c r="C100">
        <v>100</v>
      </c>
    </row>
    <row r="101" spans="1:3">
      <c r="A101">
        <v>101</v>
      </c>
      <c r="B101" s="1" t="s">
        <v>5423</v>
      </c>
      <c r="C101">
        <v>101</v>
      </c>
    </row>
    <row r="102" spans="1:3">
      <c r="A102">
        <v>102</v>
      </c>
      <c r="B102" s="1" t="s">
        <v>5424</v>
      </c>
      <c r="C102">
        <v>102</v>
      </c>
    </row>
    <row r="103" spans="1:3">
      <c r="A103">
        <v>103</v>
      </c>
      <c r="B103" s="1" t="s">
        <v>5425</v>
      </c>
      <c r="C103">
        <v>103</v>
      </c>
    </row>
    <row r="104" spans="1:3">
      <c r="A104">
        <v>104</v>
      </c>
      <c r="B104" s="1" t="s">
        <v>5426</v>
      </c>
      <c r="C104">
        <v>104</v>
      </c>
    </row>
    <row r="105" spans="1:3">
      <c r="A105">
        <v>105</v>
      </c>
      <c r="B105" s="1" t="s">
        <v>5427</v>
      </c>
      <c r="C105">
        <v>105</v>
      </c>
    </row>
    <row r="106" spans="1:3">
      <c r="A106">
        <v>106</v>
      </c>
      <c r="B106" s="1" t="s">
        <v>5428</v>
      </c>
      <c r="C106">
        <v>106</v>
      </c>
    </row>
    <row r="107" spans="1:3">
      <c r="A107">
        <v>107</v>
      </c>
      <c r="B107" s="1" t="s">
        <v>5429</v>
      </c>
      <c r="C107">
        <v>107</v>
      </c>
    </row>
    <row r="108" spans="1:3">
      <c r="A108">
        <v>108</v>
      </c>
      <c r="B108" s="1" t="s">
        <v>5430</v>
      </c>
      <c r="C108">
        <v>108</v>
      </c>
    </row>
    <row r="109" spans="1:3">
      <c r="A109">
        <v>109</v>
      </c>
      <c r="B109" s="1" t="s">
        <v>5431</v>
      </c>
      <c r="C109">
        <v>109</v>
      </c>
    </row>
    <row r="110" spans="1:3">
      <c r="A110">
        <v>110</v>
      </c>
      <c r="B110" s="1" t="s">
        <v>5366</v>
      </c>
      <c r="C110">
        <v>110</v>
      </c>
    </row>
    <row r="111" spans="1:3">
      <c r="A111">
        <v>111</v>
      </c>
      <c r="B111" s="1" t="s">
        <v>5364</v>
      </c>
      <c r="C111">
        <v>111</v>
      </c>
    </row>
    <row r="112" spans="1:3">
      <c r="A112">
        <v>112</v>
      </c>
      <c r="B112" s="1" t="s">
        <v>5421</v>
      </c>
      <c r="C112">
        <v>112</v>
      </c>
    </row>
    <row r="113" spans="1:3">
      <c r="A113">
        <v>113</v>
      </c>
      <c r="B113" s="1" t="s">
        <v>5422</v>
      </c>
      <c r="C113">
        <v>113</v>
      </c>
    </row>
    <row r="114" spans="1:3">
      <c r="A114">
        <v>114</v>
      </c>
      <c r="B114" s="1" t="s">
        <v>5423</v>
      </c>
      <c r="C114">
        <v>114</v>
      </c>
    </row>
    <row r="115" spans="1:3">
      <c r="A115">
        <v>115</v>
      </c>
      <c r="B115" s="1" t="s">
        <v>5424</v>
      </c>
      <c r="C115">
        <v>115</v>
      </c>
    </row>
    <row r="116" spans="1:3">
      <c r="A116">
        <v>116</v>
      </c>
      <c r="B116" s="1" t="s">
        <v>5425</v>
      </c>
      <c r="C116">
        <v>116</v>
      </c>
    </row>
    <row r="117" spans="1:3">
      <c r="A117">
        <v>117</v>
      </c>
      <c r="B117" s="1" t="s">
        <v>5426</v>
      </c>
      <c r="C117">
        <v>117</v>
      </c>
    </row>
    <row r="118" spans="1:3">
      <c r="A118">
        <v>118</v>
      </c>
      <c r="B118" s="1" t="s">
        <v>5427</v>
      </c>
      <c r="C118">
        <v>118</v>
      </c>
    </row>
    <row r="119" spans="1:3">
      <c r="A119">
        <v>119</v>
      </c>
      <c r="B119" s="1" t="s">
        <v>5428</v>
      </c>
      <c r="C119">
        <v>119</v>
      </c>
    </row>
    <row r="120" spans="1:3">
      <c r="A120">
        <v>120</v>
      </c>
      <c r="B120" s="1" t="s">
        <v>5429</v>
      </c>
      <c r="C120">
        <v>120</v>
      </c>
    </row>
    <row r="121" spans="1:3">
      <c r="A121">
        <v>121</v>
      </c>
      <c r="B121" s="1" t="s">
        <v>5430</v>
      </c>
      <c r="C121">
        <v>121</v>
      </c>
    </row>
    <row r="122" spans="1:3">
      <c r="A122">
        <v>122</v>
      </c>
      <c r="B122" s="1" t="s">
        <v>5431</v>
      </c>
      <c r="C122">
        <v>122</v>
      </c>
    </row>
    <row r="123" spans="1:3">
      <c r="A123">
        <v>123</v>
      </c>
      <c r="B123" s="1" t="s">
        <v>5432</v>
      </c>
      <c r="C123">
        <v>123</v>
      </c>
    </row>
    <row r="124" spans="1:3">
      <c r="A124">
        <v>124</v>
      </c>
      <c r="B124" s="1" t="s">
        <v>5433</v>
      </c>
      <c r="C124">
        <v>124</v>
      </c>
    </row>
    <row r="125" spans="1:3">
      <c r="A125">
        <v>125</v>
      </c>
      <c r="B125" s="1" t="s">
        <v>5434</v>
      </c>
      <c r="C125">
        <v>125</v>
      </c>
    </row>
    <row r="126" spans="1:3">
      <c r="A126">
        <v>126</v>
      </c>
      <c r="B126" s="1" t="s">
        <v>5435</v>
      </c>
      <c r="C126">
        <v>126</v>
      </c>
    </row>
    <row r="127" spans="1:3">
      <c r="A127">
        <v>127</v>
      </c>
      <c r="B127" s="1" t="s">
        <v>5436</v>
      </c>
      <c r="C127">
        <v>127</v>
      </c>
    </row>
    <row r="128" spans="1:3">
      <c r="A128">
        <v>128</v>
      </c>
      <c r="B128" s="1" t="s">
        <v>5437</v>
      </c>
      <c r="C128">
        <v>128</v>
      </c>
    </row>
    <row r="129" spans="1:3">
      <c r="A129">
        <v>129</v>
      </c>
      <c r="B129" s="1" t="s">
        <v>5438</v>
      </c>
      <c r="C129">
        <v>129</v>
      </c>
    </row>
    <row r="130" spans="1:3">
      <c r="A130">
        <v>130</v>
      </c>
      <c r="B130" s="1" t="s">
        <v>5439</v>
      </c>
      <c r="C130">
        <v>130</v>
      </c>
    </row>
    <row r="131" spans="1:3">
      <c r="A131">
        <v>131</v>
      </c>
      <c r="B131" s="1" t="s">
        <v>5440</v>
      </c>
      <c r="C131">
        <v>131</v>
      </c>
    </row>
    <row r="132" spans="1:3">
      <c r="A132">
        <v>132</v>
      </c>
      <c r="B132" s="1" t="s">
        <v>5441</v>
      </c>
      <c r="C132">
        <v>132</v>
      </c>
    </row>
    <row r="133" spans="1:3">
      <c r="A133">
        <v>133</v>
      </c>
      <c r="B133" s="1" t="s">
        <v>5442</v>
      </c>
      <c r="C133">
        <v>133</v>
      </c>
    </row>
    <row r="134" spans="1:3">
      <c r="A134">
        <v>134</v>
      </c>
      <c r="B134" s="1" t="s">
        <v>5443</v>
      </c>
      <c r="C134">
        <v>134</v>
      </c>
    </row>
    <row r="135" spans="1:3">
      <c r="A135">
        <v>135</v>
      </c>
      <c r="B135" s="1" t="s">
        <v>5370</v>
      </c>
      <c r="C135">
        <v>135</v>
      </c>
    </row>
    <row r="136" spans="1:3">
      <c r="A136">
        <v>136</v>
      </c>
      <c r="B136" s="1" t="s">
        <v>5421</v>
      </c>
      <c r="C136">
        <v>136</v>
      </c>
    </row>
    <row r="137" spans="1:3">
      <c r="A137">
        <v>137</v>
      </c>
      <c r="B137" s="1" t="s">
        <v>5422</v>
      </c>
      <c r="C137">
        <v>137</v>
      </c>
    </row>
    <row r="138" spans="1:3">
      <c r="A138">
        <v>138</v>
      </c>
      <c r="B138" s="1" t="s">
        <v>5423</v>
      </c>
      <c r="C138">
        <v>138</v>
      </c>
    </row>
    <row r="139" spans="1:3">
      <c r="A139">
        <v>139</v>
      </c>
      <c r="B139" s="1" t="s">
        <v>5424</v>
      </c>
      <c r="C139">
        <v>139</v>
      </c>
    </row>
    <row r="140" spans="1:3">
      <c r="A140">
        <v>140</v>
      </c>
      <c r="B140" s="1" t="s">
        <v>5425</v>
      </c>
      <c r="C140">
        <v>140</v>
      </c>
    </row>
    <row r="141" spans="1:3">
      <c r="A141">
        <v>141</v>
      </c>
      <c r="B141" s="1" t="s">
        <v>5426</v>
      </c>
      <c r="C141">
        <v>141</v>
      </c>
    </row>
    <row r="142" spans="1:3">
      <c r="A142">
        <v>142</v>
      </c>
      <c r="B142" s="1" t="s">
        <v>5427</v>
      </c>
      <c r="C142">
        <v>142</v>
      </c>
    </row>
    <row r="143" spans="1:3">
      <c r="A143">
        <v>143</v>
      </c>
      <c r="B143" s="1" t="s">
        <v>5428</v>
      </c>
      <c r="C143">
        <v>143</v>
      </c>
    </row>
    <row r="144" spans="1:3">
      <c r="A144">
        <v>144</v>
      </c>
      <c r="B144" s="1" t="s">
        <v>5429</v>
      </c>
      <c r="C144">
        <v>144</v>
      </c>
    </row>
    <row r="145" spans="1:3">
      <c r="A145">
        <v>145</v>
      </c>
      <c r="B145" s="1" t="s">
        <v>5430</v>
      </c>
      <c r="C145">
        <v>145</v>
      </c>
    </row>
    <row r="146" spans="1:3">
      <c r="A146">
        <v>146</v>
      </c>
      <c r="B146" s="1" t="s">
        <v>5431</v>
      </c>
      <c r="C146">
        <v>146</v>
      </c>
    </row>
    <row r="147" spans="1:3">
      <c r="A147">
        <v>147</v>
      </c>
      <c r="B147" s="1" t="s">
        <v>5432</v>
      </c>
      <c r="C147">
        <v>147</v>
      </c>
    </row>
    <row r="148" spans="1:3">
      <c r="A148">
        <v>148</v>
      </c>
      <c r="B148" s="1" t="s">
        <v>5433</v>
      </c>
      <c r="C148">
        <v>148</v>
      </c>
    </row>
    <row r="149" spans="1:3">
      <c r="A149">
        <v>149</v>
      </c>
      <c r="B149" s="1" t="s">
        <v>5434</v>
      </c>
      <c r="C149">
        <v>149</v>
      </c>
    </row>
    <row r="150" spans="1:3">
      <c r="A150">
        <v>150</v>
      </c>
      <c r="B150" s="1" t="s">
        <v>5435</v>
      </c>
      <c r="C150">
        <v>150</v>
      </c>
    </row>
    <row r="151" spans="1:3">
      <c r="A151">
        <v>151</v>
      </c>
      <c r="B151" s="1" t="s">
        <v>5436</v>
      </c>
      <c r="C151">
        <v>151</v>
      </c>
    </row>
    <row r="152" spans="1:3">
      <c r="A152">
        <v>152</v>
      </c>
      <c r="B152" s="1" t="s">
        <v>5437</v>
      </c>
      <c r="C152">
        <v>152</v>
      </c>
    </row>
    <row r="153" spans="1:3">
      <c r="A153">
        <v>153</v>
      </c>
      <c r="B153" s="1" t="s">
        <v>5438</v>
      </c>
      <c r="C153">
        <v>153</v>
      </c>
    </row>
    <row r="154" spans="1:3">
      <c r="A154">
        <v>154</v>
      </c>
      <c r="B154" s="1" t="s">
        <v>5439</v>
      </c>
      <c r="C154">
        <v>154</v>
      </c>
    </row>
    <row r="155" spans="1:3">
      <c r="A155">
        <v>155</v>
      </c>
      <c r="B155" s="1" t="s">
        <v>5440</v>
      </c>
      <c r="C155">
        <v>155</v>
      </c>
    </row>
    <row r="156" spans="1:3">
      <c r="A156">
        <v>156</v>
      </c>
      <c r="B156" s="1" t="s">
        <v>5441</v>
      </c>
      <c r="C156">
        <v>156</v>
      </c>
    </row>
    <row r="157" spans="1:3">
      <c r="A157">
        <v>157</v>
      </c>
      <c r="B157" s="1" t="s">
        <v>5442</v>
      </c>
      <c r="C157">
        <v>157</v>
      </c>
    </row>
    <row r="158" spans="1:3">
      <c r="A158">
        <v>158</v>
      </c>
      <c r="B158" s="1" t="s">
        <v>5443</v>
      </c>
      <c r="C158">
        <v>158</v>
      </c>
    </row>
    <row r="159" spans="1:3">
      <c r="A159">
        <v>159</v>
      </c>
      <c r="B159" s="1" t="s">
        <v>5362</v>
      </c>
      <c r="C159">
        <v>159</v>
      </c>
    </row>
    <row r="160" spans="1:3">
      <c r="A160">
        <v>160</v>
      </c>
      <c r="B160" s="1" t="s">
        <v>5360</v>
      </c>
      <c r="C160">
        <v>160</v>
      </c>
    </row>
    <row r="161" spans="1:3">
      <c r="A161">
        <v>161</v>
      </c>
      <c r="B161" s="1" t="s">
        <v>5433</v>
      </c>
      <c r="C161">
        <v>161</v>
      </c>
    </row>
    <row r="162" spans="1:3">
      <c r="A162">
        <v>162</v>
      </c>
      <c r="B162" s="1" t="s">
        <v>5434</v>
      </c>
      <c r="C162">
        <v>162</v>
      </c>
    </row>
    <row r="163" spans="1:3">
      <c r="A163">
        <v>163</v>
      </c>
      <c r="B163" s="1" t="s">
        <v>5435</v>
      </c>
      <c r="C163">
        <v>163</v>
      </c>
    </row>
    <row r="164" spans="1:3">
      <c r="A164">
        <v>164</v>
      </c>
      <c r="B164" s="1" t="s">
        <v>5436</v>
      </c>
      <c r="C164">
        <v>164</v>
      </c>
    </row>
    <row r="165" spans="1:3">
      <c r="A165">
        <v>165</v>
      </c>
      <c r="B165" s="1" t="s">
        <v>5437</v>
      </c>
      <c r="C165">
        <v>165</v>
      </c>
    </row>
    <row r="166" spans="1:3">
      <c r="A166">
        <v>166</v>
      </c>
      <c r="B166" s="1" t="s">
        <v>5438</v>
      </c>
      <c r="C166">
        <v>166</v>
      </c>
    </row>
    <row r="167" spans="1:3">
      <c r="A167">
        <v>167</v>
      </c>
      <c r="B167" s="1" t="s">
        <v>5439</v>
      </c>
      <c r="C167">
        <v>167</v>
      </c>
    </row>
    <row r="168" spans="1:3">
      <c r="A168">
        <v>168</v>
      </c>
      <c r="B168" s="1" t="s">
        <v>5440</v>
      </c>
      <c r="C168">
        <v>168</v>
      </c>
    </row>
    <row r="169" spans="1:3">
      <c r="A169">
        <v>169</v>
      </c>
      <c r="B169" s="1" t="s">
        <v>5441</v>
      </c>
      <c r="C169">
        <v>169</v>
      </c>
    </row>
    <row r="170" spans="1:3">
      <c r="A170">
        <v>170</v>
      </c>
      <c r="B170" s="1" t="s">
        <v>5442</v>
      </c>
      <c r="C170">
        <v>170</v>
      </c>
    </row>
    <row r="171" spans="1:3">
      <c r="A171">
        <v>171</v>
      </c>
      <c r="B171" s="1" t="s">
        <v>5443</v>
      </c>
      <c r="C171">
        <v>171</v>
      </c>
    </row>
    <row r="172" spans="1:3">
      <c r="A172">
        <v>172</v>
      </c>
      <c r="B172" s="1" t="s">
        <v>5444</v>
      </c>
      <c r="C172">
        <v>172</v>
      </c>
    </row>
    <row r="173" spans="1:3">
      <c r="A173">
        <v>173</v>
      </c>
      <c r="B173" s="1" t="s">
        <v>5445</v>
      </c>
      <c r="C173">
        <v>173</v>
      </c>
    </row>
    <row r="174" spans="1:3">
      <c r="A174">
        <v>174</v>
      </c>
      <c r="B174" s="1" t="s">
        <v>5446</v>
      </c>
      <c r="C174">
        <v>174</v>
      </c>
    </row>
    <row r="175" spans="1:3">
      <c r="A175">
        <v>175</v>
      </c>
      <c r="B175" s="1" t="s">
        <v>5447</v>
      </c>
      <c r="C175">
        <v>175</v>
      </c>
    </row>
    <row r="176" spans="1:3">
      <c r="A176">
        <v>176</v>
      </c>
      <c r="B176" s="1" t="s">
        <v>5448</v>
      </c>
      <c r="C176">
        <v>176</v>
      </c>
    </row>
    <row r="177" spans="1:3">
      <c r="A177">
        <v>177</v>
      </c>
      <c r="B177" s="1" t="s">
        <v>5449</v>
      </c>
      <c r="C177">
        <v>177</v>
      </c>
    </row>
    <row r="178" spans="1:3">
      <c r="A178">
        <v>178</v>
      </c>
      <c r="B178" s="1" t="s">
        <v>5450</v>
      </c>
      <c r="C178">
        <v>178</v>
      </c>
    </row>
    <row r="179" spans="1:3">
      <c r="A179">
        <v>179</v>
      </c>
      <c r="B179" s="1" t="s">
        <v>5451</v>
      </c>
      <c r="C179">
        <v>179</v>
      </c>
    </row>
    <row r="180" spans="1:3">
      <c r="A180">
        <v>180</v>
      </c>
      <c r="B180" s="1" t="s">
        <v>5452</v>
      </c>
      <c r="C180">
        <v>180</v>
      </c>
    </row>
    <row r="181" spans="1:3">
      <c r="A181">
        <v>181</v>
      </c>
      <c r="B181" s="1" t="s">
        <v>5453</v>
      </c>
      <c r="C181">
        <v>181</v>
      </c>
    </row>
    <row r="182" spans="1:3">
      <c r="A182">
        <v>182</v>
      </c>
      <c r="B182" s="1" t="s">
        <v>5454</v>
      </c>
      <c r="C182">
        <v>182</v>
      </c>
    </row>
    <row r="183" spans="1:3">
      <c r="A183">
        <v>183</v>
      </c>
      <c r="B183" s="1" t="s">
        <v>5455</v>
      </c>
      <c r="C183">
        <v>183</v>
      </c>
    </row>
    <row r="184" spans="1:3">
      <c r="A184">
        <v>184</v>
      </c>
      <c r="B184" s="1" t="s">
        <v>5432</v>
      </c>
      <c r="C184">
        <v>184</v>
      </c>
    </row>
    <row r="185" spans="1:3">
      <c r="A185">
        <v>185</v>
      </c>
      <c r="B185" s="1" t="s">
        <v>5433</v>
      </c>
      <c r="C185">
        <v>185</v>
      </c>
    </row>
    <row r="186" spans="1:3">
      <c r="A186">
        <v>186</v>
      </c>
      <c r="B186" s="1" t="s">
        <v>5434</v>
      </c>
      <c r="C186">
        <v>186</v>
      </c>
    </row>
    <row r="187" spans="1:3">
      <c r="A187">
        <v>187</v>
      </c>
      <c r="B187" s="1" t="s">
        <v>5435</v>
      </c>
      <c r="C187">
        <v>187</v>
      </c>
    </row>
    <row r="188" spans="1:3">
      <c r="A188">
        <v>188</v>
      </c>
      <c r="B188" s="1" t="s">
        <v>5436</v>
      </c>
      <c r="C188">
        <v>188</v>
      </c>
    </row>
    <row r="189" spans="1:3">
      <c r="A189">
        <v>189</v>
      </c>
      <c r="B189" s="1" t="s">
        <v>5437</v>
      </c>
      <c r="C189">
        <v>189</v>
      </c>
    </row>
    <row r="190" spans="1:3">
      <c r="A190">
        <v>190</v>
      </c>
      <c r="B190" s="1" t="s">
        <v>5438</v>
      </c>
      <c r="C190">
        <v>190</v>
      </c>
    </row>
    <row r="191" spans="1:3">
      <c r="A191">
        <v>191</v>
      </c>
      <c r="B191" s="1" t="s">
        <v>5439</v>
      </c>
      <c r="C191">
        <v>191</v>
      </c>
    </row>
    <row r="192" spans="1:3">
      <c r="A192">
        <v>192</v>
      </c>
      <c r="B192" s="1" t="s">
        <v>5440</v>
      </c>
      <c r="C192">
        <v>192</v>
      </c>
    </row>
    <row r="193" spans="1:3">
      <c r="A193">
        <v>193</v>
      </c>
      <c r="B193" s="1" t="s">
        <v>5441</v>
      </c>
      <c r="C193">
        <v>193</v>
      </c>
    </row>
    <row r="194" spans="1:3">
      <c r="A194">
        <v>194</v>
      </c>
      <c r="B194" s="1" t="s">
        <v>5442</v>
      </c>
      <c r="C194">
        <v>194</v>
      </c>
    </row>
    <row r="195" spans="1:3">
      <c r="A195">
        <v>195</v>
      </c>
      <c r="B195" s="1" t="s">
        <v>5443</v>
      </c>
      <c r="C195">
        <v>195</v>
      </c>
    </row>
    <row r="196" spans="1:3">
      <c r="A196">
        <v>196</v>
      </c>
      <c r="B196" s="1" t="s">
        <v>5444</v>
      </c>
      <c r="C196">
        <v>196</v>
      </c>
    </row>
    <row r="197" spans="1:3">
      <c r="A197">
        <v>197</v>
      </c>
      <c r="B197" s="1" t="s">
        <v>5445</v>
      </c>
      <c r="C197">
        <v>197</v>
      </c>
    </row>
    <row r="198" spans="1:3">
      <c r="A198">
        <v>198</v>
      </c>
      <c r="B198" s="1" t="s">
        <v>5446</v>
      </c>
      <c r="C198">
        <v>198</v>
      </c>
    </row>
    <row r="199" spans="1:3">
      <c r="A199">
        <v>199</v>
      </c>
      <c r="B199" s="1" t="s">
        <v>5447</v>
      </c>
      <c r="C199">
        <v>199</v>
      </c>
    </row>
    <row r="200" spans="1:3">
      <c r="A200">
        <v>200</v>
      </c>
      <c r="B200" s="1" t="s">
        <v>5448</v>
      </c>
      <c r="C200">
        <v>200</v>
      </c>
    </row>
    <row r="201" spans="1:3">
      <c r="A201">
        <v>201</v>
      </c>
      <c r="B201" s="1" t="s">
        <v>5449</v>
      </c>
      <c r="C201">
        <v>201</v>
      </c>
    </row>
    <row r="202" spans="1:3">
      <c r="A202">
        <v>202</v>
      </c>
      <c r="B202" s="1" t="s">
        <v>5450</v>
      </c>
      <c r="C202">
        <v>202</v>
      </c>
    </row>
    <row r="203" spans="1:3">
      <c r="A203">
        <v>203</v>
      </c>
      <c r="B203" s="1" t="s">
        <v>5451</v>
      </c>
      <c r="C203">
        <v>203</v>
      </c>
    </row>
    <row r="204" spans="1:3">
      <c r="A204">
        <v>204</v>
      </c>
      <c r="B204" s="1" t="s">
        <v>5452</v>
      </c>
      <c r="C204">
        <v>204</v>
      </c>
    </row>
    <row r="205" spans="1:3">
      <c r="A205">
        <v>205</v>
      </c>
      <c r="B205" s="1" t="s">
        <v>5453</v>
      </c>
      <c r="C205">
        <v>205</v>
      </c>
    </row>
    <row r="206" spans="1:3">
      <c r="A206">
        <v>206</v>
      </c>
      <c r="B206" s="1" t="s">
        <v>5454</v>
      </c>
      <c r="C206">
        <v>206</v>
      </c>
    </row>
    <row r="207" spans="1:3">
      <c r="A207">
        <v>207</v>
      </c>
      <c r="B207" s="1" t="s">
        <v>5455</v>
      </c>
      <c r="C207">
        <v>207</v>
      </c>
    </row>
    <row r="208" spans="1:3">
      <c r="A208">
        <v>208</v>
      </c>
      <c r="B208" s="1" t="s">
        <v>5456</v>
      </c>
      <c r="C208">
        <v>208</v>
      </c>
    </row>
    <row r="209" spans="1:3">
      <c r="A209">
        <v>209</v>
      </c>
      <c r="B209" s="1" t="s">
        <v>5457</v>
      </c>
      <c r="C209">
        <v>209</v>
      </c>
    </row>
    <row r="210" spans="1:3">
      <c r="A210">
        <v>210</v>
      </c>
      <c r="B210" s="1" t="s">
        <v>5445</v>
      </c>
      <c r="C210">
        <v>210</v>
      </c>
    </row>
    <row r="211" spans="1:3">
      <c r="A211">
        <v>211</v>
      </c>
      <c r="B211" s="1" t="s">
        <v>5446</v>
      </c>
      <c r="C211">
        <v>211</v>
      </c>
    </row>
    <row r="212" spans="1:3">
      <c r="A212">
        <v>212</v>
      </c>
      <c r="B212" s="1" t="s">
        <v>5447</v>
      </c>
      <c r="C212">
        <v>212</v>
      </c>
    </row>
    <row r="213" spans="1:3">
      <c r="A213">
        <v>213</v>
      </c>
      <c r="B213" s="1" t="s">
        <v>5448</v>
      </c>
      <c r="C213">
        <v>213</v>
      </c>
    </row>
    <row r="214" spans="1:3">
      <c r="A214">
        <v>214</v>
      </c>
      <c r="B214" s="1" t="s">
        <v>5449</v>
      </c>
      <c r="C214">
        <v>214</v>
      </c>
    </row>
    <row r="215" spans="1:3">
      <c r="A215">
        <v>215</v>
      </c>
      <c r="B215" s="1" t="s">
        <v>5450</v>
      </c>
      <c r="C215">
        <v>215</v>
      </c>
    </row>
    <row r="216" spans="1:3">
      <c r="A216">
        <v>216</v>
      </c>
      <c r="B216" s="1" t="s">
        <v>5451</v>
      </c>
      <c r="C216">
        <v>216</v>
      </c>
    </row>
    <row r="217" spans="1:3">
      <c r="A217">
        <v>217</v>
      </c>
      <c r="B217" s="1" t="s">
        <v>5452</v>
      </c>
      <c r="C217">
        <v>217</v>
      </c>
    </row>
    <row r="218" spans="1:3">
      <c r="A218">
        <v>218</v>
      </c>
      <c r="B218" s="1" t="s">
        <v>5453</v>
      </c>
      <c r="C218">
        <v>218</v>
      </c>
    </row>
    <row r="219" spans="1:3">
      <c r="A219">
        <v>219</v>
      </c>
      <c r="B219" s="1" t="s">
        <v>5454</v>
      </c>
      <c r="C219">
        <v>219</v>
      </c>
    </row>
    <row r="220" spans="1:3">
      <c r="A220">
        <v>220</v>
      </c>
      <c r="B220" s="1" t="s">
        <v>5455</v>
      </c>
      <c r="C220">
        <v>220</v>
      </c>
    </row>
    <row r="221" spans="1:3">
      <c r="A221">
        <v>221</v>
      </c>
      <c r="B221" s="1" t="s">
        <v>5458</v>
      </c>
      <c r="C221">
        <v>221</v>
      </c>
    </row>
    <row r="222" spans="1:3">
      <c r="A222">
        <v>222</v>
      </c>
      <c r="B222" s="1" t="s">
        <v>5459</v>
      </c>
      <c r="C222">
        <v>222</v>
      </c>
    </row>
    <row r="223" spans="1:3">
      <c r="A223">
        <v>223</v>
      </c>
      <c r="B223" s="1" t="s">
        <v>5460</v>
      </c>
      <c r="C223">
        <v>223</v>
      </c>
    </row>
    <row r="224" spans="1:3">
      <c r="A224">
        <v>224</v>
      </c>
      <c r="B224" s="1" t="s">
        <v>5461</v>
      </c>
      <c r="C224">
        <v>224</v>
      </c>
    </row>
    <row r="225" spans="1:3">
      <c r="A225">
        <v>225</v>
      </c>
      <c r="B225" s="1" t="s">
        <v>5462</v>
      </c>
      <c r="C225">
        <v>225</v>
      </c>
    </row>
    <row r="226" spans="1:3">
      <c r="A226">
        <v>226</v>
      </c>
      <c r="B226" s="1" t="s">
        <v>5463</v>
      </c>
      <c r="C226">
        <v>226</v>
      </c>
    </row>
    <row r="227" spans="1:3">
      <c r="A227">
        <v>227</v>
      </c>
      <c r="B227" s="1" t="s">
        <v>5464</v>
      </c>
      <c r="C227">
        <v>227</v>
      </c>
    </row>
    <row r="228" spans="1:3">
      <c r="A228">
        <v>228</v>
      </c>
      <c r="B228" s="1" t="s">
        <v>5465</v>
      </c>
      <c r="C228">
        <v>228</v>
      </c>
    </row>
    <row r="229" spans="1:3">
      <c r="A229">
        <v>229</v>
      </c>
      <c r="B229" s="1" t="s">
        <v>5466</v>
      </c>
      <c r="C229">
        <v>229</v>
      </c>
    </row>
    <row r="230" spans="1:3">
      <c r="A230">
        <v>230</v>
      </c>
      <c r="B230" s="1" t="s">
        <v>5467</v>
      </c>
      <c r="C230">
        <v>230</v>
      </c>
    </row>
    <row r="231" spans="1:3">
      <c r="A231">
        <v>231</v>
      </c>
      <c r="B231" s="1" t="s">
        <v>5468</v>
      </c>
      <c r="C231">
        <v>231</v>
      </c>
    </row>
    <row r="232" spans="1:3">
      <c r="A232">
        <v>232</v>
      </c>
      <c r="B232" s="1" t="s">
        <v>5469</v>
      </c>
      <c r="C232">
        <v>232</v>
      </c>
    </row>
    <row r="233" spans="1:3">
      <c r="A233">
        <v>233</v>
      </c>
      <c r="B233" s="1" t="s">
        <v>5444</v>
      </c>
      <c r="C233">
        <v>233</v>
      </c>
    </row>
    <row r="234" spans="1:3">
      <c r="A234">
        <v>234</v>
      </c>
      <c r="B234" s="1" t="s">
        <v>5445</v>
      </c>
      <c r="C234">
        <v>234</v>
      </c>
    </row>
    <row r="235" spans="1:3">
      <c r="A235">
        <v>235</v>
      </c>
      <c r="B235" s="1" t="s">
        <v>5446</v>
      </c>
      <c r="C235">
        <v>235</v>
      </c>
    </row>
    <row r="236" spans="1:3">
      <c r="A236">
        <v>236</v>
      </c>
      <c r="B236" s="1" t="s">
        <v>5447</v>
      </c>
      <c r="C236">
        <v>236</v>
      </c>
    </row>
    <row r="237" spans="1:3">
      <c r="A237">
        <v>237</v>
      </c>
      <c r="B237" s="1" t="s">
        <v>5448</v>
      </c>
      <c r="C237">
        <v>237</v>
      </c>
    </row>
    <row r="238" spans="1:3">
      <c r="A238">
        <v>238</v>
      </c>
      <c r="B238" s="1" t="s">
        <v>5449</v>
      </c>
      <c r="C238">
        <v>238</v>
      </c>
    </row>
    <row r="239" spans="1:3">
      <c r="A239">
        <v>239</v>
      </c>
      <c r="B239" s="1" t="s">
        <v>5450</v>
      </c>
      <c r="C239">
        <v>239</v>
      </c>
    </row>
    <row r="240" spans="1:3">
      <c r="A240">
        <v>240</v>
      </c>
      <c r="B240" s="1" t="s">
        <v>5451</v>
      </c>
      <c r="C240">
        <v>240</v>
      </c>
    </row>
    <row r="241" spans="1:3">
      <c r="A241">
        <v>241</v>
      </c>
      <c r="B241" s="1" t="s">
        <v>5452</v>
      </c>
      <c r="C241">
        <v>241</v>
      </c>
    </row>
    <row r="242" spans="1:3">
      <c r="A242">
        <v>242</v>
      </c>
      <c r="B242" s="1" t="s">
        <v>5453</v>
      </c>
      <c r="C242">
        <v>242</v>
      </c>
    </row>
    <row r="243" spans="1:3">
      <c r="A243">
        <v>243</v>
      </c>
      <c r="B243" s="1" t="s">
        <v>5454</v>
      </c>
      <c r="C243">
        <v>243</v>
      </c>
    </row>
    <row r="244" spans="1:3">
      <c r="A244">
        <v>244</v>
      </c>
      <c r="B244" s="1" t="s">
        <v>5455</v>
      </c>
      <c r="C244">
        <v>244</v>
      </c>
    </row>
    <row r="245" spans="1:3">
      <c r="A245">
        <v>245</v>
      </c>
      <c r="B245" s="1" t="s">
        <v>5458</v>
      </c>
      <c r="C245">
        <v>245</v>
      </c>
    </row>
    <row r="246" spans="1:3">
      <c r="A246">
        <v>246</v>
      </c>
      <c r="B246" s="1" t="s">
        <v>5459</v>
      </c>
      <c r="C246">
        <v>246</v>
      </c>
    </row>
    <row r="247" spans="1:3">
      <c r="A247">
        <v>247</v>
      </c>
      <c r="B247" s="1" t="s">
        <v>5460</v>
      </c>
      <c r="C247">
        <v>247</v>
      </c>
    </row>
    <row r="248" spans="1:3">
      <c r="A248">
        <v>248</v>
      </c>
      <c r="B248" s="1" t="s">
        <v>5461</v>
      </c>
      <c r="C248">
        <v>248</v>
      </c>
    </row>
    <row r="249" spans="1:3">
      <c r="A249">
        <v>249</v>
      </c>
      <c r="B249" s="1" t="s">
        <v>5462</v>
      </c>
      <c r="C249">
        <v>249</v>
      </c>
    </row>
    <row r="250" spans="1:3">
      <c r="A250">
        <v>250</v>
      </c>
      <c r="B250" s="1" t="s">
        <v>5463</v>
      </c>
      <c r="C250">
        <v>250</v>
      </c>
    </row>
    <row r="251" spans="1:3">
      <c r="A251">
        <v>251</v>
      </c>
      <c r="B251" s="1" t="s">
        <v>5464</v>
      </c>
      <c r="C251">
        <v>251</v>
      </c>
    </row>
    <row r="252" spans="1:3">
      <c r="A252">
        <v>252</v>
      </c>
      <c r="B252" s="1" t="s">
        <v>5465</v>
      </c>
      <c r="C252">
        <v>252</v>
      </c>
    </row>
    <row r="253" spans="1:3">
      <c r="A253">
        <v>253</v>
      </c>
      <c r="B253" s="1" t="s">
        <v>5466</v>
      </c>
      <c r="C253">
        <v>253</v>
      </c>
    </row>
    <row r="254" spans="1:3">
      <c r="A254">
        <v>254</v>
      </c>
      <c r="B254" s="1" t="s">
        <v>5467</v>
      </c>
      <c r="C254">
        <v>254</v>
      </c>
    </row>
    <row r="255" spans="1:3">
      <c r="A255">
        <v>255</v>
      </c>
      <c r="B255" s="1" t="s">
        <v>5468</v>
      </c>
      <c r="C255">
        <v>255</v>
      </c>
    </row>
    <row r="256" spans="1:3">
      <c r="A256">
        <v>256</v>
      </c>
      <c r="B256" s="1" t="s">
        <v>5469</v>
      </c>
      <c r="C256">
        <v>256</v>
      </c>
    </row>
    <row r="257" spans="1:3">
      <c r="A257">
        <v>257</v>
      </c>
      <c r="B257" s="1" t="s">
        <v>5470</v>
      </c>
      <c r="C257">
        <v>257</v>
      </c>
    </row>
    <row r="258" spans="1:3">
      <c r="A258">
        <v>258</v>
      </c>
      <c r="B258" s="1" t="s">
        <v>5471</v>
      </c>
      <c r="C258">
        <v>258</v>
      </c>
    </row>
    <row r="259" spans="1:3">
      <c r="A259">
        <v>259</v>
      </c>
      <c r="B259" s="1" t="s">
        <v>5459</v>
      </c>
      <c r="C259">
        <v>259</v>
      </c>
    </row>
    <row r="260" spans="1:3">
      <c r="A260">
        <v>260</v>
      </c>
      <c r="B260" s="1" t="s">
        <v>5460</v>
      </c>
      <c r="C260">
        <v>260</v>
      </c>
    </row>
    <row r="261" spans="1:3">
      <c r="A261">
        <v>261</v>
      </c>
      <c r="B261" s="1" t="s">
        <v>5461</v>
      </c>
      <c r="C261">
        <v>261</v>
      </c>
    </row>
    <row r="262" spans="1:3">
      <c r="A262">
        <v>262</v>
      </c>
      <c r="B262" s="1" t="s">
        <v>5462</v>
      </c>
      <c r="C262">
        <v>262</v>
      </c>
    </row>
    <row r="263" spans="1:3">
      <c r="A263">
        <v>263</v>
      </c>
      <c r="B263" s="1" t="s">
        <v>5463</v>
      </c>
      <c r="C263">
        <v>263</v>
      </c>
    </row>
    <row r="264" spans="1:3">
      <c r="A264">
        <v>264</v>
      </c>
      <c r="B264" s="1" t="s">
        <v>5464</v>
      </c>
      <c r="C264">
        <v>264</v>
      </c>
    </row>
    <row r="265" spans="1:3">
      <c r="A265">
        <v>265</v>
      </c>
      <c r="B265" s="1" t="s">
        <v>5465</v>
      </c>
      <c r="C265">
        <v>265</v>
      </c>
    </row>
    <row r="266" spans="1:3">
      <c r="A266">
        <v>266</v>
      </c>
      <c r="B266" s="1" t="s">
        <v>5466</v>
      </c>
      <c r="C266">
        <v>266</v>
      </c>
    </row>
    <row r="267" spans="1:3">
      <c r="A267">
        <v>267</v>
      </c>
      <c r="B267" s="1" t="s">
        <v>5467</v>
      </c>
      <c r="C267">
        <v>267</v>
      </c>
    </row>
    <row r="268" spans="1:3">
      <c r="A268">
        <v>268</v>
      </c>
      <c r="B268" s="1" t="s">
        <v>5468</v>
      </c>
      <c r="C268">
        <v>268</v>
      </c>
    </row>
    <row r="269" spans="1:3">
      <c r="A269">
        <v>269</v>
      </c>
      <c r="B269" s="1" t="s">
        <v>5469</v>
      </c>
      <c r="C269">
        <v>269</v>
      </c>
    </row>
    <row r="270" spans="1:3">
      <c r="A270">
        <v>270</v>
      </c>
      <c r="B270" s="1" t="s">
        <v>5472</v>
      </c>
      <c r="C270">
        <v>270</v>
      </c>
    </row>
    <row r="271" spans="1:3">
      <c r="A271">
        <v>271</v>
      </c>
      <c r="B271" s="1" t="s">
        <v>5473</v>
      </c>
      <c r="C271">
        <v>271</v>
      </c>
    </row>
    <row r="272" spans="1:3">
      <c r="A272">
        <v>272</v>
      </c>
      <c r="B272" s="1" t="s">
        <v>5474</v>
      </c>
      <c r="C272">
        <v>272</v>
      </c>
    </row>
    <row r="273" spans="1:3">
      <c r="A273">
        <v>273</v>
      </c>
      <c r="B273" s="1" t="s">
        <v>5475</v>
      </c>
      <c r="C273">
        <v>273</v>
      </c>
    </row>
    <row r="274" spans="1:3">
      <c r="A274">
        <v>274</v>
      </c>
      <c r="B274" s="1" t="s">
        <v>5476</v>
      </c>
      <c r="C274">
        <v>274</v>
      </c>
    </row>
    <row r="275" spans="1:3">
      <c r="A275">
        <v>275</v>
      </c>
      <c r="B275" s="1" t="s">
        <v>5477</v>
      </c>
      <c r="C275">
        <v>275</v>
      </c>
    </row>
    <row r="276" spans="1:3">
      <c r="A276">
        <v>276</v>
      </c>
      <c r="B276" s="1" t="s">
        <v>5478</v>
      </c>
      <c r="C276">
        <v>276</v>
      </c>
    </row>
    <row r="277" spans="1:3">
      <c r="A277">
        <v>277</v>
      </c>
      <c r="B277" s="1" t="s">
        <v>5479</v>
      </c>
      <c r="C277">
        <v>277</v>
      </c>
    </row>
    <row r="278" spans="1:3">
      <c r="A278">
        <v>278</v>
      </c>
      <c r="B278" s="1" t="s">
        <v>5480</v>
      </c>
      <c r="C278">
        <v>278</v>
      </c>
    </row>
    <row r="279" spans="1:3">
      <c r="A279">
        <v>279</v>
      </c>
      <c r="B279" s="1" t="s">
        <v>5481</v>
      </c>
      <c r="C279">
        <v>279</v>
      </c>
    </row>
    <row r="280" spans="1:3">
      <c r="A280">
        <v>280</v>
      </c>
      <c r="B280" s="1" t="s">
        <v>5482</v>
      </c>
      <c r="C280">
        <v>280</v>
      </c>
    </row>
    <row r="281" spans="1:3">
      <c r="A281">
        <v>281</v>
      </c>
      <c r="B281" s="1" t="s">
        <v>5483</v>
      </c>
      <c r="C281">
        <v>281</v>
      </c>
    </row>
    <row r="282" spans="1:3">
      <c r="A282">
        <v>282</v>
      </c>
      <c r="B282" s="1" t="s">
        <v>5458</v>
      </c>
      <c r="C282">
        <v>282</v>
      </c>
    </row>
    <row r="283" spans="1:3">
      <c r="A283">
        <v>283</v>
      </c>
      <c r="B283" s="1" t="s">
        <v>5459</v>
      </c>
      <c r="C283">
        <v>283</v>
      </c>
    </row>
    <row r="284" spans="1:3">
      <c r="A284">
        <v>284</v>
      </c>
      <c r="B284" s="1" t="s">
        <v>5460</v>
      </c>
      <c r="C284">
        <v>284</v>
      </c>
    </row>
    <row r="285" spans="1:3">
      <c r="A285">
        <v>285</v>
      </c>
      <c r="B285" s="1" t="s">
        <v>5461</v>
      </c>
      <c r="C285">
        <v>285</v>
      </c>
    </row>
    <row r="286" spans="1:3">
      <c r="A286">
        <v>286</v>
      </c>
      <c r="B286" s="1" t="s">
        <v>5462</v>
      </c>
      <c r="C286">
        <v>286</v>
      </c>
    </row>
    <row r="287" spans="1:3">
      <c r="A287">
        <v>287</v>
      </c>
      <c r="B287" s="1" t="s">
        <v>5463</v>
      </c>
      <c r="C287">
        <v>287</v>
      </c>
    </row>
    <row r="288" spans="1:3">
      <c r="A288">
        <v>288</v>
      </c>
      <c r="B288" s="1" t="s">
        <v>5464</v>
      </c>
      <c r="C288">
        <v>288</v>
      </c>
    </row>
    <row r="289" spans="1:3">
      <c r="A289">
        <v>289</v>
      </c>
      <c r="B289" s="1" t="s">
        <v>5465</v>
      </c>
      <c r="C289">
        <v>289</v>
      </c>
    </row>
    <row r="290" spans="1:3">
      <c r="A290">
        <v>290</v>
      </c>
      <c r="B290" s="1" t="s">
        <v>5466</v>
      </c>
      <c r="C290">
        <v>290</v>
      </c>
    </row>
    <row r="291" spans="1:3">
      <c r="A291">
        <v>291</v>
      </c>
      <c r="B291" s="1" t="s">
        <v>5467</v>
      </c>
      <c r="C291">
        <v>291</v>
      </c>
    </row>
    <row r="292" spans="1:3">
      <c r="A292">
        <v>292</v>
      </c>
      <c r="B292" s="1" t="s">
        <v>5468</v>
      </c>
      <c r="C292">
        <v>292</v>
      </c>
    </row>
    <row r="293" spans="1:3">
      <c r="A293">
        <v>293</v>
      </c>
      <c r="B293" s="1" t="s">
        <v>5469</v>
      </c>
      <c r="C293">
        <v>293</v>
      </c>
    </row>
    <row r="294" spans="1:3">
      <c r="A294">
        <v>294</v>
      </c>
      <c r="B294" s="1" t="s">
        <v>5472</v>
      </c>
      <c r="C294">
        <v>294</v>
      </c>
    </row>
    <row r="295" spans="1:3">
      <c r="A295">
        <v>295</v>
      </c>
      <c r="B295" s="1" t="s">
        <v>5473</v>
      </c>
      <c r="C295">
        <v>295</v>
      </c>
    </row>
    <row r="296" spans="1:3">
      <c r="A296">
        <v>296</v>
      </c>
      <c r="B296" s="1" t="s">
        <v>5474</v>
      </c>
      <c r="C296">
        <v>296</v>
      </c>
    </row>
    <row r="297" spans="1:3">
      <c r="A297">
        <v>297</v>
      </c>
      <c r="B297" s="1" t="s">
        <v>5475</v>
      </c>
      <c r="C297">
        <v>297</v>
      </c>
    </row>
    <row r="298" spans="1:3">
      <c r="A298">
        <v>298</v>
      </c>
      <c r="B298" s="1" t="s">
        <v>5476</v>
      </c>
      <c r="C298">
        <v>298</v>
      </c>
    </row>
    <row r="299" spans="1:3">
      <c r="A299">
        <v>299</v>
      </c>
      <c r="B299" s="1" t="s">
        <v>5477</v>
      </c>
      <c r="C299">
        <v>299</v>
      </c>
    </row>
    <row r="300" spans="1:3">
      <c r="A300">
        <v>300</v>
      </c>
      <c r="B300" s="1" t="s">
        <v>5478</v>
      </c>
      <c r="C300">
        <v>300</v>
      </c>
    </row>
    <row r="301" spans="1:3">
      <c r="A301">
        <v>301</v>
      </c>
      <c r="B301" s="1" t="s">
        <v>5479</v>
      </c>
      <c r="C301">
        <v>301</v>
      </c>
    </row>
    <row r="302" spans="1:3">
      <c r="A302">
        <v>302</v>
      </c>
      <c r="B302" s="1" t="s">
        <v>5480</v>
      </c>
      <c r="C302">
        <v>302</v>
      </c>
    </row>
    <row r="303" spans="1:3">
      <c r="A303">
        <v>303</v>
      </c>
      <c r="B303" s="1" t="s">
        <v>5481</v>
      </c>
      <c r="C303">
        <v>303</v>
      </c>
    </row>
    <row r="304" spans="1:3">
      <c r="A304">
        <v>304</v>
      </c>
      <c r="B304" s="1" t="s">
        <v>5482</v>
      </c>
      <c r="C304">
        <v>304</v>
      </c>
    </row>
    <row r="305" spans="1:3">
      <c r="A305">
        <v>305</v>
      </c>
      <c r="B305" s="1" t="s">
        <v>5483</v>
      </c>
      <c r="C305">
        <v>305</v>
      </c>
    </row>
    <row r="306" spans="1:3">
      <c r="A306">
        <v>306</v>
      </c>
      <c r="B306" s="1" t="s">
        <v>5484</v>
      </c>
      <c r="C306">
        <v>306</v>
      </c>
    </row>
    <row r="307" spans="1:3">
      <c r="A307">
        <v>307</v>
      </c>
      <c r="B307" s="1" t="s">
        <v>5485</v>
      </c>
      <c r="C307">
        <v>307</v>
      </c>
    </row>
    <row r="308" spans="1:3">
      <c r="A308">
        <v>308</v>
      </c>
      <c r="B308" s="1" t="s">
        <v>5473</v>
      </c>
      <c r="C308">
        <v>308</v>
      </c>
    </row>
    <row r="309" spans="1:3">
      <c r="A309">
        <v>309</v>
      </c>
      <c r="B309" s="1" t="s">
        <v>5474</v>
      </c>
      <c r="C309">
        <v>309</v>
      </c>
    </row>
    <row r="310" spans="1:3">
      <c r="A310">
        <v>310</v>
      </c>
      <c r="B310" s="1" t="s">
        <v>5475</v>
      </c>
      <c r="C310">
        <v>310</v>
      </c>
    </row>
    <row r="311" spans="1:3">
      <c r="A311">
        <v>311</v>
      </c>
      <c r="B311" s="1" t="s">
        <v>5476</v>
      </c>
      <c r="C311">
        <v>311</v>
      </c>
    </row>
    <row r="312" spans="1:3">
      <c r="A312">
        <v>312</v>
      </c>
      <c r="B312" s="1" t="s">
        <v>5477</v>
      </c>
      <c r="C312">
        <v>312</v>
      </c>
    </row>
    <row r="313" spans="1:3">
      <c r="A313">
        <v>313</v>
      </c>
      <c r="B313" s="1" t="s">
        <v>5478</v>
      </c>
      <c r="C313">
        <v>313</v>
      </c>
    </row>
    <row r="314" spans="1:3">
      <c r="A314">
        <v>314</v>
      </c>
      <c r="B314" s="1" t="s">
        <v>5479</v>
      </c>
      <c r="C314">
        <v>314</v>
      </c>
    </row>
    <row r="315" spans="1:3">
      <c r="A315">
        <v>315</v>
      </c>
      <c r="B315" s="1" t="s">
        <v>5480</v>
      </c>
      <c r="C315">
        <v>315</v>
      </c>
    </row>
    <row r="316" spans="1:3">
      <c r="A316">
        <v>316</v>
      </c>
      <c r="B316" s="1" t="s">
        <v>5481</v>
      </c>
      <c r="C316">
        <v>316</v>
      </c>
    </row>
    <row r="317" spans="1:3">
      <c r="A317">
        <v>317</v>
      </c>
      <c r="B317" s="1" t="s">
        <v>5482</v>
      </c>
      <c r="C317">
        <v>317</v>
      </c>
    </row>
    <row r="318" spans="1:3">
      <c r="A318">
        <v>318</v>
      </c>
      <c r="B318" s="1" t="s">
        <v>5483</v>
      </c>
      <c r="C318">
        <v>318</v>
      </c>
    </row>
    <row r="319" spans="1:3">
      <c r="A319">
        <v>319</v>
      </c>
      <c r="B319" s="1" t="s">
        <v>5486</v>
      </c>
      <c r="C319">
        <v>319</v>
      </c>
    </row>
    <row r="320" spans="1:3">
      <c r="A320">
        <v>320</v>
      </c>
      <c r="B320" s="1" t="s">
        <v>5487</v>
      </c>
      <c r="C320">
        <v>320</v>
      </c>
    </row>
    <row r="321" spans="1:3">
      <c r="A321">
        <v>321</v>
      </c>
      <c r="B321" s="1" t="s">
        <v>5488</v>
      </c>
      <c r="C321">
        <v>321</v>
      </c>
    </row>
    <row r="322" spans="1:3">
      <c r="A322">
        <v>322</v>
      </c>
      <c r="B322" s="1" t="s">
        <v>5489</v>
      </c>
      <c r="C322">
        <v>322</v>
      </c>
    </row>
    <row r="323" spans="1:3">
      <c r="A323">
        <v>323</v>
      </c>
      <c r="B323" s="1" t="s">
        <v>5490</v>
      </c>
      <c r="C323">
        <v>323</v>
      </c>
    </row>
    <row r="324" spans="1:3">
      <c r="A324">
        <v>324</v>
      </c>
      <c r="B324" s="1" t="s">
        <v>5491</v>
      </c>
      <c r="C324">
        <v>324</v>
      </c>
    </row>
    <row r="325" spans="1:3">
      <c r="A325">
        <v>325</v>
      </c>
      <c r="B325" s="1" t="s">
        <v>5492</v>
      </c>
      <c r="C325">
        <v>325</v>
      </c>
    </row>
    <row r="326" spans="1:3">
      <c r="A326">
        <v>326</v>
      </c>
      <c r="B326" s="1" t="s">
        <v>5493</v>
      </c>
      <c r="C326">
        <v>326</v>
      </c>
    </row>
    <row r="327" spans="1:3">
      <c r="A327">
        <v>327</v>
      </c>
      <c r="B327" s="1" t="s">
        <v>5494</v>
      </c>
      <c r="C327">
        <v>327</v>
      </c>
    </row>
    <row r="328" spans="1:3">
      <c r="A328">
        <v>328</v>
      </c>
      <c r="B328" s="1" t="s">
        <v>5495</v>
      </c>
      <c r="C328">
        <v>328</v>
      </c>
    </row>
    <row r="329" spans="1:3">
      <c r="A329">
        <v>329</v>
      </c>
      <c r="B329" s="1" t="s">
        <v>5496</v>
      </c>
      <c r="C329">
        <v>329</v>
      </c>
    </row>
    <row r="330" spans="1:3">
      <c r="A330">
        <v>330</v>
      </c>
      <c r="B330" s="1" t="s">
        <v>5497</v>
      </c>
      <c r="C330">
        <v>330</v>
      </c>
    </row>
    <row r="331" spans="1:3">
      <c r="A331">
        <v>331</v>
      </c>
      <c r="B331" s="1" t="s">
        <v>5472</v>
      </c>
      <c r="C331">
        <v>331</v>
      </c>
    </row>
    <row r="332" spans="1:3">
      <c r="A332">
        <v>332</v>
      </c>
      <c r="B332" s="1" t="s">
        <v>5473</v>
      </c>
      <c r="C332">
        <v>332</v>
      </c>
    </row>
    <row r="333" spans="1:3">
      <c r="A333">
        <v>333</v>
      </c>
      <c r="B333" s="1" t="s">
        <v>5474</v>
      </c>
      <c r="C333">
        <v>333</v>
      </c>
    </row>
    <row r="334" spans="1:3">
      <c r="A334">
        <v>334</v>
      </c>
      <c r="B334" s="1" t="s">
        <v>5475</v>
      </c>
      <c r="C334">
        <v>334</v>
      </c>
    </row>
    <row r="335" spans="1:3">
      <c r="A335">
        <v>335</v>
      </c>
      <c r="B335" s="1" t="s">
        <v>5476</v>
      </c>
      <c r="C335">
        <v>335</v>
      </c>
    </row>
    <row r="336" spans="1:3">
      <c r="A336">
        <v>336</v>
      </c>
      <c r="B336" s="1" t="s">
        <v>5477</v>
      </c>
      <c r="C336">
        <v>336</v>
      </c>
    </row>
    <row r="337" spans="1:3">
      <c r="A337">
        <v>337</v>
      </c>
      <c r="B337" s="1" t="s">
        <v>5478</v>
      </c>
      <c r="C337">
        <v>337</v>
      </c>
    </row>
    <row r="338" spans="1:3">
      <c r="A338">
        <v>338</v>
      </c>
      <c r="B338" s="1" t="s">
        <v>5479</v>
      </c>
      <c r="C338">
        <v>338</v>
      </c>
    </row>
    <row r="339" spans="1:3">
      <c r="A339">
        <v>339</v>
      </c>
      <c r="B339" s="1" t="s">
        <v>5480</v>
      </c>
      <c r="C339">
        <v>339</v>
      </c>
    </row>
    <row r="340" spans="1:3">
      <c r="A340">
        <v>340</v>
      </c>
      <c r="B340" s="1" t="s">
        <v>5481</v>
      </c>
      <c r="C340">
        <v>340</v>
      </c>
    </row>
    <row r="341" spans="1:3">
      <c r="A341">
        <v>341</v>
      </c>
      <c r="B341" s="1" t="s">
        <v>5482</v>
      </c>
      <c r="C341">
        <v>341</v>
      </c>
    </row>
    <row r="342" spans="1:3">
      <c r="A342">
        <v>342</v>
      </c>
      <c r="B342" s="1" t="s">
        <v>5483</v>
      </c>
      <c r="C342">
        <v>342</v>
      </c>
    </row>
    <row r="343" spans="1:3">
      <c r="A343">
        <v>343</v>
      </c>
      <c r="B343" s="1" t="s">
        <v>5486</v>
      </c>
      <c r="C343">
        <v>343</v>
      </c>
    </row>
    <row r="344" spans="1:3">
      <c r="A344">
        <v>344</v>
      </c>
      <c r="B344" s="1" t="s">
        <v>5487</v>
      </c>
      <c r="C344">
        <v>344</v>
      </c>
    </row>
    <row r="345" spans="1:3">
      <c r="A345">
        <v>345</v>
      </c>
      <c r="B345" s="1" t="s">
        <v>5488</v>
      </c>
      <c r="C345">
        <v>345</v>
      </c>
    </row>
    <row r="346" spans="1:3">
      <c r="A346">
        <v>346</v>
      </c>
      <c r="B346" s="1" t="s">
        <v>5489</v>
      </c>
      <c r="C346">
        <v>346</v>
      </c>
    </row>
    <row r="347" spans="1:3">
      <c r="A347">
        <v>347</v>
      </c>
      <c r="B347" s="1" t="s">
        <v>5490</v>
      </c>
      <c r="C347">
        <v>347</v>
      </c>
    </row>
    <row r="348" spans="1:3">
      <c r="A348">
        <v>348</v>
      </c>
      <c r="B348" s="1" t="s">
        <v>5491</v>
      </c>
      <c r="C348">
        <v>348</v>
      </c>
    </row>
    <row r="349" spans="1:3">
      <c r="A349">
        <v>349</v>
      </c>
      <c r="B349" s="1" t="s">
        <v>5492</v>
      </c>
      <c r="C349">
        <v>349</v>
      </c>
    </row>
    <row r="350" spans="1:3">
      <c r="A350">
        <v>350</v>
      </c>
      <c r="B350" s="1" t="s">
        <v>5493</v>
      </c>
      <c r="C350">
        <v>350</v>
      </c>
    </row>
    <row r="351" spans="1:3">
      <c r="A351">
        <v>351</v>
      </c>
      <c r="B351" s="1" t="s">
        <v>5494</v>
      </c>
      <c r="C351">
        <v>351</v>
      </c>
    </row>
    <row r="352" spans="1:3">
      <c r="A352">
        <v>352</v>
      </c>
      <c r="B352" s="1" t="s">
        <v>5495</v>
      </c>
      <c r="C352">
        <v>352</v>
      </c>
    </row>
    <row r="353" spans="1:3">
      <c r="A353">
        <v>353</v>
      </c>
      <c r="B353" s="1" t="s">
        <v>5496</v>
      </c>
      <c r="C353">
        <v>353</v>
      </c>
    </row>
    <row r="354" spans="1:3">
      <c r="A354">
        <v>354</v>
      </c>
      <c r="B354" s="1" t="s">
        <v>5497</v>
      </c>
      <c r="C354">
        <v>354</v>
      </c>
    </row>
    <row r="355" spans="1:3">
      <c r="A355">
        <v>355</v>
      </c>
      <c r="B355" s="1" t="s">
        <v>5498</v>
      </c>
      <c r="C355">
        <v>355</v>
      </c>
    </row>
    <row r="356" spans="1:3">
      <c r="A356">
        <v>356</v>
      </c>
      <c r="B356" s="1" t="s">
        <v>5499</v>
      </c>
      <c r="C356">
        <v>356</v>
      </c>
    </row>
    <row r="357" spans="1:3">
      <c r="A357">
        <v>357</v>
      </c>
      <c r="B357" s="1" t="s">
        <v>5487</v>
      </c>
      <c r="C357">
        <v>357</v>
      </c>
    </row>
    <row r="358" spans="1:3">
      <c r="A358">
        <v>358</v>
      </c>
      <c r="B358" s="1" t="s">
        <v>5488</v>
      </c>
      <c r="C358">
        <v>358</v>
      </c>
    </row>
    <row r="359" spans="1:3">
      <c r="A359">
        <v>359</v>
      </c>
      <c r="B359" s="1" t="s">
        <v>5489</v>
      </c>
      <c r="C359">
        <v>359</v>
      </c>
    </row>
    <row r="360" spans="1:3">
      <c r="A360">
        <v>360</v>
      </c>
      <c r="B360" s="1" t="s">
        <v>5490</v>
      </c>
      <c r="C360">
        <v>360</v>
      </c>
    </row>
    <row r="361" spans="1:3">
      <c r="A361">
        <v>361</v>
      </c>
      <c r="B361" s="1" t="s">
        <v>5491</v>
      </c>
      <c r="C361">
        <v>361</v>
      </c>
    </row>
    <row r="362" spans="1:3">
      <c r="A362">
        <v>362</v>
      </c>
      <c r="B362" s="1" t="s">
        <v>5492</v>
      </c>
      <c r="C362">
        <v>362</v>
      </c>
    </row>
    <row r="363" spans="1:3">
      <c r="A363">
        <v>363</v>
      </c>
      <c r="B363" s="1" t="s">
        <v>5493</v>
      </c>
      <c r="C363">
        <v>363</v>
      </c>
    </row>
    <row r="364" spans="1:3">
      <c r="A364">
        <v>364</v>
      </c>
      <c r="B364" s="1" t="s">
        <v>5494</v>
      </c>
      <c r="C364">
        <v>364</v>
      </c>
    </row>
    <row r="365" spans="1:3">
      <c r="A365">
        <v>365</v>
      </c>
      <c r="B365" s="1" t="s">
        <v>5495</v>
      </c>
      <c r="C365">
        <v>365</v>
      </c>
    </row>
    <row r="366" spans="1:3">
      <c r="A366">
        <v>366</v>
      </c>
      <c r="B366" s="1" t="s">
        <v>5496</v>
      </c>
      <c r="C366">
        <v>366</v>
      </c>
    </row>
    <row r="367" spans="1:3">
      <c r="A367">
        <v>367</v>
      </c>
      <c r="B367" s="1" t="s">
        <v>5497</v>
      </c>
      <c r="C367">
        <v>367</v>
      </c>
    </row>
    <row r="368" spans="1:3">
      <c r="A368">
        <v>368</v>
      </c>
      <c r="B368" s="1" t="s">
        <v>5500</v>
      </c>
      <c r="C368">
        <v>368</v>
      </c>
    </row>
    <row r="369" spans="1:3">
      <c r="A369">
        <v>369</v>
      </c>
      <c r="B369" s="1" t="s">
        <v>5501</v>
      </c>
      <c r="C369">
        <v>369</v>
      </c>
    </row>
    <row r="370" spans="1:3">
      <c r="A370">
        <v>370</v>
      </c>
      <c r="B370" s="1" t="s">
        <v>5502</v>
      </c>
      <c r="C370">
        <v>370</v>
      </c>
    </row>
    <row r="371" spans="1:3">
      <c r="A371">
        <v>371</v>
      </c>
      <c r="B371" s="1" t="s">
        <v>5503</v>
      </c>
      <c r="C371">
        <v>371</v>
      </c>
    </row>
    <row r="372" spans="1:3">
      <c r="A372">
        <v>372</v>
      </c>
      <c r="B372" s="1" t="s">
        <v>5504</v>
      </c>
      <c r="C372">
        <v>372</v>
      </c>
    </row>
    <row r="373" spans="1:3">
      <c r="A373">
        <v>373</v>
      </c>
      <c r="B373" s="1" t="s">
        <v>5505</v>
      </c>
      <c r="C373">
        <v>373</v>
      </c>
    </row>
    <row r="374" spans="1:3">
      <c r="A374">
        <v>374</v>
      </c>
      <c r="B374" s="1" t="s">
        <v>5506</v>
      </c>
      <c r="C374">
        <v>374</v>
      </c>
    </row>
    <row r="375" spans="1:3">
      <c r="A375">
        <v>375</v>
      </c>
      <c r="B375" s="1" t="s">
        <v>5507</v>
      </c>
      <c r="C375">
        <v>375</v>
      </c>
    </row>
    <row r="376" spans="1:3">
      <c r="A376">
        <v>376</v>
      </c>
      <c r="B376" s="1" t="s">
        <v>5508</v>
      </c>
      <c r="C376">
        <v>376</v>
      </c>
    </row>
    <row r="377" spans="1:3">
      <c r="A377">
        <v>377</v>
      </c>
      <c r="B377" s="1" t="s">
        <v>5509</v>
      </c>
      <c r="C377">
        <v>377</v>
      </c>
    </row>
    <row r="378" spans="1:3">
      <c r="A378">
        <v>378</v>
      </c>
      <c r="B378" s="1" t="s">
        <v>5510</v>
      </c>
      <c r="C378">
        <v>378</v>
      </c>
    </row>
    <row r="379" spans="1:3">
      <c r="A379">
        <v>379</v>
      </c>
      <c r="B379" s="1" t="s">
        <v>5511</v>
      </c>
      <c r="C379">
        <v>379</v>
      </c>
    </row>
    <row r="380" spans="1:3">
      <c r="A380">
        <v>380</v>
      </c>
      <c r="B380" s="1" t="s">
        <v>5486</v>
      </c>
      <c r="C380">
        <v>380</v>
      </c>
    </row>
    <row r="381" spans="1:3">
      <c r="A381">
        <v>381</v>
      </c>
      <c r="B381" s="1" t="s">
        <v>5487</v>
      </c>
      <c r="C381">
        <v>381</v>
      </c>
    </row>
    <row r="382" spans="1:3">
      <c r="A382">
        <v>382</v>
      </c>
      <c r="B382" s="1" t="s">
        <v>5488</v>
      </c>
      <c r="C382">
        <v>382</v>
      </c>
    </row>
    <row r="383" spans="1:3">
      <c r="A383">
        <v>383</v>
      </c>
      <c r="B383" s="1" t="s">
        <v>5489</v>
      </c>
      <c r="C383">
        <v>383</v>
      </c>
    </row>
    <row r="384" spans="1:3">
      <c r="A384">
        <v>384</v>
      </c>
      <c r="B384" s="1" t="s">
        <v>5490</v>
      </c>
      <c r="C384">
        <v>384</v>
      </c>
    </row>
    <row r="385" spans="1:3">
      <c r="A385">
        <v>385</v>
      </c>
      <c r="B385" s="1" t="s">
        <v>5491</v>
      </c>
      <c r="C385">
        <v>385</v>
      </c>
    </row>
    <row r="386" spans="1:3">
      <c r="A386">
        <v>386</v>
      </c>
      <c r="B386" s="1" t="s">
        <v>5492</v>
      </c>
      <c r="C386">
        <v>386</v>
      </c>
    </row>
    <row r="387" spans="1:3">
      <c r="A387">
        <v>387</v>
      </c>
      <c r="B387" s="1" t="s">
        <v>5493</v>
      </c>
      <c r="C387">
        <v>387</v>
      </c>
    </row>
    <row r="388" spans="1:3">
      <c r="A388">
        <v>388</v>
      </c>
      <c r="B388" s="1" t="s">
        <v>5494</v>
      </c>
      <c r="C388">
        <v>388</v>
      </c>
    </row>
    <row r="389" spans="1:3">
      <c r="A389">
        <v>389</v>
      </c>
      <c r="B389" s="1" t="s">
        <v>5495</v>
      </c>
      <c r="C389">
        <v>389</v>
      </c>
    </row>
    <row r="390" spans="1:3">
      <c r="A390">
        <v>390</v>
      </c>
      <c r="B390" s="1" t="s">
        <v>5496</v>
      </c>
      <c r="C390">
        <v>390</v>
      </c>
    </row>
    <row r="391" spans="1:3">
      <c r="A391">
        <v>391</v>
      </c>
      <c r="B391" s="1" t="s">
        <v>5497</v>
      </c>
      <c r="C391">
        <v>391</v>
      </c>
    </row>
    <row r="392" spans="1:3">
      <c r="A392">
        <v>392</v>
      </c>
      <c r="B392" s="1" t="s">
        <v>5500</v>
      </c>
      <c r="C392">
        <v>392</v>
      </c>
    </row>
    <row r="393" spans="1:3">
      <c r="A393">
        <v>393</v>
      </c>
      <c r="B393" s="1" t="s">
        <v>5501</v>
      </c>
      <c r="C393">
        <v>393</v>
      </c>
    </row>
    <row r="394" spans="1:3">
      <c r="A394">
        <v>394</v>
      </c>
      <c r="B394" s="1" t="s">
        <v>5502</v>
      </c>
      <c r="C394">
        <v>394</v>
      </c>
    </row>
    <row r="395" spans="1:3">
      <c r="A395">
        <v>395</v>
      </c>
      <c r="B395" s="1" t="s">
        <v>5503</v>
      </c>
      <c r="C395">
        <v>395</v>
      </c>
    </row>
    <row r="396" spans="1:3">
      <c r="A396">
        <v>396</v>
      </c>
      <c r="B396" s="1" t="s">
        <v>5504</v>
      </c>
      <c r="C396">
        <v>396</v>
      </c>
    </row>
    <row r="397" spans="1:3">
      <c r="A397">
        <v>397</v>
      </c>
      <c r="B397" s="1" t="s">
        <v>5505</v>
      </c>
      <c r="C397">
        <v>397</v>
      </c>
    </row>
    <row r="398" spans="1:3">
      <c r="A398">
        <v>398</v>
      </c>
      <c r="B398" s="1" t="s">
        <v>5506</v>
      </c>
      <c r="C398">
        <v>398</v>
      </c>
    </row>
    <row r="399" spans="1:3">
      <c r="A399">
        <v>399</v>
      </c>
      <c r="B399" s="1" t="s">
        <v>5507</v>
      </c>
      <c r="C399">
        <v>399</v>
      </c>
    </row>
    <row r="400" spans="1:3">
      <c r="A400">
        <v>400</v>
      </c>
      <c r="B400" s="1" t="s">
        <v>5508</v>
      </c>
      <c r="C400">
        <v>400</v>
      </c>
    </row>
    <row r="401" spans="1:3">
      <c r="A401">
        <v>401</v>
      </c>
      <c r="B401" s="1" t="s">
        <v>5509</v>
      </c>
      <c r="C401">
        <v>401</v>
      </c>
    </row>
    <row r="402" spans="1:3">
      <c r="A402">
        <v>402</v>
      </c>
      <c r="B402" s="1" t="s">
        <v>5510</v>
      </c>
      <c r="C402">
        <v>402</v>
      </c>
    </row>
    <row r="403" spans="1:3">
      <c r="A403">
        <v>403</v>
      </c>
      <c r="B403" s="1" t="s">
        <v>5511</v>
      </c>
      <c r="C403">
        <v>403</v>
      </c>
    </row>
    <row r="404" spans="1:3">
      <c r="A404">
        <v>404</v>
      </c>
      <c r="B404" s="1" t="s">
        <v>5512</v>
      </c>
      <c r="C404">
        <v>404</v>
      </c>
    </row>
    <row r="405" spans="1:3">
      <c r="A405">
        <v>405</v>
      </c>
      <c r="B405" s="1" t="s">
        <v>5513</v>
      </c>
      <c r="C405">
        <v>405</v>
      </c>
    </row>
    <row r="406" spans="1:3">
      <c r="A406">
        <v>406</v>
      </c>
      <c r="B406" s="1" t="s">
        <v>5501</v>
      </c>
      <c r="C406">
        <v>406</v>
      </c>
    </row>
    <row r="407" spans="1:3">
      <c r="A407">
        <v>407</v>
      </c>
      <c r="B407" s="1" t="s">
        <v>5502</v>
      </c>
      <c r="C407">
        <v>407</v>
      </c>
    </row>
    <row r="408" spans="1:3">
      <c r="A408">
        <v>408</v>
      </c>
      <c r="B408" s="1" t="s">
        <v>5503</v>
      </c>
      <c r="C408">
        <v>408</v>
      </c>
    </row>
    <row r="409" spans="1:3">
      <c r="A409">
        <v>409</v>
      </c>
      <c r="B409" s="1" t="s">
        <v>5504</v>
      </c>
      <c r="C409">
        <v>409</v>
      </c>
    </row>
    <row r="410" spans="1:3">
      <c r="A410">
        <v>410</v>
      </c>
      <c r="B410" s="1" t="s">
        <v>5505</v>
      </c>
      <c r="C410">
        <v>410</v>
      </c>
    </row>
    <row r="411" spans="1:3">
      <c r="A411">
        <v>411</v>
      </c>
      <c r="B411" s="1" t="s">
        <v>5506</v>
      </c>
      <c r="C411">
        <v>411</v>
      </c>
    </row>
    <row r="412" spans="1:3">
      <c r="A412">
        <v>412</v>
      </c>
      <c r="B412" s="1" t="s">
        <v>5507</v>
      </c>
      <c r="C412">
        <v>412</v>
      </c>
    </row>
    <row r="413" spans="1:3">
      <c r="A413">
        <v>413</v>
      </c>
      <c r="B413" s="1" t="s">
        <v>5508</v>
      </c>
      <c r="C413">
        <v>413</v>
      </c>
    </row>
    <row r="414" spans="1:3">
      <c r="A414">
        <v>414</v>
      </c>
      <c r="B414" s="1" t="s">
        <v>5509</v>
      </c>
      <c r="C414">
        <v>414</v>
      </c>
    </row>
    <row r="415" spans="1:3">
      <c r="A415">
        <v>415</v>
      </c>
      <c r="B415" s="1" t="s">
        <v>5510</v>
      </c>
      <c r="C415">
        <v>415</v>
      </c>
    </row>
    <row r="416" spans="1:3">
      <c r="A416">
        <v>416</v>
      </c>
      <c r="B416" s="1" t="s">
        <v>5511</v>
      </c>
      <c r="C416">
        <v>416</v>
      </c>
    </row>
    <row r="417" spans="1:3">
      <c r="A417">
        <v>417</v>
      </c>
      <c r="B417" s="1" t="s">
        <v>5514</v>
      </c>
      <c r="C417">
        <v>417</v>
      </c>
    </row>
    <row r="418" spans="1:3">
      <c r="A418">
        <v>418</v>
      </c>
      <c r="B418" s="1" t="s">
        <v>5515</v>
      </c>
      <c r="C418">
        <v>418</v>
      </c>
    </row>
    <row r="419" spans="1:3">
      <c r="A419">
        <v>419</v>
      </c>
      <c r="B419" s="1" t="s">
        <v>5516</v>
      </c>
      <c r="C419">
        <v>419</v>
      </c>
    </row>
    <row r="420" spans="1:3">
      <c r="A420">
        <v>420</v>
      </c>
      <c r="B420" s="1" t="s">
        <v>5517</v>
      </c>
      <c r="C420">
        <v>420</v>
      </c>
    </row>
    <row r="421" spans="1:3">
      <c r="A421">
        <v>421</v>
      </c>
      <c r="B421" s="1" t="s">
        <v>5518</v>
      </c>
      <c r="C421">
        <v>421</v>
      </c>
    </row>
    <row r="422" spans="1:3">
      <c r="A422">
        <v>422</v>
      </c>
      <c r="B422" s="1" t="s">
        <v>5519</v>
      </c>
      <c r="C422">
        <v>422</v>
      </c>
    </row>
    <row r="423" spans="1:3">
      <c r="A423">
        <v>423</v>
      </c>
      <c r="B423" s="1" t="s">
        <v>5520</v>
      </c>
      <c r="C423">
        <v>423</v>
      </c>
    </row>
    <row r="424" spans="1:3">
      <c r="A424">
        <v>424</v>
      </c>
      <c r="B424" s="1" t="s">
        <v>5521</v>
      </c>
      <c r="C424">
        <v>424</v>
      </c>
    </row>
    <row r="425" spans="1:3">
      <c r="A425">
        <v>425</v>
      </c>
      <c r="B425" s="1" t="s">
        <v>5522</v>
      </c>
      <c r="C425">
        <v>425</v>
      </c>
    </row>
    <row r="426" spans="1:3">
      <c r="A426">
        <v>426</v>
      </c>
      <c r="B426" s="1" t="s">
        <v>5523</v>
      </c>
      <c r="C426">
        <v>426</v>
      </c>
    </row>
    <row r="427" spans="1:3">
      <c r="A427">
        <v>427</v>
      </c>
      <c r="B427" s="1" t="s">
        <v>5524</v>
      </c>
      <c r="C427">
        <v>427</v>
      </c>
    </row>
    <row r="428" spans="1:3">
      <c r="A428">
        <v>428</v>
      </c>
      <c r="B428" s="1" t="s">
        <v>5525</v>
      </c>
      <c r="C428">
        <v>428</v>
      </c>
    </row>
    <row r="429" spans="1:3">
      <c r="A429">
        <v>429</v>
      </c>
      <c r="B429" s="1" t="s">
        <v>5500</v>
      </c>
      <c r="C429">
        <v>429</v>
      </c>
    </row>
    <row r="430" spans="1:3">
      <c r="A430">
        <v>430</v>
      </c>
      <c r="B430" s="1" t="s">
        <v>5501</v>
      </c>
      <c r="C430">
        <v>430</v>
      </c>
    </row>
    <row r="431" spans="1:3">
      <c r="A431">
        <v>431</v>
      </c>
      <c r="B431" s="1" t="s">
        <v>5502</v>
      </c>
      <c r="C431">
        <v>431</v>
      </c>
    </row>
    <row r="432" spans="1:3">
      <c r="A432">
        <v>432</v>
      </c>
      <c r="B432" s="1" t="s">
        <v>5503</v>
      </c>
      <c r="C432">
        <v>432</v>
      </c>
    </row>
    <row r="433" spans="1:3">
      <c r="A433">
        <v>433</v>
      </c>
      <c r="B433" s="1" t="s">
        <v>5504</v>
      </c>
      <c r="C433">
        <v>433</v>
      </c>
    </row>
    <row r="434" spans="1:3">
      <c r="A434">
        <v>434</v>
      </c>
      <c r="B434" s="1" t="s">
        <v>5505</v>
      </c>
      <c r="C434">
        <v>434</v>
      </c>
    </row>
    <row r="435" spans="1:3">
      <c r="A435">
        <v>435</v>
      </c>
      <c r="B435" s="1" t="s">
        <v>5506</v>
      </c>
      <c r="C435">
        <v>435</v>
      </c>
    </row>
    <row r="436" spans="1:3">
      <c r="A436">
        <v>436</v>
      </c>
      <c r="B436" s="1" t="s">
        <v>5507</v>
      </c>
      <c r="C436">
        <v>436</v>
      </c>
    </row>
    <row r="437" spans="1:3">
      <c r="A437">
        <v>437</v>
      </c>
      <c r="B437" s="1" t="s">
        <v>5508</v>
      </c>
      <c r="C437">
        <v>437</v>
      </c>
    </row>
    <row r="438" spans="1:3">
      <c r="A438">
        <v>438</v>
      </c>
      <c r="B438" s="1" t="s">
        <v>5509</v>
      </c>
      <c r="C438">
        <v>438</v>
      </c>
    </row>
    <row r="439" spans="1:3">
      <c r="A439">
        <v>439</v>
      </c>
      <c r="B439" s="1" t="s">
        <v>5510</v>
      </c>
      <c r="C439">
        <v>439</v>
      </c>
    </row>
    <row r="440" spans="1:3">
      <c r="A440">
        <v>440</v>
      </c>
      <c r="B440" s="1" t="s">
        <v>5511</v>
      </c>
      <c r="C440">
        <v>440</v>
      </c>
    </row>
    <row r="441" spans="1:3">
      <c r="A441">
        <v>441</v>
      </c>
      <c r="B441" s="1" t="s">
        <v>5514</v>
      </c>
      <c r="C441">
        <v>441</v>
      </c>
    </row>
    <row r="442" spans="1:3">
      <c r="A442">
        <v>442</v>
      </c>
      <c r="B442" s="1" t="s">
        <v>5515</v>
      </c>
      <c r="C442">
        <v>442</v>
      </c>
    </row>
    <row r="443" spans="1:3">
      <c r="A443">
        <v>443</v>
      </c>
      <c r="B443" s="1" t="s">
        <v>5516</v>
      </c>
      <c r="C443">
        <v>443</v>
      </c>
    </row>
    <row r="444" spans="1:3">
      <c r="A444">
        <v>444</v>
      </c>
      <c r="B444" s="1" t="s">
        <v>5517</v>
      </c>
      <c r="C444">
        <v>444</v>
      </c>
    </row>
    <row r="445" spans="1:3">
      <c r="A445">
        <v>445</v>
      </c>
      <c r="B445" s="1" t="s">
        <v>5518</v>
      </c>
      <c r="C445">
        <v>445</v>
      </c>
    </row>
    <row r="446" spans="1:3">
      <c r="A446">
        <v>446</v>
      </c>
      <c r="B446" s="1" t="s">
        <v>5519</v>
      </c>
      <c r="C446">
        <v>446</v>
      </c>
    </row>
    <row r="447" spans="1:3">
      <c r="A447">
        <v>447</v>
      </c>
      <c r="B447" s="1" t="s">
        <v>5520</v>
      </c>
      <c r="C447">
        <v>447</v>
      </c>
    </row>
    <row r="448" spans="1:3">
      <c r="A448">
        <v>448</v>
      </c>
      <c r="B448" s="1" t="s">
        <v>5521</v>
      </c>
      <c r="C448">
        <v>448</v>
      </c>
    </row>
    <row r="449" spans="1:3">
      <c r="A449">
        <v>449</v>
      </c>
      <c r="B449" s="1" t="s">
        <v>5522</v>
      </c>
      <c r="C449">
        <v>449</v>
      </c>
    </row>
    <row r="450" spans="1:3">
      <c r="A450">
        <v>450</v>
      </c>
      <c r="B450" s="1" t="s">
        <v>5523</v>
      </c>
      <c r="C450">
        <v>450</v>
      </c>
    </row>
    <row r="451" spans="1:3">
      <c r="A451">
        <v>451</v>
      </c>
      <c r="B451" s="1" t="s">
        <v>5524</v>
      </c>
      <c r="C451">
        <v>451</v>
      </c>
    </row>
    <row r="452" spans="1:3">
      <c r="A452">
        <v>452</v>
      </c>
      <c r="B452" s="1" t="s">
        <v>5525</v>
      </c>
      <c r="C452">
        <v>452</v>
      </c>
    </row>
    <row r="453" spans="1:3">
      <c r="A453">
        <v>453</v>
      </c>
      <c r="B453" s="1" t="s">
        <v>5526</v>
      </c>
      <c r="C453">
        <v>453</v>
      </c>
    </row>
    <row r="454" spans="1:3">
      <c r="A454">
        <v>454</v>
      </c>
      <c r="B454" s="1" t="s">
        <v>5527</v>
      </c>
      <c r="C454">
        <v>454</v>
      </c>
    </row>
    <row r="455" spans="1:3">
      <c r="A455">
        <v>455</v>
      </c>
      <c r="B455" s="1" t="s">
        <v>5515</v>
      </c>
      <c r="C455">
        <v>455</v>
      </c>
    </row>
    <row r="456" spans="1:3">
      <c r="A456">
        <v>456</v>
      </c>
      <c r="B456" s="1" t="s">
        <v>5516</v>
      </c>
      <c r="C456">
        <v>456</v>
      </c>
    </row>
    <row r="457" spans="1:3">
      <c r="A457">
        <v>457</v>
      </c>
      <c r="B457" s="1" t="s">
        <v>5517</v>
      </c>
      <c r="C457">
        <v>457</v>
      </c>
    </row>
    <row r="458" spans="1:3">
      <c r="A458">
        <v>458</v>
      </c>
      <c r="B458" s="1" t="s">
        <v>5518</v>
      </c>
      <c r="C458">
        <v>458</v>
      </c>
    </row>
    <row r="459" spans="1:3">
      <c r="A459">
        <v>459</v>
      </c>
      <c r="B459" s="1" t="s">
        <v>5519</v>
      </c>
      <c r="C459">
        <v>459</v>
      </c>
    </row>
    <row r="460" spans="1:3">
      <c r="A460">
        <v>460</v>
      </c>
      <c r="B460" s="1" t="s">
        <v>5520</v>
      </c>
      <c r="C460">
        <v>460</v>
      </c>
    </row>
    <row r="461" spans="1:3">
      <c r="A461">
        <v>461</v>
      </c>
      <c r="B461" s="1" t="s">
        <v>5521</v>
      </c>
      <c r="C461">
        <v>461</v>
      </c>
    </row>
    <row r="462" spans="1:3">
      <c r="A462">
        <v>462</v>
      </c>
      <c r="B462" s="1" t="s">
        <v>5522</v>
      </c>
      <c r="C462">
        <v>462</v>
      </c>
    </row>
    <row r="463" spans="1:3">
      <c r="A463">
        <v>463</v>
      </c>
      <c r="B463" s="1" t="s">
        <v>5523</v>
      </c>
      <c r="C463">
        <v>463</v>
      </c>
    </row>
    <row r="464" spans="1:3">
      <c r="A464">
        <v>464</v>
      </c>
      <c r="B464" s="1" t="s">
        <v>5524</v>
      </c>
      <c r="C464">
        <v>464</v>
      </c>
    </row>
    <row r="465" spans="1:3">
      <c r="A465">
        <v>465</v>
      </c>
      <c r="B465" s="1" t="s">
        <v>5525</v>
      </c>
      <c r="C465">
        <v>465</v>
      </c>
    </row>
    <row r="466" spans="1:3">
      <c r="A466">
        <v>466</v>
      </c>
      <c r="B466" s="1" t="s">
        <v>5528</v>
      </c>
      <c r="C466">
        <v>466</v>
      </c>
    </row>
    <row r="467" spans="1:3">
      <c r="A467">
        <v>467</v>
      </c>
      <c r="B467" s="1" t="s">
        <v>5529</v>
      </c>
      <c r="C467">
        <v>467</v>
      </c>
    </row>
    <row r="468" spans="1:3">
      <c r="A468">
        <v>468</v>
      </c>
      <c r="B468" s="1" t="s">
        <v>5530</v>
      </c>
      <c r="C468">
        <v>468</v>
      </c>
    </row>
    <row r="469" spans="1:3">
      <c r="A469">
        <v>469</v>
      </c>
      <c r="B469" s="1" t="s">
        <v>5531</v>
      </c>
      <c r="C469">
        <v>469</v>
      </c>
    </row>
    <row r="470" spans="1:3">
      <c r="A470">
        <v>470</v>
      </c>
      <c r="B470" s="1" t="s">
        <v>5532</v>
      </c>
      <c r="C470">
        <v>470</v>
      </c>
    </row>
    <row r="471" spans="1:3">
      <c r="A471">
        <v>471</v>
      </c>
      <c r="B471" s="1" t="s">
        <v>5533</v>
      </c>
      <c r="C471">
        <v>471</v>
      </c>
    </row>
    <row r="472" spans="1:3">
      <c r="A472">
        <v>472</v>
      </c>
      <c r="B472" s="1" t="s">
        <v>5534</v>
      </c>
      <c r="C472">
        <v>472</v>
      </c>
    </row>
    <row r="473" spans="1:3">
      <c r="A473">
        <v>473</v>
      </c>
      <c r="B473" s="1" t="s">
        <v>5535</v>
      </c>
      <c r="C473">
        <v>473</v>
      </c>
    </row>
    <row r="474" spans="1:3">
      <c r="A474">
        <v>474</v>
      </c>
      <c r="B474" s="1" t="s">
        <v>5536</v>
      </c>
      <c r="C474">
        <v>474</v>
      </c>
    </row>
    <row r="475" spans="1:3">
      <c r="A475">
        <v>475</v>
      </c>
      <c r="B475" s="1" t="s">
        <v>5537</v>
      </c>
      <c r="C475">
        <v>475</v>
      </c>
    </row>
    <row r="476" spans="1:3">
      <c r="A476">
        <v>476</v>
      </c>
      <c r="B476" s="1" t="s">
        <v>5538</v>
      </c>
      <c r="C476">
        <v>476</v>
      </c>
    </row>
    <row r="477" spans="1:3">
      <c r="A477">
        <v>477</v>
      </c>
      <c r="B477" s="1" t="s">
        <v>5539</v>
      </c>
      <c r="C477">
        <v>477</v>
      </c>
    </row>
    <row r="478" spans="1:3">
      <c r="A478">
        <v>478</v>
      </c>
      <c r="B478" s="1" t="s">
        <v>5514</v>
      </c>
      <c r="C478">
        <v>478</v>
      </c>
    </row>
    <row r="479" spans="1:3">
      <c r="A479">
        <v>479</v>
      </c>
      <c r="B479" s="1" t="s">
        <v>5515</v>
      </c>
      <c r="C479">
        <v>479</v>
      </c>
    </row>
    <row r="480" spans="1:3">
      <c r="A480">
        <v>480</v>
      </c>
      <c r="B480" s="1" t="s">
        <v>5516</v>
      </c>
      <c r="C480">
        <v>480</v>
      </c>
    </row>
    <row r="481" spans="1:3">
      <c r="A481">
        <v>481</v>
      </c>
      <c r="B481" s="1" t="s">
        <v>5517</v>
      </c>
      <c r="C481">
        <v>481</v>
      </c>
    </row>
    <row r="482" spans="1:3">
      <c r="A482">
        <v>482</v>
      </c>
      <c r="B482" s="1" t="s">
        <v>5518</v>
      </c>
      <c r="C482">
        <v>482</v>
      </c>
    </row>
    <row r="483" spans="1:3">
      <c r="A483">
        <v>483</v>
      </c>
      <c r="B483" s="1" t="s">
        <v>5519</v>
      </c>
      <c r="C483">
        <v>483</v>
      </c>
    </row>
    <row r="484" spans="1:3">
      <c r="A484">
        <v>484</v>
      </c>
      <c r="B484" s="1" t="s">
        <v>5520</v>
      </c>
      <c r="C484">
        <v>484</v>
      </c>
    </row>
    <row r="485" spans="1:3">
      <c r="A485">
        <v>485</v>
      </c>
      <c r="B485" s="1" t="s">
        <v>5521</v>
      </c>
      <c r="C485">
        <v>485</v>
      </c>
    </row>
    <row r="486" spans="1:3">
      <c r="A486">
        <v>486</v>
      </c>
      <c r="B486" s="1" t="s">
        <v>5522</v>
      </c>
      <c r="C486">
        <v>486</v>
      </c>
    </row>
    <row r="487" spans="1:3">
      <c r="A487">
        <v>487</v>
      </c>
      <c r="B487" s="1" t="s">
        <v>5523</v>
      </c>
      <c r="C487">
        <v>487</v>
      </c>
    </row>
    <row r="488" spans="1:3">
      <c r="A488">
        <v>488</v>
      </c>
      <c r="B488" s="1" t="s">
        <v>5524</v>
      </c>
      <c r="C488">
        <v>488</v>
      </c>
    </row>
    <row r="489" spans="1:3">
      <c r="A489">
        <v>489</v>
      </c>
      <c r="B489" s="1" t="s">
        <v>5525</v>
      </c>
      <c r="C489">
        <v>489</v>
      </c>
    </row>
    <row r="490" spans="1:3">
      <c r="A490">
        <v>490</v>
      </c>
      <c r="B490" s="1" t="s">
        <v>5528</v>
      </c>
      <c r="C490">
        <v>490</v>
      </c>
    </row>
    <row r="491" spans="1:3">
      <c r="A491">
        <v>491</v>
      </c>
      <c r="B491" s="1" t="s">
        <v>5529</v>
      </c>
      <c r="C491">
        <v>491</v>
      </c>
    </row>
    <row r="492" spans="1:3">
      <c r="A492">
        <v>492</v>
      </c>
      <c r="B492" s="1" t="s">
        <v>5530</v>
      </c>
      <c r="C492">
        <v>492</v>
      </c>
    </row>
    <row r="493" spans="1:3">
      <c r="A493">
        <v>493</v>
      </c>
      <c r="B493" s="1" t="s">
        <v>5531</v>
      </c>
      <c r="C493">
        <v>493</v>
      </c>
    </row>
    <row r="494" spans="1:3">
      <c r="A494">
        <v>494</v>
      </c>
      <c r="B494" s="1" t="s">
        <v>5532</v>
      </c>
      <c r="C494">
        <v>494</v>
      </c>
    </row>
    <row r="495" spans="1:3">
      <c r="A495">
        <v>495</v>
      </c>
      <c r="B495" s="1" t="s">
        <v>5533</v>
      </c>
      <c r="C495">
        <v>495</v>
      </c>
    </row>
    <row r="496" spans="1:3">
      <c r="A496">
        <v>496</v>
      </c>
      <c r="B496" s="1" t="s">
        <v>5534</v>
      </c>
      <c r="C496">
        <v>496</v>
      </c>
    </row>
    <row r="497" spans="1:3">
      <c r="A497">
        <v>497</v>
      </c>
      <c r="B497" s="1" t="s">
        <v>5535</v>
      </c>
      <c r="C497">
        <v>497</v>
      </c>
    </row>
    <row r="498" spans="1:3">
      <c r="A498">
        <v>498</v>
      </c>
      <c r="B498" s="1" t="s">
        <v>5536</v>
      </c>
      <c r="C498">
        <v>498</v>
      </c>
    </row>
    <row r="499" spans="1:3">
      <c r="A499">
        <v>499</v>
      </c>
      <c r="B499" s="1" t="s">
        <v>5537</v>
      </c>
      <c r="C499">
        <v>499</v>
      </c>
    </row>
    <row r="500" spans="1:3">
      <c r="A500">
        <v>500</v>
      </c>
      <c r="B500" s="1" t="s">
        <v>5538</v>
      </c>
      <c r="C500">
        <v>500</v>
      </c>
    </row>
    <row r="501" spans="1:3">
      <c r="A501">
        <v>501</v>
      </c>
      <c r="B501" s="1" t="s">
        <v>5539</v>
      </c>
      <c r="C501">
        <v>501</v>
      </c>
    </row>
    <row r="502" spans="1:3">
      <c r="A502">
        <v>502</v>
      </c>
      <c r="B502" s="1" t="s">
        <v>5540</v>
      </c>
      <c r="C502">
        <v>502</v>
      </c>
    </row>
    <row r="503" spans="1:3">
      <c r="A503">
        <v>503</v>
      </c>
      <c r="B503" s="1" t="s">
        <v>5541</v>
      </c>
      <c r="C503">
        <v>503</v>
      </c>
    </row>
    <row r="504" spans="1:3">
      <c r="A504">
        <v>504</v>
      </c>
      <c r="B504" s="1" t="s">
        <v>5542</v>
      </c>
      <c r="C504">
        <v>504</v>
      </c>
    </row>
    <row r="505" spans="1:3">
      <c r="A505">
        <v>505</v>
      </c>
      <c r="B505" s="1" t="s">
        <v>5543</v>
      </c>
      <c r="C505">
        <v>505</v>
      </c>
    </row>
    <row r="506" spans="1:3">
      <c r="A506">
        <v>506</v>
      </c>
      <c r="B506" s="1" t="s">
        <v>5544</v>
      </c>
      <c r="C506">
        <v>506</v>
      </c>
    </row>
    <row r="507" spans="1:3">
      <c r="A507">
        <v>507</v>
      </c>
      <c r="B507" s="1" t="s">
        <v>5545</v>
      </c>
      <c r="C507">
        <v>507</v>
      </c>
    </row>
    <row r="508" spans="1:3">
      <c r="A508">
        <v>508</v>
      </c>
      <c r="B508" s="1" t="s">
        <v>5546</v>
      </c>
      <c r="C508">
        <v>508</v>
      </c>
    </row>
    <row r="509" spans="1:3">
      <c r="A509">
        <v>509</v>
      </c>
      <c r="B509" s="1" t="s">
        <v>5547</v>
      </c>
      <c r="C509">
        <v>509</v>
      </c>
    </row>
    <row r="510" spans="1:3">
      <c r="A510">
        <v>510</v>
      </c>
      <c r="B510" s="1" t="s">
        <v>5548</v>
      </c>
      <c r="C510">
        <v>510</v>
      </c>
    </row>
    <row r="511" spans="1:3">
      <c r="A511">
        <v>511</v>
      </c>
      <c r="B511" s="1" t="s">
        <v>5549</v>
      </c>
      <c r="C511">
        <v>511</v>
      </c>
    </row>
    <row r="512" spans="1:3">
      <c r="A512">
        <v>512</v>
      </c>
      <c r="B512" s="1" t="s">
        <v>5550</v>
      </c>
      <c r="C512">
        <v>512</v>
      </c>
    </row>
    <row r="513" spans="1:3">
      <c r="A513">
        <v>513</v>
      </c>
      <c r="B513" s="1" t="s">
        <v>5551</v>
      </c>
      <c r="C513">
        <v>513</v>
      </c>
    </row>
    <row r="514" spans="1:3">
      <c r="A514">
        <v>514</v>
      </c>
      <c r="B514" s="1" t="s">
        <v>5552</v>
      </c>
      <c r="C514">
        <v>514</v>
      </c>
    </row>
    <row r="515" spans="1:3">
      <c r="A515">
        <v>515</v>
      </c>
      <c r="B515" s="1" t="s">
        <v>5553</v>
      </c>
      <c r="C515">
        <v>515</v>
      </c>
    </row>
    <row r="516" spans="1:3">
      <c r="A516">
        <v>516</v>
      </c>
      <c r="B516" s="1" t="s">
        <v>5554</v>
      </c>
      <c r="C516">
        <v>516</v>
      </c>
    </row>
    <row r="517" spans="1:3">
      <c r="A517">
        <v>517</v>
      </c>
      <c r="B517" s="1" t="s">
        <v>5555</v>
      </c>
      <c r="C517">
        <v>517</v>
      </c>
    </row>
    <row r="518" spans="1:3">
      <c r="A518">
        <v>518</v>
      </c>
      <c r="B518" s="1" t="s">
        <v>5556</v>
      </c>
      <c r="C518">
        <v>518</v>
      </c>
    </row>
    <row r="519" spans="1:3">
      <c r="A519">
        <v>519</v>
      </c>
      <c r="B519" s="1" t="s">
        <v>5557</v>
      </c>
      <c r="C519">
        <v>519</v>
      </c>
    </row>
    <row r="520" spans="1:3">
      <c r="A520">
        <v>520</v>
      </c>
      <c r="B520" s="1" t="s">
        <v>5558</v>
      </c>
      <c r="C520">
        <v>520</v>
      </c>
    </row>
    <row r="521" spans="1:3">
      <c r="A521">
        <v>521</v>
      </c>
      <c r="B521" s="1" t="s">
        <v>5559</v>
      </c>
      <c r="C521">
        <v>521</v>
      </c>
    </row>
    <row r="522" spans="1:3">
      <c r="A522">
        <v>522</v>
      </c>
      <c r="B522" s="1" t="s">
        <v>5560</v>
      </c>
      <c r="C522">
        <v>522</v>
      </c>
    </row>
    <row r="523" spans="1:3">
      <c r="A523">
        <v>523</v>
      </c>
      <c r="B523" s="1" t="s">
        <v>5561</v>
      </c>
      <c r="C523">
        <v>523</v>
      </c>
    </row>
    <row r="524" spans="1:3">
      <c r="A524">
        <v>524</v>
      </c>
      <c r="B524" s="1" t="s">
        <v>5562</v>
      </c>
      <c r="C524">
        <v>524</v>
      </c>
    </row>
    <row r="525" spans="1:3">
      <c r="A525">
        <v>525</v>
      </c>
      <c r="B525" s="1" t="s">
        <v>5563</v>
      </c>
      <c r="C525">
        <v>525</v>
      </c>
    </row>
    <row r="526" spans="1:3">
      <c r="A526">
        <v>526</v>
      </c>
      <c r="B526" s="1" t="s">
        <v>5564</v>
      </c>
      <c r="C526">
        <v>526</v>
      </c>
    </row>
    <row r="527" spans="1:3">
      <c r="A527">
        <v>527</v>
      </c>
      <c r="B527" s="1" t="s">
        <v>5565</v>
      </c>
      <c r="C527">
        <v>527</v>
      </c>
    </row>
    <row r="528" spans="1:3">
      <c r="A528">
        <v>528</v>
      </c>
      <c r="B528" s="1" t="s">
        <v>5566</v>
      </c>
      <c r="C528">
        <v>528</v>
      </c>
    </row>
    <row r="529" spans="1:3">
      <c r="A529">
        <v>529</v>
      </c>
      <c r="B529" s="1" t="s">
        <v>5567</v>
      </c>
      <c r="C529">
        <v>529</v>
      </c>
    </row>
    <row r="530" spans="1:3">
      <c r="A530">
        <v>530</v>
      </c>
      <c r="B530" s="1" t="s">
        <v>5568</v>
      </c>
      <c r="C530">
        <v>530</v>
      </c>
    </row>
    <row r="531" spans="1:3">
      <c r="A531">
        <v>531</v>
      </c>
      <c r="B531" s="1" t="s">
        <v>5569</v>
      </c>
      <c r="C531">
        <v>531</v>
      </c>
    </row>
    <row r="532" spans="1:3">
      <c r="A532">
        <v>532</v>
      </c>
      <c r="B532" s="1" t="s">
        <v>5570</v>
      </c>
      <c r="C532">
        <v>532</v>
      </c>
    </row>
    <row r="533" spans="1:3">
      <c r="A533">
        <v>533</v>
      </c>
      <c r="B533" s="1" t="s">
        <v>5571</v>
      </c>
      <c r="C533">
        <v>533</v>
      </c>
    </row>
    <row r="534" spans="1:3">
      <c r="A534">
        <v>534</v>
      </c>
      <c r="B534" s="1" t="s">
        <v>5572</v>
      </c>
      <c r="C534">
        <v>534</v>
      </c>
    </row>
    <row r="535" spans="1:3">
      <c r="A535">
        <v>535</v>
      </c>
      <c r="B535" s="1" t="s">
        <v>5573</v>
      </c>
      <c r="C535">
        <v>535</v>
      </c>
    </row>
    <row r="536" spans="1:3">
      <c r="A536">
        <v>536</v>
      </c>
      <c r="B536" s="1" t="s">
        <v>5574</v>
      </c>
      <c r="C536">
        <v>536</v>
      </c>
    </row>
    <row r="537" spans="1:3">
      <c r="A537">
        <v>537</v>
      </c>
      <c r="B537" s="1" t="s">
        <v>5575</v>
      </c>
      <c r="C537">
        <v>537</v>
      </c>
    </row>
    <row r="538" spans="1:3">
      <c r="A538">
        <v>538</v>
      </c>
      <c r="B538" s="1" t="s">
        <v>5576</v>
      </c>
      <c r="C538">
        <v>538</v>
      </c>
    </row>
    <row r="539" spans="1:3">
      <c r="A539">
        <v>539</v>
      </c>
      <c r="B539" s="1" t="s">
        <v>5577</v>
      </c>
      <c r="C539">
        <v>539</v>
      </c>
    </row>
    <row r="540" spans="1:3">
      <c r="A540">
        <v>540</v>
      </c>
      <c r="B540" s="1" t="s">
        <v>5578</v>
      </c>
      <c r="C540">
        <v>540</v>
      </c>
    </row>
    <row r="541" spans="1:3">
      <c r="A541">
        <v>541</v>
      </c>
      <c r="B541" s="1" t="s">
        <v>5579</v>
      </c>
      <c r="C541">
        <v>541</v>
      </c>
    </row>
    <row r="542" spans="1:3">
      <c r="A542">
        <v>542</v>
      </c>
      <c r="B542" s="1" t="s">
        <v>5580</v>
      </c>
      <c r="C542">
        <v>542</v>
      </c>
    </row>
    <row r="543" spans="1:3">
      <c r="A543">
        <v>543</v>
      </c>
      <c r="B543" s="1" t="s">
        <v>5581</v>
      </c>
      <c r="C543">
        <v>543</v>
      </c>
    </row>
    <row r="544" spans="1:3">
      <c r="A544">
        <v>544</v>
      </c>
      <c r="B544" s="1" t="s">
        <v>5582</v>
      </c>
      <c r="C544">
        <v>544</v>
      </c>
    </row>
    <row r="545" spans="1:3">
      <c r="A545">
        <v>545</v>
      </c>
      <c r="B545" s="1" t="s">
        <v>5583</v>
      </c>
      <c r="C545">
        <v>545</v>
      </c>
    </row>
    <row r="546" spans="1:3">
      <c r="A546">
        <v>546</v>
      </c>
      <c r="B546" s="1" t="s">
        <v>5584</v>
      </c>
      <c r="C546">
        <v>546</v>
      </c>
    </row>
    <row r="547" spans="1:3">
      <c r="A547">
        <v>547</v>
      </c>
      <c r="B547" s="1" t="s">
        <v>5585</v>
      </c>
      <c r="C547">
        <v>547</v>
      </c>
    </row>
    <row r="548" spans="1:3">
      <c r="A548">
        <v>548</v>
      </c>
      <c r="B548" s="1" t="s">
        <v>5586</v>
      </c>
      <c r="C548">
        <v>548</v>
      </c>
    </row>
    <row r="549" spans="1:3">
      <c r="A549">
        <v>549</v>
      </c>
      <c r="B549" s="1" t="s">
        <v>5587</v>
      </c>
      <c r="C549">
        <v>549</v>
      </c>
    </row>
    <row r="550" spans="1:3">
      <c r="A550">
        <v>550</v>
      </c>
      <c r="B550" s="1" t="s">
        <v>5588</v>
      </c>
      <c r="C550">
        <v>550</v>
      </c>
    </row>
    <row r="551" spans="1:3">
      <c r="A551">
        <v>551</v>
      </c>
      <c r="B551" s="1" t="s">
        <v>5589</v>
      </c>
      <c r="C551">
        <v>551</v>
      </c>
    </row>
    <row r="552" spans="1:3">
      <c r="A552">
        <v>552</v>
      </c>
      <c r="B552" s="1" t="s">
        <v>5590</v>
      </c>
      <c r="C552">
        <v>552</v>
      </c>
    </row>
    <row r="553" spans="1:3">
      <c r="A553">
        <v>553</v>
      </c>
      <c r="B553" s="1" t="s">
        <v>5591</v>
      </c>
      <c r="C553">
        <v>553</v>
      </c>
    </row>
    <row r="554" spans="1:3">
      <c r="A554">
        <v>554</v>
      </c>
      <c r="B554" s="1" t="s">
        <v>5592</v>
      </c>
      <c r="C554">
        <v>554</v>
      </c>
    </row>
    <row r="555" spans="1:3">
      <c r="A555">
        <v>555</v>
      </c>
      <c r="B555" s="1" t="s">
        <v>5593</v>
      </c>
      <c r="C555">
        <v>555</v>
      </c>
    </row>
    <row r="556" spans="1:3">
      <c r="A556">
        <v>556</v>
      </c>
      <c r="B556" s="1" t="s">
        <v>5594</v>
      </c>
      <c r="C556">
        <v>556</v>
      </c>
    </row>
    <row r="557" spans="1:3">
      <c r="A557">
        <v>557</v>
      </c>
      <c r="B557" s="1" t="s">
        <v>5595</v>
      </c>
      <c r="C557">
        <v>557</v>
      </c>
    </row>
    <row r="558" spans="1:3">
      <c r="A558">
        <v>558</v>
      </c>
      <c r="B558" s="1" t="s">
        <v>5596</v>
      </c>
      <c r="C558">
        <v>558</v>
      </c>
    </row>
    <row r="559" spans="1:3">
      <c r="A559">
        <v>559</v>
      </c>
      <c r="B559" s="1" t="s">
        <v>5597</v>
      </c>
      <c r="C559">
        <v>559</v>
      </c>
    </row>
    <row r="560" spans="1:3">
      <c r="A560">
        <v>560</v>
      </c>
      <c r="B560" s="1" t="s">
        <v>5598</v>
      </c>
      <c r="C560">
        <v>560</v>
      </c>
    </row>
    <row r="561" spans="1:3">
      <c r="A561">
        <v>561</v>
      </c>
      <c r="B561" s="1" t="s">
        <v>5599</v>
      </c>
      <c r="C561">
        <v>561</v>
      </c>
    </row>
    <row r="562" spans="1:3">
      <c r="A562">
        <v>562</v>
      </c>
      <c r="B562" s="1" t="s">
        <v>5600</v>
      </c>
      <c r="C562">
        <v>562</v>
      </c>
    </row>
    <row r="563" spans="1:3">
      <c r="A563">
        <v>563</v>
      </c>
      <c r="B563" s="1" t="s">
        <v>5601</v>
      </c>
      <c r="C563">
        <v>563</v>
      </c>
    </row>
    <row r="564" spans="1:3">
      <c r="A564">
        <v>564</v>
      </c>
      <c r="B564" s="1" t="s">
        <v>5602</v>
      </c>
      <c r="C564">
        <v>564</v>
      </c>
    </row>
    <row r="565" spans="1:3">
      <c r="A565">
        <v>565</v>
      </c>
      <c r="B565" s="1" t="s">
        <v>5603</v>
      </c>
      <c r="C565">
        <v>565</v>
      </c>
    </row>
    <row r="566" spans="1:3">
      <c r="A566">
        <v>566</v>
      </c>
      <c r="B566" s="1" t="s">
        <v>5604</v>
      </c>
      <c r="C566">
        <v>566</v>
      </c>
    </row>
    <row r="567" spans="1:3">
      <c r="A567">
        <v>567</v>
      </c>
      <c r="B567" s="1" t="s">
        <v>5605</v>
      </c>
      <c r="C567">
        <v>567</v>
      </c>
    </row>
    <row r="568" spans="1:3">
      <c r="A568">
        <v>568</v>
      </c>
      <c r="B568" s="1" t="s">
        <v>5606</v>
      </c>
      <c r="C568">
        <v>568</v>
      </c>
    </row>
    <row r="569" spans="1:3">
      <c r="A569">
        <v>569</v>
      </c>
      <c r="B569" s="1" t="s">
        <v>5607</v>
      </c>
      <c r="C569">
        <v>569</v>
      </c>
    </row>
    <row r="570" spans="1:3">
      <c r="A570">
        <v>570</v>
      </c>
      <c r="B570" s="1" t="s">
        <v>5608</v>
      </c>
      <c r="C570">
        <v>570</v>
      </c>
    </row>
    <row r="571" spans="1:3">
      <c r="A571">
        <v>571</v>
      </c>
      <c r="B571" s="1" t="s">
        <v>5609</v>
      </c>
      <c r="C571">
        <v>571</v>
      </c>
    </row>
    <row r="572" spans="1:3">
      <c r="A572">
        <v>572</v>
      </c>
      <c r="B572" s="1" t="s">
        <v>5610</v>
      </c>
      <c r="C572">
        <v>572</v>
      </c>
    </row>
    <row r="573" spans="1:3">
      <c r="A573">
        <v>573</v>
      </c>
      <c r="B573" s="1" t="s">
        <v>5611</v>
      </c>
      <c r="C573">
        <v>573</v>
      </c>
    </row>
    <row r="574" spans="1:3">
      <c r="A574">
        <v>574</v>
      </c>
      <c r="B574" s="1" t="s">
        <v>5612</v>
      </c>
      <c r="C574">
        <v>574</v>
      </c>
    </row>
    <row r="575" spans="1:3">
      <c r="A575">
        <v>575</v>
      </c>
      <c r="B575" s="1" t="s">
        <v>5613</v>
      </c>
      <c r="C575">
        <v>575</v>
      </c>
    </row>
    <row r="576" spans="1:3">
      <c r="A576">
        <v>576</v>
      </c>
      <c r="B576" s="1" t="s">
        <v>5614</v>
      </c>
      <c r="C576">
        <v>576</v>
      </c>
    </row>
    <row r="577" spans="1:3">
      <c r="A577">
        <v>577</v>
      </c>
      <c r="B577" s="1" t="s">
        <v>5615</v>
      </c>
      <c r="C577">
        <v>577</v>
      </c>
    </row>
    <row r="578" spans="1:3">
      <c r="A578">
        <v>578</v>
      </c>
      <c r="B578" s="1" t="s">
        <v>5616</v>
      </c>
      <c r="C578">
        <v>578</v>
      </c>
    </row>
    <row r="579" spans="1:3">
      <c r="A579">
        <v>579</v>
      </c>
      <c r="B579" s="1" t="s">
        <v>5617</v>
      </c>
      <c r="C579">
        <v>579</v>
      </c>
    </row>
    <row r="580" spans="1:3">
      <c r="A580">
        <v>580</v>
      </c>
      <c r="B580" s="1" t="s">
        <v>5618</v>
      </c>
      <c r="C580">
        <v>580</v>
      </c>
    </row>
    <row r="581" spans="1:3">
      <c r="A581">
        <v>581</v>
      </c>
      <c r="B581" s="1" t="s">
        <v>5619</v>
      </c>
      <c r="C581">
        <v>581</v>
      </c>
    </row>
    <row r="582" spans="1:3">
      <c r="A582">
        <v>582</v>
      </c>
      <c r="B582" s="1" t="s">
        <v>5620</v>
      </c>
      <c r="C582">
        <v>582</v>
      </c>
    </row>
    <row r="583" spans="1:3">
      <c r="A583">
        <v>583</v>
      </c>
      <c r="B583" s="1" t="s">
        <v>5621</v>
      </c>
      <c r="C583">
        <v>583</v>
      </c>
    </row>
    <row r="584" spans="1:3">
      <c r="A584">
        <v>584</v>
      </c>
      <c r="B584" s="1" t="s">
        <v>5622</v>
      </c>
      <c r="C584">
        <v>584</v>
      </c>
    </row>
    <row r="585" spans="1:3">
      <c r="A585">
        <v>585</v>
      </c>
      <c r="B585" s="1" t="s">
        <v>5623</v>
      </c>
      <c r="C585">
        <v>585</v>
      </c>
    </row>
    <row r="586" spans="1:3">
      <c r="A586">
        <v>586</v>
      </c>
      <c r="B586" s="1" t="s">
        <v>5624</v>
      </c>
      <c r="C586">
        <v>586</v>
      </c>
    </row>
    <row r="587" spans="1:3">
      <c r="A587">
        <v>587</v>
      </c>
      <c r="B587" s="1" t="s">
        <v>5625</v>
      </c>
      <c r="C587">
        <v>587</v>
      </c>
    </row>
    <row r="588" spans="1:3">
      <c r="A588">
        <v>588</v>
      </c>
      <c r="B588" s="1" t="s">
        <v>5626</v>
      </c>
      <c r="C588">
        <v>588</v>
      </c>
    </row>
    <row r="589" spans="1:3">
      <c r="A589">
        <v>589</v>
      </c>
      <c r="B589" s="1" t="s">
        <v>5627</v>
      </c>
      <c r="C589">
        <v>589</v>
      </c>
    </row>
    <row r="590" spans="1:3">
      <c r="A590">
        <v>590</v>
      </c>
      <c r="B590" s="1" t="s">
        <v>5628</v>
      </c>
      <c r="C590">
        <v>590</v>
      </c>
    </row>
    <row r="591" spans="1:3">
      <c r="A591">
        <v>591</v>
      </c>
      <c r="B591" s="1" t="s">
        <v>5629</v>
      </c>
      <c r="C591">
        <v>591</v>
      </c>
    </row>
    <row r="592" spans="1:3">
      <c r="A592">
        <v>592</v>
      </c>
      <c r="B592" s="1" t="s">
        <v>5630</v>
      </c>
      <c r="C592">
        <v>592</v>
      </c>
    </row>
    <row r="593" spans="1:3">
      <c r="A593">
        <v>593</v>
      </c>
      <c r="B593" s="1" t="s">
        <v>5631</v>
      </c>
      <c r="C593">
        <v>593</v>
      </c>
    </row>
    <row r="594" spans="1:3">
      <c r="A594">
        <v>594</v>
      </c>
      <c r="B594" s="1" t="s">
        <v>5632</v>
      </c>
      <c r="C594">
        <v>594</v>
      </c>
    </row>
    <row r="595" spans="1:3">
      <c r="A595">
        <v>595</v>
      </c>
      <c r="B595" s="1" t="s">
        <v>5633</v>
      </c>
      <c r="C595">
        <v>595</v>
      </c>
    </row>
    <row r="596" spans="1:3">
      <c r="A596">
        <v>596</v>
      </c>
      <c r="B596" s="1" t="s">
        <v>5634</v>
      </c>
      <c r="C596">
        <v>596</v>
      </c>
    </row>
    <row r="597" spans="1:3">
      <c r="A597">
        <v>597</v>
      </c>
      <c r="B597" s="1" t="s">
        <v>5635</v>
      </c>
      <c r="C597">
        <v>597</v>
      </c>
    </row>
    <row r="598" spans="1:3">
      <c r="A598">
        <v>598</v>
      </c>
      <c r="B598" s="1" t="s">
        <v>1110</v>
      </c>
      <c r="C598">
        <v>598</v>
      </c>
    </row>
    <row r="599" spans="1:3">
      <c r="A599">
        <v>599</v>
      </c>
      <c r="B599" s="1" t="s">
        <v>5636</v>
      </c>
      <c r="C599">
        <v>599</v>
      </c>
    </row>
    <row r="600" spans="1:3">
      <c r="A600">
        <v>600</v>
      </c>
      <c r="B600" s="1" t="s">
        <v>5637</v>
      </c>
      <c r="C600">
        <v>600</v>
      </c>
    </row>
    <row r="601" spans="1:3">
      <c r="A601">
        <v>601</v>
      </c>
      <c r="B601" s="1" t="s">
        <v>5638</v>
      </c>
      <c r="C601">
        <v>601</v>
      </c>
    </row>
    <row r="602" spans="1:3">
      <c r="A602">
        <v>602</v>
      </c>
      <c r="B602" s="1" t="s">
        <v>5639</v>
      </c>
      <c r="C602">
        <v>602</v>
      </c>
    </row>
    <row r="603" spans="1:3">
      <c r="A603">
        <v>603</v>
      </c>
      <c r="B603" s="1" t="s">
        <v>5640</v>
      </c>
      <c r="C603">
        <v>603</v>
      </c>
    </row>
    <row r="604" spans="1:3">
      <c r="A604">
        <v>604</v>
      </c>
      <c r="B604" s="1" t="s">
        <v>5641</v>
      </c>
      <c r="C604">
        <v>604</v>
      </c>
    </row>
    <row r="605" spans="1:3">
      <c r="A605">
        <v>605</v>
      </c>
      <c r="B605" s="1" t="s">
        <v>5642</v>
      </c>
      <c r="C605">
        <v>605</v>
      </c>
    </row>
    <row r="606" spans="1:3">
      <c r="A606">
        <v>606</v>
      </c>
      <c r="B606" s="1" t="s">
        <v>5643</v>
      </c>
      <c r="C606">
        <v>606</v>
      </c>
    </row>
    <row r="607" spans="1:3">
      <c r="A607">
        <v>607</v>
      </c>
      <c r="B607" s="1" t="s">
        <v>5644</v>
      </c>
      <c r="C607">
        <v>607</v>
      </c>
    </row>
    <row r="608" spans="1:3">
      <c r="A608">
        <v>608</v>
      </c>
      <c r="B608" s="1" t="s">
        <v>5645</v>
      </c>
      <c r="C608">
        <v>608</v>
      </c>
    </row>
    <row r="609" spans="1:3">
      <c r="A609">
        <v>609</v>
      </c>
      <c r="B609" s="1" t="s">
        <v>5646</v>
      </c>
      <c r="C609">
        <v>609</v>
      </c>
    </row>
    <row r="610" spans="1:3">
      <c r="A610">
        <v>610</v>
      </c>
      <c r="B610" s="1" t="s">
        <v>5647</v>
      </c>
      <c r="C610">
        <v>610</v>
      </c>
    </row>
    <row r="611" spans="1:3">
      <c r="A611">
        <v>611</v>
      </c>
      <c r="B611" s="1" t="s">
        <v>5648</v>
      </c>
      <c r="C611">
        <v>611</v>
      </c>
    </row>
    <row r="612" spans="1:3">
      <c r="A612">
        <v>612</v>
      </c>
      <c r="B612" s="1" t="s">
        <v>5649</v>
      </c>
      <c r="C612">
        <v>612</v>
      </c>
    </row>
    <row r="613" spans="1:3">
      <c r="A613">
        <v>613</v>
      </c>
      <c r="B613" s="1" t="s">
        <v>5650</v>
      </c>
      <c r="C613">
        <v>613</v>
      </c>
    </row>
    <row r="614" spans="1:3">
      <c r="A614">
        <v>614</v>
      </c>
      <c r="B614" s="1" t="s">
        <v>5651</v>
      </c>
      <c r="C614">
        <v>614</v>
      </c>
    </row>
    <row r="615" spans="1:3">
      <c r="A615">
        <v>615</v>
      </c>
      <c r="B615" s="1" t="s">
        <v>5652</v>
      </c>
      <c r="C615">
        <v>615</v>
      </c>
    </row>
    <row r="616" spans="1:3">
      <c r="A616">
        <v>616</v>
      </c>
      <c r="B616" s="1" t="s">
        <v>5653</v>
      </c>
      <c r="C616">
        <v>616</v>
      </c>
    </row>
    <row r="617" spans="1:3">
      <c r="A617">
        <v>617</v>
      </c>
      <c r="B617" s="1" t="s">
        <v>5654</v>
      </c>
      <c r="C617">
        <v>617</v>
      </c>
    </row>
    <row r="618" spans="1:3">
      <c r="A618">
        <v>618</v>
      </c>
      <c r="B618" s="1" t="s">
        <v>5655</v>
      </c>
      <c r="C618">
        <v>618</v>
      </c>
    </row>
    <row r="619" spans="1:3">
      <c r="A619">
        <v>619</v>
      </c>
      <c r="B619" s="1" t="s">
        <v>5656</v>
      </c>
      <c r="C619">
        <v>619</v>
      </c>
    </row>
    <row r="620" spans="1:3">
      <c r="A620">
        <v>620</v>
      </c>
      <c r="B620" s="1" t="s">
        <v>5657</v>
      </c>
      <c r="C620">
        <v>620</v>
      </c>
    </row>
    <row r="621" spans="1:3">
      <c r="A621">
        <v>621</v>
      </c>
      <c r="B621" s="1" t="s">
        <v>5658</v>
      </c>
      <c r="C621">
        <v>621</v>
      </c>
    </row>
    <row r="622" spans="1:3">
      <c r="A622">
        <v>622</v>
      </c>
      <c r="B622" s="1" t="s">
        <v>5659</v>
      </c>
      <c r="C622">
        <v>622</v>
      </c>
    </row>
    <row r="623" spans="1:3">
      <c r="A623">
        <v>623</v>
      </c>
      <c r="B623" s="1" t="s">
        <v>5660</v>
      </c>
      <c r="C623">
        <v>623</v>
      </c>
    </row>
    <row r="624" spans="1:3">
      <c r="A624">
        <v>624</v>
      </c>
      <c r="B624" s="1" t="s">
        <v>5661</v>
      </c>
      <c r="C624">
        <v>624</v>
      </c>
    </row>
    <row r="625" spans="1:3">
      <c r="A625">
        <v>625</v>
      </c>
      <c r="B625" s="1" t="s">
        <v>5662</v>
      </c>
      <c r="C625">
        <v>625</v>
      </c>
    </row>
    <row r="626" spans="1:3">
      <c r="A626">
        <v>626</v>
      </c>
      <c r="B626" s="1" t="s">
        <v>5663</v>
      </c>
      <c r="C626">
        <v>626</v>
      </c>
    </row>
    <row r="627" spans="1:3">
      <c r="A627">
        <v>627</v>
      </c>
      <c r="B627" s="1" t="s">
        <v>5664</v>
      </c>
      <c r="C627">
        <v>627</v>
      </c>
    </row>
    <row r="628" spans="1:3">
      <c r="A628">
        <v>628</v>
      </c>
      <c r="B628" s="1" t="s">
        <v>1111</v>
      </c>
      <c r="C628">
        <v>628</v>
      </c>
    </row>
    <row r="629" spans="1:3">
      <c r="A629">
        <v>629</v>
      </c>
      <c r="B629" s="1" t="s">
        <v>5665</v>
      </c>
      <c r="C629">
        <v>629</v>
      </c>
    </row>
    <row r="630" spans="1:3">
      <c r="A630">
        <v>630</v>
      </c>
      <c r="B630" s="1" t="s">
        <v>5666</v>
      </c>
      <c r="C630">
        <v>630</v>
      </c>
    </row>
    <row r="631" spans="1:3">
      <c r="A631">
        <v>631</v>
      </c>
      <c r="B631" s="1" t="s">
        <v>5667</v>
      </c>
      <c r="C631">
        <v>631</v>
      </c>
    </row>
    <row r="632" spans="1:3">
      <c r="A632">
        <v>632</v>
      </c>
      <c r="B632" s="1" t="s">
        <v>5668</v>
      </c>
      <c r="C632">
        <v>632</v>
      </c>
    </row>
    <row r="633" spans="1:3">
      <c r="A633">
        <v>633</v>
      </c>
      <c r="B633" s="1" t="s">
        <v>5669</v>
      </c>
      <c r="C633">
        <v>633</v>
      </c>
    </row>
    <row r="634" spans="1:3">
      <c r="A634">
        <v>634</v>
      </c>
      <c r="B634" s="1" t="s">
        <v>1112</v>
      </c>
      <c r="C634">
        <v>634</v>
      </c>
    </row>
    <row r="635" spans="1:3">
      <c r="A635">
        <v>635</v>
      </c>
      <c r="B635" s="1" t="s">
        <v>5670</v>
      </c>
      <c r="C635">
        <v>635</v>
      </c>
    </row>
    <row r="636" spans="1:3">
      <c r="A636">
        <v>636</v>
      </c>
      <c r="B636" s="1" t="s">
        <v>5671</v>
      </c>
      <c r="C636">
        <v>636</v>
      </c>
    </row>
    <row r="637" spans="1:3">
      <c r="A637">
        <v>637</v>
      </c>
      <c r="B637" s="1" t="s">
        <v>5672</v>
      </c>
      <c r="C637">
        <v>637</v>
      </c>
    </row>
    <row r="638" spans="1:3">
      <c r="A638">
        <v>638</v>
      </c>
      <c r="B638" s="1" t="s">
        <v>5673</v>
      </c>
      <c r="C638">
        <v>638</v>
      </c>
    </row>
    <row r="639" spans="1:3">
      <c r="A639">
        <v>639</v>
      </c>
      <c r="B639" s="1" t="s">
        <v>5674</v>
      </c>
      <c r="C639">
        <v>639</v>
      </c>
    </row>
    <row r="640" spans="1:3">
      <c r="A640">
        <v>640</v>
      </c>
      <c r="B640" s="1" t="s">
        <v>5675</v>
      </c>
      <c r="C640">
        <v>640</v>
      </c>
    </row>
    <row r="641" spans="1:3">
      <c r="A641">
        <v>641</v>
      </c>
      <c r="B641" s="1" t="s">
        <v>5676</v>
      </c>
      <c r="C641">
        <v>641</v>
      </c>
    </row>
    <row r="642" spans="1:3">
      <c r="A642">
        <v>642</v>
      </c>
      <c r="B642" s="1" t="s">
        <v>5677</v>
      </c>
      <c r="C642">
        <v>642</v>
      </c>
    </row>
    <row r="643" spans="1:3">
      <c r="A643">
        <v>643</v>
      </c>
      <c r="B643" s="1" t="s">
        <v>5678</v>
      </c>
      <c r="C643">
        <v>643</v>
      </c>
    </row>
    <row r="644" spans="1:3">
      <c r="A644">
        <v>644</v>
      </c>
      <c r="B644" s="1" t="s">
        <v>5679</v>
      </c>
      <c r="C644">
        <v>644</v>
      </c>
    </row>
    <row r="645" spans="1:3">
      <c r="A645">
        <v>645</v>
      </c>
      <c r="B645" s="1" t="s">
        <v>5680</v>
      </c>
      <c r="C645">
        <v>645</v>
      </c>
    </row>
    <row r="646" spans="1:3">
      <c r="A646">
        <v>646</v>
      </c>
      <c r="B646" s="1" t="s">
        <v>1113</v>
      </c>
      <c r="C646">
        <v>646</v>
      </c>
    </row>
    <row r="647" spans="1:3">
      <c r="A647">
        <v>647</v>
      </c>
      <c r="B647" s="1" t="s">
        <v>5681</v>
      </c>
      <c r="C647">
        <v>647</v>
      </c>
    </row>
    <row r="648" spans="1:3">
      <c r="A648">
        <v>648</v>
      </c>
      <c r="B648" s="1" t="s">
        <v>5682</v>
      </c>
      <c r="C648">
        <v>648</v>
      </c>
    </row>
    <row r="649" spans="1:3">
      <c r="A649">
        <v>649</v>
      </c>
      <c r="B649" s="1" t="s">
        <v>5683</v>
      </c>
      <c r="C649">
        <v>649</v>
      </c>
    </row>
    <row r="650" spans="1:3">
      <c r="A650">
        <v>650</v>
      </c>
      <c r="B650" s="1" t="s">
        <v>5684</v>
      </c>
      <c r="C650">
        <v>650</v>
      </c>
    </row>
    <row r="651" spans="1:3">
      <c r="A651">
        <v>651</v>
      </c>
      <c r="B651" s="1" t="s">
        <v>5685</v>
      </c>
      <c r="C651">
        <v>651</v>
      </c>
    </row>
    <row r="652" spans="1:3">
      <c r="A652">
        <v>652</v>
      </c>
      <c r="B652" s="1" t="s">
        <v>5686</v>
      </c>
      <c r="C652">
        <v>652</v>
      </c>
    </row>
    <row r="653" spans="1:3">
      <c r="A653">
        <v>653</v>
      </c>
      <c r="B653" s="1" t="s">
        <v>5687</v>
      </c>
      <c r="C653">
        <v>653</v>
      </c>
    </row>
    <row r="654" spans="1:3">
      <c r="A654">
        <v>654</v>
      </c>
      <c r="B654" s="1" t="s">
        <v>5688</v>
      </c>
      <c r="C654">
        <v>654</v>
      </c>
    </row>
    <row r="655" spans="1:3">
      <c r="A655">
        <v>655</v>
      </c>
      <c r="B655" s="1" t="s">
        <v>5689</v>
      </c>
      <c r="C655">
        <v>655</v>
      </c>
    </row>
    <row r="656" spans="1:3">
      <c r="A656">
        <v>656</v>
      </c>
      <c r="B656" s="1" t="s">
        <v>5690</v>
      </c>
      <c r="C656">
        <v>656</v>
      </c>
    </row>
    <row r="657" spans="1:3">
      <c r="A657">
        <v>657</v>
      </c>
      <c r="B657" s="1" t="s">
        <v>5691</v>
      </c>
      <c r="C657">
        <v>657</v>
      </c>
    </row>
    <row r="658" spans="1:3">
      <c r="A658">
        <v>658</v>
      </c>
      <c r="B658" s="1" t="s">
        <v>5692</v>
      </c>
      <c r="C658">
        <v>658</v>
      </c>
    </row>
    <row r="659" spans="1:3">
      <c r="A659">
        <v>659</v>
      </c>
      <c r="B659" s="1" t="s">
        <v>5693</v>
      </c>
      <c r="C659">
        <v>659</v>
      </c>
    </row>
    <row r="660" spans="1:3">
      <c r="A660">
        <v>660</v>
      </c>
      <c r="B660" s="1" t="s">
        <v>5694</v>
      </c>
      <c r="C660">
        <v>660</v>
      </c>
    </row>
    <row r="661" spans="1:3">
      <c r="A661">
        <v>661</v>
      </c>
      <c r="B661" s="1" t="s">
        <v>5695</v>
      </c>
      <c r="C661">
        <v>661</v>
      </c>
    </row>
    <row r="662" spans="1:3">
      <c r="A662">
        <v>662</v>
      </c>
      <c r="B662" s="1" t="s">
        <v>5696</v>
      </c>
      <c r="C662">
        <v>662</v>
      </c>
    </row>
    <row r="663" spans="1:3">
      <c r="A663">
        <v>663</v>
      </c>
      <c r="B663" s="1" t="s">
        <v>5697</v>
      </c>
      <c r="C663">
        <v>663</v>
      </c>
    </row>
    <row r="664" spans="1:3">
      <c r="A664">
        <v>664</v>
      </c>
      <c r="B664" s="1" t="s">
        <v>5698</v>
      </c>
      <c r="C664">
        <v>664</v>
      </c>
    </row>
    <row r="665" spans="1:3">
      <c r="A665">
        <v>665</v>
      </c>
      <c r="B665" s="1" t="s">
        <v>5699</v>
      </c>
      <c r="C665">
        <v>665</v>
      </c>
    </row>
    <row r="666" spans="1:3">
      <c r="A666">
        <v>666</v>
      </c>
      <c r="B666" s="1" t="s">
        <v>5700</v>
      </c>
      <c r="C666">
        <v>666</v>
      </c>
    </row>
    <row r="667" spans="1:3">
      <c r="A667">
        <v>667</v>
      </c>
      <c r="B667" s="1" t="s">
        <v>5701</v>
      </c>
      <c r="C667">
        <v>667</v>
      </c>
    </row>
    <row r="668" spans="1:3">
      <c r="A668">
        <v>668</v>
      </c>
      <c r="B668" s="1" t="s">
        <v>5702</v>
      </c>
      <c r="C668">
        <v>668</v>
      </c>
    </row>
    <row r="669" spans="1:3">
      <c r="A669">
        <v>669</v>
      </c>
      <c r="B669" s="1" t="s">
        <v>5703</v>
      </c>
      <c r="C669">
        <v>669</v>
      </c>
    </row>
    <row r="670" spans="1:3">
      <c r="A670">
        <v>670</v>
      </c>
      <c r="B670" s="1" t="s">
        <v>5704</v>
      </c>
      <c r="C670">
        <v>670</v>
      </c>
    </row>
    <row r="671" spans="1:3">
      <c r="A671">
        <v>671</v>
      </c>
      <c r="B671" s="1" t="s">
        <v>5705</v>
      </c>
      <c r="C671">
        <v>671</v>
      </c>
    </row>
    <row r="672" spans="1:3">
      <c r="A672">
        <v>672</v>
      </c>
      <c r="B672" s="1" t="s">
        <v>5706</v>
      </c>
      <c r="C672">
        <v>672</v>
      </c>
    </row>
    <row r="673" spans="1:3">
      <c r="A673">
        <v>673</v>
      </c>
      <c r="B673" s="1" t="s">
        <v>5707</v>
      </c>
      <c r="C673">
        <v>673</v>
      </c>
    </row>
    <row r="674" spans="1:3">
      <c r="A674">
        <v>674</v>
      </c>
      <c r="B674" s="1" t="s">
        <v>5708</v>
      </c>
      <c r="C674">
        <v>674</v>
      </c>
    </row>
    <row r="675" spans="1:3">
      <c r="A675">
        <v>675</v>
      </c>
      <c r="B675" s="1" t="s">
        <v>5709</v>
      </c>
      <c r="C675">
        <v>675</v>
      </c>
    </row>
    <row r="676" spans="1:3">
      <c r="A676">
        <v>676</v>
      </c>
      <c r="B676" s="1" t="s">
        <v>5710</v>
      </c>
      <c r="C676">
        <v>676</v>
      </c>
    </row>
    <row r="677" spans="1:3">
      <c r="A677">
        <v>677</v>
      </c>
      <c r="B677" s="1" t="s">
        <v>5711</v>
      </c>
      <c r="C677">
        <v>677</v>
      </c>
    </row>
    <row r="678" spans="1:3">
      <c r="A678">
        <v>678</v>
      </c>
      <c r="B678" s="1" t="s">
        <v>5712</v>
      </c>
      <c r="C678">
        <v>678</v>
      </c>
    </row>
    <row r="679" spans="1:3">
      <c r="A679">
        <v>679</v>
      </c>
      <c r="B679" s="1" t="s">
        <v>5713</v>
      </c>
      <c r="C679">
        <v>679</v>
      </c>
    </row>
    <row r="680" spans="1:3">
      <c r="A680">
        <v>680</v>
      </c>
      <c r="B680" s="1" t="s">
        <v>5714</v>
      </c>
      <c r="C680">
        <v>680</v>
      </c>
    </row>
    <row r="681" spans="1:3">
      <c r="A681">
        <v>681</v>
      </c>
      <c r="B681" s="1" t="s">
        <v>5715</v>
      </c>
      <c r="C681">
        <v>681</v>
      </c>
    </row>
    <row r="682" spans="1:3">
      <c r="A682">
        <v>682</v>
      </c>
      <c r="B682" s="1" t="s">
        <v>5716</v>
      </c>
      <c r="C682">
        <v>682</v>
      </c>
    </row>
    <row r="683" spans="1:3">
      <c r="A683">
        <v>683</v>
      </c>
      <c r="B683" s="1" t="s">
        <v>5717</v>
      </c>
      <c r="C683">
        <v>683</v>
      </c>
    </row>
    <row r="684" spans="1:3">
      <c r="A684">
        <v>684</v>
      </c>
      <c r="B684" s="1" t="s">
        <v>5718</v>
      </c>
      <c r="C684">
        <v>684</v>
      </c>
    </row>
    <row r="685" spans="1:3">
      <c r="A685">
        <v>685</v>
      </c>
      <c r="B685" s="1" t="s">
        <v>5719</v>
      </c>
      <c r="C685">
        <v>685</v>
      </c>
    </row>
    <row r="686" spans="1:3">
      <c r="A686">
        <v>686</v>
      </c>
      <c r="B686" s="1" t="s">
        <v>5720</v>
      </c>
      <c r="C686">
        <v>686</v>
      </c>
    </row>
    <row r="687" spans="1:3">
      <c r="A687">
        <v>687</v>
      </c>
      <c r="B687" s="1" t="s">
        <v>5721</v>
      </c>
      <c r="C687">
        <v>687</v>
      </c>
    </row>
    <row r="688" spans="1:3">
      <c r="A688">
        <v>688</v>
      </c>
      <c r="B688" s="1" t="s">
        <v>5722</v>
      </c>
      <c r="C688">
        <v>688</v>
      </c>
    </row>
    <row r="689" spans="1:3">
      <c r="A689">
        <v>689</v>
      </c>
      <c r="B689" s="1" t="s">
        <v>5723</v>
      </c>
      <c r="C689">
        <v>689</v>
      </c>
    </row>
    <row r="690" spans="1:3">
      <c r="A690">
        <v>690</v>
      </c>
      <c r="B690" s="1" t="s">
        <v>5724</v>
      </c>
      <c r="C690">
        <v>690</v>
      </c>
    </row>
    <row r="691" spans="1:3">
      <c r="A691">
        <v>691</v>
      </c>
      <c r="B691" s="1" t="s">
        <v>5725</v>
      </c>
      <c r="C691">
        <v>691</v>
      </c>
    </row>
    <row r="692" spans="1:3">
      <c r="A692">
        <v>692</v>
      </c>
      <c r="B692" s="1" t="s">
        <v>5726</v>
      </c>
      <c r="C692">
        <v>692</v>
      </c>
    </row>
    <row r="693" spans="1:3">
      <c r="A693">
        <v>693</v>
      </c>
      <c r="B693" s="1" t="s">
        <v>5727</v>
      </c>
      <c r="C693">
        <v>693</v>
      </c>
    </row>
  </sheetData>
  <phoneticPr fontId="37" type="noConversion"/>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גיליון39"/>
  <dimension ref="A1:J32"/>
  <sheetViews>
    <sheetView rightToLeft="1" workbookViewId="0">
      <selection activeCell="E13" sqref="E13"/>
    </sheetView>
  </sheetViews>
  <sheetFormatPr defaultRowHeight="14.4"/>
  <cols>
    <col min="2" max="2" width="2.88671875" bestFit="1" customWidth="1"/>
  </cols>
  <sheetData>
    <row r="1" spans="1:10">
      <c r="C1" t="s">
        <v>1186</v>
      </c>
    </row>
    <row r="2" spans="1:10">
      <c r="C2" t="s">
        <v>730</v>
      </c>
      <c r="D2" t="s">
        <v>374</v>
      </c>
      <c r="E2" t="s">
        <v>373</v>
      </c>
      <c r="F2" t="s">
        <v>1100</v>
      </c>
      <c r="I2" t="s">
        <v>1187</v>
      </c>
    </row>
    <row r="3" spans="1:10">
      <c r="C3">
        <v>1</v>
      </c>
      <c r="D3">
        <v>2</v>
      </c>
      <c r="E3">
        <v>3</v>
      </c>
      <c r="F3">
        <v>4</v>
      </c>
      <c r="I3" t="s">
        <v>730</v>
      </c>
      <c r="J3">
        <v>1</v>
      </c>
    </row>
    <row r="4" spans="1:10">
      <c r="A4" t="s">
        <v>138</v>
      </c>
      <c r="B4">
        <v>1</v>
      </c>
      <c r="C4" s="5">
        <v>0</v>
      </c>
      <c r="D4" s="5">
        <v>0</v>
      </c>
      <c r="E4" s="5">
        <v>0</v>
      </c>
      <c r="F4" s="5">
        <v>0</v>
      </c>
      <c r="I4" t="s">
        <v>374</v>
      </c>
      <c r="J4">
        <v>2</v>
      </c>
    </row>
    <row r="5" spans="1:10">
      <c r="A5" t="s">
        <v>139</v>
      </c>
      <c r="B5">
        <v>2</v>
      </c>
      <c r="C5" s="5">
        <v>0</v>
      </c>
      <c r="D5" s="5">
        <v>0</v>
      </c>
      <c r="E5" s="5">
        <v>0</v>
      </c>
      <c r="F5" s="5">
        <v>0</v>
      </c>
      <c r="I5" t="s">
        <v>373</v>
      </c>
      <c r="J5">
        <v>3</v>
      </c>
    </row>
    <row r="6" spans="1:10">
      <c r="A6" t="s">
        <v>140</v>
      </c>
      <c r="B6">
        <v>3</v>
      </c>
      <c r="C6" s="5">
        <v>0</v>
      </c>
      <c r="D6" s="5">
        <v>0</v>
      </c>
      <c r="E6" s="5">
        <v>0</v>
      </c>
      <c r="F6" s="5">
        <v>0</v>
      </c>
      <c r="I6" t="s">
        <v>1100</v>
      </c>
      <c r="J6">
        <v>4</v>
      </c>
    </row>
    <row r="7" spans="1:10">
      <c r="A7" t="s">
        <v>142</v>
      </c>
      <c r="B7">
        <v>4</v>
      </c>
      <c r="C7" s="106">
        <v>0.46</v>
      </c>
      <c r="D7" s="106">
        <v>0.6</v>
      </c>
      <c r="E7" s="106">
        <v>0.85</v>
      </c>
      <c r="F7" s="106">
        <v>1.05</v>
      </c>
    </row>
    <row r="8" spans="1:10">
      <c r="A8" t="s">
        <v>143</v>
      </c>
      <c r="B8">
        <v>5</v>
      </c>
      <c r="C8" s="106">
        <v>0.34</v>
      </c>
      <c r="D8" s="106">
        <v>0.48</v>
      </c>
      <c r="E8" s="106">
        <v>0.65</v>
      </c>
      <c r="F8" s="106">
        <v>0.82</v>
      </c>
    </row>
    <row r="9" spans="1:10">
      <c r="A9" t="s">
        <v>145</v>
      </c>
      <c r="B9">
        <v>6</v>
      </c>
      <c r="C9" s="106"/>
      <c r="D9" s="106"/>
    </row>
    <row r="10" spans="1:10">
      <c r="A10" t="s">
        <v>146</v>
      </c>
      <c r="B10">
        <v>7</v>
      </c>
      <c r="C10" s="106">
        <v>0.46</v>
      </c>
      <c r="D10" s="106">
        <v>0.6</v>
      </c>
      <c r="E10" s="106">
        <v>0.71</v>
      </c>
      <c r="F10" s="106">
        <v>0.81</v>
      </c>
    </row>
    <row r="11" spans="1:10">
      <c r="A11" t="s">
        <v>148</v>
      </c>
      <c r="B11">
        <v>8</v>
      </c>
      <c r="C11" s="106">
        <v>0.4</v>
      </c>
      <c r="D11" s="106">
        <v>0.52</v>
      </c>
      <c r="E11" s="106">
        <v>0.59</v>
      </c>
      <c r="F11" s="106">
        <v>0.68</v>
      </c>
    </row>
    <row r="12" spans="1:10">
      <c r="A12" t="s">
        <v>149</v>
      </c>
      <c r="B12">
        <v>9</v>
      </c>
      <c r="C12" s="106">
        <v>0.39</v>
      </c>
      <c r="D12" s="106">
        <v>0.48</v>
      </c>
      <c r="E12" s="106">
        <v>0.54</v>
      </c>
      <c r="F12" s="106">
        <v>0.64</v>
      </c>
    </row>
    <row r="13" spans="1:10">
      <c r="A13" t="s">
        <v>151</v>
      </c>
      <c r="B13">
        <v>10</v>
      </c>
      <c r="C13" s="106">
        <v>0.33</v>
      </c>
      <c r="D13" s="106">
        <v>0.41</v>
      </c>
      <c r="E13" s="106">
        <v>0.48</v>
      </c>
      <c r="F13" s="106">
        <v>0.59</v>
      </c>
    </row>
    <row r="14" spans="1:10">
      <c r="A14" t="s">
        <v>152</v>
      </c>
      <c r="B14">
        <v>11</v>
      </c>
      <c r="C14" s="106">
        <v>0.28000000000000003</v>
      </c>
      <c r="D14" s="106">
        <v>0.4</v>
      </c>
      <c r="E14" s="106">
        <v>0.46</v>
      </c>
      <c r="F14" s="106">
        <v>0.57999999999999996</v>
      </c>
    </row>
    <row r="15" spans="1:10">
      <c r="A15" t="s">
        <v>154</v>
      </c>
      <c r="B15">
        <v>12</v>
      </c>
      <c r="C15" s="106">
        <v>0.35</v>
      </c>
      <c r="D15" s="106">
        <v>0.48</v>
      </c>
      <c r="E15" s="106">
        <v>0.55000000000000004</v>
      </c>
      <c r="F15" s="106">
        <v>0.62</v>
      </c>
    </row>
    <row r="16" spans="1:10">
      <c r="A16" t="s">
        <v>155</v>
      </c>
      <c r="B16">
        <v>13</v>
      </c>
      <c r="C16" s="106">
        <v>0.27</v>
      </c>
      <c r="D16" s="106">
        <v>0.39</v>
      </c>
      <c r="E16" s="106">
        <v>0.46</v>
      </c>
      <c r="F16" s="106">
        <v>0.51</v>
      </c>
    </row>
    <row r="17" spans="1:6">
      <c r="A17" t="s">
        <v>157</v>
      </c>
      <c r="B17">
        <v>14</v>
      </c>
      <c r="C17" s="106">
        <v>0.27</v>
      </c>
      <c r="D17" s="106">
        <v>0.37</v>
      </c>
      <c r="E17" s="106">
        <v>0.44</v>
      </c>
      <c r="F17" s="106">
        <v>0.48</v>
      </c>
    </row>
    <row r="18" spans="1:6">
      <c r="A18" t="s">
        <v>158</v>
      </c>
      <c r="B18">
        <v>15</v>
      </c>
      <c r="C18" s="106">
        <v>0.23</v>
      </c>
      <c r="D18" s="106">
        <v>0.34</v>
      </c>
      <c r="E18" s="106">
        <v>0.37</v>
      </c>
      <c r="F18" s="106">
        <v>0.42</v>
      </c>
    </row>
    <row r="19" spans="1:6">
      <c r="A19" t="s">
        <v>160</v>
      </c>
      <c r="B19">
        <v>16</v>
      </c>
      <c r="C19" s="106">
        <v>0.23269999999999999</v>
      </c>
      <c r="D19" s="106">
        <v>0.33</v>
      </c>
      <c r="E19" s="106">
        <v>0.36</v>
      </c>
      <c r="F19" s="106">
        <v>0.42</v>
      </c>
    </row>
    <row r="20" spans="1:6">
      <c r="A20" t="s">
        <v>161</v>
      </c>
      <c r="B20">
        <v>17</v>
      </c>
      <c r="C20" s="106">
        <v>0.27</v>
      </c>
      <c r="D20" s="106">
        <v>0.36</v>
      </c>
      <c r="E20" s="106">
        <v>0.4</v>
      </c>
      <c r="F20" s="106">
        <v>0.47</v>
      </c>
    </row>
    <row r="21" spans="1:6">
      <c r="A21" t="s">
        <v>163</v>
      </c>
      <c r="B21">
        <v>18</v>
      </c>
      <c r="C21" s="106">
        <v>0.27</v>
      </c>
      <c r="D21" s="106">
        <v>0.34</v>
      </c>
      <c r="E21" s="106">
        <v>0.39</v>
      </c>
      <c r="F21" s="106">
        <v>0.44</v>
      </c>
    </row>
    <row r="22" spans="1:6">
      <c r="A22" t="s">
        <v>164</v>
      </c>
      <c r="B22">
        <v>19</v>
      </c>
      <c r="C22" s="106">
        <v>0.27</v>
      </c>
      <c r="D22" s="106">
        <v>0.33</v>
      </c>
      <c r="E22" s="106">
        <v>0.37</v>
      </c>
      <c r="F22" s="106">
        <v>0.44</v>
      </c>
    </row>
    <row r="23" spans="1:6">
      <c r="A23" t="s">
        <v>166</v>
      </c>
      <c r="B23">
        <v>20</v>
      </c>
      <c r="C23" s="106">
        <v>0.24</v>
      </c>
      <c r="D23" s="106">
        <v>0.28999999999999998</v>
      </c>
      <c r="E23" s="106">
        <v>0.33</v>
      </c>
      <c r="F23" s="106">
        <v>0.41</v>
      </c>
    </row>
    <row r="24" spans="1:6">
      <c r="A24" t="s">
        <v>167</v>
      </c>
      <c r="B24">
        <v>21</v>
      </c>
      <c r="C24" s="106">
        <v>0.16</v>
      </c>
      <c r="D24" s="106">
        <v>0.19</v>
      </c>
      <c r="E24" s="106">
        <v>0.23</v>
      </c>
      <c r="F24" s="106">
        <v>0.32</v>
      </c>
    </row>
    <row r="25" spans="1:6">
      <c r="A25" t="s">
        <v>169</v>
      </c>
      <c r="B25">
        <v>22</v>
      </c>
      <c r="C25" s="106">
        <v>0.11</v>
      </c>
      <c r="D25" s="106">
        <v>0.13</v>
      </c>
      <c r="E25" s="106">
        <v>0.18</v>
      </c>
      <c r="F25" s="106">
        <v>0.24</v>
      </c>
    </row>
    <row r="26" spans="1:6">
      <c r="A26" t="s">
        <v>170</v>
      </c>
      <c r="B26">
        <v>23</v>
      </c>
      <c r="C26" s="106">
        <v>0.05</v>
      </c>
      <c r="D26" s="106">
        <v>0.06</v>
      </c>
      <c r="E26" s="106">
        <v>0.1</v>
      </c>
      <c r="F26" s="106">
        <v>0.16</v>
      </c>
    </row>
    <row r="27" spans="1:6">
      <c r="A27" t="s">
        <v>172</v>
      </c>
      <c r="B27">
        <v>24</v>
      </c>
      <c r="C27" s="106">
        <v>0.06</v>
      </c>
      <c r="D27" s="106">
        <v>7.0000000000000007E-2</v>
      </c>
      <c r="E27" s="106">
        <v>0.1</v>
      </c>
      <c r="F27" s="106">
        <v>0.16</v>
      </c>
    </row>
    <row r="28" spans="1:6">
      <c r="A28" t="s">
        <v>173</v>
      </c>
      <c r="B28">
        <v>25</v>
      </c>
      <c r="C28" s="106">
        <v>0.02</v>
      </c>
      <c r="D28" s="106">
        <v>0.04</v>
      </c>
      <c r="E28" s="106">
        <v>7.0000000000000007E-2</v>
      </c>
      <c r="F28" s="106">
        <v>0.15</v>
      </c>
    </row>
    <row r="29" spans="1:6">
      <c r="A29" t="s">
        <v>175</v>
      </c>
      <c r="B29">
        <v>26</v>
      </c>
      <c r="C29" s="106">
        <v>0</v>
      </c>
      <c r="D29" s="106">
        <v>0.01</v>
      </c>
      <c r="E29" s="106">
        <v>0.05</v>
      </c>
      <c r="F29" s="106">
        <v>0.13</v>
      </c>
    </row>
    <row r="30" spans="1:6">
      <c r="A30" t="s">
        <v>176</v>
      </c>
      <c r="B30">
        <v>27</v>
      </c>
      <c r="C30" s="106">
        <v>0</v>
      </c>
      <c r="D30" s="106">
        <v>0</v>
      </c>
      <c r="E30" s="106">
        <v>0</v>
      </c>
      <c r="F30" s="106">
        <v>0</v>
      </c>
    </row>
    <row r="31" spans="1:6">
      <c r="A31" t="s">
        <v>178</v>
      </c>
      <c r="B31">
        <v>28</v>
      </c>
      <c r="C31" s="106">
        <v>0</v>
      </c>
      <c r="D31" s="106">
        <v>0</v>
      </c>
      <c r="E31" s="106">
        <v>0</v>
      </c>
      <c r="F31" s="106">
        <v>0</v>
      </c>
    </row>
    <row r="32" spans="1:6">
      <c r="A32" t="s">
        <v>179</v>
      </c>
      <c r="B32">
        <v>29</v>
      </c>
      <c r="C32" s="106">
        <v>0</v>
      </c>
      <c r="D32" s="106">
        <v>0</v>
      </c>
      <c r="E32" s="106">
        <v>0</v>
      </c>
      <c r="F32" s="106">
        <v>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B690-C54F-4834-B46E-8DC0990BDC65}">
  <sheetPr codeName="גיליון46"/>
  <dimension ref="A1:C44"/>
  <sheetViews>
    <sheetView rightToLeft="1" workbookViewId="0">
      <selection activeCell="C3" sqref="C3"/>
    </sheetView>
  </sheetViews>
  <sheetFormatPr defaultRowHeight="14.4"/>
  <cols>
    <col min="1" max="1" width="88.88671875" bestFit="1" customWidth="1"/>
    <col min="3" max="3" width="56.88671875" bestFit="1" customWidth="1"/>
  </cols>
  <sheetData>
    <row r="1" spans="1:3" ht="15.6">
      <c r="A1" s="1" t="s">
        <v>5101</v>
      </c>
      <c r="C1" s="382" t="s">
        <v>5094</v>
      </c>
    </row>
    <row r="2" spans="1:3" ht="18">
      <c r="A2" s="383" t="s">
        <v>5102</v>
      </c>
      <c r="C2" s="382" t="s">
        <v>5095</v>
      </c>
    </row>
    <row r="3" spans="1:3" ht="15.6">
      <c r="A3" s="384" t="s">
        <v>5103</v>
      </c>
      <c r="C3" s="382" t="s">
        <v>5352</v>
      </c>
    </row>
    <row r="4" spans="1:3" ht="15.6">
      <c r="A4" s="387" t="s">
        <v>5104</v>
      </c>
      <c r="C4" s="382" t="s">
        <v>5096</v>
      </c>
    </row>
    <row r="5" spans="1:3" ht="15.6">
      <c r="A5" s="387" t="s">
        <v>5105</v>
      </c>
      <c r="C5" s="382" t="s">
        <v>5097</v>
      </c>
    </row>
    <row r="6" spans="1:3" ht="15.6">
      <c r="A6" s="1" t="s">
        <v>5106</v>
      </c>
      <c r="C6" s="382" t="s">
        <v>5098</v>
      </c>
    </row>
    <row r="7" spans="1:3" ht="15.6">
      <c r="A7" s="1"/>
      <c r="C7" s="382" t="s">
        <v>5099</v>
      </c>
    </row>
    <row r="8" spans="1:3" ht="18">
      <c r="A8" s="383" t="s">
        <v>5107</v>
      </c>
      <c r="C8" s="382" t="s">
        <v>5100</v>
      </c>
    </row>
    <row r="9" spans="1:3">
      <c r="A9" s="388" t="s">
        <v>5108</v>
      </c>
    </row>
    <row r="10" spans="1:3">
      <c r="A10" s="388" t="s">
        <v>5109</v>
      </c>
    </row>
    <row r="11" spans="1:3">
      <c r="A11" s="388" t="s">
        <v>5110</v>
      </c>
    </row>
    <row r="12" spans="1:3">
      <c r="A12" s="384"/>
    </row>
    <row r="13" spans="1:3" ht="18">
      <c r="A13" s="383" t="s">
        <v>5111</v>
      </c>
    </row>
    <row r="14" spans="1:3">
      <c r="A14" s="388" t="s">
        <v>5112</v>
      </c>
    </row>
    <row r="15" spans="1:3">
      <c r="A15" s="388" t="s">
        <v>5113</v>
      </c>
    </row>
    <row r="16" spans="1:3">
      <c r="A16" s="388" t="s">
        <v>5114</v>
      </c>
    </row>
    <row r="17" spans="1:1">
      <c r="A17" s="388" t="s">
        <v>5115</v>
      </c>
    </row>
    <row r="18" spans="1:1">
      <c r="A18" s="384"/>
    </row>
    <row r="19" spans="1:1" ht="18">
      <c r="A19" s="383" t="s">
        <v>5116</v>
      </c>
    </row>
    <row r="20" spans="1:1">
      <c r="A20" s="1" t="s">
        <v>5117</v>
      </c>
    </row>
    <row r="21" spans="1:1">
      <c r="A21" s="356"/>
    </row>
    <row r="22" spans="1:1">
      <c r="A22" s="385" t="s">
        <v>5118</v>
      </c>
    </row>
    <row r="23" spans="1:1">
      <c r="A23" s="385" t="s">
        <v>5119</v>
      </c>
    </row>
    <row r="24" spans="1:1">
      <c r="A24" s="385" t="s">
        <v>5120</v>
      </c>
    </row>
    <row r="25" spans="1:1">
      <c r="A25" s="385" t="s">
        <v>5121</v>
      </c>
    </row>
    <row r="26" spans="1:1">
      <c r="A26" s="356"/>
    </row>
    <row r="27" spans="1:1">
      <c r="A27" s="385" t="s">
        <v>5122</v>
      </c>
    </row>
    <row r="28" spans="1:1">
      <c r="A28" s="385" t="s">
        <v>5123</v>
      </c>
    </row>
    <row r="29" spans="1:1">
      <c r="A29" s="385" t="s">
        <v>5124</v>
      </c>
    </row>
    <row r="30" spans="1:1">
      <c r="A30" s="385" t="s">
        <v>5100</v>
      </c>
    </row>
    <row r="32" spans="1:1">
      <c r="A32" s="384" t="s">
        <v>5125</v>
      </c>
    </row>
    <row r="34" spans="1:1" ht="18">
      <c r="A34" s="383" t="s">
        <v>5126</v>
      </c>
    </row>
    <row r="35" spans="1:1">
      <c r="A35" s="388" t="s">
        <v>5127</v>
      </c>
    </row>
    <row r="36" spans="1:1">
      <c r="A36" s="388" t="s">
        <v>5128</v>
      </c>
    </row>
    <row r="37" spans="1:1">
      <c r="A37" s="388" t="s">
        <v>5129</v>
      </c>
    </row>
    <row r="39" spans="1:1" ht="18">
      <c r="A39" s="383" t="s">
        <v>5130</v>
      </c>
    </row>
    <row r="40" spans="1:1">
      <c r="A40" s="386" t="s">
        <v>5131</v>
      </c>
    </row>
    <row r="41" spans="1:1">
      <c r="A41" s="386" t="s">
        <v>5132</v>
      </c>
    </row>
    <row r="42" spans="1:1">
      <c r="A42" s="384" t="s">
        <v>5133</v>
      </c>
    </row>
    <row r="44" spans="1:1">
      <c r="A44" s="384"/>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B71D8-B099-402B-A020-9373087BA870}">
  <sheetPr codeName="גיליון47"/>
  <dimension ref="A2:A48"/>
  <sheetViews>
    <sheetView workbookViewId="0">
      <selection activeCell="A15" sqref="A15"/>
    </sheetView>
  </sheetViews>
  <sheetFormatPr defaultRowHeight="14.4"/>
  <sheetData>
    <row r="2" spans="1:1">
      <c r="A2" t="s">
        <v>5730</v>
      </c>
    </row>
    <row r="4" spans="1:1">
      <c r="A4" t="s">
        <v>5731</v>
      </c>
    </row>
    <row r="5" spans="1:1">
      <c r="A5" t="s">
        <v>5732</v>
      </c>
    </row>
    <row r="6" spans="1:1">
      <c r="A6" t="s">
        <v>5733</v>
      </c>
    </row>
    <row r="7" spans="1:1">
      <c r="A7" t="s">
        <v>5734</v>
      </c>
    </row>
    <row r="8" spans="1:1">
      <c r="A8" t="s">
        <v>5735</v>
      </c>
    </row>
    <row r="9" spans="1:1">
      <c r="A9" t="s">
        <v>5736</v>
      </c>
    </row>
    <row r="10" spans="1:1">
      <c r="A10" t="s">
        <v>5737</v>
      </c>
    </row>
    <row r="11" spans="1:1">
      <c r="A11" t="s">
        <v>5738</v>
      </c>
    </row>
    <row r="12" spans="1:1">
      <c r="A12" t="s">
        <v>5737</v>
      </c>
    </row>
    <row r="13" spans="1:1">
      <c r="A13" t="s">
        <v>5739</v>
      </c>
    </row>
    <row r="14" spans="1:1">
      <c r="A14" t="s">
        <v>5740</v>
      </c>
    </row>
    <row r="15" spans="1:1">
      <c r="A15" t="s">
        <v>5779</v>
      </c>
    </row>
    <row r="16" spans="1:1">
      <c r="A16" t="s">
        <v>5741</v>
      </c>
    </row>
    <row r="17" spans="1:1">
      <c r="A17" t="s">
        <v>5742</v>
      </c>
    </row>
    <row r="18" spans="1:1">
      <c r="A18" t="s">
        <v>5737</v>
      </c>
    </row>
    <row r="19" spans="1:1">
      <c r="A19" t="s">
        <v>5743</v>
      </c>
    </row>
    <row r="20" spans="1:1">
      <c r="A20" t="s">
        <v>5737</v>
      </c>
    </row>
    <row r="21" spans="1:1">
      <c r="A21" t="s">
        <v>5744</v>
      </c>
    </row>
    <row r="22" spans="1:1">
      <c r="A22" t="s">
        <v>5745</v>
      </c>
    </row>
    <row r="23" spans="1:1">
      <c r="A23" t="s">
        <v>5746</v>
      </c>
    </row>
    <row r="24" spans="1:1">
      <c r="A24" t="s">
        <v>5747</v>
      </c>
    </row>
    <row r="25" spans="1:1">
      <c r="A25" t="s">
        <v>5737</v>
      </c>
    </row>
    <row r="26" spans="1:1">
      <c r="A26" t="s">
        <v>5748</v>
      </c>
    </row>
    <row r="27" spans="1:1">
      <c r="A27" t="s">
        <v>5749</v>
      </c>
    </row>
    <row r="28" spans="1:1">
      <c r="A28" t="s">
        <v>5750</v>
      </c>
    </row>
    <row r="29" spans="1:1">
      <c r="A29" t="s">
        <v>5751</v>
      </c>
    </row>
    <row r="30" spans="1:1">
      <c r="A30" t="s">
        <v>5752</v>
      </c>
    </row>
    <row r="31" spans="1:1">
      <c r="A31" t="s">
        <v>5751</v>
      </c>
    </row>
    <row r="32" spans="1:1">
      <c r="A32" t="s">
        <v>5753</v>
      </c>
    </row>
    <row r="33" spans="1:1">
      <c r="A33" t="s">
        <v>5754</v>
      </c>
    </row>
    <row r="34" spans="1:1">
      <c r="A34" t="s">
        <v>5755</v>
      </c>
    </row>
    <row r="35" spans="1:1">
      <c r="A35" t="s">
        <v>5756</v>
      </c>
    </row>
    <row r="36" spans="1:1">
      <c r="A36" t="s">
        <v>5757</v>
      </c>
    </row>
    <row r="37" spans="1:1">
      <c r="A37" t="s">
        <v>5758</v>
      </c>
    </row>
    <row r="38" spans="1:1">
      <c r="A38" t="s">
        <v>5759</v>
      </c>
    </row>
    <row r="39" spans="1:1">
      <c r="A39" t="s">
        <v>5737</v>
      </c>
    </row>
    <row r="40" spans="1:1">
      <c r="A40" t="s">
        <v>5760</v>
      </c>
    </row>
    <row r="41" spans="1:1">
      <c r="A41" t="s">
        <v>5761</v>
      </c>
    </row>
    <row r="42" spans="1:1">
      <c r="A42" t="s">
        <v>5737</v>
      </c>
    </row>
    <row r="43" spans="1:1">
      <c r="A43" t="s">
        <v>5762</v>
      </c>
    </row>
    <row r="44" spans="1:1">
      <c r="A44" t="s">
        <v>5737</v>
      </c>
    </row>
    <row r="45" spans="1:1">
      <c r="A45" t="s">
        <v>5764</v>
      </c>
    </row>
    <row r="48" spans="1:1">
      <c r="A48" t="s">
        <v>5100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54</vt:i4>
      </vt:variant>
    </vt:vector>
  </HeadingPairs>
  <TitlesOfParts>
    <vt:vector size="54" baseType="lpstr">
      <vt:lpstr>simlei sachar</vt:lpstr>
      <vt:lpstr>Netunei Gimlai</vt:lpstr>
      <vt:lpstr>TLUSH</vt:lpstr>
      <vt:lpstr>SACHAR</vt:lpstr>
      <vt:lpstr>tosafot </vt:lpstr>
      <vt:lpstr>MISRAD</vt:lpstr>
      <vt:lpstr>4550</vt:lpstr>
      <vt:lpstr>sminimum</vt:lpstr>
      <vt:lpstr>MANMASH 2022</vt:lpstr>
      <vt:lpstr>parameter</vt:lpstr>
      <vt:lpstr>5268 LIVUI ORHIM</vt:lpstr>
      <vt:lpstr>5539 MEMUNE</vt:lpstr>
      <vt:lpstr>פומ נתיב 4319</vt:lpstr>
      <vt:lpstr>שרות נתיב 4427</vt:lpstr>
      <vt:lpstr>vetek</vt:lpstr>
      <vt:lpstr>tos kibutzi</vt:lpstr>
      <vt:lpstr>tos reforma 4147</vt:lpstr>
      <vt:lpstr>hashlamat sachar 4643</vt:lpstr>
      <vt:lpstr>SACHAR4643</vt:lpstr>
      <vt:lpstr>kodderugdarga</vt:lpstr>
      <vt:lpstr>DARGA</vt:lpstr>
      <vt:lpstr>MAOF</vt:lpstr>
      <vt:lpstr> NATIV</vt:lpstr>
      <vt:lpstr>GMUL MINHAL</vt:lpstr>
      <vt:lpstr>BATEI MISHPAT 875</vt:lpstr>
      <vt:lpstr>heskem 2023</vt:lpstr>
      <vt:lpstr>tos reforma</vt:lpstr>
      <vt:lpstr>אחוז ממשולב 756</vt:lpstr>
      <vt:lpstr>המרת סמלי שכר</vt:lpstr>
      <vt:lpstr>רכיבים דלוייט</vt:lpstr>
      <vt:lpstr>מנדיי</vt:lpstr>
      <vt:lpstr>מאפייני רכיבי שכר</vt:lpstr>
      <vt:lpstr>רכיבים</vt:lpstr>
      <vt:lpstr>משימות</vt:lpstr>
      <vt:lpstr>HISH HATZMADA</vt:lpstr>
      <vt:lpstr>MANMASH 2010</vt:lpstr>
      <vt:lpstr>DERUG</vt:lpstr>
      <vt:lpstr>heskem 2016</vt:lpstr>
      <vt:lpstr>index misrad derugdarga</vt:lpstr>
      <vt:lpstr>MADAD</vt:lpstr>
      <vt:lpstr>index derugdarga</vt:lpstr>
      <vt:lpstr>Gmul hishtalmoot</vt:lpstr>
      <vt:lpstr>סמלי שכר</vt:lpstr>
      <vt:lpstr>פנסיה</vt:lpstr>
      <vt:lpstr>PARAMETRIM</vt:lpstr>
      <vt:lpstr>shikli 2016</vt:lpstr>
      <vt:lpstr>tos irgunit</vt:lpstr>
      <vt:lpstr>miktsoit</vt:lpstr>
      <vt:lpstr>peiloot</vt:lpstr>
      <vt:lpstr>tzak</vt:lpstr>
      <vt:lpstr>חודש פרישה</vt:lpstr>
      <vt:lpstr>tosmechkar</vt:lpstr>
      <vt:lpstr>מאקרו איפוס</vt:lpstr>
      <vt:lpstr>MACRO</vt:lpstr>
    </vt:vector>
  </TitlesOfParts>
  <Manager/>
  <Company>MOF</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עמית טוקר</dc:creator>
  <cp:keywords/>
  <dc:description/>
  <cp:lastModifiedBy>Amit Toker</cp:lastModifiedBy>
  <cp:revision/>
  <dcterms:created xsi:type="dcterms:W3CDTF">2018-11-05T06:03:45Z</dcterms:created>
  <dcterms:modified xsi:type="dcterms:W3CDTF">2026-07-31T21:05:44Z</dcterms:modified>
  <cp:category/>
  <cp:contentStatus/>
</cp:coreProperties>
</file>